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U:\"/>
    </mc:Choice>
  </mc:AlternateContent>
  <bookViews>
    <workbookView xWindow="1215" yWindow="120" windowWidth="14385" windowHeight="9015" tabRatio="595" firstSheet="4" activeTab="4"/>
  </bookViews>
  <sheets>
    <sheet name="Welcome" sheetId="101" r:id="rId1"/>
    <sheet name="Process" sheetId="98" r:id="rId2"/>
    <sheet name="Fun Facts &amp; Graphs" sheetId="97" r:id="rId3"/>
    <sheet name="Budget Assumptions" sheetId="86" r:id="rId4"/>
    <sheet name="Summary by Month" sheetId="43" r:id="rId5"/>
    <sheet name="Summary - All Cost Ctrs" sheetId="46" r:id="rId6"/>
    <sheet name="All Employees" sheetId="65" r:id="rId7"/>
    <sheet name="FTE Allocations" sheetId="93" state="hidden" r:id="rId8"/>
    <sheet name="Program Support Allocations" sheetId="96" r:id="rId9"/>
    <sheet name="Data Links" sheetId="63" r:id="rId10"/>
    <sheet name="Donations History" sheetId="99" r:id="rId11"/>
    <sheet name="CMS" sheetId="1" r:id="rId12"/>
    <sheet name="Fundraising" sheetId="75" r:id="rId13"/>
    <sheet name="HBE $$ Oct-Jun" sheetId="87" state="hidden" r:id="rId14"/>
    <sheet name="HSSP" sheetId="76" r:id="rId15"/>
    <sheet name="WH - SOP" sheetId="79" r:id="rId16"/>
    <sheet name="WH - PAD" sheetId="82" r:id="rId17"/>
    <sheet name="WH - HUSLY" sheetId="90" r:id="rId18"/>
    <sheet name="WH - TL" sheetId="80" r:id="rId19"/>
    <sheet name="WH - PERM" sheetId="83" r:id="rId20"/>
    <sheet name="WH-VOC" sheetId="77" r:id="rId21"/>
    <sheet name="Health Homes FFS Revenues" sheetId="73" state="hidden" r:id="rId22"/>
    <sheet name="QYP" sheetId="74" r:id="rId23"/>
    <sheet name="BH Team" sheetId="91" r:id="rId24"/>
    <sheet name="Teen Court" sheetId="78" r:id="rId25"/>
    <sheet name="SK - HUSLY" sheetId="94" r:id="rId26"/>
    <sheet name="SK - TL" sheetId="81" r:id="rId27"/>
    <sheet name="SK - PERM" sheetId="89" r:id="rId28"/>
    <sheet name="SK - VOC" sheetId="95" r:id="rId29"/>
    <sheet name="22 North" sheetId="88" r:id="rId30"/>
    <sheet name="CMS &amp; Fundraising Allocations" sheetId="53" r:id="rId31"/>
    <sheet name="1020 N State Allocations" sheetId="92" r:id="rId32"/>
  </sheets>
  <definedNames>
    <definedName name="_xlnm.Print_Titles" localSheetId="29">'22 North'!$1:$5</definedName>
    <definedName name="_xlnm.Print_Titles" localSheetId="23">'BH Team'!$1:$5</definedName>
    <definedName name="_xlnm.Print_Titles" localSheetId="11">CMS!$1:$7</definedName>
    <definedName name="_xlnm.Print_Titles" localSheetId="12">Fundraising!$1:$5</definedName>
    <definedName name="_xlnm.Print_Titles" localSheetId="14">HSSP!$1:$5</definedName>
    <definedName name="_xlnm.Print_Titles" localSheetId="22">QYP!$1:$5</definedName>
    <definedName name="_xlnm.Print_Titles" localSheetId="27">'SK - PERM'!$1:$5</definedName>
    <definedName name="_xlnm.Print_Titles" localSheetId="26">'SK - TL'!$1:$5</definedName>
    <definedName name="_xlnm.Print_Titles" localSheetId="5">'Summary - All Cost Ctrs'!$1:$4</definedName>
    <definedName name="_xlnm.Print_Titles" localSheetId="24">'Teen Court'!$1:$5</definedName>
    <definedName name="_xlnm.Print_Titles" localSheetId="17">'WH - HUSLY'!$1:$5</definedName>
    <definedName name="_xlnm.Print_Titles" localSheetId="16">'WH - PAD'!$1:$5</definedName>
    <definedName name="_xlnm.Print_Titles" localSheetId="19">'WH - PERM'!$1:$5</definedName>
    <definedName name="_xlnm.Print_Titles" localSheetId="15">'WH - SOP'!$1:$5</definedName>
    <definedName name="_xlnm.Print_Titles" localSheetId="18">'WH - TL'!$1:$5</definedName>
    <definedName name="_xlnm.Print_Titles" localSheetId="20">'WH-VOC'!$1:$5</definedName>
  </definedNames>
  <calcPr calcId="152511"/>
</workbook>
</file>

<file path=xl/calcChain.xml><?xml version="1.0" encoding="utf-8"?>
<calcChain xmlns="http://schemas.openxmlformats.org/spreadsheetml/2006/main">
  <c r="D136" i="43" l="1"/>
  <c r="E136" i="43"/>
  <c r="F136" i="43"/>
  <c r="G136" i="43"/>
  <c r="H136" i="43"/>
  <c r="I136" i="43"/>
  <c r="J136" i="43"/>
  <c r="K136" i="43"/>
  <c r="L136" i="43"/>
  <c r="M136" i="43"/>
  <c r="N136" i="43"/>
  <c r="C136" i="43"/>
  <c r="D135" i="43" l="1"/>
  <c r="E135" i="43"/>
  <c r="F135" i="43"/>
  <c r="G135" i="43"/>
  <c r="H135" i="43"/>
  <c r="I135" i="43"/>
  <c r="J135" i="43"/>
  <c r="K135" i="43"/>
  <c r="L135" i="43"/>
  <c r="M135" i="43"/>
  <c r="N135" i="43"/>
  <c r="B185" i="46" l="1"/>
  <c r="B181" i="46"/>
  <c r="I102" i="76" l="1"/>
  <c r="J102" i="76"/>
  <c r="C105" i="76"/>
  <c r="D105" i="76"/>
  <c r="E105" i="76"/>
  <c r="F105" i="76"/>
  <c r="G105" i="76"/>
  <c r="H105" i="76"/>
  <c r="I105" i="76"/>
  <c r="J105" i="76"/>
  <c r="K105" i="76"/>
  <c r="L105" i="76"/>
  <c r="M105" i="76"/>
  <c r="N105" i="76"/>
  <c r="C109" i="76"/>
  <c r="D109" i="76"/>
  <c r="E109" i="76"/>
  <c r="F109" i="76"/>
  <c r="G109" i="76"/>
  <c r="H109" i="76"/>
  <c r="I109" i="76"/>
  <c r="J109" i="76"/>
  <c r="K109" i="76"/>
  <c r="L109" i="76"/>
  <c r="M109" i="76"/>
  <c r="N109" i="76"/>
  <c r="C110" i="76"/>
  <c r="D110" i="76"/>
  <c r="E110" i="76"/>
  <c r="F110" i="76"/>
  <c r="G110" i="76"/>
  <c r="H110" i="76"/>
  <c r="I110" i="76"/>
  <c r="J110" i="76"/>
  <c r="K110" i="76"/>
  <c r="L110" i="76"/>
  <c r="M110" i="76"/>
  <c r="N110" i="76"/>
  <c r="C111" i="76"/>
  <c r="D111" i="76"/>
  <c r="E111" i="76"/>
  <c r="F111" i="76"/>
  <c r="F214" i="76" s="1"/>
  <c r="G111" i="76"/>
  <c r="H111" i="76"/>
  <c r="I111" i="76"/>
  <c r="J111" i="76"/>
  <c r="K111" i="76"/>
  <c r="L111" i="76"/>
  <c r="M111" i="76"/>
  <c r="N111" i="76"/>
  <c r="C112" i="76"/>
  <c r="D112" i="76"/>
  <c r="E112" i="76"/>
  <c r="F112" i="76"/>
  <c r="G112" i="76"/>
  <c r="H112" i="76"/>
  <c r="I112" i="76"/>
  <c r="J112" i="76"/>
  <c r="K112" i="76"/>
  <c r="L112" i="76"/>
  <c r="M112" i="76"/>
  <c r="N112" i="76"/>
  <c r="C113" i="76"/>
  <c r="D113" i="76"/>
  <c r="E113" i="76"/>
  <c r="F113" i="76"/>
  <c r="G113" i="76"/>
  <c r="H113" i="76"/>
  <c r="I113" i="76"/>
  <c r="J113" i="76"/>
  <c r="K113" i="76"/>
  <c r="L113" i="76"/>
  <c r="M113" i="76"/>
  <c r="N113" i="76"/>
  <c r="C114" i="76"/>
  <c r="D114" i="76"/>
  <c r="E114" i="76"/>
  <c r="F114" i="76"/>
  <c r="G114" i="76"/>
  <c r="H114" i="76"/>
  <c r="I114" i="76"/>
  <c r="J114" i="76"/>
  <c r="J215" i="76" s="1"/>
  <c r="K114" i="76"/>
  <c r="L114" i="76"/>
  <c r="M114" i="76"/>
  <c r="N114" i="76"/>
  <c r="C115" i="76"/>
  <c r="D115" i="76"/>
  <c r="E115" i="76"/>
  <c r="F115" i="76"/>
  <c r="G115" i="76"/>
  <c r="H115" i="76"/>
  <c r="I115" i="76"/>
  <c r="J115" i="76"/>
  <c r="K115" i="76"/>
  <c r="L115" i="76"/>
  <c r="M115" i="76"/>
  <c r="N115" i="76"/>
  <c r="C116" i="76"/>
  <c r="D116" i="76"/>
  <c r="E116" i="76"/>
  <c r="F116" i="76"/>
  <c r="G116" i="76"/>
  <c r="H116" i="76"/>
  <c r="I116" i="76"/>
  <c r="J116" i="76"/>
  <c r="K116" i="76"/>
  <c r="L116" i="76"/>
  <c r="M116" i="76"/>
  <c r="N116" i="76"/>
  <c r="C118" i="76"/>
  <c r="D118" i="76"/>
  <c r="D131" i="76" s="1"/>
  <c r="D144" i="76" s="1"/>
  <c r="D157" i="76" s="1"/>
  <c r="D170" i="76" s="1"/>
  <c r="E118" i="76"/>
  <c r="E131" i="76" s="1"/>
  <c r="E144" i="76" s="1"/>
  <c r="F118" i="76"/>
  <c r="G118" i="76"/>
  <c r="H118" i="76"/>
  <c r="H131" i="76" s="1"/>
  <c r="H144" i="76" s="1"/>
  <c r="H157" i="76" s="1"/>
  <c r="H170" i="76" s="1"/>
  <c r="H183" i="76" s="1"/>
  <c r="H196" i="76" s="1"/>
  <c r="I118" i="76"/>
  <c r="I131" i="76" s="1"/>
  <c r="I144" i="76" s="1"/>
  <c r="J118" i="76"/>
  <c r="J131" i="76" s="1"/>
  <c r="J144" i="76" s="1"/>
  <c r="J157" i="76" s="1"/>
  <c r="J170" i="76" s="1"/>
  <c r="J183" i="76" s="1"/>
  <c r="J196" i="76" s="1"/>
  <c r="K118" i="76"/>
  <c r="L118" i="76"/>
  <c r="L131" i="76" s="1"/>
  <c r="L144" i="76" s="1"/>
  <c r="L157" i="76" s="1"/>
  <c r="L170" i="76" s="1"/>
  <c r="M118" i="76"/>
  <c r="M131" i="76" s="1"/>
  <c r="M144" i="76" s="1"/>
  <c r="N118" i="76"/>
  <c r="F120" i="76"/>
  <c r="H120" i="76"/>
  <c r="H133" i="76" s="1"/>
  <c r="H146" i="76" s="1"/>
  <c r="H159" i="76" s="1"/>
  <c r="H172" i="76" s="1"/>
  <c r="N120" i="76"/>
  <c r="C122" i="76"/>
  <c r="D122" i="76"/>
  <c r="E122" i="76"/>
  <c r="F122" i="76"/>
  <c r="G122" i="76"/>
  <c r="H122" i="76"/>
  <c r="I122" i="76"/>
  <c r="J122" i="76"/>
  <c r="K122" i="76"/>
  <c r="L122" i="76"/>
  <c r="M122" i="76"/>
  <c r="N122" i="76"/>
  <c r="C123" i="76"/>
  <c r="D123" i="76"/>
  <c r="E123" i="76"/>
  <c r="F123" i="76"/>
  <c r="G123" i="76"/>
  <c r="G213" i="76" s="1"/>
  <c r="H123" i="76"/>
  <c r="I123" i="76"/>
  <c r="J123" i="76"/>
  <c r="K123" i="76"/>
  <c r="L123" i="76"/>
  <c r="M123" i="76"/>
  <c r="N123" i="76"/>
  <c r="C124" i="76"/>
  <c r="D124" i="76"/>
  <c r="E124" i="76"/>
  <c r="F124" i="76"/>
  <c r="G124" i="76"/>
  <c r="H124" i="76"/>
  <c r="I124" i="76"/>
  <c r="J124" i="76"/>
  <c r="K124" i="76"/>
  <c r="K214" i="76" s="1"/>
  <c r="L124" i="76"/>
  <c r="M124" i="76"/>
  <c r="N124" i="76"/>
  <c r="C125" i="76"/>
  <c r="D125" i="76"/>
  <c r="E125" i="76"/>
  <c r="F125" i="76"/>
  <c r="G125" i="76"/>
  <c r="H125" i="76"/>
  <c r="I125" i="76"/>
  <c r="J125" i="76"/>
  <c r="K125" i="76"/>
  <c r="L125" i="76"/>
  <c r="M125" i="76"/>
  <c r="N125" i="76"/>
  <c r="C126" i="76"/>
  <c r="D126" i="76"/>
  <c r="E126" i="76"/>
  <c r="F126" i="76"/>
  <c r="G126" i="76"/>
  <c r="H126" i="76"/>
  <c r="I126" i="76"/>
  <c r="J126" i="76"/>
  <c r="K126" i="76"/>
  <c r="L126" i="76"/>
  <c r="M126" i="76"/>
  <c r="N126" i="76"/>
  <c r="C127" i="76"/>
  <c r="D127" i="76"/>
  <c r="E127" i="76"/>
  <c r="F127" i="76"/>
  <c r="G127" i="76"/>
  <c r="H127" i="76"/>
  <c r="I127" i="76"/>
  <c r="J127" i="76"/>
  <c r="K127" i="76"/>
  <c r="L127" i="76"/>
  <c r="M127" i="76"/>
  <c r="N127" i="76"/>
  <c r="C128" i="76"/>
  <c r="D128" i="76"/>
  <c r="E128" i="76"/>
  <c r="F128" i="76"/>
  <c r="G128" i="76"/>
  <c r="H128" i="76"/>
  <c r="I128" i="76"/>
  <c r="J128" i="76"/>
  <c r="K128" i="76"/>
  <c r="L128" i="76"/>
  <c r="M128" i="76"/>
  <c r="N128" i="76"/>
  <c r="C129" i="76"/>
  <c r="D129" i="76"/>
  <c r="E129" i="76"/>
  <c r="F129" i="76"/>
  <c r="G129" i="76"/>
  <c r="H129" i="76"/>
  <c r="I129" i="76"/>
  <c r="J129" i="76"/>
  <c r="K129" i="76"/>
  <c r="L129" i="76"/>
  <c r="M129" i="76"/>
  <c r="N129" i="76"/>
  <c r="C131" i="76"/>
  <c r="F131" i="76"/>
  <c r="G131" i="76"/>
  <c r="G144" i="76" s="1"/>
  <c r="G157" i="76" s="1"/>
  <c r="G170" i="76" s="1"/>
  <c r="G183" i="76" s="1"/>
  <c r="G196" i="76" s="1"/>
  <c r="K131" i="76"/>
  <c r="N131" i="76"/>
  <c r="C133" i="76"/>
  <c r="C146" i="76" s="1"/>
  <c r="C159" i="76" s="1"/>
  <c r="C172" i="76" s="1"/>
  <c r="C185" i="76" s="1"/>
  <c r="C198" i="76" s="1"/>
  <c r="D133" i="76"/>
  <c r="E133" i="76"/>
  <c r="F133" i="76"/>
  <c r="G133" i="76"/>
  <c r="G146" i="76" s="1"/>
  <c r="G159" i="76" s="1"/>
  <c r="G172" i="76" s="1"/>
  <c r="G185" i="76" s="1"/>
  <c r="G198" i="76" s="1"/>
  <c r="I133" i="76"/>
  <c r="J133" i="76"/>
  <c r="K133" i="76"/>
  <c r="L133" i="76"/>
  <c r="M133" i="76"/>
  <c r="N133" i="76"/>
  <c r="C134" i="76"/>
  <c r="D134" i="76"/>
  <c r="E134" i="76"/>
  <c r="F134" i="76"/>
  <c r="F102" i="76" s="1"/>
  <c r="G134" i="76"/>
  <c r="H134" i="76"/>
  <c r="I134" i="76"/>
  <c r="J134" i="76"/>
  <c r="K134" i="76"/>
  <c r="L134" i="76"/>
  <c r="M134" i="76"/>
  <c r="N134" i="76"/>
  <c r="N102" i="76" s="1"/>
  <c r="C135" i="76"/>
  <c r="D135" i="76"/>
  <c r="E135" i="76"/>
  <c r="F135" i="76"/>
  <c r="G135" i="76"/>
  <c r="H135" i="76"/>
  <c r="I135" i="76"/>
  <c r="J135" i="76"/>
  <c r="K135" i="76"/>
  <c r="L135" i="76"/>
  <c r="M135" i="76"/>
  <c r="N135" i="76"/>
  <c r="C136" i="76"/>
  <c r="D136" i="76"/>
  <c r="E136" i="76"/>
  <c r="F136" i="76"/>
  <c r="G136" i="76"/>
  <c r="H136" i="76"/>
  <c r="I136" i="76"/>
  <c r="J136" i="76"/>
  <c r="K136" i="76"/>
  <c r="L136" i="76"/>
  <c r="M136" i="76"/>
  <c r="N136" i="76"/>
  <c r="C137" i="76"/>
  <c r="D137" i="76"/>
  <c r="E137" i="76"/>
  <c r="F137" i="76"/>
  <c r="G137" i="76"/>
  <c r="G214" i="76" s="1"/>
  <c r="H137" i="76"/>
  <c r="I137" i="76"/>
  <c r="J137" i="76"/>
  <c r="K137" i="76"/>
  <c r="L137" i="76"/>
  <c r="M137" i="76"/>
  <c r="N137" i="76"/>
  <c r="C138" i="76"/>
  <c r="D138" i="76"/>
  <c r="E138" i="76"/>
  <c r="F138" i="76"/>
  <c r="G138" i="76"/>
  <c r="H138" i="76"/>
  <c r="I138" i="76"/>
  <c r="J138" i="76"/>
  <c r="K138" i="76"/>
  <c r="L138" i="76"/>
  <c r="M138" i="76"/>
  <c r="N138" i="76"/>
  <c r="C139" i="76"/>
  <c r="D139" i="76"/>
  <c r="E139" i="76"/>
  <c r="F139" i="76"/>
  <c r="G139" i="76"/>
  <c r="H139" i="76"/>
  <c r="I139" i="76"/>
  <c r="J139" i="76"/>
  <c r="K139" i="76"/>
  <c r="L139" i="76"/>
  <c r="M139" i="76"/>
  <c r="N139" i="76"/>
  <c r="C140" i="76"/>
  <c r="D140" i="76"/>
  <c r="E140" i="76"/>
  <c r="F140" i="76"/>
  <c r="G140" i="76"/>
  <c r="H140" i="76"/>
  <c r="I140" i="76"/>
  <c r="J140" i="76"/>
  <c r="K140" i="76"/>
  <c r="K215" i="76" s="1"/>
  <c r="L140" i="76"/>
  <c r="M140" i="76"/>
  <c r="N140" i="76"/>
  <c r="C141" i="76"/>
  <c r="D141" i="76"/>
  <c r="E141" i="76"/>
  <c r="F141" i="76"/>
  <c r="G141" i="76"/>
  <c r="H141" i="76"/>
  <c r="I141" i="76"/>
  <c r="J141" i="76"/>
  <c r="K141" i="76"/>
  <c r="L141" i="76"/>
  <c r="M141" i="76"/>
  <c r="N141" i="76"/>
  <c r="C142" i="76"/>
  <c r="D142" i="76"/>
  <c r="E142" i="76"/>
  <c r="F142" i="76"/>
  <c r="G142" i="76"/>
  <c r="H142" i="76"/>
  <c r="I142" i="76"/>
  <c r="J142" i="76"/>
  <c r="K142" i="76"/>
  <c r="L142" i="76"/>
  <c r="M142" i="76"/>
  <c r="N142" i="76"/>
  <c r="C144" i="76"/>
  <c r="C157" i="76" s="1"/>
  <c r="C170" i="76" s="1"/>
  <c r="F144" i="76"/>
  <c r="F157" i="76" s="1"/>
  <c r="F170" i="76" s="1"/>
  <c r="F183" i="76" s="1"/>
  <c r="F196" i="76" s="1"/>
  <c r="K144" i="76"/>
  <c r="K157" i="76" s="1"/>
  <c r="K170" i="76" s="1"/>
  <c r="N144" i="76"/>
  <c r="N157" i="76" s="1"/>
  <c r="N170" i="76" s="1"/>
  <c r="N183" i="76" s="1"/>
  <c r="N196" i="76" s="1"/>
  <c r="D146" i="76"/>
  <c r="E146" i="76"/>
  <c r="F146" i="76"/>
  <c r="F159" i="76" s="1"/>
  <c r="F172" i="76" s="1"/>
  <c r="F185" i="76" s="1"/>
  <c r="F198" i="76" s="1"/>
  <c r="I146" i="76"/>
  <c r="J146" i="76"/>
  <c r="K146" i="76"/>
  <c r="K159" i="76" s="1"/>
  <c r="K172" i="76" s="1"/>
  <c r="K185" i="76" s="1"/>
  <c r="K198" i="76" s="1"/>
  <c r="L146" i="76"/>
  <c r="M146" i="76"/>
  <c r="N146" i="76"/>
  <c r="N159" i="76" s="1"/>
  <c r="N172" i="76" s="1"/>
  <c r="N185" i="76" s="1"/>
  <c r="N198" i="76" s="1"/>
  <c r="C147" i="76"/>
  <c r="D147" i="76"/>
  <c r="E147" i="76"/>
  <c r="F147" i="76"/>
  <c r="G147" i="76"/>
  <c r="H147" i="76"/>
  <c r="I147" i="76"/>
  <c r="J147" i="76"/>
  <c r="K147" i="76"/>
  <c r="L147" i="76"/>
  <c r="M147" i="76"/>
  <c r="N147" i="76"/>
  <c r="C148" i="76"/>
  <c r="D148" i="76"/>
  <c r="E148" i="76"/>
  <c r="F148" i="76"/>
  <c r="G148" i="76"/>
  <c r="H148" i="76"/>
  <c r="I148" i="76"/>
  <c r="J148" i="76"/>
  <c r="K148" i="76"/>
  <c r="L148" i="76"/>
  <c r="M148" i="76"/>
  <c r="N148" i="76"/>
  <c r="C149" i="76"/>
  <c r="C213" i="76" s="1"/>
  <c r="D149" i="76"/>
  <c r="E149" i="76"/>
  <c r="F149" i="76"/>
  <c r="G149" i="76"/>
  <c r="H149" i="76"/>
  <c r="I149" i="76"/>
  <c r="J149" i="76"/>
  <c r="K149" i="76"/>
  <c r="L149" i="76"/>
  <c r="M149" i="76"/>
  <c r="N149" i="76"/>
  <c r="N213" i="76" s="1"/>
  <c r="C150" i="76"/>
  <c r="C214" i="76" s="1"/>
  <c r="D150" i="76"/>
  <c r="E150" i="76"/>
  <c r="F150" i="76"/>
  <c r="G150" i="76"/>
  <c r="H150" i="76"/>
  <c r="I150" i="76"/>
  <c r="J150" i="76"/>
  <c r="K150" i="76"/>
  <c r="L150" i="76"/>
  <c r="M150" i="76"/>
  <c r="N150" i="76"/>
  <c r="C151" i="76"/>
  <c r="D151" i="76"/>
  <c r="E151" i="76"/>
  <c r="F151" i="76"/>
  <c r="G151" i="76"/>
  <c r="H151" i="76"/>
  <c r="I151" i="76"/>
  <c r="J151" i="76"/>
  <c r="K151" i="76"/>
  <c r="L151" i="76"/>
  <c r="M151" i="76"/>
  <c r="N151" i="76"/>
  <c r="C152" i="76"/>
  <c r="D152" i="76"/>
  <c r="E152" i="76"/>
  <c r="F152" i="76"/>
  <c r="G152" i="76"/>
  <c r="H152" i="76"/>
  <c r="I152" i="76"/>
  <c r="J152" i="76"/>
  <c r="K152" i="76"/>
  <c r="L152" i="76"/>
  <c r="M152" i="76"/>
  <c r="N152" i="76"/>
  <c r="C153" i="76"/>
  <c r="D153" i="76"/>
  <c r="E153" i="76"/>
  <c r="F153" i="76"/>
  <c r="F215" i="76" s="1"/>
  <c r="G153" i="76"/>
  <c r="G215" i="76" s="1"/>
  <c r="H153" i="76"/>
  <c r="I153" i="76"/>
  <c r="J153" i="76"/>
  <c r="K153" i="76"/>
  <c r="L153" i="76"/>
  <c r="M153" i="76"/>
  <c r="N153" i="76"/>
  <c r="C154" i="76"/>
  <c r="D154" i="76"/>
  <c r="E154" i="76"/>
  <c r="F154" i="76"/>
  <c r="G154" i="76"/>
  <c r="H154" i="76"/>
  <c r="I154" i="76"/>
  <c r="J154" i="76"/>
  <c r="K154" i="76"/>
  <c r="L154" i="76"/>
  <c r="M154" i="76"/>
  <c r="N154" i="76"/>
  <c r="C155" i="76"/>
  <c r="D155" i="76"/>
  <c r="E155" i="76"/>
  <c r="F155" i="76"/>
  <c r="G155" i="76"/>
  <c r="H155" i="76"/>
  <c r="I155" i="76"/>
  <c r="J155" i="76"/>
  <c r="K155" i="76"/>
  <c r="L155" i="76"/>
  <c r="M155" i="76"/>
  <c r="N155" i="76"/>
  <c r="I156" i="76"/>
  <c r="E157" i="76"/>
  <c r="I157" i="76"/>
  <c r="I170" i="76" s="1"/>
  <c r="I183" i="76" s="1"/>
  <c r="I196" i="76" s="1"/>
  <c r="M157" i="76"/>
  <c r="D159" i="76"/>
  <c r="E159" i="76"/>
  <c r="E172" i="76" s="1"/>
  <c r="E185" i="76" s="1"/>
  <c r="E198" i="76" s="1"/>
  <c r="I159" i="76"/>
  <c r="J159" i="76"/>
  <c r="J172" i="76" s="1"/>
  <c r="J185" i="76" s="1"/>
  <c r="J198" i="76" s="1"/>
  <c r="L159" i="76"/>
  <c r="M159" i="76"/>
  <c r="C160" i="76"/>
  <c r="D160" i="76"/>
  <c r="D102" i="76" s="1"/>
  <c r="E160" i="76"/>
  <c r="E102" i="76" s="1"/>
  <c r="F160" i="76"/>
  <c r="G160" i="76"/>
  <c r="H160" i="76"/>
  <c r="H102" i="76" s="1"/>
  <c r="I160" i="76"/>
  <c r="J160" i="76"/>
  <c r="K160" i="76"/>
  <c r="L160" i="76"/>
  <c r="L102" i="76" s="1"/>
  <c r="M160" i="76"/>
  <c r="M102" i="76" s="1"/>
  <c r="N160" i="76"/>
  <c r="C161" i="76"/>
  <c r="D161" i="76"/>
  <c r="E161" i="76"/>
  <c r="F161" i="76"/>
  <c r="G161" i="76"/>
  <c r="H161" i="76"/>
  <c r="I161" i="76"/>
  <c r="J161" i="76"/>
  <c r="K161" i="76"/>
  <c r="L161" i="76"/>
  <c r="M161" i="76"/>
  <c r="N161" i="76"/>
  <c r="C162" i="76"/>
  <c r="D162" i="76"/>
  <c r="E162" i="76"/>
  <c r="F162" i="76"/>
  <c r="G162" i="76"/>
  <c r="H162" i="76"/>
  <c r="I162" i="76"/>
  <c r="J162" i="76"/>
  <c r="K162" i="76"/>
  <c r="L162" i="76"/>
  <c r="M162" i="76"/>
  <c r="N162" i="76"/>
  <c r="C163" i="76"/>
  <c r="D163" i="76"/>
  <c r="E163" i="76"/>
  <c r="F163" i="76"/>
  <c r="G163" i="76"/>
  <c r="H163" i="76"/>
  <c r="I163" i="76"/>
  <c r="J163" i="76"/>
  <c r="K163" i="76"/>
  <c r="L163" i="76"/>
  <c r="M163" i="76"/>
  <c r="N163" i="76"/>
  <c r="C164" i="76"/>
  <c r="D164" i="76"/>
  <c r="E164" i="76"/>
  <c r="F164" i="76"/>
  <c r="G164" i="76"/>
  <c r="H164" i="76"/>
  <c r="I164" i="76"/>
  <c r="J164" i="76"/>
  <c r="K164" i="76"/>
  <c r="L164" i="76"/>
  <c r="M164" i="76"/>
  <c r="N164" i="76"/>
  <c r="C165" i="76"/>
  <c r="D165" i="76"/>
  <c r="E165" i="76"/>
  <c r="F165" i="76"/>
  <c r="G165" i="76"/>
  <c r="H165" i="76"/>
  <c r="I165" i="76"/>
  <c r="J165" i="76"/>
  <c r="K165" i="76"/>
  <c r="L165" i="76"/>
  <c r="M165" i="76"/>
  <c r="N165" i="76"/>
  <c r="C166" i="76"/>
  <c r="D166" i="76"/>
  <c r="E166" i="76"/>
  <c r="F166" i="76"/>
  <c r="G166" i="76"/>
  <c r="H166" i="76"/>
  <c r="I166" i="76"/>
  <c r="J166" i="76"/>
  <c r="K166" i="76"/>
  <c r="L166" i="76"/>
  <c r="M166" i="76"/>
  <c r="N166" i="76"/>
  <c r="C167" i="76"/>
  <c r="D167" i="76"/>
  <c r="E167" i="76"/>
  <c r="F167" i="76"/>
  <c r="G167" i="76"/>
  <c r="H167" i="76"/>
  <c r="I167" i="76"/>
  <c r="J167" i="76"/>
  <c r="K167" i="76"/>
  <c r="L167" i="76"/>
  <c r="M167" i="76"/>
  <c r="N167" i="76"/>
  <c r="C168" i="76"/>
  <c r="D168" i="76"/>
  <c r="E168" i="76"/>
  <c r="F168" i="76"/>
  <c r="G168" i="76"/>
  <c r="H168" i="76"/>
  <c r="I168" i="76"/>
  <c r="J168" i="76"/>
  <c r="K168" i="76"/>
  <c r="L168" i="76"/>
  <c r="M168" i="76"/>
  <c r="N168" i="76"/>
  <c r="E170" i="76"/>
  <c r="E183" i="76" s="1"/>
  <c r="E196" i="76" s="1"/>
  <c r="M170" i="76"/>
  <c r="M183" i="76" s="1"/>
  <c r="M196" i="76" s="1"/>
  <c r="D172" i="76"/>
  <c r="I172" i="76"/>
  <c r="I185" i="76" s="1"/>
  <c r="I198" i="76" s="1"/>
  <c r="L172" i="76"/>
  <c r="M172" i="76"/>
  <c r="M185" i="76" s="1"/>
  <c r="M198" i="76" s="1"/>
  <c r="C174" i="76"/>
  <c r="D174" i="76"/>
  <c r="E174" i="76"/>
  <c r="F174" i="76"/>
  <c r="G174" i="76"/>
  <c r="H174" i="76"/>
  <c r="I174" i="76"/>
  <c r="J174" i="76"/>
  <c r="K174" i="76"/>
  <c r="L174" i="76"/>
  <c r="M174" i="76"/>
  <c r="N174" i="76"/>
  <c r="C175" i="76"/>
  <c r="D175" i="76"/>
  <c r="E175" i="76"/>
  <c r="F175" i="76"/>
  <c r="G175" i="76"/>
  <c r="H175" i="76"/>
  <c r="I175" i="76"/>
  <c r="J175" i="76"/>
  <c r="K175" i="76"/>
  <c r="L175" i="76"/>
  <c r="M175" i="76"/>
  <c r="N175" i="76"/>
  <c r="C176" i="76"/>
  <c r="D176" i="76"/>
  <c r="E176" i="76"/>
  <c r="F176" i="76"/>
  <c r="G176" i="76"/>
  <c r="H176" i="76"/>
  <c r="I176" i="76"/>
  <c r="J176" i="76"/>
  <c r="K176" i="76"/>
  <c r="L176" i="76"/>
  <c r="M176" i="76"/>
  <c r="N176" i="76"/>
  <c r="N214" i="76" s="1"/>
  <c r="C177" i="76"/>
  <c r="D177" i="76"/>
  <c r="E177" i="76"/>
  <c r="F177" i="76"/>
  <c r="G177" i="76"/>
  <c r="H177" i="76"/>
  <c r="I177" i="76"/>
  <c r="J177" i="76"/>
  <c r="K177" i="76"/>
  <c r="L177" i="76"/>
  <c r="M177" i="76"/>
  <c r="N177" i="76"/>
  <c r="C178" i="76"/>
  <c r="D178" i="76"/>
  <c r="E178" i="76"/>
  <c r="F178" i="76"/>
  <c r="G178" i="76"/>
  <c r="H178" i="76"/>
  <c r="I178" i="76"/>
  <c r="J178" i="76"/>
  <c r="K178" i="76"/>
  <c r="L178" i="76"/>
  <c r="M178" i="76"/>
  <c r="N178" i="76"/>
  <c r="C181" i="76"/>
  <c r="D181" i="76"/>
  <c r="G181" i="76"/>
  <c r="H181" i="76"/>
  <c r="K181" i="76"/>
  <c r="L181" i="76"/>
  <c r="C183" i="76"/>
  <c r="D183" i="76"/>
  <c r="K183" i="76"/>
  <c r="L183" i="76"/>
  <c r="D185" i="76"/>
  <c r="H185" i="76"/>
  <c r="L185" i="76"/>
  <c r="C187" i="76"/>
  <c r="D187" i="76"/>
  <c r="E187" i="76"/>
  <c r="F187" i="76"/>
  <c r="G187" i="76"/>
  <c r="H187" i="76"/>
  <c r="I187" i="76"/>
  <c r="J187" i="76"/>
  <c r="K187" i="76"/>
  <c r="L187" i="76"/>
  <c r="M187" i="76"/>
  <c r="N187" i="76"/>
  <c r="C188" i="76"/>
  <c r="D188" i="76"/>
  <c r="E188" i="76"/>
  <c r="F188" i="76"/>
  <c r="G188" i="76"/>
  <c r="H188" i="76"/>
  <c r="H213" i="76" s="1"/>
  <c r="I188" i="76"/>
  <c r="J188" i="76"/>
  <c r="K188" i="76"/>
  <c r="L188" i="76"/>
  <c r="L213" i="76" s="1"/>
  <c r="M188" i="76"/>
  <c r="N188" i="76"/>
  <c r="C189" i="76"/>
  <c r="D189" i="76"/>
  <c r="E189" i="76"/>
  <c r="F189" i="76"/>
  <c r="G189" i="76"/>
  <c r="H189" i="76"/>
  <c r="H214" i="76" s="1"/>
  <c r="I189" i="76"/>
  <c r="J189" i="76"/>
  <c r="K189" i="76"/>
  <c r="L189" i="76"/>
  <c r="L214" i="76" s="1"/>
  <c r="M189" i="76"/>
  <c r="N189" i="76"/>
  <c r="C190" i="76"/>
  <c r="D190" i="76"/>
  <c r="E190" i="76"/>
  <c r="F190" i="76"/>
  <c r="G190" i="76"/>
  <c r="H190" i="76"/>
  <c r="I190" i="76"/>
  <c r="J190" i="76"/>
  <c r="K190" i="76"/>
  <c r="L190" i="76"/>
  <c r="M190" i="76"/>
  <c r="N190" i="76"/>
  <c r="C191" i="76"/>
  <c r="D191" i="76"/>
  <c r="E191" i="76"/>
  <c r="F191" i="76"/>
  <c r="G191" i="76"/>
  <c r="H191" i="76"/>
  <c r="I191" i="76"/>
  <c r="J191" i="76"/>
  <c r="K191" i="76"/>
  <c r="L191" i="76"/>
  <c r="M191" i="76"/>
  <c r="N191" i="76"/>
  <c r="C194" i="76"/>
  <c r="D194" i="76"/>
  <c r="E194" i="76"/>
  <c r="F194" i="76"/>
  <c r="G194" i="76"/>
  <c r="H194" i="76"/>
  <c r="I194" i="76"/>
  <c r="J194" i="76"/>
  <c r="K194" i="76"/>
  <c r="L194" i="76"/>
  <c r="M194" i="76"/>
  <c r="N194" i="76"/>
  <c r="C196" i="76"/>
  <c r="D196" i="76"/>
  <c r="K196" i="76"/>
  <c r="L196" i="76"/>
  <c r="D198" i="76"/>
  <c r="H198" i="76"/>
  <c r="L198" i="76"/>
  <c r="C200" i="76"/>
  <c r="D200" i="76"/>
  <c r="E200" i="76"/>
  <c r="F200" i="76"/>
  <c r="G200" i="76"/>
  <c r="H200" i="76"/>
  <c r="I200" i="76"/>
  <c r="J200" i="76"/>
  <c r="K200" i="76"/>
  <c r="L200" i="76"/>
  <c r="M200" i="76"/>
  <c r="N200" i="76"/>
  <c r="C201" i="76"/>
  <c r="D201" i="76"/>
  <c r="E201" i="76"/>
  <c r="F201" i="76"/>
  <c r="G201" i="76"/>
  <c r="H201" i="76"/>
  <c r="I201" i="76"/>
  <c r="J201" i="76"/>
  <c r="K201" i="76"/>
  <c r="L201" i="76"/>
  <c r="M201" i="76"/>
  <c r="N201" i="76"/>
  <c r="C202" i="76"/>
  <c r="D202" i="76"/>
  <c r="E202" i="76"/>
  <c r="F202" i="76"/>
  <c r="G202" i="76"/>
  <c r="H202" i="76"/>
  <c r="I202" i="76"/>
  <c r="J202" i="76"/>
  <c r="K202" i="76"/>
  <c r="L202" i="76"/>
  <c r="M202" i="76"/>
  <c r="N202" i="76"/>
  <c r="C203" i="76"/>
  <c r="D203" i="76"/>
  <c r="E203" i="76"/>
  <c r="F203" i="76"/>
  <c r="G203" i="76"/>
  <c r="H203" i="76"/>
  <c r="I203" i="76"/>
  <c r="J203" i="76"/>
  <c r="K203" i="76"/>
  <c r="L203" i="76"/>
  <c r="M203" i="76"/>
  <c r="N203" i="76"/>
  <c r="C204" i="76"/>
  <c r="D204" i="76"/>
  <c r="E204" i="76"/>
  <c r="F204" i="76"/>
  <c r="G204" i="76"/>
  <c r="H204" i="76"/>
  <c r="I204" i="76"/>
  <c r="J204" i="76"/>
  <c r="K204" i="76"/>
  <c r="L204" i="76"/>
  <c r="M204" i="76"/>
  <c r="N204" i="76"/>
  <c r="C207" i="76"/>
  <c r="D207" i="76"/>
  <c r="E207" i="76"/>
  <c r="F207" i="76"/>
  <c r="G207" i="76"/>
  <c r="H207" i="76"/>
  <c r="I207" i="76"/>
  <c r="J207" i="76"/>
  <c r="K207" i="76"/>
  <c r="L207" i="76"/>
  <c r="M207" i="76"/>
  <c r="N207" i="76"/>
  <c r="D213" i="76"/>
  <c r="D216" i="76" s="1"/>
  <c r="K213" i="76"/>
  <c r="K216" i="76" s="1"/>
  <c r="D214" i="76"/>
  <c r="J214" i="76"/>
  <c r="C215" i="76"/>
  <c r="D215" i="76"/>
  <c r="H215" i="76"/>
  <c r="L215" i="76"/>
  <c r="C216" i="76" l="1"/>
  <c r="G216" i="76"/>
  <c r="L216" i="76"/>
  <c r="H216" i="76"/>
  <c r="N180" i="76"/>
  <c r="N215" i="76" s="1"/>
  <c r="N216" i="76" s="1"/>
  <c r="J181" i="76"/>
  <c r="F181" i="76"/>
  <c r="J213" i="76"/>
  <c r="J216" i="76" s="1"/>
  <c r="M180" i="76"/>
  <c r="M181" i="76"/>
  <c r="I181" i="76"/>
  <c r="E181" i="76"/>
  <c r="K102" i="76"/>
  <c r="G102" i="76"/>
  <c r="C102" i="76"/>
  <c r="F213" i="76"/>
  <c r="F216" i="76" s="1"/>
  <c r="M215" i="76"/>
  <c r="I215" i="76"/>
  <c r="E215" i="76"/>
  <c r="M214" i="76"/>
  <c r="I214" i="76"/>
  <c r="E214" i="76"/>
  <c r="M213" i="76"/>
  <c r="I213" i="76"/>
  <c r="I216" i="76" s="1"/>
  <c r="E213" i="76"/>
  <c r="N68" i="1"/>
  <c r="D68" i="1"/>
  <c r="E68" i="1"/>
  <c r="F68" i="1"/>
  <c r="G68" i="1"/>
  <c r="H68" i="1"/>
  <c r="I68" i="1"/>
  <c r="J68" i="1"/>
  <c r="K68" i="1"/>
  <c r="L68" i="1"/>
  <c r="M68" i="1"/>
  <c r="C68" i="1"/>
  <c r="B176" i="1"/>
  <c r="M65" i="65"/>
  <c r="N65" i="65" s="1"/>
  <c r="M61" i="65"/>
  <c r="N61" i="65" s="1"/>
  <c r="N57" i="65"/>
  <c r="M56" i="65"/>
  <c r="N56" i="65" s="1"/>
  <c r="M52" i="65"/>
  <c r="N52" i="65" s="1"/>
  <c r="M51" i="65"/>
  <c r="N51" i="65" s="1"/>
  <c r="M50" i="65"/>
  <c r="N50" i="65" s="1"/>
  <c r="M49" i="65"/>
  <c r="N49" i="65" s="1"/>
  <c r="M48" i="65"/>
  <c r="N48" i="65" s="1"/>
  <c r="M45" i="65"/>
  <c r="N45" i="65" s="1"/>
  <c r="M33" i="65"/>
  <c r="N33" i="65" s="1"/>
  <c r="M30" i="65"/>
  <c r="N30" i="65" s="1"/>
  <c r="M21" i="65"/>
  <c r="N21" i="65" s="1"/>
  <c r="M20" i="65"/>
  <c r="N20" i="65" s="1"/>
  <c r="M19" i="65"/>
  <c r="N19" i="65" s="1"/>
  <c r="M18" i="65"/>
  <c r="N18" i="65" s="1"/>
  <c r="M17" i="65"/>
  <c r="N17" i="65" s="1"/>
  <c r="M16" i="65"/>
  <c r="N16" i="65" s="1"/>
  <c r="M11" i="65"/>
  <c r="N11" i="65" s="1"/>
  <c r="N10" i="65"/>
  <c r="M10" i="65"/>
  <c r="M9" i="65"/>
  <c r="N9" i="65" s="1"/>
  <c r="M8" i="65"/>
  <c r="N8" i="65" s="1"/>
  <c r="E216" i="76" l="1"/>
  <c r="N181" i="76"/>
  <c r="M216" i="76"/>
  <c r="M132" i="43"/>
  <c r="M137" i="43"/>
  <c r="M140" i="43"/>
  <c r="B25" i="63" l="1"/>
  <c r="B26" i="63"/>
  <c r="B27" i="63"/>
  <c r="B28" i="63"/>
  <c r="B29" i="63"/>
  <c r="B30" i="63"/>
  <c r="B31" i="63"/>
  <c r="B32" i="63"/>
  <c r="B33" i="63"/>
  <c r="B34" i="63"/>
  <c r="B35" i="63"/>
  <c r="B36" i="63"/>
  <c r="B37" i="63"/>
  <c r="B38" i="63"/>
  <c r="B39" i="63"/>
  <c r="B40" i="63"/>
  <c r="B41" i="63"/>
  <c r="B42" i="63"/>
  <c r="B43" i="63"/>
  <c r="B44" i="63"/>
  <c r="B45" i="63"/>
  <c r="B46" i="63"/>
  <c r="B47" i="63"/>
  <c r="B48" i="63"/>
  <c r="B49" i="63"/>
  <c r="B50" i="63"/>
  <c r="B51" i="63"/>
  <c r="B52" i="63"/>
  <c r="B53" i="63"/>
  <c r="B54" i="63"/>
  <c r="B55" i="63"/>
  <c r="B56" i="63"/>
  <c r="B57" i="63"/>
  <c r="B58" i="63"/>
  <c r="B59" i="63"/>
  <c r="B60" i="63"/>
  <c r="B61" i="63"/>
  <c r="B62" i="63"/>
  <c r="B63" i="63"/>
  <c r="B64" i="63"/>
  <c r="B65" i="63"/>
  <c r="B66" i="63"/>
  <c r="B67" i="63"/>
  <c r="B68" i="63"/>
  <c r="B24" i="63"/>
  <c r="D81" i="43" l="1"/>
  <c r="E81" i="43"/>
  <c r="F81" i="43"/>
  <c r="G81" i="43"/>
  <c r="H81" i="43"/>
  <c r="I81" i="43"/>
  <c r="J81" i="43"/>
  <c r="K81" i="43"/>
  <c r="L81" i="43"/>
  <c r="M81" i="43"/>
  <c r="N81" i="43"/>
  <c r="C81" i="43"/>
  <c r="D83" i="43"/>
  <c r="E83" i="43"/>
  <c r="F83" i="43"/>
  <c r="G83" i="43"/>
  <c r="H83" i="43"/>
  <c r="I83" i="43"/>
  <c r="J83" i="43"/>
  <c r="K83" i="43"/>
  <c r="L83" i="43"/>
  <c r="M83" i="43"/>
  <c r="N83" i="43"/>
  <c r="C83" i="43"/>
  <c r="O83" i="43" s="1"/>
  <c r="D9" i="79" l="1"/>
  <c r="E9" i="79"/>
  <c r="F9" i="79"/>
  <c r="G9" i="79"/>
  <c r="H9" i="79"/>
  <c r="I9" i="79"/>
  <c r="J9" i="79"/>
  <c r="K9" i="79"/>
  <c r="L9" i="79"/>
  <c r="M9" i="79"/>
  <c r="N9" i="79"/>
  <c r="C9" i="79"/>
  <c r="D33" i="43" l="1"/>
  <c r="E33" i="43"/>
  <c r="F33" i="43"/>
  <c r="G33" i="43"/>
  <c r="H33" i="43"/>
  <c r="I33" i="43"/>
  <c r="J33" i="43"/>
  <c r="K33" i="43"/>
  <c r="L33" i="43"/>
  <c r="M33" i="43"/>
  <c r="N33" i="43"/>
  <c r="C33" i="43"/>
  <c r="D82" i="43"/>
  <c r="E82" i="43"/>
  <c r="F82" i="43"/>
  <c r="G82" i="43"/>
  <c r="H82" i="43"/>
  <c r="I82" i="43"/>
  <c r="J82" i="43"/>
  <c r="K82" i="43"/>
  <c r="L82" i="43"/>
  <c r="M82" i="43"/>
  <c r="N82" i="43"/>
  <c r="C82" i="43"/>
  <c r="M62" i="88"/>
  <c r="N62" i="88"/>
  <c r="H62" i="88"/>
  <c r="I62" i="88"/>
  <c r="J62" i="88"/>
  <c r="K62" i="88"/>
  <c r="L62" i="88"/>
  <c r="D162" i="88"/>
  <c r="E162" i="88"/>
  <c r="E163" i="88" s="1"/>
  <c r="F162" i="88"/>
  <c r="F164" i="88" s="1"/>
  <c r="G162" i="88"/>
  <c r="G164" i="88" s="1"/>
  <c r="H162" i="88"/>
  <c r="I162" i="88"/>
  <c r="I163" i="88" s="1"/>
  <c r="J162" i="88"/>
  <c r="J164" i="88" s="1"/>
  <c r="K162" i="88"/>
  <c r="K164" i="88" s="1"/>
  <c r="L162" i="88"/>
  <c r="M162" i="88"/>
  <c r="M163" i="88" s="1"/>
  <c r="N162" i="88"/>
  <c r="N164" i="88" s="1"/>
  <c r="D163" i="88"/>
  <c r="H163" i="88"/>
  <c r="L163" i="88"/>
  <c r="D164" i="88"/>
  <c r="E164" i="88"/>
  <c r="H164" i="88"/>
  <c r="I164" i="88"/>
  <c r="L164" i="88"/>
  <c r="M164" i="88"/>
  <c r="D165" i="88"/>
  <c r="E165" i="88"/>
  <c r="F165" i="88"/>
  <c r="G165" i="88"/>
  <c r="H165" i="88"/>
  <c r="I165" i="88"/>
  <c r="J165" i="88"/>
  <c r="K165" i="88"/>
  <c r="L165" i="88"/>
  <c r="M165" i="88"/>
  <c r="N165" i="88"/>
  <c r="D166" i="88"/>
  <c r="E166" i="88"/>
  <c r="F166" i="88"/>
  <c r="G166" i="88"/>
  <c r="H166" i="88"/>
  <c r="I166" i="88"/>
  <c r="J166" i="88"/>
  <c r="K166" i="88"/>
  <c r="L166" i="88"/>
  <c r="M166" i="88"/>
  <c r="N166" i="88"/>
  <c r="D167" i="88"/>
  <c r="H167" i="88"/>
  <c r="L167" i="88"/>
  <c r="D175" i="88"/>
  <c r="D177" i="88" s="1"/>
  <c r="E175" i="88"/>
  <c r="E176" i="88" s="1"/>
  <c r="F175" i="88"/>
  <c r="F177" i="88" s="1"/>
  <c r="G175" i="88"/>
  <c r="G177" i="88" s="1"/>
  <c r="H175" i="88"/>
  <c r="I175" i="88"/>
  <c r="I176" i="88" s="1"/>
  <c r="J175" i="88"/>
  <c r="J177" i="88" s="1"/>
  <c r="K175" i="88"/>
  <c r="K177" i="88" s="1"/>
  <c r="L175" i="88"/>
  <c r="L177" i="88" s="1"/>
  <c r="M175" i="88"/>
  <c r="M176" i="88" s="1"/>
  <c r="N175" i="88"/>
  <c r="N177" i="88" s="1"/>
  <c r="H176" i="88"/>
  <c r="L176" i="88"/>
  <c r="H177" i="88"/>
  <c r="I177" i="88"/>
  <c r="D178" i="88"/>
  <c r="E178" i="88"/>
  <c r="F178" i="88"/>
  <c r="G178" i="88"/>
  <c r="H178" i="88"/>
  <c r="I178" i="88"/>
  <c r="J178" i="88"/>
  <c r="K178" i="88"/>
  <c r="L178" i="88"/>
  <c r="M178" i="88"/>
  <c r="N178" i="88"/>
  <c r="H180" i="88"/>
  <c r="L180" i="88"/>
  <c r="C175" i="88"/>
  <c r="C162" i="88"/>
  <c r="D173" i="88"/>
  <c r="E173" i="88"/>
  <c r="F173" i="88"/>
  <c r="G173" i="88"/>
  <c r="H173" i="88"/>
  <c r="I173" i="88"/>
  <c r="J173" i="88"/>
  <c r="K173" i="88"/>
  <c r="L173" i="88"/>
  <c r="M173" i="88"/>
  <c r="N173" i="88"/>
  <c r="D160" i="88"/>
  <c r="E160" i="88"/>
  <c r="F160" i="88"/>
  <c r="G160" i="88"/>
  <c r="H160" i="88"/>
  <c r="I160" i="88"/>
  <c r="J160" i="88"/>
  <c r="K160" i="88"/>
  <c r="L160" i="88"/>
  <c r="M160" i="88"/>
  <c r="N160" i="88"/>
  <c r="C166" i="88"/>
  <c r="C161" i="88"/>
  <c r="C160" i="88"/>
  <c r="C173" i="88" s="1"/>
  <c r="C159" i="88"/>
  <c r="C172" i="88" s="1"/>
  <c r="C158" i="88"/>
  <c r="C171" i="88" s="1"/>
  <c r="C157" i="88"/>
  <c r="C170" i="88" s="1"/>
  <c r="I8" i="88"/>
  <c r="K8" i="88"/>
  <c r="J8" i="88"/>
  <c r="H9" i="88"/>
  <c r="G8" i="88"/>
  <c r="H42" i="88"/>
  <c r="I42" i="88"/>
  <c r="J42" i="88"/>
  <c r="K42" i="88"/>
  <c r="L42" i="88"/>
  <c r="M42" i="88"/>
  <c r="N42" i="88"/>
  <c r="G42" i="88"/>
  <c r="I9" i="88"/>
  <c r="J9" i="88"/>
  <c r="K9" i="88"/>
  <c r="L9" i="88"/>
  <c r="M9" i="88"/>
  <c r="N9" i="88"/>
  <c r="G9" i="88"/>
  <c r="D152" i="88"/>
  <c r="E152" i="88"/>
  <c r="F152" i="88"/>
  <c r="G152" i="88"/>
  <c r="H152" i="88"/>
  <c r="I152" i="88"/>
  <c r="J152" i="88"/>
  <c r="K152" i="88"/>
  <c r="L152" i="88"/>
  <c r="M152" i="88"/>
  <c r="N152" i="88"/>
  <c r="D147" i="88"/>
  <c r="E147" i="88"/>
  <c r="F147" i="88"/>
  <c r="G147" i="88"/>
  <c r="H147" i="88"/>
  <c r="I147" i="88"/>
  <c r="J147" i="88"/>
  <c r="K147" i="88"/>
  <c r="L147" i="88"/>
  <c r="M147" i="88"/>
  <c r="N147" i="88"/>
  <c r="C154" i="88"/>
  <c r="C152" i="88"/>
  <c r="C147" i="88"/>
  <c r="C148" i="88" s="1"/>
  <c r="C149" i="88" s="1"/>
  <c r="C146" i="88"/>
  <c r="D180" i="88" l="1"/>
  <c r="M177" i="88"/>
  <c r="E177" i="88"/>
  <c r="D176" i="88"/>
  <c r="O33" i="43"/>
  <c r="Q33" i="43" s="1"/>
  <c r="K167" i="88"/>
  <c r="G167" i="88"/>
  <c r="K163" i="88"/>
  <c r="G163" i="88"/>
  <c r="N167" i="88"/>
  <c r="J167" i="88"/>
  <c r="F167" i="88"/>
  <c r="N163" i="88"/>
  <c r="J163" i="88"/>
  <c r="F163" i="88"/>
  <c r="M167" i="88"/>
  <c r="I167" i="88"/>
  <c r="E167" i="88"/>
  <c r="K180" i="88"/>
  <c r="G180" i="88"/>
  <c r="K176" i="88"/>
  <c r="G176" i="88"/>
  <c r="N180" i="88"/>
  <c r="J180" i="88"/>
  <c r="F180" i="88"/>
  <c r="N176" i="88"/>
  <c r="J176" i="88"/>
  <c r="F176" i="88"/>
  <c r="M180" i="88"/>
  <c r="I180" i="88"/>
  <c r="E180" i="88"/>
  <c r="C164" i="88"/>
  <c r="C168" i="88" s="1"/>
  <c r="C167" i="88"/>
  <c r="C163" i="88"/>
  <c r="C174" i="88"/>
  <c r="C165" i="88"/>
  <c r="C151" i="88"/>
  <c r="C150" i="88"/>
  <c r="C178" i="88" l="1"/>
  <c r="D8" i="94"/>
  <c r="E8" i="94"/>
  <c r="F8" i="94"/>
  <c r="G8" i="94"/>
  <c r="H8" i="94"/>
  <c r="I8" i="94"/>
  <c r="J8" i="94"/>
  <c r="K8" i="94"/>
  <c r="L8" i="94"/>
  <c r="M8" i="94"/>
  <c r="N8" i="94"/>
  <c r="C8" i="94"/>
  <c r="D8" i="90"/>
  <c r="E8" i="90"/>
  <c r="F8" i="90"/>
  <c r="G8" i="90"/>
  <c r="H8" i="90"/>
  <c r="I8" i="90"/>
  <c r="J8" i="90"/>
  <c r="K8" i="90"/>
  <c r="L8" i="90"/>
  <c r="M8" i="90"/>
  <c r="N8" i="90"/>
  <c r="C8" i="90"/>
  <c r="C168" i="46"/>
  <c r="D168" i="46"/>
  <c r="B168" i="46"/>
  <c r="C177" i="88" l="1"/>
  <c r="C180" i="88"/>
  <c r="C176" i="88"/>
  <c r="C9" i="80"/>
  <c r="D9" i="80"/>
  <c r="E9" i="80"/>
  <c r="F9" i="80"/>
  <c r="G9" i="80"/>
  <c r="H9" i="80"/>
  <c r="M72" i="88"/>
  <c r="N72" i="88"/>
  <c r="I72" i="88"/>
  <c r="J57" i="88"/>
  <c r="K57" i="88"/>
  <c r="L57" i="88"/>
  <c r="M57" i="88"/>
  <c r="N57" i="88"/>
  <c r="K67" i="88"/>
  <c r="L67" i="88"/>
  <c r="M67" i="88"/>
  <c r="N67" i="88"/>
  <c r="J67" i="88"/>
  <c r="I63" i="88"/>
  <c r="J63" i="88"/>
  <c r="K63" i="88"/>
  <c r="L63" i="88"/>
  <c r="M63" i="88"/>
  <c r="N63" i="88"/>
  <c r="D34" i="43" l="1"/>
  <c r="E34" i="43"/>
  <c r="F34" i="43"/>
  <c r="G34" i="43"/>
  <c r="H34" i="43"/>
  <c r="J34" i="43"/>
  <c r="L34" i="43"/>
  <c r="M34" i="43"/>
  <c r="N34" i="43"/>
  <c r="C174" i="46"/>
  <c r="A168" i="46"/>
  <c r="K34" i="43"/>
  <c r="L8" i="88"/>
  <c r="M8" i="88"/>
  <c r="N8" i="88"/>
  <c r="I34" i="43"/>
  <c r="D52" i="43"/>
  <c r="E52" i="43"/>
  <c r="F52" i="43"/>
  <c r="G52" i="43"/>
  <c r="H52" i="43"/>
  <c r="I52" i="43"/>
  <c r="J52" i="43"/>
  <c r="K52" i="43"/>
  <c r="L52" i="43"/>
  <c r="M52" i="43"/>
  <c r="N52" i="43"/>
  <c r="C52" i="43"/>
  <c r="D51" i="43"/>
  <c r="E51" i="43"/>
  <c r="F51" i="43"/>
  <c r="G51" i="43"/>
  <c r="H51" i="43"/>
  <c r="I51" i="43"/>
  <c r="J51" i="43"/>
  <c r="K51" i="43"/>
  <c r="L51" i="43"/>
  <c r="M51" i="43"/>
  <c r="N51" i="43"/>
  <c r="C51" i="43"/>
  <c r="O52" i="43" l="1"/>
  <c r="Q52" i="43" s="1"/>
  <c r="O51" i="43"/>
  <c r="Q51" i="43" s="1"/>
  <c r="C12" i="99"/>
  <c r="J73" i="65" l="1"/>
  <c r="B254" i="82"/>
  <c r="B241" i="82"/>
  <c r="B215" i="82"/>
  <c r="B124" i="79"/>
  <c r="B137" i="79"/>
  <c r="A73" i="65"/>
  <c r="B25" i="97" l="1"/>
  <c r="D42" i="82"/>
  <c r="E42" i="82"/>
  <c r="F42" i="82"/>
  <c r="G42" i="82"/>
  <c r="H42" i="82"/>
  <c r="I42" i="82"/>
  <c r="J42" i="82"/>
  <c r="K42" i="82"/>
  <c r="L42" i="82"/>
  <c r="M42" i="82"/>
  <c r="N42" i="82"/>
  <c r="C42" i="82"/>
  <c r="C63" i="1"/>
  <c r="B12" i="96" l="1"/>
  <c r="B9" i="96"/>
  <c r="D89" i="91"/>
  <c r="E89" i="91"/>
  <c r="F89" i="91"/>
  <c r="G89" i="91"/>
  <c r="H89" i="91"/>
  <c r="I89" i="91"/>
  <c r="J89" i="91"/>
  <c r="K89" i="91"/>
  <c r="L89" i="91"/>
  <c r="M89" i="91"/>
  <c r="N89" i="91"/>
  <c r="C89" i="91"/>
  <c r="C98" i="91"/>
  <c r="D88" i="91"/>
  <c r="E88" i="91"/>
  <c r="F88" i="91"/>
  <c r="G88" i="91"/>
  <c r="H88" i="91"/>
  <c r="I88" i="91"/>
  <c r="J88" i="91"/>
  <c r="K88" i="91"/>
  <c r="L88" i="91"/>
  <c r="M88" i="91"/>
  <c r="N88" i="91"/>
  <c r="C88" i="91"/>
  <c r="D94" i="91" l="1"/>
  <c r="E94" i="91"/>
  <c r="F94" i="91"/>
  <c r="G94" i="91"/>
  <c r="H94" i="91"/>
  <c r="I94" i="91"/>
  <c r="J94" i="91"/>
  <c r="K94" i="91"/>
  <c r="L94" i="91"/>
  <c r="M94" i="91"/>
  <c r="N94" i="91"/>
  <c r="C94" i="91"/>
  <c r="B6" i="96"/>
  <c r="E65" i="1"/>
  <c r="F65" i="1"/>
  <c r="G65" i="1"/>
  <c r="H65" i="1"/>
  <c r="I65" i="1"/>
  <c r="J65" i="1"/>
  <c r="K65" i="1"/>
  <c r="L65" i="1"/>
  <c r="M65" i="1"/>
  <c r="N65" i="1"/>
  <c r="D65" i="1"/>
  <c r="C65" i="1"/>
  <c r="D44" i="43" l="1"/>
  <c r="E44" i="43"/>
  <c r="F44" i="43"/>
  <c r="G44" i="43"/>
  <c r="H44" i="43"/>
  <c r="I44" i="43"/>
  <c r="J44" i="43"/>
  <c r="K44" i="43"/>
  <c r="L44" i="43"/>
  <c r="M44" i="43"/>
  <c r="N44" i="43"/>
  <c r="C44" i="43"/>
  <c r="O44" i="43" l="1"/>
  <c r="Q44" i="43" s="1"/>
  <c r="D10" i="80"/>
  <c r="E10" i="80"/>
  <c r="F10" i="80"/>
  <c r="G10" i="80"/>
  <c r="H10" i="80"/>
  <c r="I10" i="80"/>
  <c r="J10" i="80"/>
  <c r="K10" i="80"/>
  <c r="L10" i="80"/>
  <c r="M10" i="80"/>
  <c r="N10" i="80"/>
  <c r="C10" i="80"/>
  <c r="D10" i="82"/>
  <c r="E10" i="82"/>
  <c r="F10" i="82"/>
  <c r="G10" i="82"/>
  <c r="H10" i="82"/>
  <c r="I10" i="82"/>
  <c r="J10" i="82"/>
  <c r="K10" i="82"/>
  <c r="L10" i="82"/>
  <c r="M10" i="82"/>
  <c r="N10" i="82"/>
  <c r="C10" i="82"/>
  <c r="B176" i="89" l="1"/>
  <c r="B177" i="89"/>
  <c r="B163" i="94"/>
  <c r="B164" i="94"/>
  <c r="B255" i="82"/>
  <c r="B242" i="82"/>
  <c r="B216" i="82"/>
  <c r="B163" i="82"/>
  <c r="B164" i="82"/>
  <c r="B138" i="79"/>
  <c r="B125" i="79"/>
  <c r="C134" i="77"/>
  <c r="C369" i="82"/>
  <c r="C370" i="82" s="1"/>
  <c r="C371" i="82" s="1"/>
  <c r="C373" i="82"/>
  <c r="C374" i="82"/>
  <c r="C379" i="82"/>
  <c r="D148" i="75"/>
  <c r="D149" i="75" s="1"/>
  <c r="D151" i="75" s="1"/>
  <c r="E148" i="75"/>
  <c r="F148" i="75"/>
  <c r="F149" i="75" s="1"/>
  <c r="G148" i="75"/>
  <c r="G149" i="75" s="1"/>
  <c r="H148" i="75"/>
  <c r="H149" i="75" s="1"/>
  <c r="H151" i="75" s="1"/>
  <c r="I148" i="75"/>
  <c r="J148" i="75"/>
  <c r="J149" i="75" s="1"/>
  <c r="K148" i="75"/>
  <c r="K149" i="75" s="1"/>
  <c r="L148" i="75"/>
  <c r="L149" i="75" s="1"/>
  <c r="L151" i="75" s="1"/>
  <c r="M148" i="75"/>
  <c r="N148" i="75"/>
  <c r="N149" i="75" s="1"/>
  <c r="D152" i="75"/>
  <c r="G152" i="75"/>
  <c r="H152" i="75"/>
  <c r="J152" i="75"/>
  <c r="K152" i="75"/>
  <c r="C148" i="75"/>
  <c r="C152" i="75" s="1"/>
  <c r="B40" i="96"/>
  <c r="B39" i="96"/>
  <c r="B38" i="96"/>
  <c r="B27" i="96"/>
  <c r="B33" i="96"/>
  <c r="B32" i="96"/>
  <c r="B28" i="96"/>
  <c r="B31" i="96"/>
  <c r="B29" i="96"/>
  <c r="B26" i="96"/>
  <c r="B18" i="96"/>
  <c r="B10" i="96"/>
  <c r="B22" i="96"/>
  <c r="B7" i="96"/>
  <c r="B20" i="96"/>
  <c r="B19" i="96"/>
  <c r="B11" i="96"/>
  <c r="B5" i="96"/>
  <c r="B8" i="96"/>
  <c r="B4" i="96"/>
  <c r="N132" i="43"/>
  <c r="D132" i="43"/>
  <c r="E132" i="43"/>
  <c r="F132" i="43"/>
  <c r="G132" i="43"/>
  <c r="H132" i="43"/>
  <c r="I132" i="43"/>
  <c r="J132" i="43"/>
  <c r="K132" i="43"/>
  <c r="L132" i="43"/>
  <c r="C132" i="43"/>
  <c r="N152" i="75" l="1"/>
  <c r="C149" i="75"/>
  <c r="M149" i="75"/>
  <c r="M150" i="75" s="1"/>
  <c r="M152" i="75"/>
  <c r="I149" i="75"/>
  <c r="I150" i="75" s="1"/>
  <c r="I152" i="75"/>
  <c r="E149" i="75"/>
  <c r="E151" i="75" s="1"/>
  <c r="E152" i="75"/>
  <c r="F152" i="75"/>
  <c r="L152" i="75"/>
  <c r="C372" i="82"/>
  <c r="C375" i="82"/>
  <c r="J150" i="75"/>
  <c r="J151" i="75"/>
  <c r="J154" i="75"/>
  <c r="F151" i="75"/>
  <c r="F150" i="75"/>
  <c r="N151" i="75"/>
  <c r="N150" i="75"/>
  <c r="N154" i="75"/>
  <c r="F154" i="75"/>
  <c r="K151" i="75"/>
  <c r="K150" i="75"/>
  <c r="K154" i="75"/>
  <c r="G151" i="75"/>
  <c r="G150" i="75"/>
  <c r="G154" i="75"/>
  <c r="L154" i="75"/>
  <c r="H154" i="75"/>
  <c r="D154" i="75"/>
  <c r="L150" i="75"/>
  <c r="H150" i="75"/>
  <c r="D150" i="75"/>
  <c r="C150" i="75"/>
  <c r="C154" i="75"/>
  <c r="C151" i="75"/>
  <c r="B41" i="96"/>
  <c r="B21" i="96"/>
  <c r="N379" i="82"/>
  <c r="N392" i="82" s="1"/>
  <c r="N405" i="82" s="1"/>
  <c r="M379" i="82"/>
  <c r="M392" i="82" s="1"/>
  <c r="M405" i="82" s="1"/>
  <c r="L379" i="82"/>
  <c r="L392" i="82" s="1"/>
  <c r="L405" i="82" s="1"/>
  <c r="K379" i="82"/>
  <c r="K392" i="82" s="1"/>
  <c r="K405" i="82" s="1"/>
  <c r="J379" i="82"/>
  <c r="J392" i="82" s="1"/>
  <c r="J405" i="82" s="1"/>
  <c r="I379" i="82"/>
  <c r="I392" i="82" s="1"/>
  <c r="I405" i="82" s="1"/>
  <c r="H379" i="82"/>
  <c r="H392" i="82" s="1"/>
  <c r="H405" i="82" s="1"/>
  <c r="G379" i="82"/>
  <c r="G392" i="82" s="1"/>
  <c r="G405" i="82" s="1"/>
  <c r="F379" i="82"/>
  <c r="F392" i="82" s="1"/>
  <c r="F405" i="82" s="1"/>
  <c r="E379" i="82"/>
  <c r="E392" i="82" s="1"/>
  <c r="E405" i="82" s="1"/>
  <c r="D379" i="82"/>
  <c r="D392" i="82" s="1"/>
  <c r="D405" i="82" s="1"/>
  <c r="C392" i="82"/>
  <c r="C405" i="82" s="1"/>
  <c r="C407" i="82"/>
  <c r="D407" i="82"/>
  <c r="E407" i="82"/>
  <c r="F407" i="82"/>
  <c r="G407" i="82"/>
  <c r="H407" i="82"/>
  <c r="I407" i="82"/>
  <c r="J407" i="82"/>
  <c r="J408" i="82" s="1"/>
  <c r="K407" i="82"/>
  <c r="L407" i="82"/>
  <c r="M407" i="82"/>
  <c r="N407" i="82"/>
  <c r="C408" i="82"/>
  <c r="D408" i="82"/>
  <c r="E408" i="82"/>
  <c r="F408" i="82"/>
  <c r="G408" i="82"/>
  <c r="H408" i="82"/>
  <c r="I408" i="82"/>
  <c r="K408" i="82"/>
  <c r="L408" i="82"/>
  <c r="M408" i="82"/>
  <c r="N408" i="82"/>
  <c r="C409" i="82"/>
  <c r="D409" i="82"/>
  <c r="E409" i="82"/>
  <c r="F409" i="82"/>
  <c r="G409" i="82"/>
  <c r="H409" i="82"/>
  <c r="I409" i="82"/>
  <c r="K409" i="82"/>
  <c r="L409" i="82"/>
  <c r="M409" i="82"/>
  <c r="N409" i="82"/>
  <c r="C410" i="82"/>
  <c r="D410" i="82"/>
  <c r="E410" i="82"/>
  <c r="F410" i="82"/>
  <c r="G410" i="82"/>
  <c r="H410" i="82"/>
  <c r="I410" i="82"/>
  <c r="K410" i="82"/>
  <c r="L410" i="82"/>
  <c r="M410" i="82"/>
  <c r="N410" i="82"/>
  <c r="C411" i="82"/>
  <c r="D411" i="82"/>
  <c r="E411" i="82"/>
  <c r="F411" i="82"/>
  <c r="G411" i="82"/>
  <c r="H411" i="82"/>
  <c r="I411" i="82"/>
  <c r="J411" i="82"/>
  <c r="K411" i="82"/>
  <c r="L411" i="82"/>
  <c r="M411" i="82"/>
  <c r="N411" i="82"/>
  <c r="K49" i="65"/>
  <c r="L49" i="65"/>
  <c r="G49" i="65"/>
  <c r="D74" i="43"/>
  <c r="E74" i="43"/>
  <c r="F74" i="43"/>
  <c r="G74" i="43"/>
  <c r="H74" i="43"/>
  <c r="I74" i="43"/>
  <c r="J74" i="43"/>
  <c r="K74" i="43"/>
  <c r="L74" i="43"/>
  <c r="M74" i="43"/>
  <c r="N74" i="43"/>
  <c r="D75" i="43"/>
  <c r="E75" i="43"/>
  <c r="F75" i="43"/>
  <c r="G75" i="43"/>
  <c r="H75" i="43"/>
  <c r="I75" i="43"/>
  <c r="J75" i="43"/>
  <c r="K75" i="43"/>
  <c r="L75" i="43"/>
  <c r="M75" i="43"/>
  <c r="N75" i="43"/>
  <c r="D76" i="43"/>
  <c r="E76" i="43"/>
  <c r="F76" i="43"/>
  <c r="G76" i="43"/>
  <c r="H76" i="43"/>
  <c r="I76" i="43"/>
  <c r="J76" i="43"/>
  <c r="K76" i="43"/>
  <c r="L76" i="43"/>
  <c r="M76" i="43"/>
  <c r="N76" i="43"/>
  <c r="I77" i="43"/>
  <c r="C76" i="43"/>
  <c r="C75" i="43"/>
  <c r="C74" i="43"/>
  <c r="D23" i="95"/>
  <c r="D77" i="43" s="1"/>
  <c r="E23" i="95"/>
  <c r="E77" i="43" s="1"/>
  <c r="F23" i="95"/>
  <c r="F77" i="43" s="1"/>
  <c r="G23" i="95"/>
  <c r="G77" i="43" s="1"/>
  <c r="H23" i="95"/>
  <c r="H77" i="43" s="1"/>
  <c r="I23" i="95"/>
  <c r="J23" i="95"/>
  <c r="J77" i="43" s="1"/>
  <c r="K23" i="95"/>
  <c r="K77" i="43" s="1"/>
  <c r="L23" i="95"/>
  <c r="L77" i="43" s="1"/>
  <c r="M23" i="95"/>
  <c r="M77" i="43" s="1"/>
  <c r="N23" i="95"/>
  <c r="N77" i="43" s="1"/>
  <c r="C23" i="95"/>
  <c r="C77" i="43" s="1"/>
  <c r="D57" i="95"/>
  <c r="E57" i="95"/>
  <c r="F57" i="95"/>
  <c r="G57" i="95"/>
  <c r="H57" i="95"/>
  <c r="I57" i="95"/>
  <c r="J57" i="95"/>
  <c r="K57" i="95"/>
  <c r="L57" i="95"/>
  <c r="M57" i="95"/>
  <c r="N57" i="95"/>
  <c r="C57" i="95"/>
  <c r="H65" i="75"/>
  <c r="N42" i="75"/>
  <c r="M42" i="75"/>
  <c r="E42" i="75"/>
  <c r="F42" i="75"/>
  <c r="G42" i="75"/>
  <c r="H42" i="75"/>
  <c r="I42" i="75"/>
  <c r="J42" i="75"/>
  <c r="K42" i="75"/>
  <c r="L42" i="75"/>
  <c r="D42" i="75"/>
  <c r="C42" i="75"/>
  <c r="D41" i="75"/>
  <c r="E41" i="75"/>
  <c r="F41" i="75"/>
  <c r="G41" i="75"/>
  <c r="H41" i="75"/>
  <c r="I41" i="75"/>
  <c r="J41" i="75"/>
  <c r="K41" i="75"/>
  <c r="L41" i="75"/>
  <c r="M41" i="75"/>
  <c r="N41" i="75"/>
  <c r="C41" i="75"/>
  <c r="B115" i="43"/>
  <c r="D43" i="43"/>
  <c r="E43" i="43"/>
  <c r="F43" i="43"/>
  <c r="G43" i="43"/>
  <c r="H43" i="43"/>
  <c r="I43" i="43"/>
  <c r="J43" i="43"/>
  <c r="K43" i="43"/>
  <c r="L43" i="43"/>
  <c r="M43" i="43"/>
  <c r="N43" i="43"/>
  <c r="C43" i="43"/>
  <c r="D39" i="43"/>
  <c r="E39" i="43"/>
  <c r="F39" i="43"/>
  <c r="G39" i="43"/>
  <c r="H39" i="43"/>
  <c r="I39" i="43"/>
  <c r="J39" i="43"/>
  <c r="K39" i="43"/>
  <c r="L39" i="43"/>
  <c r="M39" i="43"/>
  <c r="N39" i="43"/>
  <c r="C39" i="43"/>
  <c r="D79" i="43"/>
  <c r="E79" i="43"/>
  <c r="F79" i="43"/>
  <c r="G79" i="43"/>
  <c r="H79" i="43"/>
  <c r="I79" i="43"/>
  <c r="J79" i="43"/>
  <c r="K79" i="43"/>
  <c r="L79" i="43"/>
  <c r="M79" i="43"/>
  <c r="N79" i="43"/>
  <c r="D80" i="43"/>
  <c r="E80" i="43"/>
  <c r="F80" i="43"/>
  <c r="G80" i="43"/>
  <c r="H80" i="43"/>
  <c r="I80" i="43"/>
  <c r="J80" i="43"/>
  <c r="K80" i="43"/>
  <c r="L80" i="43"/>
  <c r="M80" i="43"/>
  <c r="N80" i="43"/>
  <c r="D84" i="43"/>
  <c r="E84" i="43"/>
  <c r="F84" i="43"/>
  <c r="G84" i="43"/>
  <c r="H84" i="43"/>
  <c r="I84" i="43"/>
  <c r="J84" i="43"/>
  <c r="K84" i="43"/>
  <c r="L84" i="43"/>
  <c r="M84" i="43"/>
  <c r="N84" i="43"/>
  <c r="D85" i="43"/>
  <c r="E85" i="43"/>
  <c r="F85" i="43"/>
  <c r="G85" i="43"/>
  <c r="H85" i="43"/>
  <c r="I85" i="43"/>
  <c r="J85" i="43"/>
  <c r="K85" i="43"/>
  <c r="L85" i="43"/>
  <c r="M85" i="43"/>
  <c r="N85" i="43"/>
  <c r="D86" i="43"/>
  <c r="E86" i="43"/>
  <c r="F86" i="43"/>
  <c r="G86" i="43"/>
  <c r="H86" i="43"/>
  <c r="I86" i="43"/>
  <c r="J86" i="43"/>
  <c r="K86" i="43"/>
  <c r="L86" i="43"/>
  <c r="M86" i="43"/>
  <c r="N86" i="43"/>
  <c r="C80" i="43"/>
  <c r="C84" i="43"/>
  <c r="C85" i="43"/>
  <c r="C86" i="43"/>
  <c r="C79" i="43"/>
  <c r="D23" i="43"/>
  <c r="E23" i="43"/>
  <c r="F23" i="43"/>
  <c r="G23" i="43"/>
  <c r="H23" i="43"/>
  <c r="I23" i="43"/>
  <c r="J23" i="43"/>
  <c r="K23" i="43"/>
  <c r="L23" i="43"/>
  <c r="M23" i="43"/>
  <c r="N23" i="43"/>
  <c r="C23" i="43"/>
  <c r="I22" i="43"/>
  <c r="J22" i="43"/>
  <c r="K22" i="43"/>
  <c r="L22" i="43"/>
  <c r="M22" i="43"/>
  <c r="N22" i="43"/>
  <c r="I154" i="75" l="1"/>
  <c r="O84" i="43"/>
  <c r="Q84" i="43" s="1"/>
  <c r="J409" i="82"/>
  <c r="J410" i="82"/>
  <c r="C376" i="82"/>
  <c r="E150" i="75"/>
  <c r="C29" i="96"/>
  <c r="M186" i="90" s="1"/>
  <c r="C16" i="96"/>
  <c r="M151" i="75"/>
  <c r="O76" i="43"/>
  <c r="Q76" i="43" s="1"/>
  <c r="O77" i="43"/>
  <c r="Q77" i="43" s="1"/>
  <c r="J186" i="90"/>
  <c r="G186" i="90"/>
  <c r="O74" i="43"/>
  <c r="Q74" i="43" s="1"/>
  <c r="E154" i="75"/>
  <c r="M154" i="75"/>
  <c r="O75" i="43"/>
  <c r="Q75" i="43" s="1"/>
  <c r="I151" i="75"/>
  <c r="C32" i="96"/>
  <c r="C30" i="96"/>
  <c r="C38" i="96"/>
  <c r="C31" i="96"/>
  <c r="C35" i="96"/>
  <c r="C14" i="96"/>
  <c r="C37" i="96"/>
  <c r="C28" i="96"/>
  <c r="C15" i="96"/>
  <c r="C33" i="96"/>
  <c r="C17" i="96"/>
  <c r="C4" i="96"/>
  <c r="C34" i="96"/>
  <c r="C13" i="96"/>
  <c r="C11" i="96"/>
  <c r="C27" i="96"/>
  <c r="C6" i="96"/>
  <c r="C18" i="96"/>
  <c r="C12" i="96"/>
  <c r="C26" i="96"/>
  <c r="C40" i="96"/>
  <c r="C20" i="96"/>
  <c r="C10" i="96"/>
  <c r="C7" i="96"/>
  <c r="C39" i="96"/>
  <c r="C9" i="96"/>
  <c r="C8" i="96"/>
  <c r="C19" i="96"/>
  <c r="C5" i="96"/>
  <c r="O43" i="43"/>
  <c r="Q43" i="43" s="1"/>
  <c r="O23" i="43"/>
  <c r="Q23" i="43" s="1"/>
  <c r="H186" i="90" l="1"/>
  <c r="E186" i="90"/>
  <c r="N186" i="90"/>
  <c r="L186" i="90"/>
  <c r="F186" i="90"/>
  <c r="D186" i="90"/>
  <c r="I186" i="90"/>
  <c r="C186" i="90"/>
  <c r="K186" i="90"/>
  <c r="E217" i="91"/>
  <c r="E230" i="91" s="1"/>
  <c r="I217" i="91"/>
  <c r="I230" i="91" s="1"/>
  <c r="M217" i="91"/>
  <c r="M230" i="91" s="1"/>
  <c r="D217" i="91"/>
  <c r="D230" i="91" s="1"/>
  <c r="L217" i="91"/>
  <c r="L230" i="91" s="1"/>
  <c r="F217" i="91"/>
  <c r="F230" i="91" s="1"/>
  <c r="J217" i="91"/>
  <c r="J230" i="91" s="1"/>
  <c r="N217" i="91"/>
  <c r="N230" i="91" s="1"/>
  <c r="G217" i="91"/>
  <c r="G230" i="91" s="1"/>
  <c r="K217" i="91"/>
  <c r="K230" i="91" s="1"/>
  <c r="H217" i="91"/>
  <c r="H230" i="91" s="1"/>
  <c r="C217" i="91"/>
  <c r="C230" i="91" s="1"/>
  <c r="D108" i="90"/>
  <c r="H108" i="90"/>
  <c r="L108" i="90"/>
  <c r="E108" i="90"/>
  <c r="I108" i="90"/>
  <c r="M108" i="90"/>
  <c r="F108" i="90"/>
  <c r="N108" i="90"/>
  <c r="G108" i="90"/>
  <c r="G173" i="90" s="1"/>
  <c r="G174" i="90" s="1"/>
  <c r="C108" i="90"/>
  <c r="J108" i="90"/>
  <c r="K108" i="90"/>
  <c r="F108" i="89"/>
  <c r="J108" i="89"/>
  <c r="N108" i="89"/>
  <c r="G108" i="89"/>
  <c r="K108" i="89"/>
  <c r="C108" i="89"/>
  <c r="D108" i="89"/>
  <c r="L108" i="89"/>
  <c r="E108" i="89"/>
  <c r="M108" i="89"/>
  <c r="I108" i="89"/>
  <c r="H108" i="89"/>
  <c r="F212" i="80"/>
  <c r="F186" i="80" s="1"/>
  <c r="J212" i="80"/>
  <c r="J186" i="80" s="1"/>
  <c r="N212" i="80"/>
  <c r="N186" i="80" s="1"/>
  <c r="G212" i="80"/>
  <c r="G186" i="80" s="1"/>
  <c r="K212" i="80"/>
  <c r="K186" i="80" s="1"/>
  <c r="C212" i="80"/>
  <c r="C186" i="80" s="1"/>
  <c r="D212" i="80"/>
  <c r="D186" i="80" s="1"/>
  <c r="L212" i="80"/>
  <c r="L186" i="80" s="1"/>
  <c r="E212" i="80"/>
  <c r="E186" i="80" s="1"/>
  <c r="M212" i="80"/>
  <c r="M186" i="80" s="1"/>
  <c r="H212" i="80"/>
  <c r="H186" i="80" s="1"/>
  <c r="I212" i="80"/>
  <c r="I186" i="80" s="1"/>
  <c r="E134" i="78"/>
  <c r="I134" i="78"/>
  <c r="M134" i="78"/>
  <c r="F134" i="78"/>
  <c r="J134" i="78"/>
  <c r="N134" i="78"/>
  <c r="K134" i="78"/>
  <c r="G134" i="78"/>
  <c r="C134" i="78"/>
  <c r="D134" i="78"/>
  <c r="L134" i="78"/>
  <c r="H134" i="78"/>
  <c r="F135" i="77"/>
  <c r="J135" i="77"/>
  <c r="N135" i="77"/>
  <c r="D135" i="77"/>
  <c r="H135" i="77"/>
  <c r="L135" i="77"/>
  <c r="C135" i="77"/>
  <c r="E135" i="77"/>
  <c r="M135" i="77"/>
  <c r="I135" i="77"/>
  <c r="G135" i="77"/>
  <c r="K135" i="77"/>
  <c r="D186" i="89"/>
  <c r="D199" i="89" s="1"/>
  <c r="H186" i="89"/>
  <c r="H199" i="89" s="1"/>
  <c r="L186" i="89"/>
  <c r="L199" i="89" s="1"/>
  <c r="E186" i="89"/>
  <c r="E199" i="89" s="1"/>
  <c r="I186" i="89"/>
  <c r="I199" i="89" s="1"/>
  <c r="M186" i="89"/>
  <c r="M199" i="89" s="1"/>
  <c r="C186" i="89"/>
  <c r="C199" i="89" s="1"/>
  <c r="F186" i="89"/>
  <c r="F199" i="89" s="1"/>
  <c r="N186" i="89"/>
  <c r="N199" i="89" s="1"/>
  <c r="G186" i="89"/>
  <c r="G199" i="89" s="1"/>
  <c r="K186" i="89"/>
  <c r="K199" i="89" s="1"/>
  <c r="J186" i="89"/>
  <c r="J199" i="89" s="1"/>
  <c r="E108" i="83"/>
  <c r="G108" i="83"/>
  <c r="K108" i="83"/>
  <c r="C108" i="83"/>
  <c r="H108" i="83"/>
  <c r="L108" i="83"/>
  <c r="I108" i="83"/>
  <c r="J108" i="83"/>
  <c r="D108" i="83"/>
  <c r="M108" i="83"/>
  <c r="F108" i="83"/>
  <c r="N108" i="83"/>
  <c r="D173" i="79"/>
  <c r="D174" i="79" s="1"/>
  <c r="H173" i="79"/>
  <c r="H174" i="79" s="1"/>
  <c r="L173" i="79"/>
  <c r="L174" i="79" s="1"/>
  <c r="E173" i="79"/>
  <c r="E174" i="79" s="1"/>
  <c r="I173" i="79"/>
  <c r="M173" i="79"/>
  <c r="F173" i="79"/>
  <c r="F174" i="79" s="1"/>
  <c r="N173" i="79"/>
  <c r="G173" i="79"/>
  <c r="G174" i="79" s="1"/>
  <c r="C173" i="79"/>
  <c r="K173" i="79"/>
  <c r="K174" i="79" s="1"/>
  <c r="J173" i="79"/>
  <c r="E355" i="82"/>
  <c r="I355" i="82"/>
  <c r="M355" i="82"/>
  <c r="F355" i="82"/>
  <c r="J355" i="82"/>
  <c r="N355" i="82"/>
  <c r="G355" i="82"/>
  <c r="C355" i="82"/>
  <c r="C356" i="82" s="1"/>
  <c r="H355" i="82"/>
  <c r="D355" i="82"/>
  <c r="K355" i="82"/>
  <c r="L355" i="82"/>
  <c r="F199" i="83"/>
  <c r="J199" i="83"/>
  <c r="N199" i="83"/>
  <c r="D199" i="83"/>
  <c r="H199" i="83"/>
  <c r="L199" i="83"/>
  <c r="K199" i="83"/>
  <c r="E199" i="83"/>
  <c r="M199" i="83"/>
  <c r="G199" i="83"/>
  <c r="I199" i="83"/>
  <c r="C199" i="83"/>
  <c r="G173" i="94"/>
  <c r="K173" i="94"/>
  <c r="C173" i="94"/>
  <c r="D173" i="94"/>
  <c r="I173" i="94"/>
  <c r="N173" i="94"/>
  <c r="E173" i="94"/>
  <c r="J173" i="94"/>
  <c r="F173" i="94"/>
  <c r="L173" i="94"/>
  <c r="H173" i="94"/>
  <c r="M173" i="94"/>
  <c r="D108" i="94"/>
  <c r="H108" i="94"/>
  <c r="L108" i="94"/>
  <c r="E108" i="94"/>
  <c r="I108" i="94"/>
  <c r="M108" i="94"/>
  <c r="J108" i="94"/>
  <c r="F108" i="94"/>
  <c r="N108" i="94"/>
  <c r="K108" i="94"/>
  <c r="C108" i="94"/>
  <c r="G108" i="94"/>
  <c r="F108" i="81"/>
  <c r="J108" i="81"/>
  <c r="N108" i="81"/>
  <c r="G108" i="81"/>
  <c r="K108" i="81"/>
  <c r="C108" i="81"/>
  <c r="H108" i="81"/>
  <c r="I108" i="81"/>
  <c r="E108" i="81"/>
  <c r="M108" i="81"/>
  <c r="L108" i="81"/>
  <c r="D108" i="81"/>
  <c r="G147" i="95"/>
  <c r="K147" i="95"/>
  <c r="D147" i="95"/>
  <c r="H147" i="95"/>
  <c r="L147" i="95"/>
  <c r="C147" i="95"/>
  <c r="F147" i="95"/>
  <c r="N147" i="95"/>
  <c r="I147" i="95"/>
  <c r="J147" i="95"/>
  <c r="E147" i="95"/>
  <c r="M147" i="95"/>
  <c r="F199" i="81"/>
  <c r="J199" i="81"/>
  <c r="N199" i="81"/>
  <c r="G199" i="81"/>
  <c r="K199" i="81"/>
  <c r="C199" i="81"/>
  <c r="H199" i="81"/>
  <c r="I199" i="81"/>
  <c r="E199" i="81"/>
  <c r="M199" i="81"/>
  <c r="L199" i="81"/>
  <c r="D199" i="81"/>
  <c r="G199" i="80"/>
  <c r="K199" i="80"/>
  <c r="C199" i="80"/>
  <c r="D199" i="80"/>
  <c r="H199" i="80"/>
  <c r="L199" i="80"/>
  <c r="E199" i="80"/>
  <c r="M199" i="80"/>
  <c r="F199" i="80"/>
  <c r="N199" i="80"/>
  <c r="I199" i="80"/>
  <c r="J199" i="80"/>
  <c r="C41" i="96"/>
  <c r="C21" i="96"/>
  <c r="C95" i="43"/>
  <c r="D95" i="43"/>
  <c r="E95" i="43"/>
  <c r="F95" i="43"/>
  <c r="G95" i="43"/>
  <c r="H95" i="43"/>
  <c r="I95" i="43"/>
  <c r="J95" i="43"/>
  <c r="K95" i="43"/>
  <c r="L95" i="43"/>
  <c r="M95" i="43"/>
  <c r="N95" i="43"/>
  <c r="E97" i="43"/>
  <c r="F97" i="43"/>
  <c r="G97" i="43"/>
  <c r="H97" i="43"/>
  <c r="I97" i="43"/>
  <c r="J97" i="43"/>
  <c r="K97" i="43"/>
  <c r="L97" i="43"/>
  <c r="M97" i="43"/>
  <c r="N97" i="43"/>
  <c r="C102" i="43"/>
  <c r="D102" i="43"/>
  <c r="E102" i="43"/>
  <c r="F102" i="43"/>
  <c r="G102" i="43"/>
  <c r="H102" i="43"/>
  <c r="I102" i="43"/>
  <c r="J102" i="43"/>
  <c r="K102" i="43"/>
  <c r="L102" i="43"/>
  <c r="M102" i="43"/>
  <c r="N102" i="43"/>
  <c r="C106" i="43"/>
  <c r="D106" i="43"/>
  <c r="E106" i="43"/>
  <c r="F106" i="43"/>
  <c r="G106" i="43"/>
  <c r="H106" i="43"/>
  <c r="I106" i="43"/>
  <c r="J106" i="43"/>
  <c r="K106" i="43"/>
  <c r="L106" i="43"/>
  <c r="M106" i="43"/>
  <c r="N106" i="43"/>
  <c r="C109" i="43"/>
  <c r="D109" i="43"/>
  <c r="E109" i="43"/>
  <c r="F109" i="43"/>
  <c r="G109" i="43"/>
  <c r="H109" i="43"/>
  <c r="I109" i="43"/>
  <c r="J109" i="43"/>
  <c r="K109" i="43"/>
  <c r="L109" i="43"/>
  <c r="M109" i="43"/>
  <c r="N109" i="43"/>
  <c r="C113" i="43"/>
  <c r="D113" i="43"/>
  <c r="E113" i="43"/>
  <c r="F113" i="43"/>
  <c r="G113" i="43"/>
  <c r="H113" i="43"/>
  <c r="I113" i="43"/>
  <c r="J113" i="43"/>
  <c r="K113" i="43"/>
  <c r="L113" i="43"/>
  <c r="M113" i="43"/>
  <c r="N113" i="43"/>
  <c r="C114" i="43"/>
  <c r="D114" i="43"/>
  <c r="E114" i="43"/>
  <c r="F114" i="43"/>
  <c r="G114" i="43"/>
  <c r="H114" i="43"/>
  <c r="I114" i="43"/>
  <c r="J114" i="43"/>
  <c r="K114" i="43"/>
  <c r="L114" i="43"/>
  <c r="M114" i="43"/>
  <c r="N114" i="43"/>
  <c r="C115" i="43"/>
  <c r="D115" i="43"/>
  <c r="E115" i="43"/>
  <c r="F115" i="43"/>
  <c r="G115" i="43"/>
  <c r="H115" i="43"/>
  <c r="I115" i="43"/>
  <c r="J115" i="43"/>
  <c r="K115" i="43"/>
  <c r="L115" i="43"/>
  <c r="M115" i="43"/>
  <c r="N115" i="43"/>
  <c r="C116" i="43"/>
  <c r="D116" i="43"/>
  <c r="E116" i="43"/>
  <c r="F116" i="43"/>
  <c r="G116" i="43"/>
  <c r="H116" i="43"/>
  <c r="I116" i="43"/>
  <c r="J116" i="43"/>
  <c r="K116" i="43"/>
  <c r="L116" i="43"/>
  <c r="M116" i="43"/>
  <c r="N116" i="43"/>
  <c r="A35" i="53"/>
  <c r="A58" i="53" s="1"/>
  <c r="A20" i="53"/>
  <c r="A40" i="53" s="1"/>
  <c r="A63" i="53" s="1"/>
  <c r="A17" i="53"/>
  <c r="A37" i="53" s="1"/>
  <c r="A60" i="53" s="1"/>
  <c r="A15" i="53"/>
  <c r="C178" i="46"/>
  <c r="C179" i="46"/>
  <c r="C180" i="46"/>
  <c r="C177" i="46"/>
  <c r="A160" i="46"/>
  <c r="C166" i="46"/>
  <c r="A133" i="46"/>
  <c r="C139" i="46"/>
  <c r="A88" i="46"/>
  <c r="C70" i="46"/>
  <c r="C156" i="46"/>
  <c r="C147" i="46"/>
  <c r="C36" i="46"/>
  <c r="C131" i="46"/>
  <c r="C112" i="46"/>
  <c r="C86" i="46"/>
  <c r="C60" i="46"/>
  <c r="C78" i="46"/>
  <c r="C104" i="46"/>
  <c r="C28" i="46"/>
  <c r="C20" i="46"/>
  <c r="C123" i="46"/>
  <c r="C12" i="46"/>
  <c r="E212" i="81" l="1"/>
  <c r="K212" i="81"/>
  <c r="F212" i="81"/>
  <c r="F212" i="94"/>
  <c r="I212" i="94"/>
  <c r="G212" i="94"/>
  <c r="I200" i="79"/>
  <c r="I187" i="79"/>
  <c r="H394" i="82"/>
  <c r="H381" i="82"/>
  <c r="C187" i="79"/>
  <c r="C200" i="79"/>
  <c r="N394" i="82"/>
  <c r="N381" i="82"/>
  <c r="J200" i="79"/>
  <c r="J187" i="79"/>
  <c r="E394" i="82"/>
  <c r="E381" i="82"/>
  <c r="G175" i="79"/>
  <c r="G178" i="79"/>
  <c r="I174" i="79"/>
  <c r="D175" i="79"/>
  <c r="D178" i="79"/>
  <c r="D121" i="83"/>
  <c r="H121" i="83"/>
  <c r="E121" i="83"/>
  <c r="C147" i="78"/>
  <c r="J147" i="78"/>
  <c r="E147" i="78"/>
  <c r="G178" i="90"/>
  <c r="G175" i="90"/>
  <c r="I173" i="90"/>
  <c r="I174" i="90" s="1"/>
  <c r="D173" i="90"/>
  <c r="D174" i="90" s="1"/>
  <c r="D212" i="81"/>
  <c r="I212" i="81"/>
  <c r="G212" i="81"/>
  <c r="M212" i="94"/>
  <c r="J212" i="94"/>
  <c r="D212" i="94"/>
  <c r="D394" i="82"/>
  <c r="D381" i="82"/>
  <c r="L394" i="82"/>
  <c r="L381" i="82"/>
  <c r="L200" i="79"/>
  <c r="L187" i="79"/>
  <c r="K200" i="79"/>
  <c r="K187" i="79"/>
  <c r="J394" i="82"/>
  <c r="J381" i="82"/>
  <c r="F200" i="79"/>
  <c r="F187" i="79"/>
  <c r="C360" i="82"/>
  <c r="C357" i="82"/>
  <c r="J174" i="79"/>
  <c r="N174" i="79"/>
  <c r="E175" i="79"/>
  <c r="E178" i="79"/>
  <c r="N121" i="83"/>
  <c r="J121" i="83"/>
  <c r="C121" i="83"/>
  <c r="H147" i="78"/>
  <c r="G147" i="78"/>
  <c r="F147" i="78"/>
  <c r="K173" i="90"/>
  <c r="K174" i="90" s="1"/>
  <c r="N173" i="90"/>
  <c r="N174" i="90" s="1"/>
  <c r="E173" i="90"/>
  <c r="E174" i="90" s="1"/>
  <c r="L212" i="81"/>
  <c r="H212" i="81"/>
  <c r="N212" i="81"/>
  <c r="H212" i="94"/>
  <c r="E212" i="94"/>
  <c r="C212" i="94"/>
  <c r="H200" i="79"/>
  <c r="H187" i="79"/>
  <c r="M200" i="79"/>
  <c r="M187" i="79"/>
  <c r="D200" i="79"/>
  <c r="D187" i="79"/>
  <c r="G200" i="79"/>
  <c r="G187" i="79"/>
  <c r="F394" i="82"/>
  <c r="F381" i="82"/>
  <c r="M394" i="82"/>
  <c r="M381" i="82"/>
  <c r="K175" i="79"/>
  <c r="K178" i="79"/>
  <c r="F175" i="79"/>
  <c r="F178" i="79"/>
  <c r="L175" i="79"/>
  <c r="L178" i="79"/>
  <c r="F121" i="83"/>
  <c r="I121" i="83"/>
  <c r="K121" i="83"/>
  <c r="C136" i="77"/>
  <c r="L147" i="78"/>
  <c r="K147" i="78"/>
  <c r="M147" i="78"/>
  <c r="J173" i="90"/>
  <c r="J174" i="90" s="1"/>
  <c r="F173" i="90"/>
  <c r="F174" i="90" s="1"/>
  <c r="L173" i="90"/>
  <c r="L174" i="90" s="1"/>
  <c r="M212" i="81"/>
  <c r="C212" i="81"/>
  <c r="J212" i="81"/>
  <c r="L212" i="94"/>
  <c r="N212" i="94"/>
  <c r="K212" i="94"/>
  <c r="K394" i="82"/>
  <c r="K381" i="82"/>
  <c r="E200" i="79"/>
  <c r="E187" i="79"/>
  <c r="G394" i="82"/>
  <c r="G381" i="82"/>
  <c r="C381" i="82"/>
  <c r="C394" i="82"/>
  <c r="N200" i="79"/>
  <c r="N187" i="79"/>
  <c r="I394" i="82"/>
  <c r="I381" i="82"/>
  <c r="C174" i="79"/>
  <c r="M174" i="79"/>
  <c r="H175" i="79"/>
  <c r="H178" i="79"/>
  <c r="M121" i="83"/>
  <c r="L121" i="83"/>
  <c r="G121" i="83"/>
  <c r="D147" i="78"/>
  <c r="N147" i="78"/>
  <c r="I147" i="78"/>
  <c r="C173" i="90"/>
  <c r="C174" i="90" s="1"/>
  <c r="M173" i="90"/>
  <c r="M174" i="90" s="1"/>
  <c r="H173" i="90"/>
  <c r="H174" i="90" s="1"/>
  <c r="C182" i="46"/>
  <c r="K385" i="82" l="1"/>
  <c r="K382" i="82"/>
  <c r="K178" i="90"/>
  <c r="K175" i="90"/>
  <c r="D398" i="82"/>
  <c r="D395" i="82"/>
  <c r="I204" i="79"/>
  <c r="I201" i="79"/>
  <c r="M178" i="90"/>
  <c r="M175" i="90"/>
  <c r="M175" i="79"/>
  <c r="M178" i="79"/>
  <c r="F178" i="90"/>
  <c r="F175" i="90"/>
  <c r="E180" i="79"/>
  <c r="E177" i="79"/>
  <c r="E176" i="79"/>
  <c r="F191" i="79"/>
  <c r="F188" i="79"/>
  <c r="E191" i="79"/>
  <c r="E188" i="79"/>
  <c r="D204" i="79"/>
  <c r="D201" i="79"/>
  <c r="N178" i="90"/>
  <c r="N175" i="90"/>
  <c r="N175" i="79"/>
  <c r="N178" i="79"/>
  <c r="C358" i="82"/>
  <c r="C362" i="82"/>
  <c r="C359" i="82"/>
  <c r="F204" i="79"/>
  <c r="F201" i="79"/>
  <c r="K201" i="79"/>
  <c r="K204" i="79"/>
  <c r="L398" i="82"/>
  <c r="L395" i="82"/>
  <c r="D175" i="90"/>
  <c r="D178" i="90"/>
  <c r="E398" i="82"/>
  <c r="E395" i="82"/>
  <c r="N398" i="82"/>
  <c r="N395" i="82"/>
  <c r="H398" i="82"/>
  <c r="H395" i="82"/>
  <c r="H176" i="79"/>
  <c r="H180" i="79"/>
  <c r="H177" i="79"/>
  <c r="N191" i="79"/>
  <c r="N188" i="79"/>
  <c r="G382" i="82"/>
  <c r="G385" i="82"/>
  <c r="M398" i="82"/>
  <c r="M395" i="82"/>
  <c r="G204" i="79"/>
  <c r="G201" i="79"/>
  <c r="M204" i="79"/>
  <c r="M201" i="79"/>
  <c r="E178" i="90"/>
  <c r="E175" i="90"/>
  <c r="J175" i="79"/>
  <c r="J178" i="79"/>
  <c r="J398" i="82"/>
  <c r="J395" i="82"/>
  <c r="L201" i="79"/>
  <c r="L204" i="79"/>
  <c r="I178" i="90"/>
  <c r="I175" i="90"/>
  <c r="I175" i="79"/>
  <c r="I178" i="79"/>
  <c r="J204" i="79"/>
  <c r="J201" i="79"/>
  <c r="C188" i="79"/>
  <c r="C191" i="79"/>
  <c r="N204" i="79"/>
  <c r="N201" i="79"/>
  <c r="G395" i="82"/>
  <c r="G398" i="82"/>
  <c r="K398" i="82"/>
  <c r="K395" i="82"/>
  <c r="C137" i="77"/>
  <c r="C140" i="77"/>
  <c r="L180" i="79"/>
  <c r="L177" i="79"/>
  <c r="L176" i="79"/>
  <c r="K176" i="79"/>
  <c r="K180" i="79"/>
  <c r="K177" i="79"/>
  <c r="F385" i="82"/>
  <c r="F382" i="82"/>
  <c r="D188" i="79"/>
  <c r="D191" i="79"/>
  <c r="H191" i="79"/>
  <c r="H188" i="79"/>
  <c r="K188" i="79"/>
  <c r="K191" i="79"/>
  <c r="L385" i="82"/>
  <c r="L382" i="82"/>
  <c r="G177" i="90"/>
  <c r="G176" i="90"/>
  <c r="E385" i="82"/>
  <c r="E382" i="82"/>
  <c r="N385" i="82"/>
  <c r="N382" i="82"/>
  <c r="H385" i="82"/>
  <c r="H382" i="82"/>
  <c r="I385" i="82"/>
  <c r="I382" i="82"/>
  <c r="C398" i="82"/>
  <c r="C395" i="82"/>
  <c r="F398" i="82"/>
  <c r="F395" i="82"/>
  <c r="H204" i="79"/>
  <c r="H201" i="79"/>
  <c r="H178" i="90"/>
  <c r="H175" i="90"/>
  <c r="C178" i="90"/>
  <c r="C175" i="90"/>
  <c r="C175" i="79"/>
  <c r="C178" i="79"/>
  <c r="I398" i="82"/>
  <c r="I395" i="82"/>
  <c r="C382" i="82"/>
  <c r="C385" i="82"/>
  <c r="E204" i="79"/>
  <c r="E201" i="79"/>
  <c r="L175" i="90"/>
  <c r="L178" i="90"/>
  <c r="J178" i="90"/>
  <c r="J175" i="90"/>
  <c r="F180" i="79"/>
  <c r="F177" i="79"/>
  <c r="F176" i="79"/>
  <c r="M385" i="82"/>
  <c r="M382" i="82"/>
  <c r="G191" i="79"/>
  <c r="G188" i="79"/>
  <c r="M191" i="79"/>
  <c r="M188" i="79"/>
  <c r="J385" i="82"/>
  <c r="J382" i="82"/>
  <c r="L188" i="79"/>
  <c r="L191" i="79"/>
  <c r="D385" i="82"/>
  <c r="D382" i="82"/>
  <c r="D177" i="79"/>
  <c r="D176" i="79"/>
  <c r="D180" i="79"/>
  <c r="G177" i="79"/>
  <c r="G176" i="79"/>
  <c r="G180" i="79"/>
  <c r="J191" i="79"/>
  <c r="J188" i="79"/>
  <c r="C201" i="79"/>
  <c r="C204" i="79"/>
  <c r="I191" i="79"/>
  <c r="I188" i="79"/>
  <c r="D67" i="80"/>
  <c r="E67" i="80"/>
  <c r="F67" i="80"/>
  <c r="G67" i="80"/>
  <c r="H67" i="80"/>
  <c r="I67" i="80"/>
  <c r="J67" i="80"/>
  <c r="K67" i="80"/>
  <c r="L67" i="80"/>
  <c r="M67" i="80"/>
  <c r="N67" i="80"/>
  <c r="C67" i="80"/>
  <c r="K57" i="80"/>
  <c r="D57" i="80"/>
  <c r="E57" i="80"/>
  <c r="F57" i="80"/>
  <c r="G57" i="80"/>
  <c r="H57" i="80"/>
  <c r="I57" i="80"/>
  <c r="J57" i="80"/>
  <c r="L57" i="80"/>
  <c r="M57" i="80"/>
  <c r="N57" i="80"/>
  <c r="C57" i="80"/>
  <c r="D42" i="80"/>
  <c r="E42" i="80"/>
  <c r="F42" i="80"/>
  <c r="G42" i="80"/>
  <c r="H42" i="80"/>
  <c r="I42" i="80"/>
  <c r="J42" i="80"/>
  <c r="K42" i="80"/>
  <c r="L42" i="80"/>
  <c r="M42" i="80"/>
  <c r="N42" i="80"/>
  <c r="C42" i="80"/>
  <c r="D26" i="80"/>
  <c r="E26" i="80"/>
  <c r="F26" i="80"/>
  <c r="G26" i="80"/>
  <c r="H26" i="80"/>
  <c r="I26" i="80"/>
  <c r="J26" i="80"/>
  <c r="K26" i="80"/>
  <c r="L26" i="80"/>
  <c r="M26" i="80"/>
  <c r="N26" i="80"/>
  <c r="C26" i="80"/>
  <c r="C177" i="90" l="1"/>
  <c r="C176" i="90"/>
  <c r="J190" i="79"/>
  <c r="J189" i="79"/>
  <c r="I384" i="82"/>
  <c r="I383" i="82"/>
  <c r="F384" i="82"/>
  <c r="F383" i="82"/>
  <c r="G396" i="82"/>
  <c r="G397" i="82"/>
  <c r="N176" i="90"/>
  <c r="N177" i="90"/>
  <c r="F189" i="79"/>
  <c r="F190" i="79"/>
  <c r="H177" i="90"/>
  <c r="H176" i="90"/>
  <c r="F396" i="82"/>
  <c r="F397" i="82"/>
  <c r="K190" i="79"/>
  <c r="K189" i="79"/>
  <c r="K397" i="82"/>
  <c r="K396" i="82"/>
  <c r="N202" i="79"/>
  <c r="N206" i="79"/>
  <c r="N203" i="79"/>
  <c r="C189" i="79"/>
  <c r="C190" i="79"/>
  <c r="I177" i="79"/>
  <c r="I176" i="79"/>
  <c r="I180" i="79"/>
  <c r="J397" i="82"/>
  <c r="J396" i="82"/>
  <c r="M203" i="79"/>
  <c r="M202" i="79"/>
  <c r="M206" i="79"/>
  <c r="M397" i="82"/>
  <c r="M396" i="82"/>
  <c r="N190" i="79"/>
  <c r="N189" i="79"/>
  <c r="K202" i="79"/>
  <c r="K206" i="79"/>
  <c r="K203" i="79"/>
  <c r="N176" i="79"/>
  <c r="N180" i="79"/>
  <c r="N177" i="79"/>
  <c r="D203" i="79"/>
  <c r="D202" i="79"/>
  <c r="D206" i="79"/>
  <c r="C202" i="79"/>
  <c r="C203" i="79"/>
  <c r="C206" i="79"/>
  <c r="M190" i="79"/>
  <c r="M189" i="79"/>
  <c r="M384" i="82"/>
  <c r="M383" i="82"/>
  <c r="E206" i="79"/>
  <c r="E203" i="79"/>
  <c r="E202" i="79"/>
  <c r="I397" i="82"/>
  <c r="I396" i="82"/>
  <c r="H203" i="79"/>
  <c r="H202" i="79"/>
  <c r="H206" i="79"/>
  <c r="D189" i="79"/>
  <c r="D190" i="79"/>
  <c r="I177" i="90"/>
  <c r="I176" i="90"/>
  <c r="G202" i="79"/>
  <c r="G206" i="79"/>
  <c r="G203" i="79"/>
  <c r="M177" i="90"/>
  <c r="M176" i="90"/>
  <c r="I189" i="79"/>
  <c r="I190" i="79"/>
  <c r="N383" i="82"/>
  <c r="N384" i="82"/>
  <c r="H190" i="79"/>
  <c r="H189" i="79"/>
  <c r="L202" i="79"/>
  <c r="L203" i="79"/>
  <c r="L206" i="79"/>
  <c r="J180" i="79"/>
  <c r="J177" i="79"/>
  <c r="J176" i="79"/>
  <c r="G384" i="82"/>
  <c r="G383" i="82"/>
  <c r="N397" i="82"/>
  <c r="N396" i="82"/>
  <c r="E190" i="79"/>
  <c r="E189" i="79"/>
  <c r="K383" i="82"/>
  <c r="K384" i="82"/>
  <c r="L190" i="79"/>
  <c r="L189" i="79"/>
  <c r="G190" i="79"/>
  <c r="G189" i="79"/>
  <c r="L177" i="90"/>
  <c r="L176" i="90"/>
  <c r="D383" i="82"/>
  <c r="D384" i="82"/>
  <c r="J384" i="82"/>
  <c r="J383" i="82"/>
  <c r="J177" i="90"/>
  <c r="J176" i="90"/>
  <c r="C383" i="82"/>
  <c r="C384" i="82"/>
  <c r="C180" i="79"/>
  <c r="C177" i="79"/>
  <c r="C176" i="79"/>
  <c r="C397" i="82"/>
  <c r="C396" i="82"/>
  <c r="H384" i="82"/>
  <c r="H383" i="82"/>
  <c r="E384" i="82"/>
  <c r="E383" i="82"/>
  <c r="L384" i="82"/>
  <c r="L383" i="82"/>
  <c r="C142" i="77"/>
  <c r="C138" i="77"/>
  <c r="C139" i="77"/>
  <c r="J203" i="79"/>
  <c r="J202" i="79"/>
  <c r="J206" i="79"/>
  <c r="E176" i="90"/>
  <c r="E177" i="90"/>
  <c r="H397" i="82"/>
  <c r="H396" i="82"/>
  <c r="E396" i="82"/>
  <c r="E397" i="82"/>
  <c r="D177" i="90"/>
  <c r="D176" i="90"/>
  <c r="L396" i="82"/>
  <c r="L397" i="82"/>
  <c r="F206" i="79"/>
  <c r="F203" i="79"/>
  <c r="F202" i="79"/>
  <c r="F176" i="90"/>
  <c r="F177" i="90"/>
  <c r="M180" i="79"/>
  <c r="M177" i="79"/>
  <c r="M176" i="79"/>
  <c r="I206" i="79"/>
  <c r="I203" i="79"/>
  <c r="I202" i="79"/>
  <c r="D397" i="82"/>
  <c r="D396" i="82"/>
  <c r="K177" i="90"/>
  <c r="K176" i="90"/>
  <c r="I9" i="80"/>
  <c r="J9" i="80"/>
  <c r="K9" i="80"/>
  <c r="L9" i="80"/>
  <c r="M9" i="80"/>
  <c r="N9" i="80"/>
  <c r="D8" i="80"/>
  <c r="E8" i="80"/>
  <c r="F8" i="80"/>
  <c r="G8" i="80"/>
  <c r="H8" i="80"/>
  <c r="I8" i="80"/>
  <c r="J8" i="80"/>
  <c r="K8" i="80"/>
  <c r="L8" i="80"/>
  <c r="M8" i="80"/>
  <c r="N8" i="80"/>
  <c r="C8" i="80"/>
  <c r="G54" i="65" l="1"/>
  <c r="G55" i="65"/>
  <c r="G56" i="65"/>
  <c r="G57" i="65"/>
  <c r="G58" i="65"/>
  <c r="G59" i="65"/>
  <c r="G60" i="65"/>
  <c r="G61" i="65"/>
  <c r="G62" i="65"/>
  <c r="G63" i="65"/>
  <c r="G64" i="65"/>
  <c r="G65" i="65"/>
  <c r="G66" i="65"/>
  <c r="G50" i="65"/>
  <c r="G51" i="65"/>
  <c r="G52" i="65"/>
  <c r="G53" i="65"/>
  <c r="G40" i="65"/>
  <c r="G41" i="65"/>
  <c r="G42" i="65"/>
  <c r="G43" i="65"/>
  <c r="G44" i="65"/>
  <c r="G45" i="65"/>
  <c r="G46" i="65"/>
  <c r="G47" i="65"/>
  <c r="G48" i="65"/>
  <c r="G39" i="65"/>
  <c r="G37" i="65"/>
  <c r="G36" i="65"/>
  <c r="G35" i="65"/>
  <c r="G34" i="65"/>
  <c r="G33" i="65"/>
  <c r="G32" i="65"/>
  <c r="G31" i="65"/>
  <c r="G30" i="65"/>
  <c r="G29" i="65"/>
  <c r="G28" i="65"/>
  <c r="G27" i="65"/>
  <c r="G26" i="65"/>
  <c r="G25" i="65"/>
  <c r="G22" i="65"/>
  <c r="G21" i="65"/>
  <c r="G20" i="65"/>
  <c r="G14" i="65"/>
  <c r="G15" i="65"/>
  <c r="G11" i="65"/>
  <c r="G12" i="65"/>
  <c r="G13" i="65"/>
  <c r="G10" i="65"/>
  <c r="D82" i="76"/>
  <c r="D118" i="43" s="1"/>
  <c r="E82" i="76"/>
  <c r="E118" i="43" s="1"/>
  <c r="F82" i="76"/>
  <c r="F118" i="43" s="1"/>
  <c r="G82" i="76"/>
  <c r="G118" i="43" s="1"/>
  <c r="H82" i="76"/>
  <c r="H118" i="43" s="1"/>
  <c r="I82" i="76"/>
  <c r="I118" i="43" s="1"/>
  <c r="J82" i="76"/>
  <c r="J118" i="43" s="1"/>
  <c r="K82" i="76"/>
  <c r="K118" i="43" s="1"/>
  <c r="L82" i="76"/>
  <c r="L118" i="43" s="1"/>
  <c r="M82" i="76"/>
  <c r="M118" i="43" s="1"/>
  <c r="N82" i="76"/>
  <c r="N118" i="43" s="1"/>
  <c r="C82" i="76"/>
  <c r="C118" i="43" s="1"/>
  <c r="D57" i="76"/>
  <c r="E57" i="76"/>
  <c r="F57" i="76"/>
  <c r="G57" i="76"/>
  <c r="H57" i="76"/>
  <c r="I57" i="76"/>
  <c r="J57" i="76"/>
  <c r="K57" i="76"/>
  <c r="L57" i="76"/>
  <c r="M57" i="76"/>
  <c r="N57" i="76"/>
  <c r="C57" i="76"/>
  <c r="N11" i="76"/>
  <c r="M11" i="76"/>
  <c r="L11" i="76"/>
  <c r="K11" i="76"/>
  <c r="N10" i="76"/>
  <c r="M10" i="76"/>
  <c r="L10" i="76"/>
  <c r="K10" i="76"/>
  <c r="D11" i="76"/>
  <c r="E11" i="76"/>
  <c r="F11" i="76"/>
  <c r="G11" i="76"/>
  <c r="H11" i="76"/>
  <c r="C11" i="76"/>
  <c r="D10" i="76"/>
  <c r="E10" i="76"/>
  <c r="F10" i="76"/>
  <c r="G10" i="76"/>
  <c r="H10" i="76"/>
  <c r="C10" i="76"/>
  <c r="J154" i="81" l="1"/>
  <c r="I154" i="81"/>
  <c r="H154" i="81"/>
  <c r="G154" i="81"/>
  <c r="F154" i="81"/>
  <c r="E154" i="81"/>
  <c r="D154" i="81"/>
  <c r="C154" i="81"/>
  <c r="C60" i="1"/>
  <c r="L24" i="65" l="1"/>
  <c r="K8" i="65"/>
  <c r="L8" i="65"/>
  <c r="K9" i="65"/>
  <c r="K10" i="65"/>
  <c r="L10" i="65"/>
  <c r="K11" i="65"/>
  <c r="L11" i="65"/>
  <c r="K12" i="65"/>
  <c r="L12" i="65"/>
  <c r="K13" i="65"/>
  <c r="L13" i="65"/>
  <c r="K14" i="65"/>
  <c r="L14" i="65"/>
  <c r="K15" i="65"/>
  <c r="L15" i="65"/>
  <c r="K16" i="65"/>
  <c r="L16" i="65"/>
  <c r="K17" i="65"/>
  <c r="L17" i="65"/>
  <c r="K18" i="65"/>
  <c r="L18" i="65"/>
  <c r="K19" i="65"/>
  <c r="L19" i="65"/>
  <c r="K20" i="65"/>
  <c r="L20" i="65"/>
  <c r="K21" i="65"/>
  <c r="L21" i="65"/>
  <c r="K22" i="65"/>
  <c r="L22" i="65"/>
  <c r="K23" i="65"/>
  <c r="L23" i="65"/>
  <c r="K24" i="65"/>
  <c r="N24" i="65" s="1"/>
  <c r="K25" i="65"/>
  <c r="L25" i="65"/>
  <c r="K26" i="65"/>
  <c r="L26" i="65"/>
  <c r="K27" i="65"/>
  <c r="N27" i="65" s="1"/>
  <c r="L27" i="65"/>
  <c r="K28" i="65"/>
  <c r="L28" i="65"/>
  <c r="K29" i="65"/>
  <c r="N29" i="65" s="1"/>
  <c r="L29" i="65"/>
  <c r="K30" i="65"/>
  <c r="L30" i="65"/>
  <c r="K31" i="65"/>
  <c r="L31" i="65"/>
  <c r="K32" i="65"/>
  <c r="L32" i="65"/>
  <c r="K33" i="65"/>
  <c r="L33" i="65"/>
  <c r="K34" i="65"/>
  <c r="L34" i="65"/>
  <c r="K35" i="65"/>
  <c r="L35" i="65"/>
  <c r="K36" i="65"/>
  <c r="L36" i="65"/>
  <c r="K37" i="65"/>
  <c r="L37" i="65"/>
  <c r="K38" i="65"/>
  <c r="L38" i="65"/>
  <c r="K39" i="65"/>
  <c r="L39" i="65"/>
  <c r="K40" i="65"/>
  <c r="L40" i="65"/>
  <c r="K41" i="65"/>
  <c r="L41" i="65"/>
  <c r="K42" i="65"/>
  <c r="N42" i="65" s="1"/>
  <c r="K43" i="65"/>
  <c r="L43" i="65"/>
  <c r="K44" i="65"/>
  <c r="L44" i="65"/>
  <c r="K45" i="65"/>
  <c r="L45" i="65"/>
  <c r="K46" i="65"/>
  <c r="L46" i="65"/>
  <c r="K47" i="65"/>
  <c r="L47" i="65"/>
  <c r="K48" i="65"/>
  <c r="L48" i="65"/>
  <c r="K50" i="65"/>
  <c r="L50" i="65"/>
  <c r="K51" i="65"/>
  <c r="L51" i="65"/>
  <c r="K52" i="65"/>
  <c r="L52" i="65"/>
  <c r="K53" i="65"/>
  <c r="L53" i="65"/>
  <c r="K54" i="65"/>
  <c r="L54" i="65"/>
  <c r="K55" i="65"/>
  <c r="L55" i="65"/>
  <c r="K56" i="65"/>
  <c r="L56" i="65"/>
  <c r="K57" i="65"/>
  <c r="K58" i="65"/>
  <c r="N58" i="65" s="1"/>
  <c r="L58" i="65"/>
  <c r="K59" i="65"/>
  <c r="L59" i="65"/>
  <c r="K60" i="65"/>
  <c r="N60" i="65" s="1"/>
  <c r="L60" i="65"/>
  <c r="K61" i="65"/>
  <c r="L61" i="65"/>
  <c r="K62" i="65"/>
  <c r="N62" i="65" s="1"/>
  <c r="L62" i="65"/>
  <c r="K63" i="65"/>
  <c r="L63" i="65"/>
  <c r="K64" i="65"/>
  <c r="N64" i="65" s="1"/>
  <c r="L64" i="65"/>
  <c r="K65" i="65"/>
  <c r="L65" i="65"/>
  <c r="K66" i="65"/>
  <c r="N66" i="65" s="1"/>
  <c r="L66" i="65"/>
  <c r="K70" i="65"/>
  <c r="N70" i="65" s="1"/>
  <c r="L70" i="65"/>
  <c r="K7" i="65"/>
  <c r="N7" i="65" s="1"/>
  <c r="L7" i="65"/>
  <c r="C148" i="83"/>
  <c r="C149" i="83" s="1"/>
  <c r="C146" i="83"/>
  <c r="C109" i="80"/>
  <c r="C110" i="80" s="1"/>
  <c r="D67" i="1"/>
  <c r="E67" i="1"/>
  <c r="F67" i="1"/>
  <c r="G67" i="1"/>
  <c r="H67" i="1"/>
  <c r="I67" i="1"/>
  <c r="J67" i="1"/>
  <c r="K67" i="1"/>
  <c r="L67" i="1"/>
  <c r="M67" i="1"/>
  <c r="N67" i="1"/>
  <c r="C67" i="1"/>
  <c r="N101" i="43"/>
  <c r="M101" i="43"/>
  <c r="L101" i="43"/>
  <c r="K101" i="43"/>
  <c r="J101" i="43"/>
  <c r="H101" i="43"/>
  <c r="G101" i="43"/>
  <c r="F101" i="43"/>
  <c r="E101" i="43"/>
  <c r="D101" i="43"/>
  <c r="I101" i="43"/>
  <c r="C101" i="43"/>
  <c r="D64" i="1"/>
  <c r="D100" i="43" s="1"/>
  <c r="E64" i="1"/>
  <c r="E100" i="43" s="1"/>
  <c r="F64" i="1"/>
  <c r="F100" i="43" s="1"/>
  <c r="G64" i="1"/>
  <c r="G100" i="43" s="1"/>
  <c r="H64" i="1"/>
  <c r="H100" i="43" s="1"/>
  <c r="I64" i="1"/>
  <c r="I100" i="43" s="1"/>
  <c r="J64" i="1"/>
  <c r="J100" i="43" s="1"/>
  <c r="K64" i="1"/>
  <c r="K100" i="43" s="1"/>
  <c r="L64" i="1"/>
  <c r="L100" i="43" s="1"/>
  <c r="M64" i="1"/>
  <c r="M100" i="43" s="1"/>
  <c r="N64" i="1"/>
  <c r="N100" i="43" s="1"/>
  <c r="C64" i="1"/>
  <c r="C100" i="43" s="1"/>
  <c r="N63" i="65" l="1"/>
  <c r="N59" i="65"/>
  <c r="N40" i="65"/>
  <c r="N38" i="65"/>
  <c r="N36" i="65"/>
  <c r="N34" i="65"/>
  <c r="N41" i="65"/>
  <c r="N39" i="65"/>
  <c r="N37" i="65"/>
  <c r="N35" i="65"/>
  <c r="N31" i="65"/>
  <c r="N22" i="65"/>
  <c r="N15" i="65"/>
  <c r="N13" i="65"/>
  <c r="N14" i="65"/>
  <c r="N12" i="65"/>
  <c r="N32" i="65"/>
  <c r="N28" i="65"/>
  <c r="N26" i="65"/>
  <c r="N55" i="65"/>
  <c r="N53" i="65"/>
  <c r="N46" i="65"/>
  <c r="N44" i="65"/>
  <c r="N25" i="65"/>
  <c r="N54" i="65"/>
  <c r="N47" i="65"/>
  <c r="N43" i="65"/>
  <c r="C152" i="83"/>
  <c r="C151" i="83"/>
  <c r="C154" i="83"/>
  <c r="C150" i="83"/>
  <c r="C112" i="80"/>
  <c r="C115" i="80"/>
  <c r="C111" i="80"/>
  <c r="C113" i="80"/>
  <c r="D75" i="80"/>
  <c r="E75" i="80"/>
  <c r="F75" i="80"/>
  <c r="G75" i="80"/>
  <c r="H75" i="80"/>
  <c r="I75" i="80"/>
  <c r="J75" i="80"/>
  <c r="K75" i="80"/>
  <c r="L75" i="80"/>
  <c r="M75" i="80"/>
  <c r="N75" i="80"/>
  <c r="C75" i="80"/>
  <c r="D71" i="80"/>
  <c r="E71" i="80"/>
  <c r="F71" i="80"/>
  <c r="G71" i="80"/>
  <c r="H71" i="80"/>
  <c r="I71" i="80"/>
  <c r="J71" i="80"/>
  <c r="K71" i="80"/>
  <c r="L71" i="80"/>
  <c r="M71" i="80"/>
  <c r="N71" i="80"/>
  <c r="C71" i="80"/>
  <c r="D67" i="83"/>
  <c r="E67" i="83"/>
  <c r="F67" i="83"/>
  <c r="G67" i="83"/>
  <c r="H67" i="83"/>
  <c r="I67" i="83"/>
  <c r="J67" i="83"/>
  <c r="K67" i="83"/>
  <c r="L67" i="83"/>
  <c r="M67" i="83"/>
  <c r="N67" i="83"/>
  <c r="C67" i="83"/>
  <c r="D57" i="83"/>
  <c r="E57" i="83"/>
  <c r="F57" i="83"/>
  <c r="G57" i="83"/>
  <c r="H57" i="83"/>
  <c r="I57" i="83"/>
  <c r="J57" i="83"/>
  <c r="K57" i="83"/>
  <c r="L57" i="83"/>
  <c r="M57" i="83"/>
  <c r="N57" i="83"/>
  <c r="C57" i="83"/>
  <c r="D8" i="83"/>
  <c r="E8" i="83"/>
  <c r="F8" i="83"/>
  <c r="G8" i="83"/>
  <c r="H8" i="83"/>
  <c r="I8" i="83"/>
  <c r="J8" i="83"/>
  <c r="K8" i="83"/>
  <c r="L8" i="83"/>
  <c r="M8" i="83"/>
  <c r="N8" i="83"/>
  <c r="C8" i="83"/>
  <c r="D71" i="90"/>
  <c r="E71" i="90"/>
  <c r="F71" i="90"/>
  <c r="G71" i="90"/>
  <c r="H71" i="90"/>
  <c r="I71" i="90"/>
  <c r="J71" i="90"/>
  <c r="K71" i="90"/>
  <c r="L71" i="90"/>
  <c r="M71" i="90"/>
  <c r="N71" i="90"/>
  <c r="C71" i="90"/>
  <c r="O67" i="90"/>
  <c r="D57" i="90"/>
  <c r="E57" i="90"/>
  <c r="F57" i="90"/>
  <c r="G57" i="90"/>
  <c r="H57" i="90"/>
  <c r="I57" i="90"/>
  <c r="J57" i="90"/>
  <c r="K57" i="90"/>
  <c r="L57" i="90"/>
  <c r="M57" i="90"/>
  <c r="N57" i="90"/>
  <c r="C57" i="90"/>
  <c r="D29" i="43"/>
  <c r="E29" i="43"/>
  <c r="F29" i="43"/>
  <c r="G29" i="43"/>
  <c r="H29" i="43"/>
  <c r="I29" i="43"/>
  <c r="J29" i="43"/>
  <c r="K29" i="43"/>
  <c r="L29" i="43"/>
  <c r="M29" i="43"/>
  <c r="N29" i="43"/>
  <c r="C29" i="43"/>
  <c r="D16" i="43"/>
  <c r="E16" i="43"/>
  <c r="F16" i="43"/>
  <c r="G16" i="43"/>
  <c r="H16" i="43"/>
  <c r="I16" i="43"/>
  <c r="J16" i="43"/>
  <c r="K16" i="43"/>
  <c r="L16" i="43"/>
  <c r="M16" i="43"/>
  <c r="N16" i="43"/>
  <c r="C16" i="43"/>
  <c r="N73" i="65" l="1"/>
  <c r="O29" i="43"/>
  <c r="Q29" i="43" s="1"/>
  <c r="O16" i="43"/>
  <c r="Q16" i="43" s="1"/>
  <c r="D72" i="74"/>
  <c r="E72" i="74"/>
  <c r="F72" i="74"/>
  <c r="G72" i="74"/>
  <c r="H72" i="74"/>
  <c r="I72" i="74"/>
  <c r="J72" i="74"/>
  <c r="K72" i="74"/>
  <c r="L72" i="74"/>
  <c r="M72" i="74"/>
  <c r="N72" i="74"/>
  <c r="C72" i="74"/>
  <c r="D68" i="74"/>
  <c r="E68" i="74"/>
  <c r="F68" i="74"/>
  <c r="G68" i="74"/>
  <c r="H68" i="74"/>
  <c r="I68" i="74"/>
  <c r="J68" i="74"/>
  <c r="K68" i="74"/>
  <c r="L68" i="74"/>
  <c r="M68" i="74"/>
  <c r="N68" i="74"/>
  <c r="C68" i="74"/>
  <c r="D67" i="74"/>
  <c r="E67" i="74"/>
  <c r="F67" i="74"/>
  <c r="G67" i="74"/>
  <c r="H67" i="74"/>
  <c r="I67" i="74"/>
  <c r="J67" i="74"/>
  <c r="K67" i="74"/>
  <c r="L67" i="74"/>
  <c r="M67" i="74"/>
  <c r="N67" i="74"/>
  <c r="C67" i="74"/>
  <c r="J57" i="79"/>
  <c r="D57" i="74"/>
  <c r="E57" i="74"/>
  <c r="F57" i="74"/>
  <c r="G57" i="74"/>
  <c r="H57" i="74"/>
  <c r="I57" i="74"/>
  <c r="J57" i="74"/>
  <c r="K57" i="74"/>
  <c r="L57" i="74"/>
  <c r="M57" i="74"/>
  <c r="N57" i="74"/>
  <c r="C57" i="74"/>
  <c r="C161" i="74"/>
  <c r="C165" i="74" s="1"/>
  <c r="C166" i="74"/>
  <c r="C174" i="74"/>
  <c r="C178" i="74" s="1"/>
  <c r="D71" i="82"/>
  <c r="E71" i="82"/>
  <c r="F71" i="82"/>
  <c r="G71" i="82"/>
  <c r="H71" i="82"/>
  <c r="I71" i="82"/>
  <c r="J71" i="82"/>
  <c r="K71" i="82"/>
  <c r="L71" i="82"/>
  <c r="M71" i="82"/>
  <c r="N71" i="82"/>
  <c r="C71" i="82"/>
  <c r="D67" i="82"/>
  <c r="E67" i="82"/>
  <c r="F67" i="82"/>
  <c r="G67" i="82"/>
  <c r="H67" i="82"/>
  <c r="I67" i="82"/>
  <c r="J67" i="82"/>
  <c r="K67" i="82"/>
  <c r="L67" i="82"/>
  <c r="M67" i="82"/>
  <c r="N67" i="82"/>
  <c r="C67" i="82"/>
  <c r="D61" i="82"/>
  <c r="D97" i="43" s="1"/>
  <c r="C61" i="82"/>
  <c r="C97" i="43" s="1"/>
  <c r="D11" i="82" l="1"/>
  <c r="E11" i="82"/>
  <c r="F11" i="82"/>
  <c r="G11" i="82"/>
  <c r="H11" i="82"/>
  <c r="I11" i="82"/>
  <c r="J11" i="82"/>
  <c r="K11" i="82"/>
  <c r="L11" i="82"/>
  <c r="M11" i="82"/>
  <c r="N11" i="82"/>
  <c r="C11" i="82"/>
  <c r="D9" i="82" l="1"/>
  <c r="E9" i="82"/>
  <c r="F9" i="82"/>
  <c r="G9" i="82"/>
  <c r="H9" i="82"/>
  <c r="I9" i="82"/>
  <c r="J9" i="82"/>
  <c r="K9" i="82"/>
  <c r="L9" i="82"/>
  <c r="M9" i="82"/>
  <c r="N9" i="82"/>
  <c r="C9" i="82"/>
  <c r="D8" i="82"/>
  <c r="E8" i="82"/>
  <c r="F8" i="82"/>
  <c r="G8" i="82"/>
  <c r="H8" i="82"/>
  <c r="I8" i="82"/>
  <c r="J8" i="82"/>
  <c r="K8" i="82"/>
  <c r="L8" i="82"/>
  <c r="M8" i="82"/>
  <c r="N8" i="82"/>
  <c r="C8" i="82"/>
  <c r="N71" i="79"/>
  <c r="M71" i="79"/>
  <c r="L71" i="79"/>
  <c r="K71" i="79"/>
  <c r="J71" i="79"/>
  <c r="I71" i="79"/>
  <c r="H71" i="79"/>
  <c r="G71" i="79"/>
  <c r="F71" i="79"/>
  <c r="E71" i="79"/>
  <c r="D71" i="79"/>
  <c r="C71" i="79"/>
  <c r="D67" i="79"/>
  <c r="E67" i="79"/>
  <c r="F67" i="79"/>
  <c r="G67" i="79"/>
  <c r="H67" i="79"/>
  <c r="I67" i="79"/>
  <c r="J67" i="79"/>
  <c r="K67" i="79"/>
  <c r="L67" i="79"/>
  <c r="M67" i="79"/>
  <c r="N67" i="79"/>
  <c r="C67" i="79"/>
  <c r="D72" i="79"/>
  <c r="E72" i="79"/>
  <c r="F72" i="79"/>
  <c r="G72" i="79"/>
  <c r="H72" i="79"/>
  <c r="I72" i="79"/>
  <c r="J72" i="79"/>
  <c r="K72" i="79"/>
  <c r="L72" i="79"/>
  <c r="M72" i="79"/>
  <c r="N72" i="79"/>
  <c r="C72" i="79"/>
  <c r="D68" i="79"/>
  <c r="E68" i="79"/>
  <c r="F68" i="79"/>
  <c r="G68" i="79"/>
  <c r="H68" i="79"/>
  <c r="I68" i="79"/>
  <c r="J68" i="79"/>
  <c r="K68" i="79"/>
  <c r="L68" i="79"/>
  <c r="M68" i="79"/>
  <c r="N68" i="79"/>
  <c r="C68" i="79"/>
  <c r="N57" i="79"/>
  <c r="M57" i="79"/>
  <c r="L57" i="79"/>
  <c r="D57" i="79"/>
  <c r="E57" i="79"/>
  <c r="F57" i="79"/>
  <c r="G57" i="79"/>
  <c r="H57" i="79"/>
  <c r="I57" i="79"/>
  <c r="C57" i="79"/>
  <c r="D42" i="79"/>
  <c r="E42" i="79"/>
  <c r="F42" i="79"/>
  <c r="G42" i="79"/>
  <c r="H42" i="79"/>
  <c r="I42" i="79"/>
  <c r="J42" i="79"/>
  <c r="K42" i="79"/>
  <c r="L42" i="79"/>
  <c r="M42" i="79"/>
  <c r="N42" i="79"/>
  <c r="C42" i="79"/>
  <c r="D8" i="79"/>
  <c r="E8" i="79"/>
  <c r="F8" i="79"/>
  <c r="G8" i="79"/>
  <c r="H8" i="79"/>
  <c r="I8" i="79"/>
  <c r="J8" i="79"/>
  <c r="K8" i="79"/>
  <c r="L8" i="79"/>
  <c r="M8" i="79"/>
  <c r="N8" i="79"/>
  <c r="C8" i="79"/>
  <c r="D9" i="78" l="1"/>
  <c r="E9" i="78"/>
  <c r="F9" i="78"/>
  <c r="G9" i="78"/>
  <c r="H9" i="78"/>
  <c r="I9" i="78"/>
  <c r="J9" i="78"/>
  <c r="K9" i="78"/>
  <c r="L9" i="78"/>
  <c r="M9" i="78"/>
  <c r="N9" i="78"/>
  <c r="C9" i="78"/>
  <c r="D67" i="78"/>
  <c r="E67" i="78"/>
  <c r="F67" i="78"/>
  <c r="G67" i="78"/>
  <c r="H67" i="78"/>
  <c r="I67" i="78"/>
  <c r="J67" i="78"/>
  <c r="K67" i="78"/>
  <c r="L67" i="78"/>
  <c r="M67" i="78"/>
  <c r="N67" i="78"/>
  <c r="C67" i="78"/>
  <c r="D68" i="78"/>
  <c r="E68" i="78"/>
  <c r="F68" i="78"/>
  <c r="G68" i="78"/>
  <c r="H68" i="78"/>
  <c r="I68" i="78"/>
  <c r="J68" i="78"/>
  <c r="K68" i="78"/>
  <c r="L68" i="78"/>
  <c r="M68" i="78"/>
  <c r="N68" i="78"/>
  <c r="C68" i="78"/>
  <c r="C63" i="78"/>
  <c r="C99" i="43" s="1"/>
  <c r="D57" i="78"/>
  <c r="E57" i="78"/>
  <c r="F57" i="78"/>
  <c r="G57" i="78"/>
  <c r="H57" i="78"/>
  <c r="I57" i="78"/>
  <c r="J57" i="78"/>
  <c r="K57" i="78"/>
  <c r="L57" i="78"/>
  <c r="M57" i="78"/>
  <c r="N57" i="78"/>
  <c r="C57" i="78"/>
  <c r="D71" i="77" l="1"/>
  <c r="E71" i="77"/>
  <c r="F71" i="77"/>
  <c r="G71" i="77"/>
  <c r="H71" i="77"/>
  <c r="I71" i="77"/>
  <c r="J71" i="77"/>
  <c r="K71" i="77"/>
  <c r="L71" i="77"/>
  <c r="M71" i="77"/>
  <c r="N71" i="77"/>
  <c r="C71" i="77"/>
  <c r="D69" i="77"/>
  <c r="E69" i="77"/>
  <c r="F69" i="77"/>
  <c r="G69" i="77"/>
  <c r="H69" i="77"/>
  <c r="I69" i="77"/>
  <c r="J69" i="77"/>
  <c r="K69" i="77"/>
  <c r="L69" i="77"/>
  <c r="M69" i="77"/>
  <c r="N69" i="77"/>
  <c r="C69" i="77"/>
  <c r="D68" i="77"/>
  <c r="E68" i="77"/>
  <c r="F68" i="77"/>
  <c r="G68" i="77"/>
  <c r="H68" i="77"/>
  <c r="I68" i="77"/>
  <c r="J68" i="77"/>
  <c r="K68" i="77"/>
  <c r="L68" i="77"/>
  <c r="M68" i="77"/>
  <c r="N68" i="77"/>
  <c r="C68" i="77"/>
  <c r="D67" i="77"/>
  <c r="D103" i="43" s="1"/>
  <c r="E67" i="77"/>
  <c r="E103" i="43" s="1"/>
  <c r="F67" i="77"/>
  <c r="F103" i="43" s="1"/>
  <c r="G67" i="77"/>
  <c r="G103" i="43" s="1"/>
  <c r="H67" i="77"/>
  <c r="H103" i="43" s="1"/>
  <c r="I67" i="77"/>
  <c r="I103" i="43" s="1"/>
  <c r="J67" i="77"/>
  <c r="J103" i="43" s="1"/>
  <c r="K67" i="77"/>
  <c r="K103" i="43" s="1"/>
  <c r="L67" i="77"/>
  <c r="L103" i="43" s="1"/>
  <c r="M67" i="77"/>
  <c r="M103" i="43" s="1"/>
  <c r="N67" i="77"/>
  <c r="N103" i="43" s="1"/>
  <c r="C67" i="77"/>
  <c r="C103" i="43" s="1"/>
  <c r="E27" i="77"/>
  <c r="G27" i="77"/>
  <c r="H27" i="77"/>
  <c r="I27" i="77"/>
  <c r="J27" i="77"/>
  <c r="F27" i="77"/>
  <c r="D9" i="77"/>
  <c r="D22" i="43" s="1"/>
  <c r="E9" i="77"/>
  <c r="E22" i="43" s="1"/>
  <c r="F9" i="77"/>
  <c r="F22" i="43" s="1"/>
  <c r="G9" i="77"/>
  <c r="G22" i="43" s="1"/>
  <c r="H9" i="77"/>
  <c r="H22" i="43" s="1"/>
  <c r="C9" i="77"/>
  <c r="C22" i="43" s="1"/>
  <c r="D8" i="77"/>
  <c r="D21" i="43" s="1"/>
  <c r="E8" i="77"/>
  <c r="E21" i="43" s="1"/>
  <c r="F8" i="77"/>
  <c r="F21" i="43" s="1"/>
  <c r="G8" i="77"/>
  <c r="G21" i="43" s="1"/>
  <c r="H8" i="77"/>
  <c r="H21" i="43" s="1"/>
  <c r="I8" i="77"/>
  <c r="I21" i="43" s="1"/>
  <c r="J8" i="77"/>
  <c r="J21" i="43" s="1"/>
  <c r="K8" i="77"/>
  <c r="K21" i="43" s="1"/>
  <c r="L8" i="77"/>
  <c r="L21" i="43" s="1"/>
  <c r="M8" i="77"/>
  <c r="M21" i="43" s="1"/>
  <c r="N8" i="77"/>
  <c r="N21" i="43" s="1"/>
  <c r="C8" i="77"/>
  <c r="C21" i="43" s="1"/>
  <c r="O21" i="43" l="1"/>
  <c r="Q21" i="43" s="1"/>
  <c r="O22" i="43"/>
  <c r="Q22" i="43" s="1"/>
  <c r="D23" i="81"/>
  <c r="E23" i="81"/>
  <c r="F23" i="81"/>
  <c r="G23" i="81"/>
  <c r="H23" i="81"/>
  <c r="I23" i="81"/>
  <c r="J23" i="81"/>
  <c r="K23" i="81"/>
  <c r="L23" i="81"/>
  <c r="M23" i="81"/>
  <c r="N23" i="81"/>
  <c r="C23" i="81"/>
  <c r="D8" i="81"/>
  <c r="E8" i="81"/>
  <c r="F8" i="81"/>
  <c r="G8" i="81"/>
  <c r="H8" i="81"/>
  <c r="I8" i="81"/>
  <c r="J8" i="81"/>
  <c r="K8" i="81"/>
  <c r="L8" i="81"/>
  <c r="M8" i="81"/>
  <c r="N8" i="81"/>
  <c r="C8" i="81"/>
  <c r="D9" i="81"/>
  <c r="E9" i="81"/>
  <c r="F9" i="81"/>
  <c r="G9" i="81"/>
  <c r="H9" i="81"/>
  <c r="I9" i="81"/>
  <c r="J9" i="81"/>
  <c r="K9" i="81"/>
  <c r="L9" i="81"/>
  <c r="M9" i="81"/>
  <c r="N9" i="81"/>
  <c r="C9" i="81"/>
  <c r="N213" i="95"/>
  <c r="N217" i="95" s="1"/>
  <c r="M213" i="95"/>
  <c r="M217" i="95" s="1"/>
  <c r="L213" i="95"/>
  <c r="L214" i="95" s="1"/>
  <c r="L215" i="95" s="1"/>
  <c r="K213" i="95"/>
  <c r="K217" i="95" s="1"/>
  <c r="J213" i="95"/>
  <c r="J217" i="95" s="1"/>
  <c r="I213" i="95"/>
  <c r="I217" i="95" s="1"/>
  <c r="H213" i="95"/>
  <c r="G213" i="95"/>
  <c r="G214" i="95" s="1"/>
  <c r="F213" i="95"/>
  <c r="F217" i="95" s="1"/>
  <c r="E213" i="95"/>
  <c r="E217" i="95" s="1"/>
  <c r="D213" i="95"/>
  <c r="D217" i="95" s="1"/>
  <c r="C213" i="95"/>
  <c r="C217" i="95" s="1"/>
  <c r="N200" i="95"/>
  <c r="N204" i="95" s="1"/>
  <c r="M200" i="95"/>
  <c r="L200" i="95"/>
  <c r="L204" i="95" s="1"/>
  <c r="K200" i="95"/>
  <c r="K201" i="95" s="1"/>
  <c r="K206" i="95" s="1"/>
  <c r="J200" i="95"/>
  <c r="J204" i="95" s="1"/>
  <c r="I200" i="95"/>
  <c r="H200" i="95"/>
  <c r="G200" i="95"/>
  <c r="G201" i="95" s="1"/>
  <c r="G206" i="95" s="1"/>
  <c r="F200" i="95"/>
  <c r="F204" i="95" s="1"/>
  <c r="E200" i="95"/>
  <c r="E204" i="95" s="1"/>
  <c r="D200" i="95"/>
  <c r="C200" i="95"/>
  <c r="C201" i="95" s="1"/>
  <c r="C206" i="95" s="1"/>
  <c r="N187" i="95"/>
  <c r="M187" i="95"/>
  <c r="M188" i="95" s="1"/>
  <c r="M190" i="95" s="1"/>
  <c r="L187" i="95"/>
  <c r="L191" i="95" s="1"/>
  <c r="K187" i="95"/>
  <c r="J187" i="95"/>
  <c r="I187" i="95"/>
  <c r="I188" i="95" s="1"/>
  <c r="I190" i="95" s="1"/>
  <c r="H187" i="95"/>
  <c r="H191" i="95" s="1"/>
  <c r="G187" i="95"/>
  <c r="G191" i="95" s="1"/>
  <c r="F187" i="95"/>
  <c r="E187" i="95"/>
  <c r="E188" i="95" s="1"/>
  <c r="E190" i="95" s="1"/>
  <c r="D187" i="95"/>
  <c r="D191" i="95" s="1"/>
  <c r="C187" i="95"/>
  <c r="C188" i="95" s="1"/>
  <c r="N179" i="95"/>
  <c r="M179" i="95"/>
  <c r="L179" i="95"/>
  <c r="K179" i="95"/>
  <c r="J179" i="95"/>
  <c r="I179" i="95"/>
  <c r="H179" i="95"/>
  <c r="G179" i="95"/>
  <c r="F179" i="95"/>
  <c r="E179" i="95"/>
  <c r="D179" i="95"/>
  <c r="C179" i="95"/>
  <c r="N174" i="95"/>
  <c r="N178" i="95" s="1"/>
  <c r="M174" i="95"/>
  <c r="L174" i="95"/>
  <c r="L175" i="95" s="1"/>
  <c r="K174" i="95"/>
  <c r="K175" i="95" s="1"/>
  <c r="J174" i="95"/>
  <c r="J178" i="95" s="1"/>
  <c r="I174" i="95"/>
  <c r="I178" i="95" s="1"/>
  <c r="H174" i="95"/>
  <c r="H175" i="95" s="1"/>
  <c r="H180" i="95" s="1"/>
  <c r="G174" i="95"/>
  <c r="G175" i="95" s="1"/>
  <c r="G180" i="95" s="1"/>
  <c r="F174" i="95"/>
  <c r="F178" i="95" s="1"/>
  <c r="E174" i="95"/>
  <c r="D174" i="95"/>
  <c r="D175" i="95" s="1"/>
  <c r="D180" i="95" s="1"/>
  <c r="C174" i="95"/>
  <c r="C175" i="95" s="1"/>
  <c r="C180" i="95" s="1"/>
  <c r="N161" i="95"/>
  <c r="M161" i="95"/>
  <c r="M162" i="95" s="1"/>
  <c r="M163" i="95" s="1"/>
  <c r="L161" i="95"/>
  <c r="L162" i="95" s="1"/>
  <c r="K161" i="95"/>
  <c r="K165" i="95" s="1"/>
  <c r="J161" i="95"/>
  <c r="J162" i="95" s="1"/>
  <c r="J167" i="95" s="1"/>
  <c r="I161" i="95"/>
  <c r="I162" i="95" s="1"/>
  <c r="H161" i="95"/>
  <c r="H162" i="95" s="1"/>
  <c r="H167" i="95" s="1"/>
  <c r="G161" i="95"/>
  <c r="G165" i="95" s="1"/>
  <c r="F161" i="95"/>
  <c r="E161" i="95"/>
  <c r="E162" i="95" s="1"/>
  <c r="E167" i="95" s="1"/>
  <c r="D161" i="95"/>
  <c r="D162" i="95" s="1"/>
  <c r="D167" i="95" s="1"/>
  <c r="C161" i="95"/>
  <c r="C165" i="95" s="1"/>
  <c r="N148" i="95"/>
  <c r="M148" i="95"/>
  <c r="L148" i="95"/>
  <c r="K148" i="95"/>
  <c r="J148" i="95"/>
  <c r="I148" i="95"/>
  <c r="H148" i="95"/>
  <c r="G148" i="95"/>
  <c r="F148" i="95"/>
  <c r="E148" i="95"/>
  <c r="D148" i="95"/>
  <c r="C148" i="95"/>
  <c r="N140" i="95"/>
  <c r="M140" i="95"/>
  <c r="L140" i="95"/>
  <c r="K140" i="95"/>
  <c r="J140" i="95"/>
  <c r="I140" i="95"/>
  <c r="H140" i="95"/>
  <c r="G140" i="95"/>
  <c r="F140" i="95"/>
  <c r="E140" i="95"/>
  <c r="D140" i="95"/>
  <c r="C140" i="95"/>
  <c r="N135" i="95"/>
  <c r="M135" i="95"/>
  <c r="M136" i="95" s="1"/>
  <c r="M141" i="95" s="1"/>
  <c r="L135" i="95"/>
  <c r="L139" i="95" s="1"/>
  <c r="K135" i="95"/>
  <c r="K136" i="95" s="1"/>
  <c r="J135" i="95"/>
  <c r="J139" i="95" s="1"/>
  <c r="I135" i="95"/>
  <c r="I136" i="95" s="1"/>
  <c r="I141" i="95" s="1"/>
  <c r="H135" i="95"/>
  <c r="G135" i="95"/>
  <c r="G139" i="95" s="1"/>
  <c r="F135" i="95"/>
  <c r="F139" i="95" s="1"/>
  <c r="E135" i="95"/>
  <c r="E136" i="95" s="1"/>
  <c r="E137" i="95" s="1"/>
  <c r="D135" i="95"/>
  <c r="D139" i="95" s="1"/>
  <c r="C135" i="95"/>
  <c r="C139" i="95" s="1"/>
  <c r="N127" i="95"/>
  <c r="M127" i="95"/>
  <c r="L127" i="95"/>
  <c r="K127" i="95"/>
  <c r="J127" i="95"/>
  <c r="I127" i="95"/>
  <c r="H127" i="95"/>
  <c r="G127" i="95"/>
  <c r="F127" i="95"/>
  <c r="E127" i="95"/>
  <c r="D127" i="95"/>
  <c r="C127" i="95"/>
  <c r="N122" i="95"/>
  <c r="N123" i="95" s="1"/>
  <c r="N128" i="95" s="1"/>
  <c r="M122" i="95"/>
  <c r="M123" i="95" s="1"/>
  <c r="M128" i="95" s="1"/>
  <c r="L122" i="95"/>
  <c r="L126" i="95" s="1"/>
  <c r="K122" i="95"/>
  <c r="K126" i="95" s="1"/>
  <c r="J122" i="95"/>
  <c r="J123" i="95" s="1"/>
  <c r="J128" i="95" s="1"/>
  <c r="I122" i="95"/>
  <c r="I123" i="95" s="1"/>
  <c r="H122" i="95"/>
  <c r="H126" i="95" s="1"/>
  <c r="G122" i="95"/>
  <c r="G126" i="95" s="1"/>
  <c r="F122" i="95"/>
  <c r="F126" i="95" s="1"/>
  <c r="E122" i="95"/>
  <c r="E123" i="95" s="1"/>
  <c r="D122" i="95"/>
  <c r="D126" i="95" s="1"/>
  <c r="C122" i="95"/>
  <c r="C123" i="95" s="1"/>
  <c r="C128" i="95" s="1"/>
  <c r="N120" i="95"/>
  <c r="N133" i="95" s="1"/>
  <c r="N146" i="95" s="1"/>
  <c r="N159" i="95" s="1"/>
  <c r="N172" i="95" s="1"/>
  <c r="N185" i="95" s="1"/>
  <c r="N198" i="95" s="1"/>
  <c r="N211" i="95" s="1"/>
  <c r="M120" i="95"/>
  <c r="M133" i="95" s="1"/>
  <c r="M146" i="95" s="1"/>
  <c r="M159" i="95" s="1"/>
  <c r="M172" i="95" s="1"/>
  <c r="M185" i="95" s="1"/>
  <c r="M198" i="95" s="1"/>
  <c r="M211" i="95" s="1"/>
  <c r="L120" i="95"/>
  <c r="L133" i="95" s="1"/>
  <c r="L146" i="95" s="1"/>
  <c r="L159" i="95" s="1"/>
  <c r="L172" i="95" s="1"/>
  <c r="L185" i="95" s="1"/>
  <c r="L198" i="95" s="1"/>
  <c r="L211" i="95" s="1"/>
  <c r="K120" i="95"/>
  <c r="K133" i="95" s="1"/>
  <c r="K146" i="95" s="1"/>
  <c r="K159" i="95" s="1"/>
  <c r="K172" i="95" s="1"/>
  <c r="K185" i="95" s="1"/>
  <c r="K198" i="95" s="1"/>
  <c r="K211" i="95" s="1"/>
  <c r="J120" i="95"/>
  <c r="J133" i="95" s="1"/>
  <c r="J146" i="95" s="1"/>
  <c r="J159" i="95" s="1"/>
  <c r="J172" i="95" s="1"/>
  <c r="J185" i="95" s="1"/>
  <c r="J198" i="95" s="1"/>
  <c r="J211" i="95" s="1"/>
  <c r="I120" i="95"/>
  <c r="I133" i="95" s="1"/>
  <c r="I146" i="95" s="1"/>
  <c r="I159" i="95" s="1"/>
  <c r="I172" i="95" s="1"/>
  <c r="I185" i="95" s="1"/>
  <c r="I198" i="95" s="1"/>
  <c r="I211" i="95" s="1"/>
  <c r="H120" i="95"/>
  <c r="H133" i="95" s="1"/>
  <c r="H146" i="95" s="1"/>
  <c r="H159" i="95" s="1"/>
  <c r="H172" i="95" s="1"/>
  <c r="H185" i="95" s="1"/>
  <c r="H198" i="95" s="1"/>
  <c r="H211" i="95" s="1"/>
  <c r="G120" i="95"/>
  <c r="G133" i="95" s="1"/>
  <c r="G146" i="95" s="1"/>
  <c r="G159" i="95" s="1"/>
  <c r="G172" i="95" s="1"/>
  <c r="G185" i="95" s="1"/>
  <c r="G198" i="95" s="1"/>
  <c r="G211" i="95" s="1"/>
  <c r="F120" i="95"/>
  <c r="F133" i="95" s="1"/>
  <c r="F146" i="95" s="1"/>
  <c r="F159" i="95" s="1"/>
  <c r="F172" i="95" s="1"/>
  <c r="F185" i="95" s="1"/>
  <c r="F198" i="95" s="1"/>
  <c r="F211" i="95" s="1"/>
  <c r="E120" i="95"/>
  <c r="E133" i="95" s="1"/>
  <c r="E146" i="95" s="1"/>
  <c r="E159" i="95" s="1"/>
  <c r="E172" i="95" s="1"/>
  <c r="E185" i="95" s="1"/>
  <c r="E198" i="95" s="1"/>
  <c r="E211" i="95" s="1"/>
  <c r="D120" i="95"/>
  <c r="D133" i="95" s="1"/>
  <c r="D146" i="95" s="1"/>
  <c r="D159" i="95" s="1"/>
  <c r="D172" i="95" s="1"/>
  <c r="D185" i="95" s="1"/>
  <c r="D198" i="95" s="1"/>
  <c r="D211" i="95" s="1"/>
  <c r="N119" i="95"/>
  <c r="N132" i="95" s="1"/>
  <c r="N145" i="95" s="1"/>
  <c r="N158" i="95" s="1"/>
  <c r="N171" i="95" s="1"/>
  <c r="N184" i="95" s="1"/>
  <c r="N197" i="95" s="1"/>
  <c r="N210" i="95" s="1"/>
  <c r="M119" i="95"/>
  <c r="M132" i="95" s="1"/>
  <c r="M145" i="95" s="1"/>
  <c r="M158" i="95" s="1"/>
  <c r="M171" i="95" s="1"/>
  <c r="M184" i="95" s="1"/>
  <c r="M197" i="95" s="1"/>
  <c r="M210" i="95" s="1"/>
  <c r="L119" i="95"/>
  <c r="L132" i="95" s="1"/>
  <c r="L145" i="95" s="1"/>
  <c r="L158" i="95" s="1"/>
  <c r="L171" i="95" s="1"/>
  <c r="L184" i="95" s="1"/>
  <c r="L197" i="95" s="1"/>
  <c r="L210" i="95" s="1"/>
  <c r="K119" i="95"/>
  <c r="K132" i="95" s="1"/>
  <c r="K145" i="95" s="1"/>
  <c r="K158" i="95" s="1"/>
  <c r="K171" i="95" s="1"/>
  <c r="K184" i="95" s="1"/>
  <c r="K197" i="95" s="1"/>
  <c r="K210" i="95" s="1"/>
  <c r="J119" i="95"/>
  <c r="J132" i="95" s="1"/>
  <c r="J145" i="95" s="1"/>
  <c r="J158" i="95" s="1"/>
  <c r="J171" i="95" s="1"/>
  <c r="J184" i="95" s="1"/>
  <c r="J197" i="95" s="1"/>
  <c r="J210" i="95" s="1"/>
  <c r="I119" i="95"/>
  <c r="I132" i="95" s="1"/>
  <c r="I145" i="95" s="1"/>
  <c r="I158" i="95" s="1"/>
  <c r="I171" i="95" s="1"/>
  <c r="I184" i="95" s="1"/>
  <c r="I197" i="95" s="1"/>
  <c r="I210" i="95" s="1"/>
  <c r="H119" i="95"/>
  <c r="H132" i="95" s="1"/>
  <c r="H145" i="95" s="1"/>
  <c r="H158" i="95" s="1"/>
  <c r="H171" i="95" s="1"/>
  <c r="H184" i="95" s="1"/>
  <c r="H197" i="95" s="1"/>
  <c r="H210" i="95" s="1"/>
  <c r="G119" i="95"/>
  <c r="G132" i="95" s="1"/>
  <c r="G145" i="95" s="1"/>
  <c r="G158" i="95" s="1"/>
  <c r="G171" i="95" s="1"/>
  <c r="G184" i="95" s="1"/>
  <c r="G197" i="95" s="1"/>
  <c r="G210" i="95" s="1"/>
  <c r="F119" i="95"/>
  <c r="F132" i="95" s="1"/>
  <c r="F145" i="95" s="1"/>
  <c r="F158" i="95" s="1"/>
  <c r="F171" i="95" s="1"/>
  <c r="F184" i="95" s="1"/>
  <c r="F197" i="95" s="1"/>
  <c r="F210" i="95" s="1"/>
  <c r="E119" i="95"/>
  <c r="E132" i="95" s="1"/>
  <c r="E145" i="95" s="1"/>
  <c r="E158" i="95" s="1"/>
  <c r="E171" i="95" s="1"/>
  <c r="E184" i="95" s="1"/>
  <c r="E197" i="95" s="1"/>
  <c r="E210" i="95" s="1"/>
  <c r="D119" i="95"/>
  <c r="D132" i="95" s="1"/>
  <c r="D145" i="95" s="1"/>
  <c r="D158" i="95" s="1"/>
  <c r="D171" i="95" s="1"/>
  <c r="D184" i="95" s="1"/>
  <c r="D197" i="95" s="1"/>
  <c r="D210" i="95" s="1"/>
  <c r="C119" i="95"/>
  <c r="C132" i="95" s="1"/>
  <c r="C145" i="95" s="1"/>
  <c r="C158" i="95" s="1"/>
  <c r="C171" i="95" s="1"/>
  <c r="C184" i="95" s="1"/>
  <c r="C197" i="95" s="1"/>
  <c r="C210" i="95" s="1"/>
  <c r="N109" i="95"/>
  <c r="N113" i="95" s="1"/>
  <c r="M109" i="95"/>
  <c r="M113" i="95" s="1"/>
  <c r="L109" i="95"/>
  <c r="L110" i="95" s="1"/>
  <c r="K109" i="95"/>
  <c r="K110" i="95" s="1"/>
  <c r="K115" i="95" s="1"/>
  <c r="J109" i="95"/>
  <c r="J113" i="95" s="1"/>
  <c r="I109" i="95"/>
  <c r="I113" i="95" s="1"/>
  <c r="H109" i="95"/>
  <c r="H113" i="95" s="1"/>
  <c r="G109" i="95"/>
  <c r="G110" i="95" s="1"/>
  <c r="G115" i="95" s="1"/>
  <c r="F109" i="95"/>
  <c r="F113" i="95" s="1"/>
  <c r="E109" i="95"/>
  <c r="E113" i="95" s="1"/>
  <c r="D109" i="95"/>
  <c r="D110" i="95" s="1"/>
  <c r="D115" i="95" s="1"/>
  <c r="C109" i="95"/>
  <c r="C110" i="95" s="1"/>
  <c r="C107" i="95"/>
  <c r="C120" i="95" s="1"/>
  <c r="C133" i="95" s="1"/>
  <c r="C146" i="95" s="1"/>
  <c r="C159" i="95" s="1"/>
  <c r="C172" i="95" s="1"/>
  <c r="C185" i="95" s="1"/>
  <c r="C198" i="95" s="1"/>
  <c r="C211" i="95" s="1"/>
  <c r="N102" i="95"/>
  <c r="M102" i="95"/>
  <c r="L20" i="53" s="1"/>
  <c r="L102" i="95"/>
  <c r="K20" i="53" s="1"/>
  <c r="K102" i="95"/>
  <c r="J102" i="95"/>
  <c r="I102" i="95"/>
  <c r="H20" i="53" s="1"/>
  <c r="H102" i="95"/>
  <c r="G102" i="95"/>
  <c r="F102" i="95"/>
  <c r="E102" i="95"/>
  <c r="D102" i="95"/>
  <c r="C20" i="53" s="1"/>
  <c r="C102" i="95"/>
  <c r="B94" i="95"/>
  <c r="B89" i="95"/>
  <c r="B88" i="95"/>
  <c r="B82" i="95"/>
  <c r="A82" i="95"/>
  <c r="B80" i="95"/>
  <c r="A80" i="95"/>
  <c r="B79" i="95"/>
  <c r="A79" i="95"/>
  <c r="B78" i="95"/>
  <c r="A78" i="95"/>
  <c r="B77" i="95"/>
  <c r="A77" i="95"/>
  <c r="B76" i="95"/>
  <c r="A76" i="95"/>
  <c r="A75" i="95"/>
  <c r="B74" i="95"/>
  <c r="A74" i="95"/>
  <c r="B73" i="95"/>
  <c r="A73" i="95"/>
  <c r="A72" i="95"/>
  <c r="B71" i="95"/>
  <c r="A71" i="95"/>
  <c r="B70" i="95"/>
  <c r="A70" i="95"/>
  <c r="B69" i="95"/>
  <c r="A69" i="95"/>
  <c r="B68" i="95"/>
  <c r="A68" i="95"/>
  <c r="B67" i="95"/>
  <c r="A67" i="95"/>
  <c r="B66" i="95"/>
  <c r="A66" i="95"/>
  <c r="B65" i="95"/>
  <c r="A65" i="95"/>
  <c r="B64" i="95"/>
  <c r="A64" i="95"/>
  <c r="B63" i="95"/>
  <c r="A63" i="95"/>
  <c r="A62" i="95"/>
  <c r="B61" i="95"/>
  <c r="A61" i="95"/>
  <c r="B60" i="95"/>
  <c r="A60" i="95"/>
  <c r="B59" i="95"/>
  <c r="A59" i="95"/>
  <c r="A58" i="95"/>
  <c r="B57" i="95"/>
  <c r="A57" i="95"/>
  <c r="D46" i="95"/>
  <c r="B45" i="95"/>
  <c r="B44" i="95"/>
  <c r="B43" i="95"/>
  <c r="B42" i="95"/>
  <c r="N81" i="95"/>
  <c r="M81" i="95"/>
  <c r="L81" i="95"/>
  <c r="K81" i="95"/>
  <c r="J81" i="95"/>
  <c r="I81" i="95"/>
  <c r="H81" i="95"/>
  <c r="G81" i="95"/>
  <c r="F81" i="95"/>
  <c r="E81" i="95"/>
  <c r="D81" i="95"/>
  <c r="C46" i="95"/>
  <c r="B40" i="95"/>
  <c r="B39" i="95"/>
  <c r="B38" i="95"/>
  <c r="B37" i="95"/>
  <c r="B36" i="95"/>
  <c r="B35" i="95"/>
  <c r="B34" i="95"/>
  <c r="B33" i="95"/>
  <c r="B32" i="95"/>
  <c r="B31" i="95"/>
  <c r="B30" i="95"/>
  <c r="B29" i="95"/>
  <c r="B28" i="95"/>
  <c r="B27" i="95"/>
  <c r="B26" i="95"/>
  <c r="B25" i="95"/>
  <c r="B24" i="95"/>
  <c r="B23" i="95"/>
  <c r="B22" i="95"/>
  <c r="B21" i="95"/>
  <c r="B20" i="95"/>
  <c r="B19" i="95"/>
  <c r="B18" i="95"/>
  <c r="B17" i="95"/>
  <c r="B16" i="95"/>
  <c r="B15" i="95"/>
  <c r="B14" i="95"/>
  <c r="B13" i="95"/>
  <c r="B12" i="95"/>
  <c r="B11" i="95"/>
  <c r="B10" i="95"/>
  <c r="B9" i="95"/>
  <c r="N46" i="95"/>
  <c r="M46" i="95"/>
  <c r="J46" i="95"/>
  <c r="I46" i="95"/>
  <c r="F46" i="95"/>
  <c r="N5" i="95"/>
  <c r="N105" i="95" s="1"/>
  <c r="N118" i="95" s="1"/>
  <c r="N131" i="95" s="1"/>
  <c r="N144" i="95" s="1"/>
  <c r="N157" i="95" s="1"/>
  <c r="N170" i="95" s="1"/>
  <c r="N183" i="95" s="1"/>
  <c r="N196" i="95" s="1"/>
  <c r="N209" i="95" s="1"/>
  <c r="M5" i="95"/>
  <c r="M105" i="95" s="1"/>
  <c r="M118" i="95" s="1"/>
  <c r="M131" i="95" s="1"/>
  <c r="M144" i="95" s="1"/>
  <c r="M157" i="95" s="1"/>
  <c r="M170" i="95" s="1"/>
  <c r="M183" i="95" s="1"/>
  <c r="M196" i="95" s="1"/>
  <c r="M209" i="95" s="1"/>
  <c r="L5" i="95"/>
  <c r="L105" i="95" s="1"/>
  <c r="L118" i="95" s="1"/>
  <c r="L131" i="95" s="1"/>
  <c r="L144" i="95" s="1"/>
  <c r="L157" i="95" s="1"/>
  <c r="L170" i="95" s="1"/>
  <c r="L183" i="95" s="1"/>
  <c r="L196" i="95" s="1"/>
  <c r="L209" i="95" s="1"/>
  <c r="K5" i="95"/>
  <c r="K105" i="95" s="1"/>
  <c r="K118" i="95" s="1"/>
  <c r="K131" i="95" s="1"/>
  <c r="K144" i="95" s="1"/>
  <c r="K157" i="95" s="1"/>
  <c r="K170" i="95" s="1"/>
  <c r="K183" i="95" s="1"/>
  <c r="K196" i="95" s="1"/>
  <c r="K209" i="95" s="1"/>
  <c r="J5" i="95"/>
  <c r="J105" i="95" s="1"/>
  <c r="J118" i="95" s="1"/>
  <c r="J131" i="95" s="1"/>
  <c r="J144" i="95" s="1"/>
  <c r="J157" i="95" s="1"/>
  <c r="J170" i="95" s="1"/>
  <c r="J183" i="95" s="1"/>
  <c r="J196" i="95" s="1"/>
  <c r="J209" i="95" s="1"/>
  <c r="I5" i="95"/>
  <c r="I105" i="95" s="1"/>
  <c r="I118" i="95" s="1"/>
  <c r="I131" i="95" s="1"/>
  <c r="I144" i="95" s="1"/>
  <c r="I157" i="95" s="1"/>
  <c r="I170" i="95" s="1"/>
  <c r="I183" i="95" s="1"/>
  <c r="I196" i="95" s="1"/>
  <c r="I209" i="95" s="1"/>
  <c r="H5" i="95"/>
  <c r="H105" i="95" s="1"/>
  <c r="H118" i="95" s="1"/>
  <c r="H131" i="95" s="1"/>
  <c r="H144" i="95" s="1"/>
  <c r="H157" i="95" s="1"/>
  <c r="H170" i="95" s="1"/>
  <c r="H183" i="95" s="1"/>
  <c r="H196" i="95" s="1"/>
  <c r="H209" i="95" s="1"/>
  <c r="G5" i="95"/>
  <c r="G105" i="95" s="1"/>
  <c r="G118" i="95" s="1"/>
  <c r="G131" i="95" s="1"/>
  <c r="G144" i="95" s="1"/>
  <c r="G157" i="95" s="1"/>
  <c r="G170" i="95" s="1"/>
  <c r="G183" i="95" s="1"/>
  <c r="G196" i="95" s="1"/>
  <c r="G209" i="95" s="1"/>
  <c r="F5" i="95"/>
  <c r="F105" i="95" s="1"/>
  <c r="F118" i="95" s="1"/>
  <c r="F131" i="95" s="1"/>
  <c r="F144" i="95" s="1"/>
  <c r="F157" i="95" s="1"/>
  <c r="F170" i="95" s="1"/>
  <c r="F183" i="95" s="1"/>
  <c r="F196" i="95" s="1"/>
  <c r="F209" i="95" s="1"/>
  <c r="E5" i="95"/>
  <c r="E105" i="95" s="1"/>
  <c r="E118" i="95" s="1"/>
  <c r="E131" i="95" s="1"/>
  <c r="E144" i="95" s="1"/>
  <c r="E157" i="95" s="1"/>
  <c r="E170" i="95" s="1"/>
  <c r="E183" i="95" s="1"/>
  <c r="E196" i="95" s="1"/>
  <c r="E209" i="95" s="1"/>
  <c r="D5" i="95"/>
  <c r="D105" i="95" s="1"/>
  <c r="D118" i="95" s="1"/>
  <c r="D131" i="95" s="1"/>
  <c r="D144" i="95" s="1"/>
  <c r="D157" i="95" s="1"/>
  <c r="D170" i="95" s="1"/>
  <c r="D183" i="95" s="1"/>
  <c r="D196" i="95" s="1"/>
  <c r="D209" i="95" s="1"/>
  <c r="C5" i="95"/>
  <c r="C105" i="95" s="1"/>
  <c r="C118" i="95" s="1"/>
  <c r="C131" i="95" s="1"/>
  <c r="C144" i="95" s="1"/>
  <c r="C157" i="95" s="1"/>
  <c r="C170" i="95" s="1"/>
  <c r="C183" i="95" s="1"/>
  <c r="C196" i="95" s="1"/>
  <c r="C209" i="95" s="1"/>
  <c r="A1" i="95"/>
  <c r="N213" i="94"/>
  <c r="N217" i="94" s="1"/>
  <c r="M213" i="94"/>
  <c r="M217" i="94" s="1"/>
  <c r="L213" i="94"/>
  <c r="K213" i="94"/>
  <c r="K217" i="94" s="1"/>
  <c r="J213" i="94"/>
  <c r="J217" i="94" s="1"/>
  <c r="I213" i="94"/>
  <c r="I217" i="94" s="1"/>
  <c r="H213" i="94"/>
  <c r="G213" i="94"/>
  <c r="F213" i="94"/>
  <c r="F214" i="94" s="1"/>
  <c r="E213" i="94"/>
  <c r="E217" i="94" s="1"/>
  <c r="D213" i="94"/>
  <c r="D217" i="94" s="1"/>
  <c r="C213" i="94"/>
  <c r="C217" i="94" s="1"/>
  <c r="N205" i="94"/>
  <c r="M205" i="94"/>
  <c r="L205" i="94"/>
  <c r="K205" i="94"/>
  <c r="J205" i="94"/>
  <c r="I205" i="94"/>
  <c r="H205" i="94"/>
  <c r="G205" i="94"/>
  <c r="F205" i="94"/>
  <c r="E205" i="94"/>
  <c r="D205" i="94"/>
  <c r="C205" i="94"/>
  <c r="N200" i="94"/>
  <c r="N201" i="94" s="1"/>
  <c r="N206" i="94" s="1"/>
  <c r="M200" i="94"/>
  <c r="M204" i="94" s="1"/>
  <c r="L200" i="94"/>
  <c r="L204" i="94" s="1"/>
  <c r="K200" i="94"/>
  <c r="K201" i="94" s="1"/>
  <c r="J200" i="94"/>
  <c r="J204" i="94" s="1"/>
  <c r="I200" i="94"/>
  <c r="I204" i="94" s="1"/>
  <c r="H200" i="94"/>
  <c r="G200" i="94"/>
  <c r="G201" i="94" s="1"/>
  <c r="G206" i="94" s="1"/>
  <c r="F200" i="94"/>
  <c r="F204" i="94" s="1"/>
  <c r="E200" i="94"/>
  <c r="E204" i="94" s="1"/>
  <c r="D200" i="94"/>
  <c r="D204" i="94" s="1"/>
  <c r="C200" i="94"/>
  <c r="C201" i="94" s="1"/>
  <c r="N192" i="94"/>
  <c r="M192" i="94"/>
  <c r="L192" i="94"/>
  <c r="K192" i="94"/>
  <c r="J192" i="94"/>
  <c r="I192" i="94"/>
  <c r="H192" i="94"/>
  <c r="G192" i="94"/>
  <c r="F192" i="94"/>
  <c r="E192" i="94"/>
  <c r="D192" i="94"/>
  <c r="C192" i="94"/>
  <c r="N187" i="94"/>
  <c r="N191" i="94" s="1"/>
  <c r="M187" i="94"/>
  <c r="M191" i="94" s="1"/>
  <c r="L187" i="94"/>
  <c r="L191" i="94" s="1"/>
  <c r="K187" i="94"/>
  <c r="K188" i="94" s="1"/>
  <c r="K193" i="94" s="1"/>
  <c r="J187" i="94"/>
  <c r="J191" i="94" s="1"/>
  <c r="I187" i="94"/>
  <c r="I191" i="94" s="1"/>
  <c r="H187" i="94"/>
  <c r="H191" i="94" s="1"/>
  <c r="G187" i="94"/>
  <c r="G191" i="94" s="1"/>
  <c r="F187" i="94"/>
  <c r="F191" i="94" s="1"/>
  <c r="E187" i="94"/>
  <c r="E188" i="94" s="1"/>
  <c r="D187" i="94"/>
  <c r="D191" i="94" s="1"/>
  <c r="C187" i="94"/>
  <c r="C191" i="94" s="1"/>
  <c r="N174" i="94"/>
  <c r="N175" i="94" s="1"/>
  <c r="N176" i="94" s="1"/>
  <c r="M174" i="94"/>
  <c r="M178" i="94" s="1"/>
  <c r="L174" i="94"/>
  <c r="L175" i="94" s="1"/>
  <c r="K174" i="94"/>
  <c r="K178" i="94" s="1"/>
  <c r="J174" i="94"/>
  <c r="I174" i="94"/>
  <c r="I178" i="94" s="1"/>
  <c r="H174" i="94"/>
  <c r="H175" i="94" s="1"/>
  <c r="G174" i="94"/>
  <c r="G178" i="94" s="1"/>
  <c r="F174" i="94"/>
  <c r="F178" i="94" s="1"/>
  <c r="E174" i="94"/>
  <c r="E178" i="94" s="1"/>
  <c r="D174" i="94"/>
  <c r="D175" i="94" s="1"/>
  <c r="C174" i="94"/>
  <c r="C175" i="94" s="1"/>
  <c r="N161" i="94"/>
  <c r="N165" i="94" s="1"/>
  <c r="M161" i="94"/>
  <c r="M165" i="94" s="1"/>
  <c r="L161" i="94"/>
  <c r="L162" i="94" s="1"/>
  <c r="K161" i="94"/>
  <c r="K162" i="94" s="1"/>
  <c r="J161" i="94"/>
  <c r="I161" i="94"/>
  <c r="I162" i="94" s="1"/>
  <c r="I167" i="94" s="1"/>
  <c r="H161" i="94"/>
  <c r="H165" i="94" s="1"/>
  <c r="G161" i="94"/>
  <c r="G162" i="94" s="1"/>
  <c r="G167" i="94" s="1"/>
  <c r="F161" i="94"/>
  <c r="E161" i="94"/>
  <c r="E165" i="94" s="1"/>
  <c r="D161" i="94"/>
  <c r="D165" i="94" s="1"/>
  <c r="C161" i="94"/>
  <c r="C162" i="94" s="1"/>
  <c r="N153" i="94"/>
  <c r="M153" i="94"/>
  <c r="L153" i="94"/>
  <c r="K153" i="94"/>
  <c r="J153" i="94"/>
  <c r="I153" i="94"/>
  <c r="H153" i="94"/>
  <c r="G153" i="94"/>
  <c r="F153" i="94"/>
  <c r="E153" i="94"/>
  <c r="D153" i="94"/>
  <c r="C153" i="94"/>
  <c r="N148" i="94"/>
  <c r="N149" i="94" s="1"/>
  <c r="N154" i="94" s="1"/>
  <c r="M148" i="94"/>
  <c r="M152" i="94" s="1"/>
  <c r="L148" i="94"/>
  <c r="L149" i="94" s="1"/>
  <c r="L154" i="94" s="1"/>
  <c r="K148" i="94"/>
  <c r="K152" i="94" s="1"/>
  <c r="J148" i="94"/>
  <c r="J149" i="94" s="1"/>
  <c r="J154" i="94" s="1"/>
  <c r="I148" i="94"/>
  <c r="I152" i="94" s="1"/>
  <c r="H148" i="94"/>
  <c r="H152" i="94" s="1"/>
  <c r="G148" i="94"/>
  <c r="G152" i="94" s="1"/>
  <c r="F148" i="94"/>
  <c r="E148" i="94"/>
  <c r="E152" i="94" s="1"/>
  <c r="D148" i="94"/>
  <c r="D152" i="94" s="1"/>
  <c r="C148" i="94"/>
  <c r="C152" i="94" s="1"/>
  <c r="N135" i="94"/>
  <c r="N136" i="94" s="1"/>
  <c r="N137" i="94" s="1"/>
  <c r="M135" i="94"/>
  <c r="M139" i="94" s="1"/>
  <c r="L135" i="94"/>
  <c r="L139" i="94" s="1"/>
  <c r="K135" i="94"/>
  <c r="K139" i="94" s="1"/>
  <c r="J135" i="94"/>
  <c r="I135" i="94"/>
  <c r="I136" i="94" s="1"/>
  <c r="H135" i="94"/>
  <c r="H139" i="94" s="1"/>
  <c r="G135" i="94"/>
  <c r="G139" i="94" s="1"/>
  <c r="F135" i="94"/>
  <c r="F139" i="94" s="1"/>
  <c r="E135" i="94"/>
  <c r="D135" i="94"/>
  <c r="D139" i="94" s="1"/>
  <c r="C135" i="94"/>
  <c r="C139" i="94" s="1"/>
  <c r="D132" i="94"/>
  <c r="D145" i="94" s="1"/>
  <c r="D158" i="94" s="1"/>
  <c r="D171" i="94" s="1"/>
  <c r="D184" i="94" s="1"/>
  <c r="D197" i="94" s="1"/>
  <c r="D210" i="94" s="1"/>
  <c r="N127" i="94"/>
  <c r="M127" i="94"/>
  <c r="L127" i="94"/>
  <c r="K127" i="94"/>
  <c r="J127" i="94"/>
  <c r="I127" i="94"/>
  <c r="H127" i="94"/>
  <c r="G127" i="94"/>
  <c r="F127" i="94"/>
  <c r="E127" i="94"/>
  <c r="D127" i="94"/>
  <c r="C127" i="94"/>
  <c r="N122" i="94"/>
  <c r="N126" i="94" s="1"/>
  <c r="M122" i="94"/>
  <c r="M126" i="94" s="1"/>
  <c r="L122" i="94"/>
  <c r="L123" i="94" s="1"/>
  <c r="K122" i="94"/>
  <c r="K123" i="94" s="1"/>
  <c r="J122" i="94"/>
  <c r="J126" i="94" s="1"/>
  <c r="I122" i="94"/>
  <c r="I126" i="94" s="1"/>
  <c r="H122" i="94"/>
  <c r="H126" i="94" s="1"/>
  <c r="G122" i="94"/>
  <c r="G126" i="94" s="1"/>
  <c r="F122" i="94"/>
  <c r="F126" i="94" s="1"/>
  <c r="E122" i="94"/>
  <c r="E126" i="94" s="1"/>
  <c r="D122" i="94"/>
  <c r="D123" i="94" s="1"/>
  <c r="C122" i="94"/>
  <c r="C123" i="94" s="1"/>
  <c r="N120" i="94"/>
  <c r="N133" i="94" s="1"/>
  <c r="N146" i="94" s="1"/>
  <c r="N159" i="94" s="1"/>
  <c r="N172" i="94" s="1"/>
  <c r="N185" i="94" s="1"/>
  <c r="N198" i="94" s="1"/>
  <c r="N211" i="94" s="1"/>
  <c r="M120" i="94"/>
  <c r="M133" i="94" s="1"/>
  <c r="M146" i="94" s="1"/>
  <c r="M159" i="94" s="1"/>
  <c r="M172" i="94" s="1"/>
  <c r="M185" i="94" s="1"/>
  <c r="M198" i="94" s="1"/>
  <c r="M211" i="94" s="1"/>
  <c r="L120" i="94"/>
  <c r="L133" i="94" s="1"/>
  <c r="L146" i="94" s="1"/>
  <c r="L159" i="94" s="1"/>
  <c r="L172" i="94" s="1"/>
  <c r="L185" i="94" s="1"/>
  <c r="L198" i="94" s="1"/>
  <c r="L211" i="94" s="1"/>
  <c r="K120" i="94"/>
  <c r="K133" i="94" s="1"/>
  <c r="K146" i="94" s="1"/>
  <c r="K159" i="94" s="1"/>
  <c r="K172" i="94" s="1"/>
  <c r="K185" i="94" s="1"/>
  <c r="K198" i="94" s="1"/>
  <c r="K211" i="94" s="1"/>
  <c r="J120" i="94"/>
  <c r="J133" i="94" s="1"/>
  <c r="J146" i="94" s="1"/>
  <c r="J159" i="94" s="1"/>
  <c r="J172" i="94" s="1"/>
  <c r="J185" i="94" s="1"/>
  <c r="J198" i="94" s="1"/>
  <c r="J211" i="94" s="1"/>
  <c r="I120" i="94"/>
  <c r="I133" i="94" s="1"/>
  <c r="I146" i="94" s="1"/>
  <c r="I159" i="94" s="1"/>
  <c r="I172" i="94" s="1"/>
  <c r="I185" i="94" s="1"/>
  <c r="I198" i="94" s="1"/>
  <c r="I211" i="94" s="1"/>
  <c r="H120" i="94"/>
  <c r="H133" i="94" s="1"/>
  <c r="H146" i="94" s="1"/>
  <c r="H159" i="94" s="1"/>
  <c r="H172" i="94" s="1"/>
  <c r="H185" i="94" s="1"/>
  <c r="H198" i="94" s="1"/>
  <c r="H211" i="94" s="1"/>
  <c r="G120" i="94"/>
  <c r="G133" i="94" s="1"/>
  <c r="G146" i="94" s="1"/>
  <c r="G159" i="94" s="1"/>
  <c r="G172" i="94" s="1"/>
  <c r="G185" i="94" s="1"/>
  <c r="G198" i="94" s="1"/>
  <c r="G211" i="94" s="1"/>
  <c r="F120" i="94"/>
  <c r="F133" i="94" s="1"/>
  <c r="F146" i="94" s="1"/>
  <c r="F159" i="94" s="1"/>
  <c r="F172" i="94" s="1"/>
  <c r="F185" i="94" s="1"/>
  <c r="F198" i="94" s="1"/>
  <c r="F211" i="94" s="1"/>
  <c r="E120" i="94"/>
  <c r="E133" i="94" s="1"/>
  <c r="E146" i="94" s="1"/>
  <c r="E159" i="94" s="1"/>
  <c r="E172" i="94" s="1"/>
  <c r="E185" i="94" s="1"/>
  <c r="E198" i="94" s="1"/>
  <c r="E211" i="94" s="1"/>
  <c r="D120" i="94"/>
  <c r="D133" i="94" s="1"/>
  <c r="D146" i="94" s="1"/>
  <c r="D159" i="94" s="1"/>
  <c r="D172" i="94" s="1"/>
  <c r="D185" i="94" s="1"/>
  <c r="D198" i="94" s="1"/>
  <c r="D211" i="94" s="1"/>
  <c r="N119" i="94"/>
  <c r="N132" i="94" s="1"/>
  <c r="N145" i="94" s="1"/>
  <c r="N158" i="94" s="1"/>
  <c r="N171" i="94" s="1"/>
  <c r="N184" i="94" s="1"/>
  <c r="N197" i="94" s="1"/>
  <c r="N210" i="94" s="1"/>
  <c r="M119" i="94"/>
  <c r="M132" i="94" s="1"/>
  <c r="M145" i="94" s="1"/>
  <c r="M158" i="94" s="1"/>
  <c r="M171" i="94" s="1"/>
  <c r="M184" i="94" s="1"/>
  <c r="M197" i="94" s="1"/>
  <c r="M210" i="94" s="1"/>
  <c r="L119" i="94"/>
  <c r="L132" i="94" s="1"/>
  <c r="L145" i="94" s="1"/>
  <c r="L158" i="94" s="1"/>
  <c r="L171" i="94" s="1"/>
  <c r="L184" i="94" s="1"/>
  <c r="L197" i="94" s="1"/>
  <c r="L210" i="94" s="1"/>
  <c r="K119" i="94"/>
  <c r="K132" i="94" s="1"/>
  <c r="K145" i="94" s="1"/>
  <c r="K158" i="94" s="1"/>
  <c r="K171" i="94" s="1"/>
  <c r="K184" i="94" s="1"/>
  <c r="K197" i="94" s="1"/>
  <c r="K210" i="94" s="1"/>
  <c r="J119" i="94"/>
  <c r="J132" i="94" s="1"/>
  <c r="J145" i="94" s="1"/>
  <c r="J158" i="94" s="1"/>
  <c r="J171" i="94" s="1"/>
  <c r="J184" i="94" s="1"/>
  <c r="J197" i="94" s="1"/>
  <c r="J210" i="94" s="1"/>
  <c r="I119" i="94"/>
  <c r="I132" i="94" s="1"/>
  <c r="I145" i="94" s="1"/>
  <c r="I158" i="94" s="1"/>
  <c r="I171" i="94" s="1"/>
  <c r="I184" i="94" s="1"/>
  <c r="I197" i="94" s="1"/>
  <c r="I210" i="94" s="1"/>
  <c r="H119" i="94"/>
  <c r="H132" i="94" s="1"/>
  <c r="H145" i="94" s="1"/>
  <c r="H158" i="94" s="1"/>
  <c r="H171" i="94" s="1"/>
  <c r="H184" i="94" s="1"/>
  <c r="H197" i="94" s="1"/>
  <c r="H210" i="94" s="1"/>
  <c r="G119" i="94"/>
  <c r="G132" i="94" s="1"/>
  <c r="G145" i="94" s="1"/>
  <c r="G158" i="94" s="1"/>
  <c r="G171" i="94" s="1"/>
  <c r="G184" i="94" s="1"/>
  <c r="G197" i="94" s="1"/>
  <c r="G210" i="94" s="1"/>
  <c r="F119" i="94"/>
  <c r="F132" i="94" s="1"/>
  <c r="F145" i="94" s="1"/>
  <c r="F158" i="94" s="1"/>
  <c r="F171" i="94" s="1"/>
  <c r="F184" i="94" s="1"/>
  <c r="F197" i="94" s="1"/>
  <c r="F210" i="94" s="1"/>
  <c r="E119" i="94"/>
  <c r="E132" i="94" s="1"/>
  <c r="E145" i="94" s="1"/>
  <c r="E158" i="94" s="1"/>
  <c r="E171" i="94" s="1"/>
  <c r="E184" i="94" s="1"/>
  <c r="E197" i="94" s="1"/>
  <c r="E210" i="94" s="1"/>
  <c r="D119" i="94"/>
  <c r="C119" i="94"/>
  <c r="C132" i="94" s="1"/>
  <c r="C145" i="94" s="1"/>
  <c r="C158" i="94" s="1"/>
  <c r="C171" i="94" s="1"/>
  <c r="C184" i="94" s="1"/>
  <c r="C197" i="94" s="1"/>
  <c r="C210" i="94" s="1"/>
  <c r="N109" i="94"/>
  <c r="N113" i="94" s="1"/>
  <c r="M109" i="94"/>
  <c r="M113" i="94" s="1"/>
  <c r="L109" i="94"/>
  <c r="L113" i="94" s="1"/>
  <c r="K109" i="94"/>
  <c r="K113" i="94" s="1"/>
  <c r="J109" i="94"/>
  <c r="J113" i="94" s="1"/>
  <c r="I109" i="94"/>
  <c r="I110" i="94" s="1"/>
  <c r="H109" i="94"/>
  <c r="H110" i="94" s="1"/>
  <c r="G109" i="94"/>
  <c r="G113" i="94" s="1"/>
  <c r="F109" i="94"/>
  <c r="F113" i="94" s="1"/>
  <c r="E109" i="94"/>
  <c r="E113" i="94" s="1"/>
  <c r="D109" i="94"/>
  <c r="D110" i="94" s="1"/>
  <c r="C109" i="94"/>
  <c r="C113" i="94" s="1"/>
  <c r="C107" i="94"/>
  <c r="C120" i="94" s="1"/>
  <c r="C133" i="94" s="1"/>
  <c r="C146" i="94" s="1"/>
  <c r="C159" i="94" s="1"/>
  <c r="C172" i="94" s="1"/>
  <c r="C185" i="94" s="1"/>
  <c r="C198" i="94" s="1"/>
  <c r="C211" i="94" s="1"/>
  <c r="N102" i="94"/>
  <c r="M102" i="94"/>
  <c r="L17" i="53" s="1"/>
  <c r="L102" i="94"/>
  <c r="K102" i="94"/>
  <c r="J102" i="94"/>
  <c r="I102" i="94"/>
  <c r="H102" i="94"/>
  <c r="G17" i="53" s="1"/>
  <c r="G102" i="94"/>
  <c r="F102" i="94"/>
  <c r="E102" i="94"/>
  <c r="D17" i="53" s="1"/>
  <c r="D102" i="94"/>
  <c r="C17" i="53" s="1"/>
  <c r="C102" i="94"/>
  <c r="B94" i="94"/>
  <c r="B89" i="94"/>
  <c r="B88" i="94"/>
  <c r="B82" i="94"/>
  <c r="A82" i="94"/>
  <c r="B81" i="94"/>
  <c r="A81" i="94"/>
  <c r="B80" i="94"/>
  <c r="A80" i="94"/>
  <c r="B79" i="94"/>
  <c r="A79" i="94"/>
  <c r="B78" i="94"/>
  <c r="A78" i="94"/>
  <c r="B77" i="94"/>
  <c r="A77" i="94"/>
  <c r="N76" i="94"/>
  <c r="N112" i="43" s="1"/>
  <c r="M76" i="94"/>
  <c r="M112" i="43" s="1"/>
  <c r="L76" i="94"/>
  <c r="L112" i="43" s="1"/>
  <c r="K76" i="94"/>
  <c r="K112" i="43" s="1"/>
  <c r="J76" i="94"/>
  <c r="J112" i="43" s="1"/>
  <c r="I76" i="94"/>
  <c r="I112" i="43" s="1"/>
  <c r="H76" i="94"/>
  <c r="H112" i="43" s="1"/>
  <c r="G76" i="94"/>
  <c r="G112" i="43" s="1"/>
  <c r="F76" i="94"/>
  <c r="F112" i="43" s="1"/>
  <c r="E76" i="94"/>
  <c r="D76" i="94"/>
  <c r="D112" i="43" s="1"/>
  <c r="C76" i="94"/>
  <c r="C112" i="43" s="1"/>
  <c r="A76" i="94"/>
  <c r="N75" i="94"/>
  <c r="M75" i="94"/>
  <c r="L75" i="94"/>
  <c r="K75" i="94"/>
  <c r="J75" i="94"/>
  <c r="I75" i="94"/>
  <c r="H75" i="94"/>
  <c r="G75" i="94"/>
  <c r="F75" i="94"/>
  <c r="E75" i="94"/>
  <c r="D75" i="94"/>
  <c r="C75" i="94"/>
  <c r="A75" i="94"/>
  <c r="B74" i="94"/>
  <c r="A74" i="94"/>
  <c r="B73" i="94"/>
  <c r="A73" i="94"/>
  <c r="B72" i="94"/>
  <c r="A72" i="94"/>
  <c r="B71" i="94"/>
  <c r="A71" i="94"/>
  <c r="B70" i="94"/>
  <c r="A70" i="94"/>
  <c r="N69" i="94"/>
  <c r="M69" i="94"/>
  <c r="L69" i="94"/>
  <c r="K69" i="94"/>
  <c r="J69" i="94"/>
  <c r="I69" i="94"/>
  <c r="H69" i="94"/>
  <c r="G69" i="94"/>
  <c r="F69" i="94"/>
  <c r="E69" i="94"/>
  <c r="D69" i="94"/>
  <c r="C69" i="94"/>
  <c r="A69" i="94"/>
  <c r="B68" i="94"/>
  <c r="A68" i="94"/>
  <c r="B67" i="94"/>
  <c r="A67" i="94"/>
  <c r="B66" i="94"/>
  <c r="A66" i="94"/>
  <c r="B65" i="94"/>
  <c r="A65" i="94"/>
  <c r="B64" i="94"/>
  <c r="A64" i="94"/>
  <c r="B63" i="94"/>
  <c r="A63" i="94"/>
  <c r="A62" i="94"/>
  <c r="B61" i="94"/>
  <c r="A61" i="94"/>
  <c r="N60" i="94"/>
  <c r="M60" i="94"/>
  <c r="L60" i="94"/>
  <c r="K60" i="94"/>
  <c r="J60" i="94"/>
  <c r="I60" i="94"/>
  <c r="H60" i="94"/>
  <c r="G60" i="94"/>
  <c r="F60" i="94"/>
  <c r="E60" i="94"/>
  <c r="D60" i="94"/>
  <c r="C60" i="94"/>
  <c r="B60" i="94" s="1"/>
  <c r="A60" i="94"/>
  <c r="B59" i="94"/>
  <c r="A59" i="94"/>
  <c r="N58" i="94"/>
  <c r="M58" i="94"/>
  <c r="L58" i="94"/>
  <c r="K58" i="94"/>
  <c r="J58" i="94"/>
  <c r="I58" i="94"/>
  <c r="H58" i="94"/>
  <c r="G58" i="94"/>
  <c r="F58" i="94"/>
  <c r="E58" i="94"/>
  <c r="D58" i="94"/>
  <c r="C58" i="94"/>
  <c r="B58" i="94" s="1"/>
  <c r="A58" i="94"/>
  <c r="B57" i="94"/>
  <c r="A57" i="94"/>
  <c r="N46" i="94"/>
  <c r="J46" i="94"/>
  <c r="I46" i="94"/>
  <c r="E46" i="94"/>
  <c r="D46" i="94"/>
  <c r="C46" i="94"/>
  <c r="B45" i="94"/>
  <c r="B44" i="94"/>
  <c r="B43" i="94"/>
  <c r="B42" i="94"/>
  <c r="B41" i="94"/>
  <c r="B40" i="94"/>
  <c r="B39" i="94"/>
  <c r="B38" i="94"/>
  <c r="B37" i="94"/>
  <c r="B36" i="94"/>
  <c r="B35" i="94"/>
  <c r="B34" i="94"/>
  <c r="B33" i="94"/>
  <c r="B32" i="94"/>
  <c r="B31" i="94"/>
  <c r="B30" i="94"/>
  <c r="B29" i="94"/>
  <c r="B28" i="94"/>
  <c r="B27" i="94"/>
  <c r="B26" i="94"/>
  <c r="B25" i="94"/>
  <c r="B24" i="94"/>
  <c r="B23" i="94"/>
  <c r="B22" i="94"/>
  <c r="B21" i="94"/>
  <c r="B20" i="94"/>
  <c r="B19" i="94"/>
  <c r="B18" i="94"/>
  <c r="B17" i="94"/>
  <c r="B16" i="94"/>
  <c r="B15" i="94"/>
  <c r="B14" i="94"/>
  <c r="B13" i="94"/>
  <c r="B12" i="94"/>
  <c r="B11" i="94"/>
  <c r="B10" i="94"/>
  <c r="B9" i="94"/>
  <c r="M46" i="94"/>
  <c r="L46" i="94"/>
  <c r="K46" i="94"/>
  <c r="N5" i="94"/>
  <c r="N105" i="94" s="1"/>
  <c r="N118" i="94" s="1"/>
  <c r="N131" i="94" s="1"/>
  <c r="N144" i="94" s="1"/>
  <c r="N157" i="94" s="1"/>
  <c r="N170" i="94" s="1"/>
  <c r="N183" i="94" s="1"/>
  <c r="N196" i="94" s="1"/>
  <c r="N209" i="94" s="1"/>
  <c r="M5" i="94"/>
  <c r="M105" i="94" s="1"/>
  <c r="M118" i="94" s="1"/>
  <c r="M131" i="94" s="1"/>
  <c r="M144" i="94" s="1"/>
  <c r="M157" i="94" s="1"/>
  <c r="M170" i="94" s="1"/>
  <c r="M183" i="94" s="1"/>
  <c r="M196" i="94" s="1"/>
  <c r="M209" i="94" s="1"/>
  <c r="L5" i="94"/>
  <c r="L105" i="94" s="1"/>
  <c r="L118" i="94" s="1"/>
  <c r="L131" i="94" s="1"/>
  <c r="L144" i="94" s="1"/>
  <c r="L157" i="94" s="1"/>
  <c r="L170" i="94" s="1"/>
  <c r="L183" i="94" s="1"/>
  <c r="L196" i="94" s="1"/>
  <c r="L209" i="94" s="1"/>
  <c r="K5" i="94"/>
  <c r="K105" i="94" s="1"/>
  <c r="K118" i="94" s="1"/>
  <c r="K131" i="94" s="1"/>
  <c r="K144" i="94" s="1"/>
  <c r="K157" i="94" s="1"/>
  <c r="K170" i="94" s="1"/>
  <c r="K183" i="94" s="1"/>
  <c r="K196" i="94" s="1"/>
  <c r="K209" i="94" s="1"/>
  <c r="J5" i="94"/>
  <c r="J105" i="94" s="1"/>
  <c r="J118" i="94" s="1"/>
  <c r="J131" i="94" s="1"/>
  <c r="J144" i="94" s="1"/>
  <c r="J157" i="94" s="1"/>
  <c r="J170" i="94" s="1"/>
  <c r="J183" i="94" s="1"/>
  <c r="J196" i="94" s="1"/>
  <c r="J209" i="94" s="1"/>
  <c r="I5" i="94"/>
  <c r="I105" i="94" s="1"/>
  <c r="I118" i="94" s="1"/>
  <c r="I131" i="94" s="1"/>
  <c r="I144" i="94" s="1"/>
  <c r="I157" i="94" s="1"/>
  <c r="I170" i="94" s="1"/>
  <c r="I183" i="94" s="1"/>
  <c r="I196" i="94" s="1"/>
  <c r="I209" i="94" s="1"/>
  <c r="H5" i="94"/>
  <c r="H105" i="94" s="1"/>
  <c r="H118" i="94" s="1"/>
  <c r="H131" i="94" s="1"/>
  <c r="H144" i="94" s="1"/>
  <c r="H157" i="94" s="1"/>
  <c r="H170" i="94" s="1"/>
  <c r="H183" i="94" s="1"/>
  <c r="H196" i="94" s="1"/>
  <c r="H209" i="94" s="1"/>
  <c r="G5" i="94"/>
  <c r="G105" i="94" s="1"/>
  <c r="G118" i="94" s="1"/>
  <c r="G131" i="94" s="1"/>
  <c r="G144" i="94" s="1"/>
  <c r="G157" i="94" s="1"/>
  <c r="G170" i="94" s="1"/>
  <c r="G183" i="94" s="1"/>
  <c r="G196" i="94" s="1"/>
  <c r="G209" i="94" s="1"/>
  <c r="F5" i="94"/>
  <c r="F105" i="94" s="1"/>
  <c r="F118" i="94" s="1"/>
  <c r="F131" i="94" s="1"/>
  <c r="F144" i="94" s="1"/>
  <c r="F157" i="94" s="1"/>
  <c r="F170" i="94" s="1"/>
  <c r="F183" i="94" s="1"/>
  <c r="F196" i="94" s="1"/>
  <c r="F209" i="94" s="1"/>
  <c r="E5" i="94"/>
  <c r="E105" i="94" s="1"/>
  <c r="E118" i="94" s="1"/>
  <c r="E131" i="94" s="1"/>
  <c r="E144" i="94" s="1"/>
  <c r="E157" i="94" s="1"/>
  <c r="E170" i="94" s="1"/>
  <c r="E183" i="94" s="1"/>
  <c r="E196" i="94" s="1"/>
  <c r="E209" i="94" s="1"/>
  <c r="D5" i="94"/>
  <c r="D105" i="94" s="1"/>
  <c r="D118" i="94" s="1"/>
  <c r="D131" i="94" s="1"/>
  <c r="D144" i="94" s="1"/>
  <c r="D157" i="94" s="1"/>
  <c r="D170" i="94" s="1"/>
  <c r="D183" i="94" s="1"/>
  <c r="D196" i="94" s="1"/>
  <c r="D209" i="94" s="1"/>
  <c r="C5" i="94"/>
  <c r="C105" i="94" s="1"/>
  <c r="C118" i="94" s="1"/>
  <c r="C131" i="94" s="1"/>
  <c r="C144" i="94" s="1"/>
  <c r="C157" i="94" s="1"/>
  <c r="C170" i="94" s="1"/>
  <c r="C183" i="94" s="1"/>
  <c r="C196" i="94" s="1"/>
  <c r="C209" i="94" s="1"/>
  <c r="A1" i="94"/>
  <c r="D149" i="94" l="1"/>
  <c r="D154" i="94" s="1"/>
  <c r="G204" i="95"/>
  <c r="D136" i="94"/>
  <c r="D138" i="94" s="1"/>
  <c r="L152" i="95"/>
  <c r="L149" i="95"/>
  <c r="J152" i="94"/>
  <c r="M152" i="95"/>
  <c r="M149" i="95"/>
  <c r="E149" i="94"/>
  <c r="E154" i="94" s="1"/>
  <c r="N152" i="94"/>
  <c r="C165" i="94"/>
  <c r="F152" i="95"/>
  <c r="F149" i="95"/>
  <c r="J152" i="95"/>
  <c r="J149" i="95"/>
  <c r="N152" i="95"/>
  <c r="N149" i="95"/>
  <c r="J201" i="95"/>
  <c r="J206" i="95" s="1"/>
  <c r="H162" i="94"/>
  <c r="H167" i="94" s="1"/>
  <c r="L165" i="94"/>
  <c r="F215" i="94"/>
  <c r="D152" i="95"/>
  <c r="D149" i="95"/>
  <c r="H152" i="95"/>
  <c r="H149" i="95"/>
  <c r="E152" i="95"/>
  <c r="E149" i="95"/>
  <c r="I152" i="95"/>
  <c r="I149" i="95"/>
  <c r="B76" i="94"/>
  <c r="E112" i="43"/>
  <c r="N139" i="94"/>
  <c r="M149" i="94"/>
  <c r="M151" i="94" s="1"/>
  <c r="D162" i="94"/>
  <c r="K165" i="94"/>
  <c r="C176" i="94"/>
  <c r="C152" i="95"/>
  <c r="C149" i="95"/>
  <c r="G152" i="95"/>
  <c r="G149" i="95"/>
  <c r="K152" i="95"/>
  <c r="K149" i="95"/>
  <c r="L201" i="95"/>
  <c r="I175" i="95"/>
  <c r="I180" i="95" s="1"/>
  <c r="D136" i="95"/>
  <c r="D141" i="95" s="1"/>
  <c r="E139" i="95"/>
  <c r="K113" i="95"/>
  <c r="K111" i="95"/>
  <c r="C113" i="95"/>
  <c r="H178" i="94"/>
  <c r="L178" i="94"/>
  <c r="K175" i="94"/>
  <c r="K176" i="94" s="1"/>
  <c r="D62" i="94"/>
  <c r="D83" i="94" s="1"/>
  <c r="H62" i="94"/>
  <c r="H83" i="94" s="1"/>
  <c r="J151" i="94"/>
  <c r="M191" i="95"/>
  <c r="M124" i="95"/>
  <c r="I62" i="94"/>
  <c r="I83" i="94" s="1"/>
  <c r="H17" i="53"/>
  <c r="M62" i="94"/>
  <c r="M83" i="94" s="1"/>
  <c r="F62" i="94"/>
  <c r="F83" i="94" s="1"/>
  <c r="E17" i="53"/>
  <c r="J62" i="94"/>
  <c r="J83" i="94" s="1"/>
  <c r="I17" i="53"/>
  <c r="N62" i="94"/>
  <c r="N83" i="94" s="1"/>
  <c r="M17" i="53"/>
  <c r="G62" i="94"/>
  <c r="G83" i="94" s="1"/>
  <c r="F17" i="53"/>
  <c r="K62" i="94"/>
  <c r="K83" i="94" s="1"/>
  <c r="J17" i="53"/>
  <c r="E62" i="94"/>
  <c r="L62" i="94"/>
  <c r="L83" i="94" s="1"/>
  <c r="K17" i="53"/>
  <c r="D126" i="94"/>
  <c r="C62" i="94"/>
  <c r="C83" i="94" s="1"/>
  <c r="B134" i="46"/>
  <c r="D134" i="46" s="1"/>
  <c r="B17" i="53"/>
  <c r="C191" i="95"/>
  <c r="D62" i="95"/>
  <c r="D178" i="95"/>
  <c r="L62" i="95"/>
  <c r="H178" i="95"/>
  <c r="I62" i="95"/>
  <c r="I83" i="95" s="1"/>
  <c r="M138" i="95"/>
  <c r="E62" i="95"/>
  <c r="D20" i="53"/>
  <c r="F62" i="95"/>
  <c r="E20" i="53"/>
  <c r="J62" i="95"/>
  <c r="J83" i="95" s="1"/>
  <c r="I20" i="53"/>
  <c r="N62" i="95"/>
  <c r="M20" i="53"/>
  <c r="M62" i="95"/>
  <c r="C62" i="95"/>
  <c r="B20" i="53"/>
  <c r="B161" i="46"/>
  <c r="D161" i="46" s="1"/>
  <c r="G62" i="95"/>
  <c r="F20" i="53"/>
  <c r="K62" i="95"/>
  <c r="J20" i="53"/>
  <c r="M137" i="95"/>
  <c r="I139" i="95"/>
  <c r="H62" i="95"/>
  <c r="H83" i="95" s="1"/>
  <c r="G20" i="53"/>
  <c r="I138" i="95"/>
  <c r="M139" i="95"/>
  <c r="H176" i="94"/>
  <c r="H177" i="94"/>
  <c r="D137" i="94"/>
  <c r="D141" i="94"/>
  <c r="N177" i="94"/>
  <c r="E150" i="94"/>
  <c r="F123" i="95"/>
  <c r="F128" i="95" s="1"/>
  <c r="K139" i="95"/>
  <c r="E189" i="95"/>
  <c r="B69" i="94"/>
  <c r="H123" i="94"/>
  <c r="H125" i="94" s="1"/>
  <c r="L126" i="94"/>
  <c r="I137" i="94"/>
  <c r="I141" i="94"/>
  <c r="L136" i="94"/>
  <c r="L141" i="94" s="1"/>
  <c r="H149" i="94"/>
  <c r="L150" i="94"/>
  <c r="C163" i="94"/>
  <c r="C167" i="94"/>
  <c r="M162" i="94"/>
  <c r="C164" i="94"/>
  <c r="G165" i="94"/>
  <c r="G175" i="94"/>
  <c r="D178" i="94"/>
  <c r="F201" i="94"/>
  <c r="F202" i="94" s="1"/>
  <c r="G46" i="95"/>
  <c r="K46" i="95"/>
  <c r="B75" i="95"/>
  <c r="G136" i="95"/>
  <c r="K162" i="95"/>
  <c r="K163" i="95" s="1"/>
  <c r="E165" i="95"/>
  <c r="L178" i="95"/>
  <c r="M189" i="95"/>
  <c r="E191" i="95"/>
  <c r="E201" i="95"/>
  <c r="K202" i="95"/>
  <c r="K204" i="95"/>
  <c r="H163" i="94"/>
  <c r="I165" i="94"/>
  <c r="I163" i="95"/>
  <c r="I167" i="95"/>
  <c r="M165" i="95"/>
  <c r="L188" i="95"/>
  <c r="L190" i="95" s="1"/>
  <c r="B75" i="94"/>
  <c r="G123" i="94"/>
  <c r="G128" i="94" s="1"/>
  <c r="K126" i="94"/>
  <c r="H136" i="94"/>
  <c r="H141" i="94" s="1"/>
  <c r="F175" i="94"/>
  <c r="C178" i="94"/>
  <c r="I164" i="95"/>
  <c r="F175" i="95"/>
  <c r="F177" i="95" s="1"/>
  <c r="C126" i="94"/>
  <c r="I149" i="94"/>
  <c r="I154" i="94" s="1"/>
  <c r="E162" i="94"/>
  <c r="N202" i="94"/>
  <c r="H46" i="95"/>
  <c r="L46" i="95"/>
  <c r="B72" i="95"/>
  <c r="C112" i="95"/>
  <c r="C115" i="95"/>
  <c r="F110" i="95"/>
  <c r="F115" i="95" s="1"/>
  <c r="E124" i="95"/>
  <c r="E128" i="95"/>
  <c r="I125" i="95"/>
  <c r="I128" i="95"/>
  <c r="E138" i="95"/>
  <c r="E141" i="95"/>
  <c r="E163" i="95"/>
  <c r="I165" i="95"/>
  <c r="N175" i="95"/>
  <c r="N176" i="95" s="1"/>
  <c r="H188" i="95"/>
  <c r="H190" i="95" s="1"/>
  <c r="I191" i="95"/>
  <c r="F201" i="95"/>
  <c r="F206" i="95" s="1"/>
  <c r="G203" i="95"/>
  <c r="C203" i="95"/>
  <c r="C202" i="95"/>
  <c r="C204" i="95"/>
  <c r="F214" i="95"/>
  <c r="L216" i="95"/>
  <c r="J214" i="95"/>
  <c r="K214" i="95"/>
  <c r="K215" i="95" s="1"/>
  <c r="G217" i="95"/>
  <c r="D214" i="95"/>
  <c r="J124" i="95"/>
  <c r="J125" i="95"/>
  <c r="F124" i="95"/>
  <c r="J126" i="95"/>
  <c r="H123" i="95"/>
  <c r="H128" i="95" s="1"/>
  <c r="E126" i="95"/>
  <c r="M126" i="95"/>
  <c r="E125" i="95"/>
  <c r="N126" i="95"/>
  <c r="I126" i="95"/>
  <c r="D111" i="95"/>
  <c r="D112" i="95"/>
  <c r="H110" i="95"/>
  <c r="D113" i="95"/>
  <c r="L113" i="95"/>
  <c r="G113" i="95"/>
  <c r="H188" i="94"/>
  <c r="I188" i="94"/>
  <c r="I193" i="94" s="1"/>
  <c r="M188" i="94"/>
  <c r="M193" i="94" s="1"/>
  <c r="G188" i="94"/>
  <c r="G190" i="94" s="1"/>
  <c r="E191" i="94"/>
  <c r="K190" i="94"/>
  <c r="K189" i="94"/>
  <c r="D201" i="94"/>
  <c r="D206" i="94" s="1"/>
  <c r="L201" i="94"/>
  <c r="G204" i="94"/>
  <c r="K204" i="94"/>
  <c r="C204" i="94"/>
  <c r="N204" i="94"/>
  <c r="J214" i="94"/>
  <c r="F217" i="94"/>
  <c r="N214" i="94"/>
  <c r="J110" i="94"/>
  <c r="J112" i="94" s="1"/>
  <c r="E110" i="94"/>
  <c r="E115" i="94" s="1"/>
  <c r="F110" i="94"/>
  <c r="F115" i="94" s="1"/>
  <c r="C125" i="95"/>
  <c r="C124" i="95"/>
  <c r="J164" i="95"/>
  <c r="J163" i="95"/>
  <c r="C126" i="95"/>
  <c r="J136" i="95"/>
  <c r="J141" i="95" s="1"/>
  <c r="F162" i="95"/>
  <c r="F167" i="95" s="1"/>
  <c r="F165" i="95"/>
  <c r="N162" i="95"/>
  <c r="N165" i="95"/>
  <c r="D177" i="95"/>
  <c r="D176" i="95"/>
  <c r="H176" i="95"/>
  <c r="H177" i="95"/>
  <c r="L180" i="95"/>
  <c r="L177" i="95"/>
  <c r="I177" i="95"/>
  <c r="I176" i="95"/>
  <c r="G215" i="95"/>
  <c r="G216" i="95"/>
  <c r="E46" i="95"/>
  <c r="N139" i="95"/>
  <c r="N136" i="95"/>
  <c r="B41" i="95"/>
  <c r="M110" i="95"/>
  <c r="D123" i="95"/>
  <c r="D128" i="95" s="1"/>
  <c r="K137" i="95"/>
  <c r="K141" i="95"/>
  <c r="C162" i="95"/>
  <c r="C167" i="95" s="1"/>
  <c r="J165" i="95"/>
  <c r="E178" i="95"/>
  <c r="E175" i="95"/>
  <c r="E180" i="95" s="1"/>
  <c r="M178" i="95"/>
  <c r="M175" i="95"/>
  <c r="C189" i="95"/>
  <c r="C190" i="95"/>
  <c r="B8" i="95"/>
  <c r="B58" i="95"/>
  <c r="C81" i="95"/>
  <c r="B81" i="95" s="1"/>
  <c r="I110" i="95"/>
  <c r="I115" i="95" s="1"/>
  <c r="N110" i="95"/>
  <c r="G111" i="95"/>
  <c r="L111" i="95"/>
  <c r="K112" i="95"/>
  <c r="K123" i="95"/>
  <c r="I124" i="95"/>
  <c r="N124" i="95"/>
  <c r="M125" i="95"/>
  <c r="H139" i="95"/>
  <c r="H136" i="95"/>
  <c r="H141" i="95" s="1"/>
  <c r="F136" i="95"/>
  <c r="F141" i="95" s="1"/>
  <c r="L136" i="95"/>
  <c r="G162" i="95"/>
  <c r="G167" i="95" s="1"/>
  <c r="L176" i="95"/>
  <c r="E110" i="95"/>
  <c r="E115" i="95" s="1"/>
  <c r="J110" i="95"/>
  <c r="J115" i="95" s="1"/>
  <c r="C111" i="95"/>
  <c r="G112" i="95"/>
  <c r="L112" i="95"/>
  <c r="L115" i="95"/>
  <c r="G123" i="95"/>
  <c r="G128" i="95" s="1"/>
  <c r="L123" i="95"/>
  <c r="N125" i="95"/>
  <c r="I137" i="95"/>
  <c r="K138" i="95"/>
  <c r="E164" i="95"/>
  <c r="M167" i="95"/>
  <c r="M164" i="95"/>
  <c r="L202" i="95"/>
  <c r="L203" i="95"/>
  <c r="L206" i="95"/>
  <c r="C136" i="95"/>
  <c r="C141" i="95" s="1"/>
  <c r="D164" i="95"/>
  <c r="D163" i="95"/>
  <c r="H164" i="95"/>
  <c r="H163" i="95"/>
  <c r="L167" i="95"/>
  <c r="L164" i="95"/>
  <c r="L163" i="95"/>
  <c r="F191" i="95"/>
  <c r="F188" i="95"/>
  <c r="J191" i="95"/>
  <c r="J188" i="95"/>
  <c r="N191" i="95"/>
  <c r="N188" i="95"/>
  <c r="D165" i="95"/>
  <c r="H165" i="95"/>
  <c r="L165" i="95"/>
  <c r="C177" i="95"/>
  <c r="C176" i="95"/>
  <c r="G177" i="95"/>
  <c r="G176" i="95"/>
  <c r="K180" i="95"/>
  <c r="K177" i="95"/>
  <c r="K176" i="95"/>
  <c r="G188" i="95"/>
  <c r="I204" i="95"/>
  <c r="I201" i="95"/>
  <c r="I206" i="95" s="1"/>
  <c r="M204" i="95"/>
  <c r="M201" i="95"/>
  <c r="J203" i="95"/>
  <c r="J202" i="95"/>
  <c r="L219" i="95"/>
  <c r="J175" i="95"/>
  <c r="J180" i="95" s="1"/>
  <c r="K191" i="95"/>
  <c r="K188" i="95"/>
  <c r="D204" i="95"/>
  <c r="D201" i="95"/>
  <c r="D206" i="95" s="1"/>
  <c r="H204" i="95"/>
  <c r="H201" i="95"/>
  <c r="H206" i="95" s="1"/>
  <c r="F203" i="95"/>
  <c r="F202" i="95"/>
  <c r="H217" i="95"/>
  <c r="H214" i="95"/>
  <c r="F215" i="95"/>
  <c r="F216" i="95"/>
  <c r="L217" i="95"/>
  <c r="C178" i="95"/>
  <c r="G178" i="95"/>
  <c r="K178" i="95"/>
  <c r="I189" i="95"/>
  <c r="N201" i="95"/>
  <c r="G202" i="95"/>
  <c r="G207" i="95" s="1"/>
  <c r="K203" i="95"/>
  <c r="C214" i="95"/>
  <c r="N214" i="95"/>
  <c r="D188" i="95"/>
  <c r="E214" i="95"/>
  <c r="I214" i="95"/>
  <c r="M214" i="95"/>
  <c r="D128" i="94"/>
  <c r="D125" i="94"/>
  <c r="D124" i="94"/>
  <c r="L128" i="94"/>
  <c r="L125" i="94"/>
  <c r="L124" i="94"/>
  <c r="D112" i="94"/>
  <c r="D115" i="94"/>
  <c r="D111" i="94"/>
  <c r="H111" i="94"/>
  <c r="H115" i="94"/>
  <c r="H112" i="94"/>
  <c r="I115" i="94"/>
  <c r="I112" i="94"/>
  <c r="I111" i="94"/>
  <c r="C128" i="94"/>
  <c r="C125" i="94"/>
  <c r="C124" i="94"/>
  <c r="K128" i="94"/>
  <c r="K125" i="94"/>
  <c r="K124" i="94"/>
  <c r="H113" i="94"/>
  <c r="E136" i="94"/>
  <c r="E141" i="94" s="1"/>
  <c r="E139" i="94"/>
  <c r="D151" i="94"/>
  <c r="D150" i="94"/>
  <c r="F165" i="94"/>
  <c r="F162" i="94"/>
  <c r="F167" i="94" s="1"/>
  <c r="J165" i="94"/>
  <c r="J162" i="94"/>
  <c r="J167" i="94" s="1"/>
  <c r="L177" i="94"/>
  <c r="L176" i="94"/>
  <c r="E193" i="94"/>
  <c r="E189" i="94"/>
  <c r="H217" i="94"/>
  <c r="H214" i="94"/>
  <c r="L214" i="94"/>
  <c r="L217" i="94"/>
  <c r="D214" i="94"/>
  <c r="L110" i="94"/>
  <c r="I113" i="94"/>
  <c r="J136" i="94"/>
  <c r="J141" i="94" s="1"/>
  <c r="J139" i="94"/>
  <c r="I138" i="94"/>
  <c r="N141" i="94"/>
  <c r="N151" i="94"/>
  <c r="N150" i="94"/>
  <c r="L151" i="94"/>
  <c r="G164" i="94"/>
  <c r="G163" i="94"/>
  <c r="K167" i="94"/>
  <c r="K164" i="94"/>
  <c r="D164" i="94"/>
  <c r="D176" i="94"/>
  <c r="C177" i="94"/>
  <c r="K203" i="94"/>
  <c r="K206" i="94"/>
  <c r="K202" i="94"/>
  <c r="M110" i="94"/>
  <c r="D113" i="94"/>
  <c r="M136" i="94"/>
  <c r="I139" i="94"/>
  <c r="L167" i="94"/>
  <c r="L164" i="94"/>
  <c r="L163" i="94"/>
  <c r="N162" i="94"/>
  <c r="I163" i="94"/>
  <c r="D177" i="94"/>
  <c r="G193" i="94"/>
  <c r="G189" i="94"/>
  <c r="E190" i="94"/>
  <c r="C206" i="94"/>
  <c r="C202" i="94"/>
  <c r="D203" i="94"/>
  <c r="L202" i="94"/>
  <c r="C203" i="94"/>
  <c r="N110" i="94"/>
  <c r="H124" i="94"/>
  <c r="F136" i="94"/>
  <c r="F141" i="94" s="1"/>
  <c r="N138" i="94"/>
  <c r="N142" i="94" s="1"/>
  <c r="F149" i="94"/>
  <c r="F154" i="94" s="1"/>
  <c r="F152" i="94"/>
  <c r="J150" i="94"/>
  <c r="K163" i="94"/>
  <c r="K168" i="94" s="1"/>
  <c r="I164" i="94"/>
  <c r="J175" i="94"/>
  <c r="J178" i="94"/>
  <c r="N178" i="94"/>
  <c r="H190" i="94"/>
  <c r="H201" i="94"/>
  <c r="H204" i="94"/>
  <c r="F203" i="94"/>
  <c r="F206" i="94"/>
  <c r="G214" i="94"/>
  <c r="G217" i="94"/>
  <c r="C214" i="94"/>
  <c r="K214" i="94"/>
  <c r="E123" i="94"/>
  <c r="I123" i="94"/>
  <c r="M123" i="94"/>
  <c r="L152" i="94"/>
  <c r="E164" i="94"/>
  <c r="C188" i="94"/>
  <c r="I189" i="94"/>
  <c r="G202" i="94"/>
  <c r="C110" i="94"/>
  <c r="G110" i="94"/>
  <c r="K110" i="94"/>
  <c r="F123" i="94"/>
  <c r="J123" i="94"/>
  <c r="N123" i="94"/>
  <c r="D188" i="94"/>
  <c r="L188" i="94"/>
  <c r="I190" i="94"/>
  <c r="K191" i="94"/>
  <c r="J201" i="94"/>
  <c r="G203" i="94"/>
  <c r="N203" i="94"/>
  <c r="F216" i="94"/>
  <c r="C136" i="94"/>
  <c r="C141" i="94" s="1"/>
  <c r="G136" i="94"/>
  <c r="G141" i="94" s="1"/>
  <c r="K136" i="94"/>
  <c r="C149" i="94"/>
  <c r="C154" i="94" s="1"/>
  <c r="G149" i="94"/>
  <c r="G154" i="94" s="1"/>
  <c r="K149" i="94"/>
  <c r="K154" i="94" s="1"/>
  <c r="E175" i="94"/>
  <c r="I175" i="94"/>
  <c r="M175" i="94"/>
  <c r="F188" i="94"/>
  <c r="J188" i="94"/>
  <c r="N188" i="94"/>
  <c r="E201" i="94"/>
  <c r="I201" i="94"/>
  <c r="M201" i="94"/>
  <c r="E214" i="94"/>
  <c r="I214" i="94"/>
  <c r="M214" i="94"/>
  <c r="D99" i="43"/>
  <c r="E99" i="43"/>
  <c r="F99" i="43"/>
  <c r="G99" i="43"/>
  <c r="H99" i="43"/>
  <c r="I99" i="43"/>
  <c r="J99" i="43"/>
  <c r="K99" i="43"/>
  <c r="L99" i="43"/>
  <c r="M99" i="43"/>
  <c r="N99" i="43"/>
  <c r="H9" i="65"/>
  <c r="L9" i="65" s="1"/>
  <c r="F125" i="95" l="1"/>
  <c r="F129" i="95" s="1"/>
  <c r="M190" i="94"/>
  <c r="C168" i="94"/>
  <c r="I151" i="94"/>
  <c r="H137" i="94"/>
  <c r="J155" i="94"/>
  <c r="E151" i="94"/>
  <c r="E155" i="94" s="1"/>
  <c r="M154" i="94"/>
  <c r="M150" i="94"/>
  <c r="E111" i="94"/>
  <c r="F112" i="95"/>
  <c r="K177" i="94"/>
  <c r="F111" i="95"/>
  <c r="E112" i="94"/>
  <c r="D167" i="94"/>
  <c r="D163" i="94"/>
  <c r="D168" i="94" s="1"/>
  <c r="L137" i="94"/>
  <c r="G125" i="94"/>
  <c r="D137" i="95"/>
  <c r="D142" i="95" s="1"/>
  <c r="J216" i="94"/>
  <c r="F177" i="94"/>
  <c r="G154" i="95"/>
  <c r="G151" i="95"/>
  <c r="G150" i="95"/>
  <c r="I154" i="95"/>
  <c r="I151" i="95"/>
  <c r="I150" i="95"/>
  <c r="H154" i="95"/>
  <c r="H151" i="95"/>
  <c r="H150" i="95"/>
  <c r="G177" i="94"/>
  <c r="M189" i="94"/>
  <c r="H128" i="94"/>
  <c r="H129" i="94" s="1"/>
  <c r="K207" i="95"/>
  <c r="F207" i="95"/>
  <c r="D138" i="95"/>
  <c r="G220" i="95"/>
  <c r="H164" i="94"/>
  <c r="H168" i="94" s="1"/>
  <c r="N154" i="95"/>
  <c r="N151" i="95"/>
  <c r="N150" i="95"/>
  <c r="F154" i="95"/>
  <c r="F151" i="95"/>
  <c r="F150" i="95"/>
  <c r="L154" i="95"/>
  <c r="L151" i="95"/>
  <c r="L150" i="95"/>
  <c r="J154" i="95"/>
  <c r="J151" i="95"/>
  <c r="J150" i="95"/>
  <c r="L138" i="94"/>
  <c r="K154" i="95"/>
  <c r="K151" i="95"/>
  <c r="K150" i="95"/>
  <c r="C150" i="95"/>
  <c r="C154" i="95"/>
  <c r="C151" i="95"/>
  <c r="E154" i="95"/>
  <c r="E151" i="95"/>
  <c r="E150" i="95"/>
  <c r="D154" i="95"/>
  <c r="D151" i="95"/>
  <c r="D150" i="95"/>
  <c r="M154" i="95"/>
  <c r="M151" i="95"/>
  <c r="M150" i="95"/>
  <c r="L189" i="95"/>
  <c r="M194" i="95"/>
  <c r="K216" i="95"/>
  <c r="K220" i="95" s="1"/>
  <c r="K219" i="95"/>
  <c r="C207" i="95"/>
  <c r="J215" i="94"/>
  <c r="F112" i="94"/>
  <c r="F111" i="94"/>
  <c r="I168" i="94"/>
  <c r="D155" i="94"/>
  <c r="H138" i="94"/>
  <c r="H142" i="94" s="1"/>
  <c r="I142" i="94"/>
  <c r="B62" i="94"/>
  <c r="B83" i="94" s="1"/>
  <c r="B97" i="94" s="1"/>
  <c r="B137" i="46" s="1"/>
  <c r="D137" i="46" s="1"/>
  <c r="I142" i="95"/>
  <c r="I181" i="95"/>
  <c r="M142" i="95"/>
  <c r="H124" i="95"/>
  <c r="H125" i="95"/>
  <c r="J129" i="95"/>
  <c r="E129" i="95"/>
  <c r="E83" i="94"/>
  <c r="D83" i="95"/>
  <c r="N83" i="95"/>
  <c r="K83" i="95"/>
  <c r="L83" i="95"/>
  <c r="G181" i="95"/>
  <c r="L181" i="95"/>
  <c r="N177" i="95"/>
  <c r="N180" i="95"/>
  <c r="N181" i="95" s="1"/>
  <c r="J168" i="95"/>
  <c r="E83" i="95"/>
  <c r="L168" i="95"/>
  <c r="K164" i="95"/>
  <c r="M168" i="95"/>
  <c r="K167" i="95"/>
  <c r="I168" i="95"/>
  <c r="F83" i="95"/>
  <c r="E142" i="95"/>
  <c r="B62" i="95"/>
  <c r="B83" i="95" s="1"/>
  <c r="B97" i="95" s="1"/>
  <c r="B164" i="46" s="1"/>
  <c r="M83" i="95"/>
  <c r="G83" i="95"/>
  <c r="C194" i="95"/>
  <c r="E206" i="95"/>
  <c r="E202" i="95"/>
  <c r="E203" i="95"/>
  <c r="G141" i="95"/>
  <c r="G138" i="95"/>
  <c r="G137" i="95"/>
  <c r="M163" i="94"/>
  <c r="M167" i="94"/>
  <c r="M164" i="94"/>
  <c r="H151" i="94"/>
  <c r="H154" i="94"/>
  <c r="H150" i="94"/>
  <c r="D216" i="95"/>
  <c r="D215" i="95"/>
  <c r="J215" i="95"/>
  <c r="J216" i="95"/>
  <c r="F180" i="95"/>
  <c r="F176" i="95"/>
  <c r="K129" i="94"/>
  <c r="M129" i="95"/>
  <c r="J115" i="94"/>
  <c r="J111" i="94"/>
  <c r="L206" i="94"/>
  <c r="L203" i="94"/>
  <c r="H193" i="94"/>
  <c r="H194" i="94" s="1"/>
  <c r="H189" i="94"/>
  <c r="H112" i="95"/>
  <c r="H115" i="95"/>
  <c r="H111" i="95"/>
  <c r="N207" i="94"/>
  <c r="H168" i="95"/>
  <c r="L207" i="95"/>
  <c r="E168" i="95"/>
  <c r="K142" i="95"/>
  <c r="I194" i="94"/>
  <c r="D202" i="94"/>
  <c r="D207" i="94" s="1"/>
  <c r="G124" i="94"/>
  <c r="G176" i="94"/>
  <c r="G168" i="94"/>
  <c r="N155" i="94"/>
  <c r="D129" i="94"/>
  <c r="N129" i="95"/>
  <c r="I129" i="95"/>
  <c r="H189" i="95"/>
  <c r="H194" i="95" s="1"/>
  <c r="D181" i="95"/>
  <c r="D142" i="94"/>
  <c r="I150" i="94"/>
  <c r="F176" i="94"/>
  <c r="L155" i="94"/>
  <c r="C129" i="94"/>
  <c r="L129" i="94"/>
  <c r="I194" i="95"/>
  <c r="L220" i="95"/>
  <c r="J207" i="95"/>
  <c r="L228" i="95"/>
  <c r="L50" i="95" s="1"/>
  <c r="L194" i="95"/>
  <c r="H181" i="95"/>
  <c r="E167" i="94"/>
  <c r="E163" i="94"/>
  <c r="E168" i="94" s="1"/>
  <c r="E194" i="95"/>
  <c r="G194" i="94"/>
  <c r="M194" i="94"/>
  <c r="E194" i="94"/>
  <c r="K194" i="94"/>
  <c r="F207" i="94"/>
  <c r="C207" i="94"/>
  <c r="K207" i="94"/>
  <c r="G207" i="94"/>
  <c r="N216" i="94"/>
  <c r="N215" i="94"/>
  <c r="D190" i="95"/>
  <c r="D189" i="95"/>
  <c r="G189" i="95"/>
  <c r="G190" i="95"/>
  <c r="J190" i="95"/>
  <c r="J189" i="95"/>
  <c r="E228" i="95"/>
  <c r="E112" i="95"/>
  <c r="E111" i="95"/>
  <c r="F137" i="95"/>
  <c r="F138" i="95"/>
  <c r="K128" i="95"/>
  <c r="K125" i="95"/>
  <c r="K124" i="95"/>
  <c r="K228" i="95"/>
  <c r="G228" i="95"/>
  <c r="O188" i="95"/>
  <c r="E176" i="95"/>
  <c r="E177" i="95"/>
  <c r="C83" i="95"/>
  <c r="O123" i="95"/>
  <c r="M219" i="95"/>
  <c r="M216" i="95"/>
  <c r="M215" i="95"/>
  <c r="N216" i="95"/>
  <c r="N215" i="95"/>
  <c r="N219" i="95"/>
  <c r="D203" i="95"/>
  <c r="D202" i="95"/>
  <c r="J177" i="95"/>
  <c r="J176" i="95"/>
  <c r="I203" i="95"/>
  <c r="I202" i="95"/>
  <c r="O175" i="95"/>
  <c r="D168" i="95"/>
  <c r="H138" i="95"/>
  <c r="H137" i="95"/>
  <c r="N228" i="95"/>
  <c r="N115" i="95"/>
  <c r="N112" i="95"/>
  <c r="N111" i="95"/>
  <c r="O110" i="95"/>
  <c r="M228" i="95"/>
  <c r="M111" i="95"/>
  <c r="M115" i="95"/>
  <c r="M112" i="95"/>
  <c r="F164" i="95"/>
  <c r="F163" i="95"/>
  <c r="I216" i="95"/>
  <c r="I215" i="95"/>
  <c r="C216" i="95"/>
  <c r="C215" i="95"/>
  <c r="N206" i="95"/>
  <c r="N203" i="95"/>
  <c r="N202" i="95"/>
  <c r="F220" i="95"/>
  <c r="K181" i="95"/>
  <c r="N189" i="95"/>
  <c r="N190" i="95"/>
  <c r="F190" i="95"/>
  <c r="F189" i="95"/>
  <c r="L128" i="95"/>
  <c r="L125" i="95"/>
  <c r="L124" i="95"/>
  <c r="G164" i="95"/>
  <c r="G163" i="95"/>
  <c r="I228" i="95"/>
  <c r="I112" i="95"/>
  <c r="I111" i="95"/>
  <c r="C228" i="95"/>
  <c r="O8" i="95"/>
  <c r="B46" i="95"/>
  <c r="B95" i="95" s="1"/>
  <c r="B162" i="46" s="1"/>
  <c r="D162" i="46" s="1"/>
  <c r="M176" i="95"/>
  <c r="M177" i="95"/>
  <c r="M180" i="95"/>
  <c r="D125" i="95"/>
  <c r="D124" i="95"/>
  <c r="H228" i="95"/>
  <c r="J138" i="95"/>
  <c r="J137" i="95"/>
  <c r="E216" i="95"/>
  <c r="E215" i="95"/>
  <c r="H215" i="95"/>
  <c r="H216" i="95"/>
  <c r="H202" i="95"/>
  <c r="H203" i="95"/>
  <c r="K190" i="95"/>
  <c r="K189" i="95"/>
  <c r="M206" i="95"/>
  <c r="M202" i="95"/>
  <c r="M203" i="95"/>
  <c r="C181" i="95"/>
  <c r="C138" i="95"/>
  <c r="O136" i="95"/>
  <c r="C137" i="95"/>
  <c r="G125" i="95"/>
  <c r="G124" i="95"/>
  <c r="J228" i="95"/>
  <c r="J112" i="95"/>
  <c r="J111" i="95"/>
  <c r="L141" i="95"/>
  <c r="L138" i="95"/>
  <c r="L137" i="95"/>
  <c r="D228" i="95"/>
  <c r="C164" i="95"/>
  <c r="C163" i="95"/>
  <c r="O162" i="95"/>
  <c r="N141" i="95"/>
  <c r="N137" i="95"/>
  <c r="N138" i="95"/>
  <c r="N167" i="95"/>
  <c r="N164" i="95"/>
  <c r="N163" i="95"/>
  <c r="F228" i="95"/>
  <c r="C129" i="95"/>
  <c r="I216" i="94"/>
  <c r="I215" i="94"/>
  <c r="E206" i="94"/>
  <c r="E203" i="94"/>
  <c r="E202" i="94"/>
  <c r="M177" i="94"/>
  <c r="M176" i="94"/>
  <c r="G151" i="94"/>
  <c r="G150" i="94"/>
  <c r="C138" i="94"/>
  <c r="C137" i="94"/>
  <c r="L193" i="94"/>
  <c r="L189" i="94"/>
  <c r="L190" i="94"/>
  <c r="F128" i="94"/>
  <c r="F125" i="94"/>
  <c r="F124" i="94"/>
  <c r="C115" i="94"/>
  <c r="C112" i="94"/>
  <c r="C111" i="94"/>
  <c r="C228" i="94"/>
  <c r="G215" i="94"/>
  <c r="G216" i="94"/>
  <c r="N167" i="94"/>
  <c r="N164" i="94"/>
  <c r="N163" i="94"/>
  <c r="J138" i="94"/>
  <c r="J137" i="94"/>
  <c r="J142" i="94" s="1"/>
  <c r="F228" i="94"/>
  <c r="L216" i="94"/>
  <c r="L215" i="94"/>
  <c r="J164" i="94"/>
  <c r="J163" i="94"/>
  <c r="J168" i="94" s="1"/>
  <c r="J228" i="94"/>
  <c r="E216" i="94"/>
  <c r="E215" i="94"/>
  <c r="N193" i="94"/>
  <c r="N190" i="94"/>
  <c r="N189" i="94"/>
  <c r="I177" i="94"/>
  <c r="I176" i="94"/>
  <c r="C151" i="94"/>
  <c r="C150" i="94"/>
  <c r="J206" i="94"/>
  <c r="J202" i="94"/>
  <c r="J203" i="94"/>
  <c r="D189" i="94"/>
  <c r="D193" i="94"/>
  <c r="D190" i="94"/>
  <c r="C190" i="94"/>
  <c r="C189" i="94"/>
  <c r="C193" i="94"/>
  <c r="M128" i="94"/>
  <c r="M125" i="94"/>
  <c r="M124" i="94"/>
  <c r="K215" i="94"/>
  <c r="K216" i="94"/>
  <c r="M141" i="94"/>
  <c r="M138" i="94"/>
  <c r="M137" i="94"/>
  <c r="L228" i="94"/>
  <c r="L112" i="94"/>
  <c r="L111" i="94"/>
  <c r="L115" i="94"/>
  <c r="H215" i="94"/>
  <c r="H216" i="94"/>
  <c r="E228" i="94"/>
  <c r="I228" i="94"/>
  <c r="D228" i="94"/>
  <c r="M206" i="94"/>
  <c r="M203" i="94"/>
  <c r="M202" i="94"/>
  <c r="J193" i="94"/>
  <c r="J190" i="94"/>
  <c r="J189" i="94"/>
  <c r="E177" i="94"/>
  <c r="E176" i="94"/>
  <c r="K141" i="94"/>
  <c r="K138" i="94"/>
  <c r="K137" i="94"/>
  <c r="N128" i="94"/>
  <c r="N125" i="94"/>
  <c r="N124" i="94"/>
  <c r="K228" i="94"/>
  <c r="K115" i="94"/>
  <c r="K112" i="94"/>
  <c r="K111" i="94"/>
  <c r="I128" i="94"/>
  <c r="I125" i="94"/>
  <c r="I124" i="94"/>
  <c r="C215" i="94"/>
  <c r="C216" i="94"/>
  <c r="H206" i="94"/>
  <c r="H203" i="94"/>
  <c r="H202" i="94"/>
  <c r="F138" i="94"/>
  <c r="F137" i="94"/>
  <c r="L168" i="94"/>
  <c r="M228" i="94"/>
  <c r="M111" i="94"/>
  <c r="M115" i="94"/>
  <c r="M112" i="94"/>
  <c r="D216" i="94"/>
  <c r="D215" i="94"/>
  <c r="F164" i="94"/>
  <c r="F163" i="94"/>
  <c r="E137" i="94"/>
  <c r="E138" i="94"/>
  <c r="H228" i="94"/>
  <c r="M216" i="94"/>
  <c r="M215" i="94"/>
  <c r="I206" i="94"/>
  <c r="I203" i="94"/>
  <c r="I202" i="94"/>
  <c r="F193" i="94"/>
  <c r="F190" i="94"/>
  <c r="F189" i="94"/>
  <c r="K151" i="94"/>
  <c r="K150" i="94"/>
  <c r="G138" i="94"/>
  <c r="G137" i="94"/>
  <c r="J128" i="94"/>
  <c r="J125" i="94"/>
  <c r="J124" i="94"/>
  <c r="G115" i="94"/>
  <c r="G112" i="94"/>
  <c r="G111" i="94"/>
  <c r="G228" i="94"/>
  <c r="E128" i="94"/>
  <c r="E125" i="94"/>
  <c r="E124" i="94"/>
  <c r="J176" i="94"/>
  <c r="J177" i="94"/>
  <c r="F151" i="94"/>
  <c r="F150" i="94"/>
  <c r="N115" i="94"/>
  <c r="N228" i="94"/>
  <c r="N112" i="94"/>
  <c r="N111" i="94"/>
  <c r="C36" i="63"/>
  <c r="D36" i="63" s="1"/>
  <c r="C37" i="63"/>
  <c r="D37" i="63" s="1"/>
  <c r="C38" i="63"/>
  <c r="D38" i="63" s="1"/>
  <c r="E38" i="63" s="1"/>
  <c r="F38" i="63" s="1"/>
  <c r="C39" i="63"/>
  <c r="D39" i="63" s="1"/>
  <c r="E39" i="63" s="1"/>
  <c r="F39" i="63" s="1"/>
  <c r="P61" i="65" s="1"/>
  <c r="C40" i="63"/>
  <c r="D40" i="63" s="1"/>
  <c r="C41" i="63"/>
  <c r="D41" i="63" s="1"/>
  <c r="C42" i="63"/>
  <c r="D42" i="63" s="1"/>
  <c r="E42" i="63" s="1"/>
  <c r="F42" i="63" s="1"/>
  <c r="C43" i="63"/>
  <c r="D43" i="63" s="1"/>
  <c r="E43" i="63" s="1"/>
  <c r="F43" i="63" s="1"/>
  <c r="C44" i="63"/>
  <c r="D44" i="63" s="1"/>
  <c r="C45" i="63"/>
  <c r="D45" i="63" s="1"/>
  <c r="C46" i="63"/>
  <c r="D46" i="63" s="1"/>
  <c r="E46" i="63" s="1"/>
  <c r="F46" i="63" s="1"/>
  <c r="C47" i="63"/>
  <c r="D47" i="63" s="1"/>
  <c r="E47" i="63" s="1"/>
  <c r="C48" i="63"/>
  <c r="D48" i="63" s="1"/>
  <c r="C49" i="63"/>
  <c r="D49" i="63" s="1"/>
  <c r="E49" i="63" s="1"/>
  <c r="C50" i="63"/>
  <c r="D50" i="63" s="1"/>
  <c r="E50" i="63" s="1"/>
  <c r="C51" i="63"/>
  <c r="D51" i="63" s="1"/>
  <c r="E51" i="63" s="1"/>
  <c r="C52" i="63"/>
  <c r="D52" i="63" s="1"/>
  <c r="C53" i="63"/>
  <c r="D53" i="63" s="1"/>
  <c r="C54" i="63"/>
  <c r="D54" i="63" s="1"/>
  <c r="C55" i="63"/>
  <c r="D55" i="63" s="1"/>
  <c r="C56" i="63"/>
  <c r="D56" i="63" s="1"/>
  <c r="C57" i="63"/>
  <c r="D57" i="63" s="1"/>
  <c r="C58" i="63"/>
  <c r="D58" i="63" s="1"/>
  <c r="C59" i="63"/>
  <c r="D59" i="63" s="1"/>
  <c r="E59" i="63" s="1"/>
  <c r="C60" i="63"/>
  <c r="D60" i="63" s="1"/>
  <c r="C61" i="63"/>
  <c r="D61" i="63" s="1"/>
  <c r="C62" i="63"/>
  <c r="D62" i="63" s="1"/>
  <c r="E62" i="63" s="1"/>
  <c r="C63" i="63"/>
  <c r="D63" i="63" s="1"/>
  <c r="C64" i="63"/>
  <c r="D64" i="63" s="1"/>
  <c r="C65" i="63"/>
  <c r="D65" i="63" s="1"/>
  <c r="C66" i="63"/>
  <c r="D66" i="63" s="1"/>
  <c r="E66" i="63" s="1"/>
  <c r="C67" i="63"/>
  <c r="D67" i="63" s="1"/>
  <c r="C68" i="63"/>
  <c r="D68" i="63" s="1"/>
  <c r="C25" i="63"/>
  <c r="D25" i="63" s="1"/>
  <c r="E25" i="63" s="1"/>
  <c r="F25" i="63" s="1"/>
  <c r="C26" i="63"/>
  <c r="D26" i="63" s="1"/>
  <c r="E26" i="63" s="1"/>
  <c r="C27" i="63"/>
  <c r="D27" i="63" s="1"/>
  <c r="E27" i="63" s="1"/>
  <c r="F27" i="63" s="1"/>
  <c r="P22" i="65" s="1"/>
  <c r="C28" i="63"/>
  <c r="D28" i="63" s="1"/>
  <c r="E28" i="63" s="1"/>
  <c r="C29" i="63"/>
  <c r="D29" i="63" s="1"/>
  <c r="E29" i="63" s="1"/>
  <c r="F29" i="63" s="1"/>
  <c r="C30" i="63"/>
  <c r="D30" i="63" s="1"/>
  <c r="E30" i="63" s="1"/>
  <c r="C31" i="63"/>
  <c r="D31" i="63" s="1"/>
  <c r="E31" i="63" s="1"/>
  <c r="F31" i="63" s="1"/>
  <c r="C32" i="63"/>
  <c r="D32" i="63" s="1"/>
  <c r="E32" i="63" s="1"/>
  <c r="C33" i="63"/>
  <c r="D33" i="63" s="1"/>
  <c r="E33" i="63" s="1"/>
  <c r="F33" i="63" s="1"/>
  <c r="P52" i="65" s="1"/>
  <c r="C34" i="63"/>
  <c r="D34" i="63" s="1"/>
  <c r="E34" i="63" s="1"/>
  <c r="C24" i="63"/>
  <c r="D24" i="63" s="1"/>
  <c r="E24" i="63" s="1"/>
  <c r="A117" i="46"/>
  <c r="C117" i="46"/>
  <c r="D117" i="46"/>
  <c r="B117" i="46"/>
  <c r="F129" i="94" l="1"/>
  <c r="N168" i="94"/>
  <c r="I155" i="94"/>
  <c r="M155" i="94"/>
  <c r="D207" i="95"/>
  <c r="D194" i="95"/>
  <c r="F412" i="82"/>
  <c r="F414" i="82" s="1"/>
  <c r="I412" i="82"/>
  <c r="I414" i="82" s="1"/>
  <c r="J412" i="82"/>
  <c r="J414" i="82" s="1"/>
  <c r="E412" i="82"/>
  <c r="E414" i="82" s="1"/>
  <c r="L412" i="82"/>
  <c r="L414" i="82" s="1"/>
  <c r="K412" i="82"/>
  <c r="K414" i="82" s="1"/>
  <c r="H412" i="82"/>
  <c r="H414" i="82" s="1"/>
  <c r="G412" i="82"/>
  <c r="G414" i="82" s="1"/>
  <c r="M412" i="82"/>
  <c r="M414" i="82" s="1"/>
  <c r="D412" i="82"/>
  <c r="D414" i="82" s="1"/>
  <c r="C412" i="82"/>
  <c r="C414" i="82" s="1"/>
  <c r="N412" i="82"/>
  <c r="N414" i="82" s="1"/>
  <c r="G127" i="90"/>
  <c r="J127" i="90"/>
  <c r="I127" i="90"/>
  <c r="F127" i="90"/>
  <c r="E127" i="90"/>
  <c r="L127" i="90"/>
  <c r="C127" i="90"/>
  <c r="H127" i="90"/>
  <c r="K127" i="90"/>
  <c r="N127" i="90"/>
  <c r="M127" i="90"/>
  <c r="D127" i="90"/>
  <c r="K155" i="94"/>
  <c r="F168" i="94"/>
  <c r="M142" i="94"/>
  <c r="C142" i="94"/>
  <c r="C142" i="95"/>
  <c r="G129" i="94"/>
  <c r="J220" i="95"/>
  <c r="E207" i="95"/>
  <c r="L142" i="94"/>
  <c r="G142" i="94"/>
  <c r="D129" i="95"/>
  <c r="H129" i="95"/>
  <c r="F181" i="95"/>
  <c r="L142" i="95"/>
  <c r="J142" i="95"/>
  <c r="F194" i="95"/>
  <c r="D220" i="95"/>
  <c r="H207" i="95"/>
  <c r="L207" i="94"/>
  <c r="M168" i="94"/>
  <c r="O168" i="94" s="1"/>
  <c r="G155" i="94"/>
  <c r="H155" i="94"/>
  <c r="C155" i="94"/>
  <c r="F155" i="94"/>
  <c r="F142" i="94"/>
  <c r="E142" i="94"/>
  <c r="K142" i="94"/>
  <c r="F168" i="95"/>
  <c r="J194" i="95"/>
  <c r="J129" i="94"/>
  <c r="I229" i="94"/>
  <c r="I51" i="94" s="1"/>
  <c r="I129" i="94"/>
  <c r="G194" i="95"/>
  <c r="K194" i="95"/>
  <c r="J181" i="95"/>
  <c r="G168" i="95"/>
  <c r="K168" i="95"/>
  <c r="C168" i="95"/>
  <c r="H142" i="95"/>
  <c r="F142" i="95"/>
  <c r="G142" i="95"/>
  <c r="D164" i="46"/>
  <c r="N129" i="94"/>
  <c r="M207" i="95"/>
  <c r="H220" i="95"/>
  <c r="C229" i="95"/>
  <c r="C51" i="95" s="1"/>
  <c r="N194" i="95"/>
  <c r="N220" i="95"/>
  <c r="G229" i="94"/>
  <c r="G51" i="94" s="1"/>
  <c r="J207" i="94"/>
  <c r="N168" i="95"/>
  <c r="N142" i="95"/>
  <c r="G129" i="95"/>
  <c r="M181" i="95"/>
  <c r="N207" i="95"/>
  <c r="I207" i="95"/>
  <c r="E181" i="95"/>
  <c r="O193" i="95"/>
  <c r="E129" i="94"/>
  <c r="H229" i="94"/>
  <c r="H51" i="94" s="1"/>
  <c r="M129" i="94"/>
  <c r="E220" i="95"/>
  <c r="C220" i="95"/>
  <c r="F229" i="95"/>
  <c r="F51" i="95" s="1"/>
  <c r="M220" i="95"/>
  <c r="I220" i="95"/>
  <c r="H229" i="95"/>
  <c r="H51" i="95" s="1"/>
  <c r="G229" i="95"/>
  <c r="G51" i="95" s="1"/>
  <c r="L129" i="95"/>
  <c r="D229" i="95"/>
  <c r="D51" i="95" s="1"/>
  <c r="N194" i="94"/>
  <c r="L194" i="94"/>
  <c r="C194" i="94"/>
  <c r="D194" i="94"/>
  <c r="N229" i="94"/>
  <c r="N51" i="94" s="1"/>
  <c r="J229" i="94"/>
  <c r="J51" i="94" s="1"/>
  <c r="F229" i="94"/>
  <c r="F51" i="94" s="1"/>
  <c r="D229" i="94"/>
  <c r="D51" i="94" s="1"/>
  <c r="J194" i="94"/>
  <c r="H207" i="94"/>
  <c r="M207" i="94"/>
  <c r="E207" i="94"/>
  <c r="I207" i="94"/>
  <c r="F50" i="63"/>
  <c r="D50" i="95"/>
  <c r="H50" i="95"/>
  <c r="M50" i="95"/>
  <c r="G50" i="95"/>
  <c r="K229" i="95"/>
  <c r="K51" i="95" s="1"/>
  <c r="O167" i="95"/>
  <c r="L229" i="95"/>
  <c r="J50" i="95"/>
  <c r="O141" i="95"/>
  <c r="O180" i="95"/>
  <c r="C50" i="95"/>
  <c r="I50" i="95"/>
  <c r="M229" i="95"/>
  <c r="M51" i="95" s="1"/>
  <c r="N50" i="95"/>
  <c r="E50" i="95"/>
  <c r="F50" i="95"/>
  <c r="J229" i="95"/>
  <c r="J51" i="95" s="1"/>
  <c r="I229" i="95"/>
  <c r="I51" i="95" s="1"/>
  <c r="O128" i="95"/>
  <c r="N229" i="95"/>
  <c r="N51" i="95" s="1"/>
  <c r="K50" i="95"/>
  <c r="K129" i="95"/>
  <c r="E229" i="95"/>
  <c r="E51" i="95" s="1"/>
  <c r="M50" i="94"/>
  <c r="K229" i="94"/>
  <c r="K51" i="94" s="1"/>
  <c r="K50" i="94"/>
  <c r="D50" i="94"/>
  <c r="F50" i="94"/>
  <c r="C50" i="94"/>
  <c r="F194" i="94"/>
  <c r="H50" i="94"/>
  <c r="E50" i="94"/>
  <c r="L50" i="94"/>
  <c r="J50" i="94"/>
  <c r="E229" i="94"/>
  <c r="E51" i="94" s="1"/>
  <c r="C229" i="94"/>
  <c r="C51" i="94" s="1"/>
  <c r="N50" i="94"/>
  <c r="M229" i="94"/>
  <c r="M51" i="94" s="1"/>
  <c r="L229" i="94"/>
  <c r="L51" i="94" s="1"/>
  <c r="G50" i="94"/>
  <c r="I50" i="94"/>
  <c r="E44" i="63"/>
  <c r="F44" i="63" s="1"/>
  <c r="E36" i="63"/>
  <c r="F36" i="63" s="1"/>
  <c r="E53" i="63"/>
  <c r="F53" i="63" s="1"/>
  <c r="P43" i="65" s="1"/>
  <c r="F49" i="63"/>
  <c r="E65" i="63"/>
  <c r="F65" i="63" s="1"/>
  <c r="E45" i="63"/>
  <c r="F45" i="63" s="1"/>
  <c r="E41" i="63"/>
  <c r="F41" i="63" s="1"/>
  <c r="E37" i="63"/>
  <c r="F37" i="63" s="1"/>
  <c r="F51" i="63"/>
  <c r="E55" i="63"/>
  <c r="F55" i="63" s="1"/>
  <c r="E40" i="63"/>
  <c r="F40" i="63" s="1"/>
  <c r="F66" i="63"/>
  <c r="E67" i="63"/>
  <c r="F67" i="63" s="1"/>
  <c r="E54" i="63"/>
  <c r="F54" i="63" s="1"/>
  <c r="E68" i="63"/>
  <c r="F68" i="63" s="1"/>
  <c r="P59" i="65" s="1"/>
  <c r="E64" i="63"/>
  <c r="F64" i="63" s="1"/>
  <c r="E63" i="63"/>
  <c r="F63" i="63" s="1"/>
  <c r="F62" i="63"/>
  <c r="E61" i="63"/>
  <c r="F61" i="63" s="1"/>
  <c r="E60" i="63"/>
  <c r="F60" i="63" s="1"/>
  <c r="P60" i="65" s="1"/>
  <c r="F59" i="63"/>
  <c r="E58" i="63"/>
  <c r="F58" i="63" s="1"/>
  <c r="E57" i="63"/>
  <c r="F57" i="63" s="1"/>
  <c r="E56" i="63"/>
  <c r="F56" i="63" s="1"/>
  <c r="E52" i="63"/>
  <c r="F52" i="63" s="1"/>
  <c r="P62" i="65" s="1"/>
  <c r="E48" i="63"/>
  <c r="F48" i="63" s="1"/>
  <c r="F47" i="63"/>
  <c r="H218" i="79" s="1"/>
  <c r="F26" i="63"/>
  <c r="F24" i="63"/>
  <c r="C35" i="63"/>
  <c r="D35" i="63" s="1"/>
  <c r="E35" i="63" s="1"/>
  <c r="O149" i="81"/>
  <c r="L127" i="88" l="1"/>
  <c r="G127" i="88"/>
  <c r="C127" i="88"/>
  <c r="G114" i="88"/>
  <c r="L114" i="88"/>
  <c r="I127" i="88"/>
  <c r="M127" i="88"/>
  <c r="F127" i="88"/>
  <c r="D114" i="88"/>
  <c r="H114" i="88"/>
  <c r="I114" i="88"/>
  <c r="M114" i="88"/>
  <c r="J127" i="88"/>
  <c r="N127" i="88"/>
  <c r="E127" i="88"/>
  <c r="E114" i="88"/>
  <c r="C114" i="88"/>
  <c r="J114" i="88"/>
  <c r="N114" i="88"/>
  <c r="K127" i="88"/>
  <c r="H127" i="88"/>
  <c r="D127" i="88"/>
  <c r="F114" i="88"/>
  <c r="K114" i="88"/>
  <c r="C127" i="80"/>
  <c r="K218" i="79"/>
  <c r="N218" i="79"/>
  <c r="E127" i="80"/>
  <c r="H127" i="80"/>
  <c r="D218" i="79"/>
  <c r="K127" i="80"/>
  <c r="G218" i="79"/>
  <c r="N127" i="80"/>
  <c r="J218" i="79"/>
  <c r="M218" i="79"/>
  <c r="D127" i="80"/>
  <c r="G127" i="80"/>
  <c r="J127" i="80"/>
  <c r="F218" i="79"/>
  <c r="M127" i="80"/>
  <c r="I218" i="79"/>
  <c r="L218" i="79"/>
  <c r="P13" i="65"/>
  <c r="P33" i="65"/>
  <c r="P10" i="65"/>
  <c r="D114" i="1" s="1"/>
  <c r="E166" i="81"/>
  <c r="I166" i="81"/>
  <c r="M166" i="81"/>
  <c r="G166" i="81"/>
  <c r="C166" i="81"/>
  <c r="H166" i="81"/>
  <c r="F166" i="81"/>
  <c r="J166" i="81"/>
  <c r="N166" i="81"/>
  <c r="K166" i="81"/>
  <c r="D166" i="81"/>
  <c r="L166" i="81"/>
  <c r="C218" i="79"/>
  <c r="F127" i="80"/>
  <c r="I127" i="80"/>
  <c r="E218" i="79"/>
  <c r="L127" i="80"/>
  <c r="O129" i="94"/>
  <c r="C140" i="80"/>
  <c r="G140" i="80"/>
  <c r="K140" i="80"/>
  <c r="D140" i="80"/>
  <c r="H140" i="80"/>
  <c r="L140" i="80"/>
  <c r="E140" i="80"/>
  <c r="I140" i="80"/>
  <c r="M140" i="80"/>
  <c r="F140" i="80"/>
  <c r="J140" i="80"/>
  <c r="N140" i="80"/>
  <c r="G166" i="83"/>
  <c r="N166" i="80"/>
  <c r="J166" i="83"/>
  <c r="I166" i="80"/>
  <c r="E166" i="83"/>
  <c r="L166" i="83"/>
  <c r="C166" i="80"/>
  <c r="K166" i="83"/>
  <c r="J166" i="80"/>
  <c r="E166" i="80"/>
  <c r="H166" i="83"/>
  <c r="F166" i="80"/>
  <c r="H166" i="80"/>
  <c r="N166" i="83"/>
  <c r="M166" i="80"/>
  <c r="I166" i="83"/>
  <c r="D166" i="80"/>
  <c r="C166" i="83"/>
  <c r="F166" i="83"/>
  <c r="L166" i="80"/>
  <c r="K166" i="80"/>
  <c r="M166" i="83"/>
  <c r="D166" i="83"/>
  <c r="G166" i="80"/>
  <c r="E192" i="83"/>
  <c r="D192" i="83"/>
  <c r="G192" i="83"/>
  <c r="N192" i="83"/>
  <c r="J192" i="83"/>
  <c r="H192" i="83"/>
  <c r="K192" i="83"/>
  <c r="I192" i="83"/>
  <c r="L192" i="83"/>
  <c r="C192" i="83"/>
  <c r="F192" i="83"/>
  <c r="M192" i="83"/>
  <c r="L114" i="1"/>
  <c r="G153" i="83"/>
  <c r="D179" i="80"/>
  <c r="C179" i="80"/>
  <c r="M153" i="83"/>
  <c r="J179" i="80"/>
  <c r="D153" i="83"/>
  <c r="M179" i="80"/>
  <c r="K179" i="80"/>
  <c r="G179" i="80"/>
  <c r="E179" i="80"/>
  <c r="H179" i="80"/>
  <c r="F153" i="83"/>
  <c r="C153" i="83"/>
  <c r="N179" i="80"/>
  <c r="H153" i="83"/>
  <c r="K153" i="83"/>
  <c r="N153" i="83"/>
  <c r="I153" i="83"/>
  <c r="F179" i="80"/>
  <c r="I179" i="80"/>
  <c r="L179" i="80"/>
  <c r="J153" i="83"/>
  <c r="E153" i="83"/>
  <c r="L153" i="83"/>
  <c r="D179" i="83"/>
  <c r="K179" i="83"/>
  <c r="M153" i="80"/>
  <c r="J179" i="83"/>
  <c r="D153" i="80"/>
  <c r="C153" i="80"/>
  <c r="L179" i="83"/>
  <c r="N153" i="80"/>
  <c r="I153" i="80"/>
  <c r="J153" i="80"/>
  <c r="I179" i="83"/>
  <c r="G153" i="80"/>
  <c r="F153" i="80"/>
  <c r="N179" i="83"/>
  <c r="H153" i="80"/>
  <c r="E179" i="83"/>
  <c r="C179" i="83"/>
  <c r="G179" i="83"/>
  <c r="F179" i="83"/>
  <c r="M179" i="83"/>
  <c r="K153" i="80"/>
  <c r="H179" i="83"/>
  <c r="E153" i="80"/>
  <c r="L153" i="80"/>
  <c r="O194" i="94"/>
  <c r="B50" i="95"/>
  <c r="L51" i="95"/>
  <c r="B50" i="94"/>
  <c r="B51" i="94"/>
  <c r="F28" i="63"/>
  <c r="P35" i="65" s="1"/>
  <c r="F35" i="63"/>
  <c r="P45" i="65" s="1"/>
  <c r="A57" i="80"/>
  <c r="B57" i="80"/>
  <c r="A58" i="80"/>
  <c r="A59" i="80"/>
  <c r="B59" i="80"/>
  <c r="A60" i="80"/>
  <c r="B60" i="80"/>
  <c r="A61" i="80"/>
  <c r="B61" i="80"/>
  <c r="A62" i="80"/>
  <c r="A63" i="80"/>
  <c r="B63" i="80"/>
  <c r="A64" i="80"/>
  <c r="B64" i="80"/>
  <c r="A65" i="80"/>
  <c r="B65" i="80"/>
  <c r="A66" i="80"/>
  <c r="B66" i="80"/>
  <c r="A67" i="80"/>
  <c r="A68" i="80"/>
  <c r="B68" i="80"/>
  <c r="B69" i="80"/>
  <c r="A70" i="80"/>
  <c r="B70" i="80"/>
  <c r="A71" i="80"/>
  <c r="B71" i="80"/>
  <c r="A72" i="80"/>
  <c r="B72" i="80"/>
  <c r="A73" i="80"/>
  <c r="B73" i="80"/>
  <c r="A74" i="80"/>
  <c r="B74" i="80"/>
  <c r="A75" i="80"/>
  <c r="B75" i="80"/>
  <c r="A76" i="80"/>
  <c r="B76" i="80"/>
  <c r="A77" i="80"/>
  <c r="B77" i="80"/>
  <c r="A78" i="80"/>
  <c r="B78" i="80"/>
  <c r="A79" i="80"/>
  <c r="B79" i="80"/>
  <c r="A80" i="80"/>
  <c r="B80" i="80"/>
  <c r="C81" i="80"/>
  <c r="D81" i="80"/>
  <c r="E81" i="80"/>
  <c r="F81" i="80"/>
  <c r="G81" i="80"/>
  <c r="H81" i="80"/>
  <c r="I81" i="80"/>
  <c r="J81" i="80"/>
  <c r="K81" i="80"/>
  <c r="L81" i="80"/>
  <c r="M81" i="80"/>
  <c r="N81" i="80"/>
  <c r="A82" i="80"/>
  <c r="B82" i="80"/>
  <c r="B89" i="80"/>
  <c r="B94" i="80"/>
  <c r="E114" i="1" l="1"/>
  <c r="C114" i="1"/>
  <c r="J114" i="1"/>
  <c r="F114" i="1"/>
  <c r="M114" i="1"/>
  <c r="I114" i="1"/>
  <c r="K114" i="1"/>
  <c r="N114" i="1"/>
  <c r="H114" i="1"/>
  <c r="G114" i="1"/>
  <c r="M231" i="82"/>
  <c r="E231" i="82"/>
  <c r="H231" i="82"/>
  <c r="F231" i="82"/>
  <c r="L231" i="82"/>
  <c r="G231" i="82"/>
  <c r="N231" i="82"/>
  <c r="K231" i="82"/>
  <c r="I231" i="82"/>
  <c r="D231" i="82"/>
  <c r="C231" i="82"/>
  <c r="J231" i="82"/>
  <c r="E127" i="78"/>
  <c r="I127" i="78"/>
  <c r="M127" i="78"/>
  <c r="F127" i="78"/>
  <c r="J127" i="78"/>
  <c r="N127" i="78"/>
  <c r="H127" i="78"/>
  <c r="G127" i="78"/>
  <c r="K127" i="78"/>
  <c r="C127" i="78"/>
  <c r="D127" i="78"/>
  <c r="L127" i="78"/>
  <c r="B51" i="95"/>
  <c r="F30" i="63"/>
  <c r="B81" i="80"/>
  <c r="B67" i="80"/>
  <c r="P31" i="65" l="1"/>
  <c r="P14" i="65"/>
  <c r="P12" i="65"/>
  <c r="P44" i="65"/>
  <c r="C114" i="82"/>
  <c r="D114" i="82"/>
  <c r="K114" i="82"/>
  <c r="E114" i="82"/>
  <c r="H114" i="82"/>
  <c r="F114" i="82"/>
  <c r="M114" i="82"/>
  <c r="G114" i="82"/>
  <c r="I114" i="82"/>
  <c r="L114" i="82"/>
  <c r="N114" i="82"/>
  <c r="J114" i="82"/>
  <c r="F34" i="63"/>
  <c r="F32" i="63"/>
  <c r="D57" i="1"/>
  <c r="E57" i="1"/>
  <c r="F57" i="1"/>
  <c r="G57" i="1"/>
  <c r="H57" i="1"/>
  <c r="I57" i="1"/>
  <c r="J57" i="1"/>
  <c r="K57" i="1"/>
  <c r="L57" i="1"/>
  <c r="M57" i="1"/>
  <c r="N57" i="1"/>
  <c r="C57" i="1"/>
  <c r="P47" i="65" l="1"/>
  <c r="P37" i="65"/>
  <c r="P30" i="65"/>
  <c r="P58" i="65"/>
  <c r="P29" i="65"/>
  <c r="C205" i="1"/>
  <c r="I205" i="1"/>
  <c r="M205" i="1"/>
  <c r="E205" i="1"/>
  <c r="H205" i="1"/>
  <c r="L205" i="1"/>
  <c r="G205" i="1"/>
  <c r="N205" i="1"/>
  <c r="D205" i="1"/>
  <c r="F205" i="1"/>
  <c r="K205" i="1"/>
  <c r="J205" i="1"/>
  <c r="K114" i="75"/>
  <c r="N127" i="1"/>
  <c r="M114" i="75"/>
  <c r="I114" i="75"/>
  <c r="J114" i="75"/>
  <c r="F114" i="75"/>
  <c r="D127" i="1"/>
  <c r="E127" i="1"/>
  <c r="N114" i="75"/>
  <c r="G114" i="75"/>
  <c r="H114" i="75"/>
  <c r="D114" i="75"/>
  <c r="L114" i="75"/>
  <c r="I127" i="1"/>
  <c r="K127" i="1"/>
  <c r="L127" i="1"/>
  <c r="J127" i="1"/>
  <c r="E114" i="75"/>
  <c r="M127" i="1"/>
  <c r="F127" i="1"/>
  <c r="C127" i="1"/>
  <c r="G127" i="1"/>
  <c r="H127" i="1"/>
  <c r="C114" i="75"/>
  <c r="F179" i="81"/>
  <c r="D179" i="81"/>
  <c r="G179" i="81"/>
  <c r="E179" i="81"/>
  <c r="J179" i="81"/>
  <c r="C179" i="81"/>
  <c r="M179" i="81"/>
  <c r="K179" i="81"/>
  <c r="I179" i="81"/>
  <c r="N179" i="81"/>
  <c r="H179" i="81"/>
  <c r="L179" i="81"/>
  <c r="K127" i="89"/>
  <c r="G127" i="89"/>
  <c r="C127" i="89"/>
  <c r="G140" i="81"/>
  <c r="K140" i="81"/>
  <c r="C140" i="81"/>
  <c r="N127" i="89"/>
  <c r="J127" i="89"/>
  <c r="F127" i="89"/>
  <c r="D140" i="81"/>
  <c r="H140" i="81"/>
  <c r="L140" i="81"/>
  <c r="I127" i="89"/>
  <c r="E140" i="81"/>
  <c r="M140" i="81"/>
  <c r="F140" i="81"/>
  <c r="M127" i="89"/>
  <c r="L127" i="89"/>
  <c r="D127" i="89"/>
  <c r="J140" i="81"/>
  <c r="H127" i="89"/>
  <c r="N140" i="81"/>
  <c r="E127" i="89"/>
  <c r="I140" i="81"/>
  <c r="P16" i="65"/>
  <c r="P18" i="65"/>
  <c r="J153" i="82" l="1"/>
  <c r="I309" i="82"/>
  <c r="E153" i="82"/>
  <c r="F309" i="82"/>
  <c r="H309" i="82"/>
  <c r="E309" i="82"/>
  <c r="N153" i="82"/>
  <c r="C309" i="82"/>
  <c r="K153" i="82"/>
  <c r="L153" i="82"/>
  <c r="H153" i="82"/>
  <c r="F153" i="82"/>
  <c r="G309" i="82"/>
  <c r="D309" i="82"/>
  <c r="G153" i="82"/>
  <c r="C153" i="82"/>
  <c r="M153" i="82"/>
  <c r="I153" i="82"/>
  <c r="L309" i="82"/>
  <c r="M309" i="82"/>
  <c r="K309" i="82"/>
  <c r="J309" i="82"/>
  <c r="D153" i="82"/>
  <c r="N309" i="82"/>
  <c r="K140" i="83"/>
  <c r="C114" i="80"/>
  <c r="C116" i="80" s="1"/>
  <c r="J114" i="80"/>
  <c r="C140" i="83"/>
  <c r="F140" i="83"/>
  <c r="G140" i="83"/>
  <c r="H114" i="80"/>
  <c r="J140" i="83"/>
  <c r="N114" i="80"/>
  <c r="M114" i="80"/>
  <c r="I140" i="83"/>
  <c r="D140" i="83"/>
  <c r="F114" i="80"/>
  <c r="L140" i="83"/>
  <c r="M140" i="83"/>
  <c r="I114" i="80"/>
  <c r="G114" i="80"/>
  <c r="H140" i="83"/>
  <c r="N140" i="83"/>
  <c r="K114" i="80"/>
  <c r="E140" i="83"/>
  <c r="L114" i="80"/>
  <c r="E114" i="80"/>
  <c r="D114" i="80"/>
  <c r="P51" i="65"/>
  <c r="P49" i="65"/>
  <c r="N140" i="90"/>
  <c r="G140" i="90"/>
  <c r="I140" i="90"/>
  <c r="H140" i="90"/>
  <c r="M140" i="90"/>
  <c r="L140" i="90"/>
  <c r="J140" i="90"/>
  <c r="K140" i="90"/>
  <c r="P17" i="65"/>
  <c r="D158" i="91" s="1"/>
  <c r="J179" i="82"/>
  <c r="E179" i="82"/>
  <c r="C179" i="82"/>
  <c r="K179" i="82"/>
  <c r="G179" i="82"/>
  <c r="M179" i="82"/>
  <c r="L179" i="82"/>
  <c r="I179" i="82"/>
  <c r="F179" i="82"/>
  <c r="D179" i="82"/>
  <c r="N179" i="82"/>
  <c r="H179" i="82"/>
  <c r="G114" i="90"/>
  <c r="E166" i="78"/>
  <c r="I166" i="78"/>
  <c r="M166" i="78"/>
  <c r="F166" i="78"/>
  <c r="J166" i="78"/>
  <c r="N166" i="78"/>
  <c r="G166" i="78"/>
  <c r="C166" i="78"/>
  <c r="K166" i="78"/>
  <c r="F223" i="91"/>
  <c r="N223" i="91"/>
  <c r="D166" i="78"/>
  <c r="H166" i="78"/>
  <c r="L166" i="78"/>
  <c r="C386" i="82"/>
  <c r="C388" i="82" s="1"/>
  <c r="M223" i="91"/>
  <c r="C192" i="79"/>
  <c r="C194" i="79" s="1"/>
  <c r="E223" i="91"/>
  <c r="K223" i="91"/>
  <c r="C223" i="91"/>
  <c r="D223" i="91"/>
  <c r="L223" i="91"/>
  <c r="J223" i="91"/>
  <c r="I223" i="91"/>
  <c r="G223" i="91"/>
  <c r="H223" i="91"/>
  <c r="N386" i="82"/>
  <c r="N388" i="82" s="1"/>
  <c r="G386" i="82"/>
  <c r="G388" i="82" s="1"/>
  <c r="D386" i="82"/>
  <c r="D388" i="82" s="1"/>
  <c r="H192" i="79"/>
  <c r="H194" i="79" s="1"/>
  <c r="E192" i="79"/>
  <c r="E194" i="79" s="1"/>
  <c r="F192" i="79"/>
  <c r="F194" i="79" s="1"/>
  <c r="K386" i="82"/>
  <c r="K388" i="82" s="1"/>
  <c r="H386" i="82"/>
  <c r="H388" i="82" s="1"/>
  <c r="L192" i="79"/>
  <c r="L194" i="79" s="1"/>
  <c r="E386" i="82"/>
  <c r="E388" i="82" s="1"/>
  <c r="I192" i="79"/>
  <c r="I194" i="79" s="1"/>
  <c r="F386" i="82"/>
  <c r="F388" i="82" s="1"/>
  <c r="J192" i="79"/>
  <c r="J194" i="79" s="1"/>
  <c r="G192" i="79"/>
  <c r="G194" i="79" s="1"/>
  <c r="L386" i="82"/>
  <c r="L388" i="82" s="1"/>
  <c r="I386" i="82"/>
  <c r="I388" i="82" s="1"/>
  <c r="M192" i="79"/>
  <c r="M194" i="79" s="1"/>
  <c r="J386" i="82"/>
  <c r="J388" i="82" s="1"/>
  <c r="N192" i="79"/>
  <c r="N194" i="79" s="1"/>
  <c r="K192" i="79"/>
  <c r="K194" i="79" s="1"/>
  <c r="D192" i="79"/>
  <c r="D194" i="79" s="1"/>
  <c r="M386" i="82"/>
  <c r="M388" i="82" s="1"/>
  <c r="K205" i="81"/>
  <c r="I179" i="94"/>
  <c r="I181" i="94" s="1"/>
  <c r="H167" i="77"/>
  <c r="H114" i="83"/>
  <c r="I114" i="90"/>
  <c r="I205" i="81"/>
  <c r="J179" i="94"/>
  <c r="J181" i="94" s="1"/>
  <c r="J167" i="77"/>
  <c r="C114" i="83"/>
  <c r="K114" i="90"/>
  <c r="E114" i="90"/>
  <c r="L205" i="81"/>
  <c r="N205" i="81"/>
  <c r="H179" i="94"/>
  <c r="H181" i="94" s="1"/>
  <c r="C179" i="94"/>
  <c r="C181" i="94" s="1"/>
  <c r="K114" i="83"/>
  <c r="C205" i="81"/>
  <c r="K179" i="94"/>
  <c r="K181" i="94" s="1"/>
  <c r="C167" i="77"/>
  <c r="L114" i="83"/>
  <c r="N167" i="77"/>
  <c r="M167" i="77"/>
  <c r="F114" i="83"/>
  <c r="J114" i="90"/>
  <c r="L114" i="90"/>
  <c r="M205" i="81"/>
  <c r="J205" i="81"/>
  <c r="L179" i="94"/>
  <c r="L181" i="94" s="1"/>
  <c r="M114" i="83"/>
  <c r="G114" i="83"/>
  <c r="C114" i="90"/>
  <c r="H114" i="90"/>
  <c r="E205" i="81"/>
  <c r="F179" i="94"/>
  <c r="F181" i="94" s="1"/>
  <c r="D205" i="81"/>
  <c r="D179" i="94"/>
  <c r="D181" i="94" s="1"/>
  <c r="J114" i="83"/>
  <c r="N114" i="90"/>
  <c r="I114" i="83"/>
  <c r="I167" i="77"/>
  <c r="E167" i="77"/>
  <c r="D114" i="83"/>
  <c r="G205" i="81"/>
  <c r="G167" i="77"/>
  <c r="D167" i="77"/>
  <c r="F114" i="90"/>
  <c r="N179" i="94"/>
  <c r="N181" i="94" s="1"/>
  <c r="M114" i="90"/>
  <c r="G179" i="94"/>
  <c r="G181" i="94" s="1"/>
  <c r="K167" i="77"/>
  <c r="L167" i="77"/>
  <c r="N114" i="83"/>
  <c r="F205" i="81"/>
  <c r="E114" i="83"/>
  <c r="D114" i="90"/>
  <c r="M179" i="94"/>
  <c r="M181" i="94" s="1"/>
  <c r="E179" i="94"/>
  <c r="E181" i="94" s="1"/>
  <c r="F167" i="77"/>
  <c r="H205" i="81"/>
  <c r="K218" i="80"/>
  <c r="D218" i="80"/>
  <c r="I218" i="80"/>
  <c r="C218" i="80"/>
  <c r="H218" i="80"/>
  <c r="J218" i="80"/>
  <c r="F218" i="80"/>
  <c r="E218" i="80"/>
  <c r="N218" i="80"/>
  <c r="G218" i="80"/>
  <c r="M218" i="80"/>
  <c r="L218" i="80"/>
  <c r="E153" i="79"/>
  <c r="J153" i="79"/>
  <c r="M153" i="79"/>
  <c r="I153" i="79"/>
  <c r="K153" i="79"/>
  <c r="D153" i="79"/>
  <c r="G153" i="79"/>
  <c r="N153" i="79"/>
  <c r="L153" i="79"/>
  <c r="C153" i="79"/>
  <c r="F153" i="79"/>
  <c r="H153" i="79"/>
  <c r="P8" i="65"/>
  <c r="P50" i="65"/>
  <c r="P9" i="65"/>
  <c r="F192" i="82"/>
  <c r="J192" i="82"/>
  <c r="N192" i="82"/>
  <c r="K192" i="82"/>
  <c r="H192" i="82"/>
  <c r="P23" i="65"/>
  <c r="E192" i="82"/>
  <c r="I192" i="82"/>
  <c r="M192" i="82"/>
  <c r="G192" i="82"/>
  <c r="C192" i="82"/>
  <c r="P70" i="65"/>
  <c r="D192" i="82"/>
  <c r="L192" i="82"/>
  <c r="F171" i="91"/>
  <c r="J171" i="91"/>
  <c r="N171" i="91"/>
  <c r="H171" i="91"/>
  <c r="E171" i="91"/>
  <c r="M171" i="91"/>
  <c r="G171" i="91"/>
  <c r="K171" i="91"/>
  <c r="C171" i="91"/>
  <c r="D171" i="91"/>
  <c r="L171" i="91"/>
  <c r="I171" i="91"/>
  <c r="F145" i="91"/>
  <c r="J145" i="91"/>
  <c r="N145" i="91"/>
  <c r="H145" i="91"/>
  <c r="E145" i="91"/>
  <c r="M145" i="91"/>
  <c r="G145" i="91"/>
  <c r="K145" i="91"/>
  <c r="C145" i="91"/>
  <c r="D145" i="91"/>
  <c r="L145" i="91"/>
  <c r="I145" i="91"/>
  <c r="D75" i="81"/>
  <c r="E75" i="81"/>
  <c r="F75" i="81"/>
  <c r="G75" i="81"/>
  <c r="H75" i="81"/>
  <c r="I75" i="81"/>
  <c r="J75" i="81"/>
  <c r="K75" i="81"/>
  <c r="L75" i="81"/>
  <c r="M75" i="81"/>
  <c r="N75" i="81"/>
  <c r="C75" i="81"/>
  <c r="J75" i="89"/>
  <c r="K75" i="89"/>
  <c r="L75" i="89"/>
  <c r="M75" i="89"/>
  <c r="N75" i="89"/>
  <c r="I75" i="89"/>
  <c r="J72" i="89"/>
  <c r="K72" i="89"/>
  <c r="L72" i="89"/>
  <c r="M72" i="89"/>
  <c r="N72" i="89"/>
  <c r="I72" i="89"/>
  <c r="J8" i="89"/>
  <c r="K8" i="89"/>
  <c r="L8" i="89"/>
  <c r="M8" i="89"/>
  <c r="N8" i="89"/>
  <c r="E158" i="91" l="1"/>
  <c r="D179" i="88"/>
  <c r="H179" i="88"/>
  <c r="L179" i="88"/>
  <c r="E179" i="88"/>
  <c r="M179" i="88"/>
  <c r="F179" i="88"/>
  <c r="J179" i="88"/>
  <c r="N179" i="88"/>
  <c r="G179" i="88"/>
  <c r="K179" i="88"/>
  <c r="I179" i="88"/>
  <c r="C179" i="88"/>
  <c r="C181" i="88" s="1"/>
  <c r="E153" i="88"/>
  <c r="M153" i="88"/>
  <c r="J153" i="88"/>
  <c r="C153" i="88"/>
  <c r="G153" i="88"/>
  <c r="K153" i="88"/>
  <c r="D153" i="88"/>
  <c r="H153" i="88"/>
  <c r="L153" i="88"/>
  <c r="I153" i="88"/>
  <c r="F153" i="88"/>
  <c r="N153" i="88"/>
  <c r="G158" i="91"/>
  <c r="N158" i="91"/>
  <c r="C153" i="75"/>
  <c r="C155" i="75" s="1"/>
  <c r="C218" i="1"/>
  <c r="H158" i="91"/>
  <c r="I158" i="91"/>
  <c r="J158" i="91"/>
  <c r="C158" i="91"/>
  <c r="L158" i="91"/>
  <c r="F158" i="91"/>
  <c r="C205" i="79"/>
  <c r="C207" i="79" s="1"/>
  <c r="I153" i="95"/>
  <c r="I155" i="95" s="1"/>
  <c r="M153" i="95"/>
  <c r="M155" i="95" s="1"/>
  <c r="D153" i="95"/>
  <c r="D155" i="95" s="1"/>
  <c r="C153" i="95"/>
  <c r="G153" i="95"/>
  <c r="G155" i="95" s="1"/>
  <c r="F153" i="95"/>
  <c r="F155" i="95" s="1"/>
  <c r="J153" i="95"/>
  <c r="J155" i="95" s="1"/>
  <c r="L153" i="95"/>
  <c r="L155" i="95" s="1"/>
  <c r="N153" i="95"/>
  <c r="N155" i="95" s="1"/>
  <c r="K153" i="95"/>
  <c r="K155" i="95" s="1"/>
  <c r="H153" i="95"/>
  <c r="H155" i="95" s="1"/>
  <c r="E153" i="95"/>
  <c r="E155" i="95" s="1"/>
  <c r="F180" i="77"/>
  <c r="K153" i="78"/>
  <c r="G218" i="94"/>
  <c r="G220" i="94" s="1"/>
  <c r="C127" i="83"/>
  <c r="J218" i="94"/>
  <c r="J220" i="94" s="1"/>
  <c r="C153" i="78"/>
  <c r="M180" i="77"/>
  <c r="L180" i="77"/>
  <c r="C180" i="77"/>
  <c r="L218" i="94"/>
  <c r="L220" i="94" s="1"/>
  <c r="F153" i="78"/>
  <c r="E180" i="77"/>
  <c r="F127" i="83"/>
  <c r="N127" i="83"/>
  <c r="J153" i="78"/>
  <c r="E218" i="94"/>
  <c r="E220" i="94" s="1"/>
  <c r="M218" i="94"/>
  <c r="M220" i="94" s="1"/>
  <c r="H127" i="83"/>
  <c r="H218" i="94"/>
  <c r="H220" i="94" s="1"/>
  <c r="G127" i="83"/>
  <c r="K180" i="77"/>
  <c r="I153" i="78"/>
  <c r="M153" i="78"/>
  <c r="G180" i="77"/>
  <c r="L127" i="83"/>
  <c r="E153" i="78"/>
  <c r="H153" i="78"/>
  <c r="N153" i="78"/>
  <c r="I180" i="77"/>
  <c r="I218" i="94"/>
  <c r="I220" i="94" s="1"/>
  <c r="M127" i="83"/>
  <c r="D153" i="78"/>
  <c r="I127" i="83"/>
  <c r="J127" i="83"/>
  <c r="E127" i="83"/>
  <c r="N180" i="77"/>
  <c r="D218" i="94"/>
  <c r="D220" i="94" s="1"/>
  <c r="F218" i="94"/>
  <c r="F220" i="94" s="1"/>
  <c r="G153" i="78"/>
  <c r="D127" i="83"/>
  <c r="K218" i="94"/>
  <c r="K220" i="94" s="1"/>
  <c r="D180" i="77"/>
  <c r="C218" i="94"/>
  <c r="C220" i="94" s="1"/>
  <c r="J180" i="77"/>
  <c r="H180" i="77"/>
  <c r="N218" i="94"/>
  <c r="N220" i="94" s="1"/>
  <c r="K127" i="83"/>
  <c r="L153" i="78"/>
  <c r="E192" i="90"/>
  <c r="I192" i="90"/>
  <c r="M192" i="90"/>
  <c r="F361" i="82"/>
  <c r="J361" i="82"/>
  <c r="N361" i="82"/>
  <c r="K179" i="79"/>
  <c r="K181" i="79" s="1"/>
  <c r="E179" i="79"/>
  <c r="E181" i="79" s="1"/>
  <c r="F192" i="90"/>
  <c r="J192" i="90"/>
  <c r="N192" i="90"/>
  <c r="G361" i="82"/>
  <c r="K361" i="82"/>
  <c r="C361" i="82"/>
  <c r="C363" i="82" s="1"/>
  <c r="G179" i="79"/>
  <c r="G181" i="79" s="1"/>
  <c r="H179" i="79"/>
  <c r="H181" i="79" s="1"/>
  <c r="D179" i="79"/>
  <c r="D181" i="79" s="1"/>
  <c r="C249" i="91"/>
  <c r="G192" i="90"/>
  <c r="C192" i="90"/>
  <c r="H361" i="82"/>
  <c r="E236" i="91"/>
  <c r="H192" i="90"/>
  <c r="I361" i="82"/>
  <c r="F179" i="79"/>
  <c r="F181" i="79" s="1"/>
  <c r="E361" i="82"/>
  <c r="K192" i="90"/>
  <c r="D361" i="82"/>
  <c r="L361" i="82"/>
  <c r="D192" i="90"/>
  <c r="L192" i="90"/>
  <c r="M361" i="82"/>
  <c r="L179" i="79"/>
  <c r="L181" i="79" s="1"/>
  <c r="G249" i="91"/>
  <c r="F236" i="91"/>
  <c r="E249" i="91"/>
  <c r="C236" i="91"/>
  <c r="F249" i="91"/>
  <c r="D249" i="91"/>
  <c r="L236" i="91"/>
  <c r="N236" i="91"/>
  <c r="M249" i="91"/>
  <c r="M236" i="91"/>
  <c r="J236" i="91"/>
  <c r="N249" i="91"/>
  <c r="L249" i="91"/>
  <c r="K249" i="91"/>
  <c r="I249" i="91"/>
  <c r="J249" i="91"/>
  <c r="H249" i="91"/>
  <c r="G236" i="91"/>
  <c r="D236" i="91"/>
  <c r="I236" i="91"/>
  <c r="K236" i="91"/>
  <c r="H236" i="91"/>
  <c r="H205" i="80"/>
  <c r="K114" i="81"/>
  <c r="D114" i="94"/>
  <c r="N205" i="89"/>
  <c r="H141" i="77"/>
  <c r="E192" i="80"/>
  <c r="K114" i="95"/>
  <c r="F114" i="89"/>
  <c r="M205" i="80"/>
  <c r="I114" i="81"/>
  <c r="E114" i="94"/>
  <c r="N179" i="79"/>
  <c r="N181" i="79" s="1"/>
  <c r="E205" i="89"/>
  <c r="H140" i="78"/>
  <c r="G192" i="80"/>
  <c r="H114" i="89"/>
  <c r="C114" i="94"/>
  <c r="K205" i="83"/>
  <c r="L205" i="89"/>
  <c r="N141" i="77"/>
  <c r="K140" i="78"/>
  <c r="D192" i="80"/>
  <c r="N114" i="95"/>
  <c r="K205" i="80"/>
  <c r="J114" i="81"/>
  <c r="G205" i="83"/>
  <c r="M205" i="89"/>
  <c r="J141" i="77"/>
  <c r="N140" i="78"/>
  <c r="C192" i="80"/>
  <c r="J114" i="95"/>
  <c r="J114" i="94"/>
  <c r="G141" i="77"/>
  <c r="N192" i="80"/>
  <c r="K114" i="94"/>
  <c r="M179" i="79"/>
  <c r="M181" i="79" s="1"/>
  <c r="J192" i="80"/>
  <c r="I179" i="79"/>
  <c r="I181" i="79" s="1"/>
  <c r="D205" i="89"/>
  <c r="C140" i="78"/>
  <c r="F192" i="80"/>
  <c r="E114" i="89"/>
  <c r="G114" i="94"/>
  <c r="E205" i="83"/>
  <c r="J179" i="79"/>
  <c r="J181" i="79" s="1"/>
  <c r="J205" i="89"/>
  <c r="G140" i="78"/>
  <c r="I192" i="80"/>
  <c r="G114" i="89"/>
  <c r="H114" i="81"/>
  <c r="L114" i="94"/>
  <c r="L140" i="78"/>
  <c r="L114" i="95"/>
  <c r="D114" i="89"/>
  <c r="N205" i="80"/>
  <c r="M114" i="94"/>
  <c r="J205" i="83"/>
  <c r="D140" i="78"/>
  <c r="I114" i="95"/>
  <c r="C114" i="89"/>
  <c r="F205" i="80"/>
  <c r="I114" i="94"/>
  <c r="F205" i="83"/>
  <c r="M141" i="77"/>
  <c r="E140" i="78"/>
  <c r="K114" i="89"/>
  <c r="F114" i="94"/>
  <c r="D205" i="83"/>
  <c r="F205" i="89"/>
  <c r="D141" i="77"/>
  <c r="G114" i="95"/>
  <c r="C205" i="80"/>
  <c r="N114" i="81"/>
  <c r="C205" i="89"/>
  <c r="C141" i="77"/>
  <c r="H192" i="80"/>
  <c r="E114" i="95"/>
  <c r="N114" i="89"/>
  <c r="L205" i="80"/>
  <c r="C114" i="81"/>
  <c r="H114" i="94"/>
  <c r="C179" i="79"/>
  <c r="C181" i="79" s="1"/>
  <c r="G205" i="89"/>
  <c r="L141" i="77"/>
  <c r="C114" i="95"/>
  <c r="J114" i="89"/>
  <c r="G205" i="80"/>
  <c r="F114" i="81"/>
  <c r="M205" i="83"/>
  <c r="I205" i="89"/>
  <c r="F141" i="77"/>
  <c r="J140" i="78"/>
  <c r="K192" i="80"/>
  <c r="F114" i="95"/>
  <c r="D205" i="80"/>
  <c r="G114" i="81"/>
  <c r="C205" i="83"/>
  <c r="K141" i="77"/>
  <c r="F140" i="78"/>
  <c r="D114" i="95"/>
  <c r="L114" i="89"/>
  <c r="I205" i="80"/>
  <c r="L114" i="81"/>
  <c r="N205" i="83"/>
  <c r="I114" i="89"/>
  <c r="L205" i="83"/>
  <c r="H205" i="89"/>
  <c r="M114" i="89"/>
  <c r="N114" i="94"/>
  <c r="H205" i="83"/>
  <c r="E141" i="77"/>
  <c r="M114" i="95"/>
  <c r="E205" i="80"/>
  <c r="K205" i="89"/>
  <c r="M140" i="78"/>
  <c r="M114" i="81"/>
  <c r="I141" i="77"/>
  <c r="I140" i="78"/>
  <c r="E114" i="81"/>
  <c r="H114" i="95"/>
  <c r="J205" i="80"/>
  <c r="D114" i="81"/>
  <c r="L192" i="80"/>
  <c r="I205" i="83"/>
  <c r="M192" i="80"/>
  <c r="L218" i="81"/>
  <c r="F218" i="81"/>
  <c r="J218" i="81"/>
  <c r="N218" i="81"/>
  <c r="I218" i="81"/>
  <c r="M218" i="81"/>
  <c r="H218" i="81"/>
  <c r="E218" i="81"/>
  <c r="D218" i="81"/>
  <c r="G218" i="81"/>
  <c r="K218" i="81"/>
  <c r="C218" i="81"/>
  <c r="M158" i="91"/>
  <c r="K158" i="91"/>
  <c r="E153" i="75"/>
  <c r="I153" i="75"/>
  <c r="M153" i="75"/>
  <c r="F218" i="1"/>
  <c r="J218" i="1"/>
  <c r="N218" i="1"/>
  <c r="F153" i="75"/>
  <c r="J153" i="75"/>
  <c r="N153" i="75"/>
  <c r="G218" i="1"/>
  <c r="K218" i="1"/>
  <c r="H153" i="75"/>
  <c r="H218" i="1"/>
  <c r="K153" i="75"/>
  <c r="I218" i="1"/>
  <c r="E218" i="1"/>
  <c r="D153" i="75"/>
  <c r="L153" i="75"/>
  <c r="D218" i="1"/>
  <c r="L218" i="1"/>
  <c r="G153" i="75"/>
  <c r="M218" i="1"/>
  <c r="K179" i="90"/>
  <c r="K181" i="90" s="1"/>
  <c r="G179" i="90"/>
  <c r="G181" i="90" s="1"/>
  <c r="C179" i="90"/>
  <c r="C181" i="90" s="1"/>
  <c r="K205" i="79"/>
  <c r="K207" i="79" s="1"/>
  <c r="G205" i="79"/>
  <c r="G207" i="79" s="1"/>
  <c r="M399" i="82"/>
  <c r="I399" i="82"/>
  <c r="E399" i="82"/>
  <c r="N179" i="90"/>
  <c r="N181" i="90" s="1"/>
  <c r="J179" i="90"/>
  <c r="J181" i="90" s="1"/>
  <c r="F179" i="90"/>
  <c r="F181" i="90" s="1"/>
  <c r="N205" i="79"/>
  <c r="N207" i="79" s="1"/>
  <c r="J205" i="79"/>
  <c r="J207" i="79" s="1"/>
  <c r="F205" i="79"/>
  <c r="F207" i="79" s="1"/>
  <c r="L399" i="82"/>
  <c r="H399" i="82"/>
  <c r="D399" i="82"/>
  <c r="M179" i="90"/>
  <c r="M181" i="90" s="1"/>
  <c r="I179" i="90"/>
  <c r="I181" i="90" s="1"/>
  <c r="E179" i="90"/>
  <c r="E181" i="90" s="1"/>
  <c r="M205" i="79"/>
  <c r="M207" i="79" s="1"/>
  <c r="I205" i="79"/>
  <c r="I207" i="79" s="1"/>
  <c r="E205" i="79"/>
  <c r="E207" i="79" s="1"/>
  <c r="K399" i="82"/>
  <c r="G399" i="82"/>
  <c r="C399" i="82"/>
  <c r="L179" i="90"/>
  <c r="L181" i="90" s="1"/>
  <c r="H179" i="90"/>
  <c r="H181" i="90" s="1"/>
  <c r="D179" i="90"/>
  <c r="D181" i="90" s="1"/>
  <c r="L205" i="79"/>
  <c r="L207" i="79" s="1"/>
  <c r="H205" i="79"/>
  <c r="H207" i="79" s="1"/>
  <c r="D205" i="79"/>
  <c r="D207" i="79" s="1"/>
  <c r="N399" i="82"/>
  <c r="J399" i="82"/>
  <c r="F399" i="82"/>
  <c r="F231" i="79"/>
  <c r="K231" i="79"/>
  <c r="L231" i="79"/>
  <c r="C231" i="79"/>
  <c r="D231" i="79"/>
  <c r="G231" i="79"/>
  <c r="H231" i="79"/>
  <c r="M231" i="79"/>
  <c r="J231" i="79"/>
  <c r="E231" i="79"/>
  <c r="N231" i="79"/>
  <c r="I231" i="79"/>
  <c r="D127" i="75"/>
  <c r="G127" i="75"/>
  <c r="J127" i="75"/>
  <c r="L127" i="75"/>
  <c r="F127" i="75"/>
  <c r="M127" i="75"/>
  <c r="H127" i="75"/>
  <c r="C127" i="75"/>
  <c r="K127" i="75"/>
  <c r="N127" i="75"/>
  <c r="E127" i="75"/>
  <c r="I127" i="75"/>
  <c r="D140" i="1"/>
  <c r="G140" i="1"/>
  <c r="J140" i="1"/>
  <c r="M140" i="1"/>
  <c r="H140" i="1"/>
  <c r="E140" i="1"/>
  <c r="K140" i="1"/>
  <c r="N140" i="1"/>
  <c r="L140" i="1"/>
  <c r="F140" i="1"/>
  <c r="I140" i="1"/>
  <c r="C140" i="1"/>
  <c r="C116" i="94" l="1"/>
  <c r="C230" i="94"/>
  <c r="C155" i="95"/>
  <c r="O154" i="95"/>
  <c r="F116" i="95"/>
  <c r="F230" i="95"/>
  <c r="I116" i="94"/>
  <c r="I230" i="94"/>
  <c r="N116" i="94"/>
  <c r="N230" i="94"/>
  <c r="C116" i="95"/>
  <c r="C230" i="95"/>
  <c r="O115" i="95"/>
  <c r="E116" i="95"/>
  <c r="E230" i="95"/>
  <c r="H230" i="95"/>
  <c r="H116" i="95"/>
  <c r="M116" i="95"/>
  <c r="M230" i="95"/>
  <c r="D116" i="95"/>
  <c r="D230" i="95"/>
  <c r="M116" i="94"/>
  <c r="M230" i="94"/>
  <c r="J116" i="94"/>
  <c r="J230" i="94"/>
  <c r="H116" i="94"/>
  <c r="H230" i="94"/>
  <c r="L116" i="95"/>
  <c r="L230" i="95"/>
  <c r="G116" i="95"/>
  <c r="G230" i="95"/>
  <c r="F230" i="94"/>
  <c r="F116" i="94"/>
  <c r="I230" i="95"/>
  <c r="I116" i="95"/>
  <c r="L116" i="94"/>
  <c r="L230" i="94"/>
  <c r="G230" i="94"/>
  <c r="G116" i="94"/>
  <c r="K230" i="94"/>
  <c r="K116" i="94"/>
  <c r="J230" i="95"/>
  <c r="J116" i="95"/>
  <c r="N116" i="95"/>
  <c r="N230" i="95"/>
  <c r="E116" i="94"/>
  <c r="E230" i="94"/>
  <c r="K116" i="95"/>
  <c r="K230" i="95"/>
  <c r="D116" i="94"/>
  <c r="D230" i="94"/>
  <c r="F401" i="82"/>
  <c r="H401" i="82"/>
  <c r="J401" i="82"/>
  <c r="C401" i="82"/>
  <c r="L401" i="82"/>
  <c r="E401" i="82"/>
  <c r="N401" i="82"/>
  <c r="G401" i="82"/>
  <c r="I401" i="82"/>
  <c r="K401" i="82"/>
  <c r="D401" i="82"/>
  <c r="M401" i="82"/>
  <c r="L187" i="77"/>
  <c r="K187" i="77"/>
  <c r="N187" i="83"/>
  <c r="N191" i="83" s="1"/>
  <c r="M187" i="83"/>
  <c r="M191" i="83" s="1"/>
  <c r="L187" i="83"/>
  <c r="L188" i="83" s="1"/>
  <c r="K187" i="83"/>
  <c r="K191" i="83" s="1"/>
  <c r="J187" i="83"/>
  <c r="J191" i="83" s="1"/>
  <c r="I187" i="83"/>
  <c r="I191" i="83" s="1"/>
  <c r="H187" i="83"/>
  <c r="H191" i="83" s="1"/>
  <c r="G187" i="83"/>
  <c r="F187" i="83"/>
  <c r="F191" i="83" s="1"/>
  <c r="E187" i="83"/>
  <c r="E191" i="83" s="1"/>
  <c r="D187" i="83"/>
  <c r="D188" i="83" s="1"/>
  <c r="C187" i="83"/>
  <c r="C188" i="83" s="1"/>
  <c r="N174" i="83"/>
  <c r="M174" i="83"/>
  <c r="M178" i="83" s="1"/>
  <c r="L174" i="83"/>
  <c r="L178" i="83" s="1"/>
  <c r="K174" i="83"/>
  <c r="K178" i="83" s="1"/>
  <c r="J174" i="83"/>
  <c r="I174" i="83"/>
  <c r="I178" i="83" s="1"/>
  <c r="H174" i="83"/>
  <c r="H178" i="83" s="1"/>
  <c r="G174" i="83"/>
  <c r="G175" i="83" s="1"/>
  <c r="G180" i="83" s="1"/>
  <c r="F174" i="83"/>
  <c r="E174" i="83"/>
  <c r="E178" i="83" s="1"/>
  <c r="D174" i="83"/>
  <c r="D178" i="83" s="1"/>
  <c r="C174" i="83"/>
  <c r="C178" i="83" s="1"/>
  <c r="N161" i="83"/>
  <c r="N165" i="83" s="1"/>
  <c r="M161" i="83"/>
  <c r="M165" i="83" s="1"/>
  <c r="L161" i="83"/>
  <c r="L165" i="83" s="1"/>
  <c r="K161" i="83"/>
  <c r="K162" i="83" s="1"/>
  <c r="J161" i="83"/>
  <c r="J165" i="83" s="1"/>
  <c r="I161" i="83"/>
  <c r="I165" i="83" s="1"/>
  <c r="H161" i="83"/>
  <c r="H165" i="83" s="1"/>
  <c r="G161" i="83"/>
  <c r="G165" i="83" s="1"/>
  <c r="F161" i="83"/>
  <c r="F165" i="83" s="1"/>
  <c r="E161" i="83"/>
  <c r="E165" i="83" s="1"/>
  <c r="D161" i="83"/>
  <c r="D162" i="83" s="1"/>
  <c r="D167" i="83" s="1"/>
  <c r="C161" i="83"/>
  <c r="C162" i="83" s="1"/>
  <c r="C167" i="83" s="1"/>
  <c r="N148" i="83"/>
  <c r="M148" i="83"/>
  <c r="L148" i="83"/>
  <c r="K148" i="83"/>
  <c r="J148" i="83"/>
  <c r="I148" i="83"/>
  <c r="H148" i="83"/>
  <c r="G148" i="83"/>
  <c r="F148" i="83"/>
  <c r="E148" i="83"/>
  <c r="D148" i="83"/>
  <c r="M146" i="83"/>
  <c r="M159" i="83" s="1"/>
  <c r="M172" i="83" s="1"/>
  <c r="M185" i="83" s="1"/>
  <c r="L146" i="83"/>
  <c r="L159" i="83" s="1"/>
  <c r="L172" i="83" s="1"/>
  <c r="L185" i="83" s="1"/>
  <c r="K146" i="83"/>
  <c r="K159" i="83" s="1"/>
  <c r="K172" i="83" s="1"/>
  <c r="K185" i="83" s="1"/>
  <c r="J146" i="83"/>
  <c r="J159" i="83" s="1"/>
  <c r="J172" i="83" s="1"/>
  <c r="J185" i="83" s="1"/>
  <c r="I146" i="83"/>
  <c r="I159" i="83" s="1"/>
  <c r="I172" i="83" s="1"/>
  <c r="I185" i="83" s="1"/>
  <c r="G146" i="83"/>
  <c r="G159" i="83" s="1"/>
  <c r="G172" i="83" s="1"/>
  <c r="G185" i="83" s="1"/>
  <c r="E146" i="83"/>
  <c r="E159" i="83" s="1"/>
  <c r="E172" i="83" s="1"/>
  <c r="E185" i="83" s="1"/>
  <c r="D146" i="83"/>
  <c r="D159" i="83" s="1"/>
  <c r="D172" i="83" s="1"/>
  <c r="D185" i="83" s="1"/>
  <c r="C159" i="83"/>
  <c r="C172" i="83" s="1"/>
  <c r="C185" i="83" s="1"/>
  <c r="J81" i="83"/>
  <c r="N81" i="83"/>
  <c r="D81" i="83"/>
  <c r="E81" i="83"/>
  <c r="F81" i="83"/>
  <c r="G81" i="83"/>
  <c r="H81" i="83"/>
  <c r="I81" i="83"/>
  <c r="K81" i="83"/>
  <c r="L81" i="83"/>
  <c r="M81" i="83"/>
  <c r="C81" i="83"/>
  <c r="D74" i="83"/>
  <c r="D110" i="43" s="1"/>
  <c r="E74" i="83"/>
  <c r="E110" i="43" s="1"/>
  <c r="F74" i="83"/>
  <c r="F110" i="43" s="1"/>
  <c r="G74" i="83"/>
  <c r="G110" i="43" s="1"/>
  <c r="H74" i="83"/>
  <c r="H110" i="43" s="1"/>
  <c r="I74" i="83"/>
  <c r="I110" i="43" s="1"/>
  <c r="J74" i="83"/>
  <c r="J110" i="43" s="1"/>
  <c r="K74" i="83"/>
  <c r="K110" i="43" s="1"/>
  <c r="L74" i="83"/>
  <c r="L110" i="43" s="1"/>
  <c r="M74" i="83"/>
  <c r="M110" i="43" s="1"/>
  <c r="N74" i="83"/>
  <c r="N110" i="43" s="1"/>
  <c r="C74" i="83"/>
  <c r="C110" i="43" s="1"/>
  <c r="K20" i="43"/>
  <c r="D20" i="43"/>
  <c r="E20" i="43"/>
  <c r="F20" i="43"/>
  <c r="G20" i="43"/>
  <c r="H20" i="43"/>
  <c r="I20" i="43"/>
  <c r="J20" i="43"/>
  <c r="L20" i="43"/>
  <c r="M20" i="43"/>
  <c r="N20" i="43"/>
  <c r="C20" i="43"/>
  <c r="G52" i="94" l="1"/>
  <c r="G53" i="94" s="1"/>
  <c r="G231" i="94"/>
  <c r="F52" i="95"/>
  <c r="F53" i="95" s="1"/>
  <c r="F231" i="95"/>
  <c r="K52" i="94"/>
  <c r="K53" i="94" s="1"/>
  <c r="K231" i="94"/>
  <c r="F52" i="94"/>
  <c r="F53" i="94" s="1"/>
  <c r="F231" i="94"/>
  <c r="H52" i="95"/>
  <c r="H53" i="95" s="1"/>
  <c r="H231" i="95"/>
  <c r="C52" i="95"/>
  <c r="C231" i="95"/>
  <c r="I52" i="94"/>
  <c r="I53" i="94" s="1"/>
  <c r="I231" i="94"/>
  <c r="J52" i="95"/>
  <c r="J53" i="95" s="1"/>
  <c r="J231" i="95"/>
  <c r="N52" i="94"/>
  <c r="N53" i="94" s="1"/>
  <c r="N231" i="94"/>
  <c r="D52" i="94"/>
  <c r="D53" i="94" s="1"/>
  <c r="D231" i="94"/>
  <c r="E52" i="94"/>
  <c r="E53" i="94" s="1"/>
  <c r="E231" i="94"/>
  <c r="G52" i="95"/>
  <c r="G53" i="95" s="1"/>
  <c r="G231" i="95"/>
  <c r="H52" i="94"/>
  <c r="H53" i="94" s="1"/>
  <c r="H231" i="94"/>
  <c r="M52" i="94"/>
  <c r="M53" i="94" s="1"/>
  <c r="M231" i="94"/>
  <c r="M52" i="95"/>
  <c r="M53" i="95" s="1"/>
  <c r="M231" i="95"/>
  <c r="E52" i="95"/>
  <c r="E53" i="95" s="1"/>
  <c r="E231" i="95"/>
  <c r="I52" i="95"/>
  <c r="I53" i="95" s="1"/>
  <c r="I231" i="95"/>
  <c r="C52" i="94"/>
  <c r="C231" i="94"/>
  <c r="K52" i="95"/>
  <c r="K53" i="95" s="1"/>
  <c r="K231" i="95"/>
  <c r="N52" i="95"/>
  <c r="N53" i="95" s="1"/>
  <c r="N231" i="95"/>
  <c r="L52" i="94"/>
  <c r="L53" i="94" s="1"/>
  <c r="L231" i="94"/>
  <c r="L52" i="95"/>
  <c r="L53" i="95" s="1"/>
  <c r="L231" i="95"/>
  <c r="J52" i="94"/>
  <c r="J53" i="94" s="1"/>
  <c r="J231" i="94"/>
  <c r="D52" i="95"/>
  <c r="D53" i="95" s="1"/>
  <c r="D231" i="95"/>
  <c r="O116" i="94"/>
  <c r="O20" i="43"/>
  <c r="Q20" i="43" s="1"/>
  <c r="J152" i="83"/>
  <c r="J149" i="83"/>
  <c r="G152" i="83"/>
  <c r="G149" i="83"/>
  <c r="E149" i="83"/>
  <c r="E152" i="83"/>
  <c r="I149" i="83"/>
  <c r="I152" i="83"/>
  <c r="M149" i="83"/>
  <c r="M152" i="83"/>
  <c r="F149" i="83"/>
  <c r="F152" i="83"/>
  <c r="N149" i="83"/>
  <c r="N152" i="83"/>
  <c r="K152" i="83"/>
  <c r="K149" i="83"/>
  <c r="D149" i="83"/>
  <c r="D152" i="83"/>
  <c r="H149" i="83"/>
  <c r="H152" i="83"/>
  <c r="L149" i="83"/>
  <c r="L152" i="83"/>
  <c r="K188" i="83"/>
  <c r="H175" i="83"/>
  <c r="H180" i="83" s="1"/>
  <c r="L175" i="83"/>
  <c r="D175" i="83"/>
  <c r="D180" i="83" s="1"/>
  <c r="C175" i="83"/>
  <c r="C180" i="83" s="1"/>
  <c r="F178" i="83"/>
  <c r="F175" i="83"/>
  <c r="F180" i="83" s="1"/>
  <c r="N178" i="83"/>
  <c r="N175" i="83"/>
  <c r="K175" i="83"/>
  <c r="G191" i="83"/>
  <c r="G188" i="83"/>
  <c r="J178" i="83"/>
  <c r="J175" i="83"/>
  <c r="J180" i="83" s="1"/>
  <c r="M175" i="83"/>
  <c r="I175" i="83"/>
  <c r="I180" i="83" s="1"/>
  <c r="E175" i="83"/>
  <c r="E180" i="83" s="1"/>
  <c r="N188" i="83"/>
  <c r="F188" i="83"/>
  <c r="M188" i="83"/>
  <c r="I188" i="83"/>
  <c r="E188" i="83"/>
  <c r="J188" i="83"/>
  <c r="H188" i="83"/>
  <c r="C189" i="83"/>
  <c r="C193" i="83"/>
  <c r="C190" i="83"/>
  <c r="D193" i="83"/>
  <c r="D190" i="83"/>
  <c r="D189" i="83"/>
  <c r="L190" i="83"/>
  <c r="L189" i="83"/>
  <c r="L193" i="83"/>
  <c r="C191" i="83"/>
  <c r="D191" i="83"/>
  <c r="L191" i="83"/>
  <c r="G177" i="83"/>
  <c r="G176" i="83"/>
  <c r="G178" i="83"/>
  <c r="C164" i="83"/>
  <c r="C163" i="83"/>
  <c r="K163" i="83"/>
  <c r="K167" i="83"/>
  <c r="K164" i="83"/>
  <c r="D163" i="83"/>
  <c r="D164" i="83"/>
  <c r="G162" i="83"/>
  <c r="G167" i="83" s="1"/>
  <c r="C165" i="83"/>
  <c r="K165" i="83"/>
  <c r="H162" i="83"/>
  <c r="H167" i="83" s="1"/>
  <c r="L162" i="83"/>
  <c r="D165" i="83"/>
  <c r="E162" i="83"/>
  <c r="E167" i="83" s="1"/>
  <c r="I162" i="83"/>
  <c r="I167" i="83" s="1"/>
  <c r="M162" i="83"/>
  <c r="F162" i="83"/>
  <c r="F167" i="83" s="1"/>
  <c r="J162" i="83"/>
  <c r="J167" i="83" s="1"/>
  <c r="N162" i="83"/>
  <c r="O53" i="94" l="1"/>
  <c r="O53" i="95"/>
  <c r="C53" i="94"/>
  <c r="B52" i="94"/>
  <c r="B53" i="94" s="1"/>
  <c r="B96" i="94" s="1"/>
  <c r="B136" i="46" s="1"/>
  <c r="D136" i="46" s="1"/>
  <c r="C53" i="95"/>
  <c r="B52" i="95"/>
  <c r="B53" i="95" s="1"/>
  <c r="B96" i="95" s="1"/>
  <c r="B163" i="46" s="1"/>
  <c r="D163" i="46" s="1"/>
  <c r="F151" i="83"/>
  <c r="F150" i="83"/>
  <c r="F154" i="83"/>
  <c r="J151" i="83"/>
  <c r="J150" i="83"/>
  <c r="J154" i="83"/>
  <c r="K151" i="83"/>
  <c r="K150" i="83"/>
  <c r="K154" i="83"/>
  <c r="G151" i="83"/>
  <c r="G154" i="83"/>
  <c r="G150" i="83"/>
  <c r="H154" i="83"/>
  <c r="H150" i="83"/>
  <c r="H151" i="83"/>
  <c r="I150" i="83"/>
  <c r="I154" i="83"/>
  <c r="I151" i="83"/>
  <c r="L154" i="83"/>
  <c r="L151" i="83"/>
  <c r="L150" i="83"/>
  <c r="D154" i="83"/>
  <c r="D151" i="83"/>
  <c r="D150" i="83"/>
  <c r="N151" i="83"/>
  <c r="N150" i="83"/>
  <c r="N154" i="83"/>
  <c r="M150" i="83"/>
  <c r="M154" i="83"/>
  <c r="M151" i="83"/>
  <c r="E150" i="83"/>
  <c r="E154" i="83"/>
  <c r="E151" i="83"/>
  <c r="N193" i="83"/>
  <c r="N190" i="83"/>
  <c r="N189" i="83"/>
  <c r="I193" i="83"/>
  <c r="I190" i="83"/>
  <c r="I189" i="83"/>
  <c r="H193" i="83"/>
  <c r="H190" i="83"/>
  <c r="H189" i="83"/>
  <c r="J193" i="83"/>
  <c r="J190" i="83"/>
  <c r="J189" i="83"/>
  <c r="E193" i="83"/>
  <c r="E190" i="83"/>
  <c r="E189" i="83"/>
  <c r="F193" i="83"/>
  <c r="F190" i="83"/>
  <c r="F189" i="83"/>
  <c r="K189" i="83"/>
  <c r="K193" i="83"/>
  <c r="K190" i="83"/>
  <c r="M193" i="83"/>
  <c r="M190" i="83"/>
  <c r="M189" i="83"/>
  <c r="G190" i="83"/>
  <c r="G193" i="83"/>
  <c r="G189" i="83"/>
  <c r="M180" i="83"/>
  <c r="M177" i="83"/>
  <c r="M176" i="83"/>
  <c r="H176" i="83"/>
  <c r="H177" i="83"/>
  <c r="C176" i="83"/>
  <c r="C177" i="83"/>
  <c r="N180" i="83"/>
  <c r="N177" i="83"/>
  <c r="N176" i="83"/>
  <c r="I177" i="83"/>
  <c r="I176" i="83"/>
  <c r="D177" i="83"/>
  <c r="D176" i="83"/>
  <c r="J177" i="83"/>
  <c r="J176" i="83"/>
  <c r="E177" i="83"/>
  <c r="E176" i="83"/>
  <c r="F177" i="83"/>
  <c r="F176" i="83"/>
  <c r="L177" i="83"/>
  <c r="L180" i="83"/>
  <c r="L176" i="83"/>
  <c r="K176" i="83"/>
  <c r="K180" i="83"/>
  <c r="K177" i="83"/>
  <c r="F164" i="83"/>
  <c r="F163" i="83"/>
  <c r="M167" i="83"/>
  <c r="M164" i="83"/>
  <c r="M163" i="83"/>
  <c r="L164" i="83"/>
  <c r="L163" i="83"/>
  <c r="L167" i="83"/>
  <c r="G164" i="83"/>
  <c r="G163" i="83"/>
  <c r="N167" i="83"/>
  <c r="N164" i="83"/>
  <c r="N163" i="83"/>
  <c r="I164" i="83"/>
  <c r="I163" i="83"/>
  <c r="H164" i="83"/>
  <c r="H163" i="83"/>
  <c r="J164" i="83"/>
  <c r="J163" i="83"/>
  <c r="E164" i="83"/>
  <c r="E163" i="83"/>
  <c r="D58" i="90" l="1"/>
  <c r="E58" i="90"/>
  <c r="F58" i="90"/>
  <c r="G58" i="90"/>
  <c r="H58" i="90"/>
  <c r="I58" i="90"/>
  <c r="J58" i="90"/>
  <c r="K58" i="90"/>
  <c r="L58" i="90"/>
  <c r="M58" i="90"/>
  <c r="N58" i="90"/>
  <c r="C58" i="90"/>
  <c r="G75" i="89"/>
  <c r="H75" i="89"/>
  <c r="F75" i="89"/>
  <c r="D72" i="81"/>
  <c r="E72" i="81"/>
  <c r="F72" i="81"/>
  <c r="G72" i="81"/>
  <c r="H72" i="81"/>
  <c r="I72" i="81"/>
  <c r="J72" i="81"/>
  <c r="K72" i="81"/>
  <c r="L72" i="81"/>
  <c r="M72" i="81"/>
  <c r="N72" i="81"/>
  <c r="C72" i="81"/>
  <c r="D69" i="43"/>
  <c r="E69" i="43"/>
  <c r="F69" i="43"/>
  <c r="G69" i="43"/>
  <c r="H69" i="43"/>
  <c r="I69" i="43"/>
  <c r="J69" i="43"/>
  <c r="K69" i="43"/>
  <c r="L69" i="43"/>
  <c r="M69" i="43"/>
  <c r="N69" i="43"/>
  <c r="C69" i="43"/>
  <c r="D32" i="43"/>
  <c r="E32" i="43"/>
  <c r="J32" i="43"/>
  <c r="K32" i="43"/>
  <c r="L32" i="43"/>
  <c r="M32" i="43"/>
  <c r="N32" i="43"/>
  <c r="C32" i="43"/>
  <c r="D31" i="43"/>
  <c r="E31" i="43"/>
  <c r="C31" i="43"/>
  <c r="D30" i="43"/>
  <c r="E30" i="43"/>
  <c r="C30" i="43"/>
  <c r="D73" i="43"/>
  <c r="E73" i="43"/>
  <c r="F73" i="43"/>
  <c r="G73" i="43"/>
  <c r="H73" i="43"/>
  <c r="I73" i="43"/>
  <c r="J73" i="43"/>
  <c r="K73" i="43"/>
  <c r="L73" i="43"/>
  <c r="M73" i="43"/>
  <c r="N73" i="43"/>
  <c r="C73" i="43"/>
  <c r="D72" i="43"/>
  <c r="E72" i="43"/>
  <c r="F72" i="43"/>
  <c r="G72" i="43"/>
  <c r="H72" i="43"/>
  <c r="I72" i="43"/>
  <c r="J72" i="43"/>
  <c r="K72" i="43"/>
  <c r="L72" i="43"/>
  <c r="M72" i="43"/>
  <c r="N72" i="43"/>
  <c r="C72" i="43"/>
  <c r="D71" i="43"/>
  <c r="E71" i="43"/>
  <c r="F71" i="43"/>
  <c r="G71" i="43"/>
  <c r="H71" i="43"/>
  <c r="I71" i="43"/>
  <c r="J71" i="43"/>
  <c r="K71" i="43"/>
  <c r="L71" i="43"/>
  <c r="M71" i="43"/>
  <c r="N71" i="43"/>
  <c r="C71" i="43"/>
  <c r="D70" i="43"/>
  <c r="E70" i="43"/>
  <c r="F70" i="43"/>
  <c r="G70" i="43"/>
  <c r="H70" i="43"/>
  <c r="I70" i="43"/>
  <c r="J70" i="43"/>
  <c r="K70" i="43"/>
  <c r="L70" i="43"/>
  <c r="M70" i="43"/>
  <c r="N70" i="43"/>
  <c r="C70" i="43"/>
  <c r="D10" i="43"/>
  <c r="E10" i="43"/>
  <c r="C10" i="43"/>
  <c r="D9" i="43"/>
  <c r="E9" i="43"/>
  <c r="L9" i="43"/>
  <c r="M9" i="43"/>
  <c r="C9" i="43"/>
  <c r="N9" i="43"/>
  <c r="O69" i="43" l="1"/>
  <c r="Q69" i="43" s="1"/>
  <c r="O70" i="43"/>
  <c r="Q70" i="43" s="1"/>
  <c r="O73" i="43"/>
  <c r="Q73" i="43" s="1"/>
  <c r="O72" i="43"/>
  <c r="Q72" i="43" s="1"/>
  <c r="O71" i="43"/>
  <c r="Q71" i="43" s="1"/>
  <c r="F10" i="43"/>
  <c r="G10" i="43"/>
  <c r="H10" i="43"/>
  <c r="I10" i="43"/>
  <c r="J10" i="43"/>
  <c r="K10" i="43"/>
  <c r="D46" i="43"/>
  <c r="E46" i="43"/>
  <c r="F46" i="43"/>
  <c r="G46" i="43"/>
  <c r="H46" i="43"/>
  <c r="I46" i="43"/>
  <c r="J46" i="43"/>
  <c r="K46" i="43"/>
  <c r="L46" i="43"/>
  <c r="M46" i="43"/>
  <c r="N46" i="43"/>
  <c r="C46" i="43"/>
  <c r="D60" i="79"/>
  <c r="D96" i="43" s="1"/>
  <c r="E60" i="79"/>
  <c r="E96" i="43" s="1"/>
  <c r="F60" i="79"/>
  <c r="F96" i="43" s="1"/>
  <c r="G60" i="79"/>
  <c r="G96" i="43" s="1"/>
  <c r="H60" i="79"/>
  <c r="H96" i="43" s="1"/>
  <c r="I60" i="79"/>
  <c r="I96" i="43" s="1"/>
  <c r="J60" i="79"/>
  <c r="J96" i="43" s="1"/>
  <c r="K60" i="79"/>
  <c r="K96" i="43" s="1"/>
  <c r="L60" i="79"/>
  <c r="L96" i="43" s="1"/>
  <c r="M60" i="79"/>
  <c r="M96" i="43" s="1"/>
  <c r="N60" i="79"/>
  <c r="N96" i="43" s="1"/>
  <c r="C60" i="79"/>
  <c r="C96" i="43" s="1"/>
  <c r="D69" i="79"/>
  <c r="D105" i="43" s="1"/>
  <c r="E69" i="79"/>
  <c r="E105" i="43" s="1"/>
  <c r="F69" i="79"/>
  <c r="F105" i="43" s="1"/>
  <c r="G69" i="79"/>
  <c r="G105" i="43" s="1"/>
  <c r="H69" i="79"/>
  <c r="H105" i="43" s="1"/>
  <c r="I69" i="79"/>
  <c r="I105" i="43" s="1"/>
  <c r="J69" i="79"/>
  <c r="J105" i="43" s="1"/>
  <c r="K69" i="79"/>
  <c r="K105" i="43" s="1"/>
  <c r="L69" i="79"/>
  <c r="L105" i="43" s="1"/>
  <c r="M69" i="79"/>
  <c r="M105" i="43" s="1"/>
  <c r="N69" i="79"/>
  <c r="N105" i="43" s="1"/>
  <c r="C69" i="79"/>
  <c r="C105" i="43" s="1"/>
  <c r="D102" i="79"/>
  <c r="E102" i="79"/>
  <c r="F102" i="79"/>
  <c r="G102" i="79"/>
  <c r="H102" i="79"/>
  <c r="I102" i="79"/>
  <c r="J102" i="79"/>
  <c r="K102" i="79"/>
  <c r="L102" i="79"/>
  <c r="M102" i="79"/>
  <c r="N102" i="79"/>
  <c r="C102" i="79"/>
  <c r="N226" i="79"/>
  <c r="N230" i="79" s="1"/>
  <c r="M226" i="79"/>
  <c r="M230" i="79" s="1"/>
  <c r="L226" i="79"/>
  <c r="L230" i="79" s="1"/>
  <c r="K226" i="79"/>
  <c r="K230" i="79" s="1"/>
  <c r="J226" i="79"/>
  <c r="J230" i="79" s="1"/>
  <c r="I226" i="79"/>
  <c r="I230" i="79" s="1"/>
  <c r="H226" i="79"/>
  <c r="H230" i="79" s="1"/>
  <c r="G226" i="79"/>
  <c r="G230" i="79" s="1"/>
  <c r="F226" i="79"/>
  <c r="F230" i="79" s="1"/>
  <c r="E226" i="79"/>
  <c r="E230" i="79" s="1"/>
  <c r="D226" i="79"/>
  <c r="D230" i="79" s="1"/>
  <c r="C226" i="79"/>
  <c r="C230" i="79" s="1"/>
  <c r="N213" i="79"/>
  <c r="N217" i="79" s="1"/>
  <c r="M213" i="79"/>
  <c r="M217" i="79" s="1"/>
  <c r="L213" i="79"/>
  <c r="L217" i="79" s="1"/>
  <c r="K213" i="79"/>
  <c r="K217" i="79" s="1"/>
  <c r="J213" i="79"/>
  <c r="J217" i="79" s="1"/>
  <c r="I213" i="79"/>
  <c r="I217" i="79" s="1"/>
  <c r="H213" i="79"/>
  <c r="H217" i="79" s="1"/>
  <c r="G213" i="79"/>
  <c r="G217" i="79" s="1"/>
  <c r="F213" i="79"/>
  <c r="F217" i="79" s="1"/>
  <c r="E213" i="79"/>
  <c r="E214" i="79" s="1"/>
  <c r="E219" i="79" s="1"/>
  <c r="D213" i="79"/>
  <c r="D217" i="79" s="1"/>
  <c r="C213" i="79"/>
  <c r="C217" i="79" s="1"/>
  <c r="C68" i="43"/>
  <c r="K27" i="43"/>
  <c r="L27" i="43"/>
  <c r="M27" i="43"/>
  <c r="D65" i="43"/>
  <c r="E65" i="43"/>
  <c r="F65" i="43"/>
  <c r="G65" i="43"/>
  <c r="C65" i="43"/>
  <c r="H65" i="43"/>
  <c r="I65" i="43"/>
  <c r="J65" i="43"/>
  <c r="K65" i="43"/>
  <c r="L65" i="43"/>
  <c r="M65" i="43"/>
  <c r="N65" i="43"/>
  <c r="I45" i="43"/>
  <c r="D45" i="43"/>
  <c r="E45" i="43"/>
  <c r="F45" i="43"/>
  <c r="G45" i="43"/>
  <c r="H45" i="43"/>
  <c r="J45" i="43"/>
  <c r="K45" i="43"/>
  <c r="L45" i="43"/>
  <c r="M45" i="43"/>
  <c r="N45" i="43"/>
  <c r="C45" i="43"/>
  <c r="D68" i="43"/>
  <c r="E68" i="43"/>
  <c r="F68" i="43"/>
  <c r="G68" i="43"/>
  <c r="H68" i="43"/>
  <c r="I68" i="43"/>
  <c r="J68" i="43"/>
  <c r="K68" i="43"/>
  <c r="L68" i="43"/>
  <c r="M68" i="43"/>
  <c r="N68" i="43"/>
  <c r="D67" i="43"/>
  <c r="E67" i="43"/>
  <c r="F67" i="43"/>
  <c r="G67" i="43"/>
  <c r="H67" i="43"/>
  <c r="I67" i="43"/>
  <c r="J67" i="43"/>
  <c r="K67" i="43"/>
  <c r="L67" i="43"/>
  <c r="M67" i="43"/>
  <c r="N67" i="43"/>
  <c r="C67" i="43"/>
  <c r="D66" i="43"/>
  <c r="E66" i="43"/>
  <c r="F66" i="43"/>
  <c r="G66" i="43"/>
  <c r="H66" i="43"/>
  <c r="I66" i="43"/>
  <c r="J66" i="43"/>
  <c r="K66" i="43"/>
  <c r="L66" i="43"/>
  <c r="M66" i="43"/>
  <c r="N66" i="43"/>
  <c r="C66" i="43"/>
  <c r="H27" i="43"/>
  <c r="D28" i="43"/>
  <c r="E28" i="43"/>
  <c r="F28" i="43"/>
  <c r="G28" i="43"/>
  <c r="H28" i="43"/>
  <c r="I28" i="43"/>
  <c r="J28" i="43"/>
  <c r="K28" i="43"/>
  <c r="L28" i="43"/>
  <c r="M28" i="43"/>
  <c r="N28" i="43"/>
  <c r="C28" i="43"/>
  <c r="D27" i="43"/>
  <c r="E27" i="43"/>
  <c r="F27" i="43"/>
  <c r="G27" i="43"/>
  <c r="I27" i="43"/>
  <c r="J27" i="43"/>
  <c r="N27" i="43"/>
  <c r="C27" i="43"/>
  <c r="D64" i="43"/>
  <c r="E64" i="43"/>
  <c r="F64" i="43"/>
  <c r="G64" i="43"/>
  <c r="H64" i="43"/>
  <c r="I64" i="43"/>
  <c r="J64" i="43"/>
  <c r="K64" i="43"/>
  <c r="L64" i="43"/>
  <c r="M64" i="43"/>
  <c r="N64" i="43"/>
  <c r="C64" i="43"/>
  <c r="D63" i="43"/>
  <c r="E63" i="43"/>
  <c r="F63" i="43"/>
  <c r="G63" i="43"/>
  <c r="H63" i="43"/>
  <c r="I63" i="43"/>
  <c r="J63" i="43"/>
  <c r="K63" i="43"/>
  <c r="L63" i="43"/>
  <c r="M63" i="43"/>
  <c r="N63" i="43"/>
  <c r="C63" i="43"/>
  <c r="D62" i="43"/>
  <c r="E62" i="43"/>
  <c r="F62" i="43"/>
  <c r="G62" i="43"/>
  <c r="H62" i="43"/>
  <c r="I62" i="43"/>
  <c r="K62" i="43"/>
  <c r="L62" i="43"/>
  <c r="M62" i="43"/>
  <c r="C62" i="43"/>
  <c r="J62" i="43"/>
  <c r="N62" i="43"/>
  <c r="D38" i="43"/>
  <c r="E38" i="43"/>
  <c r="F38" i="43"/>
  <c r="G38" i="43"/>
  <c r="H38" i="43"/>
  <c r="I38" i="43"/>
  <c r="J38" i="43"/>
  <c r="K38" i="43"/>
  <c r="L38" i="43"/>
  <c r="M38" i="43"/>
  <c r="N38" i="43"/>
  <c r="C38" i="43"/>
  <c r="D37" i="43"/>
  <c r="E37" i="43"/>
  <c r="F37" i="43"/>
  <c r="G37" i="43"/>
  <c r="H37" i="43"/>
  <c r="I37" i="43"/>
  <c r="J37" i="43"/>
  <c r="K37" i="43"/>
  <c r="L37" i="43"/>
  <c r="M37" i="43"/>
  <c r="N37" i="43"/>
  <c r="C37" i="43"/>
  <c r="D36" i="43"/>
  <c r="E36" i="43"/>
  <c r="F36" i="43"/>
  <c r="G36" i="43"/>
  <c r="H36" i="43"/>
  <c r="I36" i="43"/>
  <c r="J36" i="43"/>
  <c r="K36" i="43"/>
  <c r="L36" i="43"/>
  <c r="M36" i="43"/>
  <c r="N36" i="43"/>
  <c r="C36" i="43"/>
  <c r="D42" i="43"/>
  <c r="E42" i="43"/>
  <c r="F42" i="43"/>
  <c r="G42" i="43"/>
  <c r="H42" i="43"/>
  <c r="I42" i="43"/>
  <c r="J42" i="43"/>
  <c r="K42" i="43"/>
  <c r="L42" i="43"/>
  <c r="M42" i="43"/>
  <c r="N42" i="43"/>
  <c r="C42" i="43"/>
  <c r="D41" i="43"/>
  <c r="E41" i="43"/>
  <c r="F41" i="43"/>
  <c r="G41" i="43"/>
  <c r="H41" i="43"/>
  <c r="I41" i="43"/>
  <c r="J41" i="43"/>
  <c r="K41" i="43"/>
  <c r="L41" i="43"/>
  <c r="M41" i="43"/>
  <c r="N41" i="43"/>
  <c r="C41" i="43"/>
  <c r="D40" i="43"/>
  <c r="E40" i="43"/>
  <c r="F40" i="43"/>
  <c r="G40" i="43"/>
  <c r="H40" i="43"/>
  <c r="I40" i="43"/>
  <c r="J40" i="43"/>
  <c r="K40" i="43"/>
  <c r="L40" i="43"/>
  <c r="M40" i="43"/>
  <c r="N40" i="43"/>
  <c r="C40" i="43"/>
  <c r="C12" i="43"/>
  <c r="D15" i="43"/>
  <c r="E15" i="43"/>
  <c r="F15" i="43"/>
  <c r="G15" i="43"/>
  <c r="H15" i="43"/>
  <c r="C15" i="43"/>
  <c r="D14" i="43"/>
  <c r="E14" i="43"/>
  <c r="C14" i="43"/>
  <c r="D13" i="43"/>
  <c r="E13" i="43"/>
  <c r="C13" i="43"/>
  <c r="O27" i="43" l="1"/>
  <c r="Q27" i="43" s="1"/>
  <c r="O28" i="43"/>
  <c r="Q28" i="43" s="1"/>
  <c r="I214" i="79"/>
  <c r="I219" i="79" s="1"/>
  <c r="M214" i="79"/>
  <c r="M219" i="79" s="1"/>
  <c r="O46" i="43"/>
  <c r="Q46" i="43" s="1"/>
  <c r="O45" i="43"/>
  <c r="Q45" i="43" s="1"/>
  <c r="O63" i="43"/>
  <c r="Q63" i="43" s="1"/>
  <c r="K214" i="79"/>
  <c r="K219" i="79" s="1"/>
  <c r="G214" i="79"/>
  <c r="G219" i="79" s="1"/>
  <c r="N214" i="79"/>
  <c r="N219" i="79" s="1"/>
  <c r="J214" i="79"/>
  <c r="J219" i="79" s="1"/>
  <c r="F214" i="79"/>
  <c r="F219" i="79" s="1"/>
  <c r="L214" i="79"/>
  <c r="L219" i="79" s="1"/>
  <c r="H214" i="79"/>
  <c r="H219" i="79" s="1"/>
  <c r="D214" i="79"/>
  <c r="D219" i="79" s="1"/>
  <c r="C214" i="79"/>
  <c r="C219" i="79" s="1"/>
  <c r="K227" i="79"/>
  <c r="K232" i="79" s="1"/>
  <c r="G227" i="79"/>
  <c r="G232" i="79" s="1"/>
  <c r="N227" i="79"/>
  <c r="N232" i="79" s="1"/>
  <c r="J227" i="79"/>
  <c r="J232" i="79" s="1"/>
  <c r="F227" i="79"/>
  <c r="F232" i="79" s="1"/>
  <c r="M227" i="79"/>
  <c r="M232" i="79" s="1"/>
  <c r="I227" i="79"/>
  <c r="I232" i="79" s="1"/>
  <c r="E227" i="79"/>
  <c r="E232" i="79" s="1"/>
  <c r="L227" i="79"/>
  <c r="L232" i="79" s="1"/>
  <c r="H227" i="79"/>
  <c r="H232" i="79" s="1"/>
  <c r="D227" i="79"/>
  <c r="D232" i="79" s="1"/>
  <c r="C227" i="79"/>
  <c r="C232" i="79" s="1"/>
  <c r="E216" i="79"/>
  <c r="E215" i="79"/>
  <c r="E217" i="79"/>
  <c r="O65" i="43"/>
  <c r="Q65" i="43" s="1"/>
  <c r="O66" i="43"/>
  <c r="Q66" i="43" s="1"/>
  <c r="O67" i="43"/>
  <c r="Q67" i="43" s="1"/>
  <c r="O68" i="43"/>
  <c r="Q68" i="43" s="1"/>
  <c r="O64" i="43"/>
  <c r="Q64" i="43" s="1"/>
  <c r="O36" i="43"/>
  <c r="Q36" i="43" s="1"/>
  <c r="O38" i="43"/>
  <c r="Q38" i="43" s="1"/>
  <c r="O39" i="43"/>
  <c r="Q39" i="43" s="1"/>
  <c r="O40" i="43"/>
  <c r="Q40" i="43" s="1"/>
  <c r="O41" i="43"/>
  <c r="Q41" i="43" s="1"/>
  <c r="O37" i="43"/>
  <c r="Q37" i="43" s="1"/>
  <c r="O42" i="43"/>
  <c r="Q42" i="43" s="1"/>
  <c r="N229" i="79" l="1"/>
  <c r="N228" i="79"/>
  <c r="I229" i="79"/>
  <c r="I228" i="79"/>
  <c r="D229" i="79"/>
  <c r="D228" i="79"/>
  <c r="J229" i="79"/>
  <c r="J228" i="79"/>
  <c r="E229" i="79"/>
  <c r="E228" i="79"/>
  <c r="K229" i="79"/>
  <c r="K228" i="79"/>
  <c r="F229" i="79"/>
  <c r="F228" i="79"/>
  <c r="L229" i="79"/>
  <c r="L228" i="79"/>
  <c r="G229" i="79"/>
  <c r="G228" i="79"/>
  <c r="M229" i="79"/>
  <c r="M228" i="79"/>
  <c r="H229" i="79"/>
  <c r="H228" i="79"/>
  <c r="C229" i="79"/>
  <c r="C228" i="79"/>
  <c r="E220" i="79"/>
  <c r="N216" i="79"/>
  <c r="N215" i="79"/>
  <c r="G216" i="79"/>
  <c r="G215" i="79"/>
  <c r="J216" i="79"/>
  <c r="J215" i="79"/>
  <c r="C216" i="79"/>
  <c r="C215" i="79"/>
  <c r="L216" i="79"/>
  <c r="L215" i="79"/>
  <c r="H216" i="79"/>
  <c r="H215" i="79"/>
  <c r="K216" i="79"/>
  <c r="K215" i="79"/>
  <c r="M216" i="79"/>
  <c r="M215" i="79"/>
  <c r="D215" i="79"/>
  <c r="D216" i="79"/>
  <c r="I215" i="79"/>
  <c r="I216" i="79"/>
  <c r="F216" i="79"/>
  <c r="F215" i="79"/>
  <c r="N187" i="1"/>
  <c r="M187" i="1"/>
  <c r="M191" i="1" s="1"/>
  <c r="L187" i="1"/>
  <c r="L191" i="1" s="1"/>
  <c r="K187" i="1"/>
  <c r="K191" i="1" s="1"/>
  <c r="J187" i="1"/>
  <c r="I187" i="1"/>
  <c r="I191" i="1" s="1"/>
  <c r="H187" i="1"/>
  <c r="H191" i="1" s="1"/>
  <c r="G187" i="1"/>
  <c r="G191" i="1" s="1"/>
  <c r="F187" i="1"/>
  <c r="E187" i="1"/>
  <c r="E191" i="1" s="1"/>
  <c r="D187" i="1"/>
  <c r="D191" i="1" s="1"/>
  <c r="C187" i="1"/>
  <c r="C191" i="1" s="1"/>
  <c r="I220" i="79" l="1"/>
  <c r="K220" i="79"/>
  <c r="J233" i="79"/>
  <c r="D233" i="79"/>
  <c r="L233" i="79"/>
  <c r="H220" i="79"/>
  <c r="J220" i="79"/>
  <c r="M233" i="79"/>
  <c r="H233" i="79"/>
  <c r="N233" i="79"/>
  <c r="G233" i="79"/>
  <c r="K233" i="79"/>
  <c r="E233" i="79"/>
  <c r="F233" i="79"/>
  <c r="I233" i="79"/>
  <c r="C233" i="79"/>
  <c r="F220" i="79"/>
  <c r="N220" i="79"/>
  <c r="C220" i="79"/>
  <c r="D220" i="79"/>
  <c r="M220" i="79"/>
  <c r="L220" i="79"/>
  <c r="G220" i="79"/>
  <c r="J191" i="1"/>
  <c r="N191" i="1"/>
  <c r="F191" i="1"/>
  <c r="D278" i="82"/>
  <c r="E278" i="82"/>
  <c r="F278" i="82"/>
  <c r="G278" i="82"/>
  <c r="H278" i="82"/>
  <c r="I278" i="82"/>
  <c r="J278" i="82"/>
  <c r="K278" i="82"/>
  <c r="L278" i="82"/>
  <c r="M278" i="82"/>
  <c r="N278" i="82"/>
  <c r="C278" i="82"/>
  <c r="C279" i="82" s="1"/>
  <c r="D102" i="80"/>
  <c r="E102" i="80"/>
  <c r="F102" i="80"/>
  <c r="G102" i="80"/>
  <c r="H102" i="80"/>
  <c r="I102" i="80"/>
  <c r="J102" i="80"/>
  <c r="K102" i="80"/>
  <c r="L102" i="80"/>
  <c r="M102" i="80"/>
  <c r="N102" i="80"/>
  <c r="C102" i="80"/>
  <c r="D239" i="80"/>
  <c r="D243" i="80" s="1"/>
  <c r="E239" i="80"/>
  <c r="E243" i="80" s="1"/>
  <c r="F239" i="80"/>
  <c r="F243" i="80" s="1"/>
  <c r="G239" i="80"/>
  <c r="G243" i="80" s="1"/>
  <c r="H239" i="80"/>
  <c r="I239" i="80"/>
  <c r="I243" i="80" s="1"/>
  <c r="J239" i="80"/>
  <c r="J243" i="80" s="1"/>
  <c r="K239" i="80"/>
  <c r="K243" i="80" s="1"/>
  <c r="L239" i="80"/>
  <c r="L243" i="80" s="1"/>
  <c r="M239" i="80"/>
  <c r="N239" i="80"/>
  <c r="N243" i="80" s="1"/>
  <c r="C241" i="80"/>
  <c r="C239" i="80"/>
  <c r="C243" i="80" s="1"/>
  <c r="M243" i="80"/>
  <c r="L50" i="43"/>
  <c r="M50" i="43"/>
  <c r="K13" i="43"/>
  <c r="I13" i="43"/>
  <c r="J13" i="43"/>
  <c r="G13" i="43"/>
  <c r="H13" i="43"/>
  <c r="D11" i="43"/>
  <c r="E11" i="43"/>
  <c r="C11" i="43"/>
  <c r="F11" i="43"/>
  <c r="G11" i="43"/>
  <c r="H11" i="43"/>
  <c r="I11" i="43"/>
  <c r="J11" i="43"/>
  <c r="K11" i="43"/>
  <c r="L11" i="43"/>
  <c r="M11" i="43"/>
  <c r="N11" i="43"/>
  <c r="H47" i="43"/>
  <c r="L47" i="43"/>
  <c r="H50" i="43"/>
  <c r="N50" i="43"/>
  <c r="D50" i="43"/>
  <c r="G50" i="43"/>
  <c r="K50" i="43"/>
  <c r="C50" i="43"/>
  <c r="D49" i="43"/>
  <c r="E49" i="43"/>
  <c r="F49" i="43"/>
  <c r="G49" i="43"/>
  <c r="H49" i="43"/>
  <c r="I49" i="43"/>
  <c r="J49" i="43"/>
  <c r="K49" i="43"/>
  <c r="L49" i="43"/>
  <c r="M49" i="43"/>
  <c r="N49" i="43"/>
  <c r="C49" i="43"/>
  <c r="D48" i="43"/>
  <c r="E48" i="43"/>
  <c r="F48" i="43"/>
  <c r="G48" i="43"/>
  <c r="H48" i="43"/>
  <c r="I48" i="43"/>
  <c r="J48" i="43"/>
  <c r="K48" i="43"/>
  <c r="L48" i="43"/>
  <c r="M48" i="43"/>
  <c r="N48" i="43"/>
  <c r="C48" i="43"/>
  <c r="D47" i="43"/>
  <c r="E47" i="43"/>
  <c r="F47" i="43"/>
  <c r="G47" i="43"/>
  <c r="I47" i="43"/>
  <c r="J47" i="43"/>
  <c r="K47" i="43"/>
  <c r="M47" i="43"/>
  <c r="N47" i="43"/>
  <c r="C47" i="43"/>
  <c r="H19" i="43"/>
  <c r="E19" i="43"/>
  <c r="D19" i="43"/>
  <c r="C19" i="43"/>
  <c r="D18" i="43"/>
  <c r="H18" i="43"/>
  <c r="I18" i="43"/>
  <c r="J18" i="43"/>
  <c r="K18" i="43"/>
  <c r="L18" i="43"/>
  <c r="M18" i="43"/>
  <c r="N18" i="43"/>
  <c r="C18" i="43"/>
  <c r="D17" i="43"/>
  <c r="E17" i="43"/>
  <c r="C17" i="43"/>
  <c r="D57" i="43"/>
  <c r="E57" i="43"/>
  <c r="F57" i="43"/>
  <c r="G57" i="43"/>
  <c r="H57" i="43"/>
  <c r="I57" i="43"/>
  <c r="J57" i="43"/>
  <c r="K57" i="43"/>
  <c r="L57" i="43"/>
  <c r="M57" i="43"/>
  <c r="N57" i="43"/>
  <c r="D58" i="43"/>
  <c r="E58" i="43"/>
  <c r="F58" i="43"/>
  <c r="G58" i="43"/>
  <c r="H58" i="43"/>
  <c r="I58" i="43"/>
  <c r="J58" i="43"/>
  <c r="K58" i="43"/>
  <c r="L58" i="43"/>
  <c r="M58" i="43"/>
  <c r="N58" i="43"/>
  <c r="D59" i="43"/>
  <c r="E59" i="43"/>
  <c r="F59" i="43"/>
  <c r="G59" i="43"/>
  <c r="H59" i="43"/>
  <c r="I59" i="43"/>
  <c r="J59" i="43"/>
  <c r="K59" i="43"/>
  <c r="L59" i="43"/>
  <c r="M59" i="43"/>
  <c r="N59" i="43"/>
  <c r="D60" i="43"/>
  <c r="E60" i="43"/>
  <c r="F60" i="43"/>
  <c r="G60" i="43"/>
  <c r="H60" i="43"/>
  <c r="I60" i="43"/>
  <c r="J60" i="43"/>
  <c r="K60" i="43"/>
  <c r="L60" i="43"/>
  <c r="M60" i="43"/>
  <c r="N60" i="43"/>
  <c r="D61" i="43"/>
  <c r="E61" i="43"/>
  <c r="F61" i="43"/>
  <c r="G61" i="43"/>
  <c r="H61" i="43"/>
  <c r="I61" i="43"/>
  <c r="J61" i="43"/>
  <c r="K61" i="43"/>
  <c r="L61" i="43"/>
  <c r="M61" i="43"/>
  <c r="N61" i="43"/>
  <c r="C61" i="43"/>
  <c r="C60" i="43"/>
  <c r="C59" i="43"/>
  <c r="C58" i="43"/>
  <c r="G19" i="43"/>
  <c r="F19" i="43"/>
  <c r="B14" i="80"/>
  <c r="B15" i="80"/>
  <c r="C122" i="80"/>
  <c r="C123" i="80" s="1"/>
  <c r="C128" i="80" s="1"/>
  <c r="D122" i="80"/>
  <c r="D123" i="80" s="1"/>
  <c r="D128" i="80" s="1"/>
  <c r="E122" i="80"/>
  <c r="E123" i="80" s="1"/>
  <c r="E128" i="80" s="1"/>
  <c r="F122" i="80"/>
  <c r="F123" i="80" s="1"/>
  <c r="F128" i="80" s="1"/>
  <c r="G122" i="80"/>
  <c r="G123" i="80" s="1"/>
  <c r="G128" i="80" s="1"/>
  <c r="H122" i="80"/>
  <c r="H123" i="80" s="1"/>
  <c r="H128" i="80" s="1"/>
  <c r="I122" i="80"/>
  <c r="I123" i="80" s="1"/>
  <c r="I128" i="80" s="1"/>
  <c r="J122" i="80"/>
  <c r="J123" i="80" s="1"/>
  <c r="J128" i="80" s="1"/>
  <c r="K122" i="80"/>
  <c r="K123" i="80" s="1"/>
  <c r="K128" i="80" s="1"/>
  <c r="L122" i="80"/>
  <c r="L123" i="80" s="1"/>
  <c r="L128" i="80" s="1"/>
  <c r="M122" i="80"/>
  <c r="M123" i="80" s="1"/>
  <c r="M128" i="80" s="1"/>
  <c r="N122" i="80"/>
  <c r="N123" i="80" s="1"/>
  <c r="N128" i="80" s="1"/>
  <c r="J17" i="43"/>
  <c r="K17" i="43"/>
  <c r="L17" i="43"/>
  <c r="M17" i="43"/>
  <c r="N17" i="43"/>
  <c r="I17" i="43"/>
  <c r="C57" i="43"/>
  <c r="D56" i="43"/>
  <c r="E56" i="43"/>
  <c r="F56" i="43"/>
  <c r="G56" i="43"/>
  <c r="H56" i="43"/>
  <c r="I56" i="43"/>
  <c r="J56" i="43"/>
  <c r="K56" i="43"/>
  <c r="L56" i="43"/>
  <c r="M56" i="43"/>
  <c r="N56" i="43"/>
  <c r="C56" i="43"/>
  <c r="D55" i="43"/>
  <c r="E55" i="43"/>
  <c r="F55" i="43"/>
  <c r="G55" i="43"/>
  <c r="H55" i="43"/>
  <c r="I55" i="43"/>
  <c r="J55" i="43"/>
  <c r="K55" i="43"/>
  <c r="L55" i="43"/>
  <c r="M55" i="43"/>
  <c r="N55" i="43"/>
  <c r="C55" i="43"/>
  <c r="D54" i="43"/>
  <c r="E54" i="43"/>
  <c r="F54" i="43"/>
  <c r="G54" i="43"/>
  <c r="H54" i="43"/>
  <c r="I54" i="43"/>
  <c r="J54" i="43"/>
  <c r="K54" i="43"/>
  <c r="L54" i="43"/>
  <c r="M54" i="43"/>
  <c r="N54" i="43"/>
  <c r="C54" i="43"/>
  <c r="D53" i="43"/>
  <c r="E53" i="43"/>
  <c r="F53" i="43"/>
  <c r="L53" i="43"/>
  <c r="C53" i="43"/>
  <c r="H62" i="77"/>
  <c r="J62" i="77"/>
  <c r="I62" i="77"/>
  <c r="H53" i="43"/>
  <c r="I53" i="43"/>
  <c r="J53" i="43"/>
  <c r="K53" i="43"/>
  <c r="M53" i="43"/>
  <c r="N53" i="43"/>
  <c r="G53" i="43"/>
  <c r="O53" i="43" l="1"/>
  <c r="C137" i="43"/>
  <c r="L137" i="43"/>
  <c r="G137" i="43"/>
  <c r="K137" i="43"/>
  <c r="N137" i="43"/>
  <c r="D137" i="43"/>
  <c r="H137" i="43"/>
  <c r="O47" i="43"/>
  <c r="H241" i="80"/>
  <c r="H242" i="80"/>
  <c r="H243" i="80"/>
  <c r="C125" i="80"/>
  <c r="C124" i="80"/>
  <c r="O49" i="43"/>
  <c r="Q49" i="43" s="1"/>
  <c r="O11" i="43"/>
  <c r="Q11" i="43" s="1"/>
  <c r="O48" i="43"/>
  <c r="Q48" i="43" s="1"/>
  <c r="O62" i="43"/>
  <c r="Q62" i="43" s="1"/>
  <c r="J50" i="43"/>
  <c r="J137" i="43" s="1"/>
  <c r="F50" i="43"/>
  <c r="F137" i="43" s="1"/>
  <c r="I50" i="43"/>
  <c r="I137" i="43" s="1"/>
  <c r="E50" i="43"/>
  <c r="E137" i="43" s="1"/>
  <c r="Q47" i="43" l="1"/>
  <c r="N242" i="80"/>
  <c r="N241" i="80"/>
  <c r="I242" i="80"/>
  <c r="I241" i="80"/>
  <c r="D242" i="80"/>
  <c r="D241" i="80"/>
  <c r="J242" i="80"/>
  <c r="J241" i="80"/>
  <c r="E242" i="80"/>
  <c r="E241" i="80"/>
  <c r="K242" i="80"/>
  <c r="K241" i="80"/>
  <c r="F242" i="80"/>
  <c r="F241" i="80"/>
  <c r="G242" i="80"/>
  <c r="G241" i="80"/>
  <c r="M242" i="80"/>
  <c r="M241" i="80"/>
  <c r="L242" i="80"/>
  <c r="L241" i="80"/>
  <c r="C242" i="80"/>
  <c r="O50" i="43"/>
  <c r="Q50" i="43" s="1"/>
  <c r="D72" i="76"/>
  <c r="D108" i="43" s="1"/>
  <c r="E72" i="76"/>
  <c r="E108" i="43" s="1"/>
  <c r="F72" i="76"/>
  <c r="F108" i="43" s="1"/>
  <c r="I72" i="76"/>
  <c r="I108" i="43" s="1"/>
  <c r="J72" i="76"/>
  <c r="J108" i="43" s="1"/>
  <c r="K72" i="76"/>
  <c r="K108" i="43" s="1"/>
  <c r="L72" i="76"/>
  <c r="L108" i="43" s="1"/>
  <c r="M72" i="76"/>
  <c r="M108" i="43" s="1"/>
  <c r="N72" i="76"/>
  <c r="N108" i="43" s="1"/>
  <c r="C72" i="76"/>
  <c r="C108" i="43" s="1"/>
  <c r="D75" i="76"/>
  <c r="D111" i="43" s="1"/>
  <c r="E75" i="76"/>
  <c r="E111" i="43" s="1"/>
  <c r="F75" i="76"/>
  <c r="F111" i="43" s="1"/>
  <c r="I75" i="76"/>
  <c r="I111" i="43" s="1"/>
  <c r="J75" i="76"/>
  <c r="J111" i="43" s="1"/>
  <c r="K75" i="76"/>
  <c r="K111" i="43" s="1"/>
  <c r="L75" i="76"/>
  <c r="L111" i="43" s="1"/>
  <c r="M75" i="76"/>
  <c r="M111" i="43" s="1"/>
  <c r="N75" i="76"/>
  <c r="N111" i="43" s="1"/>
  <c r="C75" i="76"/>
  <c r="C111" i="43" s="1"/>
  <c r="J8" i="43"/>
  <c r="I8" i="43"/>
  <c r="H72" i="76"/>
  <c r="H108" i="43" s="1"/>
  <c r="G72" i="76"/>
  <c r="G108" i="43" s="1"/>
  <c r="H75" i="76"/>
  <c r="H111" i="43" s="1"/>
  <c r="D62" i="80" l="1"/>
  <c r="H62" i="80"/>
  <c r="L62" i="80"/>
  <c r="F62" i="80"/>
  <c r="J62" i="80"/>
  <c r="N62" i="80"/>
  <c r="E62" i="80"/>
  <c r="I62" i="80"/>
  <c r="M62" i="80"/>
  <c r="C62" i="80"/>
  <c r="G62" i="80"/>
  <c r="K62" i="80"/>
  <c r="B62" i="80" l="1"/>
  <c r="A14" i="46"/>
  <c r="D57" i="77" l="1"/>
  <c r="D93" i="43" s="1"/>
  <c r="E57" i="77"/>
  <c r="E93" i="43" s="1"/>
  <c r="F57" i="77"/>
  <c r="F93" i="43" s="1"/>
  <c r="G57" i="77"/>
  <c r="G93" i="43" s="1"/>
  <c r="H57" i="77"/>
  <c r="H93" i="43" s="1"/>
  <c r="I57" i="77"/>
  <c r="I93" i="43" s="1"/>
  <c r="J57" i="77"/>
  <c r="J93" i="43" s="1"/>
  <c r="K57" i="77"/>
  <c r="K93" i="43" s="1"/>
  <c r="L57" i="77"/>
  <c r="L93" i="43" s="1"/>
  <c r="M57" i="77"/>
  <c r="M93" i="43" s="1"/>
  <c r="N57" i="77"/>
  <c r="N93" i="43" s="1"/>
  <c r="C57" i="77"/>
  <c r="C93" i="43" s="1"/>
  <c r="D81" i="77"/>
  <c r="E81" i="77"/>
  <c r="F81" i="77"/>
  <c r="G81" i="77"/>
  <c r="H81" i="77"/>
  <c r="I81" i="77"/>
  <c r="J81" i="77"/>
  <c r="K81" i="77"/>
  <c r="L81" i="77"/>
  <c r="M81" i="77"/>
  <c r="N81" i="77"/>
  <c r="C81" i="77"/>
  <c r="N42" i="92" l="1"/>
  <c r="N41" i="92"/>
  <c r="D81" i="82"/>
  <c r="E81" i="82"/>
  <c r="F81" i="82"/>
  <c r="G81" i="82"/>
  <c r="H81" i="82"/>
  <c r="I81" i="82"/>
  <c r="J81" i="82"/>
  <c r="K81" i="82"/>
  <c r="L81" i="82"/>
  <c r="M81" i="82"/>
  <c r="N81" i="82"/>
  <c r="C81" i="82"/>
  <c r="D81" i="75"/>
  <c r="E81" i="75"/>
  <c r="F81" i="75"/>
  <c r="G81" i="75"/>
  <c r="H81" i="75"/>
  <c r="I81" i="75"/>
  <c r="J81" i="75"/>
  <c r="K81" i="75"/>
  <c r="L81" i="75"/>
  <c r="M81" i="75"/>
  <c r="N81" i="75"/>
  <c r="C81" i="75"/>
  <c r="G17" i="43"/>
  <c r="H17" i="43"/>
  <c r="F17" i="43"/>
  <c r="A13" i="92"/>
  <c r="O17" i="43" l="1"/>
  <c r="Q17" i="43" s="1"/>
  <c r="M31" i="43"/>
  <c r="N31" i="43"/>
  <c r="L31" i="43"/>
  <c r="G31" i="43"/>
  <c r="H31" i="43"/>
  <c r="I31" i="43"/>
  <c r="J31" i="43"/>
  <c r="K31" i="43"/>
  <c r="F31" i="43"/>
  <c r="O31" i="43" l="1"/>
  <c r="Q31" i="43" s="1"/>
  <c r="J30" i="43"/>
  <c r="K30" i="43"/>
  <c r="L30" i="43"/>
  <c r="M30" i="43"/>
  <c r="N30" i="43"/>
  <c r="I30" i="43"/>
  <c r="G30" i="43"/>
  <c r="H30" i="43"/>
  <c r="F30" i="43"/>
  <c r="D41" i="81"/>
  <c r="D140" i="43" s="1"/>
  <c r="E41" i="81"/>
  <c r="E140" i="43" s="1"/>
  <c r="F41" i="81"/>
  <c r="F140" i="43" s="1"/>
  <c r="G41" i="81"/>
  <c r="G140" i="43" s="1"/>
  <c r="H41" i="81"/>
  <c r="H140" i="43" s="1"/>
  <c r="I41" i="81"/>
  <c r="I140" i="43" s="1"/>
  <c r="J41" i="81"/>
  <c r="J140" i="43" s="1"/>
  <c r="K41" i="81"/>
  <c r="K140" i="43" s="1"/>
  <c r="L41" i="81"/>
  <c r="L140" i="43" s="1"/>
  <c r="M41" i="81"/>
  <c r="N41" i="81"/>
  <c r="N140" i="43" s="1"/>
  <c r="C41" i="81"/>
  <c r="C140" i="43" s="1"/>
  <c r="K154" i="81"/>
  <c r="L154" i="81"/>
  <c r="M154" i="81"/>
  <c r="N154" i="81"/>
  <c r="N226" i="80"/>
  <c r="M226" i="80"/>
  <c r="M230" i="80" s="1"/>
  <c r="L226" i="80"/>
  <c r="L230" i="80" s="1"/>
  <c r="K226" i="80"/>
  <c r="K230" i="80" s="1"/>
  <c r="J226" i="80"/>
  <c r="I226" i="80"/>
  <c r="I230" i="80" s="1"/>
  <c r="H226" i="80"/>
  <c r="H230" i="80" s="1"/>
  <c r="G226" i="80"/>
  <c r="G230" i="80" s="1"/>
  <c r="F226" i="80"/>
  <c r="F227" i="80" s="1"/>
  <c r="E226" i="80"/>
  <c r="D226" i="80"/>
  <c r="C226" i="80"/>
  <c r="M10" i="43"/>
  <c r="N10" i="43"/>
  <c r="L10" i="43"/>
  <c r="G9" i="43"/>
  <c r="H9" i="43"/>
  <c r="I9" i="43"/>
  <c r="J9" i="43"/>
  <c r="K9" i="43"/>
  <c r="F9" i="43"/>
  <c r="D81" i="79"/>
  <c r="E81" i="79"/>
  <c r="F81" i="79"/>
  <c r="G81" i="79"/>
  <c r="H81" i="79"/>
  <c r="I81" i="79"/>
  <c r="J81" i="79"/>
  <c r="K81" i="79"/>
  <c r="L81" i="79"/>
  <c r="M81" i="79"/>
  <c r="N81" i="79"/>
  <c r="C81" i="79"/>
  <c r="D81" i="78"/>
  <c r="E81" i="78"/>
  <c r="F81" i="78"/>
  <c r="G81" i="78"/>
  <c r="H81" i="78"/>
  <c r="I81" i="78"/>
  <c r="J81" i="78"/>
  <c r="K81" i="78"/>
  <c r="L81" i="78"/>
  <c r="M81" i="78"/>
  <c r="N81" i="78"/>
  <c r="C81" i="78"/>
  <c r="C230" i="80" l="1"/>
  <c r="C227" i="80"/>
  <c r="O30" i="43"/>
  <c r="Q30" i="43" s="1"/>
  <c r="E230" i="80"/>
  <c r="E227" i="80"/>
  <c r="D230" i="80"/>
  <c r="D227" i="80"/>
  <c r="J117" i="43"/>
  <c r="N81" i="81"/>
  <c r="O10" i="43"/>
  <c r="Q10" i="43" s="1"/>
  <c r="O9" i="43"/>
  <c r="Q9" i="43" s="1"/>
  <c r="H227" i="80"/>
  <c r="L227" i="80"/>
  <c r="J81" i="81"/>
  <c r="F81" i="81"/>
  <c r="F230" i="80"/>
  <c r="J230" i="80"/>
  <c r="J227" i="80"/>
  <c r="N230" i="80"/>
  <c r="N227" i="80"/>
  <c r="M81" i="81"/>
  <c r="I81" i="81"/>
  <c r="E81" i="81"/>
  <c r="L81" i="81"/>
  <c r="H81" i="81"/>
  <c r="D81" i="81"/>
  <c r="K227" i="80"/>
  <c r="G227" i="80"/>
  <c r="M227" i="80"/>
  <c r="I227" i="80"/>
  <c r="C81" i="81"/>
  <c r="K81" i="81"/>
  <c r="G81" i="81"/>
  <c r="D81" i="74"/>
  <c r="D117" i="43" s="1"/>
  <c r="E81" i="74"/>
  <c r="E117" i="43" s="1"/>
  <c r="F81" i="74"/>
  <c r="G81" i="74"/>
  <c r="G117" i="43" s="1"/>
  <c r="H81" i="74"/>
  <c r="H117" i="43" s="1"/>
  <c r="I81" i="74"/>
  <c r="I117" i="43" s="1"/>
  <c r="J81" i="74"/>
  <c r="K81" i="74"/>
  <c r="K117" i="43" s="1"/>
  <c r="L81" i="74"/>
  <c r="L117" i="43" s="1"/>
  <c r="M81" i="74"/>
  <c r="M117" i="43" s="1"/>
  <c r="N81" i="74"/>
  <c r="N117" i="43" s="1"/>
  <c r="C81" i="74"/>
  <c r="D5" i="74"/>
  <c r="E5" i="74"/>
  <c r="F5" i="74"/>
  <c r="G5" i="74"/>
  <c r="H5" i="74"/>
  <c r="I5" i="74"/>
  <c r="J5" i="74"/>
  <c r="K5" i="74"/>
  <c r="L5" i="74"/>
  <c r="M5" i="74"/>
  <c r="N5" i="74"/>
  <c r="C5" i="74"/>
  <c r="C284" i="82"/>
  <c r="D282" i="82"/>
  <c r="E282" i="82"/>
  <c r="F282" i="82"/>
  <c r="G282" i="82"/>
  <c r="H282" i="82"/>
  <c r="I282" i="82"/>
  <c r="J282" i="82"/>
  <c r="K282" i="82"/>
  <c r="L282" i="82"/>
  <c r="M282" i="82"/>
  <c r="N282" i="82"/>
  <c r="C282" i="82"/>
  <c r="C117" i="43" l="1"/>
  <c r="F117" i="43"/>
  <c r="L232" i="80"/>
  <c r="L229" i="80"/>
  <c r="L228" i="80"/>
  <c r="G232" i="80"/>
  <c r="G229" i="80"/>
  <c r="G228" i="80"/>
  <c r="F232" i="80"/>
  <c r="F229" i="80"/>
  <c r="F228" i="80"/>
  <c r="H232" i="80"/>
  <c r="H229" i="80"/>
  <c r="H228" i="80"/>
  <c r="C232" i="80"/>
  <c r="C229" i="80"/>
  <c r="C228" i="80"/>
  <c r="M232" i="80"/>
  <c r="M229" i="80"/>
  <c r="M228" i="80"/>
  <c r="D232" i="80"/>
  <c r="D229" i="80"/>
  <c r="D228" i="80"/>
  <c r="N232" i="80"/>
  <c r="N229" i="80"/>
  <c r="N228" i="80"/>
  <c r="I232" i="80"/>
  <c r="I229" i="80"/>
  <c r="I228" i="80"/>
  <c r="K232" i="80"/>
  <c r="K229" i="80"/>
  <c r="K228" i="80"/>
  <c r="J232" i="80"/>
  <c r="J229" i="80"/>
  <c r="J228" i="80"/>
  <c r="E232" i="80"/>
  <c r="E229" i="80"/>
  <c r="E228" i="80"/>
  <c r="A70" i="82"/>
  <c r="G14" i="43"/>
  <c r="H14" i="43"/>
  <c r="I14" i="43"/>
  <c r="J14" i="43"/>
  <c r="K14" i="43"/>
  <c r="L14" i="43"/>
  <c r="M14" i="43"/>
  <c r="N14" i="43"/>
  <c r="F14" i="43"/>
  <c r="O14" i="43" l="1"/>
  <c r="Q14" i="43" s="1"/>
  <c r="J15" i="43"/>
  <c r="K15" i="43"/>
  <c r="L15" i="43"/>
  <c r="M15" i="43"/>
  <c r="N15" i="43"/>
  <c r="I15" i="43"/>
  <c r="O15" i="43" l="1"/>
  <c r="Q15" i="43" s="1"/>
  <c r="J12" i="43"/>
  <c r="K12" i="43"/>
  <c r="L12" i="43"/>
  <c r="M12" i="43"/>
  <c r="N12" i="43"/>
  <c r="I12" i="43"/>
  <c r="G12" i="43"/>
  <c r="H12" i="43"/>
  <c r="F12" i="43"/>
  <c r="E12" i="43"/>
  <c r="D12" i="43"/>
  <c r="L13" i="43" l="1"/>
  <c r="M13" i="43"/>
  <c r="N13" i="43"/>
  <c r="F13" i="43"/>
  <c r="N213" i="80" l="1"/>
  <c r="N217" i="80" s="1"/>
  <c r="M213" i="80"/>
  <c r="M217" i="80" s="1"/>
  <c r="L213" i="80"/>
  <c r="L217" i="80" s="1"/>
  <c r="K213" i="80"/>
  <c r="K217" i="80" s="1"/>
  <c r="J213" i="80"/>
  <c r="J217" i="80" s="1"/>
  <c r="I213" i="80"/>
  <c r="I217" i="80" s="1"/>
  <c r="H213" i="80"/>
  <c r="H217" i="80" s="1"/>
  <c r="G213" i="80"/>
  <c r="G217" i="80" s="1"/>
  <c r="F213" i="80"/>
  <c r="F217" i="80" s="1"/>
  <c r="E213" i="80"/>
  <c r="E217" i="80" s="1"/>
  <c r="D213" i="80"/>
  <c r="D217" i="80" s="1"/>
  <c r="C213" i="80"/>
  <c r="C217" i="80" s="1"/>
  <c r="D148" i="80"/>
  <c r="E148" i="80"/>
  <c r="F148" i="80"/>
  <c r="G148" i="80"/>
  <c r="H148" i="80"/>
  <c r="I148" i="80"/>
  <c r="J148" i="80"/>
  <c r="K148" i="80"/>
  <c r="L148" i="80"/>
  <c r="M148" i="80"/>
  <c r="N148" i="80"/>
  <c r="J19" i="43"/>
  <c r="K19" i="43"/>
  <c r="L19" i="43"/>
  <c r="M19" i="43"/>
  <c r="N19" i="43"/>
  <c r="I19" i="43"/>
  <c r="O19" i="43" l="1"/>
  <c r="Q19" i="43" s="1"/>
  <c r="G83" i="80"/>
  <c r="K83" i="80"/>
  <c r="I83" i="80"/>
  <c r="D83" i="80"/>
  <c r="H83" i="80"/>
  <c r="L83" i="80"/>
  <c r="E83" i="80"/>
  <c r="F83" i="80"/>
  <c r="J83" i="80"/>
  <c r="N83" i="80"/>
  <c r="M83" i="80"/>
  <c r="J58" i="76"/>
  <c r="I58" i="76"/>
  <c r="E58" i="81"/>
  <c r="E94" i="43" s="1"/>
  <c r="I58" i="81"/>
  <c r="M58" i="81"/>
  <c r="M94" i="43" s="1"/>
  <c r="F58" i="81"/>
  <c r="F94" i="43" s="1"/>
  <c r="J58" i="81"/>
  <c r="N58" i="81"/>
  <c r="N94" i="43" s="1"/>
  <c r="G58" i="81"/>
  <c r="G94" i="43" s="1"/>
  <c r="K58" i="81"/>
  <c r="K94" i="43" s="1"/>
  <c r="C58" i="81"/>
  <c r="C94" i="43" s="1"/>
  <c r="D58" i="81"/>
  <c r="D94" i="43" s="1"/>
  <c r="H58" i="81"/>
  <c r="H94" i="43" s="1"/>
  <c r="L58" i="81"/>
  <c r="L94" i="43" s="1"/>
  <c r="K214" i="80"/>
  <c r="G214" i="80"/>
  <c r="N214" i="80"/>
  <c r="J214" i="80"/>
  <c r="F214" i="80"/>
  <c r="M214" i="80"/>
  <c r="I214" i="80"/>
  <c r="E214" i="80"/>
  <c r="L214" i="80"/>
  <c r="H214" i="80"/>
  <c r="D214" i="80"/>
  <c r="C214" i="80"/>
  <c r="G18" i="43"/>
  <c r="F18" i="43"/>
  <c r="E18" i="43"/>
  <c r="I94" i="43" l="1"/>
  <c r="J94" i="43"/>
  <c r="O18" i="43"/>
  <c r="Q18" i="43" s="1"/>
  <c r="B58" i="80"/>
  <c r="B83" i="80" s="1"/>
  <c r="B97" i="80" s="1"/>
  <c r="C83" i="80"/>
  <c r="M216" i="80"/>
  <c r="M215" i="80"/>
  <c r="H216" i="80"/>
  <c r="H215" i="80"/>
  <c r="C216" i="80"/>
  <c r="C215" i="80"/>
  <c r="N216" i="80"/>
  <c r="N215" i="80"/>
  <c r="I216" i="80"/>
  <c r="I215" i="80"/>
  <c r="D216" i="80"/>
  <c r="D215" i="80"/>
  <c r="J216" i="80"/>
  <c r="J215" i="80"/>
  <c r="E216" i="80"/>
  <c r="E215" i="80"/>
  <c r="K216" i="80"/>
  <c r="K215" i="80"/>
  <c r="F216" i="80"/>
  <c r="F215" i="80"/>
  <c r="L216" i="80"/>
  <c r="L215" i="80"/>
  <c r="G216" i="80"/>
  <c r="G215" i="80"/>
  <c r="T50" i="93" l="1"/>
  <c r="U50" i="93" s="1"/>
  <c r="T49" i="93"/>
  <c r="U49" i="93" s="1"/>
  <c r="T47" i="93"/>
  <c r="U47" i="93" s="1"/>
  <c r="U46" i="93"/>
  <c r="T45" i="93"/>
  <c r="U45" i="93" s="1"/>
  <c r="T42" i="93"/>
  <c r="U42" i="93" s="1"/>
  <c r="T41" i="93"/>
  <c r="U41" i="93" s="1"/>
  <c r="T40" i="93"/>
  <c r="U40" i="93" s="1"/>
  <c r="T39" i="93"/>
  <c r="U39" i="93" s="1"/>
  <c r="T37" i="93"/>
  <c r="U37" i="93" s="1"/>
  <c r="T36" i="93"/>
  <c r="U36" i="93" s="1"/>
  <c r="T35" i="93"/>
  <c r="U35" i="93" s="1"/>
  <c r="T34" i="93"/>
  <c r="U34" i="93" s="1"/>
  <c r="T33" i="93"/>
  <c r="U33" i="93" s="1"/>
  <c r="T32" i="93"/>
  <c r="U32" i="93" s="1"/>
  <c r="T31" i="93"/>
  <c r="U31" i="93" s="1"/>
  <c r="T30" i="93"/>
  <c r="U30" i="93" s="1"/>
  <c r="T29" i="93"/>
  <c r="U29" i="93" s="1"/>
  <c r="T27" i="93"/>
  <c r="U27" i="93" s="1"/>
  <c r="T26" i="93"/>
  <c r="U26" i="93" s="1"/>
  <c r="T25" i="93"/>
  <c r="U25" i="93" s="1"/>
  <c r="T24" i="93"/>
  <c r="U24" i="93" s="1"/>
  <c r="T23" i="93"/>
  <c r="U23" i="93" s="1"/>
  <c r="T21" i="93"/>
  <c r="U21" i="93" s="1"/>
  <c r="T20" i="93"/>
  <c r="U20" i="93" s="1"/>
  <c r="U19" i="93"/>
  <c r="T18" i="93"/>
  <c r="U18" i="93" s="1"/>
  <c r="T17" i="93"/>
  <c r="U17" i="93" s="1"/>
  <c r="T16" i="93"/>
  <c r="U16" i="93" s="1"/>
  <c r="T15" i="93"/>
  <c r="U15" i="93" s="1"/>
  <c r="T12" i="93"/>
  <c r="U12" i="93" s="1"/>
  <c r="U11" i="93"/>
  <c r="T10" i="93"/>
  <c r="U10" i="93" s="1"/>
  <c r="T9" i="93"/>
  <c r="U9" i="93" s="1"/>
  <c r="T8" i="93"/>
  <c r="U8" i="93" s="1"/>
  <c r="T7" i="93"/>
  <c r="U7" i="93" s="1"/>
  <c r="T4" i="93"/>
  <c r="U4" i="93" s="1"/>
  <c r="T3" i="93"/>
  <c r="T52" i="93" l="1"/>
  <c r="U3" i="93"/>
  <c r="C43" i="92"/>
  <c r="D88" i="1" s="1"/>
  <c r="D43" i="92"/>
  <c r="E88" i="1" s="1"/>
  <c r="E43" i="92"/>
  <c r="F88" i="1" s="1"/>
  <c r="F43" i="92"/>
  <c r="G88" i="1" s="1"/>
  <c r="G43" i="92"/>
  <c r="H88" i="1" s="1"/>
  <c r="H43" i="92"/>
  <c r="I88" i="1" s="1"/>
  <c r="I43" i="92"/>
  <c r="J88" i="1" s="1"/>
  <c r="J43" i="92"/>
  <c r="K88" i="1" s="1"/>
  <c r="K43" i="92"/>
  <c r="L88" i="1" s="1"/>
  <c r="L43" i="92"/>
  <c r="M88" i="1" s="1"/>
  <c r="M43" i="92"/>
  <c r="N88" i="1" s="1"/>
  <c r="B43" i="92"/>
  <c r="C88" i="1" s="1"/>
  <c r="A19" i="92"/>
  <c r="A37" i="92" s="1"/>
  <c r="A61" i="92" s="1"/>
  <c r="A18" i="92"/>
  <c r="A36" i="92" s="1"/>
  <c r="A60" i="92" s="1"/>
  <c r="A17" i="92"/>
  <c r="A35" i="92" s="1"/>
  <c r="A59" i="92" s="1"/>
  <c r="A16" i="92"/>
  <c r="A34" i="92" s="1"/>
  <c r="A58" i="92" s="1"/>
  <c r="A15" i="92"/>
  <c r="A33" i="92" s="1"/>
  <c r="A57" i="92" s="1"/>
  <c r="A14" i="92"/>
  <c r="A32" i="92" s="1"/>
  <c r="A56" i="92" s="1"/>
  <c r="A31" i="92"/>
  <c r="A55" i="92" s="1"/>
  <c r="A12" i="92"/>
  <c r="A30" i="92" s="1"/>
  <c r="A54" i="92" s="1"/>
  <c r="A11" i="92"/>
  <c r="A29" i="92" s="1"/>
  <c r="A53" i="92" s="1"/>
  <c r="A10" i="92"/>
  <c r="A28" i="92" s="1"/>
  <c r="A52" i="92" s="1"/>
  <c r="A9" i="92"/>
  <c r="A27" i="92" s="1"/>
  <c r="A51" i="92" s="1"/>
  <c r="A8" i="92"/>
  <c r="A26" i="92" s="1"/>
  <c r="A50" i="92" s="1"/>
  <c r="A7" i="92"/>
  <c r="A25" i="92" s="1"/>
  <c r="A49" i="92" s="1"/>
  <c r="M5" i="92"/>
  <c r="M23" i="92" s="1"/>
  <c r="M47" i="92" s="1"/>
  <c r="L5" i="92"/>
  <c r="L23" i="92" s="1"/>
  <c r="L47" i="92" s="1"/>
  <c r="K5" i="92"/>
  <c r="K23" i="92" s="1"/>
  <c r="K47" i="92" s="1"/>
  <c r="J5" i="92"/>
  <c r="J23" i="92" s="1"/>
  <c r="J47" i="92" s="1"/>
  <c r="I5" i="92"/>
  <c r="I23" i="92" s="1"/>
  <c r="I47" i="92" s="1"/>
  <c r="H5" i="92"/>
  <c r="H23" i="92" s="1"/>
  <c r="H47" i="92" s="1"/>
  <c r="G5" i="92"/>
  <c r="G23" i="92" s="1"/>
  <c r="G47" i="92" s="1"/>
  <c r="F5" i="92"/>
  <c r="F23" i="92" s="1"/>
  <c r="F47" i="92" s="1"/>
  <c r="E5" i="92"/>
  <c r="E23" i="92" s="1"/>
  <c r="E47" i="92" s="1"/>
  <c r="D5" i="92"/>
  <c r="D23" i="92" s="1"/>
  <c r="D47" i="92" s="1"/>
  <c r="C5" i="92"/>
  <c r="C23" i="92" s="1"/>
  <c r="C47" i="92" s="1"/>
  <c r="B5" i="92"/>
  <c r="B23" i="92" s="1"/>
  <c r="B47" i="92" s="1"/>
  <c r="A1" i="92"/>
  <c r="N43" i="92" l="1"/>
  <c r="N126" i="80"/>
  <c r="M126" i="80"/>
  <c r="L126" i="80"/>
  <c r="K126" i="80"/>
  <c r="J126" i="80"/>
  <c r="I126" i="80"/>
  <c r="H126" i="80"/>
  <c r="G126" i="80"/>
  <c r="F126" i="80"/>
  <c r="E126" i="80"/>
  <c r="D126" i="80"/>
  <c r="C126" i="80"/>
  <c r="D109" i="80"/>
  <c r="D110" i="80" s="1"/>
  <c r="D115" i="80" s="1"/>
  <c r="E109" i="80"/>
  <c r="E110" i="80" s="1"/>
  <c r="E115" i="80" s="1"/>
  <c r="F109" i="80"/>
  <c r="F110" i="80" s="1"/>
  <c r="F115" i="80" s="1"/>
  <c r="G109" i="80"/>
  <c r="G110" i="80" s="1"/>
  <c r="G115" i="80" s="1"/>
  <c r="H109" i="80"/>
  <c r="H110" i="80" s="1"/>
  <c r="H115" i="80" s="1"/>
  <c r="I109" i="80"/>
  <c r="I110" i="80" s="1"/>
  <c r="I115" i="80" s="1"/>
  <c r="J109" i="80"/>
  <c r="J110" i="80" s="1"/>
  <c r="J115" i="80" s="1"/>
  <c r="K109" i="80"/>
  <c r="L109" i="80"/>
  <c r="L110" i="80" s="1"/>
  <c r="L115" i="80" s="1"/>
  <c r="M109" i="80"/>
  <c r="M110" i="80" s="1"/>
  <c r="M115" i="80" s="1"/>
  <c r="N109" i="80"/>
  <c r="N110" i="80" s="1"/>
  <c r="N111" i="80" s="1"/>
  <c r="G111" i="80"/>
  <c r="H111" i="80"/>
  <c r="L111" i="80"/>
  <c r="D112" i="80"/>
  <c r="E112" i="80"/>
  <c r="G112" i="80"/>
  <c r="H112" i="80"/>
  <c r="L112" i="80"/>
  <c r="D113" i="80"/>
  <c r="G113" i="80"/>
  <c r="H113" i="80"/>
  <c r="L113" i="80"/>
  <c r="D5" i="77"/>
  <c r="E5" i="77"/>
  <c r="F5" i="77"/>
  <c r="G5" i="77"/>
  <c r="H5" i="77"/>
  <c r="I5" i="77"/>
  <c r="J5" i="77"/>
  <c r="K5" i="77"/>
  <c r="L5" i="77"/>
  <c r="M5" i="77"/>
  <c r="N5" i="77"/>
  <c r="C5" i="77"/>
  <c r="M112" i="80" l="1"/>
  <c r="M111" i="80"/>
  <c r="E111" i="80"/>
  <c r="J112" i="80"/>
  <c r="F112" i="80"/>
  <c r="N112" i="80"/>
  <c r="I112" i="80"/>
  <c r="I111" i="80"/>
  <c r="D111" i="80"/>
  <c r="F113" i="80"/>
  <c r="N113" i="80"/>
  <c r="I113" i="80"/>
  <c r="E113" i="80"/>
  <c r="N115" i="80"/>
  <c r="J113" i="80"/>
  <c r="M113" i="80"/>
  <c r="J111" i="80"/>
  <c r="F111" i="80"/>
  <c r="K113" i="80"/>
  <c r="K110" i="80"/>
  <c r="F125" i="80"/>
  <c r="F124" i="80"/>
  <c r="L125" i="80"/>
  <c r="L124" i="80"/>
  <c r="G125" i="80"/>
  <c r="G124" i="80"/>
  <c r="M125" i="80"/>
  <c r="M124" i="80"/>
  <c r="H125" i="80"/>
  <c r="H124" i="80"/>
  <c r="N125" i="80"/>
  <c r="N124" i="80"/>
  <c r="I125" i="80"/>
  <c r="I124" i="80"/>
  <c r="D125" i="80"/>
  <c r="D124" i="80"/>
  <c r="J125" i="80"/>
  <c r="J124" i="80"/>
  <c r="E125" i="80"/>
  <c r="E124" i="80"/>
  <c r="K125" i="80"/>
  <c r="K124" i="80"/>
  <c r="D68" i="75"/>
  <c r="D104" i="43" s="1"/>
  <c r="E68" i="75"/>
  <c r="E104" i="43" s="1"/>
  <c r="F68" i="75"/>
  <c r="F104" i="43" s="1"/>
  <c r="G68" i="75"/>
  <c r="G104" i="43" s="1"/>
  <c r="H68" i="75"/>
  <c r="H104" i="43" s="1"/>
  <c r="I68" i="75"/>
  <c r="I104" i="43" s="1"/>
  <c r="J68" i="75"/>
  <c r="J104" i="43" s="1"/>
  <c r="K68" i="75"/>
  <c r="K104" i="43" s="1"/>
  <c r="L68" i="75"/>
  <c r="L104" i="43" s="1"/>
  <c r="M68" i="75"/>
  <c r="M104" i="43" s="1"/>
  <c r="N68" i="75"/>
  <c r="N104" i="43" s="1"/>
  <c r="C68" i="75"/>
  <c r="C104" i="43" s="1"/>
  <c r="D102" i="82"/>
  <c r="E102" i="82"/>
  <c r="F102" i="82"/>
  <c r="G102" i="82"/>
  <c r="H102" i="82"/>
  <c r="I102" i="82"/>
  <c r="J102" i="82"/>
  <c r="K102" i="82"/>
  <c r="L102" i="82"/>
  <c r="M102" i="82"/>
  <c r="N102" i="82"/>
  <c r="C102" i="82"/>
  <c r="K115" i="80" l="1"/>
  <c r="K112" i="80"/>
  <c r="K111" i="80"/>
  <c r="H14" i="92"/>
  <c r="I62" i="82"/>
  <c r="G14" i="92"/>
  <c r="H62" i="82"/>
  <c r="C14" i="92"/>
  <c r="D62" i="82"/>
  <c r="J14" i="92"/>
  <c r="K62" i="82"/>
  <c r="F14" i="92"/>
  <c r="G62" i="82"/>
  <c r="L14" i="92"/>
  <c r="M62" i="82"/>
  <c r="D14" i="92"/>
  <c r="E62" i="82"/>
  <c r="K14" i="92"/>
  <c r="L62" i="82"/>
  <c r="M14" i="92"/>
  <c r="N62" i="82"/>
  <c r="I14" i="92"/>
  <c r="J62" i="82"/>
  <c r="E14" i="92"/>
  <c r="F62" i="82"/>
  <c r="B14" i="92"/>
  <c r="C62" i="82"/>
  <c r="E129" i="80"/>
  <c r="N129" i="80"/>
  <c r="L129" i="80"/>
  <c r="K129" i="80"/>
  <c r="G129" i="80"/>
  <c r="M129" i="80"/>
  <c r="D129" i="80"/>
  <c r="J129" i="80"/>
  <c r="H129" i="80"/>
  <c r="F129" i="80"/>
  <c r="I129" i="80"/>
  <c r="C129" i="80"/>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D71" i="1"/>
  <c r="D107" i="43" s="1"/>
  <c r="E71" i="1"/>
  <c r="E107" i="43" s="1"/>
  <c r="F71" i="1"/>
  <c r="F107" i="43" s="1"/>
  <c r="G71" i="1"/>
  <c r="G107" i="43" s="1"/>
  <c r="H71" i="1"/>
  <c r="H107" i="43" s="1"/>
  <c r="I71" i="1"/>
  <c r="I107" i="43" s="1"/>
  <c r="J71" i="1"/>
  <c r="J107" i="43" s="1"/>
  <c r="K71" i="1"/>
  <c r="K107" i="43" s="1"/>
  <c r="L71" i="1"/>
  <c r="L107" i="43" s="1"/>
  <c r="M71" i="1"/>
  <c r="M107" i="43" s="1"/>
  <c r="N71" i="1"/>
  <c r="N107" i="43" s="1"/>
  <c r="C71" i="1"/>
  <c r="C107" i="43" s="1"/>
  <c r="F188" i="1" l="1"/>
  <c r="G188" i="1"/>
  <c r="L188" i="1"/>
  <c r="J188" i="1"/>
  <c r="K188" i="1"/>
  <c r="E188" i="1"/>
  <c r="N188" i="1"/>
  <c r="D188" i="1"/>
  <c r="I188" i="1"/>
  <c r="C188" i="1"/>
  <c r="H188" i="1"/>
  <c r="M188" i="1"/>
  <c r="N83" i="1"/>
  <c r="F83" i="1"/>
  <c r="M83" i="1"/>
  <c r="E83" i="1"/>
  <c r="L83" i="1"/>
  <c r="H83" i="1"/>
  <c r="D83" i="1"/>
  <c r="J83" i="1"/>
  <c r="I83" i="1"/>
  <c r="C83" i="1"/>
  <c r="K83" i="1"/>
  <c r="G83" i="1"/>
  <c r="D459" i="82"/>
  <c r="E459" i="82"/>
  <c r="E460" i="82" s="1"/>
  <c r="H459" i="82"/>
  <c r="I459" i="82"/>
  <c r="I460" i="82" s="1"/>
  <c r="I462" i="82" s="1"/>
  <c r="L459" i="82"/>
  <c r="D446" i="82"/>
  <c r="D447" i="82" s="1"/>
  <c r="D449" i="82" s="1"/>
  <c r="H446" i="82"/>
  <c r="K446" i="82"/>
  <c r="L446" i="82"/>
  <c r="L447" i="82" s="1"/>
  <c r="L448" i="82" s="1"/>
  <c r="C446" i="82"/>
  <c r="C447" i="82" s="1"/>
  <c r="D433" i="82"/>
  <c r="D434" i="82" s="1"/>
  <c r="D435" i="82" s="1"/>
  <c r="H433" i="82"/>
  <c r="H434" i="82" s="1"/>
  <c r="I433" i="82"/>
  <c r="L433" i="82"/>
  <c r="L437" i="82" s="1"/>
  <c r="D420" i="82"/>
  <c r="D421" i="82" s="1"/>
  <c r="E420" i="82"/>
  <c r="E421" i="82" s="1"/>
  <c r="H420" i="82"/>
  <c r="L420" i="82"/>
  <c r="L421" i="82" s="1"/>
  <c r="M420" i="82"/>
  <c r="D369" i="82"/>
  <c r="H369" i="82"/>
  <c r="I369" i="82"/>
  <c r="I373" i="82" s="1"/>
  <c r="L369" i="82"/>
  <c r="E356" i="82"/>
  <c r="L356" i="82"/>
  <c r="L360" i="82" s="1"/>
  <c r="M356" i="82"/>
  <c r="G343" i="82"/>
  <c r="G347" i="82" s="1"/>
  <c r="C343" i="82"/>
  <c r="H330" i="82"/>
  <c r="H334" i="82" s="1"/>
  <c r="K330" i="82"/>
  <c r="C330" i="82"/>
  <c r="D317" i="82"/>
  <c r="I317" i="82"/>
  <c r="I321" i="82" s="1"/>
  <c r="L317" i="82"/>
  <c r="E304" i="82"/>
  <c r="E308" i="82" s="1"/>
  <c r="M304" i="82"/>
  <c r="I291" i="82"/>
  <c r="I295" i="82" s="1"/>
  <c r="M265" i="82"/>
  <c r="H252" i="82"/>
  <c r="M252" i="82"/>
  <c r="N239" i="82"/>
  <c r="N243" i="82" s="1"/>
  <c r="J239" i="82"/>
  <c r="J243" i="82" s="1"/>
  <c r="E226" i="82"/>
  <c r="M226" i="82"/>
  <c r="H213" i="82"/>
  <c r="I213" i="82"/>
  <c r="M213" i="82"/>
  <c r="M217" i="82" s="1"/>
  <c r="N459" i="82"/>
  <c r="N460" i="82" s="1"/>
  <c r="M459" i="82"/>
  <c r="K459" i="82"/>
  <c r="J459" i="82"/>
  <c r="J463" i="82" s="1"/>
  <c r="G459" i="82"/>
  <c r="G463" i="82" s="1"/>
  <c r="F459" i="82"/>
  <c r="F460" i="82" s="1"/>
  <c r="C459" i="82"/>
  <c r="C463" i="82" s="1"/>
  <c r="N446" i="82"/>
  <c r="N450" i="82" s="1"/>
  <c r="M446" i="82"/>
  <c r="M447" i="82" s="1"/>
  <c r="M448" i="82" s="1"/>
  <c r="J446" i="82"/>
  <c r="I446" i="82"/>
  <c r="G446" i="82"/>
  <c r="G450" i="82" s="1"/>
  <c r="F446" i="82"/>
  <c r="F450" i="82" s="1"/>
  <c r="E446" i="82"/>
  <c r="C450" i="82"/>
  <c r="N433" i="82"/>
  <c r="N437" i="82" s="1"/>
  <c r="M433" i="82"/>
  <c r="M437" i="82" s="1"/>
  <c r="K433" i="82"/>
  <c r="K437" i="82" s="1"/>
  <c r="J433" i="82"/>
  <c r="G433" i="82"/>
  <c r="G437" i="82" s="1"/>
  <c r="F433" i="82"/>
  <c r="F437" i="82" s="1"/>
  <c r="E433" i="82"/>
  <c r="C433" i="82"/>
  <c r="C437" i="82" s="1"/>
  <c r="N420" i="82"/>
  <c r="N424" i="82" s="1"/>
  <c r="K420" i="82"/>
  <c r="K424" i="82" s="1"/>
  <c r="J420" i="82"/>
  <c r="I420" i="82"/>
  <c r="I421" i="82" s="1"/>
  <c r="G420" i="82"/>
  <c r="F420" i="82"/>
  <c r="F424" i="82" s="1"/>
  <c r="C420" i="82"/>
  <c r="C421" i="82" s="1"/>
  <c r="C423" i="82" s="1"/>
  <c r="N369" i="82"/>
  <c r="M369" i="82"/>
  <c r="M373" i="82" s="1"/>
  <c r="K369" i="82"/>
  <c r="K373" i="82" s="1"/>
  <c r="J369" i="82"/>
  <c r="J373" i="82" s="1"/>
  <c r="G369" i="82"/>
  <c r="G373" i="82" s="1"/>
  <c r="F369" i="82"/>
  <c r="F373" i="82" s="1"/>
  <c r="E369" i="82"/>
  <c r="E373" i="82" s="1"/>
  <c r="N356" i="82"/>
  <c r="K356" i="82"/>
  <c r="J356" i="82"/>
  <c r="J360" i="82" s="1"/>
  <c r="I356" i="82"/>
  <c r="H356" i="82"/>
  <c r="G356" i="82"/>
  <c r="F356" i="82"/>
  <c r="F360" i="82" s="1"/>
  <c r="D356" i="82"/>
  <c r="N343" i="82"/>
  <c r="N347" i="82" s="1"/>
  <c r="M343" i="82"/>
  <c r="M347" i="82" s="1"/>
  <c r="L343" i="82"/>
  <c r="K343" i="82"/>
  <c r="K347" i="82" s="1"/>
  <c r="J343" i="82"/>
  <c r="J347" i="82" s="1"/>
  <c r="I343" i="82"/>
  <c r="I347" i="82" s="1"/>
  <c r="H343" i="82"/>
  <c r="H347" i="82" s="1"/>
  <c r="F343" i="82"/>
  <c r="E343" i="82"/>
  <c r="D343" i="82"/>
  <c r="D347" i="82" s="1"/>
  <c r="N330" i="82"/>
  <c r="M330" i="82"/>
  <c r="L330" i="82"/>
  <c r="L334" i="82" s="1"/>
  <c r="J330" i="82"/>
  <c r="J334" i="82" s="1"/>
  <c r="I330" i="82"/>
  <c r="G330" i="82"/>
  <c r="G334" i="82" s="1"/>
  <c r="F330" i="82"/>
  <c r="F334" i="82" s="1"/>
  <c r="E330" i="82"/>
  <c r="E334" i="82" s="1"/>
  <c r="D330" i="82"/>
  <c r="N317" i="82"/>
  <c r="N321" i="82" s="1"/>
  <c r="M317" i="82"/>
  <c r="M321" i="82" s="1"/>
  <c r="K317" i="82"/>
  <c r="K321" i="82" s="1"/>
  <c r="J317" i="82"/>
  <c r="J321" i="82" s="1"/>
  <c r="H317" i="82"/>
  <c r="G317" i="82"/>
  <c r="G321" i="82" s="1"/>
  <c r="F317" i="82"/>
  <c r="F321" i="82" s="1"/>
  <c r="E317" i="82"/>
  <c r="E321" i="82" s="1"/>
  <c r="C317" i="82"/>
  <c r="N304" i="82"/>
  <c r="N308" i="82" s="1"/>
  <c r="L304" i="82"/>
  <c r="K304" i="82"/>
  <c r="K308" i="82" s="1"/>
  <c r="J304" i="82"/>
  <c r="I304" i="82"/>
  <c r="I308" i="82" s="1"/>
  <c r="H304" i="82"/>
  <c r="H308" i="82" s="1"/>
  <c r="G304" i="82"/>
  <c r="G308" i="82" s="1"/>
  <c r="F304" i="82"/>
  <c r="F308" i="82" s="1"/>
  <c r="D304" i="82"/>
  <c r="D308" i="82" s="1"/>
  <c r="C304" i="82"/>
  <c r="C308" i="82" s="1"/>
  <c r="N291" i="82"/>
  <c r="M291" i="82"/>
  <c r="L291" i="82"/>
  <c r="L295" i="82" s="1"/>
  <c r="K291" i="82"/>
  <c r="K295" i="82" s="1"/>
  <c r="J291" i="82"/>
  <c r="H291" i="82"/>
  <c r="H295" i="82" s="1"/>
  <c r="G291" i="82"/>
  <c r="G295" i="82" s="1"/>
  <c r="F291" i="82"/>
  <c r="F295" i="82" s="1"/>
  <c r="E291" i="82"/>
  <c r="E295" i="82" s="1"/>
  <c r="D291" i="82"/>
  <c r="C291" i="82"/>
  <c r="C295" i="82" s="1"/>
  <c r="N265" i="82"/>
  <c r="N269" i="82" s="1"/>
  <c r="L265" i="82"/>
  <c r="K265" i="82"/>
  <c r="J265" i="82"/>
  <c r="J269" i="82" s="1"/>
  <c r="I265" i="82"/>
  <c r="H265" i="82"/>
  <c r="G265" i="82"/>
  <c r="G269" i="82" s="1"/>
  <c r="F265" i="82"/>
  <c r="E265" i="82"/>
  <c r="D265" i="82"/>
  <c r="C265" i="82"/>
  <c r="C269" i="82" s="1"/>
  <c r="N252" i="82"/>
  <c r="N256" i="82" s="1"/>
  <c r="L252" i="82"/>
  <c r="K252" i="82"/>
  <c r="K256" i="82" s="1"/>
  <c r="J252" i="82"/>
  <c r="I252" i="82"/>
  <c r="I256" i="82" s="1"/>
  <c r="G252" i="82"/>
  <c r="G256" i="82" s="1"/>
  <c r="F252" i="82"/>
  <c r="E252" i="82"/>
  <c r="D252" i="82"/>
  <c r="D256" i="82" s="1"/>
  <c r="C252" i="82"/>
  <c r="C256" i="82" s="1"/>
  <c r="M239" i="82"/>
  <c r="M243" i="82" s="1"/>
  <c r="L239" i="82"/>
  <c r="K239" i="82"/>
  <c r="K243" i="82" s="1"/>
  <c r="I239" i="82"/>
  <c r="I243" i="82" s="1"/>
  <c r="H239" i="82"/>
  <c r="H243" i="82" s="1"/>
  <c r="G239" i="82"/>
  <c r="F239" i="82"/>
  <c r="F243" i="82" s="1"/>
  <c r="E239" i="82"/>
  <c r="E243" i="82" s="1"/>
  <c r="D239" i="82"/>
  <c r="C239" i="82"/>
  <c r="C243" i="82" s="1"/>
  <c r="N226" i="82"/>
  <c r="L226" i="82"/>
  <c r="K226" i="82"/>
  <c r="J226" i="82"/>
  <c r="I226" i="82"/>
  <c r="H226" i="82"/>
  <c r="G226" i="82"/>
  <c r="F226" i="82"/>
  <c r="D226" i="82"/>
  <c r="C226" i="82"/>
  <c r="N213" i="82"/>
  <c r="L213" i="82"/>
  <c r="L217" i="82" s="1"/>
  <c r="K213" i="82"/>
  <c r="K217" i="82" s="1"/>
  <c r="J213" i="82"/>
  <c r="J217" i="82" s="1"/>
  <c r="G213" i="82"/>
  <c r="G217" i="82" s="1"/>
  <c r="F213" i="82"/>
  <c r="F217" i="82" s="1"/>
  <c r="E213" i="82"/>
  <c r="E217" i="82" s="1"/>
  <c r="D213" i="82"/>
  <c r="D217" i="82" s="1"/>
  <c r="C213" i="82"/>
  <c r="C217" i="82" s="1"/>
  <c r="A2" i="86"/>
  <c r="B94" i="43"/>
  <c r="B95" i="43"/>
  <c r="B96" i="43"/>
  <c r="B97" i="43"/>
  <c r="B98" i="43"/>
  <c r="B99" i="43"/>
  <c r="B100" i="43"/>
  <c r="B101" i="43"/>
  <c r="B102" i="43"/>
  <c r="B103" i="43"/>
  <c r="B104" i="43"/>
  <c r="B105" i="43"/>
  <c r="B106" i="43"/>
  <c r="B107" i="43"/>
  <c r="B108" i="43"/>
  <c r="B109" i="43"/>
  <c r="B110" i="43"/>
  <c r="B111" i="43"/>
  <c r="B112" i="43"/>
  <c r="B113" i="43"/>
  <c r="B114" i="43"/>
  <c r="B116" i="43"/>
  <c r="B118" i="43"/>
  <c r="B93" i="43"/>
  <c r="B63" i="76"/>
  <c r="B63" i="77"/>
  <c r="B63" i="82"/>
  <c r="B63" i="83"/>
  <c r="B63" i="74"/>
  <c r="B63" i="78"/>
  <c r="B63" i="79"/>
  <c r="B63" i="81"/>
  <c r="B63" i="88"/>
  <c r="B63" i="89"/>
  <c r="B63" i="90"/>
  <c r="B94" i="91"/>
  <c r="B63" i="75"/>
  <c r="B64" i="76"/>
  <c r="B65" i="76"/>
  <c r="B66" i="76"/>
  <c r="B67" i="76"/>
  <c r="B68" i="76"/>
  <c r="B69" i="76"/>
  <c r="B70" i="76"/>
  <c r="B71" i="76"/>
  <c r="B72" i="76"/>
  <c r="B73" i="76"/>
  <c r="B74" i="76"/>
  <c r="B76" i="76"/>
  <c r="B77" i="76"/>
  <c r="B78" i="76"/>
  <c r="B79" i="76"/>
  <c r="B80" i="76"/>
  <c r="B81" i="76"/>
  <c r="B82" i="76"/>
  <c r="B64" i="77"/>
  <c r="B65" i="77"/>
  <c r="B66" i="77"/>
  <c r="B67" i="77"/>
  <c r="B68" i="77"/>
  <c r="B69" i="77"/>
  <c r="B70" i="77"/>
  <c r="B71" i="77"/>
  <c r="B72" i="77"/>
  <c r="B73" i="77"/>
  <c r="B74" i="77"/>
  <c r="B75" i="77"/>
  <c r="B76" i="77"/>
  <c r="B77" i="77"/>
  <c r="B78" i="77"/>
  <c r="B79" i="77"/>
  <c r="B80" i="77"/>
  <c r="B81" i="77"/>
  <c r="B82" i="77"/>
  <c r="B64" i="82"/>
  <c r="B65" i="82"/>
  <c r="B66" i="82"/>
  <c r="B67" i="82"/>
  <c r="B68" i="82"/>
  <c r="B69" i="82"/>
  <c r="B70" i="82"/>
  <c r="B71" i="82"/>
  <c r="B72" i="82"/>
  <c r="B73" i="82"/>
  <c r="B74" i="82"/>
  <c r="B75" i="82"/>
  <c r="B76" i="82"/>
  <c r="B77" i="82"/>
  <c r="B78" i="82"/>
  <c r="B79" i="82"/>
  <c r="B80" i="82"/>
  <c r="B81" i="82"/>
  <c r="B82" i="82"/>
  <c r="B64" i="83"/>
  <c r="B65" i="83"/>
  <c r="B66" i="83"/>
  <c r="B67" i="83"/>
  <c r="B68" i="83"/>
  <c r="B69" i="83"/>
  <c r="B70" i="83"/>
  <c r="B71" i="83"/>
  <c r="B72" i="83"/>
  <c r="B73" i="83"/>
  <c r="B74" i="83"/>
  <c r="B75" i="83"/>
  <c r="B76" i="83"/>
  <c r="B77" i="83"/>
  <c r="B78" i="83"/>
  <c r="B79" i="83"/>
  <c r="B80" i="83"/>
  <c r="B81" i="83"/>
  <c r="B82" i="83"/>
  <c r="B64" i="74"/>
  <c r="B65" i="74"/>
  <c r="B66" i="74"/>
  <c r="B67" i="74"/>
  <c r="B68" i="74"/>
  <c r="B69" i="74"/>
  <c r="B70" i="74"/>
  <c r="B71" i="74"/>
  <c r="B72" i="74"/>
  <c r="B73" i="74"/>
  <c r="B74" i="74"/>
  <c r="B75" i="74"/>
  <c r="B76" i="74"/>
  <c r="B77" i="74"/>
  <c r="B78" i="74"/>
  <c r="B79" i="74"/>
  <c r="B80" i="74"/>
  <c r="B81" i="74"/>
  <c r="B82" i="74"/>
  <c r="B64" i="78"/>
  <c r="B65" i="78"/>
  <c r="B66" i="78"/>
  <c r="B67" i="78"/>
  <c r="B68" i="78"/>
  <c r="B69" i="78"/>
  <c r="B70" i="78"/>
  <c r="B71" i="78"/>
  <c r="B72" i="78"/>
  <c r="B73" i="78"/>
  <c r="B74" i="78"/>
  <c r="B75" i="78"/>
  <c r="B76" i="78"/>
  <c r="B77" i="78"/>
  <c r="B78" i="78"/>
  <c r="B79" i="78"/>
  <c r="B80" i="78"/>
  <c r="B81" i="78"/>
  <c r="B82" i="78"/>
  <c r="B64" i="79"/>
  <c r="B65" i="79"/>
  <c r="B66" i="79"/>
  <c r="B67" i="79"/>
  <c r="B68" i="79"/>
  <c r="B69" i="79"/>
  <c r="B70" i="79"/>
  <c r="B71" i="79"/>
  <c r="B72" i="79"/>
  <c r="B73" i="79"/>
  <c r="B74" i="79"/>
  <c r="B75" i="79"/>
  <c r="B76" i="79"/>
  <c r="B77" i="79"/>
  <c r="B78" i="79"/>
  <c r="B79" i="79"/>
  <c r="B80" i="79"/>
  <c r="B81" i="79"/>
  <c r="B82" i="79"/>
  <c r="B64" i="81"/>
  <c r="B65" i="81"/>
  <c r="B66" i="81"/>
  <c r="B67" i="81"/>
  <c r="B68" i="81"/>
  <c r="B69" i="81"/>
  <c r="B70" i="81"/>
  <c r="B71" i="81"/>
  <c r="B72" i="81"/>
  <c r="B73" i="81"/>
  <c r="B74" i="81"/>
  <c r="B75" i="81"/>
  <c r="B76" i="81"/>
  <c r="B77" i="81"/>
  <c r="B78" i="81"/>
  <c r="B79" i="81"/>
  <c r="B80" i="81"/>
  <c r="B81" i="81"/>
  <c r="B82" i="81"/>
  <c r="B64" i="88"/>
  <c r="B65" i="88"/>
  <c r="B66" i="88"/>
  <c r="B67" i="88"/>
  <c r="B68" i="88"/>
  <c r="B69" i="88"/>
  <c r="B70" i="88"/>
  <c r="B71" i="88"/>
  <c r="B72" i="88"/>
  <c r="B73" i="88"/>
  <c r="B74" i="88"/>
  <c r="B75" i="88"/>
  <c r="B76" i="88"/>
  <c r="B77" i="88"/>
  <c r="B78" i="88"/>
  <c r="B79" i="88"/>
  <c r="B80" i="88"/>
  <c r="B81" i="88"/>
  <c r="B82" i="88"/>
  <c r="B64" i="89"/>
  <c r="B65" i="89"/>
  <c r="B66" i="89"/>
  <c r="B67" i="89"/>
  <c r="B68" i="89"/>
  <c r="B69" i="89"/>
  <c r="B70" i="89"/>
  <c r="B71" i="89"/>
  <c r="B72" i="89"/>
  <c r="B73" i="89"/>
  <c r="B74" i="89"/>
  <c r="B75" i="89"/>
  <c r="B76" i="89"/>
  <c r="B77" i="89"/>
  <c r="B78" i="89"/>
  <c r="B79" i="89"/>
  <c r="B80" i="89"/>
  <c r="B81" i="89"/>
  <c r="B82" i="89"/>
  <c r="B64" i="90"/>
  <c r="B65" i="90"/>
  <c r="B66" i="90"/>
  <c r="B67" i="90"/>
  <c r="B68" i="90"/>
  <c r="B69" i="90"/>
  <c r="B70" i="90"/>
  <c r="B71" i="90"/>
  <c r="B72" i="90"/>
  <c r="B73" i="90"/>
  <c r="B74" i="90"/>
  <c r="B75" i="90"/>
  <c r="B76" i="90"/>
  <c r="B77" i="90"/>
  <c r="B78" i="90"/>
  <c r="B79" i="90"/>
  <c r="B80" i="90"/>
  <c r="B81" i="90"/>
  <c r="B82" i="90"/>
  <c r="B95" i="91"/>
  <c r="B96" i="91"/>
  <c r="B97" i="91"/>
  <c r="B98" i="91"/>
  <c r="B99" i="91"/>
  <c r="B100" i="91"/>
  <c r="B101" i="91"/>
  <c r="B102" i="91"/>
  <c r="B103" i="91"/>
  <c r="B104" i="91"/>
  <c r="B105" i="91"/>
  <c r="B106" i="91"/>
  <c r="B107" i="91"/>
  <c r="B108" i="91"/>
  <c r="B109" i="91"/>
  <c r="B110" i="91"/>
  <c r="B111" i="91"/>
  <c r="B112" i="91"/>
  <c r="B113" i="91"/>
  <c r="B64" i="75"/>
  <c r="B65" i="75"/>
  <c r="B66" i="75"/>
  <c r="B67" i="75"/>
  <c r="B68" i="75"/>
  <c r="B69" i="75"/>
  <c r="B70" i="75"/>
  <c r="B71" i="75"/>
  <c r="B72" i="75"/>
  <c r="B73" i="75"/>
  <c r="B74" i="75"/>
  <c r="B75" i="75"/>
  <c r="B76" i="75"/>
  <c r="B77" i="75"/>
  <c r="B78" i="75"/>
  <c r="B79" i="75"/>
  <c r="B80" i="75"/>
  <c r="B81" i="75"/>
  <c r="B82" i="75"/>
  <c r="A58" i="76"/>
  <c r="A59" i="76"/>
  <c r="A60" i="76"/>
  <c r="A61" i="76"/>
  <c r="A62" i="76"/>
  <c r="A63" i="76"/>
  <c r="A64" i="76"/>
  <c r="A65" i="76"/>
  <c r="A66" i="76"/>
  <c r="A67" i="76"/>
  <c r="A68" i="76"/>
  <c r="A69" i="76"/>
  <c r="A70" i="76"/>
  <c r="A71" i="76"/>
  <c r="A72" i="76"/>
  <c r="A73" i="76"/>
  <c r="A74" i="76"/>
  <c r="A75" i="76"/>
  <c r="A76" i="76"/>
  <c r="A77" i="76"/>
  <c r="A78" i="76"/>
  <c r="A79" i="76"/>
  <c r="A80" i="76"/>
  <c r="A81" i="76"/>
  <c r="A82" i="76"/>
  <c r="A58" i="77"/>
  <c r="A59" i="77"/>
  <c r="A60" i="77"/>
  <c r="A61" i="77"/>
  <c r="A62" i="77"/>
  <c r="A63" i="77"/>
  <c r="A64" i="77"/>
  <c r="A65" i="77"/>
  <c r="A66" i="77"/>
  <c r="A67" i="77"/>
  <c r="A68" i="77"/>
  <c r="A69" i="77"/>
  <c r="A70" i="77"/>
  <c r="A71" i="77"/>
  <c r="A72" i="77"/>
  <c r="A73" i="77"/>
  <c r="A74" i="77"/>
  <c r="A75" i="77"/>
  <c r="A76" i="77"/>
  <c r="A77" i="77"/>
  <c r="A78" i="77"/>
  <c r="A79" i="77"/>
  <c r="A80" i="77"/>
  <c r="A81" i="77"/>
  <c r="A82" i="77"/>
  <c r="A58" i="82"/>
  <c r="A59" i="82"/>
  <c r="A60" i="82"/>
  <c r="A61" i="82"/>
  <c r="A62" i="82"/>
  <c r="A63" i="82"/>
  <c r="A64" i="82"/>
  <c r="A65" i="82"/>
  <c r="A66" i="82"/>
  <c r="A67" i="82"/>
  <c r="A68" i="82"/>
  <c r="A69" i="82"/>
  <c r="A71" i="82"/>
  <c r="A72" i="82"/>
  <c r="A73" i="82"/>
  <c r="A74" i="82"/>
  <c r="A75" i="82"/>
  <c r="A76" i="82"/>
  <c r="A77" i="82"/>
  <c r="A78" i="82"/>
  <c r="A79" i="82"/>
  <c r="A80" i="82"/>
  <c r="A81" i="82"/>
  <c r="A58" i="83"/>
  <c r="A59" i="83"/>
  <c r="A60" i="83"/>
  <c r="A61" i="83"/>
  <c r="A62" i="83"/>
  <c r="A63" i="83"/>
  <c r="A64" i="83"/>
  <c r="A65" i="83"/>
  <c r="A66" i="83"/>
  <c r="A67" i="83"/>
  <c r="A68" i="83"/>
  <c r="A69" i="83"/>
  <c r="A70" i="83"/>
  <c r="A71" i="83"/>
  <c r="A72" i="83"/>
  <c r="A73" i="83"/>
  <c r="A74" i="83"/>
  <c r="A75" i="83"/>
  <c r="A76" i="83"/>
  <c r="A77" i="83"/>
  <c r="A78" i="83"/>
  <c r="A79" i="83"/>
  <c r="A80" i="83"/>
  <c r="A81" i="83"/>
  <c r="A82" i="83"/>
  <c r="A58" i="74"/>
  <c r="A59" i="74"/>
  <c r="A60" i="74"/>
  <c r="A61" i="74"/>
  <c r="A62" i="74"/>
  <c r="A63" i="74"/>
  <c r="A64" i="74"/>
  <c r="A65" i="74"/>
  <c r="A66" i="74"/>
  <c r="A67" i="74"/>
  <c r="A68" i="74"/>
  <c r="A69" i="74"/>
  <c r="A70" i="74"/>
  <c r="A71" i="74"/>
  <c r="A72" i="74"/>
  <c r="A73" i="74"/>
  <c r="A74" i="74"/>
  <c r="A75" i="74"/>
  <c r="A76" i="74"/>
  <c r="A77" i="74"/>
  <c r="A78" i="74"/>
  <c r="A79" i="74"/>
  <c r="A80" i="74"/>
  <c r="A82" i="74"/>
  <c r="A58" i="78"/>
  <c r="A59" i="78"/>
  <c r="A60" i="78"/>
  <c r="A61" i="78"/>
  <c r="A62" i="78"/>
  <c r="A63" i="78"/>
  <c r="A64" i="78"/>
  <c r="A65" i="78"/>
  <c r="A66" i="78"/>
  <c r="A67" i="78"/>
  <c r="A68" i="78"/>
  <c r="A69" i="78"/>
  <c r="A70" i="78"/>
  <c r="A71" i="78"/>
  <c r="A72" i="78"/>
  <c r="A73" i="78"/>
  <c r="A74" i="78"/>
  <c r="A75" i="78"/>
  <c r="A76" i="78"/>
  <c r="A77" i="78"/>
  <c r="A78" i="78"/>
  <c r="A79" i="78"/>
  <c r="A80" i="78"/>
  <c r="A58" i="79"/>
  <c r="A59" i="79"/>
  <c r="A60" i="79"/>
  <c r="A61" i="79"/>
  <c r="A62" i="79"/>
  <c r="A63" i="79"/>
  <c r="A64" i="79"/>
  <c r="A65" i="79"/>
  <c r="A66" i="79"/>
  <c r="A67" i="79"/>
  <c r="A68" i="79"/>
  <c r="A69" i="79"/>
  <c r="A70" i="79"/>
  <c r="A71" i="79"/>
  <c r="A72" i="79"/>
  <c r="A73" i="79"/>
  <c r="A74" i="79"/>
  <c r="A75" i="79"/>
  <c r="A76" i="79"/>
  <c r="A77" i="79"/>
  <c r="A78" i="79"/>
  <c r="A79" i="79"/>
  <c r="A80" i="79"/>
  <c r="A82" i="79"/>
  <c r="A58" i="81"/>
  <c r="A59" i="81"/>
  <c r="A60" i="81"/>
  <c r="A61" i="81"/>
  <c r="A62" i="81"/>
  <c r="A63" i="81"/>
  <c r="A64" i="81"/>
  <c r="A65" i="81"/>
  <c r="A66" i="81"/>
  <c r="A67" i="81"/>
  <c r="A68" i="81"/>
  <c r="A69" i="81"/>
  <c r="A70" i="81"/>
  <c r="A71" i="81"/>
  <c r="A72" i="81"/>
  <c r="A73" i="81"/>
  <c r="A74" i="81"/>
  <c r="A75" i="81"/>
  <c r="A76" i="81"/>
  <c r="A77" i="81"/>
  <c r="A78" i="81"/>
  <c r="A79" i="81"/>
  <c r="A80" i="81"/>
  <c r="A82" i="81"/>
  <c r="A58" i="88"/>
  <c r="A59" i="88"/>
  <c r="A60" i="88"/>
  <c r="A61" i="88"/>
  <c r="A62" i="88"/>
  <c r="A63" i="88"/>
  <c r="A64" i="88"/>
  <c r="A65" i="88"/>
  <c r="A66" i="88"/>
  <c r="A67" i="88"/>
  <c r="A68" i="88"/>
  <c r="A69" i="88"/>
  <c r="A70" i="88"/>
  <c r="A71" i="88"/>
  <c r="A72" i="88"/>
  <c r="A73" i="88"/>
  <c r="A74" i="88"/>
  <c r="A75" i="88"/>
  <c r="A76" i="88"/>
  <c r="A77" i="88"/>
  <c r="A78" i="88"/>
  <c r="A79" i="88"/>
  <c r="A80" i="88"/>
  <c r="A81" i="88"/>
  <c r="A82" i="88"/>
  <c r="A58" i="89"/>
  <c r="A59" i="89"/>
  <c r="A60" i="89"/>
  <c r="A61" i="89"/>
  <c r="A62" i="89"/>
  <c r="A63" i="89"/>
  <c r="A64" i="89"/>
  <c r="A65" i="89"/>
  <c r="A66" i="89"/>
  <c r="A67" i="89"/>
  <c r="A68" i="89"/>
  <c r="A69" i="89"/>
  <c r="A70" i="89"/>
  <c r="A71" i="89"/>
  <c r="A72" i="89"/>
  <c r="A73" i="89"/>
  <c r="A74" i="89"/>
  <c r="A75" i="89"/>
  <c r="A76" i="89"/>
  <c r="A77" i="89"/>
  <c r="A78" i="89"/>
  <c r="A79" i="89"/>
  <c r="A80" i="89"/>
  <c r="A81" i="89"/>
  <c r="A82" i="89"/>
  <c r="A58" i="90"/>
  <c r="A59" i="90"/>
  <c r="A60" i="90"/>
  <c r="A61" i="90"/>
  <c r="A62" i="90"/>
  <c r="A63" i="90"/>
  <c r="A64" i="90"/>
  <c r="A65" i="90"/>
  <c r="A66" i="90"/>
  <c r="A67" i="90"/>
  <c r="A68" i="90"/>
  <c r="A69" i="90"/>
  <c r="A70" i="90"/>
  <c r="A71" i="90"/>
  <c r="A72" i="90"/>
  <c r="A73" i="90"/>
  <c r="A74" i="90"/>
  <c r="A75" i="90"/>
  <c r="A76" i="90"/>
  <c r="A77" i="90"/>
  <c r="A78" i="90"/>
  <c r="A79" i="90"/>
  <c r="A80" i="90"/>
  <c r="A81" i="90"/>
  <c r="A82" i="90"/>
  <c r="A89" i="91"/>
  <c r="A90" i="91"/>
  <c r="A91" i="91"/>
  <c r="A92" i="91"/>
  <c r="A93" i="91"/>
  <c r="A94" i="91"/>
  <c r="A95" i="91"/>
  <c r="A96" i="91"/>
  <c r="A97" i="91"/>
  <c r="A98" i="91"/>
  <c r="A99" i="91"/>
  <c r="A100" i="91"/>
  <c r="A101" i="91"/>
  <c r="A102" i="91"/>
  <c r="A103" i="91"/>
  <c r="A104" i="91"/>
  <c r="A105" i="91"/>
  <c r="A106" i="91"/>
  <c r="A107" i="91"/>
  <c r="A108" i="91"/>
  <c r="A109" i="91"/>
  <c r="A110" i="91"/>
  <c r="A111" i="91"/>
  <c r="A112" i="91"/>
  <c r="A113" i="91"/>
  <c r="A58" i="75"/>
  <c r="A59" i="75"/>
  <c r="A60" i="75"/>
  <c r="A61" i="75"/>
  <c r="A62" i="75"/>
  <c r="A63" i="75"/>
  <c r="A64" i="75"/>
  <c r="A65" i="75"/>
  <c r="A66" i="75"/>
  <c r="A67" i="75"/>
  <c r="A68" i="75"/>
  <c r="A70" i="75"/>
  <c r="A71" i="75"/>
  <c r="A72" i="75"/>
  <c r="A73" i="75"/>
  <c r="A74" i="75"/>
  <c r="A75" i="75"/>
  <c r="A76" i="75"/>
  <c r="A77" i="75"/>
  <c r="A78" i="75"/>
  <c r="A79" i="75"/>
  <c r="A80" i="75"/>
  <c r="A81" i="75"/>
  <c r="A57" i="76"/>
  <c r="A57" i="77"/>
  <c r="A57" i="82"/>
  <c r="A57" i="83"/>
  <c r="A57" i="74"/>
  <c r="A57" i="78"/>
  <c r="A57" i="79"/>
  <c r="A57" i="81"/>
  <c r="A57" i="88"/>
  <c r="A57" i="89"/>
  <c r="A57" i="90"/>
  <c r="A88" i="91"/>
  <c r="A57" i="75"/>
  <c r="B72" i="1"/>
  <c r="B73" i="1"/>
  <c r="B74" i="1"/>
  <c r="I253" i="82"/>
  <c r="N447" i="82"/>
  <c r="N449" i="82" s="1"/>
  <c r="D214" i="82"/>
  <c r="C280" i="82"/>
  <c r="D279" i="82" s="1"/>
  <c r="D284" i="82" s="1"/>
  <c r="K214" i="82"/>
  <c r="C253" i="82"/>
  <c r="D305" i="82"/>
  <c r="D306" i="82" s="1"/>
  <c r="G292" i="82"/>
  <c r="G297" i="82" s="1"/>
  <c r="J214" i="82"/>
  <c r="M318" i="82"/>
  <c r="G318" i="82"/>
  <c r="I344" i="82"/>
  <c r="I346" i="82" s="1"/>
  <c r="N434" i="82"/>
  <c r="C281" i="82"/>
  <c r="O56" i="43"/>
  <c r="Q56" i="43" s="1"/>
  <c r="C22" i="46"/>
  <c r="C98" i="46" s="1"/>
  <c r="C72" i="46" s="1"/>
  <c r="C54" i="46" s="1"/>
  <c r="C80" i="46" s="1"/>
  <c r="C106" i="46" s="1"/>
  <c r="C125" i="46" s="1"/>
  <c r="D22" i="46"/>
  <c r="D98" i="46" s="1"/>
  <c r="D72" i="46" s="1"/>
  <c r="D54" i="46" s="1"/>
  <c r="D80" i="46" s="1"/>
  <c r="D106" i="46" s="1"/>
  <c r="D125" i="46" s="1"/>
  <c r="B22" i="46"/>
  <c r="B98" i="46" s="1"/>
  <c r="B72" i="46" s="1"/>
  <c r="B54" i="46" s="1"/>
  <c r="B80" i="46" s="1"/>
  <c r="B106" i="46" s="1"/>
  <c r="B125" i="46" s="1"/>
  <c r="C14" i="46"/>
  <c r="D14" i="46"/>
  <c r="B14" i="46"/>
  <c r="A64" i="46"/>
  <c r="A150" i="46"/>
  <c r="A141" i="46"/>
  <c r="A30" i="46"/>
  <c r="A125" i="46"/>
  <c r="A106" i="46"/>
  <c r="A10" i="53"/>
  <c r="A19" i="53"/>
  <c r="A39" i="53" s="1"/>
  <c r="A62" i="53" s="1"/>
  <c r="A21" i="53"/>
  <c r="N244" i="91"/>
  <c r="M244" i="91"/>
  <c r="M248" i="91" s="1"/>
  <c r="L244" i="91"/>
  <c r="K244" i="91"/>
  <c r="J244" i="91"/>
  <c r="J248" i="91" s="1"/>
  <c r="I244" i="91"/>
  <c r="I245" i="91" s="1"/>
  <c r="I250" i="91" s="1"/>
  <c r="H244" i="91"/>
  <c r="G244" i="91"/>
  <c r="G248" i="91" s="1"/>
  <c r="F244" i="91"/>
  <c r="E244" i="91"/>
  <c r="E248" i="91" s="1"/>
  <c r="D244" i="91"/>
  <c r="D248" i="91" s="1"/>
  <c r="C244" i="91"/>
  <c r="N231" i="91"/>
  <c r="M231" i="91"/>
  <c r="M232" i="91" s="1"/>
  <c r="L231" i="91"/>
  <c r="L235" i="91" s="1"/>
  <c r="K231" i="91"/>
  <c r="K235" i="91" s="1"/>
  <c r="J231" i="91"/>
  <c r="I231" i="91"/>
  <c r="I235" i="91" s="1"/>
  <c r="H231" i="91"/>
  <c r="G231" i="91"/>
  <c r="F231" i="91"/>
  <c r="F235" i="91" s="1"/>
  <c r="E231" i="91"/>
  <c r="E235" i="91" s="1"/>
  <c r="D231" i="91"/>
  <c r="C231" i="91"/>
  <c r="C235" i="91" s="1"/>
  <c r="N218" i="91"/>
  <c r="M218" i="91"/>
  <c r="M222" i="91" s="1"/>
  <c r="L218" i="91"/>
  <c r="L222" i="91" s="1"/>
  <c r="K218" i="91"/>
  <c r="K222" i="91" s="1"/>
  <c r="J218" i="91"/>
  <c r="I218" i="91"/>
  <c r="H218" i="91"/>
  <c r="G218" i="91"/>
  <c r="G222" i="91" s="1"/>
  <c r="F218" i="91"/>
  <c r="E218" i="91"/>
  <c r="E222" i="91" s="1"/>
  <c r="D218" i="91"/>
  <c r="C218" i="91"/>
  <c r="N205" i="91"/>
  <c r="M205" i="91"/>
  <c r="M206" i="91"/>
  <c r="M211" i="91" s="1"/>
  <c r="L205" i="91"/>
  <c r="K205" i="91"/>
  <c r="K209" i="91" s="1"/>
  <c r="J205" i="91"/>
  <c r="I205" i="91"/>
  <c r="I206" i="91" s="1"/>
  <c r="I211" i="91" s="1"/>
  <c r="H205" i="91"/>
  <c r="G205" i="91"/>
  <c r="G209" i="91" s="1"/>
  <c r="F205" i="91"/>
  <c r="E205" i="91"/>
  <c r="E209" i="91" s="1"/>
  <c r="D205" i="91"/>
  <c r="C205" i="91"/>
  <c r="C206" i="91" s="1"/>
  <c r="C211" i="91" s="1"/>
  <c r="N192" i="91"/>
  <c r="M192" i="91"/>
  <c r="M196" i="91" s="1"/>
  <c r="L192" i="91"/>
  <c r="L196" i="91" s="1"/>
  <c r="K192" i="91"/>
  <c r="J192" i="91"/>
  <c r="J196" i="91" s="1"/>
  <c r="I192" i="91"/>
  <c r="I193" i="91" s="1"/>
  <c r="I198" i="91" s="1"/>
  <c r="H192" i="91"/>
  <c r="G192" i="91"/>
  <c r="G193" i="91" s="1"/>
  <c r="G198" i="91" s="1"/>
  <c r="F192" i="91"/>
  <c r="F196" i="91" s="1"/>
  <c r="E192" i="91"/>
  <c r="E193" i="91" s="1"/>
  <c r="E198" i="91" s="1"/>
  <c r="D192" i="91"/>
  <c r="C192" i="91"/>
  <c r="C196" i="91" s="1"/>
  <c r="I179" i="91"/>
  <c r="I180" i="91" s="1"/>
  <c r="I182" i="91" s="1"/>
  <c r="N179" i="91"/>
  <c r="M179" i="91"/>
  <c r="L179" i="91"/>
  <c r="L183" i="91" s="1"/>
  <c r="K179" i="91"/>
  <c r="K183" i="91" s="1"/>
  <c r="J179" i="91"/>
  <c r="H179" i="91"/>
  <c r="G179" i="91"/>
  <c r="G183" i="91" s="1"/>
  <c r="F179" i="91"/>
  <c r="E179" i="91"/>
  <c r="D179" i="91"/>
  <c r="C179" i="91"/>
  <c r="N166" i="91"/>
  <c r="N170" i="91" s="1"/>
  <c r="M166" i="91"/>
  <c r="M170" i="91" s="1"/>
  <c r="L166" i="91"/>
  <c r="K166" i="91"/>
  <c r="J166" i="91"/>
  <c r="I166" i="91"/>
  <c r="H166" i="91"/>
  <c r="H170" i="91" s="1"/>
  <c r="G166" i="91"/>
  <c r="F166" i="91"/>
  <c r="F170" i="91" s="1"/>
  <c r="E166" i="91"/>
  <c r="D166" i="91"/>
  <c r="D170" i="91" s="1"/>
  <c r="C166" i="91"/>
  <c r="N153" i="91"/>
  <c r="M153" i="91"/>
  <c r="M157" i="91" s="1"/>
  <c r="L153" i="91"/>
  <c r="K153" i="91"/>
  <c r="K157" i="91" s="1"/>
  <c r="J153" i="91"/>
  <c r="J157" i="91" s="1"/>
  <c r="I153" i="91"/>
  <c r="H153" i="91"/>
  <c r="H157" i="91" s="1"/>
  <c r="G153" i="91"/>
  <c r="G157" i="91" s="1"/>
  <c r="F153" i="91"/>
  <c r="E153" i="91"/>
  <c r="D153" i="91"/>
  <c r="D157" i="91" s="1"/>
  <c r="C153" i="91"/>
  <c r="N151" i="91"/>
  <c r="N164" i="91" s="1"/>
  <c r="N177" i="91" s="1"/>
  <c r="N190" i="91" s="1"/>
  <c r="N203" i="91" s="1"/>
  <c r="N216" i="91" s="1"/>
  <c r="N229" i="91" s="1"/>
  <c r="N242" i="91" s="1"/>
  <c r="M151" i="91"/>
  <c r="M164" i="91" s="1"/>
  <c r="M177" i="91" s="1"/>
  <c r="M190" i="91" s="1"/>
  <c r="M203" i="91" s="1"/>
  <c r="M216" i="91" s="1"/>
  <c r="M229" i="91" s="1"/>
  <c r="M242" i="91" s="1"/>
  <c r="L151" i="91"/>
  <c r="L164" i="91" s="1"/>
  <c r="L177" i="91" s="1"/>
  <c r="L190" i="91" s="1"/>
  <c r="L203" i="91" s="1"/>
  <c r="L216" i="91" s="1"/>
  <c r="L229" i="91" s="1"/>
  <c r="L242" i="91" s="1"/>
  <c r="K151" i="91"/>
  <c r="K164" i="91" s="1"/>
  <c r="K177" i="91" s="1"/>
  <c r="K190" i="91" s="1"/>
  <c r="K203" i="91" s="1"/>
  <c r="K216" i="91" s="1"/>
  <c r="K229" i="91" s="1"/>
  <c r="K242" i="91" s="1"/>
  <c r="J151" i="91"/>
  <c r="J164" i="91" s="1"/>
  <c r="J177" i="91" s="1"/>
  <c r="J190" i="91" s="1"/>
  <c r="J203" i="91" s="1"/>
  <c r="J216" i="91" s="1"/>
  <c r="J229" i="91" s="1"/>
  <c r="J242" i="91" s="1"/>
  <c r="I151" i="91"/>
  <c r="I164" i="91" s="1"/>
  <c r="I177" i="91" s="1"/>
  <c r="I190" i="91" s="1"/>
  <c r="I203" i="91" s="1"/>
  <c r="I216" i="91" s="1"/>
  <c r="I229" i="91" s="1"/>
  <c r="I242" i="91" s="1"/>
  <c r="H151" i="91"/>
  <c r="H164" i="91" s="1"/>
  <c r="H177" i="91" s="1"/>
  <c r="H190" i="91" s="1"/>
  <c r="H203" i="91" s="1"/>
  <c r="H216" i="91" s="1"/>
  <c r="H229" i="91" s="1"/>
  <c r="H242" i="91" s="1"/>
  <c r="G151" i="91"/>
  <c r="G164" i="91" s="1"/>
  <c r="G177" i="91" s="1"/>
  <c r="G190" i="91" s="1"/>
  <c r="G203" i="91" s="1"/>
  <c r="G216" i="91" s="1"/>
  <c r="G229" i="91" s="1"/>
  <c r="G242" i="91" s="1"/>
  <c r="F151" i="91"/>
  <c r="F164" i="91" s="1"/>
  <c r="F177" i="91" s="1"/>
  <c r="F190" i="91" s="1"/>
  <c r="F203" i="91" s="1"/>
  <c r="F216" i="91" s="1"/>
  <c r="F229" i="91" s="1"/>
  <c r="F242" i="91" s="1"/>
  <c r="E151" i="91"/>
  <c r="E164" i="91" s="1"/>
  <c r="E177" i="91" s="1"/>
  <c r="E190" i="91" s="1"/>
  <c r="E203" i="91" s="1"/>
  <c r="E216" i="91" s="1"/>
  <c r="E229" i="91" s="1"/>
  <c r="E242" i="91" s="1"/>
  <c r="D151" i="91"/>
  <c r="D164" i="91" s="1"/>
  <c r="D177" i="91" s="1"/>
  <c r="D190" i="91" s="1"/>
  <c r="D203" i="91" s="1"/>
  <c r="D216" i="91" s="1"/>
  <c r="D229" i="91" s="1"/>
  <c r="D242" i="91" s="1"/>
  <c r="N150" i="91"/>
  <c r="N163" i="91" s="1"/>
  <c r="N176" i="91" s="1"/>
  <c r="N189" i="91" s="1"/>
  <c r="N202" i="91" s="1"/>
  <c r="N215" i="91" s="1"/>
  <c r="N228" i="91" s="1"/>
  <c r="N241" i="91" s="1"/>
  <c r="M150" i="91"/>
  <c r="M163" i="91" s="1"/>
  <c r="M176" i="91" s="1"/>
  <c r="M189" i="91" s="1"/>
  <c r="M202" i="91" s="1"/>
  <c r="M215" i="91" s="1"/>
  <c r="M228" i="91" s="1"/>
  <c r="M241" i="91" s="1"/>
  <c r="L150" i="91"/>
  <c r="L163" i="91" s="1"/>
  <c r="L176" i="91" s="1"/>
  <c r="L189" i="91" s="1"/>
  <c r="L202" i="91" s="1"/>
  <c r="L215" i="91" s="1"/>
  <c r="L228" i="91" s="1"/>
  <c r="L241" i="91" s="1"/>
  <c r="K150" i="91"/>
  <c r="K163" i="91" s="1"/>
  <c r="K176" i="91" s="1"/>
  <c r="K189" i="91" s="1"/>
  <c r="K202" i="91" s="1"/>
  <c r="K215" i="91" s="1"/>
  <c r="K228" i="91" s="1"/>
  <c r="K241" i="91" s="1"/>
  <c r="J150" i="91"/>
  <c r="J163" i="91" s="1"/>
  <c r="J176" i="91" s="1"/>
  <c r="J189" i="91" s="1"/>
  <c r="J202" i="91" s="1"/>
  <c r="J215" i="91" s="1"/>
  <c r="J228" i="91" s="1"/>
  <c r="J241" i="91" s="1"/>
  <c r="I150" i="91"/>
  <c r="I163" i="91" s="1"/>
  <c r="I176" i="91" s="1"/>
  <c r="I189" i="91" s="1"/>
  <c r="I202" i="91" s="1"/>
  <c r="I215" i="91" s="1"/>
  <c r="I228" i="91" s="1"/>
  <c r="I241" i="91" s="1"/>
  <c r="H150" i="91"/>
  <c r="H163" i="91" s="1"/>
  <c r="H176" i="91" s="1"/>
  <c r="H189" i="91" s="1"/>
  <c r="H202" i="91" s="1"/>
  <c r="H215" i="91" s="1"/>
  <c r="H228" i="91" s="1"/>
  <c r="H241" i="91" s="1"/>
  <c r="G150" i="91"/>
  <c r="G163" i="91" s="1"/>
  <c r="G176" i="91" s="1"/>
  <c r="G189" i="91" s="1"/>
  <c r="G202" i="91" s="1"/>
  <c r="G215" i="91" s="1"/>
  <c r="G228" i="91" s="1"/>
  <c r="G241" i="91" s="1"/>
  <c r="F150" i="91"/>
  <c r="F163" i="91" s="1"/>
  <c r="F176" i="91" s="1"/>
  <c r="F189" i="91" s="1"/>
  <c r="F202" i="91" s="1"/>
  <c r="F215" i="91" s="1"/>
  <c r="F228" i="91" s="1"/>
  <c r="F241" i="91" s="1"/>
  <c r="E150" i="91"/>
  <c r="E163" i="91" s="1"/>
  <c r="E176" i="91" s="1"/>
  <c r="E189" i="91" s="1"/>
  <c r="E202" i="91" s="1"/>
  <c r="E215" i="91" s="1"/>
  <c r="E228" i="91" s="1"/>
  <c r="E241" i="91" s="1"/>
  <c r="D150" i="91"/>
  <c r="D163" i="91" s="1"/>
  <c r="D176" i="91" s="1"/>
  <c r="D189" i="91" s="1"/>
  <c r="D202" i="91" s="1"/>
  <c r="D215" i="91" s="1"/>
  <c r="D228" i="91" s="1"/>
  <c r="D241" i="91" s="1"/>
  <c r="C150" i="91"/>
  <c r="C163" i="91" s="1"/>
  <c r="C176" i="91" s="1"/>
  <c r="C189" i="91" s="1"/>
  <c r="C202" i="91" s="1"/>
  <c r="C215" i="91" s="1"/>
  <c r="C228" i="91" s="1"/>
  <c r="C241" i="91" s="1"/>
  <c r="N140" i="91"/>
  <c r="N144" i="91" s="1"/>
  <c r="M140" i="91"/>
  <c r="M144" i="91" s="1"/>
  <c r="L140" i="91"/>
  <c r="K140" i="91"/>
  <c r="K144" i="91" s="1"/>
  <c r="J140" i="91"/>
  <c r="I140" i="91"/>
  <c r="I144" i="91" s="1"/>
  <c r="H140" i="91"/>
  <c r="H144" i="91" s="1"/>
  <c r="G140" i="91"/>
  <c r="G144" i="91" s="1"/>
  <c r="F140" i="91"/>
  <c r="F144" i="91" s="1"/>
  <c r="E140" i="91"/>
  <c r="D140" i="91"/>
  <c r="D144" i="91" s="1"/>
  <c r="C140" i="91"/>
  <c r="C138" i="91"/>
  <c r="C151" i="91" s="1"/>
  <c r="C164" i="91" s="1"/>
  <c r="C177" i="91" s="1"/>
  <c r="C190" i="91" s="1"/>
  <c r="C203" i="91" s="1"/>
  <c r="C216" i="91" s="1"/>
  <c r="C229" i="91" s="1"/>
  <c r="C242" i="91" s="1"/>
  <c r="N133" i="91"/>
  <c r="M15" i="53" s="1"/>
  <c r="M133" i="91"/>
  <c r="L133" i="91"/>
  <c r="K133" i="91"/>
  <c r="J133" i="91"/>
  <c r="I15" i="53" s="1"/>
  <c r="I133" i="91"/>
  <c r="H133" i="91"/>
  <c r="G15" i="53" s="1"/>
  <c r="G133" i="91"/>
  <c r="F133" i="91"/>
  <c r="E15" i="53" s="1"/>
  <c r="E133" i="91"/>
  <c r="D133" i="91"/>
  <c r="C15" i="53" s="1"/>
  <c r="C133" i="91"/>
  <c r="B15" i="53" s="1"/>
  <c r="B125" i="91"/>
  <c r="B120" i="91"/>
  <c r="B119" i="91"/>
  <c r="B92" i="91"/>
  <c r="B91" i="91"/>
  <c r="B90" i="91"/>
  <c r="B89" i="91"/>
  <c r="B88" i="91"/>
  <c r="B76" i="91"/>
  <c r="B75" i="91"/>
  <c r="B74" i="91"/>
  <c r="B73" i="91"/>
  <c r="B72" i="91"/>
  <c r="B71" i="91"/>
  <c r="B70" i="91"/>
  <c r="B69" i="91"/>
  <c r="B68" i="91"/>
  <c r="B67" i="91"/>
  <c r="B66" i="91"/>
  <c r="B65" i="91"/>
  <c r="B64" i="91"/>
  <c r="B63" i="91"/>
  <c r="B62" i="91"/>
  <c r="B61" i="91"/>
  <c r="B60" i="91"/>
  <c r="B59" i="91"/>
  <c r="B58" i="91"/>
  <c r="B57" i="91"/>
  <c r="B56" i="91"/>
  <c r="B55" i="91"/>
  <c r="B54" i="91"/>
  <c r="B53" i="91"/>
  <c r="B52" i="91"/>
  <c r="B51" i="91"/>
  <c r="B50" i="91"/>
  <c r="B49" i="91"/>
  <c r="B48" i="91"/>
  <c r="B47" i="91"/>
  <c r="B46" i="91"/>
  <c r="B45" i="91"/>
  <c r="B44" i="91"/>
  <c r="B43" i="91"/>
  <c r="B42" i="91"/>
  <c r="B41" i="91"/>
  <c r="N5" i="91"/>
  <c r="N136" i="91" s="1"/>
  <c r="N149" i="91" s="1"/>
  <c r="N162" i="91" s="1"/>
  <c r="N175" i="91" s="1"/>
  <c r="N188" i="91" s="1"/>
  <c r="N201" i="91" s="1"/>
  <c r="N214" i="91" s="1"/>
  <c r="N227" i="91" s="1"/>
  <c r="N240" i="91" s="1"/>
  <c r="M5" i="91"/>
  <c r="M136" i="91" s="1"/>
  <c r="M149" i="91" s="1"/>
  <c r="M162" i="91" s="1"/>
  <c r="M175" i="91" s="1"/>
  <c r="M188" i="91" s="1"/>
  <c r="M201" i="91" s="1"/>
  <c r="M214" i="91" s="1"/>
  <c r="M227" i="91" s="1"/>
  <c r="M240" i="91" s="1"/>
  <c r="L5" i="91"/>
  <c r="L136" i="91" s="1"/>
  <c r="L149" i="91" s="1"/>
  <c r="L162" i="91" s="1"/>
  <c r="L175" i="91" s="1"/>
  <c r="L188" i="91" s="1"/>
  <c r="L201" i="91" s="1"/>
  <c r="L214" i="91" s="1"/>
  <c r="L227" i="91" s="1"/>
  <c r="L240" i="91" s="1"/>
  <c r="K5" i="91"/>
  <c r="K136" i="91" s="1"/>
  <c r="K149" i="91" s="1"/>
  <c r="K162" i="91" s="1"/>
  <c r="K175" i="91" s="1"/>
  <c r="K188" i="91" s="1"/>
  <c r="K201" i="91" s="1"/>
  <c r="K214" i="91" s="1"/>
  <c r="K227" i="91" s="1"/>
  <c r="K240" i="91" s="1"/>
  <c r="J5" i="91"/>
  <c r="J136" i="91" s="1"/>
  <c r="J149" i="91" s="1"/>
  <c r="J162" i="91" s="1"/>
  <c r="J175" i="91" s="1"/>
  <c r="J188" i="91" s="1"/>
  <c r="J201" i="91" s="1"/>
  <c r="J214" i="91" s="1"/>
  <c r="J227" i="91" s="1"/>
  <c r="J240" i="91" s="1"/>
  <c r="I5" i="91"/>
  <c r="I136" i="91" s="1"/>
  <c r="I149" i="91" s="1"/>
  <c r="I162" i="91" s="1"/>
  <c r="I175" i="91" s="1"/>
  <c r="I188" i="91" s="1"/>
  <c r="I201" i="91" s="1"/>
  <c r="I214" i="91" s="1"/>
  <c r="I227" i="91" s="1"/>
  <c r="I240" i="91" s="1"/>
  <c r="H5" i="91"/>
  <c r="H136" i="91" s="1"/>
  <c r="H149" i="91" s="1"/>
  <c r="H162" i="91" s="1"/>
  <c r="H175" i="91" s="1"/>
  <c r="H188" i="91" s="1"/>
  <c r="H201" i="91" s="1"/>
  <c r="H214" i="91" s="1"/>
  <c r="H227" i="91" s="1"/>
  <c r="H240" i="91" s="1"/>
  <c r="G5" i="91"/>
  <c r="G136" i="91" s="1"/>
  <c r="G149" i="91" s="1"/>
  <c r="G162" i="91" s="1"/>
  <c r="G175" i="91" s="1"/>
  <c r="G188" i="91" s="1"/>
  <c r="G201" i="91" s="1"/>
  <c r="G214" i="91" s="1"/>
  <c r="G227" i="91" s="1"/>
  <c r="G240" i="91" s="1"/>
  <c r="F5" i="91"/>
  <c r="F136" i="91" s="1"/>
  <c r="F149" i="91" s="1"/>
  <c r="F162" i="91" s="1"/>
  <c r="F175" i="91" s="1"/>
  <c r="F188" i="91" s="1"/>
  <c r="F201" i="91" s="1"/>
  <c r="F214" i="91" s="1"/>
  <c r="F227" i="91" s="1"/>
  <c r="F240" i="91" s="1"/>
  <c r="E5" i="91"/>
  <c r="E136" i="91" s="1"/>
  <c r="E149" i="91" s="1"/>
  <c r="E162" i="91" s="1"/>
  <c r="E175" i="91" s="1"/>
  <c r="E188" i="91" s="1"/>
  <c r="E201" i="91" s="1"/>
  <c r="E214" i="91" s="1"/>
  <c r="E227" i="91" s="1"/>
  <c r="E240" i="91" s="1"/>
  <c r="D5" i="91"/>
  <c r="D136" i="91" s="1"/>
  <c r="D149" i="91" s="1"/>
  <c r="D162" i="91" s="1"/>
  <c r="D175" i="91" s="1"/>
  <c r="D188" i="91" s="1"/>
  <c r="D201" i="91" s="1"/>
  <c r="D214" i="91" s="1"/>
  <c r="D227" i="91" s="1"/>
  <c r="D240" i="91" s="1"/>
  <c r="C5" i="91"/>
  <c r="C136" i="91" s="1"/>
  <c r="C149" i="91" s="1"/>
  <c r="C162" i="91" s="1"/>
  <c r="C175" i="91" s="1"/>
  <c r="C188" i="91" s="1"/>
  <c r="C201" i="91" s="1"/>
  <c r="C214" i="91" s="1"/>
  <c r="C227" i="91" s="1"/>
  <c r="C240" i="91" s="1"/>
  <c r="A1" i="91"/>
  <c r="N213" i="90"/>
  <c r="N217" i="90" s="1"/>
  <c r="M213" i="90"/>
  <c r="L213" i="90"/>
  <c r="K213" i="90"/>
  <c r="K217" i="90" s="1"/>
  <c r="J213" i="90"/>
  <c r="I213" i="90"/>
  <c r="I217" i="90" s="1"/>
  <c r="H213" i="90"/>
  <c r="H214" i="90" s="1"/>
  <c r="G213" i="90"/>
  <c r="F213" i="90"/>
  <c r="F217" i="90" s="1"/>
  <c r="E213" i="90"/>
  <c r="D213" i="90"/>
  <c r="D217" i="90" s="1"/>
  <c r="C213" i="90"/>
  <c r="N200" i="90"/>
  <c r="N204" i="90" s="1"/>
  <c r="M200" i="90"/>
  <c r="L200" i="90"/>
  <c r="L204" i="90" s="1"/>
  <c r="K200" i="90"/>
  <c r="J200" i="90"/>
  <c r="J204" i="90" s="1"/>
  <c r="I200" i="90"/>
  <c r="H200" i="90"/>
  <c r="G200" i="90"/>
  <c r="F200" i="90"/>
  <c r="F201" i="90" s="1"/>
  <c r="E200" i="90"/>
  <c r="D200" i="90"/>
  <c r="D204" i="90" s="1"/>
  <c r="C200" i="90"/>
  <c r="L187" i="90"/>
  <c r="L191" i="90" s="1"/>
  <c r="N187" i="90"/>
  <c r="N191" i="90" s="1"/>
  <c r="M187" i="90"/>
  <c r="K187" i="90"/>
  <c r="K191" i="90" s="1"/>
  <c r="J187" i="90"/>
  <c r="J191" i="90" s="1"/>
  <c r="I187" i="90"/>
  <c r="I191" i="90" s="1"/>
  <c r="H187" i="90"/>
  <c r="G187" i="90"/>
  <c r="G191" i="90" s="1"/>
  <c r="F187" i="90"/>
  <c r="F191" i="90" s="1"/>
  <c r="E187" i="90"/>
  <c r="E188" i="90" s="1"/>
  <c r="D187" i="90"/>
  <c r="D188" i="90" s="1"/>
  <c r="D193" i="90" s="1"/>
  <c r="C187" i="90"/>
  <c r="C188" i="90" s="1"/>
  <c r="C193" i="90" s="1"/>
  <c r="N161" i="90"/>
  <c r="M161" i="90"/>
  <c r="L161" i="90"/>
  <c r="L165" i="90" s="1"/>
  <c r="K161" i="90"/>
  <c r="K165" i="90" s="1"/>
  <c r="J161" i="90"/>
  <c r="I161" i="90"/>
  <c r="I162" i="90" s="1"/>
  <c r="I163" i="90" s="1"/>
  <c r="H161" i="90"/>
  <c r="H165" i="90" s="1"/>
  <c r="G161" i="90"/>
  <c r="F161" i="90"/>
  <c r="F165" i="90" s="1"/>
  <c r="E161" i="90"/>
  <c r="E162" i="90" s="1"/>
  <c r="E163" i="90" s="1"/>
  <c r="D161" i="90"/>
  <c r="C161" i="90"/>
  <c r="N148" i="90"/>
  <c r="N149" i="90" s="1"/>
  <c r="M148" i="90"/>
  <c r="M152" i="90" s="1"/>
  <c r="L148" i="90"/>
  <c r="L149" i="90" s="1"/>
  <c r="K148" i="90"/>
  <c r="K152" i="90" s="1"/>
  <c r="J148" i="90"/>
  <c r="J152" i="90" s="1"/>
  <c r="I148" i="90"/>
  <c r="I152" i="90" s="1"/>
  <c r="H148" i="90"/>
  <c r="H152" i="90" s="1"/>
  <c r="G148" i="90"/>
  <c r="G152" i="90" s="1"/>
  <c r="F148" i="90"/>
  <c r="E148" i="90"/>
  <c r="E152" i="90" s="1"/>
  <c r="D148" i="90"/>
  <c r="C148" i="90"/>
  <c r="N135" i="90"/>
  <c r="M135" i="90"/>
  <c r="M136" i="90" s="1"/>
  <c r="M141" i="90" s="1"/>
  <c r="L135" i="90"/>
  <c r="L136" i="90" s="1"/>
  <c r="K135" i="90"/>
  <c r="K139" i="90" s="1"/>
  <c r="J135" i="90"/>
  <c r="J136" i="90" s="1"/>
  <c r="I135" i="90"/>
  <c r="H135" i="90"/>
  <c r="H139" i="90" s="1"/>
  <c r="G135" i="90"/>
  <c r="G136" i="90" s="1"/>
  <c r="G141" i="90" s="1"/>
  <c r="F135" i="90"/>
  <c r="E135" i="90"/>
  <c r="D135" i="90"/>
  <c r="C135" i="90"/>
  <c r="C136" i="90" s="1"/>
  <c r="C141" i="90" s="1"/>
  <c r="N122" i="90"/>
  <c r="N123" i="90" s="1"/>
  <c r="M122" i="90"/>
  <c r="M126" i="90" s="1"/>
  <c r="L122" i="90"/>
  <c r="L123" i="90" s="1"/>
  <c r="L128" i="90" s="1"/>
  <c r="K122" i="90"/>
  <c r="K126" i="90" s="1"/>
  <c r="K123" i="90"/>
  <c r="K128" i="90" s="1"/>
  <c r="J122" i="90"/>
  <c r="I122" i="90"/>
  <c r="I126" i="90" s="1"/>
  <c r="H122" i="90"/>
  <c r="H123" i="90" s="1"/>
  <c r="G122" i="90"/>
  <c r="F122" i="90"/>
  <c r="F123" i="90" s="1"/>
  <c r="E122" i="90"/>
  <c r="E126" i="90" s="1"/>
  <c r="D122" i="90"/>
  <c r="D126" i="90" s="1"/>
  <c r="C122" i="90"/>
  <c r="C126" i="90" s="1"/>
  <c r="N120" i="90"/>
  <c r="N133" i="90" s="1"/>
  <c r="N146" i="90" s="1"/>
  <c r="N159" i="90" s="1"/>
  <c r="N172" i="90" s="1"/>
  <c r="M120" i="90"/>
  <c r="M133" i="90" s="1"/>
  <c r="M146" i="90" s="1"/>
  <c r="M159" i="90" s="1"/>
  <c r="L120" i="90"/>
  <c r="L133" i="90" s="1"/>
  <c r="L146" i="90" s="1"/>
  <c r="L159" i="90" s="1"/>
  <c r="L172" i="90" s="1"/>
  <c r="K120" i="90"/>
  <c r="K133" i="90" s="1"/>
  <c r="K146" i="90" s="1"/>
  <c r="K159" i="90" s="1"/>
  <c r="K172" i="90" s="1"/>
  <c r="J120" i="90"/>
  <c r="J133" i="90" s="1"/>
  <c r="J146" i="90" s="1"/>
  <c r="J159" i="90" s="1"/>
  <c r="J172" i="90" s="1"/>
  <c r="I120" i="90"/>
  <c r="I133" i="90" s="1"/>
  <c r="I146" i="90" s="1"/>
  <c r="I159" i="90" s="1"/>
  <c r="I172" i="90" s="1"/>
  <c r="H120" i="90"/>
  <c r="H133" i="90" s="1"/>
  <c r="H146" i="90" s="1"/>
  <c r="H159" i="90" s="1"/>
  <c r="H172" i="90" s="1"/>
  <c r="G120" i="90"/>
  <c r="G133" i="90" s="1"/>
  <c r="G146" i="90" s="1"/>
  <c r="G159" i="90" s="1"/>
  <c r="G172" i="90" s="1"/>
  <c r="F120" i="90"/>
  <c r="F133" i="90" s="1"/>
  <c r="F146" i="90" s="1"/>
  <c r="F159" i="90" s="1"/>
  <c r="F172" i="90" s="1"/>
  <c r="E120" i="90"/>
  <c r="E133" i="90" s="1"/>
  <c r="E146" i="90" s="1"/>
  <c r="E159" i="90" s="1"/>
  <c r="E172" i="90" s="1"/>
  <c r="D120" i="90"/>
  <c r="D133" i="90" s="1"/>
  <c r="D146" i="90" s="1"/>
  <c r="D159" i="90" s="1"/>
  <c r="D172" i="90" s="1"/>
  <c r="N119" i="90"/>
  <c r="N132" i="90" s="1"/>
  <c r="N145" i="90" s="1"/>
  <c r="N158" i="90" s="1"/>
  <c r="M119" i="90"/>
  <c r="M132" i="90" s="1"/>
  <c r="M145" i="90" s="1"/>
  <c r="M158" i="90" s="1"/>
  <c r="L119" i="90"/>
  <c r="L132" i="90" s="1"/>
  <c r="L145" i="90" s="1"/>
  <c r="L158" i="90" s="1"/>
  <c r="K119" i="90"/>
  <c r="K132" i="90" s="1"/>
  <c r="K145" i="90" s="1"/>
  <c r="K158" i="90" s="1"/>
  <c r="J119" i="90"/>
  <c r="J132" i="90" s="1"/>
  <c r="J145" i="90" s="1"/>
  <c r="J158" i="90" s="1"/>
  <c r="I119" i="90"/>
  <c r="I132" i="90" s="1"/>
  <c r="I145" i="90" s="1"/>
  <c r="I158" i="90" s="1"/>
  <c r="I184" i="90" s="1"/>
  <c r="I197" i="90" s="1"/>
  <c r="I210" i="90" s="1"/>
  <c r="H119" i="90"/>
  <c r="H132" i="90" s="1"/>
  <c r="H145" i="90" s="1"/>
  <c r="H158" i="90" s="1"/>
  <c r="H184" i="90" s="1"/>
  <c r="H197" i="90" s="1"/>
  <c r="H210" i="90" s="1"/>
  <c r="G119" i="90"/>
  <c r="G132" i="90" s="1"/>
  <c r="G145" i="90" s="1"/>
  <c r="G158" i="90" s="1"/>
  <c r="F119" i="90"/>
  <c r="F132" i="90" s="1"/>
  <c r="F145" i="90" s="1"/>
  <c r="F158" i="90" s="1"/>
  <c r="E119" i="90"/>
  <c r="E132" i="90" s="1"/>
  <c r="E145" i="90" s="1"/>
  <c r="E158" i="90" s="1"/>
  <c r="D119" i="90"/>
  <c r="D132" i="90" s="1"/>
  <c r="D145" i="90" s="1"/>
  <c r="D158" i="90" s="1"/>
  <c r="C119" i="90"/>
  <c r="C132" i="90" s="1"/>
  <c r="C145" i="90" s="1"/>
  <c r="C158" i="90" s="1"/>
  <c r="N109" i="90"/>
  <c r="M109" i="90"/>
  <c r="M113" i="90" s="1"/>
  <c r="L109" i="90"/>
  <c r="K109" i="90"/>
  <c r="J109" i="90"/>
  <c r="J113" i="90" s="1"/>
  <c r="I109" i="90"/>
  <c r="I110" i="90" s="1"/>
  <c r="H109" i="90"/>
  <c r="H113" i="90" s="1"/>
  <c r="G109" i="90"/>
  <c r="G113" i="90" s="1"/>
  <c r="F109" i="90"/>
  <c r="E109" i="90"/>
  <c r="E113" i="90" s="1"/>
  <c r="D109" i="90"/>
  <c r="C109" i="90"/>
  <c r="C107" i="90"/>
  <c r="C120" i="90" s="1"/>
  <c r="C133" i="90" s="1"/>
  <c r="C146" i="90" s="1"/>
  <c r="C159" i="90" s="1"/>
  <c r="N102" i="90"/>
  <c r="N62" i="90" s="1"/>
  <c r="M102" i="90"/>
  <c r="M62" i="90" s="1"/>
  <c r="L102" i="90"/>
  <c r="L62" i="90" s="1"/>
  <c r="K102" i="90"/>
  <c r="K62" i="90" s="1"/>
  <c r="J102" i="90"/>
  <c r="J62" i="90" s="1"/>
  <c r="I102" i="90"/>
  <c r="I62" i="90" s="1"/>
  <c r="H102" i="90"/>
  <c r="H62" i="90" s="1"/>
  <c r="G102" i="90"/>
  <c r="G62" i="90" s="1"/>
  <c r="F102" i="90"/>
  <c r="F62" i="90" s="1"/>
  <c r="E102" i="90"/>
  <c r="D10" i="53" s="1"/>
  <c r="D102" i="90"/>
  <c r="D62" i="90" s="1"/>
  <c r="C102" i="90"/>
  <c r="C62" i="90" s="1"/>
  <c r="B94" i="90"/>
  <c r="B89" i="90"/>
  <c r="B88" i="90"/>
  <c r="B61" i="90"/>
  <c r="B60" i="90"/>
  <c r="B59" i="90"/>
  <c r="B58" i="90"/>
  <c r="B57" i="90"/>
  <c r="N46" i="90"/>
  <c r="M46" i="90"/>
  <c r="L46" i="90"/>
  <c r="K46" i="90"/>
  <c r="J46" i="90"/>
  <c r="I46" i="90"/>
  <c r="E46" i="90"/>
  <c r="D46" i="90"/>
  <c r="C46" i="90"/>
  <c r="B45" i="90"/>
  <c r="B44" i="90"/>
  <c r="B43" i="90"/>
  <c r="B42" i="90"/>
  <c r="B41" i="90"/>
  <c r="B40" i="90"/>
  <c r="B39" i="90"/>
  <c r="B38" i="90"/>
  <c r="B37" i="90"/>
  <c r="B36" i="90"/>
  <c r="B35" i="90"/>
  <c r="B34" i="90"/>
  <c r="B33" i="90"/>
  <c r="B32" i="90"/>
  <c r="B31" i="90"/>
  <c r="B30" i="90"/>
  <c r="B29" i="90"/>
  <c r="B28" i="90"/>
  <c r="B27" i="90"/>
  <c r="B26" i="90"/>
  <c r="B25" i="90"/>
  <c r="B24" i="90"/>
  <c r="B23" i="90"/>
  <c r="B22" i="90"/>
  <c r="B21" i="90"/>
  <c r="B20" i="90"/>
  <c r="B19" i="90"/>
  <c r="B18" i="90"/>
  <c r="B17" i="90"/>
  <c r="B16" i="90"/>
  <c r="B15" i="90"/>
  <c r="B14" i="90"/>
  <c r="B13" i="90"/>
  <c r="B12" i="90"/>
  <c r="B11" i="90"/>
  <c r="B10" i="90"/>
  <c r="B9" i="90"/>
  <c r="N5" i="90"/>
  <c r="N105" i="90" s="1"/>
  <c r="N118" i="90" s="1"/>
  <c r="N131" i="90" s="1"/>
  <c r="N144" i="90" s="1"/>
  <c r="N157" i="90" s="1"/>
  <c r="N170" i="90" s="1"/>
  <c r="M5" i="90"/>
  <c r="M105" i="90" s="1"/>
  <c r="M118" i="90" s="1"/>
  <c r="M131" i="90" s="1"/>
  <c r="M144" i="90" s="1"/>
  <c r="M157" i="90" s="1"/>
  <c r="M170" i="90" s="1"/>
  <c r="L5" i="90"/>
  <c r="L105" i="90" s="1"/>
  <c r="L118" i="90" s="1"/>
  <c r="L131" i="90" s="1"/>
  <c r="L144" i="90" s="1"/>
  <c r="L157" i="90" s="1"/>
  <c r="L170" i="90" s="1"/>
  <c r="K5" i="90"/>
  <c r="K105" i="90" s="1"/>
  <c r="K118" i="90" s="1"/>
  <c r="K131" i="90" s="1"/>
  <c r="K144" i="90" s="1"/>
  <c r="K157" i="90" s="1"/>
  <c r="K170" i="90" s="1"/>
  <c r="J5" i="90"/>
  <c r="J105" i="90" s="1"/>
  <c r="J118" i="90" s="1"/>
  <c r="J131" i="90" s="1"/>
  <c r="J144" i="90" s="1"/>
  <c r="J157" i="90" s="1"/>
  <c r="J170" i="90" s="1"/>
  <c r="I5" i="90"/>
  <c r="I105" i="90" s="1"/>
  <c r="I118" i="90" s="1"/>
  <c r="I131" i="90" s="1"/>
  <c r="I144" i="90" s="1"/>
  <c r="I157" i="90" s="1"/>
  <c r="I170" i="90" s="1"/>
  <c r="H5" i="90"/>
  <c r="H105" i="90" s="1"/>
  <c r="H118" i="90" s="1"/>
  <c r="H131" i="90" s="1"/>
  <c r="H144" i="90" s="1"/>
  <c r="H157" i="90" s="1"/>
  <c r="H170" i="90" s="1"/>
  <c r="G5" i="90"/>
  <c r="G105" i="90" s="1"/>
  <c r="G118" i="90" s="1"/>
  <c r="G131" i="90" s="1"/>
  <c r="G144" i="90" s="1"/>
  <c r="G157" i="90" s="1"/>
  <c r="G170" i="90" s="1"/>
  <c r="F5" i="90"/>
  <c r="F105" i="90" s="1"/>
  <c r="F118" i="90" s="1"/>
  <c r="F131" i="90" s="1"/>
  <c r="F144" i="90" s="1"/>
  <c r="F157" i="90" s="1"/>
  <c r="F170" i="90" s="1"/>
  <c r="E5" i="90"/>
  <c r="E105" i="90" s="1"/>
  <c r="E118" i="90" s="1"/>
  <c r="E131" i="90" s="1"/>
  <c r="E144" i="90" s="1"/>
  <c r="E157" i="90" s="1"/>
  <c r="E170" i="90" s="1"/>
  <c r="D5" i="90"/>
  <c r="D105" i="90" s="1"/>
  <c r="D118" i="90" s="1"/>
  <c r="D131" i="90" s="1"/>
  <c r="D144" i="90" s="1"/>
  <c r="D157" i="90" s="1"/>
  <c r="D170" i="90" s="1"/>
  <c r="C5" i="90"/>
  <c r="C105" i="90" s="1"/>
  <c r="C118" i="90" s="1"/>
  <c r="C131" i="90" s="1"/>
  <c r="C144" i="90" s="1"/>
  <c r="C157" i="90" s="1"/>
  <c r="C170" i="90" s="1"/>
  <c r="A1" i="90"/>
  <c r="N213" i="89"/>
  <c r="N217" i="89" s="1"/>
  <c r="M213" i="89"/>
  <c r="L213" i="89"/>
  <c r="L217" i="89" s="1"/>
  <c r="K213" i="89"/>
  <c r="K217" i="89" s="1"/>
  <c r="J213" i="89"/>
  <c r="J217" i="89" s="1"/>
  <c r="I213" i="89"/>
  <c r="H213" i="89"/>
  <c r="H217" i="89" s="1"/>
  <c r="G213" i="89"/>
  <c r="F213" i="89"/>
  <c r="F217" i="89" s="1"/>
  <c r="E213" i="89"/>
  <c r="E214" i="89" s="1"/>
  <c r="D213" i="89"/>
  <c r="D217" i="89" s="1"/>
  <c r="C213" i="89"/>
  <c r="C214" i="89" s="1"/>
  <c r="N200" i="89"/>
  <c r="N204" i="89" s="1"/>
  <c r="M200" i="89"/>
  <c r="M204" i="89" s="1"/>
  <c r="L200" i="89"/>
  <c r="L204" i="89" s="1"/>
  <c r="K200" i="89"/>
  <c r="K204" i="89" s="1"/>
  <c r="J200" i="89"/>
  <c r="J204" i="89" s="1"/>
  <c r="I200" i="89"/>
  <c r="H200" i="89"/>
  <c r="H204" i="89" s="1"/>
  <c r="G200" i="89"/>
  <c r="G201" i="89" s="1"/>
  <c r="G206" i="89" s="1"/>
  <c r="F200" i="89"/>
  <c r="F204" i="89" s="1"/>
  <c r="E200" i="89"/>
  <c r="D200" i="89"/>
  <c r="D204" i="89" s="1"/>
  <c r="C200" i="89"/>
  <c r="N187" i="89"/>
  <c r="N191" i="89" s="1"/>
  <c r="M187" i="89"/>
  <c r="M188" i="89" s="1"/>
  <c r="M193" i="89" s="1"/>
  <c r="L187" i="89"/>
  <c r="L191" i="89" s="1"/>
  <c r="K187" i="89"/>
  <c r="K191" i="89" s="1"/>
  <c r="J187" i="89"/>
  <c r="J191" i="89" s="1"/>
  <c r="I187" i="89"/>
  <c r="I191" i="89" s="1"/>
  <c r="H187" i="89"/>
  <c r="H191" i="89" s="1"/>
  <c r="G187" i="89"/>
  <c r="F187" i="89"/>
  <c r="F191" i="89" s="1"/>
  <c r="E187" i="89"/>
  <c r="D187" i="89"/>
  <c r="D188" i="89" s="1"/>
  <c r="D193" i="89" s="1"/>
  <c r="C187" i="89"/>
  <c r="C191" i="89" s="1"/>
  <c r="N174" i="89"/>
  <c r="N178" i="89" s="1"/>
  <c r="M174" i="89"/>
  <c r="L174" i="89"/>
  <c r="L178" i="89" s="1"/>
  <c r="K174" i="89"/>
  <c r="J174" i="89"/>
  <c r="J178" i="89" s="1"/>
  <c r="I174" i="89"/>
  <c r="H174" i="89"/>
  <c r="H178" i="89" s="1"/>
  <c r="G174" i="89"/>
  <c r="G178" i="89" s="1"/>
  <c r="F174" i="89"/>
  <c r="E174" i="89"/>
  <c r="E178" i="89" s="1"/>
  <c r="D174" i="89"/>
  <c r="D178" i="89" s="1"/>
  <c r="C174" i="89"/>
  <c r="C178" i="89" s="1"/>
  <c r="N161" i="89"/>
  <c r="M161" i="89"/>
  <c r="L161" i="89"/>
  <c r="L162" i="89" s="1"/>
  <c r="L164" i="89" s="1"/>
  <c r="K161" i="89"/>
  <c r="K165" i="89" s="1"/>
  <c r="J161" i="89"/>
  <c r="J165" i="89" s="1"/>
  <c r="I161" i="89"/>
  <c r="H161" i="89"/>
  <c r="H165" i="89" s="1"/>
  <c r="G161" i="89"/>
  <c r="G165" i="89" s="1"/>
  <c r="F161" i="89"/>
  <c r="F165" i="89" s="1"/>
  <c r="E161" i="89"/>
  <c r="E165" i="89" s="1"/>
  <c r="D161" i="89"/>
  <c r="D162" i="89" s="1"/>
  <c r="D163" i="89" s="1"/>
  <c r="C161" i="89"/>
  <c r="N148" i="89"/>
  <c r="N149" i="89" s="1"/>
  <c r="N154" i="89" s="1"/>
  <c r="M148" i="89"/>
  <c r="L148" i="89"/>
  <c r="K148" i="89"/>
  <c r="K152" i="89" s="1"/>
  <c r="J148" i="89"/>
  <c r="J152" i="89" s="1"/>
  <c r="I148" i="89"/>
  <c r="H148" i="89"/>
  <c r="G148" i="89"/>
  <c r="G152" i="89" s="1"/>
  <c r="F148" i="89"/>
  <c r="F149" i="89" s="1"/>
  <c r="F154" i="89" s="1"/>
  <c r="E148" i="89"/>
  <c r="E152" i="89" s="1"/>
  <c r="D148" i="89"/>
  <c r="C148" i="89"/>
  <c r="C152" i="89" s="1"/>
  <c r="I135" i="89"/>
  <c r="I139" i="89" s="1"/>
  <c r="N135" i="89"/>
  <c r="M135" i="89"/>
  <c r="L135" i="89"/>
  <c r="L139" i="89" s="1"/>
  <c r="K135" i="89"/>
  <c r="K136" i="89" s="1"/>
  <c r="J135" i="89"/>
  <c r="J139" i="89" s="1"/>
  <c r="H135" i="89"/>
  <c r="H139" i="89" s="1"/>
  <c r="G135" i="89"/>
  <c r="G139" i="89" s="1"/>
  <c r="F135" i="89"/>
  <c r="F139" i="89" s="1"/>
  <c r="E135" i="89"/>
  <c r="E139" i="89" s="1"/>
  <c r="D135" i="89"/>
  <c r="D139" i="89" s="1"/>
  <c r="C135" i="89"/>
  <c r="C136" i="89" s="1"/>
  <c r="N122" i="89"/>
  <c r="N126" i="89" s="1"/>
  <c r="M122" i="89"/>
  <c r="M123" i="89" s="1"/>
  <c r="M128" i="89" s="1"/>
  <c r="L122" i="89"/>
  <c r="L126" i="89" s="1"/>
  <c r="K122" i="89"/>
  <c r="K123" i="89" s="1"/>
  <c r="K128" i="89" s="1"/>
  <c r="J122" i="89"/>
  <c r="J126" i="89" s="1"/>
  <c r="I122" i="89"/>
  <c r="H122" i="89"/>
  <c r="H126" i="89" s="1"/>
  <c r="G122" i="89"/>
  <c r="F122" i="89"/>
  <c r="F126" i="89" s="1"/>
  <c r="E122" i="89"/>
  <c r="E123" i="89" s="1"/>
  <c r="E128" i="89" s="1"/>
  <c r="D122" i="89"/>
  <c r="D126" i="89" s="1"/>
  <c r="C122" i="89"/>
  <c r="N120" i="89"/>
  <c r="N133" i="89" s="1"/>
  <c r="N146" i="89" s="1"/>
  <c r="N159" i="89" s="1"/>
  <c r="N172" i="89" s="1"/>
  <c r="N185" i="89" s="1"/>
  <c r="N198" i="89" s="1"/>
  <c r="N211" i="89" s="1"/>
  <c r="M120" i="89"/>
  <c r="M133" i="89"/>
  <c r="M146" i="89" s="1"/>
  <c r="M159" i="89" s="1"/>
  <c r="M172" i="89" s="1"/>
  <c r="M185" i="89" s="1"/>
  <c r="M198" i="89" s="1"/>
  <c r="M211" i="89" s="1"/>
  <c r="L120" i="89"/>
  <c r="L133" i="89"/>
  <c r="L146" i="89" s="1"/>
  <c r="L159" i="89" s="1"/>
  <c r="L172" i="89" s="1"/>
  <c r="L185" i="89" s="1"/>
  <c r="L198" i="89" s="1"/>
  <c r="L211" i="89" s="1"/>
  <c r="K120" i="89"/>
  <c r="K133" i="89" s="1"/>
  <c r="K146" i="89" s="1"/>
  <c r="K159" i="89" s="1"/>
  <c r="K172" i="89" s="1"/>
  <c r="K185" i="89" s="1"/>
  <c r="K198" i="89" s="1"/>
  <c r="K211" i="89" s="1"/>
  <c r="J120" i="89"/>
  <c r="J133" i="89" s="1"/>
  <c r="J146" i="89" s="1"/>
  <c r="J159" i="89" s="1"/>
  <c r="J172" i="89" s="1"/>
  <c r="J185" i="89" s="1"/>
  <c r="J198" i="89" s="1"/>
  <c r="J211" i="89" s="1"/>
  <c r="I120" i="89"/>
  <c r="I133" i="89" s="1"/>
  <c r="I146" i="89" s="1"/>
  <c r="I159" i="89" s="1"/>
  <c r="I172" i="89" s="1"/>
  <c r="I185" i="89" s="1"/>
  <c r="I198" i="89" s="1"/>
  <c r="I211" i="89" s="1"/>
  <c r="H120" i="89"/>
  <c r="H133" i="89" s="1"/>
  <c r="H146" i="89" s="1"/>
  <c r="H159" i="89" s="1"/>
  <c r="H172" i="89" s="1"/>
  <c r="H185" i="89" s="1"/>
  <c r="H198" i="89" s="1"/>
  <c r="H211" i="89" s="1"/>
  <c r="G120" i="89"/>
  <c r="G133" i="89" s="1"/>
  <c r="G146" i="89" s="1"/>
  <c r="G159" i="89" s="1"/>
  <c r="G172" i="89" s="1"/>
  <c r="G185" i="89" s="1"/>
  <c r="G198" i="89" s="1"/>
  <c r="G211" i="89" s="1"/>
  <c r="F120" i="89"/>
  <c r="F133" i="89" s="1"/>
  <c r="F146" i="89" s="1"/>
  <c r="F159" i="89" s="1"/>
  <c r="F172" i="89" s="1"/>
  <c r="F185" i="89" s="1"/>
  <c r="F198" i="89" s="1"/>
  <c r="F211" i="89" s="1"/>
  <c r="E120" i="89"/>
  <c r="E133" i="89" s="1"/>
  <c r="E146" i="89" s="1"/>
  <c r="E159" i="89" s="1"/>
  <c r="E172" i="89" s="1"/>
  <c r="E185" i="89" s="1"/>
  <c r="E198" i="89" s="1"/>
  <c r="E211" i="89" s="1"/>
  <c r="D120" i="89"/>
  <c r="D133" i="89" s="1"/>
  <c r="D146" i="89" s="1"/>
  <c r="D159" i="89" s="1"/>
  <c r="D172" i="89" s="1"/>
  <c r="D185" i="89" s="1"/>
  <c r="D198" i="89" s="1"/>
  <c r="D211" i="89" s="1"/>
  <c r="N119" i="89"/>
  <c r="N132" i="89" s="1"/>
  <c r="N145" i="89" s="1"/>
  <c r="N158" i="89" s="1"/>
  <c r="N171" i="89" s="1"/>
  <c r="N184" i="89" s="1"/>
  <c r="N197" i="89" s="1"/>
  <c r="N210" i="89" s="1"/>
  <c r="M119" i="89"/>
  <c r="M132" i="89" s="1"/>
  <c r="M145" i="89" s="1"/>
  <c r="M158" i="89" s="1"/>
  <c r="M171" i="89" s="1"/>
  <c r="M184" i="89" s="1"/>
  <c r="M197" i="89" s="1"/>
  <c r="M210" i="89" s="1"/>
  <c r="L119" i="89"/>
  <c r="L132" i="89" s="1"/>
  <c r="L145" i="89" s="1"/>
  <c r="L158" i="89" s="1"/>
  <c r="L171" i="89" s="1"/>
  <c r="L184" i="89" s="1"/>
  <c r="L197" i="89" s="1"/>
  <c r="L210" i="89" s="1"/>
  <c r="K119" i="89"/>
  <c r="K132" i="89" s="1"/>
  <c r="K145" i="89" s="1"/>
  <c r="K158" i="89" s="1"/>
  <c r="K171" i="89" s="1"/>
  <c r="K184" i="89" s="1"/>
  <c r="K197" i="89" s="1"/>
  <c r="K210" i="89" s="1"/>
  <c r="J119" i="89"/>
  <c r="J132" i="89" s="1"/>
  <c r="J145" i="89" s="1"/>
  <c r="J158" i="89" s="1"/>
  <c r="J171" i="89" s="1"/>
  <c r="J184" i="89" s="1"/>
  <c r="J197" i="89" s="1"/>
  <c r="J210" i="89" s="1"/>
  <c r="I119" i="89"/>
  <c r="I132" i="89" s="1"/>
  <c r="I145" i="89" s="1"/>
  <c r="I158" i="89" s="1"/>
  <c r="I171" i="89" s="1"/>
  <c r="I184" i="89" s="1"/>
  <c r="I197" i="89" s="1"/>
  <c r="I210" i="89" s="1"/>
  <c r="H119" i="89"/>
  <c r="H132" i="89" s="1"/>
  <c r="H145" i="89" s="1"/>
  <c r="H158" i="89" s="1"/>
  <c r="H171" i="89" s="1"/>
  <c r="H184" i="89" s="1"/>
  <c r="H197" i="89" s="1"/>
  <c r="H210" i="89" s="1"/>
  <c r="G119" i="89"/>
  <c r="G132" i="89" s="1"/>
  <c r="G145" i="89" s="1"/>
  <c r="G158" i="89" s="1"/>
  <c r="G171" i="89" s="1"/>
  <c r="G184" i="89" s="1"/>
  <c r="G197" i="89" s="1"/>
  <c r="G210" i="89" s="1"/>
  <c r="F119" i="89"/>
  <c r="F132" i="89" s="1"/>
  <c r="F145" i="89" s="1"/>
  <c r="F158" i="89" s="1"/>
  <c r="F171" i="89" s="1"/>
  <c r="F184" i="89" s="1"/>
  <c r="F197" i="89" s="1"/>
  <c r="F210" i="89" s="1"/>
  <c r="E119" i="89"/>
  <c r="E132" i="89" s="1"/>
  <c r="E145" i="89" s="1"/>
  <c r="E158" i="89" s="1"/>
  <c r="E171" i="89" s="1"/>
  <c r="E184" i="89" s="1"/>
  <c r="E197" i="89" s="1"/>
  <c r="E210" i="89" s="1"/>
  <c r="D119" i="89"/>
  <c r="D132" i="89" s="1"/>
  <c r="D145" i="89" s="1"/>
  <c r="D158" i="89" s="1"/>
  <c r="D171" i="89" s="1"/>
  <c r="D184" i="89" s="1"/>
  <c r="D197" i="89" s="1"/>
  <c r="D210" i="89" s="1"/>
  <c r="C119" i="89"/>
  <c r="C132" i="89" s="1"/>
  <c r="C145" i="89" s="1"/>
  <c r="C158" i="89" s="1"/>
  <c r="C171" i="89" s="1"/>
  <c r="C184" i="89" s="1"/>
  <c r="C197" i="89" s="1"/>
  <c r="C210" i="89" s="1"/>
  <c r="N109" i="89"/>
  <c r="N113" i="89" s="1"/>
  <c r="M109" i="89"/>
  <c r="M110" i="89" s="1"/>
  <c r="M115" i="89" s="1"/>
  <c r="L109" i="89"/>
  <c r="L113" i="89" s="1"/>
  <c r="K109" i="89"/>
  <c r="K110" i="89" s="1"/>
  <c r="K115" i="89" s="1"/>
  <c r="J109" i="89"/>
  <c r="J113" i="89" s="1"/>
  <c r="I109" i="89"/>
  <c r="I110" i="89" s="1"/>
  <c r="H109" i="89"/>
  <c r="H113" i="89" s="1"/>
  <c r="G109" i="89"/>
  <c r="F109" i="89"/>
  <c r="F113" i="89" s="1"/>
  <c r="E109" i="89"/>
  <c r="E110" i="89" s="1"/>
  <c r="E115" i="89" s="1"/>
  <c r="D109" i="89"/>
  <c r="D113" i="89" s="1"/>
  <c r="C109" i="89"/>
  <c r="C110" i="89" s="1"/>
  <c r="C107" i="89"/>
  <c r="C120" i="89" s="1"/>
  <c r="C133" i="89" s="1"/>
  <c r="C146" i="89" s="1"/>
  <c r="C159" i="89" s="1"/>
  <c r="C172" i="89" s="1"/>
  <c r="C185" i="89" s="1"/>
  <c r="C198" i="89" s="1"/>
  <c r="C211" i="89" s="1"/>
  <c r="N102" i="89"/>
  <c r="N62" i="89" s="1"/>
  <c r="M102" i="89"/>
  <c r="M62" i="89" s="1"/>
  <c r="L102" i="89"/>
  <c r="L62" i="89" s="1"/>
  <c r="K102" i="89"/>
  <c r="K62" i="89" s="1"/>
  <c r="J102" i="89"/>
  <c r="J62" i="89" s="1"/>
  <c r="I102" i="89"/>
  <c r="I62" i="89" s="1"/>
  <c r="H102" i="89"/>
  <c r="H62" i="89" s="1"/>
  <c r="G102" i="89"/>
  <c r="G62" i="89" s="1"/>
  <c r="F102" i="89"/>
  <c r="F62" i="89" s="1"/>
  <c r="E102" i="89"/>
  <c r="E62" i="89" s="1"/>
  <c r="D102" i="89"/>
  <c r="D62" i="89" s="1"/>
  <c r="C102" i="89"/>
  <c r="C62" i="89" s="1"/>
  <c r="B94" i="89"/>
  <c r="B89" i="89"/>
  <c r="B88" i="89"/>
  <c r="B61" i="89"/>
  <c r="B60" i="89"/>
  <c r="B59" i="89"/>
  <c r="B58" i="89"/>
  <c r="B57" i="89"/>
  <c r="N46" i="89"/>
  <c r="M46" i="89"/>
  <c r="L46" i="89"/>
  <c r="K46" i="89"/>
  <c r="J46" i="89"/>
  <c r="E46" i="89"/>
  <c r="D46" i="89"/>
  <c r="C46" i="89"/>
  <c r="B45" i="89"/>
  <c r="B44" i="89"/>
  <c r="B43" i="89"/>
  <c r="B42" i="89"/>
  <c r="B41" i="89"/>
  <c r="B40" i="89"/>
  <c r="B39" i="89"/>
  <c r="B38" i="89"/>
  <c r="B37" i="89"/>
  <c r="B36" i="89"/>
  <c r="B35" i="89"/>
  <c r="B34" i="89"/>
  <c r="B33" i="89"/>
  <c r="B32" i="89"/>
  <c r="B31" i="89"/>
  <c r="B30" i="89"/>
  <c r="B29" i="89"/>
  <c r="B28" i="89"/>
  <c r="B27" i="89"/>
  <c r="B26" i="89"/>
  <c r="B25" i="89"/>
  <c r="B24" i="89"/>
  <c r="B23" i="89"/>
  <c r="B22" i="89"/>
  <c r="B21" i="89"/>
  <c r="B20" i="89"/>
  <c r="B19" i="89"/>
  <c r="B18" i="89"/>
  <c r="B17" i="89"/>
  <c r="B16" i="89"/>
  <c r="B15" i="89"/>
  <c r="B14" i="89"/>
  <c r="B13" i="89"/>
  <c r="B12" i="89"/>
  <c r="B11" i="89"/>
  <c r="B10" i="89"/>
  <c r="B9" i="89"/>
  <c r="N5" i="89"/>
  <c r="N105" i="89" s="1"/>
  <c r="N118" i="89" s="1"/>
  <c r="N131" i="89" s="1"/>
  <c r="N144" i="89" s="1"/>
  <c r="N157" i="89" s="1"/>
  <c r="N170" i="89" s="1"/>
  <c r="N183" i="89" s="1"/>
  <c r="N196" i="89" s="1"/>
  <c r="N209" i="89" s="1"/>
  <c r="M5" i="89"/>
  <c r="M105" i="89" s="1"/>
  <c r="M118" i="89" s="1"/>
  <c r="M131" i="89" s="1"/>
  <c r="M144" i="89" s="1"/>
  <c r="M157" i="89" s="1"/>
  <c r="M170" i="89" s="1"/>
  <c r="M183" i="89" s="1"/>
  <c r="M196" i="89" s="1"/>
  <c r="M209" i="89" s="1"/>
  <c r="L5" i="89"/>
  <c r="L105" i="89" s="1"/>
  <c r="L118" i="89" s="1"/>
  <c r="L131" i="89" s="1"/>
  <c r="L144" i="89" s="1"/>
  <c r="L157" i="89" s="1"/>
  <c r="L170" i="89" s="1"/>
  <c r="L183" i="89" s="1"/>
  <c r="L196" i="89" s="1"/>
  <c r="L209" i="89" s="1"/>
  <c r="K5" i="89"/>
  <c r="K105" i="89" s="1"/>
  <c r="K118" i="89" s="1"/>
  <c r="K131" i="89"/>
  <c r="K144" i="89" s="1"/>
  <c r="K157" i="89" s="1"/>
  <c r="K170" i="89" s="1"/>
  <c r="K183" i="89" s="1"/>
  <c r="K196" i="89" s="1"/>
  <c r="K209" i="89" s="1"/>
  <c r="J5" i="89"/>
  <c r="J105" i="89" s="1"/>
  <c r="J118" i="89" s="1"/>
  <c r="J131" i="89" s="1"/>
  <c r="J144" i="89" s="1"/>
  <c r="J157" i="89" s="1"/>
  <c r="J170" i="89" s="1"/>
  <c r="J183" i="89" s="1"/>
  <c r="J196" i="89" s="1"/>
  <c r="J209" i="89" s="1"/>
  <c r="I5" i="89"/>
  <c r="I105" i="89" s="1"/>
  <c r="I118" i="89" s="1"/>
  <c r="I131" i="89" s="1"/>
  <c r="I144" i="89" s="1"/>
  <c r="I157" i="89" s="1"/>
  <c r="I170" i="89" s="1"/>
  <c r="I183" i="89" s="1"/>
  <c r="I196" i="89" s="1"/>
  <c r="I209" i="89" s="1"/>
  <c r="H5" i="89"/>
  <c r="H105" i="89" s="1"/>
  <c r="H118" i="89" s="1"/>
  <c r="H131" i="89" s="1"/>
  <c r="H144" i="89" s="1"/>
  <c r="H157" i="89" s="1"/>
  <c r="H170" i="89" s="1"/>
  <c r="H183" i="89" s="1"/>
  <c r="H196" i="89" s="1"/>
  <c r="H209" i="89" s="1"/>
  <c r="G5" i="89"/>
  <c r="G105" i="89" s="1"/>
  <c r="G118" i="89" s="1"/>
  <c r="G131" i="89" s="1"/>
  <c r="G144" i="89" s="1"/>
  <c r="G157" i="89" s="1"/>
  <c r="G170" i="89" s="1"/>
  <c r="G183" i="89" s="1"/>
  <c r="G196" i="89" s="1"/>
  <c r="G209" i="89" s="1"/>
  <c r="F5" i="89"/>
  <c r="F105" i="89" s="1"/>
  <c r="F118" i="89" s="1"/>
  <c r="F131" i="89" s="1"/>
  <c r="F144" i="89" s="1"/>
  <c r="F157" i="89" s="1"/>
  <c r="F170" i="89" s="1"/>
  <c r="F183" i="89" s="1"/>
  <c r="F196" i="89" s="1"/>
  <c r="F209" i="89" s="1"/>
  <c r="E5" i="89"/>
  <c r="E105" i="89" s="1"/>
  <c r="E118" i="89" s="1"/>
  <c r="E131" i="89" s="1"/>
  <c r="E144" i="89" s="1"/>
  <c r="E157" i="89" s="1"/>
  <c r="E170" i="89" s="1"/>
  <c r="E183" i="89" s="1"/>
  <c r="E196" i="89" s="1"/>
  <c r="E209" i="89" s="1"/>
  <c r="D5" i="89"/>
  <c r="D105" i="89" s="1"/>
  <c r="D118" i="89" s="1"/>
  <c r="D131" i="89" s="1"/>
  <c r="D144" i="89" s="1"/>
  <c r="D157" i="89" s="1"/>
  <c r="D170" i="89" s="1"/>
  <c r="D183" i="89" s="1"/>
  <c r="D196" i="89" s="1"/>
  <c r="D209" i="89" s="1"/>
  <c r="C5" i="89"/>
  <c r="C105" i="89" s="1"/>
  <c r="C118" i="89" s="1"/>
  <c r="C131" i="89" s="1"/>
  <c r="C144" i="89" s="1"/>
  <c r="C157" i="89" s="1"/>
  <c r="C170" i="89" s="1"/>
  <c r="C183" i="89" s="1"/>
  <c r="C196" i="89" s="1"/>
  <c r="C209" i="89" s="1"/>
  <c r="A1" i="89"/>
  <c r="N213" i="88"/>
  <c r="N214" i="88" s="1"/>
  <c r="N215" i="88" s="1"/>
  <c r="M213" i="88"/>
  <c r="M217" i="88" s="1"/>
  <c r="L213" i="88"/>
  <c r="K213" i="88"/>
  <c r="J213" i="88"/>
  <c r="J217" i="88" s="1"/>
  <c r="I213" i="88"/>
  <c r="H213" i="88"/>
  <c r="G213" i="88"/>
  <c r="F213" i="88"/>
  <c r="E213" i="88"/>
  <c r="D213" i="88"/>
  <c r="C213" i="88"/>
  <c r="N200" i="88"/>
  <c r="M200" i="88"/>
  <c r="L200" i="88"/>
  <c r="K200" i="88"/>
  <c r="K204" i="88" s="1"/>
  <c r="J200" i="88"/>
  <c r="J201" i="88" s="1"/>
  <c r="I200" i="88"/>
  <c r="I204" i="88" s="1"/>
  <c r="H200" i="88"/>
  <c r="G200" i="88"/>
  <c r="G204" i="88" s="1"/>
  <c r="F200" i="88"/>
  <c r="E200" i="88"/>
  <c r="E204" i="88" s="1"/>
  <c r="D200" i="88"/>
  <c r="D201" i="88" s="1"/>
  <c r="D203" i="88" s="1"/>
  <c r="C200" i="88"/>
  <c r="N187" i="88"/>
  <c r="N188" i="88" s="1"/>
  <c r="M187" i="88"/>
  <c r="L187" i="88"/>
  <c r="K187" i="88"/>
  <c r="J187" i="88"/>
  <c r="J188" i="88" s="1"/>
  <c r="J190" i="88" s="1"/>
  <c r="I187" i="88"/>
  <c r="H187" i="88"/>
  <c r="H191" i="88" s="1"/>
  <c r="G187" i="88"/>
  <c r="F187" i="88"/>
  <c r="E187" i="88"/>
  <c r="D187" i="88"/>
  <c r="C187" i="88"/>
  <c r="N174" i="88"/>
  <c r="M174" i="88"/>
  <c r="L174" i="88"/>
  <c r="K174" i="88"/>
  <c r="J174" i="88"/>
  <c r="I174" i="88"/>
  <c r="H174" i="88"/>
  <c r="G174" i="88"/>
  <c r="F174" i="88"/>
  <c r="E174" i="88"/>
  <c r="D174" i="88"/>
  <c r="N161" i="88"/>
  <c r="M161" i="88"/>
  <c r="L161" i="88"/>
  <c r="K161" i="88"/>
  <c r="J161" i="88"/>
  <c r="I161" i="88"/>
  <c r="H161" i="88"/>
  <c r="G161" i="88"/>
  <c r="F161" i="88"/>
  <c r="E161" i="88"/>
  <c r="D161" i="88"/>
  <c r="N148" i="88"/>
  <c r="M148" i="88"/>
  <c r="L148" i="88"/>
  <c r="K148" i="88"/>
  <c r="J148" i="88"/>
  <c r="J149" i="88" s="1"/>
  <c r="I148" i="88"/>
  <c r="H148" i="88"/>
  <c r="G148" i="88"/>
  <c r="F148" i="88"/>
  <c r="E148" i="88"/>
  <c r="D148" i="88"/>
  <c r="N135" i="88"/>
  <c r="N136" i="88" s="1"/>
  <c r="M135" i="88"/>
  <c r="L135" i="88"/>
  <c r="K135" i="88"/>
  <c r="J135" i="88"/>
  <c r="J136" i="88" s="1"/>
  <c r="I135" i="88"/>
  <c r="H135" i="88"/>
  <c r="H136" i="88" s="1"/>
  <c r="H137" i="88" s="1"/>
  <c r="G135" i="88"/>
  <c r="F135" i="88"/>
  <c r="E135" i="88"/>
  <c r="E139" i="88" s="1"/>
  <c r="D135" i="88"/>
  <c r="C135" i="88"/>
  <c r="N122" i="88"/>
  <c r="M122" i="88"/>
  <c r="L122" i="88"/>
  <c r="L123" i="88" s="1"/>
  <c r="L128" i="88" s="1"/>
  <c r="K122" i="88"/>
  <c r="J122" i="88"/>
  <c r="J123" i="88" s="1"/>
  <c r="J128" i="88" s="1"/>
  <c r="I122" i="88"/>
  <c r="H122" i="88"/>
  <c r="H126" i="88" s="1"/>
  <c r="G122" i="88"/>
  <c r="G126" i="88" s="1"/>
  <c r="F122" i="88"/>
  <c r="F123" i="88" s="1"/>
  <c r="F128" i="88" s="1"/>
  <c r="E122" i="88"/>
  <c r="E126" i="88" s="1"/>
  <c r="D122" i="88"/>
  <c r="D126" i="88" s="1"/>
  <c r="C122" i="88"/>
  <c r="N120" i="88"/>
  <c r="N133" i="88" s="1"/>
  <c r="N146" i="88" s="1"/>
  <c r="N159" i="88" s="1"/>
  <c r="N172" i="88" s="1"/>
  <c r="N185" i="88" s="1"/>
  <c r="N198" i="88" s="1"/>
  <c r="N211" i="88" s="1"/>
  <c r="M120" i="88"/>
  <c r="M133" i="88" s="1"/>
  <c r="M146" i="88" s="1"/>
  <c r="M159" i="88" s="1"/>
  <c r="M172" i="88" s="1"/>
  <c r="M185" i="88" s="1"/>
  <c r="M198" i="88" s="1"/>
  <c r="M211" i="88" s="1"/>
  <c r="L120" i="88"/>
  <c r="L133" i="88" s="1"/>
  <c r="L146" i="88" s="1"/>
  <c r="L159" i="88" s="1"/>
  <c r="L172" i="88" s="1"/>
  <c r="L185" i="88" s="1"/>
  <c r="L198" i="88" s="1"/>
  <c r="L211" i="88" s="1"/>
  <c r="K120" i="88"/>
  <c r="K133" i="88" s="1"/>
  <c r="K146" i="88" s="1"/>
  <c r="K159" i="88" s="1"/>
  <c r="K172" i="88" s="1"/>
  <c r="K185" i="88" s="1"/>
  <c r="K198" i="88" s="1"/>
  <c r="K211" i="88" s="1"/>
  <c r="J120" i="88"/>
  <c r="J133" i="88" s="1"/>
  <c r="J146" i="88" s="1"/>
  <c r="J159" i="88" s="1"/>
  <c r="J172" i="88" s="1"/>
  <c r="J185" i="88" s="1"/>
  <c r="J198" i="88" s="1"/>
  <c r="J211" i="88" s="1"/>
  <c r="I120" i="88"/>
  <c r="I133" i="88" s="1"/>
  <c r="I146" i="88" s="1"/>
  <c r="I159" i="88" s="1"/>
  <c r="I172" i="88" s="1"/>
  <c r="I185" i="88" s="1"/>
  <c r="I198" i="88" s="1"/>
  <c r="I211" i="88" s="1"/>
  <c r="H120" i="88"/>
  <c r="H133" i="88" s="1"/>
  <c r="H146" i="88" s="1"/>
  <c r="H159" i="88" s="1"/>
  <c r="H172" i="88" s="1"/>
  <c r="H185" i="88" s="1"/>
  <c r="H198" i="88" s="1"/>
  <c r="H211" i="88" s="1"/>
  <c r="G120" i="88"/>
  <c r="G133" i="88" s="1"/>
  <c r="G146" i="88" s="1"/>
  <c r="G159" i="88" s="1"/>
  <c r="G172" i="88" s="1"/>
  <c r="G185" i="88" s="1"/>
  <c r="G198" i="88" s="1"/>
  <c r="G211" i="88" s="1"/>
  <c r="F120" i="88"/>
  <c r="F133" i="88"/>
  <c r="F146" i="88" s="1"/>
  <c r="F159" i="88" s="1"/>
  <c r="F172" i="88" s="1"/>
  <c r="F185" i="88" s="1"/>
  <c r="F198" i="88" s="1"/>
  <c r="F211" i="88" s="1"/>
  <c r="E120" i="88"/>
  <c r="E133" i="88" s="1"/>
  <c r="E146" i="88" s="1"/>
  <c r="E159" i="88" s="1"/>
  <c r="E172" i="88" s="1"/>
  <c r="E185" i="88" s="1"/>
  <c r="E198" i="88" s="1"/>
  <c r="E211" i="88" s="1"/>
  <c r="D120" i="88"/>
  <c r="D133" i="88" s="1"/>
  <c r="D146" i="88" s="1"/>
  <c r="D159" i="88" s="1"/>
  <c r="D172" i="88" s="1"/>
  <c r="D185" i="88" s="1"/>
  <c r="D198" i="88" s="1"/>
  <c r="D211" i="88" s="1"/>
  <c r="N119" i="88"/>
  <c r="N132" i="88" s="1"/>
  <c r="N145" i="88" s="1"/>
  <c r="N158" i="88" s="1"/>
  <c r="N171" i="88" s="1"/>
  <c r="N184" i="88" s="1"/>
  <c r="N197" i="88" s="1"/>
  <c r="N210" i="88" s="1"/>
  <c r="M119" i="88"/>
  <c r="M132" i="88" s="1"/>
  <c r="M145" i="88" s="1"/>
  <c r="M158" i="88" s="1"/>
  <c r="M171" i="88" s="1"/>
  <c r="M184" i="88" s="1"/>
  <c r="M197" i="88" s="1"/>
  <c r="M210" i="88" s="1"/>
  <c r="L119" i="88"/>
  <c r="L132" i="88" s="1"/>
  <c r="L145" i="88" s="1"/>
  <c r="L158" i="88" s="1"/>
  <c r="L171" i="88" s="1"/>
  <c r="L184" i="88" s="1"/>
  <c r="L197" i="88" s="1"/>
  <c r="L210" i="88" s="1"/>
  <c r="K119" i="88"/>
  <c r="K132" i="88" s="1"/>
  <c r="K145" i="88" s="1"/>
  <c r="K158" i="88" s="1"/>
  <c r="K171" i="88" s="1"/>
  <c r="K184" i="88" s="1"/>
  <c r="K197" i="88" s="1"/>
  <c r="K210" i="88" s="1"/>
  <c r="J119" i="88"/>
  <c r="J132" i="88" s="1"/>
  <c r="J145" i="88" s="1"/>
  <c r="J158" i="88" s="1"/>
  <c r="J171" i="88" s="1"/>
  <c r="J184" i="88" s="1"/>
  <c r="J197" i="88" s="1"/>
  <c r="J210" i="88" s="1"/>
  <c r="I119" i="88"/>
  <c r="I132" i="88" s="1"/>
  <c r="I145" i="88" s="1"/>
  <c r="I158" i="88" s="1"/>
  <c r="I171" i="88" s="1"/>
  <c r="I184" i="88" s="1"/>
  <c r="I197" i="88" s="1"/>
  <c r="I210" i="88" s="1"/>
  <c r="H119" i="88"/>
  <c r="H132" i="88" s="1"/>
  <c r="H145" i="88" s="1"/>
  <c r="H158" i="88" s="1"/>
  <c r="H171" i="88" s="1"/>
  <c r="H184" i="88" s="1"/>
  <c r="H197" i="88" s="1"/>
  <c r="H210" i="88" s="1"/>
  <c r="G119" i="88"/>
  <c r="G132" i="88"/>
  <c r="G145" i="88" s="1"/>
  <c r="G158" i="88" s="1"/>
  <c r="G171" i="88" s="1"/>
  <c r="G184" i="88" s="1"/>
  <c r="G197" i="88" s="1"/>
  <c r="G210" i="88" s="1"/>
  <c r="F119" i="88"/>
  <c r="F132" i="88" s="1"/>
  <c r="F145" i="88" s="1"/>
  <c r="F158" i="88" s="1"/>
  <c r="F171" i="88" s="1"/>
  <c r="F184" i="88" s="1"/>
  <c r="F197" i="88" s="1"/>
  <c r="F210" i="88" s="1"/>
  <c r="E119" i="88"/>
  <c r="E132" i="88" s="1"/>
  <c r="E145" i="88" s="1"/>
  <c r="E158" i="88" s="1"/>
  <c r="E171" i="88" s="1"/>
  <c r="E184" i="88" s="1"/>
  <c r="E197" i="88" s="1"/>
  <c r="E210" i="88" s="1"/>
  <c r="D119" i="88"/>
  <c r="D132" i="88" s="1"/>
  <c r="D145" i="88" s="1"/>
  <c r="D158" i="88" s="1"/>
  <c r="D171" i="88" s="1"/>
  <c r="D184" i="88" s="1"/>
  <c r="D197" i="88" s="1"/>
  <c r="D210" i="88" s="1"/>
  <c r="C119" i="88"/>
  <c r="C132" i="88" s="1"/>
  <c r="C145" i="88" s="1"/>
  <c r="C184" i="88" s="1"/>
  <c r="C197" i="88" s="1"/>
  <c r="C210" i="88" s="1"/>
  <c r="N109" i="88"/>
  <c r="M109" i="88"/>
  <c r="L109" i="88"/>
  <c r="K109" i="88"/>
  <c r="J109" i="88"/>
  <c r="J110" i="88" s="1"/>
  <c r="J115" i="88" s="1"/>
  <c r="I109" i="88"/>
  <c r="H109" i="88"/>
  <c r="G109" i="88"/>
  <c r="F109" i="88"/>
  <c r="E109" i="88"/>
  <c r="E113" i="88" s="1"/>
  <c r="D109" i="88"/>
  <c r="D110" i="88" s="1"/>
  <c r="D115" i="88" s="1"/>
  <c r="C109" i="88"/>
  <c r="C107" i="88"/>
  <c r="C120" i="88" s="1"/>
  <c r="C133" i="88" s="1"/>
  <c r="C185" i="88" s="1"/>
  <c r="C198" i="88" s="1"/>
  <c r="C211" i="88" s="1"/>
  <c r="N102" i="88"/>
  <c r="M102" i="88"/>
  <c r="L102" i="88"/>
  <c r="K102" i="88"/>
  <c r="J102" i="88"/>
  <c r="I102" i="88"/>
  <c r="H102" i="88"/>
  <c r="G102" i="88"/>
  <c r="F102" i="88"/>
  <c r="E102" i="88"/>
  <c r="D21" i="53" s="1"/>
  <c r="D102" i="88"/>
  <c r="C102" i="88"/>
  <c r="B94" i="88"/>
  <c r="B89" i="88"/>
  <c r="B88" i="88"/>
  <c r="B61" i="88"/>
  <c r="B60" i="88"/>
  <c r="B59" i="88"/>
  <c r="B58" i="88"/>
  <c r="B57" i="88"/>
  <c r="N46" i="88"/>
  <c r="M46" i="88"/>
  <c r="L46" i="88"/>
  <c r="K46" i="88"/>
  <c r="J46" i="88"/>
  <c r="I46" i="88"/>
  <c r="H46" i="88"/>
  <c r="G46" i="88"/>
  <c r="F46" i="88"/>
  <c r="E46" i="88"/>
  <c r="D46" i="88"/>
  <c r="B45" i="88"/>
  <c r="B44" i="88"/>
  <c r="B43" i="88"/>
  <c r="B42" i="88"/>
  <c r="B41" i="88"/>
  <c r="B40" i="88"/>
  <c r="B39" i="88"/>
  <c r="B38" i="88"/>
  <c r="B37" i="88"/>
  <c r="B36" i="88"/>
  <c r="B35" i="88"/>
  <c r="B34" i="88"/>
  <c r="B33" i="88"/>
  <c r="B32" i="88"/>
  <c r="B31" i="88"/>
  <c r="B30" i="88"/>
  <c r="B29" i="88"/>
  <c r="B28" i="88"/>
  <c r="B27" i="88"/>
  <c r="B26" i="88"/>
  <c r="B25" i="88"/>
  <c r="B24" i="88"/>
  <c r="B23" i="88"/>
  <c r="B22" i="88"/>
  <c r="B21" i="88"/>
  <c r="B20" i="88"/>
  <c r="B19" i="88"/>
  <c r="B18" i="88"/>
  <c r="B17" i="88"/>
  <c r="B16" i="88"/>
  <c r="B15" i="88"/>
  <c r="B14" i="88"/>
  <c r="B13" i="88"/>
  <c r="B12" i="88"/>
  <c r="B11" i="88"/>
  <c r="B10" i="88"/>
  <c r="B9" i="88"/>
  <c r="N5" i="88"/>
  <c r="N105" i="88" s="1"/>
  <c r="N118" i="88" s="1"/>
  <c r="N131" i="88" s="1"/>
  <c r="N144" i="88" s="1"/>
  <c r="N157" i="88" s="1"/>
  <c r="N170" i="88" s="1"/>
  <c r="N183" i="88" s="1"/>
  <c r="N196" i="88" s="1"/>
  <c r="N209" i="88" s="1"/>
  <c r="M5" i="88"/>
  <c r="M105" i="88" s="1"/>
  <c r="M118" i="88" s="1"/>
  <c r="M131" i="88" s="1"/>
  <c r="M144" i="88" s="1"/>
  <c r="M157" i="88" s="1"/>
  <c r="M170" i="88" s="1"/>
  <c r="M183" i="88" s="1"/>
  <c r="M196" i="88" s="1"/>
  <c r="M209" i="88" s="1"/>
  <c r="L5" i="88"/>
  <c r="L105" i="88" s="1"/>
  <c r="L118" i="88" s="1"/>
  <c r="L131" i="88" s="1"/>
  <c r="L144" i="88" s="1"/>
  <c r="L157" i="88" s="1"/>
  <c r="L170" i="88" s="1"/>
  <c r="L183" i="88" s="1"/>
  <c r="L196" i="88" s="1"/>
  <c r="L209" i="88" s="1"/>
  <c r="K5" i="88"/>
  <c r="K105" i="88" s="1"/>
  <c r="K118" i="88" s="1"/>
  <c r="K131" i="88" s="1"/>
  <c r="K144" i="88" s="1"/>
  <c r="K157" i="88" s="1"/>
  <c r="K170" i="88" s="1"/>
  <c r="K183" i="88" s="1"/>
  <c r="K196" i="88" s="1"/>
  <c r="K209" i="88" s="1"/>
  <c r="J5" i="88"/>
  <c r="J105" i="88" s="1"/>
  <c r="J118" i="88" s="1"/>
  <c r="J131" i="88" s="1"/>
  <c r="J144" i="88" s="1"/>
  <c r="J157" i="88" s="1"/>
  <c r="J170" i="88" s="1"/>
  <c r="J183" i="88" s="1"/>
  <c r="J196" i="88" s="1"/>
  <c r="J209" i="88" s="1"/>
  <c r="I5" i="88"/>
  <c r="I105" i="88" s="1"/>
  <c r="I118" i="88" s="1"/>
  <c r="I131" i="88" s="1"/>
  <c r="I144" i="88" s="1"/>
  <c r="I157" i="88" s="1"/>
  <c r="I170" i="88" s="1"/>
  <c r="I183" i="88" s="1"/>
  <c r="I196" i="88" s="1"/>
  <c r="I209" i="88" s="1"/>
  <c r="H5" i="88"/>
  <c r="H105" i="88" s="1"/>
  <c r="H118" i="88" s="1"/>
  <c r="H131" i="88" s="1"/>
  <c r="H144" i="88" s="1"/>
  <c r="H157" i="88" s="1"/>
  <c r="H170" i="88" s="1"/>
  <c r="H183" i="88" s="1"/>
  <c r="H196" i="88" s="1"/>
  <c r="H209" i="88" s="1"/>
  <c r="G5" i="88"/>
  <c r="G105" i="88" s="1"/>
  <c r="G118" i="88" s="1"/>
  <c r="G131" i="88" s="1"/>
  <c r="G144" i="88" s="1"/>
  <c r="G157" i="88" s="1"/>
  <c r="G170" i="88" s="1"/>
  <c r="G183" i="88" s="1"/>
  <c r="G196" i="88" s="1"/>
  <c r="G209" i="88" s="1"/>
  <c r="F5" i="88"/>
  <c r="F105" i="88" s="1"/>
  <c r="F118" i="88" s="1"/>
  <c r="F131" i="88" s="1"/>
  <c r="F144" i="88" s="1"/>
  <c r="F157" i="88" s="1"/>
  <c r="F170" i="88" s="1"/>
  <c r="F183" i="88" s="1"/>
  <c r="F196" i="88" s="1"/>
  <c r="F209" i="88" s="1"/>
  <c r="E5" i="88"/>
  <c r="E105" i="88" s="1"/>
  <c r="E118" i="88" s="1"/>
  <c r="E131" i="88" s="1"/>
  <c r="E144" i="88" s="1"/>
  <c r="E157" i="88" s="1"/>
  <c r="E170" i="88" s="1"/>
  <c r="E183" i="88" s="1"/>
  <c r="E196" i="88" s="1"/>
  <c r="E209" i="88" s="1"/>
  <c r="D5" i="88"/>
  <c r="D105" i="88" s="1"/>
  <c r="D118" i="88" s="1"/>
  <c r="D131" i="88" s="1"/>
  <c r="D144" i="88" s="1"/>
  <c r="D157" i="88" s="1"/>
  <c r="D170" i="88" s="1"/>
  <c r="D183" i="88" s="1"/>
  <c r="D196" i="88" s="1"/>
  <c r="D209" i="88" s="1"/>
  <c r="C5" i="88"/>
  <c r="C105" i="88" s="1"/>
  <c r="C118" i="88" s="1"/>
  <c r="C131" i="88" s="1"/>
  <c r="C144" i="88" s="1"/>
  <c r="C183" i="88" s="1"/>
  <c r="C196" i="88" s="1"/>
  <c r="C209" i="88" s="1"/>
  <c r="A1" i="88"/>
  <c r="N167" i="91"/>
  <c r="N172" i="91" s="1"/>
  <c r="J154" i="91"/>
  <c r="H154" i="91"/>
  <c r="L193" i="91"/>
  <c r="L198" i="91" s="1"/>
  <c r="M209" i="91"/>
  <c r="J193" i="91"/>
  <c r="J198" i="91" s="1"/>
  <c r="C139" i="90"/>
  <c r="L201" i="90"/>
  <c r="L203" i="90" s="1"/>
  <c r="E162" i="89"/>
  <c r="H136" i="89"/>
  <c r="E123" i="88"/>
  <c r="L149" i="88"/>
  <c r="L154" i="88" s="1"/>
  <c r="B39" i="82"/>
  <c r="B40" i="82"/>
  <c r="B41" i="82"/>
  <c r="B42" i="82"/>
  <c r="B43" i="82"/>
  <c r="L163" i="89"/>
  <c r="J189" i="88"/>
  <c r="D202" i="88"/>
  <c r="C71" i="63"/>
  <c r="C5" i="82"/>
  <c r="C105" i="82" s="1"/>
  <c r="C118" i="82" s="1"/>
  <c r="C131" i="82" s="1"/>
  <c r="C144" i="82" s="1"/>
  <c r="C157" i="82" s="1"/>
  <c r="C170" i="82" s="1"/>
  <c r="C183" i="82" s="1"/>
  <c r="C196" i="82" s="1"/>
  <c r="C209" i="82" s="1"/>
  <c r="C222" i="82" s="1"/>
  <c r="C235" i="82" s="1"/>
  <c r="C248" i="82" s="1"/>
  <c r="C261" i="82" s="1"/>
  <c r="C274" i="82" s="1"/>
  <c r="C287" i="82" s="1"/>
  <c r="C300" i="82" s="1"/>
  <c r="C313" i="82" s="1"/>
  <c r="C326" i="82" s="1"/>
  <c r="C339" i="82" s="1"/>
  <c r="C352" i="82" s="1"/>
  <c r="C5" i="53"/>
  <c r="C25" i="53" s="1"/>
  <c r="C48" i="53" s="1"/>
  <c r="D5" i="53"/>
  <c r="D25" i="53" s="1"/>
  <c r="D48" i="53" s="1"/>
  <c r="E5" i="53"/>
  <c r="E25" i="53" s="1"/>
  <c r="E48" i="53" s="1"/>
  <c r="F5" i="53"/>
  <c r="F25" i="53" s="1"/>
  <c r="F48" i="53" s="1"/>
  <c r="G5" i="53"/>
  <c r="G25" i="53" s="1"/>
  <c r="G48" i="53" s="1"/>
  <c r="H5" i="53"/>
  <c r="H25" i="53" s="1"/>
  <c r="H48" i="53" s="1"/>
  <c r="I5" i="53"/>
  <c r="I25" i="53" s="1"/>
  <c r="I48" i="53" s="1"/>
  <c r="J5" i="53"/>
  <c r="J25" i="53" s="1"/>
  <c r="J48" i="53" s="1"/>
  <c r="K5" i="53"/>
  <c r="K25" i="53" s="1"/>
  <c r="K48" i="53" s="1"/>
  <c r="L5" i="53"/>
  <c r="L25" i="53" s="1"/>
  <c r="L48" i="53" s="1"/>
  <c r="M5" i="53"/>
  <c r="M25" i="53" s="1"/>
  <c r="M48" i="53" s="1"/>
  <c r="B5" i="53"/>
  <c r="B25" i="53" s="1"/>
  <c r="B48" i="53" s="1"/>
  <c r="B11" i="83"/>
  <c r="B10" i="80"/>
  <c r="B18" i="87"/>
  <c r="B16" i="87"/>
  <c r="H14" i="87"/>
  <c r="E2" i="87" s="1"/>
  <c r="D13" i="87"/>
  <c r="B13" i="87"/>
  <c r="H11" i="87"/>
  <c r="F11" i="87"/>
  <c r="E11" i="87"/>
  <c r="M10" i="87"/>
  <c r="H10" i="87"/>
  <c r="F10" i="87"/>
  <c r="E10" i="87"/>
  <c r="H9" i="87"/>
  <c r="F9" i="87"/>
  <c r="E9" i="87"/>
  <c r="H8" i="87"/>
  <c r="F8" i="87"/>
  <c r="E8" i="87"/>
  <c r="H7" i="87"/>
  <c r="F7" i="87"/>
  <c r="E7" i="87"/>
  <c r="F135" i="75"/>
  <c r="F136" i="75" s="1"/>
  <c r="N107" i="1"/>
  <c r="N120" i="1" s="1"/>
  <c r="N133" i="1" s="1"/>
  <c r="N146" i="1" s="1"/>
  <c r="N159" i="1" s="1"/>
  <c r="N172" i="1" s="1"/>
  <c r="H107" i="1"/>
  <c r="H120" i="1" s="1"/>
  <c r="H133" i="1" s="1"/>
  <c r="H146" i="1" s="1"/>
  <c r="H159" i="1" s="1"/>
  <c r="H172" i="1" s="1"/>
  <c r="F107" i="1"/>
  <c r="F120" i="1" s="1"/>
  <c r="F133" i="1" s="1"/>
  <c r="F146" i="1" s="1"/>
  <c r="F159" i="1" s="1"/>
  <c r="F172" i="1" s="1"/>
  <c r="N107" i="75"/>
  <c r="N120" i="75" s="1"/>
  <c r="N133" i="75" s="1"/>
  <c r="N146" i="75" s="1"/>
  <c r="N159" i="75" s="1"/>
  <c r="N172" i="75" s="1"/>
  <c r="N185" i="75" s="1"/>
  <c r="N198" i="75" s="1"/>
  <c r="H107" i="75"/>
  <c r="H120" i="75" s="1"/>
  <c r="H133" i="75" s="1"/>
  <c r="H146" i="75" s="1"/>
  <c r="H159" i="75" s="1"/>
  <c r="H172" i="75" s="1"/>
  <c r="H185" i="75" s="1"/>
  <c r="H198" i="75" s="1"/>
  <c r="F107" i="75"/>
  <c r="N108" i="77"/>
  <c r="N121" i="77" s="1"/>
  <c r="N134" i="77" s="1"/>
  <c r="N147" i="77" s="1"/>
  <c r="N160" i="77" s="1"/>
  <c r="N173" i="77" s="1"/>
  <c r="N186" i="77" s="1"/>
  <c r="N199" i="77" s="1"/>
  <c r="H108" i="77"/>
  <c r="H121" i="77" s="1"/>
  <c r="H134" i="77" s="1"/>
  <c r="H147" i="77" s="1"/>
  <c r="H160" i="77" s="1"/>
  <c r="H173" i="77" s="1"/>
  <c r="H186" i="77" s="1"/>
  <c r="H199" i="77" s="1"/>
  <c r="F108" i="77"/>
  <c r="F121" i="77" s="1"/>
  <c r="F134" i="77" s="1"/>
  <c r="F147" i="77" s="1"/>
  <c r="F160" i="77" s="1"/>
  <c r="F173" i="77" s="1"/>
  <c r="F186" i="77" s="1"/>
  <c r="F199" i="77" s="1"/>
  <c r="N107" i="80"/>
  <c r="N120" i="80" s="1"/>
  <c r="N133" i="80" s="1"/>
  <c r="N146" i="80" s="1"/>
  <c r="N159" i="80" s="1"/>
  <c r="N172" i="80" s="1"/>
  <c r="N185" i="80" s="1"/>
  <c r="N198" i="80" s="1"/>
  <c r="N211" i="80" s="1"/>
  <c r="N224" i="80" s="1"/>
  <c r="N237" i="80" s="1"/>
  <c r="H107" i="80"/>
  <c r="F107" i="80"/>
  <c r="N107" i="82"/>
  <c r="N120" i="82" s="1"/>
  <c r="N133" i="82" s="1"/>
  <c r="N146" i="82" s="1"/>
  <c r="N159" i="82" s="1"/>
  <c r="N172" i="82" s="1"/>
  <c r="N185" i="82" s="1"/>
  <c r="N198" i="82" s="1"/>
  <c r="N211" i="82" s="1"/>
  <c r="N224" i="82" s="1"/>
  <c r="N237" i="82" s="1"/>
  <c r="N250" i="82" s="1"/>
  <c r="N263" i="82" s="1"/>
  <c r="N276" i="82" s="1"/>
  <c r="N289" i="82" s="1"/>
  <c r="N302" i="82" s="1"/>
  <c r="N315" i="82" s="1"/>
  <c r="N328" i="82" s="1"/>
  <c r="N341" i="82" s="1"/>
  <c r="N354" i="82" s="1"/>
  <c r="N367" i="82" s="1"/>
  <c r="N418" i="82" s="1"/>
  <c r="N431" i="82" s="1"/>
  <c r="N444" i="82" s="1"/>
  <c r="N457" i="82" s="1"/>
  <c r="H107" i="82"/>
  <c r="H120" i="82" s="1"/>
  <c r="H133" i="82" s="1"/>
  <c r="H146" i="82" s="1"/>
  <c r="H159" i="82" s="1"/>
  <c r="H172" i="82" s="1"/>
  <c r="H185" i="82" s="1"/>
  <c r="H198" i="82" s="1"/>
  <c r="H211" i="82" s="1"/>
  <c r="H224" i="82" s="1"/>
  <c r="H237" i="82" s="1"/>
  <c r="H250" i="82" s="1"/>
  <c r="H263" i="82" s="1"/>
  <c r="H276" i="82" s="1"/>
  <c r="H289" i="82" s="1"/>
  <c r="H302" i="82" s="1"/>
  <c r="H315" i="82" s="1"/>
  <c r="H328" i="82" s="1"/>
  <c r="H341" i="82" s="1"/>
  <c r="H354" i="82" s="1"/>
  <c r="H367" i="82" s="1"/>
  <c r="H418" i="82" s="1"/>
  <c r="H431" i="82" s="1"/>
  <c r="H444" i="82" s="1"/>
  <c r="H457" i="82" s="1"/>
  <c r="F107" i="82"/>
  <c r="F120" i="82" s="1"/>
  <c r="N107" i="83"/>
  <c r="N120" i="83" s="1"/>
  <c r="N133" i="83" s="1"/>
  <c r="M198" i="83"/>
  <c r="H107" i="83"/>
  <c r="H120" i="83" s="1"/>
  <c r="H133" i="83" s="1"/>
  <c r="F107" i="83"/>
  <c r="F120" i="83" s="1"/>
  <c r="F133" i="83" s="1"/>
  <c r="D5" i="83"/>
  <c r="D105" i="83" s="1"/>
  <c r="D118" i="83" s="1"/>
  <c r="D131" i="83" s="1"/>
  <c r="E5" i="83"/>
  <c r="E105" i="83" s="1"/>
  <c r="E118" i="83" s="1"/>
  <c r="E131" i="83" s="1"/>
  <c r="F5" i="83"/>
  <c r="F105" i="83" s="1"/>
  <c r="F118" i="83" s="1"/>
  <c r="F131" i="83" s="1"/>
  <c r="G5" i="83"/>
  <c r="G105" i="83" s="1"/>
  <c r="G118" i="83" s="1"/>
  <c r="G131" i="83" s="1"/>
  <c r="H5" i="83"/>
  <c r="H105" i="83" s="1"/>
  <c r="H118" i="83" s="1"/>
  <c r="H131" i="83" s="1"/>
  <c r="I5" i="83"/>
  <c r="I105" i="83" s="1"/>
  <c r="I118" i="83" s="1"/>
  <c r="I131" i="83" s="1"/>
  <c r="J5" i="83"/>
  <c r="J105" i="83" s="1"/>
  <c r="J118" i="83" s="1"/>
  <c r="J131" i="83" s="1"/>
  <c r="K5" i="83"/>
  <c r="K105" i="83" s="1"/>
  <c r="K118" i="83" s="1"/>
  <c r="K131" i="83" s="1"/>
  <c r="L5" i="83"/>
  <c r="L105" i="83" s="1"/>
  <c r="L118" i="83" s="1"/>
  <c r="L131" i="83" s="1"/>
  <c r="M5" i="83"/>
  <c r="M105" i="83" s="1"/>
  <c r="M118" i="83" s="1"/>
  <c r="M131" i="83" s="1"/>
  <c r="N5" i="83"/>
  <c r="N105" i="83" s="1"/>
  <c r="N118" i="83" s="1"/>
  <c r="N131" i="83" s="1"/>
  <c r="C5" i="83"/>
  <c r="C105" i="83" s="1"/>
  <c r="C118" i="83" s="1"/>
  <c r="C131" i="83" s="1"/>
  <c r="D5" i="82"/>
  <c r="D105" i="82" s="1"/>
  <c r="D118" i="82" s="1"/>
  <c r="D131" i="82" s="1"/>
  <c r="D144" i="82" s="1"/>
  <c r="D157" i="82" s="1"/>
  <c r="D170" i="82" s="1"/>
  <c r="D183" i="82" s="1"/>
  <c r="D196" i="82" s="1"/>
  <c r="D209" i="82" s="1"/>
  <c r="D222" i="82" s="1"/>
  <c r="D235" i="82" s="1"/>
  <c r="D248" i="82" s="1"/>
  <c r="D261" i="82" s="1"/>
  <c r="D274" i="82" s="1"/>
  <c r="D287" i="82" s="1"/>
  <c r="D300" i="82" s="1"/>
  <c r="D313" i="82" s="1"/>
  <c r="D326" i="82" s="1"/>
  <c r="D339" i="82" s="1"/>
  <c r="D352" i="82" s="1"/>
  <c r="E5" i="82"/>
  <c r="E105" i="82" s="1"/>
  <c r="E118" i="82" s="1"/>
  <c r="E131" i="82" s="1"/>
  <c r="E144" i="82" s="1"/>
  <c r="E157" i="82" s="1"/>
  <c r="E170" i="82" s="1"/>
  <c r="E183" i="82" s="1"/>
  <c r="E196" i="82" s="1"/>
  <c r="E209" i="82" s="1"/>
  <c r="E222" i="82" s="1"/>
  <c r="E235" i="82" s="1"/>
  <c r="E248" i="82" s="1"/>
  <c r="E261" i="82" s="1"/>
  <c r="E274" i="82" s="1"/>
  <c r="E287" i="82" s="1"/>
  <c r="E300" i="82" s="1"/>
  <c r="E313" i="82" s="1"/>
  <c r="E326" i="82" s="1"/>
  <c r="E339" i="82" s="1"/>
  <c r="E352" i="82" s="1"/>
  <c r="F5" i="82"/>
  <c r="F105" i="82" s="1"/>
  <c r="F118" i="82" s="1"/>
  <c r="F131" i="82" s="1"/>
  <c r="F144" i="82" s="1"/>
  <c r="F157" i="82" s="1"/>
  <c r="F170" i="82" s="1"/>
  <c r="F183" i="82" s="1"/>
  <c r="F196" i="82" s="1"/>
  <c r="F209" i="82" s="1"/>
  <c r="F222" i="82" s="1"/>
  <c r="F235" i="82" s="1"/>
  <c r="F248" i="82" s="1"/>
  <c r="F261" i="82" s="1"/>
  <c r="F274" i="82" s="1"/>
  <c r="F287" i="82" s="1"/>
  <c r="F300" i="82" s="1"/>
  <c r="F313" i="82" s="1"/>
  <c r="F326" i="82" s="1"/>
  <c r="F339" i="82" s="1"/>
  <c r="F352" i="82" s="1"/>
  <c r="G5" i="82"/>
  <c r="G105" i="82" s="1"/>
  <c r="G118" i="82" s="1"/>
  <c r="G131" i="82" s="1"/>
  <c r="G144" i="82" s="1"/>
  <c r="G157" i="82" s="1"/>
  <c r="G170" i="82" s="1"/>
  <c r="G183" i="82" s="1"/>
  <c r="G196" i="82" s="1"/>
  <c r="G209" i="82" s="1"/>
  <c r="G222" i="82" s="1"/>
  <c r="G235" i="82" s="1"/>
  <c r="G248" i="82" s="1"/>
  <c r="G261" i="82" s="1"/>
  <c r="G274" i="82" s="1"/>
  <c r="G287" i="82" s="1"/>
  <c r="G300" i="82" s="1"/>
  <c r="G313" i="82" s="1"/>
  <c r="G326" i="82" s="1"/>
  <c r="G339" i="82" s="1"/>
  <c r="G352" i="82" s="1"/>
  <c r="H5" i="82"/>
  <c r="H105" i="82" s="1"/>
  <c r="H118" i="82" s="1"/>
  <c r="H131" i="82" s="1"/>
  <c r="H144" i="82" s="1"/>
  <c r="H157" i="82" s="1"/>
  <c r="H170" i="82" s="1"/>
  <c r="H183" i="82" s="1"/>
  <c r="H196" i="82" s="1"/>
  <c r="H209" i="82" s="1"/>
  <c r="H222" i="82" s="1"/>
  <c r="H235" i="82" s="1"/>
  <c r="H248" i="82" s="1"/>
  <c r="H261" i="82" s="1"/>
  <c r="H274" i="82" s="1"/>
  <c r="H287" i="82" s="1"/>
  <c r="H300" i="82" s="1"/>
  <c r="H313" i="82" s="1"/>
  <c r="H326" i="82" s="1"/>
  <c r="H339" i="82" s="1"/>
  <c r="H352" i="82" s="1"/>
  <c r="I5" i="82"/>
  <c r="I105" i="82" s="1"/>
  <c r="I118" i="82" s="1"/>
  <c r="I131" i="82" s="1"/>
  <c r="I144" i="82" s="1"/>
  <c r="I157" i="82" s="1"/>
  <c r="I170" i="82" s="1"/>
  <c r="I183" i="82" s="1"/>
  <c r="I196" i="82" s="1"/>
  <c r="I209" i="82" s="1"/>
  <c r="I222" i="82" s="1"/>
  <c r="I235" i="82" s="1"/>
  <c r="I248" i="82" s="1"/>
  <c r="I261" i="82" s="1"/>
  <c r="I274" i="82" s="1"/>
  <c r="I287" i="82" s="1"/>
  <c r="I300" i="82" s="1"/>
  <c r="I313" i="82" s="1"/>
  <c r="I326" i="82" s="1"/>
  <c r="I339" i="82" s="1"/>
  <c r="I352" i="82" s="1"/>
  <c r="J5" i="82"/>
  <c r="J105" i="82" s="1"/>
  <c r="J118" i="82" s="1"/>
  <c r="J131" i="82" s="1"/>
  <c r="J144" i="82" s="1"/>
  <c r="J157" i="82" s="1"/>
  <c r="J170" i="82" s="1"/>
  <c r="J183" i="82" s="1"/>
  <c r="J196" i="82" s="1"/>
  <c r="J209" i="82" s="1"/>
  <c r="J222" i="82" s="1"/>
  <c r="J235" i="82" s="1"/>
  <c r="J248" i="82" s="1"/>
  <c r="J261" i="82" s="1"/>
  <c r="J274" i="82" s="1"/>
  <c r="J287" i="82" s="1"/>
  <c r="J300" i="82" s="1"/>
  <c r="J313" i="82" s="1"/>
  <c r="J326" i="82" s="1"/>
  <c r="J339" i="82" s="1"/>
  <c r="J352" i="82" s="1"/>
  <c r="K5" i="82"/>
  <c r="K105" i="82" s="1"/>
  <c r="K118" i="82" s="1"/>
  <c r="K131" i="82" s="1"/>
  <c r="K144" i="82" s="1"/>
  <c r="K157" i="82" s="1"/>
  <c r="K170" i="82" s="1"/>
  <c r="K183" i="82" s="1"/>
  <c r="K196" i="82" s="1"/>
  <c r="K209" i="82" s="1"/>
  <c r="K222" i="82" s="1"/>
  <c r="K235" i="82" s="1"/>
  <c r="K248" i="82" s="1"/>
  <c r="K261" i="82" s="1"/>
  <c r="K274" i="82" s="1"/>
  <c r="K287" i="82" s="1"/>
  <c r="K300" i="82" s="1"/>
  <c r="K313" i="82" s="1"/>
  <c r="K326" i="82" s="1"/>
  <c r="K339" i="82" s="1"/>
  <c r="K352" i="82" s="1"/>
  <c r="L5" i="82"/>
  <c r="L105" i="82" s="1"/>
  <c r="L118" i="82" s="1"/>
  <c r="L131" i="82" s="1"/>
  <c r="L144" i="82" s="1"/>
  <c r="L157" i="82" s="1"/>
  <c r="L170" i="82" s="1"/>
  <c r="L183" i="82" s="1"/>
  <c r="L196" i="82" s="1"/>
  <c r="L209" i="82" s="1"/>
  <c r="L222" i="82" s="1"/>
  <c r="L235" i="82" s="1"/>
  <c r="L248" i="82" s="1"/>
  <c r="L261" i="82" s="1"/>
  <c r="L274" i="82" s="1"/>
  <c r="L287" i="82" s="1"/>
  <c r="L300" i="82" s="1"/>
  <c r="L313" i="82" s="1"/>
  <c r="L326" i="82" s="1"/>
  <c r="L339" i="82" s="1"/>
  <c r="L352" i="82" s="1"/>
  <c r="M5" i="82"/>
  <c r="M105" i="82" s="1"/>
  <c r="M118" i="82" s="1"/>
  <c r="M131" i="82" s="1"/>
  <c r="M144" i="82" s="1"/>
  <c r="M157" i="82" s="1"/>
  <c r="M170" i="82" s="1"/>
  <c r="M183" i="82" s="1"/>
  <c r="M196" i="82" s="1"/>
  <c r="M209" i="82" s="1"/>
  <c r="M222" i="82" s="1"/>
  <c r="M235" i="82" s="1"/>
  <c r="M248" i="82" s="1"/>
  <c r="M261" i="82" s="1"/>
  <c r="M274" i="82" s="1"/>
  <c r="M287" i="82" s="1"/>
  <c r="M300" i="82" s="1"/>
  <c r="M313" i="82" s="1"/>
  <c r="M326" i="82" s="1"/>
  <c r="M339" i="82" s="1"/>
  <c r="M352" i="82" s="1"/>
  <c r="N5" i="82"/>
  <c r="N105" i="82" s="1"/>
  <c r="N118" i="82" s="1"/>
  <c r="N131" i="82" s="1"/>
  <c r="N144" i="82" s="1"/>
  <c r="N157" i="82" s="1"/>
  <c r="N170" i="82" s="1"/>
  <c r="N183" i="82" s="1"/>
  <c r="N196" i="82" s="1"/>
  <c r="N209" i="82" s="1"/>
  <c r="N222" i="82" s="1"/>
  <c r="N235" i="82" s="1"/>
  <c r="N248" i="82" s="1"/>
  <c r="N261" i="82" s="1"/>
  <c r="N274" i="82" s="1"/>
  <c r="N287" i="82" s="1"/>
  <c r="N300" i="82" s="1"/>
  <c r="N313" i="82" s="1"/>
  <c r="N326" i="82" s="1"/>
  <c r="N339" i="82" s="1"/>
  <c r="N352" i="82" s="1"/>
  <c r="D5" i="81"/>
  <c r="D105" i="81" s="1"/>
  <c r="D118" i="81" s="1"/>
  <c r="D131" i="81" s="1"/>
  <c r="D144" i="81" s="1"/>
  <c r="D157" i="81" s="1"/>
  <c r="D170" i="81" s="1"/>
  <c r="D183" i="81" s="1"/>
  <c r="D196" i="81" s="1"/>
  <c r="D209" i="81" s="1"/>
  <c r="E5" i="81"/>
  <c r="E105" i="81" s="1"/>
  <c r="E118" i="81" s="1"/>
  <c r="E131" i="81" s="1"/>
  <c r="E144" i="81" s="1"/>
  <c r="E157" i="81" s="1"/>
  <c r="E170" i="81" s="1"/>
  <c r="E183" i="81" s="1"/>
  <c r="E196" i="81" s="1"/>
  <c r="E209" i="81" s="1"/>
  <c r="F5" i="81"/>
  <c r="F105" i="81" s="1"/>
  <c r="F118" i="81" s="1"/>
  <c r="F131" i="81" s="1"/>
  <c r="F144" i="81" s="1"/>
  <c r="F157" i="81" s="1"/>
  <c r="F170" i="81" s="1"/>
  <c r="F183" i="81" s="1"/>
  <c r="F196" i="81" s="1"/>
  <c r="F209" i="81" s="1"/>
  <c r="G5" i="81"/>
  <c r="H5" i="81"/>
  <c r="H105" i="81" s="1"/>
  <c r="H118" i="81" s="1"/>
  <c r="H131" i="81" s="1"/>
  <c r="H144" i="81" s="1"/>
  <c r="H157" i="81" s="1"/>
  <c r="H170" i="81" s="1"/>
  <c r="H183" i="81" s="1"/>
  <c r="H196" i="81" s="1"/>
  <c r="H209" i="81" s="1"/>
  <c r="I5" i="81"/>
  <c r="I105" i="81" s="1"/>
  <c r="I118" i="81" s="1"/>
  <c r="I131" i="81" s="1"/>
  <c r="I144" i="81" s="1"/>
  <c r="I157" i="81" s="1"/>
  <c r="I170" i="81" s="1"/>
  <c r="I183" i="81" s="1"/>
  <c r="I196" i="81" s="1"/>
  <c r="I209" i="81" s="1"/>
  <c r="J5" i="81"/>
  <c r="J105" i="81" s="1"/>
  <c r="J118" i="81" s="1"/>
  <c r="J131" i="81" s="1"/>
  <c r="J144" i="81" s="1"/>
  <c r="J157" i="81" s="1"/>
  <c r="J170" i="81" s="1"/>
  <c r="J183" i="81" s="1"/>
  <c r="J196" i="81" s="1"/>
  <c r="J209" i="81" s="1"/>
  <c r="K5" i="81"/>
  <c r="K105" i="81" s="1"/>
  <c r="K118" i="81" s="1"/>
  <c r="K131" i="81" s="1"/>
  <c r="K144" i="81" s="1"/>
  <c r="K157" i="81" s="1"/>
  <c r="K170" i="81" s="1"/>
  <c r="K183" i="81" s="1"/>
  <c r="K196" i="81" s="1"/>
  <c r="K209" i="81" s="1"/>
  <c r="L5" i="81"/>
  <c r="L105" i="81" s="1"/>
  <c r="L118" i="81" s="1"/>
  <c r="L131" i="81" s="1"/>
  <c r="L144" i="81" s="1"/>
  <c r="L157" i="81" s="1"/>
  <c r="L170" i="81" s="1"/>
  <c r="L183" i="81" s="1"/>
  <c r="L196" i="81" s="1"/>
  <c r="L209" i="81" s="1"/>
  <c r="M5" i="81"/>
  <c r="M105" i="81" s="1"/>
  <c r="M118" i="81" s="1"/>
  <c r="M131" i="81" s="1"/>
  <c r="M144" i="81" s="1"/>
  <c r="M157" i="81" s="1"/>
  <c r="M170" i="81" s="1"/>
  <c r="M183" i="81" s="1"/>
  <c r="M196" i="81" s="1"/>
  <c r="M209" i="81" s="1"/>
  <c r="N5" i="81"/>
  <c r="N105" i="81" s="1"/>
  <c r="N118" i="81" s="1"/>
  <c r="N131" i="81" s="1"/>
  <c r="N144" i="81" s="1"/>
  <c r="N157" i="81" s="1"/>
  <c r="N170" i="81" s="1"/>
  <c r="N183" i="81" s="1"/>
  <c r="N196" i="81" s="1"/>
  <c r="N209" i="81" s="1"/>
  <c r="C5" i="81"/>
  <c r="C105" i="81" s="1"/>
  <c r="C118" i="81" s="1"/>
  <c r="C131" i="81" s="1"/>
  <c r="C144" i="81" s="1"/>
  <c r="C157" i="81" s="1"/>
  <c r="C170" i="81" s="1"/>
  <c r="C183" i="81" s="1"/>
  <c r="C196" i="81" s="1"/>
  <c r="C209" i="81" s="1"/>
  <c r="D5" i="80"/>
  <c r="D105" i="80" s="1"/>
  <c r="D118" i="80" s="1"/>
  <c r="D131" i="80" s="1"/>
  <c r="D144" i="80" s="1"/>
  <c r="D157" i="80" s="1"/>
  <c r="D170" i="80" s="1"/>
  <c r="D183" i="80" s="1"/>
  <c r="D196" i="80" s="1"/>
  <c r="D209" i="80" s="1"/>
  <c r="D222" i="80" s="1"/>
  <c r="D235" i="80" s="1"/>
  <c r="E5" i="80"/>
  <c r="E105" i="80" s="1"/>
  <c r="E118" i="80" s="1"/>
  <c r="E131" i="80" s="1"/>
  <c r="E144" i="80" s="1"/>
  <c r="E157" i="80" s="1"/>
  <c r="E170" i="80" s="1"/>
  <c r="E183" i="80" s="1"/>
  <c r="E196" i="80" s="1"/>
  <c r="E209" i="80" s="1"/>
  <c r="E222" i="80" s="1"/>
  <c r="E235" i="80" s="1"/>
  <c r="F5" i="80"/>
  <c r="F105" i="80" s="1"/>
  <c r="F118" i="80" s="1"/>
  <c r="F131" i="80" s="1"/>
  <c r="F144" i="80" s="1"/>
  <c r="F157" i="80" s="1"/>
  <c r="F170" i="80" s="1"/>
  <c r="F183" i="80" s="1"/>
  <c r="F196" i="80" s="1"/>
  <c r="F209" i="80" s="1"/>
  <c r="F222" i="80" s="1"/>
  <c r="F235" i="80" s="1"/>
  <c r="G5" i="80"/>
  <c r="G105" i="80" s="1"/>
  <c r="G118" i="80" s="1"/>
  <c r="G131" i="80" s="1"/>
  <c r="G144" i="80" s="1"/>
  <c r="G157" i="80" s="1"/>
  <c r="G170" i="80" s="1"/>
  <c r="G183" i="80" s="1"/>
  <c r="G196" i="80" s="1"/>
  <c r="G209" i="80" s="1"/>
  <c r="G222" i="80" s="1"/>
  <c r="G235" i="80" s="1"/>
  <c r="H5" i="80"/>
  <c r="H105" i="80" s="1"/>
  <c r="H118" i="80" s="1"/>
  <c r="H131" i="80" s="1"/>
  <c r="H144" i="80" s="1"/>
  <c r="H157" i="80" s="1"/>
  <c r="H170" i="80" s="1"/>
  <c r="H183" i="80" s="1"/>
  <c r="H196" i="80" s="1"/>
  <c r="H209" i="80" s="1"/>
  <c r="H222" i="80" s="1"/>
  <c r="H235" i="80" s="1"/>
  <c r="I5" i="80"/>
  <c r="I105" i="80" s="1"/>
  <c r="I118" i="80" s="1"/>
  <c r="I131" i="80" s="1"/>
  <c r="I144" i="80" s="1"/>
  <c r="I157" i="80" s="1"/>
  <c r="I170" i="80" s="1"/>
  <c r="I183" i="80" s="1"/>
  <c r="I196" i="80" s="1"/>
  <c r="I209" i="80" s="1"/>
  <c r="I222" i="80" s="1"/>
  <c r="I235" i="80" s="1"/>
  <c r="J5" i="80"/>
  <c r="J105" i="80" s="1"/>
  <c r="J118" i="80" s="1"/>
  <c r="J131" i="80" s="1"/>
  <c r="J144" i="80" s="1"/>
  <c r="J157" i="80" s="1"/>
  <c r="J170" i="80" s="1"/>
  <c r="J183" i="80" s="1"/>
  <c r="J196" i="80" s="1"/>
  <c r="J209" i="80" s="1"/>
  <c r="J222" i="80" s="1"/>
  <c r="J235" i="80" s="1"/>
  <c r="K5" i="80"/>
  <c r="K105" i="80" s="1"/>
  <c r="K118" i="80" s="1"/>
  <c r="K131" i="80" s="1"/>
  <c r="K144" i="80" s="1"/>
  <c r="K157" i="80" s="1"/>
  <c r="K170" i="80" s="1"/>
  <c r="K183" i="80" s="1"/>
  <c r="K196" i="80" s="1"/>
  <c r="K209" i="80" s="1"/>
  <c r="K222" i="80" s="1"/>
  <c r="K235" i="80" s="1"/>
  <c r="L5" i="80"/>
  <c r="L105" i="80" s="1"/>
  <c r="L118" i="80" s="1"/>
  <c r="L131" i="80" s="1"/>
  <c r="L144" i="80" s="1"/>
  <c r="L157" i="80" s="1"/>
  <c r="L170" i="80" s="1"/>
  <c r="L183" i="80" s="1"/>
  <c r="L196" i="80" s="1"/>
  <c r="L209" i="80" s="1"/>
  <c r="L222" i="80" s="1"/>
  <c r="L235" i="80" s="1"/>
  <c r="M5" i="80"/>
  <c r="M105" i="80" s="1"/>
  <c r="M118" i="80" s="1"/>
  <c r="M131" i="80" s="1"/>
  <c r="M144" i="80" s="1"/>
  <c r="M157" i="80" s="1"/>
  <c r="M170" i="80" s="1"/>
  <c r="M183" i="80" s="1"/>
  <c r="M196" i="80" s="1"/>
  <c r="M209" i="80" s="1"/>
  <c r="M222" i="80" s="1"/>
  <c r="M235" i="80" s="1"/>
  <c r="N5" i="80"/>
  <c r="N105" i="80" s="1"/>
  <c r="N118" i="80" s="1"/>
  <c r="N131" i="80" s="1"/>
  <c r="N144" i="80" s="1"/>
  <c r="N157" i="80" s="1"/>
  <c r="N170" i="80" s="1"/>
  <c r="N183" i="80" s="1"/>
  <c r="N196" i="80" s="1"/>
  <c r="N209" i="80" s="1"/>
  <c r="N222" i="80" s="1"/>
  <c r="N235" i="80" s="1"/>
  <c r="C5" i="80"/>
  <c r="C105" i="80" s="1"/>
  <c r="C118" i="80" s="1"/>
  <c r="C131" i="80" s="1"/>
  <c r="C144" i="80" s="1"/>
  <c r="C157" i="80" s="1"/>
  <c r="C170" i="80" s="1"/>
  <c r="C183" i="80" s="1"/>
  <c r="C196" i="80" s="1"/>
  <c r="C209" i="80" s="1"/>
  <c r="C222" i="80" s="1"/>
  <c r="C235" i="80" s="1"/>
  <c r="D5" i="79"/>
  <c r="D105" i="79" s="1"/>
  <c r="D118" i="79" s="1"/>
  <c r="D131" i="79" s="1"/>
  <c r="D144" i="79" s="1"/>
  <c r="D157" i="79" s="1"/>
  <c r="E5" i="79"/>
  <c r="E105" i="79" s="1"/>
  <c r="E118" i="79" s="1"/>
  <c r="E131" i="79" s="1"/>
  <c r="E144" i="79" s="1"/>
  <c r="E157" i="79" s="1"/>
  <c r="F5" i="79"/>
  <c r="F105" i="79" s="1"/>
  <c r="F118" i="79" s="1"/>
  <c r="F131" i="79" s="1"/>
  <c r="F144" i="79" s="1"/>
  <c r="F157" i="79" s="1"/>
  <c r="G5" i="79"/>
  <c r="G105" i="79" s="1"/>
  <c r="G118" i="79" s="1"/>
  <c r="G131" i="79" s="1"/>
  <c r="G144" i="79" s="1"/>
  <c r="G157" i="79" s="1"/>
  <c r="H5" i="79"/>
  <c r="H105" i="79" s="1"/>
  <c r="H118" i="79" s="1"/>
  <c r="H131" i="79" s="1"/>
  <c r="H144" i="79" s="1"/>
  <c r="H157" i="79" s="1"/>
  <c r="I5" i="79"/>
  <c r="I105" i="79" s="1"/>
  <c r="I118" i="79" s="1"/>
  <c r="I131" i="79" s="1"/>
  <c r="I144" i="79" s="1"/>
  <c r="I157" i="79" s="1"/>
  <c r="J5" i="79"/>
  <c r="K5" i="79"/>
  <c r="L5" i="79"/>
  <c r="L105" i="79" s="1"/>
  <c r="L118" i="79" s="1"/>
  <c r="L131" i="79" s="1"/>
  <c r="L144" i="79" s="1"/>
  <c r="L157" i="79" s="1"/>
  <c r="M5" i="79"/>
  <c r="M105" i="79" s="1"/>
  <c r="M118" i="79" s="1"/>
  <c r="M131" i="79" s="1"/>
  <c r="M144" i="79" s="1"/>
  <c r="M157" i="79" s="1"/>
  <c r="N5" i="79"/>
  <c r="N105" i="79" s="1"/>
  <c r="N118" i="79" s="1"/>
  <c r="N131" i="79" s="1"/>
  <c r="N144" i="79" s="1"/>
  <c r="N157" i="79" s="1"/>
  <c r="C5" i="79"/>
  <c r="C105" i="79" s="1"/>
  <c r="C118" i="79" s="1"/>
  <c r="C131" i="79" s="1"/>
  <c r="C144" i="79" s="1"/>
  <c r="C157" i="79" s="1"/>
  <c r="D5" i="78"/>
  <c r="D105" i="78" s="1"/>
  <c r="D118" i="78" s="1"/>
  <c r="D131" i="78" s="1"/>
  <c r="D144" i="78" s="1"/>
  <c r="D157" i="78" s="1"/>
  <c r="D170" i="78" s="1"/>
  <c r="D183" i="78" s="1"/>
  <c r="D196" i="78" s="1"/>
  <c r="E5" i="78"/>
  <c r="E105" i="78" s="1"/>
  <c r="E118" i="78" s="1"/>
  <c r="E131" i="78" s="1"/>
  <c r="E144" i="78" s="1"/>
  <c r="E157" i="78" s="1"/>
  <c r="E170" i="78" s="1"/>
  <c r="E183" i="78" s="1"/>
  <c r="E196" i="78" s="1"/>
  <c r="F5" i="78"/>
  <c r="F105" i="78" s="1"/>
  <c r="F118" i="78" s="1"/>
  <c r="F131" i="78" s="1"/>
  <c r="F144" i="78" s="1"/>
  <c r="F157" i="78" s="1"/>
  <c r="F170" i="78" s="1"/>
  <c r="F183" i="78" s="1"/>
  <c r="F196" i="78" s="1"/>
  <c r="G5" i="78"/>
  <c r="G105" i="78" s="1"/>
  <c r="G118" i="78" s="1"/>
  <c r="G131" i="78" s="1"/>
  <c r="G144" i="78" s="1"/>
  <c r="G157" i="78" s="1"/>
  <c r="G170" i="78" s="1"/>
  <c r="G183" i="78" s="1"/>
  <c r="G196" i="78" s="1"/>
  <c r="H5" i="78"/>
  <c r="H105" i="78" s="1"/>
  <c r="H118" i="78" s="1"/>
  <c r="H131" i="78" s="1"/>
  <c r="H144" i="78" s="1"/>
  <c r="H157" i="78" s="1"/>
  <c r="H170" i="78" s="1"/>
  <c r="H183" i="78" s="1"/>
  <c r="H196" i="78" s="1"/>
  <c r="I5" i="78"/>
  <c r="I105" i="78" s="1"/>
  <c r="I118" i="78" s="1"/>
  <c r="I131" i="78" s="1"/>
  <c r="I144" i="78" s="1"/>
  <c r="I157" i="78" s="1"/>
  <c r="I170" i="78" s="1"/>
  <c r="I183" i="78" s="1"/>
  <c r="I196" i="78" s="1"/>
  <c r="J5" i="78"/>
  <c r="J105" i="78" s="1"/>
  <c r="J118" i="78" s="1"/>
  <c r="J131" i="78" s="1"/>
  <c r="J144" i="78" s="1"/>
  <c r="J157" i="78" s="1"/>
  <c r="J170" i="78" s="1"/>
  <c r="J183" i="78" s="1"/>
  <c r="J196" i="78" s="1"/>
  <c r="K5" i="78"/>
  <c r="L5" i="78"/>
  <c r="L105" i="78" s="1"/>
  <c r="L118" i="78" s="1"/>
  <c r="L131" i="78" s="1"/>
  <c r="L144" i="78" s="1"/>
  <c r="L157" i="78" s="1"/>
  <c r="L170" i="78" s="1"/>
  <c r="L183" i="78" s="1"/>
  <c r="L196" i="78" s="1"/>
  <c r="M5" i="78"/>
  <c r="M105" i="78" s="1"/>
  <c r="M118" i="78" s="1"/>
  <c r="M131" i="78" s="1"/>
  <c r="M144" i="78" s="1"/>
  <c r="M157" i="78" s="1"/>
  <c r="M170" i="78" s="1"/>
  <c r="M183" i="78" s="1"/>
  <c r="M196" i="78" s="1"/>
  <c r="N5" i="78"/>
  <c r="N105" i="78" s="1"/>
  <c r="N118" i="78" s="1"/>
  <c r="N131" i="78" s="1"/>
  <c r="N144" i="78" s="1"/>
  <c r="N157" i="78" s="1"/>
  <c r="N170" i="78" s="1"/>
  <c r="N183" i="78" s="1"/>
  <c r="N196" i="78" s="1"/>
  <c r="C5" i="78"/>
  <c r="C105" i="78" s="1"/>
  <c r="C118" i="78" s="1"/>
  <c r="C131" i="78" s="1"/>
  <c r="C144" i="78" s="1"/>
  <c r="C157" i="78" s="1"/>
  <c r="C170" i="78" s="1"/>
  <c r="C183" i="78" s="1"/>
  <c r="C196" i="78" s="1"/>
  <c r="E110" i="77"/>
  <c r="D5" i="76"/>
  <c r="E5" i="76"/>
  <c r="F5" i="76"/>
  <c r="G5" i="76"/>
  <c r="H5" i="76"/>
  <c r="I5" i="76"/>
  <c r="J5" i="76"/>
  <c r="K5" i="76"/>
  <c r="L5" i="76"/>
  <c r="M5" i="76"/>
  <c r="N5" i="76"/>
  <c r="C5" i="76"/>
  <c r="D5" i="75"/>
  <c r="D105" i="75" s="1"/>
  <c r="D118" i="75" s="1"/>
  <c r="D131" i="75" s="1"/>
  <c r="D144" i="75" s="1"/>
  <c r="D157" i="75" s="1"/>
  <c r="D170" i="75" s="1"/>
  <c r="D183" i="75" s="1"/>
  <c r="D196" i="75" s="1"/>
  <c r="E5" i="75"/>
  <c r="F5" i="75"/>
  <c r="F105" i="75" s="1"/>
  <c r="F118" i="75" s="1"/>
  <c r="F131" i="75" s="1"/>
  <c r="F144" i="75" s="1"/>
  <c r="F157" i="75" s="1"/>
  <c r="F170" i="75" s="1"/>
  <c r="F183" i="75" s="1"/>
  <c r="F196" i="75" s="1"/>
  <c r="G5" i="75"/>
  <c r="G105" i="75" s="1"/>
  <c r="G118" i="75" s="1"/>
  <c r="G131" i="75" s="1"/>
  <c r="G144" i="75" s="1"/>
  <c r="G157" i="75" s="1"/>
  <c r="G170" i="75" s="1"/>
  <c r="G183" i="75" s="1"/>
  <c r="G196" i="75" s="1"/>
  <c r="H5" i="75"/>
  <c r="H105" i="75" s="1"/>
  <c r="H118" i="75" s="1"/>
  <c r="H131" i="75" s="1"/>
  <c r="H144" i="75" s="1"/>
  <c r="H157" i="75" s="1"/>
  <c r="H170" i="75" s="1"/>
  <c r="H183" i="75" s="1"/>
  <c r="H196" i="75" s="1"/>
  <c r="I5" i="75"/>
  <c r="J5" i="75"/>
  <c r="J105" i="75" s="1"/>
  <c r="J118" i="75" s="1"/>
  <c r="J131" i="75" s="1"/>
  <c r="J144" i="75" s="1"/>
  <c r="J157" i="75" s="1"/>
  <c r="J170" i="75" s="1"/>
  <c r="J183" i="75" s="1"/>
  <c r="J196" i="75" s="1"/>
  <c r="K5" i="75"/>
  <c r="K105" i="75" s="1"/>
  <c r="K118" i="75" s="1"/>
  <c r="K131" i="75" s="1"/>
  <c r="K144" i="75" s="1"/>
  <c r="K157" i="75" s="1"/>
  <c r="K170" i="75" s="1"/>
  <c r="K183" i="75" s="1"/>
  <c r="K196" i="75" s="1"/>
  <c r="L5" i="75"/>
  <c r="L105" i="75" s="1"/>
  <c r="L118" i="75" s="1"/>
  <c r="L131" i="75" s="1"/>
  <c r="L144" i="75" s="1"/>
  <c r="L157" i="75" s="1"/>
  <c r="L170" i="75" s="1"/>
  <c r="L183" i="75" s="1"/>
  <c r="L196" i="75" s="1"/>
  <c r="M5" i="75"/>
  <c r="N5" i="75"/>
  <c r="N105" i="75" s="1"/>
  <c r="N118" i="75" s="1"/>
  <c r="N131" i="75" s="1"/>
  <c r="N144" i="75" s="1"/>
  <c r="N157" i="75" s="1"/>
  <c r="N170" i="75" s="1"/>
  <c r="N183" i="75" s="1"/>
  <c r="N196" i="75" s="1"/>
  <c r="C5" i="75"/>
  <c r="C105" i="75" s="1"/>
  <c r="C118" i="75" s="1"/>
  <c r="C131" i="75" s="1"/>
  <c r="C144" i="75" s="1"/>
  <c r="C157" i="75" s="1"/>
  <c r="C170" i="75" s="1"/>
  <c r="C183" i="75" s="1"/>
  <c r="C196" i="75" s="1"/>
  <c r="G109" i="1"/>
  <c r="G113" i="1" s="1"/>
  <c r="H109" i="1"/>
  <c r="H110" i="1" s="1"/>
  <c r="H115" i="1" s="1"/>
  <c r="F109" i="1"/>
  <c r="B8" i="1"/>
  <c r="H113" i="1"/>
  <c r="B89" i="76"/>
  <c r="B61" i="76"/>
  <c r="B60" i="76"/>
  <c r="B58" i="76"/>
  <c r="B59" i="76"/>
  <c r="B9" i="80"/>
  <c r="B89" i="77"/>
  <c r="B61" i="77"/>
  <c r="B60" i="77"/>
  <c r="B58" i="77"/>
  <c r="B59" i="77"/>
  <c r="B9" i="77"/>
  <c r="B88" i="78"/>
  <c r="B89" i="78"/>
  <c r="B61" i="78"/>
  <c r="B60" i="78"/>
  <c r="B57" i="78"/>
  <c r="B58" i="78"/>
  <c r="B59" i="78"/>
  <c r="B10" i="78"/>
  <c r="B9" i="78"/>
  <c r="B88" i="75"/>
  <c r="B89" i="75"/>
  <c r="B61" i="75"/>
  <c r="B60" i="75"/>
  <c r="B57" i="75"/>
  <c r="B59" i="75"/>
  <c r="B89" i="74"/>
  <c r="B61" i="74"/>
  <c r="B60" i="74"/>
  <c r="B57" i="74"/>
  <c r="B58" i="74"/>
  <c r="B59" i="74"/>
  <c r="B9" i="74"/>
  <c r="B61" i="1"/>
  <c r="B63" i="1"/>
  <c r="B64" i="1"/>
  <c r="B65" i="1"/>
  <c r="B66" i="1"/>
  <c r="B67" i="1"/>
  <c r="B68" i="1"/>
  <c r="B69" i="1"/>
  <c r="B70" i="1"/>
  <c r="B71" i="1"/>
  <c r="B76" i="1"/>
  <c r="B77" i="1"/>
  <c r="B78" i="1"/>
  <c r="B79" i="1"/>
  <c r="B82" i="1"/>
  <c r="B81" i="1"/>
  <c r="B80" i="1"/>
  <c r="B60" i="1"/>
  <c r="B88" i="81"/>
  <c r="B89" i="81"/>
  <c r="B61" i="81"/>
  <c r="B60" i="81"/>
  <c r="B59" i="81"/>
  <c r="B9" i="81"/>
  <c r="B89" i="82"/>
  <c r="B61" i="82"/>
  <c r="B60" i="82"/>
  <c r="B59" i="82"/>
  <c r="B9" i="82"/>
  <c r="B89" i="83"/>
  <c r="B61" i="83"/>
  <c r="B60" i="83"/>
  <c r="B58" i="83"/>
  <c r="B59" i="83"/>
  <c r="E110" i="83"/>
  <c r="F110" i="83"/>
  <c r="G110" i="83"/>
  <c r="G111" i="83" s="1"/>
  <c r="H110" i="83"/>
  <c r="H111" i="83" s="1"/>
  <c r="I110" i="83"/>
  <c r="J110" i="83"/>
  <c r="K110" i="83"/>
  <c r="L110" i="83"/>
  <c r="L112" i="83" s="1"/>
  <c r="M110" i="83"/>
  <c r="N110" i="83"/>
  <c r="D110" i="83"/>
  <c r="B89" i="79"/>
  <c r="B61" i="79"/>
  <c r="B60" i="79"/>
  <c r="B57" i="79"/>
  <c r="B58" i="79"/>
  <c r="B59" i="79"/>
  <c r="B9" i="79"/>
  <c r="B8" i="79"/>
  <c r="G62" i="79"/>
  <c r="I62" i="79"/>
  <c r="L62" i="79"/>
  <c r="M62" i="79"/>
  <c r="B8" i="81"/>
  <c r="A80" i="46"/>
  <c r="A12" i="53"/>
  <c r="N200" i="83"/>
  <c r="N204" i="83" s="1"/>
  <c r="M200" i="83"/>
  <c r="M201" i="83" s="1"/>
  <c r="L200" i="83"/>
  <c r="L201" i="83" s="1"/>
  <c r="K200" i="83"/>
  <c r="K204" i="83" s="1"/>
  <c r="J200" i="83"/>
  <c r="I200" i="83"/>
  <c r="H200" i="83"/>
  <c r="H201" i="83" s="1"/>
  <c r="G200" i="83"/>
  <c r="F200" i="83"/>
  <c r="E200" i="83"/>
  <c r="D200" i="83"/>
  <c r="D201" i="83" s="1"/>
  <c r="C200" i="83"/>
  <c r="C201" i="83" s="1"/>
  <c r="C206" i="83" s="1"/>
  <c r="N135" i="83"/>
  <c r="M135" i="83"/>
  <c r="L135" i="83"/>
  <c r="K135" i="83"/>
  <c r="J135" i="83"/>
  <c r="I135" i="83"/>
  <c r="H135" i="83"/>
  <c r="G135" i="83"/>
  <c r="F135" i="83"/>
  <c r="E135" i="83"/>
  <c r="D135" i="83"/>
  <c r="C135" i="83"/>
  <c r="C136" i="83" s="1"/>
  <c r="C141" i="83" s="1"/>
  <c r="N122" i="83"/>
  <c r="M122" i="83"/>
  <c r="L122" i="83"/>
  <c r="L123" i="83" s="1"/>
  <c r="K122" i="83"/>
  <c r="J122" i="83"/>
  <c r="I122" i="83"/>
  <c r="H122" i="83"/>
  <c r="H123" i="83" s="1"/>
  <c r="G122" i="83"/>
  <c r="G126" i="83" s="1"/>
  <c r="F122" i="83"/>
  <c r="F126" i="83" s="1"/>
  <c r="E122" i="83"/>
  <c r="D122" i="83"/>
  <c r="C122" i="83"/>
  <c r="N109" i="83"/>
  <c r="N113" i="83" s="1"/>
  <c r="M109" i="83"/>
  <c r="M113" i="83" s="1"/>
  <c r="L109" i="83"/>
  <c r="L113" i="83" s="1"/>
  <c r="K109" i="83"/>
  <c r="K113" i="83" s="1"/>
  <c r="J109" i="83"/>
  <c r="J113" i="83" s="1"/>
  <c r="I109" i="83"/>
  <c r="I113" i="83" s="1"/>
  <c r="H109" i="83"/>
  <c r="H113" i="83" s="1"/>
  <c r="G109" i="83"/>
  <c r="G113" i="83" s="1"/>
  <c r="F109" i="83"/>
  <c r="F113" i="83" s="1"/>
  <c r="E109" i="83"/>
  <c r="E113" i="83" s="1"/>
  <c r="D109" i="83"/>
  <c r="D113" i="83" s="1"/>
  <c r="C109" i="83"/>
  <c r="N102" i="83"/>
  <c r="M12" i="53" s="1"/>
  <c r="M102" i="83"/>
  <c r="L12" i="53" s="1"/>
  <c r="L102" i="83"/>
  <c r="L62" i="83" s="1"/>
  <c r="K102" i="83"/>
  <c r="K62" i="83" s="1"/>
  <c r="J102" i="83"/>
  <c r="J62" i="83" s="1"/>
  <c r="I102" i="83"/>
  <c r="H12" i="53" s="1"/>
  <c r="H102" i="83"/>
  <c r="G102" i="83"/>
  <c r="G62" i="83" s="1"/>
  <c r="F102" i="83"/>
  <c r="E102" i="83"/>
  <c r="E62" i="83" s="1"/>
  <c r="D102" i="83"/>
  <c r="D62" i="83" s="1"/>
  <c r="C102" i="83"/>
  <c r="B94" i="83"/>
  <c r="B45" i="83"/>
  <c r="B44" i="83"/>
  <c r="B43" i="83"/>
  <c r="B42" i="83"/>
  <c r="B41" i="83"/>
  <c r="B40" i="83"/>
  <c r="B39" i="83"/>
  <c r="B38" i="83"/>
  <c r="B37" i="83"/>
  <c r="B36" i="83"/>
  <c r="B35" i="83"/>
  <c r="B34" i="83"/>
  <c r="B33" i="83"/>
  <c r="B32" i="83"/>
  <c r="B31" i="83"/>
  <c r="B30" i="83"/>
  <c r="B29" i="83"/>
  <c r="B28" i="83"/>
  <c r="B27" i="83"/>
  <c r="B26" i="83"/>
  <c r="B25" i="83"/>
  <c r="B24" i="83"/>
  <c r="B23" i="83"/>
  <c r="B22" i="83"/>
  <c r="B21" i="83"/>
  <c r="B20" i="83"/>
  <c r="B19" i="83"/>
  <c r="B18" i="83"/>
  <c r="B17" i="83"/>
  <c r="B16" i="83"/>
  <c r="B15" i="83"/>
  <c r="B14" i="83"/>
  <c r="B13" i="83"/>
  <c r="A1" i="83"/>
  <c r="H204" i="83"/>
  <c r="B10" i="83"/>
  <c r="B11" i="80"/>
  <c r="B57" i="76"/>
  <c r="B59" i="1"/>
  <c r="B57" i="83"/>
  <c r="B12" i="83"/>
  <c r="B8" i="78"/>
  <c r="A54" i="46"/>
  <c r="A72" i="46"/>
  <c r="A46" i="46"/>
  <c r="A38" i="46"/>
  <c r="A98" i="46"/>
  <c r="A22" i="46"/>
  <c r="E8" i="53"/>
  <c r="G8" i="53"/>
  <c r="D102" i="81"/>
  <c r="D62" i="81" s="1"/>
  <c r="E102" i="81"/>
  <c r="E62" i="81" s="1"/>
  <c r="F102" i="81"/>
  <c r="F62" i="81" s="1"/>
  <c r="G102" i="81"/>
  <c r="G62" i="81" s="1"/>
  <c r="H102" i="81"/>
  <c r="H62" i="81" s="1"/>
  <c r="I102" i="81"/>
  <c r="I62" i="81" s="1"/>
  <c r="J102" i="81"/>
  <c r="J62" i="81" s="1"/>
  <c r="K102" i="81"/>
  <c r="K62" i="81" s="1"/>
  <c r="L102" i="81"/>
  <c r="L62" i="81" s="1"/>
  <c r="M102" i="81"/>
  <c r="M62" i="81" s="1"/>
  <c r="N102" i="81"/>
  <c r="N62" i="81" s="1"/>
  <c r="C102" i="81"/>
  <c r="N213" i="81"/>
  <c r="M213" i="81"/>
  <c r="M217" i="81" s="1"/>
  <c r="L213" i="81"/>
  <c r="L214" i="81" s="1"/>
  <c r="K213" i="81"/>
  <c r="K214" i="81" s="1"/>
  <c r="J213" i="81"/>
  <c r="I213" i="81"/>
  <c r="I217" i="81" s="1"/>
  <c r="H213" i="81"/>
  <c r="H214" i="81" s="1"/>
  <c r="G213" i="81"/>
  <c r="F213" i="81"/>
  <c r="F217" i="81" s="1"/>
  <c r="E213" i="81"/>
  <c r="E217" i="81" s="1"/>
  <c r="D213" i="81"/>
  <c r="D214" i="81" s="1"/>
  <c r="C213" i="81"/>
  <c r="A9" i="53"/>
  <c r="A18" i="53"/>
  <c r="A11" i="53"/>
  <c r="A8" i="53"/>
  <c r="A16" i="53"/>
  <c r="A13" i="53"/>
  <c r="A7" i="53"/>
  <c r="N200" i="82"/>
  <c r="N204" i="82" s="1"/>
  <c r="M200" i="82"/>
  <c r="L200" i="82"/>
  <c r="L204" i="82" s="1"/>
  <c r="K200" i="82"/>
  <c r="K204" i="82" s="1"/>
  <c r="J200" i="82"/>
  <c r="I200" i="82"/>
  <c r="I204" i="82" s="1"/>
  <c r="H200" i="82"/>
  <c r="H204" i="82" s="1"/>
  <c r="G200" i="82"/>
  <c r="G204" i="82" s="1"/>
  <c r="F200" i="82"/>
  <c r="E200" i="82"/>
  <c r="D200" i="82"/>
  <c r="D204" i="82" s="1"/>
  <c r="C200" i="82"/>
  <c r="N187" i="82"/>
  <c r="M187" i="82"/>
  <c r="M191" i="82" s="1"/>
  <c r="L187" i="82"/>
  <c r="L191" i="82" s="1"/>
  <c r="K187" i="82"/>
  <c r="J187" i="82"/>
  <c r="J191" i="82" s="1"/>
  <c r="I187" i="82"/>
  <c r="H187" i="82"/>
  <c r="H191" i="82" s="1"/>
  <c r="G187" i="82"/>
  <c r="G191" i="82" s="1"/>
  <c r="F187" i="82"/>
  <c r="E187" i="82"/>
  <c r="E191" i="82" s="1"/>
  <c r="D187" i="82"/>
  <c r="D191" i="82" s="1"/>
  <c r="C187" i="82"/>
  <c r="N174" i="82"/>
  <c r="M174" i="82"/>
  <c r="L174" i="82"/>
  <c r="L178" i="82" s="1"/>
  <c r="K174" i="82"/>
  <c r="J174" i="82"/>
  <c r="I174" i="82"/>
  <c r="I178" i="82" s="1"/>
  <c r="H174" i="82"/>
  <c r="H178" i="82" s="1"/>
  <c r="G174" i="82"/>
  <c r="G178" i="82" s="1"/>
  <c r="F174" i="82"/>
  <c r="F178" i="82" s="1"/>
  <c r="E174" i="82"/>
  <c r="D174" i="82"/>
  <c r="D178" i="82" s="1"/>
  <c r="C174" i="82"/>
  <c r="N161" i="82"/>
  <c r="N165" i="82" s="1"/>
  <c r="M161" i="82"/>
  <c r="M165" i="82" s="1"/>
  <c r="L161" i="82"/>
  <c r="L165" i="82" s="1"/>
  <c r="K161" i="82"/>
  <c r="J161" i="82"/>
  <c r="J165" i="82" s="1"/>
  <c r="I161" i="82"/>
  <c r="H161" i="82"/>
  <c r="H165" i="82" s="1"/>
  <c r="G161" i="82"/>
  <c r="F161" i="82"/>
  <c r="E161" i="82"/>
  <c r="E165" i="82" s="1"/>
  <c r="D161" i="82"/>
  <c r="D165" i="82" s="1"/>
  <c r="C161" i="82"/>
  <c r="N148" i="82"/>
  <c r="N152" i="82" s="1"/>
  <c r="M148" i="82"/>
  <c r="M152" i="82" s="1"/>
  <c r="L148" i="82"/>
  <c r="L152" i="82" s="1"/>
  <c r="K148" i="82"/>
  <c r="J148" i="82"/>
  <c r="I148" i="82"/>
  <c r="I152" i="82" s="1"/>
  <c r="H148" i="82"/>
  <c r="H152" i="82" s="1"/>
  <c r="G148" i="82"/>
  <c r="G152" i="82" s="1"/>
  <c r="F148" i="82"/>
  <c r="F152" i="82" s="1"/>
  <c r="E148" i="82"/>
  <c r="E152" i="82" s="1"/>
  <c r="D148" i="82"/>
  <c r="D152" i="82" s="1"/>
  <c r="C148" i="82"/>
  <c r="N135" i="82"/>
  <c r="N139" i="82" s="1"/>
  <c r="M135" i="82"/>
  <c r="L135" i="82"/>
  <c r="K135" i="82"/>
  <c r="J135" i="82"/>
  <c r="J139" i="82" s="1"/>
  <c r="I135" i="82"/>
  <c r="I139" i="82" s="1"/>
  <c r="H135" i="82"/>
  <c r="H139" i="82" s="1"/>
  <c r="G135" i="82"/>
  <c r="G139" i="82" s="1"/>
  <c r="F135" i="82"/>
  <c r="E135" i="82"/>
  <c r="D135" i="82"/>
  <c r="C135" i="82"/>
  <c r="C139" i="82" s="1"/>
  <c r="N122" i="82"/>
  <c r="N126" i="82" s="1"/>
  <c r="M122" i="82"/>
  <c r="M126" i="82" s="1"/>
  <c r="L122" i="82"/>
  <c r="K122" i="82"/>
  <c r="K126" i="82" s="1"/>
  <c r="J122" i="82"/>
  <c r="J126" i="82" s="1"/>
  <c r="I122" i="82"/>
  <c r="I126" i="82" s="1"/>
  <c r="H122" i="82"/>
  <c r="H126" i="82" s="1"/>
  <c r="G122" i="82"/>
  <c r="F122" i="82"/>
  <c r="E122" i="82"/>
  <c r="E126" i="82" s="1"/>
  <c r="D122" i="82"/>
  <c r="D126" i="82" s="1"/>
  <c r="C122" i="82"/>
  <c r="M133" i="82"/>
  <c r="M146" i="82" s="1"/>
  <c r="M159" i="82" s="1"/>
  <c r="M172" i="82" s="1"/>
  <c r="M185" i="82" s="1"/>
  <c r="M198" i="82" s="1"/>
  <c r="M211" i="82" s="1"/>
  <c r="M224" i="82" s="1"/>
  <c r="M237" i="82" s="1"/>
  <c r="M250" i="82" s="1"/>
  <c r="M263" i="82" s="1"/>
  <c r="M276" i="82" s="1"/>
  <c r="M289" i="82" s="1"/>
  <c r="M302" i="82" s="1"/>
  <c r="M315" i="82" s="1"/>
  <c r="M328" i="82" s="1"/>
  <c r="M341" i="82" s="1"/>
  <c r="M354" i="82" s="1"/>
  <c r="M367" i="82" s="1"/>
  <c r="M418" i="82" s="1"/>
  <c r="M431" i="82" s="1"/>
  <c r="M444" i="82" s="1"/>
  <c r="M457" i="82" s="1"/>
  <c r="L133" i="82"/>
  <c r="L146" i="82" s="1"/>
  <c r="L159" i="82" s="1"/>
  <c r="L172" i="82" s="1"/>
  <c r="L185" i="82" s="1"/>
  <c r="L198" i="82" s="1"/>
  <c r="L211" i="82" s="1"/>
  <c r="L224" i="82" s="1"/>
  <c r="L237" i="82" s="1"/>
  <c r="L250" i="82" s="1"/>
  <c r="L263" i="82" s="1"/>
  <c r="L276" i="82" s="1"/>
  <c r="L289" i="82" s="1"/>
  <c r="L302" i="82" s="1"/>
  <c r="L315" i="82" s="1"/>
  <c r="L328" i="82" s="1"/>
  <c r="L341" i="82" s="1"/>
  <c r="L354" i="82" s="1"/>
  <c r="L367" i="82" s="1"/>
  <c r="L418" i="82" s="1"/>
  <c r="L431" i="82" s="1"/>
  <c r="L444" i="82" s="1"/>
  <c r="L457" i="82" s="1"/>
  <c r="K133" i="82"/>
  <c r="K146" i="82" s="1"/>
  <c r="K159" i="82" s="1"/>
  <c r="K172" i="82" s="1"/>
  <c r="K185" i="82" s="1"/>
  <c r="K198" i="82" s="1"/>
  <c r="K211" i="82" s="1"/>
  <c r="K224" i="82" s="1"/>
  <c r="K237" i="82" s="1"/>
  <c r="K250" i="82" s="1"/>
  <c r="K263" i="82" s="1"/>
  <c r="K276" i="82" s="1"/>
  <c r="K289" i="82" s="1"/>
  <c r="K302" i="82" s="1"/>
  <c r="K315" i="82" s="1"/>
  <c r="K328" i="82" s="1"/>
  <c r="K341" i="82" s="1"/>
  <c r="K354" i="82" s="1"/>
  <c r="K367" i="82" s="1"/>
  <c r="K418" i="82" s="1"/>
  <c r="K431" i="82" s="1"/>
  <c r="K444" i="82" s="1"/>
  <c r="K457" i="82" s="1"/>
  <c r="J133" i="82"/>
  <c r="J146" i="82" s="1"/>
  <c r="J159" i="82" s="1"/>
  <c r="J172" i="82" s="1"/>
  <c r="J185" i="82" s="1"/>
  <c r="J198" i="82" s="1"/>
  <c r="J211" i="82" s="1"/>
  <c r="J224" i="82" s="1"/>
  <c r="J237" i="82" s="1"/>
  <c r="J250" i="82" s="1"/>
  <c r="J263" i="82" s="1"/>
  <c r="J276" i="82" s="1"/>
  <c r="J289" i="82" s="1"/>
  <c r="J302" i="82" s="1"/>
  <c r="J315" i="82" s="1"/>
  <c r="J328" i="82" s="1"/>
  <c r="J341" i="82" s="1"/>
  <c r="J354" i="82" s="1"/>
  <c r="J367" i="82" s="1"/>
  <c r="J418" i="82" s="1"/>
  <c r="J431" i="82" s="1"/>
  <c r="J444" i="82" s="1"/>
  <c r="J457" i="82" s="1"/>
  <c r="I133" i="82"/>
  <c r="I146" i="82" s="1"/>
  <c r="I159" i="82" s="1"/>
  <c r="I172" i="82" s="1"/>
  <c r="I185" i="82" s="1"/>
  <c r="I198" i="82" s="1"/>
  <c r="I211" i="82" s="1"/>
  <c r="I224" i="82" s="1"/>
  <c r="I237" i="82" s="1"/>
  <c r="I250" i="82" s="1"/>
  <c r="I263" i="82" s="1"/>
  <c r="I276" i="82" s="1"/>
  <c r="I289" i="82" s="1"/>
  <c r="I302" i="82" s="1"/>
  <c r="I315" i="82" s="1"/>
  <c r="I328" i="82" s="1"/>
  <c r="I341" i="82" s="1"/>
  <c r="I354" i="82" s="1"/>
  <c r="I367" i="82" s="1"/>
  <c r="I418" i="82" s="1"/>
  <c r="I431" i="82" s="1"/>
  <c r="I444" i="82" s="1"/>
  <c r="I457" i="82" s="1"/>
  <c r="G133" i="82"/>
  <c r="G146" i="82" s="1"/>
  <c r="G159" i="82" s="1"/>
  <c r="G172" i="82" s="1"/>
  <c r="G185" i="82" s="1"/>
  <c r="G198" i="82" s="1"/>
  <c r="G211" i="82" s="1"/>
  <c r="G224" i="82" s="1"/>
  <c r="G237" i="82" s="1"/>
  <c r="G250" i="82" s="1"/>
  <c r="G263" i="82" s="1"/>
  <c r="G276" i="82" s="1"/>
  <c r="G289" i="82" s="1"/>
  <c r="G302" i="82" s="1"/>
  <c r="G315" i="82" s="1"/>
  <c r="G328" i="82" s="1"/>
  <c r="G341" i="82" s="1"/>
  <c r="G354" i="82" s="1"/>
  <c r="G367" i="82" s="1"/>
  <c r="G418" i="82" s="1"/>
  <c r="G431" i="82" s="1"/>
  <c r="G444" i="82" s="1"/>
  <c r="G457" i="82" s="1"/>
  <c r="F133" i="82"/>
  <c r="F146" i="82" s="1"/>
  <c r="F159" i="82" s="1"/>
  <c r="F172" i="82" s="1"/>
  <c r="F185" i="82" s="1"/>
  <c r="F198" i="82" s="1"/>
  <c r="F211" i="82" s="1"/>
  <c r="F224" i="82" s="1"/>
  <c r="F237" i="82" s="1"/>
  <c r="F250" i="82" s="1"/>
  <c r="F263" i="82" s="1"/>
  <c r="F276" i="82" s="1"/>
  <c r="F289" i="82" s="1"/>
  <c r="F302" i="82" s="1"/>
  <c r="F315" i="82" s="1"/>
  <c r="F328" i="82" s="1"/>
  <c r="F341" i="82" s="1"/>
  <c r="F354" i="82" s="1"/>
  <c r="F367" i="82" s="1"/>
  <c r="F418" i="82" s="1"/>
  <c r="F431" i="82" s="1"/>
  <c r="F444" i="82" s="1"/>
  <c r="F457" i="82" s="1"/>
  <c r="E133" i="82"/>
  <c r="E146" i="82" s="1"/>
  <c r="E159" i="82" s="1"/>
  <c r="E172" i="82" s="1"/>
  <c r="E185" i="82" s="1"/>
  <c r="E198" i="82" s="1"/>
  <c r="E211" i="82" s="1"/>
  <c r="E224" i="82" s="1"/>
  <c r="E237" i="82" s="1"/>
  <c r="E250" i="82" s="1"/>
  <c r="E263" i="82" s="1"/>
  <c r="E276" i="82" s="1"/>
  <c r="E289" i="82" s="1"/>
  <c r="E302" i="82" s="1"/>
  <c r="E315" i="82" s="1"/>
  <c r="E328" i="82" s="1"/>
  <c r="E341" i="82" s="1"/>
  <c r="E354" i="82" s="1"/>
  <c r="E367" i="82" s="1"/>
  <c r="E418" i="82" s="1"/>
  <c r="E431" i="82" s="1"/>
  <c r="E444" i="82" s="1"/>
  <c r="E457" i="82" s="1"/>
  <c r="D133" i="82"/>
  <c r="D146" i="82" s="1"/>
  <c r="D159" i="82" s="1"/>
  <c r="D172" i="82" s="1"/>
  <c r="D185" i="82" s="1"/>
  <c r="D198" i="82" s="1"/>
  <c r="D211" i="82" s="1"/>
  <c r="D224" i="82" s="1"/>
  <c r="D237" i="82" s="1"/>
  <c r="D250" i="82" s="1"/>
  <c r="D263" i="82" s="1"/>
  <c r="D276" i="82" s="1"/>
  <c r="D289" i="82" s="1"/>
  <c r="D302" i="82" s="1"/>
  <c r="D315" i="82" s="1"/>
  <c r="D328" i="82" s="1"/>
  <c r="D341" i="82" s="1"/>
  <c r="D354" i="82" s="1"/>
  <c r="D367" i="82" s="1"/>
  <c r="D418" i="82" s="1"/>
  <c r="D431" i="82" s="1"/>
  <c r="D444" i="82" s="1"/>
  <c r="D457" i="82" s="1"/>
  <c r="N109" i="82"/>
  <c r="N110" i="82" s="1"/>
  <c r="M109" i="82"/>
  <c r="L109" i="82"/>
  <c r="K109" i="82"/>
  <c r="J109" i="82"/>
  <c r="I109" i="82"/>
  <c r="H109" i="82"/>
  <c r="H110" i="82" s="1"/>
  <c r="G109" i="82"/>
  <c r="G110" i="82" s="1"/>
  <c r="F109" i="82"/>
  <c r="F110" i="82" s="1"/>
  <c r="E109" i="82"/>
  <c r="D109" i="82"/>
  <c r="C109" i="82"/>
  <c r="M9" i="53"/>
  <c r="L9" i="53"/>
  <c r="K9" i="53"/>
  <c r="D9" i="53"/>
  <c r="C9" i="53"/>
  <c r="B55" i="46"/>
  <c r="D55" i="46" s="1"/>
  <c r="B94" i="82"/>
  <c r="B45" i="82"/>
  <c r="B44" i="82"/>
  <c r="B38" i="82"/>
  <c r="B37" i="82"/>
  <c r="B36" i="82"/>
  <c r="B35" i="82"/>
  <c r="B34" i="82"/>
  <c r="B33" i="82"/>
  <c r="B32" i="82"/>
  <c r="B31" i="82"/>
  <c r="B30" i="82"/>
  <c r="B29" i="82"/>
  <c r="B28" i="82"/>
  <c r="B27" i="82"/>
  <c r="B26" i="82"/>
  <c r="B25" i="82"/>
  <c r="B24" i="82"/>
  <c r="B23" i="82"/>
  <c r="B22" i="82"/>
  <c r="B21" i="82"/>
  <c r="B20" i="82"/>
  <c r="B19" i="82"/>
  <c r="B18" i="82"/>
  <c r="B17" i="82"/>
  <c r="B16" i="82"/>
  <c r="B15" i="82"/>
  <c r="B14" i="82"/>
  <c r="B13" i="82"/>
  <c r="B12" i="82"/>
  <c r="B11" i="82"/>
  <c r="B10" i="82"/>
  <c r="A1" i="82"/>
  <c r="C19" i="73"/>
  <c r="C20" i="73"/>
  <c r="C16" i="73"/>
  <c r="C17" i="73"/>
  <c r="C18" i="73"/>
  <c r="C15" i="73"/>
  <c r="B21" i="73"/>
  <c r="B9" i="73"/>
  <c r="N200" i="81"/>
  <c r="M200" i="81"/>
  <c r="L200" i="81"/>
  <c r="K200" i="81"/>
  <c r="K204" i="81" s="1"/>
  <c r="J200" i="81"/>
  <c r="J201" i="81" s="1"/>
  <c r="I200" i="81"/>
  <c r="I204" i="81" s="1"/>
  <c r="H200" i="81"/>
  <c r="H201" i="81" s="1"/>
  <c r="G200" i="81"/>
  <c r="G201" i="81" s="1"/>
  <c r="G203" i="81" s="1"/>
  <c r="F200" i="81"/>
  <c r="E200" i="81"/>
  <c r="D200" i="81"/>
  <c r="C200" i="81"/>
  <c r="C204" i="81" s="1"/>
  <c r="N187" i="81"/>
  <c r="N191" i="81" s="1"/>
  <c r="M187" i="81"/>
  <c r="M191" i="81" s="1"/>
  <c r="L187" i="81"/>
  <c r="L191" i="81" s="1"/>
  <c r="K187" i="81"/>
  <c r="K188" i="81" s="1"/>
  <c r="K189" i="81" s="1"/>
  <c r="J187" i="81"/>
  <c r="I187" i="81"/>
  <c r="H187" i="81"/>
  <c r="G187" i="81"/>
  <c r="G191" i="81" s="1"/>
  <c r="F187" i="81"/>
  <c r="F188" i="81" s="1"/>
  <c r="F189" i="81" s="1"/>
  <c r="E187" i="81"/>
  <c r="E191" i="81" s="1"/>
  <c r="D187" i="81"/>
  <c r="D188" i="81" s="1"/>
  <c r="D189" i="81" s="1"/>
  <c r="C187" i="81"/>
  <c r="C188" i="81" s="1"/>
  <c r="C189" i="81" s="1"/>
  <c r="N174" i="81"/>
  <c r="M174" i="81"/>
  <c r="L174" i="81"/>
  <c r="L175" i="81" s="1"/>
  <c r="K174" i="81"/>
  <c r="K178" i="81" s="1"/>
  <c r="J174" i="81"/>
  <c r="J178" i="81" s="1"/>
  <c r="I174" i="81"/>
  <c r="I175" i="81" s="1"/>
  <c r="I180" i="81" s="1"/>
  <c r="H174" i="81"/>
  <c r="H175" i="81" s="1"/>
  <c r="H180" i="81" s="1"/>
  <c r="G174" i="81"/>
  <c r="G175" i="81" s="1"/>
  <c r="G180" i="81" s="1"/>
  <c r="F174" i="81"/>
  <c r="E174" i="81"/>
  <c r="E178" i="81" s="1"/>
  <c r="D174" i="81"/>
  <c r="D175" i="81" s="1"/>
  <c r="D180" i="81" s="1"/>
  <c r="C174" i="81"/>
  <c r="C178" i="81" s="1"/>
  <c r="N161" i="81"/>
  <c r="N162" i="81" s="1"/>
  <c r="M161" i="81"/>
  <c r="L161" i="81"/>
  <c r="L165" i="81" s="1"/>
  <c r="K161" i="81"/>
  <c r="K165" i="81" s="1"/>
  <c r="J161" i="81"/>
  <c r="I161" i="81"/>
  <c r="I162" i="81" s="1"/>
  <c r="H161" i="81"/>
  <c r="H162" i="81" s="1"/>
  <c r="G161" i="81"/>
  <c r="G162" i="81" s="1"/>
  <c r="F161" i="81"/>
  <c r="F165" i="81" s="1"/>
  <c r="E161" i="81"/>
  <c r="D161" i="81"/>
  <c r="D162" i="81" s="1"/>
  <c r="C161" i="81"/>
  <c r="C162" i="81" s="1"/>
  <c r="N148" i="81"/>
  <c r="M148" i="81"/>
  <c r="M152" i="81" s="1"/>
  <c r="L148" i="81"/>
  <c r="L152" i="81" s="1"/>
  <c r="K148" i="81"/>
  <c r="K152" i="81" s="1"/>
  <c r="J148" i="81"/>
  <c r="J150" i="81" s="1"/>
  <c r="I148" i="81"/>
  <c r="H148" i="81"/>
  <c r="H152" i="81" s="1"/>
  <c r="G148" i="81"/>
  <c r="G150" i="81" s="1"/>
  <c r="F148" i="81"/>
  <c r="E148" i="81"/>
  <c r="E152" i="81" s="1"/>
  <c r="D148" i="81"/>
  <c r="D152" i="81" s="1"/>
  <c r="C148" i="81"/>
  <c r="C152" i="81" s="1"/>
  <c r="N135" i="81"/>
  <c r="N139" i="81" s="1"/>
  <c r="M135" i="81"/>
  <c r="M139" i="81" s="1"/>
  <c r="L135" i="81"/>
  <c r="K135" i="81"/>
  <c r="K136" i="81" s="1"/>
  <c r="J135" i="81"/>
  <c r="I135" i="81"/>
  <c r="H135" i="81"/>
  <c r="H139" i="81" s="1"/>
  <c r="G135" i="81"/>
  <c r="G139" i="81" s="1"/>
  <c r="F135" i="81"/>
  <c r="F136" i="81" s="1"/>
  <c r="F141" i="81" s="1"/>
  <c r="E135" i="81"/>
  <c r="D135" i="81"/>
  <c r="D139" i="81" s="1"/>
  <c r="C135" i="81"/>
  <c r="C136" i="81" s="1"/>
  <c r="N122" i="81"/>
  <c r="M122" i="81"/>
  <c r="L122" i="81"/>
  <c r="L126" i="81" s="1"/>
  <c r="K122" i="81"/>
  <c r="J122" i="81"/>
  <c r="I122" i="81"/>
  <c r="I126" i="81" s="1"/>
  <c r="H122" i="81"/>
  <c r="H123" i="81" s="1"/>
  <c r="G122" i="81"/>
  <c r="G126" i="81" s="1"/>
  <c r="F122" i="81"/>
  <c r="E122" i="81"/>
  <c r="D122" i="81"/>
  <c r="D123" i="81" s="1"/>
  <c r="C122" i="81"/>
  <c r="C123" i="81" s="1"/>
  <c r="N120" i="81"/>
  <c r="N133" i="81" s="1"/>
  <c r="N146" i="81" s="1"/>
  <c r="N159" i="81" s="1"/>
  <c r="N172" i="81" s="1"/>
  <c r="N185" i="81" s="1"/>
  <c r="N198" i="81" s="1"/>
  <c r="N211" i="81" s="1"/>
  <c r="M120" i="81"/>
  <c r="M133" i="81" s="1"/>
  <c r="M146" i="81" s="1"/>
  <c r="M159" i="81" s="1"/>
  <c r="M172" i="81" s="1"/>
  <c r="M185" i="81" s="1"/>
  <c r="M198" i="81" s="1"/>
  <c r="M211" i="81" s="1"/>
  <c r="L120" i="81"/>
  <c r="L133" i="81" s="1"/>
  <c r="L146" i="81" s="1"/>
  <c r="L159" i="81" s="1"/>
  <c r="L172" i="81" s="1"/>
  <c r="L185" i="81" s="1"/>
  <c r="L198" i="81" s="1"/>
  <c r="L211" i="81" s="1"/>
  <c r="K120" i="81"/>
  <c r="K133" i="81" s="1"/>
  <c r="K146" i="81" s="1"/>
  <c r="K159" i="81" s="1"/>
  <c r="K172" i="81" s="1"/>
  <c r="K185" i="81" s="1"/>
  <c r="K198" i="81" s="1"/>
  <c r="K211" i="81" s="1"/>
  <c r="J120" i="81"/>
  <c r="J133" i="81" s="1"/>
  <c r="J146" i="81" s="1"/>
  <c r="J159" i="81" s="1"/>
  <c r="J172" i="81" s="1"/>
  <c r="J185" i="81" s="1"/>
  <c r="J198" i="81" s="1"/>
  <c r="J211" i="81" s="1"/>
  <c r="I120" i="81"/>
  <c r="I133" i="81" s="1"/>
  <c r="I146" i="81" s="1"/>
  <c r="I159" i="81" s="1"/>
  <c r="I172" i="81" s="1"/>
  <c r="I185" i="81" s="1"/>
  <c r="I198" i="81" s="1"/>
  <c r="I211" i="81" s="1"/>
  <c r="H120" i="81"/>
  <c r="H133" i="81" s="1"/>
  <c r="H146" i="81" s="1"/>
  <c r="H159" i="81" s="1"/>
  <c r="H172" i="81" s="1"/>
  <c r="H185" i="81" s="1"/>
  <c r="H198" i="81" s="1"/>
  <c r="H211" i="81" s="1"/>
  <c r="G120" i="81"/>
  <c r="G133" i="81" s="1"/>
  <c r="G146" i="81" s="1"/>
  <c r="G159" i="81" s="1"/>
  <c r="G172" i="81" s="1"/>
  <c r="G185" i="81" s="1"/>
  <c r="G198" i="81" s="1"/>
  <c r="G211" i="81" s="1"/>
  <c r="F120" i="81"/>
  <c r="F133" i="81" s="1"/>
  <c r="F146" i="81" s="1"/>
  <c r="F159" i="81" s="1"/>
  <c r="F172" i="81" s="1"/>
  <c r="F185" i="81" s="1"/>
  <c r="F198" i="81" s="1"/>
  <c r="F211" i="81" s="1"/>
  <c r="E120" i="81"/>
  <c r="E133" i="81" s="1"/>
  <c r="E146" i="81" s="1"/>
  <c r="E159" i="81" s="1"/>
  <c r="E172" i="81" s="1"/>
  <c r="E185" i="81" s="1"/>
  <c r="E198" i="81" s="1"/>
  <c r="E211" i="81" s="1"/>
  <c r="D120" i="81"/>
  <c r="D133" i="81" s="1"/>
  <c r="D146" i="81" s="1"/>
  <c r="D159" i="81" s="1"/>
  <c r="D172" i="81" s="1"/>
  <c r="D185" i="81" s="1"/>
  <c r="D198" i="81" s="1"/>
  <c r="D211" i="81" s="1"/>
  <c r="N119" i="81"/>
  <c r="M119" i="81"/>
  <c r="M132" i="81" s="1"/>
  <c r="M145" i="81" s="1"/>
  <c r="M158" i="81" s="1"/>
  <c r="M171" i="81" s="1"/>
  <c r="M184" i="81" s="1"/>
  <c r="M197" i="81" s="1"/>
  <c r="M210" i="81" s="1"/>
  <c r="L119" i="81"/>
  <c r="L132" i="81" s="1"/>
  <c r="L145" i="81" s="1"/>
  <c r="L158" i="81" s="1"/>
  <c r="L171" i="81" s="1"/>
  <c r="L184" i="81" s="1"/>
  <c r="L197" i="81" s="1"/>
  <c r="L210" i="81" s="1"/>
  <c r="K119" i="81"/>
  <c r="J119" i="81"/>
  <c r="J132" i="81" s="1"/>
  <c r="J145" i="81" s="1"/>
  <c r="J158" i="81" s="1"/>
  <c r="J171" i="81" s="1"/>
  <c r="J184" i="81" s="1"/>
  <c r="J197" i="81" s="1"/>
  <c r="J210" i="81" s="1"/>
  <c r="I119" i="81"/>
  <c r="I132" i="81" s="1"/>
  <c r="H119" i="81"/>
  <c r="H132" i="81" s="1"/>
  <c r="H145" i="81" s="1"/>
  <c r="H158" i="81" s="1"/>
  <c r="G119" i="81"/>
  <c r="G132" i="81" s="1"/>
  <c r="F119" i="81"/>
  <c r="F132" i="81" s="1"/>
  <c r="F145" i="81" s="1"/>
  <c r="F158" i="81" s="1"/>
  <c r="F171" i="81" s="1"/>
  <c r="F184" i="81" s="1"/>
  <c r="F197" i="81" s="1"/>
  <c r="F210" i="81" s="1"/>
  <c r="E119" i="81"/>
  <c r="E132" i="81" s="1"/>
  <c r="E145" i="81" s="1"/>
  <c r="E158" i="81" s="1"/>
  <c r="E171" i="81" s="1"/>
  <c r="E184" i="81" s="1"/>
  <c r="E197" i="81" s="1"/>
  <c r="E210" i="81" s="1"/>
  <c r="D119" i="81"/>
  <c r="D132" i="81" s="1"/>
  <c r="D145" i="81" s="1"/>
  <c r="D158" i="81" s="1"/>
  <c r="D171" i="81" s="1"/>
  <c r="D184" i="81" s="1"/>
  <c r="D197" i="81" s="1"/>
  <c r="D210" i="81" s="1"/>
  <c r="C119" i="81"/>
  <c r="C132" i="81" s="1"/>
  <c r="N109" i="81"/>
  <c r="M109" i="81"/>
  <c r="M113" i="81" s="1"/>
  <c r="L109" i="81"/>
  <c r="L110" i="81" s="1"/>
  <c r="K109" i="81"/>
  <c r="J109" i="81"/>
  <c r="J110" i="81" s="1"/>
  <c r="J115" i="81" s="1"/>
  <c r="I109" i="81"/>
  <c r="H109" i="81"/>
  <c r="H113" i="81" s="1"/>
  <c r="G109" i="81"/>
  <c r="G113" i="81" s="1"/>
  <c r="F109" i="81"/>
  <c r="E109" i="81"/>
  <c r="D109" i="81"/>
  <c r="D113" i="81" s="1"/>
  <c r="C109" i="81"/>
  <c r="C113" i="81" s="1"/>
  <c r="C107" i="81"/>
  <c r="C120" i="81" s="1"/>
  <c r="C133" i="81" s="1"/>
  <c r="C146" i="81" s="1"/>
  <c r="C159" i="81" s="1"/>
  <c r="C172" i="81" s="1"/>
  <c r="C185" i="81" s="1"/>
  <c r="C198" i="81" s="1"/>
  <c r="C211" i="81" s="1"/>
  <c r="G105" i="81"/>
  <c r="G118" i="81" s="1"/>
  <c r="G131" i="81" s="1"/>
  <c r="G144" i="81" s="1"/>
  <c r="G157" i="81" s="1"/>
  <c r="G170" i="81" s="1"/>
  <c r="G183" i="81" s="1"/>
  <c r="G196" i="81" s="1"/>
  <c r="G209" i="81" s="1"/>
  <c r="B94" i="81"/>
  <c r="B45" i="81"/>
  <c r="B44" i="81"/>
  <c r="B43" i="81"/>
  <c r="B42" i="81"/>
  <c r="B41" i="81"/>
  <c r="B40" i="81"/>
  <c r="B39" i="81"/>
  <c r="B38" i="81"/>
  <c r="B37" i="81"/>
  <c r="B36" i="81"/>
  <c r="B35" i="81"/>
  <c r="B34" i="81"/>
  <c r="B33" i="81"/>
  <c r="B32" i="81"/>
  <c r="B31" i="81"/>
  <c r="B30" i="81"/>
  <c r="B29" i="81"/>
  <c r="B28" i="81"/>
  <c r="B27" i="81"/>
  <c r="B26" i="81"/>
  <c r="B25" i="81"/>
  <c r="B24" i="81"/>
  <c r="B23" i="81"/>
  <c r="B22" i="81"/>
  <c r="B21" i="81"/>
  <c r="B20" i="81"/>
  <c r="B19" i="81"/>
  <c r="B18" i="81"/>
  <c r="B17" i="81"/>
  <c r="B16" i="81"/>
  <c r="B15" i="81"/>
  <c r="B14" i="81"/>
  <c r="B13" i="81"/>
  <c r="B12" i="81"/>
  <c r="B11" i="81"/>
  <c r="B10" i="81"/>
  <c r="A1" i="81"/>
  <c r="N200" i="80"/>
  <c r="N201" i="80" s="1"/>
  <c r="N206" i="80" s="1"/>
  <c r="M200" i="80"/>
  <c r="L200" i="80"/>
  <c r="K200" i="80"/>
  <c r="J200" i="80"/>
  <c r="I200" i="80"/>
  <c r="I201" i="80" s="1"/>
  <c r="I206" i="80" s="1"/>
  <c r="H200" i="80"/>
  <c r="G200" i="80"/>
  <c r="G201" i="80" s="1"/>
  <c r="G206" i="80" s="1"/>
  <c r="F200" i="80"/>
  <c r="F201" i="80" s="1"/>
  <c r="F206" i="80" s="1"/>
  <c r="E200" i="80"/>
  <c r="D200" i="80"/>
  <c r="C200" i="80"/>
  <c r="N187" i="80"/>
  <c r="M187" i="80"/>
  <c r="M188" i="80" s="1"/>
  <c r="L187" i="80"/>
  <c r="L191" i="80" s="1"/>
  <c r="K187" i="80"/>
  <c r="K191" i="80" s="1"/>
  <c r="J187" i="80"/>
  <c r="J191" i="80" s="1"/>
  <c r="I187" i="80"/>
  <c r="H187" i="80"/>
  <c r="H191" i="80" s="1"/>
  <c r="G187" i="80"/>
  <c r="G188" i="80" s="1"/>
  <c r="F187" i="80"/>
  <c r="F188" i="80" s="1"/>
  <c r="E187" i="80"/>
  <c r="D187" i="80"/>
  <c r="D191" i="80" s="1"/>
  <c r="C187" i="80"/>
  <c r="N174" i="80"/>
  <c r="N175" i="80" s="1"/>
  <c r="M174" i="80"/>
  <c r="M178" i="80" s="1"/>
  <c r="L174" i="80"/>
  <c r="L178" i="80" s="1"/>
  <c r="K174" i="80"/>
  <c r="J174" i="80"/>
  <c r="I174" i="80"/>
  <c r="I175" i="80" s="1"/>
  <c r="I180" i="80" s="1"/>
  <c r="H174" i="80"/>
  <c r="H178" i="80" s="1"/>
  <c r="G174" i="80"/>
  <c r="G175" i="80" s="1"/>
  <c r="G177" i="80" s="1"/>
  <c r="F174" i="80"/>
  <c r="E174" i="80"/>
  <c r="E178" i="80" s="1"/>
  <c r="D174" i="80"/>
  <c r="D178" i="80" s="1"/>
  <c r="C174" i="80"/>
  <c r="C178" i="80" s="1"/>
  <c r="N161" i="80"/>
  <c r="N165" i="80" s="1"/>
  <c r="M161" i="80"/>
  <c r="M162" i="80" s="1"/>
  <c r="L161" i="80"/>
  <c r="L165" i="80" s="1"/>
  <c r="K161" i="80"/>
  <c r="K162" i="80" s="1"/>
  <c r="J161" i="80"/>
  <c r="J165" i="80" s="1"/>
  <c r="I161" i="80"/>
  <c r="I165" i="80" s="1"/>
  <c r="H161" i="80"/>
  <c r="H165" i="80" s="1"/>
  <c r="G161" i="80"/>
  <c r="G165" i="80" s="1"/>
  <c r="F161" i="80"/>
  <c r="F165" i="80" s="1"/>
  <c r="E161" i="80"/>
  <c r="E162" i="80" s="1"/>
  <c r="E167" i="80" s="1"/>
  <c r="D161" i="80"/>
  <c r="D165" i="80" s="1"/>
  <c r="C161" i="80"/>
  <c r="C165" i="80" s="1"/>
  <c r="M152" i="80"/>
  <c r="I149" i="80"/>
  <c r="I154" i="80" s="1"/>
  <c r="E152" i="80"/>
  <c r="C148" i="80"/>
  <c r="C152" i="80" s="1"/>
  <c r="N135" i="80"/>
  <c r="N139" i="80" s="1"/>
  <c r="M135" i="80"/>
  <c r="M136" i="80" s="1"/>
  <c r="L135" i="80"/>
  <c r="L139" i="80" s="1"/>
  <c r="K135" i="80"/>
  <c r="K136" i="80" s="1"/>
  <c r="J135" i="80"/>
  <c r="J139" i="80" s="1"/>
  <c r="I135" i="80"/>
  <c r="I139" i="80" s="1"/>
  <c r="H135" i="80"/>
  <c r="G135" i="80"/>
  <c r="G139" i="80" s="1"/>
  <c r="F135" i="80"/>
  <c r="F139" i="80" s="1"/>
  <c r="E135" i="80"/>
  <c r="E136" i="80" s="1"/>
  <c r="D135" i="80"/>
  <c r="D139" i="80" s="1"/>
  <c r="C135" i="80"/>
  <c r="C136" i="80" s="1"/>
  <c r="M120" i="80"/>
  <c r="M133" i="80" s="1"/>
  <c r="M146" i="80" s="1"/>
  <c r="M159" i="80" s="1"/>
  <c r="M172" i="80" s="1"/>
  <c r="M185" i="80" s="1"/>
  <c r="M198" i="80" s="1"/>
  <c r="M211" i="80" s="1"/>
  <c r="M224" i="80" s="1"/>
  <c r="M237" i="80" s="1"/>
  <c r="L120" i="80"/>
  <c r="L133" i="80" s="1"/>
  <c r="L146" i="80" s="1"/>
  <c r="L159" i="80" s="1"/>
  <c r="L172" i="80" s="1"/>
  <c r="L185" i="80" s="1"/>
  <c r="L198" i="80" s="1"/>
  <c r="L211" i="80" s="1"/>
  <c r="L224" i="80" s="1"/>
  <c r="L237" i="80" s="1"/>
  <c r="K120" i="80"/>
  <c r="K133" i="80" s="1"/>
  <c r="K146" i="80" s="1"/>
  <c r="K159" i="80" s="1"/>
  <c r="K172" i="80" s="1"/>
  <c r="K185" i="80" s="1"/>
  <c r="K198" i="80" s="1"/>
  <c r="K211" i="80" s="1"/>
  <c r="K224" i="80" s="1"/>
  <c r="K237" i="80" s="1"/>
  <c r="J120" i="80"/>
  <c r="J133" i="80" s="1"/>
  <c r="J146" i="80" s="1"/>
  <c r="J159" i="80" s="1"/>
  <c r="J172" i="80" s="1"/>
  <c r="J185" i="80" s="1"/>
  <c r="J198" i="80" s="1"/>
  <c r="J211" i="80" s="1"/>
  <c r="J224" i="80" s="1"/>
  <c r="J237" i="80" s="1"/>
  <c r="I120" i="80"/>
  <c r="I133" i="80" s="1"/>
  <c r="I146" i="80" s="1"/>
  <c r="I159" i="80" s="1"/>
  <c r="I172" i="80" s="1"/>
  <c r="I185" i="80" s="1"/>
  <c r="I198" i="80" s="1"/>
  <c r="I211" i="80" s="1"/>
  <c r="I224" i="80" s="1"/>
  <c r="I237" i="80" s="1"/>
  <c r="H120" i="80"/>
  <c r="H133" i="80" s="1"/>
  <c r="H146" i="80" s="1"/>
  <c r="H159" i="80" s="1"/>
  <c r="H172" i="80" s="1"/>
  <c r="H185" i="80" s="1"/>
  <c r="H198" i="80" s="1"/>
  <c r="H211" i="80" s="1"/>
  <c r="H224" i="80" s="1"/>
  <c r="H237" i="80" s="1"/>
  <c r="G120" i="80"/>
  <c r="G133" i="80" s="1"/>
  <c r="G146" i="80" s="1"/>
  <c r="G159" i="80" s="1"/>
  <c r="G172" i="80" s="1"/>
  <c r="G185" i="80" s="1"/>
  <c r="G198" i="80" s="1"/>
  <c r="G211" i="80" s="1"/>
  <c r="G224" i="80" s="1"/>
  <c r="G237" i="80" s="1"/>
  <c r="F120" i="80"/>
  <c r="F133" i="80" s="1"/>
  <c r="F146" i="80" s="1"/>
  <c r="F159" i="80" s="1"/>
  <c r="F172" i="80" s="1"/>
  <c r="F185" i="80" s="1"/>
  <c r="F198" i="80" s="1"/>
  <c r="F211" i="80" s="1"/>
  <c r="F224" i="80" s="1"/>
  <c r="F237" i="80" s="1"/>
  <c r="E120" i="80"/>
  <c r="E133" i="80" s="1"/>
  <c r="E146" i="80" s="1"/>
  <c r="E159" i="80" s="1"/>
  <c r="E172" i="80" s="1"/>
  <c r="E185" i="80" s="1"/>
  <c r="E198" i="80" s="1"/>
  <c r="E211" i="80" s="1"/>
  <c r="E224" i="80" s="1"/>
  <c r="E237" i="80" s="1"/>
  <c r="D120" i="80"/>
  <c r="D133" i="80" s="1"/>
  <c r="D146" i="80" s="1"/>
  <c r="D159" i="80" s="1"/>
  <c r="D172" i="80" s="1"/>
  <c r="D185" i="80" s="1"/>
  <c r="D198" i="80" s="1"/>
  <c r="D211" i="80" s="1"/>
  <c r="D224" i="80" s="1"/>
  <c r="D237" i="80" s="1"/>
  <c r="C120" i="80"/>
  <c r="C133" i="80" s="1"/>
  <c r="C146" i="80" s="1"/>
  <c r="C159" i="80" s="1"/>
  <c r="C172" i="80" s="1"/>
  <c r="C185" i="80" s="1"/>
  <c r="C198" i="80" s="1"/>
  <c r="C211" i="80" s="1"/>
  <c r="C224" i="80" s="1"/>
  <c r="C237" i="80" s="1"/>
  <c r="M12" i="92"/>
  <c r="L12" i="92"/>
  <c r="J12" i="92"/>
  <c r="I12" i="92"/>
  <c r="H12" i="92"/>
  <c r="E12" i="92"/>
  <c r="C12" i="92"/>
  <c r="B12" i="92"/>
  <c r="B45" i="80"/>
  <c r="B44" i="80"/>
  <c r="B43" i="80"/>
  <c r="B42" i="80"/>
  <c r="B41" i="80"/>
  <c r="B40" i="80"/>
  <c r="B39" i="80"/>
  <c r="B38" i="80"/>
  <c r="B37" i="80"/>
  <c r="B36" i="80"/>
  <c r="B35" i="80"/>
  <c r="B34" i="80"/>
  <c r="B33" i="80"/>
  <c r="B32" i="80"/>
  <c r="B31" i="80"/>
  <c r="B30" i="80"/>
  <c r="B29" i="80"/>
  <c r="B28" i="80"/>
  <c r="B27" i="80"/>
  <c r="B26" i="80"/>
  <c r="B25" i="80"/>
  <c r="B24" i="80"/>
  <c r="B23" i="80"/>
  <c r="B22" i="80"/>
  <c r="B21" i="80"/>
  <c r="B20" i="80"/>
  <c r="B19" i="80"/>
  <c r="B18" i="80"/>
  <c r="B17" i="80"/>
  <c r="B16" i="80"/>
  <c r="B13" i="80"/>
  <c r="B12" i="80"/>
  <c r="A1" i="80"/>
  <c r="C135" i="79"/>
  <c r="C139" i="79" s="1"/>
  <c r="C109" i="79"/>
  <c r="C113" i="79" s="1"/>
  <c r="C107" i="79"/>
  <c r="C120" i="79" s="1"/>
  <c r="C133" i="79" s="1"/>
  <c r="C146" i="79" s="1"/>
  <c r="C159" i="79" s="1"/>
  <c r="C172" i="79" s="1"/>
  <c r="C185" i="79" s="1"/>
  <c r="C198" i="79" s="1"/>
  <c r="N161" i="79"/>
  <c r="N165" i="79" s="1"/>
  <c r="M161" i="79"/>
  <c r="L161" i="79"/>
  <c r="K161" i="79"/>
  <c r="J161" i="79"/>
  <c r="I161" i="79"/>
  <c r="I165" i="79" s="1"/>
  <c r="H161" i="79"/>
  <c r="H165" i="79" s="1"/>
  <c r="G161" i="79"/>
  <c r="G165" i="79" s="1"/>
  <c r="F161" i="79"/>
  <c r="F165" i="79" s="1"/>
  <c r="E161" i="79"/>
  <c r="E165" i="79" s="1"/>
  <c r="D161" i="79"/>
  <c r="C161" i="79"/>
  <c r="N148" i="79"/>
  <c r="N152" i="79" s="1"/>
  <c r="M148" i="79"/>
  <c r="M152" i="79" s="1"/>
  <c r="L148" i="79"/>
  <c r="K148" i="79"/>
  <c r="J148" i="79"/>
  <c r="J152" i="79" s="1"/>
  <c r="I148" i="79"/>
  <c r="H148" i="79"/>
  <c r="H152" i="79" s="1"/>
  <c r="G148" i="79"/>
  <c r="G152" i="79" s="1"/>
  <c r="F148" i="79"/>
  <c r="F152" i="79" s="1"/>
  <c r="E148" i="79"/>
  <c r="E152" i="79" s="1"/>
  <c r="D148" i="79"/>
  <c r="D152" i="79" s="1"/>
  <c r="C148" i="79"/>
  <c r="N135" i="79"/>
  <c r="N139" i="79" s="1"/>
  <c r="M135" i="79"/>
  <c r="M139" i="79" s="1"/>
  <c r="L135" i="79"/>
  <c r="L139" i="79" s="1"/>
  <c r="K135" i="79"/>
  <c r="J135" i="79"/>
  <c r="J139" i="79" s="1"/>
  <c r="I135" i="79"/>
  <c r="I139" i="79" s="1"/>
  <c r="H135" i="79"/>
  <c r="H139" i="79" s="1"/>
  <c r="G135" i="79"/>
  <c r="G139" i="79" s="1"/>
  <c r="F135" i="79"/>
  <c r="F139" i="79" s="1"/>
  <c r="E135" i="79"/>
  <c r="D135" i="79"/>
  <c r="N122" i="79"/>
  <c r="M122" i="79"/>
  <c r="L122" i="79"/>
  <c r="L126" i="79" s="1"/>
  <c r="K122" i="79"/>
  <c r="J122" i="79"/>
  <c r="I122" i="79"/>
  <c r="H122" i="79"/>
  <c r="H126" i="79" s="1"/>
  <c r="G122" i="79"/>
  <c r="G126" i="79" s="1"/>
  <c r="F122" i="79"/>
  <c r="E122" i="79"/>
  <c r="D122" i="79"/>
  <c r="D126" i="79" s="1"/>
  <c r="C122" i="79"/>
  <c r="C126" i="79" s="1"/>
  <c r="N120" i="79"/>
  <c r="N133" i="79" s="1"/>
  <c r="N146" i="79" s="1"/>
  <c r="N159" i="79" s="1"/>
  <c r="M120" i="79"/>
  <c r="M133" i="79" s="1"/>
  <c r="M146" i="79" s="1"/>
  <c r="M159" i="79" s="1"/>
  <c r="M172" i="79" s="1"/>
  <c r="M185" i="79" s="1"/>
  <c r="M198" i="79" s="1"/>
  <c r="L120" i="79"/>
  <c r="L133" i="79" s="1"/>
  <c r="L146" i="79" s="1"/>
  <c r="L159" i="79" s="1"/>
  <c r="L172" i="79" s="1"/>
  <c r="L185" i="79" s="1"/>
  <c r="L198" i="79" s="1"/>
  <c r="K120" i="79"/>
  <c r="K133" i="79" s="1"/>
  <c r="K146" i="79" s="1"/>
  <c r="K159" i="79" s="1"/>
  <c r="K172" i="79" s="1"/>
  <c r="K185" i="79" s="1"/>
  <c r="K198" i="79" s="1"/>
  <c r="J120" i="79"/>
  <c r="J133" i="79" s="1"/>
  <c r="J146" i="79" s="1"/>
  <c r="J159" i="79" s="1"/>
  <c r="J172" i="79" s="1"/>
  <c r="J185" i="79" s="1"/>
  <c r="J198" i="79" s="1"/>
  <c r="I120" i="79"/>
  <c r="I133" i="79" s="1"/>
  <c r="I146" i="79" s="1"/>
  <c r="I159" i="79" s="1"/>
  <c r="I172" i="79" s="1"/>
  <c r="I185" i="79" s="1"/>
  <c r="I198" i="79" s="1"/>
  <c r="H120" i="79"/>
  <c r="H133" i="79" s="1"/>
  <c r="H146" i="79" s="1"/>
  <c r="H159" i="79" s="1"/>
  <c r="G120" i="79"/>
  <c r="G133" i="79" s="1"/>
  <c r="G146" i="79" s="1"/>
  <c r="G159" i="79" s="1"/>
  <c r="G172" i="79" s="1"/>
  <c r="G185" i="79" s="1"/>
  <c r="G198" i="79" s="1"/>
  <c r="F120" i="79"/>
  <c r="F133" i="79" s="1"/>
  <c r="F146" i="79" s="1"/>
  <c r="F159" i="79" s="1"/>
  <c r="E120" i="79"/>
  <c r="E133" i="79" s="1"/>
  <c r="E146" i="79" s="1"/>
  <c r="E159" i="79" s="1"/>
  <c r="E172" i="79" s="1"/>
  <c r="E185" i="79" s="1"/>
  <c r="E198" i="79" s="1"/>
  <c r="D120" i="79"/>
  <c r="D133" i="79" s="1"/>
  <c r="D146" i="79" s="1"/>
  <c r="D159" i="79" s="1"/>
  <c r="D172" i="79" s="1"/>
  <c r="D185" i="79" s="1"/>
  <c r="D198" i="79" s="1"/>
  <c r="N119" i="79"/>
  <c r="N132" i="79" s="1"/>
  <c r="N145" i="79" s="1"/>
  <c r="N158" i="79" s="1"/>
  <c r="M119" i="79"/>
  <c r="M132" i="79" s="1"/>
  <c r="M145" i="79" s="1"/>
  <c r="M158" i="79" s="1"/>
  <c r="L119" i="79"/>
  <c r="L132" i="79" s="1"/>
  <c r="L145" i="79" s="1"/>
  <c r="L158" i="79" s="1"/>
  <c r="K119" i="79"/>
  <c r="K132" i="79" s="1"/>
  <c r="K145" i="79" s="1"/>
  <c r="K158" i="79" s="1"/>
  <c r="J119" i="79"/>
  <c r="J132" i="79" s="1"/>
  <c r="J145" i="79" s="1"/>
  <c r="J158" i="79" s="1"/>
  <c r="I119" i="79"/>
  <c r="I132" i="79" s="1"/>
  <c r="I145" i="79" s="1"/>
  <c r="I158" i="79" s="1"/>
  <c r="H119" i="79"/>
  <c r="H132" i="79" s="1"/>
  <c r="H145" i="79" s="1"/>
  <c r="H158" i="79" s="1"/>
  <c r="G119" i="79"/>
  <c r="G132" i="79" s="1"/>
  <c r="G145" i="79" s="1"/>
  <c r="G158" i="79" s="1"/>
  <c r="F119" i="79"/>
  <c r="F132" i="79" s="1"/>
  <c r="F145" i="79" s="1"/>
  <c r="F158" i="79" s="1"/>
  <c r="E119" i="79"/>
  <c r="E132" i="79" s="1"/>
  <c r="E145" i="79" s="1"/>
  <c r="E158" i="79" s="1"/>
  <c r="D119" i="79"/>
  <c r="D132" i="79" s="1"/>
  <c r="D145" i="79" s="1"/>
  <c r="D158" i="79" s="1"/>
  <c r="C119" i="79"/>
  <c r="C132" i="79" s="1"/>
  <c r="C145" i="79" s="1"/>
  <c r="C158" i="79" s="1"/>
  <c r="N109" i="79"/>
  <c r="N113" i="79" s="1"/>
  <c r="M109" i="79"/>
  <c r="M113" i="79" s="1"/>
  <c r="L109" i="79"/>
  <c r="K109" i="79"/>
  <c r="J109" i="79"/>
  <c r="J113" i="79" s="1"/>
  <c r="I109" i="79"/>
  <c r="I113" i="79" s="1"/>
  <c r="H109" i="79"/>
  <c r="H113" i="79" s="1"/>
  <c r="G109" i="79"/>
  <c r="F109" i="79"/>
  <c r="E109" i="79"/>
  <c r="E113" i="79" s="1"/>
  <c r="D109" i="79"/>
  <c r="D113" i="79" s="1"/>
  <c r="K105" i="79"/>
  <c r="K118" i="79" s="1"/>
  <c r="K131" i="79" s="1"/>
  <c r="K144" i="79" s="1"/>
  <c r="K157" i="79" s="1"/>
  <c r="J105" i="79"/>
  <c r="J118" i="79" s="1"/>
  <c r="J131" i="79" s="1"/>
  <c r="J144" i="79" s="1"/>
  <c r="J157" i="79" s="1"/>
  <c r="D62" i="79"/>
  <c r="B94" i="79"/>
  <c r="N46" i="79"/>
  <c r="M46" i="79"/>
  <c r="L46" i="79"/>
  <c r="K46" i="79"/>
  <c r="J46" i="79"/>
  <c r="I46" i="79"/>
  <c r="H46" i="79"/>
  <c r="G46" i="79"/>
  <c r="F46" i="79"/>
  <c r="E46" i="79"/>
  <c r="D46" i="79"/>
  <c r="B45" i="79"/>
  <c r="B44" i="79"/>
  <c r="B43" i="79"/>
  <c r="B42" i="79"/>
  <c r="B41" i="79"/>
  <c r="B40" i="79"/>
  <c r="B39" i="79"/>
  <c r="B38" i="79"/>
  <c r="B37" i="79"/>
  <c r="B36" i="79"/>
  <c r="B35" i="79"/>
  <c r="B34" i="79"/>
  <c r="B33" i="79"/>
  <c r="B32" i="79"/>
  <c r="B31" i="79"/>
  <c r="B30" i="79"/>
  <c r="B29" i="79"/>
  <c r="B28" i="79"/>
  <c r="B27" i="79"/>
  <c r="B26" i="79"/>
  <c r="B25" i="79"/>
  <c r="B24" i="79"/>
  <c r="B23" i="79"/>
  <c r="B22" i="79"/>
  <c r="B21" i="79"/>
  <c r="B20" i="79"/>
  <c r="B19" i="79"/>
  <c r="B18" i="79"/>
  <c r="B17" i="79"/>
  <c r="B16" i="79"/>
  <c r="B15" i="79"/>
  <c r="B14" i="79"/>
  <c r="B13" i="79"/>
  <c r="B12" i="79"/>
  <c r="B11" i="79"/>
  <c r="B10" i="79"/>
  <c r="C46" i="79"/>
  <c r="A1" i="79"/>
  <c r="C46" i="78"/>
  <c r="A1" i="78"/>
  <c r="A1" i="77"/>
  <c r="A1" i="76"/>
  <c r="N200" i="78"/>
  <c r="N201" i="78" s="1"/>
  <c r="N203" i="78" s="1"/>
  <c r="M200" i="78"/>
  <c r="M204" i="78" s="1"/>
  <c r="L200" i="78"/>
  <c r="L201" i="78" s="1"/>
  <c r="L202" i="78" s="1"/>
  <c r="K200" i="78"/>
  <c r="K201" i="78" s="1"/>
  <c r="K203" i="78" s="1"/>
  <c r="J200" i="78"/>
  <c r="J204" i="78" s="1"/>
  <c r="I200" i="78"/>
  <c r="I204" i="78" s="1"/>
  <c r="H200" i="78"/>
  <c r="G200" i="78"/>
  <c r="F200" i="78"/>
  <c r="F201" i="78" s="1"/>
  <c r="F202" i="78" s="1"/>
  <c r="E200" i="78"/>
  <c r="E204" i="78" s="1"/>
  <c r="D200" i="78"/>
  <c r="C200" i="78"/>
  <c r="C201" i="78" s="1"/>
  <c r="N187" i="78"/>
  <c r="M187" i="78"/>
  <c r="M191" i="78" s="1"/>
  <c r="L187" i="78"/>
  <c r="K187" i="78"/>
  <c r="J187" i="78"/>
  <c r="J188" i="78" s="1"/>
  <c r="J189" i="78" s="1"/>
  <c r="I187" i="78"/>
  <c r="H187" i="78"/>
  <c r="H188" i="78" s="1"/>
  <c r="H190" i="78" s="1"/>
  <c r="G187" i="78"/>
  <c r="G188" i="78" s="1"/>
  <c r="G190" i="78" s="1"/>
  <c r="F187" i="78"/>
  <c r="F191" i="78" s="1"/>
  <c r="E187" i="78"/>
  <c r="E191" i="78" s="1"/>
  <c r="D187" i="78"/>
  <c r="C187" i="78"/>
  <c r="N174" i="78"/>
  <c r="N175" i="78" s="1"/>
  <c r="N176" i="78" s="1"/>
  <c r="M174" i="78"/>
  <c r="L174" i="78"/>
  <c r="L178" i="78" s="1"/>
  <c r="K174" i="78"/>
  <c r="K175" i="78" s="1"/>
  <c r="J174" i="78"/>
  <c r="I174" i="78"/>
  <c r="I178" i="78" s="1"/>
  <c r="H174" i="78"/>
  <c r="G174" i="78"/>
  <c r="F174" i="78"/>
  <c r="F175" i="78" s="1"/>
  <c r="F176" i="78" s="1"/>
  <c r="E174" i="78"/>
  <c r="E178" i="78" s="1"/>
  <c r="D174" i="78"/>
  <c r="D175" i="78" s="1"/>
  <c r="C174" i="78"/>
  <c r="C175" i="78" s="1"/>
  <c r="C176" i="78" s="1"/>
  <c r="N161" i="78"/>
  <c r="N165" i="78" s="1"/>
  <c r="M161" i="78"/>
  <c r="M165" i="78" s="1"/>
  <c r="L161" i="78"/>
  <c r="K161" i="78"/>
  <c r="J161" i="78"/>
  <c r="J162" i="78" s="1"/>
  <c r="I161" i="78"/>
  <c r="I165" i="78" s="1"/>
  <c r="H161" i="78"/>
  <c r="H165" i="78" s="1"/>
  <c r="G161" i="78"/>
  <c r="G162" i="78" s="1"/>
  <c r="G167" i="78" s="1"/>
  <c r="F161" i="78"/>
  <c r="E161" i="78"/>
  <c r="E165" i="78" s="1"/>
  <c r="D161" i="78"/>
  <c r="C161" i="78"/>
  <c r="N148" i="78"/>
  <c r="N149" i="78" s="1"/>
  <c r="M148" i="78"/>
  <c r="L148" i="78"/>
  <c r="L149" i="78" s="1"/>
  <c r="K148" i="78"/>
  <c r="K149" i="78" s="1"/>
  <c r="K154" i="78" s="1"/>
  <c r="J148" i="78"/>
  <c r="J152" i="78" s="1"/>
  <c r="I148" i="78"/>
  <c r="I152" i="78" s="1"/>
  <c r="H148" i="78"/>
  <c r="G148" i="78"/>
  <c r="F148" i="78"/>
  <c r="F149" i="78" s="1"/>
  <c r="F154" i="78" s="1"/>
  <c r="E148" i="78"/>
  <c r="D148" i="78"/>
  <c r="D152" i="78" s="1"/>
  <c r="C148" i="78"/>
  <c r="C149" i="78" s="1"/>
  <c r="C154" i="78" s="1"/>
  <c r="N135" i="78"/>
  <c r="M135" i="78"/>
  <c r="M136" i="78" s="1"/>
  <c r="M141" i="78" s="1"/>
  <c r="L135" i="78"/>
  <c r="K135" i="78"/>
  <c r="K136" i="78" s="1"/>
  <c r="K141" i="78" s="1"/>
  <c r="J135" i="78"/>
  <c r="J139" i="78" s="1"/>
  <c r="I135" i="78"/>
  <c r="H135" i="78"/>
  <c r="G135" i="78"/>
  <c r="G136" i="78" s="1"/>
  <c r="F135" i="78"/>
  <c r="E135" i="78"/>
  <c r="D135" i="78"/>
  <c r="D139" i="78" s="1"/>
  <c r="C135" i="78"/>
  <c r="C136" i="78" s="1"/>
  <c r="C141" i="78" s="1"/>
  <c r="N122" i="78"/>
  <c r="N123" i="78" s="1"/>
  <c r="N128" i="78" s="1"/>
  <c r="M122" i="78"/>
  <c r="M123" i="78" s="1"/>
  <c r="M128" i="78" s="1"/>
  <c r="L122" i="78"/>
  <c r="L123" i="78" s="1"/>
  <c r="L128" i="78" s="1"/>
  <c r="K122" i="78"/>
  <c r="K123" i="78" s="1"/>
  <c r="K128" i="78" s="1"/>
  <c r="J122" i="78"/>
  <c r="I122" i="78"/>
  <c r="H122" i="78"/>
  <c r="H126" i="78" s="1"/>
  <c r="G122" i="78"/>
  <c r="G126" i="78" s="1"/>
  <c r="F122" i="78"/>
  <c r="F126" i="78" s="1"/>
  <c r="E122" i="78"/>
  <c r="D122" i="78"/>
  <c r="D126" i="78" s="1"/>
  <c r="C122" i="78"/>
  <c r="C126" i="78" s="1"/>
  <c r="N120" i="78"/>
  <c r="N133" i="78" s="1"/>
  <c r="N146" i="78" s="1"/>
  <c r="N159" i="78" s="1"/>
  <c r="N172" i="78" s="1"/>
  <c r="N185" i="78" s="1"/>
  <c r="N198" i="78" s="1"/>
  <c r="M120" i="78"/>
  <c r="M133" i="78" s="1"/>
  <c r="M146" i="78" s="1"/>
  <c r="M159" i="78" s="1"/>
  <c r="M172" i="78" s="1"/>
  <c r="M185" i="78" s="1"/>
  <c r="M198" i="78" s="1"/>
  <c r="L120" i="78"/>
  <c r="L133" i="78" s="1"/>
  <c r="L146" i="78" s="1"/>
  <c r="L159" i="78" s="1"/>
  <c r="L172" i="78" s="1"/>
  <c r="L185" i="78" s="1"/>
  <c r="L198" i="78" s="1"/>
  <c r="K120" i="78"/>
  <c r="K133" i="78" s="1"/>
  <c r="K146" i="78" s="1"/>
  <c r="K159" i="78" s="1"/>
  <c r="K172" i="78" s="1"/>
  <c r="K185" i="78" s="1"/>
  <c r="K198" i="78" s="1"/>
  <c r="J120" i="78"/>
  <c r="J133" i="78" s="1"/>
  <c r="J146" i="78" s="1"/>
  <c r="J159" i="78" s="1"/>
  <c r="J172" i="78" s="1"/>
  <c r="J185" i="78" s="1"/>
  <c r="J198" i="78" s="1"/>
  <c r="I120" i="78"/>
  <c r="I133" i="78" s="1"/>
  <c r="I146" i="78" s="1"/>
  <c r="I159" i="78" s="1"/>
  <c r="I172" i="78" s="1"/>
  <c r="I185" i="78" s="1"/>
  <c r="I198" i="78" s="1"/>
  <c r="H120" i="78"/>
  <c r="H133" i="78" s="1"/>
  <c r="H146" i="78" s="1"/>
  <c r="H159" i="78" s="1"/>
  <c r="H172" i="78" s="1"/>
  <c r="H185" i="78" s="1"/>
  <c r="H198" i="78" s="1"/>
  <c r="G120" i="78"/>
  <c r="G133" i="78" s="1"/>
  <c r="G146" i="78" s="1"/>
  <c r="G159" i="78" s="1"/>
  <c r="G172" i="78" s="1"/>
  <c r="G185" i="78" s="1"/>
  <c r="G198" i="78" s="1"/>
  <c r="F120" i="78"/>
  <c r="F133" i="78" s="1"/>
  <c r="F146" i="78" s="1"/>
  <c r="F159" i="78" s="1"/>
  <c r="F172" i="78" s="1"/>
  <c r="F185" i="78" s="1"/>
  <c r="F198" i="78" s="1"/>
  <c r="E120" i="78"/>
  <c r="E133" i="78" s="1"/>
  <c r="E146" i="78" s="1"/>
  <c r="E159" i="78" s="1"/>
  <c r="E172" i="78" s="1"/>
  <c r="E185" i="78" s="1"/>
  <c r="E198" i="78" s="1"/>
  <c r="D120" i="78"/>
  <c r="D133" i="78" s="1"/>
  <c r="D146" i="78" s="1"/>
  <c r="D159" i="78" s="1"/>
  <c r="D172" i="78" s="1"/>
  <c r="D185" i="78" s="1"/>
  <c r="D198" i="78" s="1"/>
  <c r="C120" i="78"/>
  <c r="C133" i="78" s="1"/>
  <c r="C146" i="78" s="1"/>
  <c r="C159" i="78" s="1"/>
  <c r="C172" i="78" s="1"/>
  <c r="C185" i="78" s="1"/>
  <c r="C198" i="78" s="1"/>
  <c r="N119" i="78"/>
  <c r="N132" i="78" s="1"/>
  <c r="N145" i="78" s="1"/>
  <c r="N158" i="78" s="1"/>
  <c r="N171" i="78" s="1"/>
  <c r="N184" i="78" s="1"/>
  <c r="N197" i="78" s="1"/>
  <c r="M119" i="78"/>
  <c r="M132" i="78" s="1"/>
  <c r="M145" i="78" s="1"/>
  <c r="M158" i="78" s="1"/>
  <c r="M171" i="78" s="1"/>
  <c r="M184" i="78" s="1"/>
  <c r="M197" i="78" s="1"/>
  <c r="L119" i="78"/>
  <c r="L132" i="78" s="1"/>
  <c r="L145" i="78" s="1"/>
  <c r="K119" i="78"/>
  <c r="K132" i="78" s="1"/>
  <c r="K145" i="78" s="1"/>
  <c r="K158" i="78" s="1"/>
  <c r="K171" i="78" s="1"/>
  <c r="K184" i="78" s="1"/>
  <c r="K197" i="78" s="1"/>
  <c r="J119" i="78"/>
  <c r="J132" i="78" s="1"/>
  <c r="J145" i="78" s="1"/>
  <c r="J158" i="78" s="1"/>
  <c r="J171" i="78" s="1"/>
  <c r="J184" i="78" s="1"/>
  <c r="J197" i="78" s="1"/>
  <c r="I119" i="78"/>
  <c r="H119" i="78"/>
  <c r="H132" i="78" s="1"/>
  <c r="H145" i="78" s="1"/>
  <c r="H158" i="78" s="1"/>
  <c r="H171" i="78" s="1"/>
  <c r="H184" i="78" s="1"/>
  <c r="H197" i="78" s="1"/>
  <c r="G119" i="78"/>
  <c r="G132" i="78" s="1"/>
  <c r="F119" i="78"/>
  <c r="F132" i="78" s="1"/>
  <c r="F145" i="78" s="1"/>
  <c r="F158" i="78" s="1"/>
  <c r="F171" i="78" s="1"/>
  <c r="F184" i="78" s="1"/>
  <c r="F197" i="78" s="1"/>
  <c r="E119" i="78"/>
  <c r="E132" i="78" s="1"/>
  <c r="E145" i="78" s="1"/>
  <c r="E158" i="78" s="1"/>
  <c r="E171" i="78" s="1"/>
  <c r="E184" i="78" s="1"/>
  <c r="E197" i="78" s="1"/>
  <c r="D119" i="78"/>
  <c r="D132" i="78" s="1"/>
  <c r="C119" i="78"/>
  <c r="C132" i="78" s="1"/>
  <c r="C145" i="78" s="1"/>
  <c r="C158" i="78" s="1"/>
  <c r="C171" i="78" s="1"/>
  <c r="C184" i="78" s="1"/>
  <c r="C197" i="78" s="1"/>
  <c r="N109" i="78"/>
  <c r="M109" i="78"/>
  <c r="M113" i="78" s="1"/>
  <c r="L109" i="78"/>
  <c r="L110" i="78" s="1"/>
  <c r="L115" i="78" s="1"/>
  <c r="K109" i="78"/>
  <c r="K110" i="78" s="1"/>
  <c r="J109" i="78"/>
  <c r="J113" i="78" s="1"/>
  <c r="I109" i="78"/>
  <c r="I110" i="78" s="1"/>
  <c r="H109" i="78"/>
  <c r="H113" i="78" s="1"/>
  <c r="G109" i="78"/>
  <c r="G110" i="78" s="1"/>
  <c r="F109" i="78"/>
  <c r="F110" i="78" s="1"/>
  <c r="E109" i="78"/>
  <c r="D109" i="78"/>
  <c r="C109" i="78"/>
  <c r="C113" i="78" s="1"/>
  <c r="K105" i="78"/>
  <c r="K118" i="78" s="1"/>
  <c r="K131" i="78" s="1"/>
  <c r="K144" i="78" s="1"/>
  <c r="K157" i="78" s="1"/>
  <c r="K170" i="78" s="1"/>
  <c r="K183" i="78" s="1"/>
  <c r="K196" i="78" s="1"/>
  <c r="N102" i="78"/>
  <c r="N62" i="78" s="1"/>
  <c r="M102" i="78"/>
  <c r="M62" i="78" s="1"/>
  <c r="L102" i="78"/>
  <c r="L62" i="78" s="1"/>
  <c r="K102" i="78"/>
  <c r="K62" i="78" s="1"/>
  <c r="J102" i="78"/>
  <c r="J62" i="78" s="1"/>
  <c r="I102" i="78"/>
  <c r="I62" i="78" s="1"/>
  <c r="H102" i="78"/>
  <c r="H62" i="78" s="1"/>
  <c r="G102" i="78"/>
  <c r="G62" i="78" s="1"/>
  <c r="F102" i="78"/>
  <c r="F62" i="78" s="1"/>
  <c r="E102" i="78"/>
  <c r="E62" i="78" s="1"/>
  <c r="D102" i="78"/>
  <c r="D62" i="78" s="1"/>
  <c r="C102" i="78"/>
  <c r="B94" i="78"/>
  <c r="B45" i="78"/>
  <c r="B44" i="78"/>
  <c r="B43" i="78"/>
  <c r="B42" i="78"/>
  <c r="B41" i="78"/>
  <c r="B40" i="78"/>
  <c r="B39" i="78"/>
  <c r="B38" i="78"/>
  <c r="B37" i="78"/>
  <c r="B36" i="78"/>
  <c r="B35" i="78"/>
  <c r="B34" i="78"/>
  <c r="B33" i="78"/>
  <c r="B32" i="78"/>
  <c r="B31" i="78"/>
  <c r="B30" i="78"/>
  <c r="B29" i="78"/>
  <c r="B28" i="78"/>
  <c r="B27" i="78"/>
  <c r="B26" i="78"/>
  <c r="B25" i="78"/>
  <c r="B24" i="78"/>
  <c r="B23" i="78"/>
  <c r="B22" i="78"/>
  <c r="B21" i="78"/>
  <c r="B20" i="78"/>
  <c r="B19" i="78"/>
  <c r="B18" i="78"/>
  <c r="B17" i="78"/>
  <c r="B16" i="78"/>
  <c r="B15" i="78"/>
  <c r="B14" i="78"/>
  <c r="B13" i="78"/>
  <c r="B12" i="78"/>
  <c r="B11" i="78"/>
  <c r="N162" i="77"/>
  <c r="N163" i="77" s="1"/>
  <c r="M162" i="77"/>
  <c r="M166" i="77" s="1"/>
  <c r="L162" i="77"/>
  <c r="K162" i="77"/>
  <c r="K166" i="77" s="1"/>
  <c r="J162" i="77"/>
  <c r="I162" i="77"/>
  <c r="I163" i="77" s="1"/>
  <c r="H162" i="77"/>
  <c r="H166" i="77" s="1"/>
  <c r="G162" i="77"/>
  <c r="F162" i="77"/>
  <c r="E162" i="77"/>
  <c r="D162" i="77"/>
  <c r="D166" i="77" s="1"/>
  <c r="C162" i="77"/>
  <c r="C166" i="77" s="1"/>
  <c r="N149" i="77"/>
  <c r="N153" i="77" s="1"/>
  <c r="M149" i="77"/>
  <c r="M153" i="77" s="1"/>
  <c r="L149" i="77"/>
  <c r="K149" i="77"/>
  <c r="K150" i="77" s="1"/>
  <c r="K152" i="77" s="1"/>
  <c r="J149" i="77"/>
  <c r="I149" i="77"/>
  <c r="I150" i="77" s="1"/>
  <c r="H149" i="77"/>
  <c r="H153" i="77" s="1"/>
  <c r="G149" i="77"/>
  <c r="G153" i="77" s="1"/>
  <c r="F149" i="77"/>
  <c r="F153" i="77" s="1"/>
  <c r="E149" i="77"/>
  <c r="E153" i="77" s="1"/>
  <c r="D149" i="77"/>
  <c r="D153" i="77" s="1"/>
  <c r="C149" i="77"/>
  <c r="C153" i="77" s="1"/>
  <c r="N110" i="77"/>
  <c r="M110" i="77"/>
  <c r="L110" i="77"/>
  <c r="K110" i="77"/>
  <c r="K111" i="77" s="1"/>
  <c r="K116" i="77" s="1"/>
  <c r="J110" i="77"/>
  <c r="I110" i="77"/>
  <c r="I111" i="77" s="1"/>
  <c r="I116" i="77" s="1"/>
  <c r="H110" i="77"/>
  <c r="H111" i="77" s="1"/>
  <c r="H116" i="77" s="1"/>
  <c r="G110" i="77"/>
  <c r="G111" i="77" s="1"/>
  <c r="G116" i="77" s="1"/>
  <c r="F110" i="77"/>
  <c r="F111" i="77" s="1"/>
  <c r="D110" i="77"/>
  <c r="D111" i="77" s="1"/>
  <c r="D116" i="77" s="1"/>
  <c r="C110" i="77"/>
  <c r="N201" i="77"/>
  <c r="M201" i="77"/>
  <c r="L201" i="77"/>
  <c r="K201" i="77"/>
  <c r="K205" i="77" s="1"/>
  <c r="J201" i="77"/>
  <c r="J205" i="77" s="1"/>
  <c r="I201" i="77"/>
  <c r="I202" i="77" s="1"/>
  <c r="I204" i="77" s="1"/>
  <c r="H201" i="77"/>
  <c r="H205" i="77" s="1"/>
  <c r="G201" i="77"/>
  <c r="G202" i="77" s="1"/>
  <c r="G204" i="77" s="1"/>
  <c r="F201" i="77"/>
  <c r="E201" i="77"/>
  <c r="E205" i="77" s="1"/>
  <c r="D201" i="77"/>
  <c r="D202" i="77" s="1"/>
  <c r="C201" i="77"/>
  <c r="C205" i="77" s="1"/>
  <c r="N188" i="77"/>
  <c r="N192" i="77" s="1"/>
  <c r="M188" i="77"/>
  <c r="M189" i="77" s="1"/>
  <c r="L188" i="77"/>
  <c r="L192" i="77" s="1"/>
  <c r="K188" i="77"/>
  <c r="K189" i="77" s="1"/>
  <c r="K191" i="77" s="1"/>
  <c r="J188" i="77"/>
  <c r="J192" i="77" s="1"/>
  <c r="I188" i="77"/>
  <c r="I192" i="77" s="1"/>
  <c r="H188" i="77"/>
  <c r="H189" i="77" s="1"/>
  <c r="G188" i="77"/>
  <c r="G192" i="77" s="1"/>
  <c r="F188" i="77"/>
  <c r="F192" i="77" s="1"/>
  <c r="E188" i="77"/>
  <c r="E189" i="77" s="1"/>
  <c r="D188" i="77"/>
  <c r="D192" i="77" s="1"/>
  <c r="C188" i="77"/>
  <c r="C189" i="77" s="1"/>
  <c r="C191" i="77" s="1"/>
  <c r="N175" i="77"/>
  <c r="M175" i="77"/>
  <c r="M179" i="77" s="1"/>
  <c r="L175" i="77"/>
  <c r="K175" i="77"/>
  <c r="K179" i="77" s="1"/>
  <c r="J175" i="77"/>
  <c r="J179" i="77" s="1"/>
  <c r="I175" i="77"/>
  <c r="I176" i="77" s="1"/>
  <c r="H175" i="77"/>
  <c r="H179" i="77" s="1"/>
  <c r="G175" i="77"/>
  <c r="G176" i="77" s="1"/>
  <c r="F175" i="77"/>
  <c r="E175" i="77"/>
  <c r="D175" i="77"/>
  <c r="C175" i="77"/>
  <c r="N136" i="77"/>
  <c r="M136" i="77"/>
  <c r="L136" i="77"/>
  <c r="K136" i="77"/>
  <c r="J136" i="77"/>
  <c r="I136" i="77"/>
  <c r="H136" i="77"/>
  <c r="G136" i="77"/>
  <c r="F136" i="77"/>
  <c r="E136" i="77"/>
  <c r="D136" i="77"/>
  <c r="N123" i="77"/>
  <c r="N127" i="77" s="1"/>
  <c r="M123" i="77"/>
  <c r="L123" i="77"/>
  <c r="K123" i="77"/>
  <c r="J123" i="77"/>
  <c r="I123" i="77"/>
  <c r="H123" i="77"/>
  <c r="G123" i="77"/>
  <c r="G127" i="77" s="1"/>
  <c r="F123" i="77"/>
  <c r="E123" i="77"/>
  <c r="D123" i="77"/>
  <c r="C123" i="77"/>
  <c r="C127" i="77" s="1"/>
  <c r="M134" i="77"/>
  <c r="M147" i="77" s="1"/>
  <c r="M160" i="77" s="1"/>
  <c r="M173" i="77" s="1"/>
  <c r="M186" i="77" s="1"/>
  <c r="M199" i="77" s="1"/>
  <c r="L134" i="77"/>
  <c r="L147" i="77" s="1"/>
  <c r="L160" i="77" s="1"/>
  <c r="L173" i="77" s="1"/>
  <c r="L186" i="77" s="1"/>
  <c r="L199" i="77" s="1"/>
  <c r="K134" i="77"/>
  <c r="K147" i="77" s="1"/>
  <c r="K160" i="77" s="1"/>
  <c r="K173" i="77" s="1"/>
  <c r="K186" i="77" s="1"/>
  <c r="K199" i="77" s="1"/>
  <c r="J134" i="77"/>
  <c r="J147" i="77" s="1"/>
  <c r="J160" i="77" s="1"/>
  <c r="J173" i="77" s="1"/>
  <c r="J186" i="77" s="1"/>
  <c r="J199" i="77" s="1"/>
  <c r="I134" i="77"/>
  <c r="I147" i="77" s="1"/>
  <c r="I160" i="77" s="1"/>
  <c r="I173" i="77" s="1"/>
  <c r="I186" i="77" s="1"/>
  <c r="I199" i="77" s="1"/>
  <c r="G134" i="77"/>
  <c r="G147" i="77" s="1"/>
  <c r="G160" i="77" s="1"/>
  <c r="G173" i="77" s="1"/>
  <c r="G186" i="77" s="1"/>
  <c r="G199" i="77" s="1"/>
  <c r="E134" i="77"/>
  <c r="E147" i="77" s="1"/>
  <c r="E160" i="77" s="1"/>
  <c r="E173" i="77" s="1"/>
  <c r="E186" i="77" s="1"/>
  <c r="E199" i="77" s="1"/>
  <c r="D134" i="77"/>
  <c r="D147" i="77" s="1"/>
  <c r="D160" i="77" s="1"/>
  <c r="D173" i="77" s="1"/>
  <c r="D186" i="77" s="1"/>
  <c r="D199" i="77" s="1"/>
  <c r="C147" i="77"/>
  <c r="C160" i="77" s="1"/>
  <c r="C173" i="77" s="1"/>
  <c r="C186" i="77" s="1"/>
  <c r="C199" i="77" s="1"/>
  <c r="N106" i="77"/>
  <c r="N119" i="77" s="1"/>
  <c r="N132" i="77" s="1"/>
  <c r="N145" i="77" s="1"/>
  <c r="N158" i="77" s="1"/>
  <c r="N171" i="77" s="1"/>
  <c r="N184" i="77" s="1"/>
  <c r="N197" i="77" s="1"/>
  <c r="M106" i="77"/>
  <c r="M119" i="77" s="1"/>
  <c r="M132" i="77" s="1"/>
  <c r="M145" i="77" s="1"/>
  <c r="M158" i="77" s="1"/>
  <c r="M171" i="77" s="1"/>
  <c r="M184" i="77" s="1"/>
  <c r="M197" i="77" s="1"/>
  <c r="L106" i="77"/>
  <c r="L119" i="77" s="1"/>
  <c r="L132" i="77" s="1"/>
  <c r="L145" i="77" s="1"/>
  <c r="L158" i="77" s="1"/>
  <c r="L171" i="77" s="1"/>
  <c r="L184" i="77" s="1"/>
  <c r="L197" i="77" s="1"/>
  <c r="K106" i="77"/>
  <c r="K119" i="77" s="1"/>
  <c r="K132" i="77" s="1"/>
  <c r="K145" i="77" s="1"/>
  <c r="K158" i="77" s="1"/>
  <c r="K171" i="77" s="1"/>
  <c r="K184" i="77" s="1"/>
  <c r="K197" i="77" s="1"/>
  <c r="J106" i="77"/>
  <c r="J119" i="77" s="1"/>
  <c r="J132" i="77" s="1"/>
  <c r="J145" i="77" s="1"/>
  <c r="J158" i="77" s="1"/>
  <c r="J171" i="77" s="1"/>
  <c r="J184" i="77" s="1"/>
  <c r="J197" i="77" s="1"/>
  <c r="I106" i="77"/>
  <c r="I119" i="77" s="1"/>
  <c r="I132" i="77" s="1"/>
  <c r="I145" i="77" s="1"/>
  <c r="I158" i="77" s="1"/>
  <c r="I171" i="77" s="1"/>
  <c r="I184" i="77" s="1"/>
  <c r="I197" i="77" s="1"/>
  <c r="H106" i="77"/>
  <c r="H119" i="77" s="1"/>
  <c r="H132" i="77" s="1"/>
  <c r="H145" i="77" s="1"/>
  <c r="H158" i="77" s="1"/>
  <c r="H171" i="77" s="1"/>
  <c r="H184" i="77" s="1"/>
  <c r="H197" i="77" s="1"/>
  <c r="G106" i="77"/>
  <c r="G119" i="77" s="1"/>
  <c r="G132" i="77" s="1"/>
  <c r="G145" i="77" s="1"/>
  <c r="G158" i="77" s="1"/>
  <c r="G171" i="77" s="1"/>
  <c r="G184" i="77" s="1"/>
  <c r="G197" i="77" s="1"/>
  <c r="F106" i="77"/>
  <c r="F119" i="77" s="1"/>
  <c r="F132" i="77" s="1"/>
  <c r="F145" i="77" s="1"/>
  <c r="F158" i="77" s="1"/>
  <c r="F171" i="77" s="1"/>
  <c r="F184" i="77" s="1"/>
  <c r="F197" i="77" s="1"/>
  <c r="E106" i="77"/>
  <c r="E119" i="77" s="1"/>
  <c r="E132" i="77" s="1"/>
  <c r="E145" i="77" s="1"/>
  <c r="E158" i="77" s="1"/>
  <c r="E171" i="77" s="1"/>
  <c r="E184" i="77" s="1"/>
  <c r="E197" i="77" s="1"/>
  <c r="D106" i="77"/>
  <c r="D119" i="77" s="1"/>
  <c r="D132" i="77" s="1"/>
  <c r="D145" i="77" s="1"/>
  <c r="D158" i="77" s="1"/>
  <c r="D171" i="77" s="1"/>
  <c r="D184" i="77" s="1"/>
  <c r="D197" i="77" s="1"/>
  <c r="C106" i="77"/>
  <c r="C119" i="77" s="1"/>
  <c r="C132" i="77" s="1"/>
  <c r="C145" i="77" s="1"/>
  <c r="C158" i="77" s="1"/>
  <c r="C171" i="77" s="1"/>
  <c r="C184" i="77" s="1"/>
  <c r="C197" i="77" s="1"/>
  <c r="N103" i="77"/>
  <c r="M103" i="77"/>
  <c r="L103" i="77"/>
  <c r="K103" i="77"/>
  <c r="J103" i="77"/>
  <c r="I103" i="77"/>
  <c r="H103" i="77"/>
  <c r="G103" i="77"/>
  <c r="F103" i="77"/>
  <c r="E103" i="77"/>
  <c r="E62" i="77" s="1"/>
  <c r="D103" i="77"/>
  <c r="C103" i="77"/>
  <c r="B95" i="77"/>
  <c r="B45" i="77"/>
  <c r="B44" i="77"/>
  <c r="B43" i="77"/>
  <c r="B42" i="77"/>
  <c r="B41" i="77"/>
  <c r="B40" i="77"/>
  <c r="B39" i="77"/>
  <c r="B38" i="77"/>
  <c r="B37" i="77"/>
  <c r="B36" i="77"/>
  <c r="B35" i="77"/>
  <c r="B34" i="77"/>
  <c r="B33" i="77"/>
  <c r="B32" i="77"/>
  <c r="B31" i="77"/>
  <c r="B30" i="77"/>
  <c r="B28" i="77"/>
  <c r="B26" i="77"/>
  <c r="B25" i="77"/>
  <c r="B24" i="77"/>
  <c r="B23" i="77"/>
  <c r="B22" i="77"/>
  <c r="B21" i="77"/>
  <c r="B20" i="77"/>
  <c r="B19" i="77"/>
  <c r="B18" i="77"/>
  <c r="B17" i="77"/>
  <c r="B16" i="77"/>
  <c r="B15" i="77"/>
  <c r="B14" i="77"/>
  <c r="B13" i="77"/>
  <c r="B12" i="77"/>
  <c r="B11" i="77"/>
  <c r="B10" i="77"/>
  <c r="E46" i="77"/>
  <c r="D46" i="77"/>
  <c r="M62" i="76"/>
  <c r="B94" i="76"/>
  <c r="B45" i="76"/>
  <c r="B44" i="76"/>
  <c r="B43" i="76"/>
  <c r="B42" i="76"/>
  <c r="B41" i="76"/>
  <c r="B40" i="76"/>
  <c r="B39" i="76"/>
  <c r="B38" i="76"/>
  <c r="B37" i="76"/>
  <c r="I46" i="76"/>
  <c r="B35" i="76"/>
  <c r="B34" i="76"/>
  <c r="B33" i="76"/>
  <c r="B32" i="76"/>
  <c r="B31" i="76"/>
  <c r="B30" i="76"/>
  <c r="B29" i="76"/>
  <c r="B28" i="76"/>
  <c r="B27" i="76"/>
  <c r="B26" i="76"/>
  <c r="B25" i="76"/>
  <c r="B24" i="76"/>
  <c r="B23" i="76"/>
  <c r="B22" i="76"/>
  <c r="B21" i="76"/>
  <c r="B20" i="76"/>
  <c r="B19" i="76"/>
  <c r="B18" i="76"/>
  <c r="B17" i="76"/>
  <c r="B16" i="76"/>
  <c r="B15" i="76"/>
  <c r="B14" i="76"/>
  <c r="B13" i="76"/>
  <c r="B12" i="76"/>
  <c r="B10" i="76"/>
  <c r="N200" i="75"/>
  <c r="M200" i="75"/>
  <c r="M204" i="75" s="1"/>
  <c r="L200" i="75"/>
  <c r="L204" i="75" s="1"/>
  <c r="K200" i="75"/>
  <c r="K204" i="75" s="1"/>
  <c r="J200" i="75"/>
  <c r="J201" i="75" s="1"/>
  <c r="J202" i="75" s="1"/>
  <c r="I200" i="75"/>
  <c r="H200" i="75"/>
  <c r="H201" i="75" s="1"/>
  <c r="H202" i="75" s="1"/>
  <c r="G200" i="75"/>
  <c r="G204" i="75" s="1"/>
  <c r="F200" i="75"/>
  <c r="F204" i="75" s="1"/>
  <c r="E200" i="75"/>
  <c r="E204" i="75" s="1"/>
  <c r="D200" i="75"/>
  <c r="C200" i="75"/>
  <c r="C204" i="75" s="1"/>
  <c r="N187" i="75"/>
  <c r="N191" i="75" s="1"/>
  <c r="M187" i="75"/>
  <c r="L187" i="75"/>
  <c r="L188" i="75" s="1"/>
  <c r="L189" i="75" s="1"/>
  <c r="K187" i="75"/>
  <c r="K191" i="75" s="1"/>
  <c r="J187" i="75"/>
  <c r="J188" i="75" s="1"/>
  <c r="J190" i="75" s="1"/>
  <c r="I187" i="75"/>
  <c r="I191" i="75" s="1"/>
  <c r="H187" i="75"/>
  <c r="G187" i="75"/>
  <c r="G191" i="75" s="1"/>
  <c r="F187" i="75"/>
  <c r="F188" i="75" s="1"/>
  <c r="F190" i="75" s="1"/>
  <c r="E187" i="75"/>
  <c r="E191" i="75" s="1"/>
  <c r="D187" i="75"/>
  <c r="D188" i="75" s="1"/>
  <c r="D190" i="75" s="1"/>
  <c r="C187" i="75"/>
  <c r="N174" i="75"/>
  <c r="N178" i="75" s="1"/>
  <c r="M174" i="75"/>
  <c r="M178" i="75" s="1"/>
  <c r="L174" i="75"/>
  <c r="K174" i="75"/>
  <c r="K178" i="75" s="1"/>
  <c r="J174" i="75"/>
  <c r="J175" i="75" s="1"/>
  <c r="J176" i="75" s="1"/>
  <c r="I174" i="75"/>
  <c r="H174" i="75"/>
  <c r="H175" i="75" s="1"/>
  <c r="H176" i="75" s="1"/>
  <c r="G174" i="75"/>
  <c r="G178" i="75" s="1"/>
  <c r="F174" i="75"/>
  <c r="F175" i="75" s="1"/>
  <c r="F177" i="75" s="1"/>
  <c r="E174" i="75"/>
  <c r="E178" i="75" s="1"/>
  <c r="D174" i="75"/>
  <c r="D178" i="75" s="1"/>
  <c r="C174" i="75"/>
  <c r="N161" i="75"/>
  <c r="N162" i="75" s="1"/>
  <c r="N163" i="75" s="1"/>
  <c r="M161" i="75"/>
  <c r="L161" i="75"/>
  <c r="K161" i="75"/>
  <c r="J161" i="75"/>
  <c r="J165" i="75" s="1"/>
  <c r="I161" i="75"/>
  <c r="I165" i="75" s="1"/>
  <c r="H161" i="75"/>
  <c r="G161" i="75"/>
  <c r="G165" i="75" s="1"/>
  <c r="F161" i="75"/>
  <c r="F165" i="75" s="1"/>
  <c r="E161" i="75"/>
  <c r="D161" i="75"/>
  <c r="D162" i="75" s="1"/>
  <c r="D163" i="75" s="1"/>
  <c r="C161" i="75"/>
  <c r="C165" i="75" s="1"/>
  <c r="N135" i="75"/>
  <c r="N139" i="75" s="1"/>
  <c r="M135" i="75"/>
  <c r="M139" i="75" s="1"/>
  <c r="L135" i="75"/>
  <c r="K135" i="75"/>
  <c r="K139" i="75" s="1"/>
  <c r="J135" i="75"/>
  <c r="J139" i="75" s="1"/>
  <c r="I135" i="75"/>
  <c r="I139" i="75" s="1"/>
  <c r="H135" i="75"/>
  <c r="G135" i="75"/>
  <c r="G136" i="75" s="1"/>
  <c r="G141" i="75" s="1"/>
  <c r="E135" i="75"/>
  <c r="E139" i="75" s="1"/>
  <c r="D135" i="75"/>
  <c r="C135" i="75"/>
  <c r="N122" i="75"/>
  <c r="N123" i="75" s="1"/>
  <c r="N128" i="75" s="1"/>
  <c r="M122" i="75"/>
  <c r="M123" i="75" s="1"/>
  <c r="M128" i="75" s="1"/>
  <c r="L122" i="75"/>
  <c r="L123" i="75" s="1"/>
  <c r="L128" i="75" s="1"/>
  <c r="K122" i="75"/>
  <c r="K123" i="75" s="1"/>
  <c r="K128" i="75" s="1"/>
  <c r="J122" i="75"/>
  <c r="J126" i="75" s="1"/>
  <c r="I122" i="75"/>
  <c r="I123" i="75" s="1"/>
  <c r="I128" i="75" s="1"/>
  <c r="H122" i="75"/>
  <c r="G122" i="75"/>
  <c r="F122" i="75"/>
  <c r="F126" i="75" s="1"/>
  <c r="E122" i="75"/>
  <c r="E123" i="75" s="1"/>
  <c r="E128" i="75" s="1"/>
  <c r="D122" i="75"/>
  <c r="D126" i="75" s="1"/>
  <c r="C122" i="75"/>
  <c r="M120" i="75"/>
  <c r="M133" i="75" s="1"/>
  <c r="M146" i="75" s="1"/>
  <c r="M159" i="75" s="1"/>
  <c r="M172" i="75" s="1"/>
  <c r="M185" i="75" s="1"/>
  <c r="M198" i="75" s="1"/>
  <c r="L120" i="75"/>
  <c r="L133" i="75" s="1"/>
  <c r="L146" i="75" s="1"/>
  <c r="L159" i="75" s="1"/>
  <c r="L172" i="75" s="1"/>
  <c r="L185" i="75" s="1"/>
  <c r="L198" i="75" s="1"/>
  <c r="K120" i="75"/>
  <c r="K133" i="75" s="1"/>
  <c r="K146" i="75" s="1"/>
  <c r="K159" i="75" s="1"/>
  <c r="K172" i="75" s="1"/>
  <c r="K185" i="75" s="1"/>
  <c r="K198" i="75" s="1"/>
  <c r="J120" i="75"/>
  <c r="J133" i="75" s="1"/>
  <c r="J146" i="75" s="1"/>
  <c r="J159" i="75" s="1"/>
  <c r="J172" i="75" s="1"/>
  <c r="J185" i="75" s="1"/>
  <c r="J198" i="75" s="1"/>
  <c r="I120" i="75"/>
  <c r="I133" i="75" s="1"/>
  <c r="I146" i="75" s="1"/>
  <c r="I159" i="75" s="1"/>
  <c r="I172" i="75" s="1"/>
  <c r="I185" i="75" s="1"/>
  <c r="I198" i="75" s="1"/>
  <c r="G120" i="75"/>
  <c r="G133" i="75" s="1"/>
  <c r="G146" i="75" s="1"/>
  <c r="G159" i="75" s="1"/>
  <c r="G172" i="75" s="1"/>
  <c r="G185" i="75" s="1"/>
  <c r="G198" i="75" s="1"/>
  <c r="F120" i="75"/>
  <c r="F133" i="75" s="1"/>
  <c r="F146" i="75" s="1"/>
  <c r="F159" i="75" s="1"/>
  <c r="F172" i="75" s="1"/>
  <c r="F185" i="75" s="1"/>
  <c r="F198" i="75" s="1"/>
  <c r="E120" i="75"/>
  <c r="E133" i="75" s="1"/>
  <c r="E146" i="75" s="1"/>
  <c r="E159" i="75" s="1"/>
  <c r="E172" i="75" s="1"/>
  <c r="E185" i="75" s="1"/>
  <c r="E198" i="75" s="1"/>
  <c r="D120" i="75"/>
  <c r="D133" i="75" s="1"/>
  <c r="D146" i="75" s="1"/>
  <c r="D159" i="75" s="1"/>
  <c r="D172" i="75" s="1"/>
  <c r="D185" i="75" s="1"/>
  <c r="D198" i="75" s="1"/>
  <c r="C120" i="75"/>
  <c r="C133" i="75" s="1"/>
  <c r="C146" i="75" s="1"/>
  <c r="C159" i="75" s="1"/>
  <c r="C172" i="75" s="1"/>
  <c r="C185" i="75" s="1"/>
  <c r="C198" i="75" s="1"/>
  <c r="N109" i="75"/>
  <c r="N110" i="75" s="1"/>
  <c r="N111" i="75" s="1"/>
  <c r="M109" i="75"/>
  <c r="L109" i="75"/>
  <c r="L110" i="75" s="1"/>
  <c r="L112" i="75" s="1"/>
  <c r="K109" i="75"/>
  <c r="J109" i="75"/>
  <c r="I109" i="75"/>
  <c r="I113" i="75" s="1"/>
  <c r="H109" i="75"/>
  <c r="H113" i="75" s="1"/>
  <c r="G109" i="75"/>
  <c r="F109" i="75"/>
  <c r="E109" i="75"/>
  <c r="D109" i="75"/>
  <c r="D110" i="75" s="1"/>
  <c r="C109" i="75"/>
  <c r="C110" i="75" s="1"/>
  <c r="C115" i="75" s="1"/>
  <c r="M105" i="75"/>
  <c r="M118" i="75" s="1"/>
  <c r="M131" i="75" s="1"/>
  <c r="M144" i="75" s="1"/>
  <c r="M157" i="75" s="1"/>
  <c r="M170" i="75" s="1"/>
  <c r="M183" i="75" s="1"/>
  <c r="M196" i="75" s="1"/>
  <c r="I105" i="75"/>
  <c r="I118" i="75" s="1"/>
  <c r="I131" i="75" s="1"/>
  <c r="I144" i="75" s="1"/>
  <c r="I157" i="75" s="1"/>
  <c r="I170" i="75" s="1"/>
  <c r="I183" i="75" s="1"/>
  <c r="I196" i="75" s="1"/>
  <c r="E105" i="75"/>
  <c r="E118" i="75" s="1"/>
  <c r="E131" i="75" s="1"/>
  <c r="E144" i="75" s="1"/>
  <c r="E157" i="75" s="1"/>
  <c r="E170" i="75" s="1"/>
  <c r="E183" i="75" s="1"/>
  <c r="E196" i="75" s="1"/>
  <c r="N102" i="75"/>
  <c r="N62" i="75" s="1"/>
  <c r="M102" i="75"/>
  <c r="M62" i="75" s="1"/>
  <c r="L102" i="75"/>
  <c r="L62" i="75" s="1"/>
  <c r="K102" i="75"/>
  <c r="K62" i="75" s="1"/>
  <c r="J102" i="75"/>
  <c r="J62" i="75" s="1"/>
  <c r="I102" i="75"/>
  <c r="I62" i="75" s="1"/>
  <c r="H102" i="75"/>
  <c r="H62" i="75" s="1"/>
  <c r="G102" i="75"/>
  <c r="G62" i="75" s="1"/>
  <c r="F102" i="75"/>
  <c r="F62" i="75" s="1"/>
  <c r="E102" i="75"/>
  <c r="E62" i="75" s="1"/>
  <c r="D102" i="75"/>
  <c r="D62" i="75" s="1"/>
  <c r="C102" i="75"/>
  <c r="C62" i="75" s="1"/>
  <c r="B94" i="75"/>
  <c r="B45" i="75"/>
  <c r="B44" i="75"/>
  <c r="B43" i="75"/>
  <c r="B42" i="75"/>
  <c r="B41" i="75"/>
  <c r="B40" i="75"/>
  <c r="B39" i="75"/>
  <c r="B38" i="75"/>
  <c r="B37" i="75"/>
  <c r="B36" i="75"/>
  <c r="B35" i="75"/>
  <c r="B34" i="75"/>
  <c r="B33" i="75"/>
  <c r="B32" i="75"/>
  <c r="B31" i="75"/>
  <c r="B30" i="75"/>
  <c r="B29" i="75"/>
  <c r="B28" i="75"/>
  <c r="B27" i="75"/>
  <c r="B26" i="75"/>
  <c r="B25" i="75"/>
  <c r="B24" i="75"/>
  <c r="B23" i="75"/>
  <c r="B22" i="75"/>
  <c r="B21" i="75"/>
  <c r="B20" i="75"/>
  <c r="B19" i="75"/>
  <c r="B18" i="75"/>
  <c r="B17" i="75"/>
  <c r="B16" i="75"/>
  <c r="B15" i="75"/>
  <c r="B14" i="75"/>
  <c r="B13" i="75"/>
  <c r="B12" i="75"/>
  <c r="B11" i="75"/>
  <c r="B10" i="75"/>
  <c r="A1" i="75"/>
  <c r="A14" i="53"/>
  <c r="D102" i="74"/>
  <c r="C14" i="53" s="1"/>
  <c r="E102" i="74"/>
  <c r="F102" i="74"/>
  <c r="G102" i="74"/>
  <c r="G62" i="74" s="1"/>
  <c r="H102" i="74"/>
  <c r="H62" i="74" s="1"/>
  <c r="I102" i="74"/>
  <c r="I62" i="74" s="1"/>
  <c r="J102" i="74"/>
  <c r="K102" i="74"/>
  <c r="K62" i="74" s="1"/>
  <c r="L102" i="74"/>
  <c r="K14" i="53" s="1"/>
  <c r="M102" i="74"/>
  <c r="M62" i="74" s="1"/>
  <c r="N102" i="74"/>
  <c r="C102" i="74"/>
  <c r="C62" i="74" s="1"/>
  <c r="D102" i="1"/>
  <c r="E102" i="1"/>
  <c r="F102" i="1"/>
  <c r="G102" i="1"/>
  <c r="H102" i="1"/>
  <c r="I102" i="1"/>
  <c r="J102" i="1"/>
  <c r="K102" i="1"/>
  <c r="L102" i="1"/>
  <c r="M102" i="1"/>
  <c r="N102" i="1"/>
  <c r="C102" i="1"/>
  <c r="N174" i="74"/>
  <c r="N178" i="74" s="1"/>
  <c r="M174" i="74"/>
  <c r="M178" i="74" s="1"/>
  <c r="L174" i="74"/>
  <c r="L178" i="74" s="1"/>
  <c r="K174" i="74"/>
  <c r="K178" i="74" s="1"/>
  <c r="J174" i="74"/>
  <c r="J178" i="74" s="1"/>
  <c r="I174" i="74"/>
  <c r="I178" i="74" s="1"/>
  <c r="H174" i="74"/>
  <c r="H178" i="74" s="1"/>
  <c r="G174" i="74"/>
  <c r="G178" i="74" s="1"/>
  <c r="F174" i="74"/>
  <c r="F178" i="74" s="1"/>
  <c r="E174" i="74"/>
  <c r="E178" i="74" s="1"/>
  <c r="D174" i="74"/>
  <c r="D178" i="74" s="1"/>
  <c r="N161" i="74"/>
  <c r="N165" i="74" s="1"/>
  <c r="M161" i="74"/>
  <c r="M165" i="74" s="1"/>
  <c r="L161" i="74"/>
  <c r="L165" i="74" s="1"/>
  <c r="K161" i="74"/>
  <c r="K165" i="74" s="1"/>
  <c r="J161" i="74"/>
  <c r="J165" i="74" s="1"/>
  <c r="I161" i="74"/>
  <c r="I165" i="74" s="1"/>
  <c r="H161" i="74"/>
  <c r="H165" i="74" s="1"/>
  <c r="G161" i="74"/>
  <c r="G165" i="74" s="1"/>
  <c r="F161" i="74"/>
  <c r="F165" i="74" s="1"/>
  <c r="E161" i="74"/>
  <c r="E165" i="74" s="1"/>
  <c r="D161" i="74"/>
  <c r="D165" i="74" s="1"/>
  <c r="N148" i="74"/>
  <c r="N152" i="74" s="1"/>
  <c r="M148" i="74"/>
  <c r="M152" i="74" s="1"/>
  <c r="L148" i="74"/>
  <c r="L152" i="74" s="1"/>
  <c r="K148" i="74"/>
  <c r="K152" i="74" s="1"/>
  <c r="J148" i="74"/>
  <c r="J152" i="74" s="1"/>
  <c r="I148" i="74"/>
  <c r="I152" i="74" s="1"/>
  <c r="H148" i="74"/>
  <c r="H152" i="74" s="1"/>
  <c r="G148" i="74"/>
  <c r="G152" i="74" s="1"/>
  <c r="F148" i="74"/>
  <c r="F152" i="74" s="1"/>
  <c r="E148" i="74"/>
  <c r="E152" i="74" s="1"/>
  <c r="D148" i="74"/>
  <c r="D152" i="74" s="1"/>
  <c r="C148" i="74"/>
  <c r="C152" i="74" s="1"/>
  <c r="A1" i="74"/>
  <c r="N200" i="74"/>
  <c r="N204" i="74" s="1"/>
  <c r="M200" i="74"/>
  <c r="M204" i="74" s="1"/>
  <c r="L200" i="74"/>
  <c r="L204" i="74" s="1"/>
  <c r="K200" i="74"/>
  <c r="K204" i="74" s="1"/>
  <c r="J200" i="74"/>
  <c r="J204" i="74" s="1"/>
  <c r="I200" i="74"/>
  <c r="I204" i="74" s="1"/>
  <c r="H200" i="74"/>
  <c r="H204" i="74" s="1"/>
  <c r="G200" i="74"/>
  <c r="G204" i="74" s="1"/>
  <c r="F200" i="74"/>
  <c r="F204" i="74" s="1"/>
  <c r="E200" i="74"/>
  <c r="E204" i="74" s="1"/>
  <c r="D200" i="74"/>
  <c r="D204" i="74" s="1"/>
  <c r="C200" i="74"/>
  <c r="C204" i="74" s="1"/>
  <c r="N187" i="74"/>
  <c r="N191" i="74" s="1"/>
  <c r="M187" i="74"/>
  <c r="M191" i="74" s="1"/>
  <c r="L187" i="74"/>
  <c r="L191" i="74" s="1"/>
  <c r="K187" i="74"/>
  <c r="K191" i="74" s="1"/>
  <c r="J187" i="74"/>
  <c r="J191" i="74" s="1"/>
  <c r="I187" i="74"/>
  <c r="I191" i="74" s="1"/>
  <c r="H187" i="74"/>
  <c r="H191" i="74" s="1"/>
  <c r="G187" i="74"/>
  <c r="G191" i="74" s="1"/>
  <c r="F187" i="74"/>
  <c r="F191" i="74" s="1"/>
  <c r="E187" i="74"/>
  <c r="E191" i="74" s="1"/>
  <c r="D187" i="74"/>
  <c r="D191" i="74" s="1"/>
  <c r="C187" i="74"/>
  <c r="C191" i="74" s="1"/>
  <c r="N135" i="74"/>
  <c r="N139" i="74" s="1"/>
  <c r="M135" i="74"/>
  <c r="M139" i="74" s="1"/>
  <c r="L135" i="74"/>
  <c r="L139" i="74" s="1"/>
  <c r="K135" i="74"/>
  <c r="K139" i="74" s="1"/>
  <c r="J135" i="74"/>
  <c r="J139" i="74" s="1"/>
  <c r="I135" i="74"/>
  <c r="I139" i="74" s="1"/>
  <c r="H135" i="74"/>
  <c r="H139" i="74" s="1"/>
  <c r="G135" i="74"/>
  <c r="G139" i="74" s="1"/>
  <c r="F135" i="74"/>
  <c r="F139" i="74" s="1"/>
  <c r="E135" i="74"/>
  <c r="E139" i="74" s="1"/>
  <c r="D135" i="74"/>
  <c r="D139" i="74" s="1"/>
  <c r="C135" i="74"/>
  <c r="C139" i="74" s="1"/>
  <c r="N122" i="74"/>
  <c r="N126" i="74" s="1"/>
  <c r="M122" i="74"/>
  <c r="M126" i="74" s="1"/>
  <c r="L122" i="74"/>
  <c r="L126" i="74" s="1"/>
  <c r="K122" i="74"/>
  <c r="K126" i="74" s="1"/>
  <c r="J122" i="74"/>
  <c r="J126" i="74" s="1"/>
  <c r="I122" i="74"/>
  <c r="I126" i="74" s="1"/>
  <c r="H122" i="74"/>
  <c r="H126" i="74" s="1"/>
  <c r="G122" i="74"/>
  <c r="G126" i="74" s="1"/>
  <c r="F122" i="74"/>
  <c r="F126" i="74" s="1"/>
  <c r="E122" i="74"/>
  <c r="E126" i="74" s="1"/>
  <c r="D122" i="74"/>
  <c r="D126" i="74" s="1"/>
  <c r="C122" i="74"/>
  <c r="C126" i="74" s="1"/>
  <c r="N120" i="74"/>
  <c r="N133" i="74" s="1"/>
  <c r="N146" i="74" s="1"/>
  <c r="N159" i="74" s="1"/>
  <c r="N172" i="74" s="1"/>
  <c r="N185" i="74" s="1"/>
  <c r="N198" i="74" s="1"/>
  <c r="M120" i="74"/>
  <c r="M133" i="74" s="1"/>
  <c r="M146" i="74" s="1"/>
  <c r="M159" i="74" s="1"/>
  <c r="M172" i="74" s="1"/>
  <c r="M185" i="74" s="1"/>
  <c r="M198" i="74" s="1"/>
  <c r="L120" i="74"/>
  <c r="L133" i="74" s="1"/>
  <c r="L146" i="74" s="1"/>
  <c r="L159" i="74" s="1"/>
  <c r="L172" i="74" s="1"/>
  <c r="L185" i="74" s="1"/>
  <c r="L198" i="74" s="1"/>
  <c r="K120" i="74"/>
  <c r="K133" i="74" s="1"/>
  <c r="J120" i="74"/>
  <c r="J133" i="74" s="1"/>
  <c r="J146" i="74" s="1"/>
  <c r="J159" i="74" s="1"/>
  <c r="J172" i="74" s="1"/>
  <c r="J185" i="74" s="1"/>
  <c r="J198" i="74" s="1"/>
  <c r="I120" i="74"/>
  <c r="I133" i="74" s="1"/>
  <c r="I146" i="74" s="1"/>
  <c r="I159" i="74" s="1"/>
  <c r="I172" i="74" s="1"/>
  <c r="I185" i="74" s="1"/>
  <c r="I198" i="74" s="1"/>
  <c r="H120" i="74"/>
  <c r="H133" i="74" s="1"/>
  <c r="H146" i="74" s="1"/>
  <c r="H159" i="74" s="1"/>
  <c r="H172" i="74" s="1"/>
  <c r="H185" i="74" s="1"/>
  <c r="H198" i="74" s="1"/>
  <c r="G120" i="74"/>
  <c r="G133" i="74" s="1"/>
  <c r="F120" i="74"/>
  <c r="F133" i="74" s="1"/>
  <c r="F146" i="74" s="1"/>
  <c r="F159" i="74" s="1"/>
  <c r="F172" i="74" s="1"/>
  <c r="F185" i="74" s="1"/>
  <c r="F198" i="74" s="1"/>
  <c r="E120" i="74"/>
  <c r="E133" i="74" s="1"/>
  <c r="E146" i="74" s="1"/>
  <c r="E159" i="74" s="1"/>
  <c r="E172" i="74" s="1"/>
  <c r="D120" i="74"/>
  <c r="D133" i="74" s="1"/>
  <c r="D146" i="74" s="1"/>
  <c r="D159" i="74" s="1"/>
  <c r="D172" i="74" s="1"/>
  <c r="D185" i="74" s="1"/>
  <c r="D198" i="74" s="1"/>
  <c r="C120" i="74"/>
  <c r="C133" i="74" s="1"/>
  <c r="C146" i="74" s="1"/>
  <c r="N119" i="74"/>
  <c r="N132" i="74" s="1"/>
  <c r="M119" i="74"/>
  <c r="M132" i="74" s="1"/>
  <c r="M136" i="74" s="1"/>
  <c r="M141" i="74" s="1"/>
  <c r="L119" i="74"/>
  <c r="L123" i="74" s="1"/>
  <c r="L124" i="74" s="1"/>
  <c r="K119" i="74"/>
  <c r="J119" i="74"/>
  <c r="J132" i="74" s="1"/>
  <c r="J136" i="74" s="1"/>
  <c r="J141" i="74" s="1"/>
  <c r="I119" i="74"/>
  <c r="I132" i="74" s="1"/>
  <c r="I136" i="74" s="1"/>
  <c r="I141" i="74" s="1"/>
  <c r="H119" i="74"/>
  <c r="H123" i="74" s="1"/>
  <c r="H125" i="74" s="1"/>
  <c r="G119" i="74"/>
  <c r="G123" i="74" s="1"/>
  <c r="G125" i="74" s="1"/>
  <c r="F119" i="74"/>
  <c r="F132" i="74" s="1"/>
  <c r="E119" i="74"/>
  <c r="E132" i="74" s="1"/>
  <c r="D119" i="74"/>
  <c r="D123" i="74" s="1"/>
  <c r="C119" i="74"/>
  <c r="C123" i="74" s="1"/>
  <c r="N110" i="74"/>
  <c r="N111" i="74" s="1"/>
  <c r="M110" i="74"/>
  <c r="M111" i="74" s="1"/>
  <c r="L110" i="74"/>
  <c r="L111" i="74" s="1"/>
  <c r="L116" i="74" s="1"/>
  <c r="K110" i="74"/>
  <c r="K111" i="74" s="1"/>
  <c r="K116" i="74" s="1"/>
  <c r="J110" i="74"/>
  <c r="J111" i="74" s="1"/>
  <c r="J116" i="74" s="1"/>
  <c r="I110" i="74"/>
  <c r="H110" i="74"/>
  <c r="H111" i="74" s="1"/>
  <c r="H116" i="74" s="1"/>
  <c r="G110" i="74"/>
  <c r="G111" i="74" s="1"/>
  <c r="G116" i="74" s="1"/>
  <c r="F110" i="74"/>
  <c r="F111" i="74" s="1"/>
  <c r="F116" i="74" s="1"/>
  <c r="E110" i="74"/>
  <c r="E111" i="74" s="1"/>
  <c r="E116" i="74" s="1"/>
  <c r="D110" i="74"/>
  <c r="D111" i="74" s="1"/>
  <c r="D116" i="74" s="1"/>
  <c r="C110" i="74"/>
  <c r="C111" i="74" s="1"/>
  <c r="C116" i="74" s="1"/>
  <c r="N109" i="74"/>
  <c r="M109" i="74"/>
  <c r="L109" i="74"/>
  <c r="K109" i="74"/>
  <c r="J109" i="74"/>
  <c r="I109" i="74"/>
  <c r="H109" i="74"/>
  <c r="G109" i="74"/>
  <c r="F109" i="74"/>
  <c r="E109" i="74"/>
  <c r="D109" i="74"/>
  <c r="C109" i="74"/>
  <c r="N105" i="74"/>
  <c r="N118" i="74" s="1"/>
  <c r="N131" i="74" s="1"/>
  <c r="N144" i="74" s="1"/>
  <c r="N157" i="74" s="1"/>
  <c r="N170" i="74" s="1"/>
  <c r="N183" i="74" s="1"/>
  <c r="N196" i="74" s="1"/>
  <c r="M105" i="74"/>
  <c r="M118" i="74" s="1"/>
  <c r="M131" i="74" s="1"/>
  <c r="M144" i="74" s="1"/>
  <c r="M157" i="74" s="1"/>
  <c r="M170" i="74" s="1"/>
  <c r="M183" i="74" s="1"/>
  <c r="M196" i="74" s="1"/>
  <c r="L105" i="74"/>
  <c r="L118" i="74" s="1"/>
  <c r="L131" i="74" s="1"/>
  <c r="L144" i="74" s="1"/>
  <c r="L157" i="74" s="1"/>
  <c r="L170" i="74" s="1"/>
  <c r="L183" i="74" s="1"/>
  <c r="L196" i="74" s="1"/>
  <c r="K105" i="74"/>
  <c r="K118" i="74" s="1"/>
  <c r="K131" i="74" s="1"/>
  <c r="K144" i="74" s="1"/>
  <c r="K157" i="74" s="1"/>
  <c r="K170" i="74" s="1"/>
  <c r="K183" i="74" s="1"/>
  <c r="K196" i="74" s="1"/>
  <c r="J105" i="74"/>
  <c r="J118" i="74" s="1"/>
  <c r="J131" i="74" s="1"/>
  <c r="J144" i="74" s="1"/>
  <c r="J157" i="74" s="1"/>
  <c r="J170" i="74" s="1"/>
  <c r="J183" i="74" s="1"/>
  <c r="J196" i="74" s="1"/>
  <c r="I105" i="74"/>
  <c r="I118" i="74" s="1"/>
  <c r="I131" i="74" s="1"/>
  <c r="I144" i="74" s="1"/>
  <c r="I157" i="74" s="1"/>
  <c r="I170" i="74" s="1"/>
  <c r="I183" i="74" s="1"/>
  <c r="I196" i="74" s="1"/>
  <c r="H105" i="74"/>
  <c r="H118" i="74" s="1"/>
  <c r="H131" i="74" s="1"/>
  <c r="H144" i="74" s="1"/>
  <c r="H157" i="74" s="1"/>
  <c r="H170" i="74" s="1"/>
  <c r="H183" i="74" s="1"/>
  <c r="H196" i="74" s="1"/>
  <c r="G105" i="74"/>
  <c r="G118" i="74" s="1"/>
  <c r="G131" i="74" s="1"/>
  <c r="G144" i="74" s="1"/>
  <c r="G157" i="74" s="1"/>
  <c r="G170" i="74" s="1"/>
  <c r="G183" i="74" s="1"/>
  <c r="G196" i="74" s="1"/>
  <c r="F105" i="74"/>
  <c r="F118" i="74" s="1"/>
  <c r="F131" i="74" s="1"/>
  <c r="F144" i="74" s="1"/>
  <c r="F157" i="74" s="1"/>
  <c r="F170" i="74" s="1"/>
  <c r="F183" i="74" s="1"/>
  <c r="F196" i="74" s="1"/>
  <c r="E105" i="74"/>
  <c r="E118" i="74" s="1"/>
  <c r="E131" i="74" s="1"/>
  <c r="E144" i="74" s="1"/>
  <c r="E157" i="74" s="1"/>
  <c r="E170" i="74" s="1"/>
  <c r="E183" i="74" s="1"/>
  <c r="E196" i="74" s="1"/>
  <c r="D105" i="74"/>
  <c r="D118" i="74" s="1"/>
  <c r="D131" i="74" s="1"/>
  <c r="D144" i="74" s="1"/>
  <c r="D157" i="74" s="1"/>
  <c r="D170" i="74" s="1"/>
  <c r="D183" i="74" s="1"/>
  <c r="D196" i="74" s="1"/>
  <c r="C105" i="74"/>
  <c r="C118" i="74" s="1"/>
  <c r="C131" i="74" s="1"/>
  <c r="C144" i="74" s="1"/>
  <c r="B94" i="74"/>
  <c r="N46" i="74"/>
  <c r="J46" i="74"/>
  <c r="B45" i="74"/>
  <c r="B44" i="74"/>
  <c r="B43" i="74"/>
  <c r="B42" i="74"/>
  <c r="B41" i="74"/>
  <c r="B40" i="74"/>
  <c r="B39" i="74"/>
  <c r="B38" i="74"/>
  <c r="B37" i="74"/>
  <c r="M46" i="74"/>
  <c r="L46" i="74"/>
  <c r="K46" i="74"/>
  <c r="I46" i="74"/>
  <c r="B36" i="74"/>
  <c r="B35" i="74"/>
  <c r="B34" i="74"/>
  <c r="B33" i="74"/>
  <c r="B32" i="74"/>
  <c r="B31" i="74"/>
  <c r="B30" i="74"/>
  <c r="B29" i="74"/>
  <c r="B28" i="74"/>
  <c r="B27" i="74"/>
  <c r="B26" i="74"/>
  <c r="B25" i="74"/>
  <c r="B24" i="74"/>
  <c r="B23" i="74"/>
  <c r="B22" i="74"/>
  <c r="B21" i="74"/>
  <c r="B20" i="74"/>
  <c r="B19" i="74"/>
  <c r="B18" i="74"/>
  <c r="B17" i="74"/>
  <c r="B16" i="74"/>
  <c r="B15" i="74"/>
  <c r="B14" i="74"/>
  <c r="B13" i="74"/>
  <c r="B12" i="74"/>
  <c r="B11" i="74"/>
  <c r="B10" i="74"/>
  <c r="B89" i="1"/>
  <c r="B88" i="1"/>
  <c r="D146" i="1"/>
  <c r="D159" i="1" s="1"/>
  <c r="D198" i="1"/>
  <c r="D211" i="1" s="1"/>
  <c r="E146" i="1"/>
  <c r="E159" i="1" s="1"/>
  <c r="E198" i="1"/>
  <c r="E211" i="1" s="1"/>
  <c r="G146" i="1"/>
  <c r="G159" i="1" s="1"/>
  <c r="G198" i="1"/>
  <c r="G211" i="1" s="1"/>
  <c r="I146" i="1"/>
  <c r="I159" i="1" s="1"/>
  <c r="I198" i="1"/>
  <c r="I211" i="1" s="1"/>
  <c r="J146" i="1"/>
  <c r="J159" i="1" s="1"/>
  <c r="J198" i="1"/>
  <c r="J211" i="1" s="1"/>
  <c r="K146" i="1"/>
  <c r="K159" i="1" s="1"/>
  <c r="K198" i="1"/>
  <c r="K211" i="1" s="1"/>
  <c r="L146" i="1"/>
  <c r="L159" i="1" s="1"/>
  <c r="L198" i="1"/>
  <c r="L211" i="1" s="1"/>
  <c r="M146" i="1"/>
  <c r="M159" i="1" s="1"/>
  <c r="M198" i="1"/>
  <c r="M211" i="1" s="1"/>
  <c r="C146" i="1"/>
  <c r="C159" i="1" s="1"/>
  <c r="C198" i="1"/>
  <c r="C211" i="1" s="1"/>
  <c r="D145" i="1"/>
  <c r="D158" i="1" s="1"/>
  <c r="E145" i="1"/>
  <c r="E158" i="1" s="1"/>
  <c r="G145" i="1"/>
  <c r="G158" i="1" s="1"/>
  <c r="H145" i="1"/>
  <c r="H158" i="1" s="1"/>
  <c r="I145" i="1"/>
  <c r="I158" i="1" s="1"/>
  <c r="K145" i="1"/>
  <c r="K158" i="1" s="1"/>
  <c r="L145" i="1"/>
  <c r="L158" i="1" s="1"/>
  <c r="M145" i="1"/>
  <c r="M158" i="1" s="1"/>
  <c r="N213" i="1"/>
  <c r="N217" i="1" s="1"/>
  <c r="M213" i="1"/>
  <c r="M214" i="1" s="1"/>
  <c r="M219" i="1" s="1"/>
  <c r="L213" i="1"/>
  <c r="L214" i="1" s="1"/>
  <c r="K213" i="1"/>
  <c r="J213" i="1"/>
  <c r="J214" i="1" s="1"/>
  <c r="J219" i="1" s="1"/>
  <c r="I213" i="1"/>
  <c r="I217" i="1" s="1"/>
  <c r="H213" i="1"/>
  <c r="H217" i="1" s="1"/>
  <c r="G213" i="1"/>
  <c r="G217" i="1" s="1"/>
  <c r="F213" i="1"/>
  <c r="F217" i="1" s="1"/>
  <c r="E213" i="1"/>
  <c r="E214" i="1" s="1"/>
  <c r="E219" i="1" s="1"/>
  <c r="D213" i="1"/>
  <c r="C213" i="1"/>
  <c r="N200" i="1"/>
  <c r="N201" i="1" s="1"/>
  <c r="M200" i="1"/>
  <c r="M204" i="1" s="1"/>
  <c r="L200" i="1"/>
  <c r="K200" i="1"/>
  <c r="K204" i="1" s="1"/>
  <c r="J200" i="1"/>
  <c r="J204" i="1" s="1"/>
  <c r="I200" i="1"/>
  <c r="I201" i="1" s="1"/>
  <c r="H200" i="1"/>
  <c r="H201" i="1" s="1"/>
  <c r="G200" i="1"/>
  <c r="F200" i="1"/>
  <c r="F201" i="1" s="1"/>
  <c r="E200" i="1"/>
  <c r="E204" i="1" s="1"/>
  <c r="D200" i="1"/>
  <c r="C200" i="1"/>
  <c r="C201" i="1" s="1"/>
  <c r="N174" i="1"/>
  <c r="N175" i="1" s="1"/>
  <c r="N180" i="1" s="1"/>
  <c r="M174" i="1"/>
  <c r="M175" i="1" s="1"/>
  <c r="M180" i="1" s="1"/>
  <c r="L174" i="1"/>
  <c r="L175" i="1" s="1"/>
  <c r="K174" i="1"/>
  <c r="K175" i="1" s="1"/>
  <c r="K180" i="1" s="1"/>
  <c r="J174" i="1"/>
  <c r="J175" i="1" s="1"/>
  <c r="J180" i="1" s="1"/>
  <c r="I174" i="1"/>
  <c r="I175" i="1" s="1"/>
  <c r="I180" i="1" s="1"/>
  <c r="H174" i="1"/>
  <c r="G174" i="1"/>
  <c r="F174" i="1"/>
  <c r="F175" i="1" s="1"/>
  <c r="F180" i="1" s="1"/>
  <c r="E174" i="1"/>
  <c r="E175" i="1" s="1"/>
  <c r="E180" i="1" s="1"/>
  <c r="D174" i="1"/>
  <c r="C174" i="1"/>
  <c r="C178" i="1" s="1"/>
  <c r="N161" i="1"/>
  <c r="N165" i="1" s="1"/>
  <c r="M161" i="1"/>
  <c r="M162" i="1" s="1"/>
  <c r="L161" i="1"/>
  <c r="K161" i="1"/>
  <c r="K165" i="1" s="1"/>
  <c r="J161" i="1"/>
  <c r="I161" i="1"/>
  <c r="I165" i="1" s="1"/>
  <c r="H161" i="1"/>
  <c r="H162" i="1" s="1"/>
  <c r="G161" i="1"/>
  <c r="F161" i="1"/>
  <c r="F165" i="1" s="1"/>
  <c r="E161" i="1"/>
  <c r="E162" i="1" s="1"/>
  <c r="E164" i="1" s="1"/>
  <c r="D161" i="1"/>
  <c r="C161" i="1"/>
  <c r="C162" i="1" s="1"/>
  <c r="C163" i="1" s="1"/>
  <c r="N148" i="1"/>
  <c r="M148" i="1"/>
  <c r="M152" i="1" s="1"/>
  <c r="L148" i="1"/>
  <c r="K148" i="1"/>
  <c r="J148" i="1"/>
  <c r="J152" i="1" s="1"/>
  <c r="I148" i="1"/>
  <c r="I149" i="1" s="1"/>
  <c r="H148" i="1"/>
  <c r="G148" i="1"/>
  <c r="G149" i="1" s="1"/>
  <c r="F148" i="1"/>
  <c r="E148" i="1"/>
  <c r="E152" i="1" s="1"/>
  <c r="D148" i="1"/>
  <c r="D149" i="1" s="1"/>
  <c r="D151" i="1" s="1"/>
  <c r="C148" i="1"/>
  <c r="N135" i="1"/>
  <c r="N136" i="1" s="1"/>
  <c r="M135" i="1"/>
  <c r="L135" i="1"/>
  <c r="K135" i="1"/>
  <c r="J135" i="1"/>
  <c r="I135" i="1"/>
  <c r="H135" i="1"/>
  <c r="H136" i="1" s="1"/>
  <c r="H138" i="1" s="1"/>
  <c r="G135" i="1"/>
  <c r="F135" i="1"/>
  <c r="F136" i="1" s="1"/>
  <c r="E135" i="1"/>
  <c r="E136" i="1" s="1"/>
  <c r="D135" i="1"/>
  <c r="C135" i="1"/>
  <c r="C136" i="1" s="1"/>
  <c r="N122" i="1"/>
  <c r="M122" i="1"/>
  <c r="L122" i="1"/>
  <c r="L123" i="1" s="1"/>
  <c r="K122" i="1"/>
  <c r="K123" i="1" s="1"/>
  <c r="K125" i="1" s="1"/>
  <c r="J122" i="1"/>
  <c r="J123" i="1" s="1"/>
  <c r="J128" i="1" s="1"/>
  <c r="I122" i="1"/>
  <c r="H122" i="1"/>
  <c r="G122" i="1"/>
  <c r="F122" i="1"/>
  <c r="F123" i="1" s="1"/>
  <c r="F128" i="1" s="1"/>
  <c r="E122" i="1"/>
  <c r="E123" i="1" s="1"/>
  <c r="E128" i="1" s="1"/>
  <c r="D122" i="1"/>
  <c r="D123" i="1" s="1"/>
  <c r="D124" i="1" s="1"/>
  <c r="C122" i="1"/>
  <c r="C123" i="1" s="1"/>
  <c r="C125" i="1" s="1"/>
  <c r="D109" i="1"/>
  <c r="E109" i="1"/>
  <c r="E113" i="1" s="1"/>
  <c r="I109" i="1"/>
  <c r="I110" i="1" s="1"/>
  <c r="J109" i="1"/>
  <c r="J113" i="1" s="1"/>
  <c r="K109" i="1"/>
  <c r="K113" i="1" s="1"/>
  <c r="L109" i="1"/>
  <c r="M109" i="1"/>
  <c r="N109" i="1"/>
  <c r="N110" i="1" s="1"/>
  <c r="N115" i="1" s="1"/>
  <c r="N105" i="1"/>
  <c r="N118" i="1" s="1"/>
  <c r="N131" i="1" s="1"/>
  <c r="N144" i="1" s="1"/>
  <c r="N157" i="1" s="1"/>
  <c r="N170" i="1" s="1"/>
  <c r="D105" i="1"/>
  <c r="D118" i="1" s="1"/>
  <c r="D131" i="1" s="1"/>
  <c r="D144" i="1" s="1"/>
  <c r="D157" i="1" s="1"/>
  <c r="D170" i="1" s="1"/>
  <c r="E105" i="1"/>
  <c r="E118" i="1" s="1"/>
  <c r="E131" i="1" s="1"/>
  <c r="E144" i="1" s="1"/>
  <c r="E157" i="1" s="1"/>
  <c r="E170" i="1" s="1"/>
  <c r="F105" i="1"/>
  <c r="F118" i="1" s="1"/>
  <c r="F131" i="1" s="1"/>
  <c r="F144" i="1" s="1"/>
  <c r="F157" i="1" s="1"/>
  <c r="F170" i="1" s="1"/>
  <c r="G105" i="1"/>
  <c r="G118" i="1" s="1"/>
  <c r="G131" i="1" s="1"/>
  <c r="G144" i="1" s="1"/>
  <c r="G157" i="1" s="1"/>
  <c r="G170" i="1" s="1"/>
  <c r="H105" i="1"/>
  <c r="H118" i="1" s="1"/>
  <c r="H131" i="1" s="1"/>
  <c r="H144" i="1" s="1"/>
  <c r="H157" i="1" s="1"/>
  <c r="H170" i="1" s="1"/>
  <c r="I105" i="1"/>
  <c r="I118" i="1" s="1"/>
  <c r="I131" i="1" s="1"/>
  <c r="I144" i="1"/>
  <c r="I157" i="1" s="1"/>
  <c r="I170" i="1" s="1"/>
  <c r="J105" i="1"/>
  <c r="J118" i="1" s="1"/>
  <c r="J131" i="1" s="1"/>
  <c r="J144" i="1" s="1"/>
  <c r="J157" i="1" s="1"/>
  <c r="J170" i="1" s="1"/>
  <c r="K105" i="1"/>
  <c r="K118" i="1" s="1"/>
  <c r="K131" i="1" s="1"/>
  <c r="K144" i="1" s="1"/>
  <c r="K157" i="1" s="1"/>
  <c r="K170" i="1" s="1"/>
  <c r="L105" i="1"/>
  <c r="L118" i="1" s="1"/>
  <c r="L131" i="1" s="1"/>
  <c r="L144" i="1" s="1"/>
  <c r="L157" i="1" s="1"/>
  <c r="L170" i="1" s="1"/>
  <c r="M105" i="1"/>
  <c r="M118" i="1" s="1"/>
  <c r="M131" i="1" s="1"/>
  <c r="M144" i="1" s="1"/>
  <c r="M157" i="1" s="1"/>
  <c r="M170" i="1" s="1"/>
  <c r="C105" i="1"/>
  <c r="C118" i="1" s="1"/>
  <c r="C131" i="1" s="1"/>
  <c r="C144" i="1" s="1"/>
  <c r="C157" i="1" s="1"/>
  <c r="C170" i="1" s="1"/>
  <c r="B1" i="43"/>
  <c r="A1" i="46"/>
  <c r="C113" i="75"/>
  <c r="C126" i="81"/>
  <c r="G152" i="81"/>
  <c r="D136" i="81"/>
  <c r="D141" i="81" s="1"/>
  <c r="D150" i="81"/>
  <c r="L151" i="81"/>
  <c r="D191" i="81"/>
  <c r="E151" i="81"/>
  <c r="I152" i="81"/>
  <c r="I150" i="81"/>
  <c r="M151" i="81"/>
  <c r="C136" i="79"/>
  <c r="J136" i="79"/>
  <c r="F149" i="79"/>
  <c r="F150" i="79" s="1"/>
  <c r="J149" i="79"/>
  <c r="J154" i="79" s="1"/>
  <c r="N162" i="79"/>
  <c r="F152" i="78"/>
  <c r="F178" i="78"/>
  <c r="I126" i="75"/>
  <c r="M126" i="75"/>
  <c r="E126" i="75"/>
  <c r="E110" i="1"/>
  <c r="E112" i="1" s="1"/>
  <c r="E126" i="1"/>
  <c r="G139" i="75"/>
  <c r="E139" i="1"/>
  <c r="B58" i="82"/>
  <c r="H136" i="82"/>
  <c r="D162" i="82"/>
  <c r="D188" i="82"/>
  <c r="D193" i="82" s="1"/>
  <c r="E149" i="82"/>
  <c r="D165" i="81"/>
  <c r="C149" i="80"/>
  <c r="C154" i="80" s="1"/>
  <c r="G152" i="80"/>
  <c r="G149" i="80"/>
  <c r="G154" i="80" s="1"/>
  <c r="K152" i="80"/>
  <c r="K149" i="80"/>
  <c r="K154" i="80" s="1"/>
  <c r="C162" i="80"/>
  <c r="C167" i="80" s="1"/>
  <c r="C175" i="80"/>
  <c r="C180" i="80" s="1"/>
  <c r="G178" i="80"/>
  <c r="D152" i="80"/>
  <c r="D149" i="80"/>
  <c r="D154" i="80" s="1"/>
  <c r="H152" i="80"/>
  <c r="H149" i="80"/>
  <c r="H154" i="80" s="1"/>
  <c r="L152" i="80"/>
  <c r="L149" i="80"/>
  <c r="L154" i="80" s="1"/>
  <c r="E149" i="80"/>
  <c r="E154" i="80" s="1"/>
  <c r="I152" i="80"/>
  <c r="M149" i="80"/>
  <c r="F152" i="80"/>
  <c r="F149" i="80"/>
  <c r="F154" i="80" s="1"/>
  <c r="J152" i="80"/>
  <c r="J149" i="80"/>
  <c r="N152" i="80"/>
  <c r="N149" i="80"/>
  <c r="N154" i="80" s="1"/>
  <c r="D110" i="79"/>
  <c r="I132" i="78"/>
  <c r="I145" i="78" s="1"/>
  <c r="I158" i="78" s="1"/>
  <c r="I171" i="78" s="1"/>
  <c r="I184" i="78" s="1"/>
  <c r="I197" i="78" s="1"/>
  <c r="G145" i="78"/>
  <c r="G158" i="78" s="1"/>
  <c r="G171" i="78" s="1"/>
  <c r="G184" i="78" s="1"/>
  <c r="G197" i="78" s="1"/>
  <c r="B57" i="77"/>
  <c r="J178" i="75"/>
  <c r="F201" i="75"/>
  <c r="F203" i="75" s="1"/>
  <c r="D175" i="75"/>
  <c r="D177" i="75" s="1"/>
  <c r="H204" i="75"/>
  <c r="J162" i="75"/>
  <c r="J164" i="75" s="1"/>
  <c r="N175" i="75"/>
  <c r="N176" i="75" s="1"/>
  <c r="N188" i="75"/>
  <c r="N189" i="75" s="1"/>
  <c r="K201" i="75"/>
  <c r="K202" i="75" s="1"/>
  <c r="E188" i="75"/>
  <c r="E189" i="75" s="1"/>
  <c r="H204" i="1"/>
  <c r="N204" i="1"/>
  <c r="I162" i="1"/>
  <c r="D152" i="1"/>
  <c r="F152" i="1"/>
  <c r="F149" i="1"/>
  <c r="J149" i="1"/>
  <c r="J150" i="1" s="1"/>
  <c r="N152" i="1"/>
  <c r="N149" i="1"/>
  <c r="N151" i="1" s="1"/>
  <c r="F162" i="1"/>
  <c r="F163" i="1" s="1"/>
  <c r="J165" i="1"/>
  <c r="J162" i="1"/>
  <c r="J164" i="1" s="1"/>
  <c r="N162" i="1"/>
  <c r="N164" i="1" s="1"/>
  <c r="B58" i="75"/>
  <c r="B75" i="1"/>
  <c r="B57" i="1"/>
  <c r="B58" i="1"/>
  <c r="B62" i="1"/>
  <c r="F9" i="53"/>
  <c r="H9" i="53"/>
  <c r="J9" i="53"/>
  <c r="E9" i="53"/>
  <c r="G9" i="53"/>
  <c r="I9" i="53"/>
  <c r="B58" i="81"/>
  <c r="B9" i="53"/>
  <c r="B11" i="73"/>
  <c r="C10" i="73" s="1"/>
  <c r="C133" i="82"/>
  <c r="C146" i="82" s="1"/>
  <c r="C159" i="82" s="1"/>
  <c r="C172" i="82" s="1"/>
  <c r="C185" i="82" s="1"/>
  <c r="C198" i="82" s="1"/>
  <c r="C211" i="82" s="1"/>
  <c r="C224" i="82" s="1"/>
  <c r="C237" i="82" s="1"/>
  <c r="C250" i="82" s="1"/>
  <c r="C263" i="82" s="1"/>
  <c r="C276" i="82" s="1"/>
  <c r="C289" i="82" s="1"/>
  <c r="C302" i="82" s="1"/>
  <c r="C315" i="82" s="1"/>
  <c r="C328" i="82" s="1"/>
  <c r="C341" i="82" s="1"/>
  <c r="G145" i="81"/>
  <c r="G158" i="81" s="1"/>
  <c r="G171" i="81" s="1"/>
  <c r="G184" i="81" s="1"/>
  <c r="G197" i="81" s="1"/>
  <c r="G210" i="81" s="1"/>
  <c r="I145" i="81"/>
  <c r="I158" i="81" s="1"/>
  <c r="I171" i="81" s="1"/>
  <c r="I184" i="81" s="1"/>
  <c r="I197" i="81" s="1"/>
  <c r="I210" i="81" s="1"/>
  <c r="N132" i="81"/>
  <c r="N145" i="81" s="1"/>
  <c r="N158" i="81" s="1"/>
  <c r="N171" i="81" s="1"/>
  <c r="N184" i="81" s="1"/>
  <c r="N197" i="81" s="1"/>
  <c r="N210" i="81" s="1"/>
  <c r="K132" i="81"/>
  <c r="K145" i="81" s="1"/>
  <c r="K158" i="81" s="1"/>
  <c r="K171" i="81" s="1"/>
  <c r="K184" i="81" s="1"/>
  <c r="K197" i="81" s="1"/>
  <c r="K210" i="81" s="1"/>
  <c r="D145" i="78"/>
  <c r="D158" i="78" s="1"/>
  <c r="D171" i="78" s="1"/>
  <c r="D184" i="78" s="1"/>
  <c r="D197" i="78" s="1"/>
  <c r="J46" i="76"/>
  <c r="B36" i="76"/>
  <c r="G146" i="74"/>
  <c r="G159" i="74" s="1"/>
  <c r="G172" i="74" s="1"/>
  <c r="G185" i="74" s="1"/>
  <c r="G198" i="74" s="1"/>
  <c r="K146" i="74"/>
  <c r="K159" i="74" s="1"/>
  <c r="K172" i="74" s="1"/>
  <c r="K185" i="74" s="1"/>
  <c r="K198" i="74" s="1"/>
  <c r="E185" i="74"/>
  <c r="E198" i="74" s="1"/>
  <c r="C132" i="74"/>
  <c r="L132" i="74"/>
  <c r="L136" i="74" s="1"/>
  <c r="L141" i="74" s="1"/>
  <c r="E123" i="74"/>
  <c r="E124" i="74" s="1"/>
  <c r="M123" i="74"/>
  <c r="M125" i="74" s="1"/>
  <c r="I111" i="74"/>
  <c r="I116" i="74" s="1"/>
  <c r="C145" i="1"/>
  <c r="C158" i="1" s="1"/>
  <c r="N145" i="1"/>
  <c r="N158" i="1" s="1"/>
  <c r="J145" i="1"/>
  <c r="J158" i="1" s="1"/>
  <c r="F145" i="1"/>
  <c r="E124" i="75"/>
  <c r="B57" i="81"/>
  <c r="E125" i="75"/>
  <c r="E125" i="1"/>
  <c r="B57" i="82"/>
  <c r="D46" i="74"/>
  <c r="E46" i="74"/>
  <c r="F46" i="74"/>
  <c r="G46" i="74"/>
  <c r="H46" i="74"/>
  <c r="L150" i="81"/>
  <c r="D151" i="81"/>
  <c r="H171" i="81"/>
  <c r="H184" i="81" s="1"/>
  <c r="H197" i="81" s="1"/>
  <c r="H210" i="81" s="1"/>
  <c r="C145" i="81"/>
  <c r="C158" i="81" s="1"/>
  <c r="C171" i="81" s="1"/>
  <c r="C184" i="81" s="1"/>
  <c r="C197" i="81" s="1"/>
  <c r="C210" i="81" s="1"/>
  <c r="L158" i="78"/>
  <c r="L171" i="78" s="1"/>
  <c r="L184" i="78" s="1"/>
  <c r="L197" i="78" s="1"/>
  <c r="H124" i="74"/>
  <c r="F158" i="1"/>
  <c r="E46" i="78"/>
  <c r="H46" i="78"/>
  <c r="D46" i="78"/>
  <c r="L46" i="78"/>
  <c r="E150" i="81"/>
  <c r="M150" i="81"/>
  <c r="I151" i="81"/>
  <c r="L151" i="80"/>
  <c r="N46" i="78"/>
  <c r="B9" i="75"/>
  <c r="M46" i="78"/>
  <c r="I46" i="78"/>
  <c r="F46" i="78"/>
  <c r="G46" i="78"/>
  <c r="J46" i="78"/>
  <c r="K46" i="78"/>
  <c r="J163" i="78"/>
  <c r="N164" i="75"/>
  <c r="C46" i="83"/>
  <c r="M46" i="81"/>
  <c r="I46" i="81"/>
  <c r="E46" i="81"/>
  <c r="C46" i="81"/>
  <c r="J46" i="81"/>
  <c r="F46" i="81"/>
  <c r="K46" i="81"/>
  <c r="G46" i="81"/>
  <c r="N46" i="81"/>
  <c r="L46" i="81"/>
  <c r="H46" i="81"/>
  <c r="D46" i="81"/>
  <c r="F177" i="78"/>
  <c r="M46" i="82"/>
  <c r="B94" i="1"/>
  <c r="K46" i="82"/>
  <c r="L46" i="82"/>
  <c r="I46" i="82"/>
  <c r="D46" i="82"/>
  <c r="E46" i="82"/>
  <c r="H46" i="82"/>
  <c r="G46" i="82"/>
  <c r="N46" i="82"/>
  <c r="F46" i="82"/>
  <c r="J46" i="82"/>
  <c r="D46" i="80"/>
  <c r="C109" i="1"/>
  <c r="C113" i="1" s="1"/>
  <c r="L46" i="1"/>
  <c r="K46" i="1"/>
  <c r="J46" i="1"/>
  <c r="I46" i="1"/>
  <c r="H46" i="1"/>
  <c r="F46" i="1"/>
  <c r="E46" i="1"/>
  <c r="D46" i="1"/>
  <c r="N46" i="1"/>
  <c r="M46" i="1"/>
  <c r="G46" i="1"/>
  <c r="C46" i="1"/>
  <c r="A1" i="53"/>
  <c r="B8" i="82"/>
  <c r="C46" i="82"/>
  <c r="C46" i="80"/>
  <c r="G46" i="80"/>
  <c r="E46" i="80"/>
  <c r="K46" i="80"/>
  <c r="H46" i="80"/>
  <c r="M46" i="80"/>
  <c r="J46" i="80"/>
  <c r="L46" i="80"/>
  <c r="I46" i="80"/>
  <c r="N46" i="80"/>
  <c r="A6" i="46"/>
  <c r="B8" i="74"/>
  <c r="C46" i="74"/>
  <c r="J46" i="75"/>
  <c r="L46" i="75"/>
  <c r="D46" i="75"/>
  <c r="H46" i="75"/>
  <c r="F46" i="75"/>
  <c r="L46" i="83"/>
  <c r="F46" i="83"/>
  <c r="I46" i="83"/>
  <c r="H46" i="83"/>
  <c r="K46" i="83"/>
  <c r="G46" i="83"/>
  <c r="E46" i="83"/>
  <c r="N46" i="83"/>
  <c r="M46" i="83"/>
  <c r="J46" i="83"/>
  <c r="B8" i="83"/>
  <c r="D46" i="83"/>
  <c r="B9" i="83"/>
  <c r="E46" i="75"/>
  <c r="I46" i="75"/>
  <c r="G46" i="75"/>
  <c r="C46" i="75"/>
  <c r="N46" i="75"/>
  <c r="M46" i="75"/>
  <c r="K46" i="75"/>
  <c r="B8" i="75"/>
  <c r="B3" i="43"/>
  <c r="J150" i="88" l="1"/>
  <c r="J154" i="88"/>
  <c r="H83" i="88"/>
  <c r="J21" i="53"/>
  <c r="M149" i="88"/>
  <c r="M154" i="88" s="1"/>
  <c r="J162" i="80"/>
  <c r="D123" i="75"/>
  <c r="M188" i="81"/>
  <c r="M189" i="81" s="1"/>
  <c r="J138" i="88"/>
  <c r="J141" i="88"/>
  <c r="J230" i="88" s="1"/>
  <c r="J52" i="88" s="1"/>
  <c r="N137" i="88"/>
  <c r="N141" i="88"/>
  <c r="I201" i="82"/>
  <c r="J110" i="1"/>
  <c r="J112" i="1" s="1"/>
  <c r="E188" i="82"/>
  <c r="C126" i="1"/>
  <c r="N113" i="1"/>
  <c r="M126" i="78"/>
  <c r="E136" i="88"/>
  <c r="E141" i="88" s="1"/>
  <c r="H138" i="88"/>
  <c r="H141" i="88"/>
  <c r="E124" i="88"/>
  <c r="E128" i="88"/>
  <c r="E129" i="88" s="1"/>
  <c r="B21" i="53"/>
  <c r="B169" i="46"/>
  <c r="D169" i="46" s="1"/>
  <c r="D110" i="81"/>
  <c r="D115" i="81" s="1"/>
  <c r="J245" i="91"/>
  <c r="J247" i="91" s="1"/>
  <c r="C193" i="91"/>
  <c r="C198" i="91" s="1"/>
  <c r="L180" i="91"/>
  <c r="L185" i="91" s="1"/>
  <c r="M167" i="91"/>
  <c r="M172" i="91" s="1"/>
  <c r="M154" i="91"/>
  <c r="M159" i="91" s="1"/>
  <c r="C201" i="81"/>
  <c r="F191" i="80"/>
  <c r="G191" i="80"/>
  <c r="H110" i="81"/>
  <c r="H115" i="81" s="1"/>
  <c r="J357" i="82"/>
  <c r="J362" i="82" s="1"/>
  <c r="M190" i="80"/>
  <c r="L113" i="81"/>
  <c r="C232" i="91"/>
  <c r="C237" i="91" s="1"/>
  <c r="J136" i="78"/>
  <c r="J141" i="78" s="1"/>
  <c r="I232" i="91"/>
  <c r="I237" i="91" s="1"/>
  <c r="N152" i="78"/>
  <c r="M219" i="91"/>
  <c r="M224" i="91" s="1"/>
  <c r="J149" i="78"/>
  <c r="J150" i="78" s="1"/>
  <c r="F123" i="83"/>
  <c r="E245" i="91"/>
  <c r="E247" i="91" s="1"/>
  <c r="E219" i="91"/>
  <c r="E220" i="91" s="1"/>
  <c r="E232" i="91"/>
  <c r="E237" i="91" s="1"/>
  <c r="G140" i="77"/>
  <c r="G137" i="77"/>
  <c r="G142" i="77" s="1"/>
  <c r="F172" i="79"/>
  <c r="F185" i="79" s="1"/>
  <c r="F198" i="79" s="1"/>
  <c r="F211" i="79" s="1"/>
  <c r="F224" i="79" s="1"/>
  <c r="H365" i="82"/>
  <c r="H377" i="82"/>
  <c r="H390" i="82" s="1"/>
  <c r="H403" i="82" s="1"/>
  <c r="H416" i="82" s="1"/>
  <c r="H429" i="82" s="1"/>
  <c r="H442" i="82" s="1"/>
  <c r="H455" i="82" s="1"/>
  <c r="J151" i="1"/>
  <c r="J155" i="1" s="1"/>
  <c r="E110" i="79"/>
  <c r="E111" i="79" s="1"/>
  <c r="K139" i="78"/>
  <c r="G188" i="81"/>
  <c r="G189" i="81" s="1"/>
  <c r="K139" i="81"/>
  <c r="D140" i="77"/>
  <c r="D137" i="77"/>
  <c r="D139" i="77" s="1"/>
  <c r="H140" i="77"/>
  <c r="H137" i="77"/>
  <c r="H142" i="77" s="1"/>
  <c r="L140" i="77"/>
  <c r="L137" i="77"/>
  <c r="L142" i="77" s="1"/>
  <c r="L151" i="78"/>
  <c r="L154" i="78"/>
  <c r="J170" i="79"/>
  <c r="J183" i="79" s="1"/>
  <c r="J196" i="79" s="1"/>
  <c r="J209" i="79" s="1"/>
  <c r="J222" i="79" s="1"/>
  <c r="N365" i="82"/>
  <c r="N377" i="82"/>
  <c r="N390" i="82" s="1"/>
  <c r="L209" i="79"/>
  <c r="L222" i="79" s="1"/>
  <c r="L170" i="79"/>
  <c r="L183" i="79" s="1"/>
  <c r="L196" i="79" s="1"/>
  <c r="H170" i="79"/>
  <c r="H183" i="79" s="1"/>
  <c r="H196" i="79" s="1"/>
  <c r="H209" i="79" s="1"/>
  <c r="H222" i="79" s="1"/>
  <c r="D170" i="79"/>
  <c r="D183" i="79" s="1"/>
  <c r="D196" i="79" s="1"/>
  <c r="D209" i="79" s="1"/>
  <c r="D222" i="79" s="1"/>
  <c r="K365" i="82"/>
  <c r="K377" i="82"/>
  <c r="K390" i="82" s="1"/>
  <c r="K403" i="82" s="1"/>
  <c r="K416" i="82" s="1"/>
  <c r="K429" i="82" s="1"/>
  <c r="K442" i="82" s="1"/>
  <c r="K455" i="82" s="1"/>
  <c r="G365" i="82"/>
  <c r="G377" i="82"/>
  <c r="G390" i="82" s="1"/>
  <c r="D149" i="88"/>
  <c r="J151" i="88"/>
  <c r="J155" i="88" s="1"/>
  <c r="K139" i="89"/>
  <c r="K154" i="91"/>
  <c r="K155" i="91" s="1"/>
  <c r="D113" i="88"/>
  <c r="C111" i="89"/>
  <c r="C115" i="89"/>
  <c r="E126" i="89"/>
  <c r="M233" i="91"/>
  <c r="M237" i="91"/>
  <c r="E370" i="82"/>
  <c r="G209" i="79"/>
  <c r="G222" i="79" s="1"/>
  <c r="G170" i="79"/>
  <c r="G183" i="79" s="1"/>
  <c r="G196" i="79" s="1"/>
  <c r="G202" i="81"/>
  <c r="M209" i="79"/>
  <c r="M222" i="79" s="1"/>
  <c r="M170" i="79"/>
  <c r="M183" i="79" s="1"/>
  <c r="M196" i="79" s="1"/>
  <c r="D365" i="82"/>
  <c r="D377" i="82"/>
  <c r="D390" i="82" s="1"/>
  <c r="C365" i="82"/>
  <c r="C377" i="82"/>
  <c r="C390" i="82" s="1"/>
  <c r="J250" i="91"/>
  <c r="G201" i="75"/>
  <c r="G203" i="75" s="1"/>
  <c r="L188" i="80"/>
  <c r="L190" i="80" s="1"/>
  <c r="K201" i="82"/>
  <c r="K136" i="75"/>
  <c r="K137" i="75" s="1"/>
  <c r="F126" i="1"/>
  <c r="C139" i="78"/>
  <c r="M110" i="79"/>
  <c r="M112" i="79" s="1"/>
  <c r="K201" i="81"/>
  <c r="C191" i="81"/>
  <c r="G123" i="81"/>
  <c r="G124" i="81" s="1"/>
  <c r="H139" i="1"/>
  <c r="E140" i="77"/>
  <c r="E137" i="77"/>
  <c r="E142" i="77" s="1"/>
  <c r="I140" i="77"/>
  <c r="I137" i="77"/>
  <c r="I138" i="77" s="1"/>
  <c r="M140" i="77"/>
  <c r="M137" i="77"/>
  <c r="M138" i="77" s="1"/>
  <c r="K209" i="79"/>
  <c r="K222" i="79" s="1"/>
  <c r="K170" i="79"/>
  <c r="K183" i="79" s="1"/>
  <c r="K196" i="79" s="1"/>
  <c r="H172" i="79"/>
  <c r="H185" i="79" s="1"/>
  <c r="H198" i="79" s="1"/>
  <c r="H211" i="79" s="1"/>
  <c r="H224" i="79" s="1"/>
  <c r="M204" i="83"/>
  <c r="N216" i="88"/>
  <c r="J214" i="88"/>
  <c r="D245" i="91"/>
  <c r="D250" i="91" s="1"/>
  <c r="G154" i="91"/>
  <c r="G159" i="91" s="1"/>
  <c r="I136" i="89"/>
  <c r="I141" i="89" s="1"/>
  <c r="M172" i="90"/>
  <c r="M185" i="90" s="1"/>
  <c r="M198" i="90" s="1"/>
  <c r="M211" i="90" s="1"/>
  <c r="K140" i="77"/>
  <c r="K137" i="77"/>
  <c r="K139" i="77" s="1"/>
  <c r="N172" i="79"/>
  <c r="N185" i="79" s="1"/>
  <c r="N198" i="79" s="1"/>
  <c r="N211" i="79" s="1"/>
  <c r="N224" i="79" s="1"/>
  <c r="J365" i="82"/>
  <c r="J377" i="82"/>
  <c r="J390" i="82" s="1"/>
  <c r="J403" i="82" s="1"/>
  <c r="J416" i="82" s="1"/>
  <c r="J429" i="82" s="1"/>
  <c r="J442" i="82" s="1"/>
  <c r="J455" i="82" s="1"/>
  <c r="I170" i="79"/>
  <c r="I183" i="79" s="1"/>
  <c r="I196" i="79" s="1"/>
  <c r="I209" i="79" s="1"/>
  <c r="I222" i="79" s="1"/>
  <c r="E170" i="79"/>
  <c r="E183" i="79" s="1"/>
  <c r="E196" i="79" s="1"/>
  <c r="E209" i="79" s="1"/>
  <c r="E222" i="79" s="1"/>
  <c r="L365" i="82"/>
  <c r="L377" i="82"/>
  <c r="L390" i="82" s="1"/>
  <c r="C172" i="90"/>
  <c r="C185" i="90" s="1"/>
  <c r="C198" i="90" s="1"/>
  <c r="C211" i="90" s="1"/>
  <c r="K190" i="81"/>
  <c r="C8" i="73"/>
  <c r="C418" i="82"/>
  <c r="C431" i="82" s="1"/>
  <c r="C444" i="82" s="1"/>
  <c r="C457" i="82" s="1"/>
  <c r="C354" i="82"/>
  <c r="C367" i="82" s="1"/>
  <c r="G188" i="75"/>
  <c r="G190" i="75" s="1"/>
  <c r="G149" i="82"/>
  <c r="K110" i="1"/>
  <c r="K112" i="1" s="1"/>
  <c r="C123" i="78"/>
  <c r="C128" i="78" s="1"/>
  <c r="I110" i="79"/>
  <c r="I111" i="79" s="1"/>
  <c r="G204" i="81"/>
  <c r="K162" i="81"/>
  <c r="F139" i="75"/>
  <c r="F140" i="77"/>
  <c r="F137" i="77"/>
  <c r="F138" i="77" s="1"/>
  <c r="J140" i="77"/>
  <c r="J137" i="77"/>
  <c r="J142" i="77" s="1"/>
  <c r="N140" i="77"/>
  <c r="N137" i="77"/>
  <c r="N138" i="77" s="1"/>
  <c r="N151" i="78"/>
  <c r="N154" i="78"/>
  <c r="C170" i="79"/>
  <c r="C183" i="79" s="1"/>
  <c r="C196" i="79" s="1"/>
  <c r="C209" i="79" s="1"/>
  <c r="C222" i="79" s="1"/>
  <c r="F365" i="82"/>
  <c r="F377" i="82"/>
  <c r="F390" i="82" s="1"/>
  <c r="N170" i="79"/>
  <c r="N183" i="79" s="1"/>
  <c r="N196" i="79" s="1"/>
  <c r="N209" i="79" s="1"/>
  <c r="N222" i="79" s="1"/>
  <c r="F209" i="79"/>
  <c r="F222" i="79" s="1"/>
  <c r="F170" i="79"/>
  <c r="F183" i="79" s="1"/>
  <c r="F196" i="79" s="1"/>
  <c r="M365" i="82"/>
  <c r="M377" i="82"/>
  <c r="M390" i="82" s="1"/>
  <c r="M403" i="82" s="1"/>
  <c r="M416" i="82" s="1"/>
  <c r="M429" i="82" s="1"/>
  <c r="M442" i="82" s="1"/>
  <c r="M455" i="82" s="1"/>
  <c r="I365" i="82"/>
  <c r="I377" i="82"/>
  <c r="I390" i="82" s="1"/>
  <c r="E365" i="82"/>
  <c r="E377" i="82"/>
  <c r="E390" i="82" s="1"/>
  <c r="E201" i="88"/>
  <c r="E202" i="88" s="1"/>
  <c r="J162" i="89"/>
  <c r="L232" i="91"/>
  <c r="L237" i="91" s="1"/>
  <c r="M193" i="91"/>
  <c r="M194" i="91" s="1"/>
  <c r="J204" i="88"/>
  <c r="I111" i="89"/>
  <c r="I115" i="89"/>
  <c r="I196" i="91"/>
  <c r="K344" i="82"/>
  <c r="K349" i="82" s="1"/>
  <c r="F447" i="82"/>
  <c r="F448" i="82" s="1"/>
  <c r="D216" i="81"/>
  <c r="C110" i="81"/>
  <c r="C112" i="81" s="1"/>
  <c r="J164" i="78"/>
  <c r="J167" i="78"/>
  <c r="F232" i="91"/>
  <c r="F237" i="91" s="1"/>
  <c r="G219" i="91"/>
  <c r="G224" i="91" s="1"/>
  <c r="L93" i="91"/>
  <c r="L114" i="91" s="1"/>
  <c r="K15" i="53"/>
  <c r="M245" i="91"/>
  <c r="M250" i="91" s="1"/>
  <c r="K232" i="91"/>
  <c r="K234" i="91" s="1"/>
  <c r="E93" i="91"/>
  <c r="E114" i="91" s="1"/>
  <c r="D15" i="53"/>
  <c r="I93" i="91"/>
  <c r="I114" i="91" s="1"/>
  <c r="H15" i="53"/>
  <c r="M93" i="91"/>
  <c r="M114" i="91" s="1"/>
  <c r="L15" i="53"/>
  <c r="G93" i="91"/>
  <c r="G114" i="91" s="1"/>
  <c r="F15" i="53"/>
  <c r="K93" i="91"/>
  <c r="K114" i="91" s="1"/>
  <c r="J15" i="53"/>
  <c r="I248" i="91"/>
  <c r="J123" i="74"/>
  <c r="J125" i="74" s="1"/>
  <c r="L216" i="1"/>
  <c r="L219" i="1"/>
  <c r="L204" i="83"/>
  <c r="D204" i="83"/>
  <c r="G403" i="82"/>
  <c r="G416" i="82" s="1"/>
  <c r="G429" i="82" s="1"/>
  <c r="G442" i="82" s="1"/>
  <c r="G455" i="82" s="1"/>
  <c r="N403" i="82"/>
  <c r="N416" i="82" s="1"/>
  <c r="N429" i="82" s="1"/>
  <c r="N442" i="82" s="1"/>
  <c r="N455" i="82" s="1"/>
  <c r="F403" i="82"/>
  <c r="F416" i="82" s="1"/>
  <c r="F429" i="82" s="1"/>
  <c r="F442" i="82" s="1"/>
  <c r="F455" i="82" s="1"/>
  <c r="I403" i="82"/>
  <c r="I416" i="82" s="1"/>
  <c r="I429" i="82" s="1"/>
  <c r="I442" i="82" s="1"/>
  <c r="I455" i="82" s="1"/>
  <c r="E403" i="82"/>
  <c r="E416" i="82" s="1"/>
  <c r="E429" i="82" s="1"/>
  <c r="E442" i="82" s="1"/>
  <c r="E455" i="82" s="1"/>
  <c r="L403" i="82"/>
  <c r="L416" i="82" s="1"/>
  <c r="L429" i="82" s="1"/>
  <c r="L442" i="82" s="1"/>
  <c r="L455" i="82" s="1"/>
  <c r="D403" i="82"/>
  <c r="D416" i="82" s="1"/>
  <c r="D429" i="82" s="1"/>
  <c r="D442" i="82" s="1"/>
  <c r="D455" i="82" s="1"/>
  <c r="C403" i="82"/>
  <c r="C416" i="82" s="1"/>
  <c r="C429" i="82" s="1"/>
  <c r="C442" i="82" s="1"/>
  <c r="C455" i="82" s="1"/>
  <c r="A33" i="53"/>
  <c r="A56" i="53" s="1"/>
  <c r="A38" i="53"/>
  <c r="A61" i="53" s="1"/>
  <c r="A34" i="53"/>
  <c r="A57" i="53" s="1"/>
  <c r="A36" i="53"/>
  <c r="A59" i="53" s="1"/>
  <c r="A29" i="53"/>
  <c r="A52" i="53" s="1"/>
  <c r="A32" i="53"/>
  <c r="A55" i="53" s="1"/>
  <c r="A30" i="53"/>
  <c r="A53" i="53" s="1"/>
  <c r="A28" i="53"/>
  <c r="A51" i="53" s="1"/>
  <c r="A27" i="53"/>
  <c r="A50" i="53" s="1"/>
  <c r="A31" i="53"/>
  <c r="A54" i="53" s="1"/>
  <c r="A41" i="53"/>
  <c r="A64" i="53" s="1"/>
  <c r="C30" i="46"/>
  <c r="C141" i="46" s="1"/>
  <c r="C133" i="46"/>
  <c r="C160" i="46" s="1"/>
  <c r="C176" i="46" s="1"/>
  <c r="B30" i="46"/>
  <c r="B141" i="46" s="1"/>
  <c r="B133" i="46"/>
  <c r="B160" i="46" s="1"/>
  <c r="B176" i="46" s="1"/>
  <c r="D30" i="46"/>
  <c r="D141" i="46" s="1"/>
  <c r="D133" i="46"/>
  <c r="D160" i="46" s="1"/>
  <c r="D176" i="46" s="1"/>
  <c r="D136" i="80"/>
  <c r="D141" i="80" s="1"/>
  <c r="N189" i="88"/>
  <c r="N190" i="88"/>
  <c r="F138" i="75"/>
  <c r="F141" i="75"/>
  <c r="F137" i="75"/>
  <c r="E136" i="74"/>
  <c r="E141" i="74" s="1"/>
  <c r="D112" i="75"/>
  <c r="D115" i="75"/>
  <c r="G139" i="83"/>
  <c r="G136" i="83"/>
  <c r="G141" i="83" s="1"/>
  <c r="J164" i="80"/>
  <c r="J167" i="80"/>
  <c r="L162" i="82"/>
  <c r="L164" i="82" s="1"/>
  <c r="H149" i="82"/>
  <c r="D125" i="75"/>
  <c r="D128" i="75"/>
  <c r="I123" i="81"/>
  <c r="N163" i="1"/>
  <c r="N112" i="75"/>
  <c r="C145" i="74"/>
  <c r="C136" i="74"/>
  <c r="C138" i="74" s="1"/>
  <c r="E178" i="1"/>
  <c r="I152" i="1"/>
  <c r="F191" i="75"/>
  <c r="L201" i="75"/>
  <c r="L202" i="75" s="1"/>
  <c r="H178" i="75"/>
  <c r="N165" i="75"/>
  <c r="L201" i="82"/>
  <c r="L202" i="82" s="1"/>
  <c r="H162" i="82"/>
  <c r="D149" i="82"/>
  <c r="L126" i="1"/>
  <c r="F139" i="1"/>
  <c r="C110" i="78"/>
  <c r="C111" i="78" s="1"/>
  <c r="I201" i="81"/>
  <c r="I202" i="81" s="1"/>
  <c r="E214" i="81"/>
  <c r="E216" i="81" s="1"/>
  <c r="C157" i="74"/>
  <c r="C170" i="74" s="1"/>
  <c r="C183" i="74" s="1"/>
  <c r="C196" i="74" s="1"/>
  <c r="F145" i="74"/>
  <c r="F136" i="74"/>
  <c r="F141" i="74" s="1"/>
  <c r="N136" i="74"/>
  <c r="N141" i="74" s="1"/>
  <c r="H164" i="81"/>
  <c r="C204" i="83"/>
  <c r="C139" i="83"/>
  <c r="F139" i="83"/>
  <c r="F136" i="83"/>
  <c r="F141" i="83" s="1"/>
  <c r="J139" i="83"/>
  <c r="J136" i="83"/>
  <c r="J141" i="83" s="1"/>
  <c r="N139" i="83"/>
  <c r="N136" i="83"/>
  <c r="E125" i="88"/>
  <c r="I201" i="88"/>
  <c r="I203" i="88" s="1"/>
  <c r="D123" i="88"/>
  <c r="D128" i="88" s="1"/>
  <c r="F149" i="88"/>
  <c r="F154" i="88" s="1"/>
  <c r="K188" i="89"/>
  <c r="K193" i="89" s="1"/>
  <c r="D214" i="90"/>
  <c r="D216" i="90" s="1"/>
  <c r="G180" i="91"/>
  <c r="G182" i="91" s="1"/>
  <c r="L219" i="91"/>
  <c r="L224" i="91" s="1"/>
  <c r="H188" i="88"/>
  <c r="H190" i="88" s="1"/>
  <c r="N191" i="88"/>
  <c r="E113" i="89"/>
  <c r="F136" i="89"/>
  <c r="F138" i="89" s="1"/>
  <c r="D165" i="89"/>
  <c r="I113" i="90"/>
  <c r="E196" i="91"/>
  <c r="I209" i="91"/>
  <c r="M235" i="91"/>
  <c r="F463" i="82"/>
  <c r="C424" i="82"/>
  <c r="M450" i="82"/>
  <c r="E463" i="82"/>
  <c r="L434" i="82"/>
  <c r="L436" i="82" s="1"/>
  <c r="N164" i="79"/>
  <c r="N167" i="79"/>
  <c r="C159" i="74"/>
  <c r="C172" i="74" s="1"/>
  <c r="C185" i="74" s="1"/>
  <c r="C198" i="74" s="1"/>
  <c r="F112" i="77"/>
  <c r="F116" i="77"/>
  <c r="K139" i="83"/>
  <c r="K136" i="83"/>
  <c r="C255" i="82"/>
  <c r="I123" i="74"/>
  <c r="I125" i="74" s="1"/>
  <c r="D132" i="74"/>
  <c r="F123" i="74"/>
  <c r="F125" i="74" s="1"/>
  <c r="G152" i="1"/>
  <c r="F204" i="1"/>
  <c r="J204" i="75"/>
  <c r="L191" i="75"/>
  <c r="D165" i="75"/>
  <c r="J191" i="75"/>
  <c r="J151" i="80"/>
  <c r="J154" i="80"/>
  <c r="M150" i="80"/>
  <c r="M154" i="80"/>
  <c r="H162" i="80"/>
  <c r="H167" i="80" s="1"/>
  <c r="H175" i="82"/>
  <c r="L149" i="82"/>
  <c r="L151" i="82" s="1"/>
  <c r="C139" i="1"/>
  <c r="N113" i="75"/>
  <c r="N126" i="75"/>
  <c r="I178" i="81"/>
  <c r="K164" i="81"/>
  <c r="L176" i="1"/>
  <c r="L180" i="1"/>
  <c r="H126" i="83"/>
  <c r="D139" i="83"/>
  <c r="D136" i="83"/>
  <c r="D141" i="83" s="1"/>
  <c r="H139" i="83"/>
  <c r="H136" i="83"/>
  <c r="H141" i="83" s="1"/>
  <c r="L139" i="83"/>
  <c r="L136" i="83"/>
  <c r="D2" i="87"/>
  <c r="G2" i="87" s="1"/>
  <c r="G3" i="87" s="1"/>
  <c r="M112" i="89"/>
  <c r="K201" i="88"/>
  <c r="K203" i="88" s="1"/>
  <c r="E110" i="88"/>
  <c r="C175" i="89"/>
  <c r="C180" i="89" s="1"/>
  <c r="K162" i="90"/>
  <c r="K163" i="90" s="1"/>
  <c r="L126" i="90"/>
  <c r="C240" i="82"/>
  <c r="D450" i="82"/>
  <c r="J124" i="74"/>
  <c r="J129" i="74" s="1"/>
  <c r="F113" i="77"/>
  <c r="D191" i="75"/>
  <c r="C141" i="81"/>
  <c r="C190" i="81"/>
  <c r="J112" i="83"/>
  <c r="E139" i="83"/>
  <c r="E136" i="83"/>
  <c r="E141" i="83" s="1"/>
  <c r="I139" i="83"/>
  <c r="I136" i="83"/>
  <c r="I141" i="83" s="1"/>
  <c r="M139" i="83"/>
  <c r="M136" i="83"/>
  <c r="H123" i="88"/>
  <c r="H128" i="88" s="1"/>
  <c r="N188" i="89"/>
  <c r="N190" i="89" s="1"/>
  <c r="K162" i="89"/>
  <c r="K163" i="89" s="1"/>
  <c r="I123" i="90"/>
  <c r="I124" i="90" s="1"/>
  <c r="G245" i="91"/>
  <c r="G250" i="91" s="1"/>
  <c r="J139" i="88"/>
  <c r="J126" i="88"/>
  <c r="J191" i="88"/>
  <c r="J194" i="88" s="1"/>
  <c r="D204" i="88"/>
  <c r="N217" i="88"/>
  <c r="E217" i="89"/>
  <c r="G149" i="90"/>
  <c r="I183" i="91"/>
  <c r="G196" i="91"/>
  <c r="D436" i="82"/>
  <c r="E318" i="82"/>
  <c r="C434" i="82"/>
  <c r="C435" i="82" s="1"/>
  <c r="I255" i="82"/>
  <c r="E137" i="1"/>
  <c r="E141" i="1"/>
  <c r="F137" i="1"/>
  <c r="F141" i="1"/>
  <c r="H137" i="1"/>
  <c r="H141" i="1"/>
  <c r="N138" i="1"/>
  <c r="N141" i="1"/>
  <c r="C137" i="1"/>
  <c r="C141" i="1"/>
  <c r="L165" i="89"/>
  <c r="M113" i="89"/>
  <c r="K113" i="89"/>
  <c r="L126" i="83"/>
  <c r="J113" i="82"/>
  <c r="J110" i="82"/>
  <c r="J115" i="82" s="1"/>
  <c r="K113" i="82"/>
  <c r="K110" i="82"/>
  <c r="K112" i="82" s="1"/>
  <c r="D113" i="82"/>
  <c r="D110" i="82"/>
  <c r="D115" i="82" s="1"/>
  <c r="L113" i="82"/>
  <c r="L110" i="82"/>
  <c r="L115" i="82" s="1"/>
  <c r="E113" i="82"/>
  <c r="E110" i="82"/>
  <c r="I113" i="82"/>
  <c r="I110" i="82"/>
  <c r="I111" i="82" s="1"/>
  <c r="M113" i="82"/>
  <c r="M110" i="82"/>
  <c r="M112" i="82" s="1"/>
  <c r="C113" i="82"/>
  <c r="C110" i="82"/>
  <c r="H203" i="1"/>
  <c r="I188" i="90"/>
  <c r="I193" i="90" s="1"/>
  <c r="I214" i="90"/>
  <c r="I215" i="90" s="1"/>
  <c r="F162" i="90"/>
  <c r="F164" i="90" s="1"/>
  <c r="I165" i="90"/>
  <c r="N151" i="90"/>
  <c r="L151" i="90"/>
  <c r="H149" i="90"/>
  <c r="K149" i="90"/>
  <c r="K151" i="90" s="1"/>
  <c r="J138" i="90"/>
  <c r="J141" i="90"/>
  <c r="L138" i="90"/>
  <c r="L141" i="90"/>
  <c r="D189" i="82"/>
  <c r="M188" i="82"/>
  <c r="M189" i="82" s="1"/>
  <c r="D201" i="82"/>
  <c r="I203" i="82"/>
  <c r="G253" i="82"/>
  <c r="J318" i="82"/>
  <c r="K318" i="82"/>
  <c r="F318" i="82"/>
  <c r="G294" i="82"/>
  <c r="L292" i="82"/>
  <c r="L297" i="82" s="1"/>
  <c r="I254" i="82"/>
  <c r="E189" i="82"/>
  <c r="E193" i="82"/>
  <c r="L188" i="82"/>
  <c r="G188" i="82"/>
  <c r="G193" i="82" s="1"/>
  <c r="H188" i="82"/>
  <c r="I136" i="82"/>
  <c r="C136" i="82"/>
  <c r="M123" i="82"/>
  <c r="N136" i="79"/>
  <c r="N137" i="79" s="1"/>
  <c r="F136" i="79"/>
  <c r="O8" i="78"/>
  <c r="L150" i="78"/>
  <c r="N150" i="78"/>
  <c r="L113" i="78"/>
  <c r="K113" i="78"/>
  <c r="G113" i="78"/>
  <c r="E124" i="77"/>
  <c r="E126" i="77" s="1"/>
  <c r="E127" i="77"/>
  <c r="I124" i="77"/>
  <c r="I129" i="77" s="1"/>
  <c r="I127" i="77"/>
  <c r="M124" i="77"/>
  <c r="M129" i="77" s="1"/>
  <c r="M127" i="77"/>
  <c r="F124" i="77"/>
  <c r="F129" i="77" s="1"/>
  <c r="F127" i="77"/>
  <c r="J124" i="77"/>
  <c r="J126" i="77" s="1"/>
  <c r="J127" i="77"/>
  <c r="K124" i="77"/>
  <c r="K129" i="77" s="1"/>
  <c r="K127" i="77"/>
  <c r="D124" i="77"/>
  <c r="D129" i="77" s="1"/>
  <c r="D127" i="77"/>
  <c r="H124" i="77"/>
  <c r="H129" i="77" s="1"/>
  <c r="H127" i="77"/>
  <c r="L124" i="77"/>
  <c r="L127" i="77"/>
  <c r="I113" i="77"/>
  <c r="C62" i="81"/>
  <c r="C83" i="81" s="1"/>
  <c r="C165" i="81"/>
  <c r="O8" i="81"/>
  <c r="I181" i="91"/>
  <c r="I185" i="91"/>
  <c r="K156" i="91"/>
  <c r="K159" i="91"/>
  <c r="J155" i="91"/>
  <c r="J159" i="91"/>
  <c r="H156" i="91"/>
  <c r="H159" i="91"/>
  <c r="E206" i="91"/>
  <c r="E211" i="91" s="1"/>
  <c r="C209" i="91"/>
  <c r="H141" i="91"/>
  <c r="H146" i="91" s="1"/>
  <c r="K219" i="91"/>
  <c r="K220" i="91" s="1"/>
  <c r="K206" i="91"/>
  <c r="K207" i="91" s="1"/>
  <c r="G206" i="91"/>
  <c r="G207" i="91" s="1"/>
  <c r="C207" i="91"/>
  <c r="C208" i="91"/>
  <c r="G181" i="91"/>
  <c r="H167" i="91"/>
  <c r="H172" i="91" s="1"/>
  <c r="D167" i="91"/>
  <c r="D172" i="91" s="1"/>
  <c r="D154" i="91"/>
  <c r="D159" i="91" s="1"/>
  <c r="J156" i="91"/>
  <c r="C93" i="91"/>
  <c r="C114" i="91" s="1"/>
  <c r="B118" i="46"/>
  <c r="D118" i="46" s="1"/>
  <c r="D280" i="82"/>
  <c r="E279" i="82" s="1"/>
  <c r="E284" i="82" s="1"/>
  <c r="J111" i="88"/>
  <c r="J112" i="88"/>
  <c r="J138" i="74"/>
  <c r="J145" i="74"/>
  <c r="D128" i="1"/>
  <c r="D125" i="1"/>
  <c r="D204" i="78"/>
  <c r="D201" i="78"/>
  <c r="D202" i="78" s="1"/>
  <c r="F126" i="79"/>
  <c r="F123" i="79"/>
  <c r="F125" i="79" s="1"/>
  <c r="H139" i="80"/>
  <c r="H136" i="80"/>
  <c r="H138" i="80" s="1"/>
  <c r="E113" i="81"/>
  <c r="E110" i="81"/>
  <c r="L139" i="81"/>
  <c r="L136" i="81"/>
  <c r="L138" i="81" s="1"/>
  <c r="C162" i="90"/>
  <c r="C164" i="90" s="1"/>
  <c r="C165" i="90"/>
  <c r="F203" i="90"/>
  <c r="F206" i="90"/>
  <c r="I19" i="92"/>
  <c r="J93" i="91"/>
  <c r="J114" i="91" s="1"/>
  <c r="N436" i="82"/>
  <c r="N435" i="82"/>
  <c r="C164" i="1"/>
  <c r="F114" i="77"/>
  <c r="H188" i="80"/>
  <c r="H190" i="80" s="1"/>
  <c r="N136" i="75"/>
  <c r="G149" i="79"/>
  <c r="G154" i="79" s="1"/>
  <c r="H204" i="81"/>
  <c r="L178" i="81"/>
  <c r="H126" i="81"/>
  <c r="L113" i="1"/>
  <c r="L110" i="1"/>
  <c r="L112" i="1" s="1"/>
  <c r="M123" i="1"/>
  <c r="M126" i="1"/>
  <c r="J204" i="82"/>
  <c r="J201" i="82"/>
  <c r="F191" i="88"/>
  <c r="F188" i="88"/>
  <c r="I191" i="88"/>
  <c r="I188" i="88"/>
  <c r="C204" i="88"/>
  <c r="C201" i="88"/>
  <c r="I178" i="89"/>
  <c r="I175" i="89"/>
  <c r="I180" i="89" s="1"/>
  <c r="M178" i="89"/>
  <c r="M175" i="89"/>
  <c r="E204" i="89"/>
  <c r="E201" i="89"/>
  <c r="C113" i="90"/>
  <c r="C110" i="90"/>
  <c r="E136" i="90"/>
  <c r="E138" i="90" s="1"/>
  <c r="E139" i="90"/>
  <c r="D165" i="90"/>
  <c r="D162" i="90"/>
  <c r="D164" i="90" s="1"/>
  <c r="G204" i="90"/>
  <c r="G201" i="90"/>
  <c r="G206" i="90" s="1"/>
  <c r="C217" i="90"/>
  <c r="C214" i="90"/>
  <c r="I219" i="91"/>
  <c r="I220" i="91" s="1"/>
  <c r="I222" i="91"/>
  <c r="C248" i="91"/>
  <c r="C245" i="91"/>
  <c r="C250" i="91" s="1"/>
  <c r="F164" i="1"/>
  <c r="F168" i="1" s="1"/>
  <c r="L155" i="81"/>
  <c r="L115" i="75"/>
  <c r="E138" i="1"/>
  <c r="H132" i="74"/>
  <c r="H136" i="74" s="1"/>
  <c r="H141" i="74" s="1"/>
  <c r="C204" i="1"/>
  <c r="D188" i="80"/>
  <c r="D190" i="80" s="1"/>
  <c r="J188" i="82"/>
  <c r="L113" i="75"/>
  <c r="D136" i="78"/>
  <c r="D138" i="78" s="1"/>
  <c r="L188" i="81"/>
  <c r="L190" i="81" s="1"/>
  <c r="L162" i="81"/>
  <c r="D110" i="1"/>
  <c r="D113" i="1"/>
  <c r="N123" i="1"/>
  <c r="N126" i="1"/>
  <c r="L136" i="75"/>
  <c r="L137" i="75" s="1"/>
  <c r="L139" i="75"/>
  <c r="N201" i="75"/>
  <c r="N204" i="75"/>
  <c r="J189" i="75"/>
  <c r="J194" i="75" s="1"/>
  <c r="N177" i="75"/>
  <c r="N181" i="75" s="1"/>
  <c r="M116" i="74"/>
  <c r="L125" i="74"/>
  <c r="L129" i="74" s="1"/>
  <c r="E124" i="1"/>
  <c r="C165" i="1"/>
  <c r="F178" i="75"/>
  <c r="F162" i="75"/>
  <c r="F163" i="75" s="1"/>
  <c r="M176" i="77"/>
  <c r="M178" i="77" s="1"/>
  <c r="H175" i="80"/>
  <c r="H180" i="80" s="1"/>
  <c r="L136" i="80"/>
  <c r="L137" i="80" s="1"/>
  <c r="N136" i="82"/>
  <c r="G201" i="82"/>
  <c r="J126" i="1"/>
  <c r="F138" i="1"/>
  <c r="D113" i="75"/>
  <c r="H165" i="81"/>
  <c r="C125" i="74"/>
  <c r="C124" i="74"/>
  <c r="G113" i="75"/>
  <c r="G110" i="75"/>
  <c r="G112" i="75" s="1"/>
  <c r="K113" i="75"/>
  <c r="K110" i="75"/>
  <c r="M111" i="77"/>
  <c r="M116" i="77" s="1"/>
  <c r="M114" i="77"/>
  <c r="E163" i="77"/>
  <c r="E166" i="77"/>
  <c r="K175" i="80"/>
  <c r="K178" i="80"/>
  <c r="C191" i="80"/>
  <c r="C188" i="80"/>
  <c r="C189" i="80" s="1"/>
  <c r="H113" i="82"/>
  <c r="H112" i="82"/>
  <c r="J144" i="83"/>
  <c r="J157" i="83" s="1"/>
  <c r="J170" i="83" s="1"/>
  <c r="J183" i="83" s="1"/>
  <c r="J196" i="83" s="1"/>
  <c r="K123" i="83"/>
  <c r="K124" i="83" s="1"/>
  <c r="K126" i="83"/>
  <c r="M214" i="88"/>
  <c r="M216" i="88" s="1"/>
  <c r="D110" i="89"/>
  <c r="F110" i="88"/>
  <c r="F113" i="88"/>
  <c r="J113" i="88"/>
  <c r="M113" i="88"/>
  <c r="M110" i="88"/>
  <c r="M115" i="88" s="1"/>
  <c r="J124" i="88"/>
  <c r="J125" i="88"/>
  <c r="I154" i="91"/>
  <c r="I159" i="91" s="1"/>
  <c r="I157" i="91"/>
  <c r="K196" i="91"/>
  <c r="K193" i="91"/>
  <c r="K198" i="91" s="1"/>
  <c r="G162" i="1"/>
  <c r="G165" i="1"/>
  <c r="J166" i="77"/>
  <c r="J163" i="77"/>
  <c r="J165" i="77" s="1"/>
  <c r="H139" i="78"/>
  <c r="H136" i="78"/>
  <c r="H137" i="78" s="1"/>
  <c r="C152" i="79"/>
  <c r="C149" i="79"/>
  <c r="C151" i="79" s="1"/>
  <c r="H191" i="81"/>
  <c r="H188" i="81"/>
  <c r="D201" i="81"/>
  <c r="D203" i="81" s="1"/>
  <c r="D204" i="81"/>
  <c r="L201" i="81"/>
  <c r="L204" i="81"/>
  <c r="E164" i="89"/>
  <c r="E163" i="89"/>
  <c r="B16" i="92"/>
  <c r="C83" i="88"/>
  <c r="G113" i="88"/>
  <c r="G110" i="88"/>
  <c r="N165" i="90"/>
  <c r="N162" i="90"/>
  <c r="N164" i="90" s="1"/>
  <c r="M19" i="92"/>
  <c r="N93" i="91"/>
  <c r="N114" i="91" s="1"/>
  <c r="D321" i="82"/>
  <c r="D318" i="82"/>
  <c r="J163" i="75"/>
  <c r="J168" i="75" s="1"/>
  <c r="L111" i="75"/>
  <c r="D126" i="1"/>
  <c r="I123" i="1"/>
  <c r="I126" i="1"/>
  <c r="M169" i="91"/>
  <c r="I217" i="88"/>
  <c r="I214" i="88"/>
  <c r="C126" i="89"/>
  <c r="C123" i="89"/>
  <c r="M139" i="89"/>
  <c r="M136" i="89"/>
  <c r="M138" i="89" s="1"/>
  <c r="C19" i="92"/>
  <c r="D93" i="91"/>
  <c r="D114" i="91" s="1"/>
  <c r="E145" i="74"/>
  <c r="E149" i="74" s="1"/>
  <c r="E154" i="74" s="1"/>
  <c r="K162" i="1"/>
  <c r="K164" i="1" s="1"/>
  <c r="G113" i="82"/>
  <c r="G111" i="82"/>
  <c r="K152" i="82"/>
  <c r="K149" i="82"/>
  <c r="K178" i="82"/>
  <c r="K175" i="82"/>
  <c r="M202" i="83"/>
  <c r="M206" i="83"/>
  <c r="L111" i="83"/>
  <c r="H112" i="83"/>
  <c r="M144" i="83"/>
  <c r="M157" i="83" s="1"/>
  <c r="M170" i="83" s="1"/>
  <c r="M183" i="83" s="1"/>
  <c r="M196" i="83" s="1"/>
  <c r="I144" i="83"/>
  <c r="I157" i="83" s="1"/>
  <c r="I170" i="83" s="1"/>
  <c r="I183" i="83" s="1"/>
  <c r="I196" i="83" s="1"/>
  <c r="E144" i="83"/>
  <c r="E157" i="83" s="1"/>
  <c r="E170" i="83" s="1"/>
  <c r="E183" i="83" s="1"/>
  <c r="E196" i="83" s="1"/>
  <c r="H146" i="83"/>
  <c r="H159" i="83" s="1"/>
  <c r="H172" i="83" s="1"/>
  <c r="H185" i="83" s="1"/>
  <c r="H198" i="83" s="1"/>
  <c r="M201" i="89"/>
  <c r="M206" i="89" s="1"/>
  <c r="F124" i="88"/>
  <c r="F125" i="88"/>
  <c r="M126" i="88"/>
  <c r="M123" i="88"/>
  <c r="M128" i="88" s="1"/>
  <c r="I139" i="88"/>
  <c r="I136" i="88"/>
  <c r="I141" i="88" s="1"/>
  <c r="M139" i="88"/>
  <c r="M136" i="88"/>
  <c r="M141" i="88" s="1"/>
  <c r="K149" i="88"/>
  <c r="J203" i="88"/>
  <c r="J202" i="88"/>
  <c r="F217" i="88"/>
  <c r="F214" i="88"/>
  <c r="F216" i="88" s="1"/>
  <c r="I152" i="89"/>
  <c r="I149" i="89"/>
  <c r="M152" i="89"/>
  <c r="M149" i="89"/>
  <c r="M154" i="89" s="1"/>
  <c r="N165" i="89"/>
  <c r="N162" i="89"/>
  <c r="N164" i="89" s="1"/>
  <c r="E215" i="89"/>
  <c r="E216" i="89"/>
  <c r="I217" i="89"/>
  <c r="I214" i="89"/>
  <c r="I215" i="89" s="1"/>
  <c r="C167" i="91"/>
  <c r="C172" i="91" s="1"/>
  <c r="C170" i="91"/>
  <c r="K170" i="91"/>
  <c r="K167" i="91"/>
  <c r="K169" i="91" s="1"/>
  <c r="C183" i="91"/>
  <c r="C180" i="91"/>
  <c r="C185" i="91" s="1"/>
  <c r="J183" i="91"/>
  <c r="J180" i="91"/>
  <c r="J185" i="91" s="1"/>
  <c r="N183" i="91"/>
  <c r="N180" i="91"/>
  <c r="N185" i="91" s="1"/>
  <c r="G235" i="91"/>
  <c r="G232" i="91"/>
  <c r="G237" i="91" s="1"/>
  <c r="I246" i="91"/>
  <c r="I247" i="91"/>
  <c r="L144" i="83"/>
  <c r="L157" i="83" s="1"/>
  <c r="L170" i="83" s="1"/>
  <c r="L183" i="83" s="1"/>
  <c r="L196" i="83" s="1"/>
  <c r="H144" i="83"/>
  <c r="H157" i="83" s="1"/>
  <c r="H170" i="83" s="1"/>
  <c r="H183" i="83" s="1"/>
  <c r="H196" i="83" s="1"/>
  <c r="D144" i="83"/>
  <c r="D157" i="83" s="1"/>
  <c r="D170" i="83" s="1"/>
  <c r="D183" i="83" s="1"/>
  <c r="D196" i="83" s="1"/>
  <c r="D112" i="88"/>
  <c r="D111" i="88"/>
  <c r="N126" i="88"/>
  <c r="N123" i="88"/>
  <c r="F139" i="88"/>
  <c r="F136" i="88"/>
  <c r="F141" i="88" s="1"/>
  <c r="F139" i="90"/>
  <c r="F136" i="90"/>
  <c r="F137" i="90" s="1"/>
  <c r="N136" i="90"/>
  <c r="N141" i="90" s="1"/>
  <c r="N139" i="90"/>
  <c r="G243" i="82"/>
  <c r="G240" i="82"/>
  <c r="J256" i="82"/>
  <c r="J253" i="82"/>
  <c r="K269" i="82"/>
  <c r="K266" i="82"/>
  <c r="K268" i="82" s="1"/>
  <c r="M295" i="82"/>
  <c r="M292" i="82"/>
  <c r="M294" i="82" s="1"/>
  <c r="J308" i="82"/>
  <c r="J305" i="82"/>
  <c r="J310" i="82" s="1"/>
  <c r="E450" i="82"/>
  <c r="E447" i="82"/>
  <c r="E448" i="82" s="1"/>
  <c r="J447" i="82"/>
  <c r="J449" i="82" s="1"/>
  <c r="J450" i="82"/>
  <c r="D422" i="82"/>
  <c r="D423" i="82"/>
  <c r="L168" i="83"/>
  <c r="H168" i="83"/>
  <c r="D168" i="83"/>
  <c r="M168" i="83"/>
  <c r="I168" i="83"/>
  <c r="E168" i="83"/>
  <c r="F168" i="83"/>
  <c r="K168" i="83"/>
  <c r="J168" i="83"/>
  <c r="G168" i="83"/>
  <c r="N168" i="83"/>
  <c r="C168" i="83"/>
  <c r="J136" i="1"/>
  <c r="J141" i="1" s="1"/>
  <c r="J139" i="1"/>
  <c r="L162" i="75"/>
  <c r="L164" i="75" s="1"/>
  <c r="L165" i="75"/>
  <c r="H191" i="75"/>
  <c r="H188" i="75"/>
  <c r="I136" i="81"/>
  <c r="I141" i="81" s="1"/>
  <c r="I139" i="81"/>
  <c r="L202" i="83"/>
  <c r="L206" i="83"/>
  <c r="L203" i="83"/>
  <c r="D202" i="83"/>
  <c r="D206" i="83"/>
  <c r="N144" i="83"/>
  <c r="N157" i="83" s="1"/>
  <c r="N170" i="83" s="1"/>
  <c r="N183" i="83" s="1"/>
  <c r="N196" i="83" s="1"/>
  <c r="D123" i="83"/>
  <c r="D124" i="83" s="1"/>
  <c r="D126" i="83"/>
  <c r="G123" i="88"/>
  <c r="G128" i="88" s="1"/>
  <c r="J137" i="88"/>
  <c r="M149" i="90"/>
  <c r="L110" i="88"/>
  <c r="L115" i="88" s="1"/>
  <c r="L113" i="88"/>
  <c r="C165" i="89"/>
  <c r="C162" i="89"/>
  <c r="J170" i="91"/>
  <c r="J167" i="91"/>
  <c r="J172" i="91" s="1"/>
  <c r="C222" i="91"/>
  <c r="C219" i="91"/>
  <c r="C220" i="91" s="1"/>
  <c r="K248" i="91"/>
  <c r="K245" i="91"/>
  <c r="K247" i="91" s="1"/>
  <c r="D243" i="82"/>
  <c r="D240" i="82"/>
  <c r="J434" i="82"/>
  <c r="J437" i="82"/>
  <c r="N162" i="78"/>
  <c r="N167" i="78" s="1"/>
  <c r="H202" i="83"/>
  <c r="H206" i="83"/>
  <c r="F144" i="83"/>
  <c r="F157" i="83" s="1"/>
  <c r="F170" i="83" s="1"/>
  <c r="F183" i="83" s="1"/>
  <c r="F196" i="83" s="1"/>
  <c r="E13" i="87"/>
  <c r="E14" i="87" s="1"/>
  <c r="F13" i="87"/>
  <c r="D16" i="92"/>
  <c r="E83" i="88"/>
  <c r="H16" i="92"/>
  <c r="G62" i="88"/>
  <c r="E19" i="92"/>
  <c r="F93" i="91"/>
  <c r="F114" i="91" s="1"/>
  <c r="N205" i="90"/>
  <c r="J205" i="90"/>
  <c r="F205" i="90"/>
  <c r="L205" i="90"/>
  <c r="H205" i="90"/>
  <c r="G205" i="90"/>
  <c r="M205" i="90"/>
  <c r="I205" i="90"/>
  <c r="E205" i="90"/>
  <c r="D205" i="90"/>
  <c r="K205" i="90"/>
  <c r="C205" i="90"/>
  <c r="L194" i="83"/>
  <c r="H194" i="83"/>
  <c r="D194" i="83"/>
  <c r="M194" i="83"/>
  <c r="I194" i="83"/>
  <c r="E194" i="83"/>
  <c r="J194" i="83"/>
  <c r="N194" i="83"/>
  <c r="K194" i="83"/>
  <c r="C194" i="83"/>
  <c r="G194" i="83"/>
  <c r="F194" i="83"/>
  <c r="M153" i="89"/>
  <c r="I153" i="89"/>
  <c r="E153" i="89"/>
  <c r="G153" i="89"/>
  <c r="C153" i="89"/>
  <c r="J153" i="89"/>
  <c r="L153" i="89"/>
  <c r="H153" i="89"/>
  <c r="D153" i="89"/>
  <c r="K153" i="89"/>
  <c r="N153" i="89"/>
  <c r="F153" i="89"/>
  <c r="L244" i="80"/>
  <c r="L246" i="80" s="1"/>
  <c r="H244" i="80"/>
  <c r="H246" i="80" s="1"/>
  <c r="D244" i="80"/>
  <c r="D246" i="80" s="1"/>
  <c r="N244" i="80"/>
  <c r="N246" i="80" s="1"/>
  <c r="J244" i="80"/>
  <c r="J246" i="80" s="1"/>
  <c r="K244" i="80"/>
  <c r="K246" i="80" s="1"/>
  <c r="G244" i="80"/>
  <c r="G246" i="80" s="1"/>
  <c r="C244" i="80"/>
  <c r="C246" i="80" s="1"/>
  <c r="F244" i="80"/>
  <c r="F246" i="80" s="1"/>
  <c r="M244" i="80"/>
  <c r="M246" i="80" s="1"/>
  <c r="I244" i="80"/>
  <c r="I246" i="80" s="1"/>
  <c r="E244" i="80"/>
  <c r="E246" i="80" s="1"/>
  <c r="L155" i="83"/>
  <c r="H155" i="83"/>
  <c r="D155" i="83"/>
  <c r="M155" i="83"/>
  <c r="I155" i="83"/>
  <c r="E155" i="83"/>
  <c r="G155" i="83"/>
  <c r="N155" i="83"/>
  <c r="F155" i="83"/>
  <c r="K155" i="83"/>
  <c r="C155" i="83"/>
  <c r="J155" i="83"/>
  <c r="C144" i="83"/>
  <c r="C157" i="83" s="1"/>
  <c r="C170" i="83" s="1"/>
  <c r="C183" i="83" s="1"/>
  <c r="C196" i="83" s="1"/>
  <c r="K144" i="83"/>
  <c r="K157" i="83" s="1"/>
  <c r="K170" i="83" s="1"/>
  <c r="K183" i="83" s="1"/>
  <c r="K196" i="83" s="1"/>
  <c r="G144" i="83"/>
  <c r="G157" i="83" s="1"/>
  <c r="G170" i="83" s="1"/>
  <c r="G183" i="83" s="1"/>
  <c r="G196" i="83" s="1"/>
  <c r="F146" i="83"/>
  <c r="F159" i="83" s="1"/>
  <c r="F172" i="83" s="1"/>
  <c r="F185" i="83" s="1"/>
  <c r="F198" i="83" s="1"/>
  <c r="N146" i="83"/>
  <c r="N159" i="83" s="1"/>
  <c r="N172" i="83" s="1"/>
  <c r="N185" i="83" s="1"/>
  <c r="N198" i="83" s="1"/>
  <c r="L202" i="90"/>
  <c r="L206" i="90"/>
  <c r="J16" i="92"/>
  <c r="K83" i="88"/>
  <c r="G19" i="92"/>
  <c r="H93" i="91"/>
  <c r="H114" i="91" s="1"/>
  <c r="N166" i="74"/>
  <c r="J166" i="74"/>
  <c r="F166" i="74"/>
  <c r="N153" i="74"/>
  <c r="J153" i="74"/>
  <c r="F153" i="74"/>
  <c r="M166" i="74"/>
  <c r="E166" i="74"/>
  <c r="M153" i="74"/>
  <c r="E153" i="74"/>
  <c r="H153" i="74"/>
  <c r="L166" i="74"/>
  <c r="L153" i="74"/>
  <c r="K166" i="74"/>
  <c r="G166" i="74"/>
  <c r="K153" i="74"/>
  <c r="G153" i="74"/>
  <c r="C153" i="74"/>
  <c r="I166" i="74"/>
  <c r="I153" i="74"/>
  <c r="H166" i="74"/>
  <c r="D166" i="74"/>
  <c r="D153" i="74"/>
  <c r="D192" i="89"/>
  <c r="H192" i="89"/>
  <c r="L192" i="89"/>
  <c r="F192" i="89"/>
  <c r="J192" i="89"/>
  <c r="K192" i="89"/>
  <c r="C192" i="89"/>
  <c r="E192" i="89"/>
  <c r="I192" i="89"/>
  <c r="M192" i="89"/>
  <c r="N192" i="89"/>
  <c r="G192" i="89"/>
  <c r="E192" i="1"/>
  <c r="I192" i="1"/>
  <c r="M192" i="1"/>
  <c r="G192" i="1"/>
  <c r="K192" i="1"/>
  <c r="F192" i="1"/>
  <c r="J192" i="1"/>
  <c r="N192" i="1"/>
  <c r="C192" i="1"/>
  <c r="D192" i="1"/>
  <c r="H192" i="1"/>
  <c r="L192" i="1"/>
  <c r="L181" i="83"/>
  <c r="H181" i="83"/>
  <c r="D181" i="83"/>
  <c r="M181" i="83"/>
  <c r="I181" i="83"/>
  <c r="E181" i="83"/>
  <c r="J181" i="83"/>
  <c r="N181" i="83"/>
  <c r="K181" i="83"/>
  <c r="C181" i="83"/>
  <c r="G181" i="83"/>
  <c r="F181" i="83"/>
  <c r="N115" i="75"/>
  <c r="I110" i="75"/>
  <c r="F204" i="78"/>
  <c r="F203" i="78"/>
  <c r="J191" i="78"/>
  <c r="M201" i="78"/>
  <c r="M202" i="78" s="1"/>
  <c r="J190" i="78"/>
  <c r="N204" i="78"/>
  <c r="F188" i="78"/>
  <c r="J165" i="78"/>
  <c r="E175" i="78"/>
  <c r="E176" i="78" s="1"/>
  <c r="E201" i="78"/>
  <c r="E202" i="78" s="1"/>
  <c r="N202" i="78"/>
  <c r="N177" i="78"/>
  <c r="J201" i="78"/>
  <c r="J202" i="78" s="1"/>
  <c r="N178" i="78"/>
  <c r="I162" i="78"/>
  <c r="J151" i="79"/>
  <c r="N149" i="79"/>
  <c r="N150" i="79" s="1"/>
  <c r="J150" i="79"/>
  <c r="I370" i="82"/>
  <c r="I371" i="82" s="1"/>
  <c r="D203" i="83"/>
  <c r="K201" i="83"/>
  <c r="N201" i="83"/>
  <c r="N202" i="83" s="1"/>
  <c r="H203" i="83"/>
  <c r="C8" i="92"/>
  <c r="D62" i="76"/>
  <c r="J8" i="92"/>
  <c r="K62" i="76"/>
  <c r="K83" i="76" s="1"/>
  <c r="C7" i="53"/>
  <c r="D8" i="92"/>
  <c r="E62" i="76"/>
  <c r="E83" i="76" s="1"/>
  <c r="D7" i="53"/>
  <c r="B8" i="92"/>
  <c r="C62" i="76"/>
  <c r="C83" i="76" s="1"/>
  <c r="F8" i="92"/>
  <c r="G62" i="76"/>
  <c r="J7" i="53"/>
  <c r="M8" i="92"/>
  <c r="N62" i="76"/>
  <c r="N83" i="76" s="1"/>
  <c r="G8" i="92"/>
  <c r="H62" i="76"/>
  <c r="H83" i="76" s="1"/>
  <c r="K8" i="92"/>
  <c r="L62" i="76"/>
  <c r="L83" i="76" s="1"/>
  <c r="E8" i="92"/>
  <c r="F62" i="76"/>
  <c r="F83" i="76" s="1"/>
  <c r="H8" i="92"/>
  <c r="I62" i="76"/>
  <c r="I83" i="76" s="1"/>
  <c r="I8" i="92"/>
  <c r="J62" i="76"/>
  <c r="J83" i="76" s="1"/>
  <c r="N188" i="90"/>
  <c r="N190" i="90" s="1"/>
  <c r="L183" i="90"/>
  <c r="L196" i="90" s="1"/>
  <c r="L209" i="90" s="1"/>
  <c r="H185" i="90"/>
  <c r="H198" i="90" s="1"/>
  <c r="H211" i="90" s="1"/>
  <c r="E184" i="90"/>
  <c r="E197" i="90" s="1"/>
  <c r="E210" i="90" s="1"/>
  <c r="K185" i="90"/>
  <c r="K198" i="90" s="1"/>
  <c r="K211" i="90" s="1"/>
  <c r="K184" i="90"/>
  <c r="K197" i="90" s="1"/>
  <c r="K210" i="90" s="1"/>
  <c r="K167" i="90"/>
  <c r="I183" i="90"/>
  <c r="I196" i="90" s="1"/>
  <c r="I209" i="90" s="1"/>
  <c r="C184" i="90"/>
  <c r="C197" i="90" s="1"/>
  <c r="C210" i="90" s="1"/>
  <c r="J184" i="90"/>
  <c r="J197" i="90" s="1"/>
  <c r="J210" i="90" s="1"/>
  <c r="F185" i="90"/>
  <c r="F198" i="90" s="1"/>
  <c r="F211" i="90" s="1"/>
  <c r="F202" i="90"/>
  <c r="L162" i="90"/>
  <c r="L163" i="90" s="1"/>
  <c r="M123" i="90"/>
  <c r="M125" i="90" s="1"/>
  <c r="J183" i="90"/>
  <c r="J196" i="90" s="1"/>
  <c r="J209" i="90" s="1"/>
  <c r="F184" i="90"/>
  <c r="F197" i="90" s="1"/>
  <c r="F210" i="90" s="1"/>
  <c r="I185" i="90"/>
  <c r="I198" i="90" s="1"/>
  <c r="I211" i="90" s="1"/>
  <c r="E189" i="90"/>
  <c r="E193" i="90"/>
  <c r="N201" i="90"/>
  <c r="N206" i="90" s="1"/>
  <c r="D191" i="90"/>
  <c r="F126" i="90"/>
  <c r="C183" i="90"/>
  <c r="C196" i="90" s="1"/>
  <c r="C209" i="90" s="1"/>
  <c r="G183" i="90"/>
  <c r="G196" i="90" s="1"/>
  <c r="G209" i="90" s="1"/>
  <c r="K183" i="90"/>
  <c r="K196" i="90" s="1"/>
  <c r="K209" i="90" s="1"/>
  <c r="N183" i="90"/>
  <c r="N196" i="90" s="1"/>
  <c r="N209" i="90" s="1"/>
  <c r="D184" i="90"/>
  <c r="D197" i="90" s="1"/>
  <c r="D210" i="90" s="1"/>
  <c r="D185" i="90"/>
  <c r="D198" i="90" s="1"/>
  <c r="D211" i="90" s="1"/>
  <c r="G185" i="90"/>
  <c r="G198" i="90" s="1"/>
  <c r="G211" i="90" s="1"/>
  <c r="J185" i="90"/>
  <c r="J198" i="90" s="1"/>
  <c r="J211" i="90" s="1"/>
  <c r="E183" i="90"/>
  <c r="E196" i="90" s="1"/>
  <c r="E209" i="90" s="1"/>
  <c r="N184" i="90"/>
  <c r="N197" i="90" s="1"/>
  <c r="N210" i="90" s="1"/>
  <c r="N185" i="90"/>
  <c r="N198" i="90" s="1"/>
  <c r="N211" i="90" s="1"/>
  <c r="F183" i="90"/>
  <c r="F196" i="90" s="1"/>
  <c r="F209" i="90" s="1"/>
  <c r="M183" i="90"/>
  <c r="M196" i="90" s="1"/>
  <c r="M209" i="90" s="1"/>
  <c r="L184" i="90"/>
  <c r="L197" i="90" s="1"/>
  <c r="L210" i="90" s="1"/>
  <c r="L185" i="90"/>
  <c r="L198" i="90" s="1"/>
  <c r="L211" i="90" s="1"/>
  <c r="N150" i="90"/>
  <c r="K136" i="90"/>
  <c r="D183" i="90"/>
  <c r="D196" i="90" s="1"/>
  <c r="D209" i="90" s="1"/>
  <c r="H183" i="90"/>
  <c r="H196" i="90" s="1"/>
  <c r="H209" i="90" s="1"/>
  <c r="G184" i="90"/>
  <c r="G197" i="90" s="1"/>
  <c r="G210" i="90" s="1"/>
  <c r="M184" i="90"/>
  <c r="M197" i="90" s="1"/>
  <c r="M210" i="90" s="1"/>
  <c r="E185" i="90"/>
  <c r="E198" i="90" s="1"/>
  <c r="E211" i="90" s="1"/>
  <c r="G139" i="90"/>
  <c r="L188" i="90"/>
  <c r="L190" i="90" s="1"/>
  <c r="H217" i="90"/>
  <c r="H110" i="90"/>
  <c r="K201" i="89"/>
  <c r="K202" i="89" s="1"/>
  <c r="G204" i="89"/>
  <c r="F110" i="89"/>
  <c r="F115" i="89" s="1"/>
  <c r="I113" i="89"/>
  <c r="C113" i="89"/>
  <c r="G136" i="81"/>
  <c r="C139" i="81"/>
  <c r="K214" i="89"/>
  <c r="K215" i="89" s="1"/>
  <c r="H188" i="89"/>
  <c r="L188" i="89"/>
  <c r="L190" i="89" s="1"/>
  <c r="I188" i="89"/>
  <c r="L136" i="89"/>
  <c r="L141" i="89" s="1"/>
  <c r="L125" i="83"/>
  <c r="G123" i="83"/>
  <c r="G15" i="92"/>
  <c r="H62" i="83"/>
  <c r="H83" i="83" s="1"/>
  <c r="N112" i="83"/>
  <c r="N111" i="83"/>
  <c r="H15" i="92"/>
  <c r="I62" i="83"/>
  <c r="I83" i="83" s="1"/>
  <c r="L15" i="92"/>
  <c r="M62" i="83"/>
  <c r="M83" i="83" s="1"/>
  <c r="D112" i="83"/>
  <c r="K111" i="83"/>
  <c r="G112" i="83"/>
  <c r="E15" i="92"/>
  <c r="F62" i="83"/>
  <c r="F83" i="83" s="1"/>
  <c r="M15" i="92"/>
  <c r="N62" i="83"/>
  <c r="N83" i="83" s="1"/>
  <c r="K112" i="83"/>
  <c r="D111" i="83"/>
  <c r="B15" i="92"/>
  <c r="C62" i="83"/>
  <c r="C83" i="83" s="1"/>
  <c r="B12" i="53"/>
  <c r="J331" i="82"/>
  <c r="J333" i="82" s="1"/>
  <c r="M139" i="90"/>
  <c r="I123" i="82"/>
  <c r="E123" i="82"/>
  <c r="M214" i="81"/>
  <c r="M215" i="81" s="1"/>
  <c r="I214" i="81"/>
  <c r="D217" i="81"/>
  <c r="G202" i="89"/>
  <c r="G203" i="89"/>
  <c r="E149" i="89"/>
  <c r="E154" i="89" s="1"/>
  <c r="K149" i="89"/>
  <c r="K154" i="89" s="1"/>
  <c r="N123" i="89"/>
  <c r="N125" i="89" s="1"/>
  <c r="J123" i="89"/>
  <c r="J124" i="89" s="1"/>
  <c r="F123" i="89"/>
  <c r="F128" i="89" s="1"/>
  <c r="D123" i="89"/>
  <c r="L123" i="89"/>
  <c r="M126" i="89"/>
  <c r="H123" i="89"/>
  <c r="H128" i="89" s="1"/>
  <c r="K126" i="89"/>
  <c r="D136" i="89"/>
  <c r="D138" i="89" s="1"/>
  <c r="J136" i="89"/>
  <c r="J138" i="89" s="1"/>
  <c r="G188" i="90"/>
  <c r="J10" i="53"/>
  <c r="F214" i="90"/>
  <c r="F216" i="90" s="1"/>
  <c r="F204" i="90"/>
  <c r="C191" i="90"/>
  <c r="C204" i="80"/>
  <c r="C201" i="80"/>
  <c r="C206" i="80" s="1"/>
  <c r="K204" i="80"/>
  <c r="K201" i="80"/>
  <c r="K206" i="80" s="1"/>
  <c r="D204" i="80"/>
  <c r="D201" i="80"/>
  <c r="D206" i="80" s="1"/>
  <c r="H204" i="80"/>
  <c r="H201" i="80"/>
  <c r="H206" i="80" s="1"/>
  <c r="L204" i="80"/>
  <c r="L201" i="80"/>
  <c r="E204" i="80"/>
  <c r="E201" i="80"/>
  <c r="E206" i="80" s="1"/>
  <c r="M204" i="80"/>
  <c r="M201" i="80"/>
  <c r="M206" i="80" s="1"/>
  <c r="J204" i="80"/>
  <c r="J201" i="80"/>
  <c r="J206" i="80" s="1"/>
  <c r="E175" i="89"/>
  <c r="G175" i="89"/>
  <c r="G180" i="89" s="1"/>
  <c r="C216" i="89"/>
  <c r="C215" i="89"/>
  <c r="L201" i="89"/>
  <c r="C188" i="89"/>
  <c r="C193" i="89" s="1"/>
  <c r="M191" i="89"/>
  <c r="C217" i="89"/>
  <c r="F214" i="89"/>
  <c r="D175" i="89"/>
  <c r="D180" i="89" s="1"/>
  <c r="J201" i="90"/>
  <c r="J206" i="90" s="1"/>
  <c r="D201" i="90"/>
  <c r="D206" i="90" s="1"/>
  <c r="N214" i="90"/>
  <c r="N216" i="90" s="1"/>
  <c r="K214" i="90"/>
  <c r="K215" i="90" s="1"/>
  <c r="E190" i="90"/>
  <c r="K188" i="90"/>
  <c r="K193" i="90" s="1"/>
  <c r="F188" i="90"/>
  <c r="E191" i="90"/>
  <c r="E165" i="90"/>
  <c r="E164" i="90"/>
  <c r="G149" i="89"/>
  <c r="J149" i="89"/>
  <c r="N152" i="89"/>
  <c r="F152" i="89"/>
  <c r="L217" i="81"/>
  <c r="K217" i="81"/>
  <c r="H217" i="81"/>
  <c r="E175" i="81"/>
  <c r="B46" i="83"/>
  <c r="B95" i="83" s="1"/>
  <c r="B82" i="46" s="1"/>
  <c r="D82" i="46" s="1"/>
  <c r="L204" i="78"/>
  <c r="H162" i="78"/>
  <c r="D178" i="78"/>
  <c r="K178" i="78"/>
  <c r="F123" i="78"/>
  <c r="F125" i="78" s="1"/>
  <c r="D123" i="78"/>
  <c r="F162" i="79"/>
  <c r="F167" i="79" s="1"/>
  <c r="K126" i="78"/>
  <c r="B16" i="53"/>
  <c r="C62" i="78"/>
  <c r="C83" i="78" s="1"/>
  <c r="I7" i="92"/>
  <c r="J62" i="74"/>
  <c r="J83" i="74" s="1"/>
  <c r="E7" i="92"/>
  <c r="F62" i="74"/>
  <c r="F83" i="74" s="1"/>
  <c r="D7" i="92"/>
  <c r="E62" i="74"/>
  <c r="E83" i="74" s="1"/>
  <c r="K7" i="92"/>
  <c r="L62" i="74"/>
  <c r="L83" i="74" s="1"/>
  <c r="M7" i="92"/>
  <c r="N62" i="74"/>
  <c r="N83" i="74" s="1"/>
  <c r="C7" i="92"/>
  <c r="D62" i="74"/>
  <c r="D83" i="74" s="1"/>
  <c r="E11" i="92"/>
  <c r="F62" i="79"/>
  <c r="F83" i="79" s="1"/>
  <c r="J11" i="92"/>
  <c r="K62" i="79"/>
  <c r="K83" i="79" s="1"/>
  <c r="D11" i="92"/>
  <c r="E62" i="79"/>
  <c r="E83" i="79" s="1"/>
  <c r="M11" i="92"/>
  <c r="N62" i="79"/>
  <c r="N83" i="79" s="1"/>
  <c r="I11" i="92"/>
  <c r="J62" i="79"/>
  <c r="J83" i="79" s="1"/>
  <c r="B11" i="92"/>
  <c r="C62" i="79"/>
  <c r="C83" i="79" s="1"/>
  <c r="G11" i="92"/>
  <c r="H62" i="79"/>
  <c r="H83" i="79" s="1"/>
  <c r="L449" i="82"/>
  <c r="M434" i="82"/>
  <c r="D424" i="82"/>
  <c r="L450" i="82"/>
  <c r="N463" i="82"/>
  <c r="N421" i="82"/>
  <c r="N423" i="82" s="1"/>
  <c r="I424" i="82"/>
  <c r="L424" i="82"/>
  <c r="G204" i="80"/>
  <c r="G214" i="1"/>
  <c r="K201" i="1"/>
  <c r="K203" i="1" s="1"/>
  <c r="I204" i="1"/>
  <c r="C203" i="1"/>
  <c r="M217" i="1"/>
  <c r="J217" i="1"/>
  <c r="E217" i="1"/>
  <c r="I196" i="1"/>
  <c r="I209" i="1" s="1"/>
  <c r="I183" i="1"/>
  <c r="D196" i="1"/>
  <c r="D209" i="1" s="1"/>
  <c r="D183" i="1"/>
  <c r="H198" i="1"/>
  <c r="H211" i="1" s="1"/>
  <c r="H185" i="1"/>
  <c r="M163" i="1"/>
  <c r="M164" i="1"/>
  <c r="I203" i="1"/>
  <c r="I202" i="1"/>
  <c r="E216" i="1"/>
  <c r="E215" i="1"/>
  <c r="F198" i="1"/>
  <c r="F211" i="1" s="1"/>
  <c r="F185" i="1"/>
  <c r="M196" i="1"/>
  <c r="M209" i="1" s="1"/>
  <c r="M183" i="1"/>
  <c r="F196" i="1"/>
  <c r="F209" i="1" s="1"/>
  <c r="F183" i="1"/>
  <c r="N196" i="1"/>
  <c r="N209" i="1" s="1"/>
  <c r="N183" i="1"/>
  <c r="N198" i="1"/>
  <c r="N211" i="1" s="1"/>
  <c r="N185" i="1"/>
  <c r="G196" i="1"/>
  <c r="G209" i="1" s="1"/>
  <c r="G183" i="1"/>
  <c r="I151" i="1"/>
  <c r="I150" i="1"/>
  <c r="M215" i="1"/>
  <c r="M216" i="1"/>
  <c r="J196" i="1"/>
  <c r="J209" i="1" s="1"/>
  <c r="J183" i="1"/>
  <c r="H189" i="1"/>
  <c r="H190" i="1"/>
  <c r="M176" i="1"/>
  <c r="M165" i="1"/>
  <c r="E165" i="1"/>
  <c r="K126" i="1"/>
  <c r="I113" i="1"/>
  <c r="K196" i="1"/>
  <c r="K209" i="1" s="1"/>
  <c r="K183" i="1"/>
  <c r="M190" i="1"/>
  <c r="M193" i="1"/>
  <c r="M189" i="1"/>
  <c r="D189" i="1"/>
  <c r="D190" i="1"/>
  <c r="J190" i="1"/>
  <c r="J189" i="1"/>
  <c r="N193" i="1"/>
  <c r="N190" i="1"/>
  <c r="N189" i="1"/>
  <c r="M149" i="1"/>
  <c r="E149" i="1"/>
  <c r="E151" i="1" s="1"/>
  <c r="I214" i="1"/>
  <c r="I219" i="1" s="1"/>
  <c r="M201" i="1"/>
  <c r="E201" i="1"/>
  <c r="E202" i="1" s="1"/>
  <c r="C196" i="1"/>
  <c r="C209" i="1" s="1"/>
  <c r="C183" i="1"/>
  <c r="L196" i="1"/>
  <c r="L209" i="1" s="1"/>
  <c r="L183" i="1"/>
  <c r="G110" i="1"/>
  <c r="G111" i="1" s="1"/>
  <c r="C190" i="1"/>
  <c r="C189" i="1"/>
  <c r="E189" i="1"/>
  <c r="E190" i="1"/>
  <c r="G190" i="1"/>
  <c r="G189" i="1"/>
  <c r="E196" i="1"/>
  <c r="E209" i="1" s="1"/>
  <c r="E183" i="1"/>
  <c r="L189" i="1"/>
  <c r="L193" i="1"/>
  <c r="L190" i="1"/>
  <c r="H196" i="1"/>
  <c r="H209" i="1" s="1"/>
  <c r="H183" i="1"/>
  <c r="I189" i="1"/>
  <c r="I190" i="1"/>
  <c r="K189" i="1"/>
  <c r="K193" i="1"/>
  <c r="K190" i="1"/>
  <c r="F190" i="1"/>
  <c r="F189" i="1"/>
  <c r="B83" i="1"/>
  <c r="B97" i="1" s="1"/>
  <c r="K139" i="80"/>
  <c r="D281" i="82"/>
  <c r="N266" i="82"/>
  <c r="N268" i="82" s="1"/>
  <c r="C266" i="82"/>
  <c r="C268" i="82" s="1"/>
  <c r="F331" i="82"/>
  <c r="G331" i="82"/>
  <c r="G336" i="82" s="1"/>
  <c r="F10" i="53"/>
  <c r="E62" i="90"/>
  <c r="E83" i="90" s="1"/>
  <c r="I149" i="90"/>
  <c r="E149" i="90"/>
  <c r="L150" i="90"/>
  <c r="K292" i="82"/>
  <c r="K297" i="82" s="1"/>
  <c r="M191" i="80"/>
  <c r="M189" i="80"/>
  <c r="I162" i="80"/>
  <c r="I167" i="80" s="1"/>
  <c r="L162" i="80"/>
  <c r="L163" i="80" s="1"/>
  <c r="D162" i="80"/>
  <c r="D167" i="80" s="1"/>
  <c r="K165" i="80"/>
  <c r="I178" i="80"/>
  <c r="L175" i="80"/>
  <c r="L176" i="80" s="1"/>
  <c r="D175" i="80"/>
  <c r="D176" i="80" s="1"/>
  <c r="I176" i="80"/>
  <c r="N178" i="80"/>
  <c r="G162" i="80"/>
  <c r="C151" i="80"/>
  <c r="C150" i="80"/>
  <c r="E139" i="80"/>
  <c r="E202" i="77"/>
  <c r="E204" i="77" s="1"/>
  <c r="M163" i="77"/>
  <c r="D114" i="77"/>
  <c r="B9" i="92"/>
  <c r="C62" i="77"/>
  <c r="J9" i="92"/>
  <c r="K62" i="77"/>
  <c r="E9" i="92"/>
  <c r="F62" i="77"/>
  <c r="I9" i="92"/>
  <c r="M9" i="92"/>
  <c r="N62" i="77"/>
  <c r="C9" i="92"/>
  <c r="D62" i="77"/>
  <c r="K9" i="92"/>
  <c r="L62" i="77"/>
  <c r="K153" i="77"/>
  <c r="J189" i="77"/>
  <c r="L9" i="92"/>
  <c r="M62" i="77"/>
  <c r="G9" i="92"/>
  <c r="H9" i="92"/>
  <c r="F9" i="92"/>
  <c r="G62" i="77"/>
  <c r="J136" i="75"/>
  <c r="J137" i="75" s="1"/>
  <c r="F189" i="75"/>
  <c r="F194" i="75" s="1"/>
  <c r="I115" i="1"/>
  <c r="I112" i="1"/>
  <c r="I111" i="1"/>
  <c r="K128" i="1"/>
  <c r="K124" i="1"/>
  <c r="K123" i="74"/>
  <c r="K125" i="74" s="1"/>
  <c r="K132" i="74"/>
  <c r="K136" i="74" s="1"/>
  <c r="K141" i="74" s="1"/>
  <c r="C123" i="82"/>
  <c r="C125" i="82" s="1"/>
  <c r="C126" i="82"/>
  <c r="J152" i="82"/>
  <c r="J149" i="82"/>
  <c r="N178" i="82"/>
  <c r="N175" i="82"/>
  <c r="F204" i="82"/>
  <c r="F201" i="82"/>
  <c r="J217" i="81"/>
  <c r="J214" i="81"/>
  <c r="N217" i="81"/>
  <c r="N214" i="81"/>
  <c r="N216" i="81" s="1"/>
  <c r="J12" i="53"/>
  <c r="J15" i="92"/>
  <c r="N169" i="91"/>
  <c r="N168" i="91"/>
  <c r="G110" i="89"/>
  <c r="G115" i="89" s="1"/>
  <c r="G113" i="89"/>
  <c r="M305" i="82"/>
  <c r="M310" i="82" s="1"/>
  <c r="M308" i="82"/>
  <c r="J177" i="75"/>
  <c r="J181" i="75" s="1"/>
  <c r="J163" i="1"/>
  <c r="J168" i="1" s="1"/>
  <c r="N150" i="1"/>
  <c r="N155" i="1" s="1"/>
  <c r="E125" i="74"/>
  <c r="E129" i="74" s="1"/>
  <c r="C138" i="1"/>
  <c r="L155" i="75"/>
  <c r="N123" i="74"/>
  <c r="N124" i="74" s="1"/>
  <c r="H165" i="1"/>
  <c r="H214" i="1"/>
  <c r="H219" i="1" s="1"/>
  <c r="H110" i="79"/>
  <c r="H112" i="79" s="1"/>
  <c r="E150" i="80"/>
  <c r="G151" i="80"/>
  <c r="N201" i="82"/>
  <c r="N162" i="82"/>
  <c r="N163" i="82" s="1"/>
  <c r="N141" i="79"/>
  <c r="E188" i="81"/>
  <c r="M136" i="81"/>
  <c r="E165" i="75"/>
  <c r="E162" i="75"/>
  <c r="E164" i="75" s="1"/>
  <c r="M165" i="75"/>
  <c r="M162" i="75"/>
  <c r="M163" i="75" s="1"/>
  <c r="I178" i="75"/>
  <c r="I175" i="75"/>
  <c r="I176" i="75" s="1"/>
  <c r="M191" i="75"/>
  <c r="M188" i="75"/>
  <c r="M190" i="75" s="1"/>
  <c r="I204" i="75"/>
  <c r="I201" i="75"/>
  <c r="C124" i="77"/>
  <c r="C126" i="77" s="1"/>
  <c r="G124" i="77"/>
  <c r="F179" i="77"/>
  <c r="F176" i="77"/>
  <c r="F177" i="77" s="1"/>
  <c r="N179" i="77"/>
  <c r="N176" i="77"/>
  <c r="N178" i="77" s="1"/>
  <c r="F205" i="77"/>
  <c r="F202" i="77"/>
  <c r="F204" i="77" s="1"/>
  <c r="N205" i="77"/>
  <c r="N202" i="77"/>
  <c r="G163" i="77"/>
  <c r="G166" i="77"/>
  <c r="D113" i="78"/>
  <c r="D110" i="78"/>
  <c r="D112" i="78" s="1"/>
  <c r="K123" i="79"/>
  <c r="K125" i="79" s="1"/>
  <c r="K126" i="79"/>
  <c r="D136" i="79"/>
  <c r="D141" i="79" s="1"/>
  <c r="D139" i="79"/>
  <c r="L149" i="79"/>
  <c r="L151" i="79" s="1"/>
  <c r="L152" i="79"/>
  <c r="D162" i="79"/>
  <c r="D167" i="79" s="1"/>
  <c r="D165" i="79"/>
  <c r="L165" i="79"/>
  <c r="L162" i="79"/>
  <c r="L167" i="79" s="1"/>
  <c r="F193" i="91"/>
  <c r="F198" i="91" s="1"/>
  <c r="F16" i="92"/>
  <c r="F21" i="53"/>
  <c r="L150" i="80"/>
  <c r="D151" i="80"/>
  <c r="E115" i="1"/>
  <c r="E111" i="1"/>
  <c r="J137" i="79"/>
  <c r="J141" i="79"/>
  <c r="C112" i="75"/>
  <c r="C111" i="75"/>
  <c r="L136" i="1"/>
  <c r="L141" i="1" s="1"/>
  <c r="L139" i="1"/>
  <c r="H152" i="1"/>
  <c r="H149" i="1"/>
  <c r="D162" i="1"/>
  <c r="D163" i="1" s="1"/>
  <c r="D165" i="1"/>
  <c r="L165" i="1"/>
  <c r="L162" i="1"/>
  <c r="L164" i="1" s="1"/>
  <c r="D204" i="1"/>
  <c r="D201" i="1"/>
  <c r="L204" i="1"/>
  <c r="L201" i="1"/>
  <c r="D214" i="1"/>
  <c r="D219" i="1" s="1"/>
  <c r="D217" i="1"/>
  <c r="L110" i="79"/>
  <c r="L112" i="79" s="1"/>
  <c r="L113" i="79"/>
  <c r="E123" i="81"/>
  <c r="E124" i="81" s="1"/>
  <c r="E126" i="81"/>
  <c r="M123" i="81"/>
  <c r="M128" i="81" s="1"/>
  <c r="M126" i="81"/>
  <c r="E139" i="81"/>
  <c r="E136" i="81"/>
  <c r="E141" i="81" s="1"/>
  <c r="E162" i="81"/>
  <c r="E165" i="81"/>
  <c r="M162" i="81"/>
  <c r="M165" i="81"/>
  <c r="M178" i="81"/>
  <c r="M175" i="81"/>
  <c r="M176" i="81" s="1"/>
  <c r="I191" i="81"/>
  <c r="I188" i="81"/>
  <c r="E204" i="81"/>
  <c r="E201" i="81"/>
  <c r="M204" i="81"/>
  <c r="M201" i="81"/>
  <c r="E157" i="91"/>
  <c r="E154" i="91"/>
  <c r="E159" i="91" s="1"/>
  <c r="L157" i="91"/>
  <c r="L154" i="91"/>
  <c r="L159" i="91" s="1"/>
  <c r="F183" i="91"/>
  <c r="F180" i="91"/>
  <c r="F185" i="91" s="1"/>
  <c r="N196" i="91"/>
  <c r="N193" i="91"/>
  <c r="N198" i="91" s="1"/>
  <c r="J209" i="91"/>
  <c r="J206" i="91"/>
  <c r="J211" i="91" s="1"/>
  <c r="F222" i="91"/>
  <c r="F219" i="91"/>
  <c r="F224" i="91" s="1"/>
  <c r="N222" i="91"/>
  <c r="N219" i="91"/>
  <c r="N224" i="91" s="1"/>
  <c r="J235" i="91"/>
  <c r="J232" i="91"/>
  <c r="J237" i="91" s="1"/>
  <c r="F248" i="91"/>
  <c r="F245" i="91"/>
  <c r="F250" i="91" s="1"/>
  <c r="N248" i="91"/>
  <c r="N245" i="91"/>
  <c r="N250" i="91" s="1"/>
  <c r="G124" i="74"/>
  <c r="G129" i="74" s="1"/>
  <c r="J150" i="80"/>
  <c r="M110" i="1"/>
  <c r="M113" i="1"/>
  <c r="G123" i="1"/>
  <c r="G126" i="1"/>
  <c r="G123" i="82"/>
  <c r="G125" i="82" s="1"/>
  <c r="G126" i="82"/>
  <c r="F139" i="82"/>
  <c r="F136" i="82"/>
  <c r="F165" i="82"/>
  <c r="F162" i="82"/>
  <c r="J178" i="82"/>
  <c r="J175" i="82"/>
  <c r="F191" i="82"/>
  <c r="F188" i="82"/>
  <c r="F193" i="82" s="1"/>
  <c r="N191" i="82"/>
  <c r="N188" i="82"/>
  <c r="N193" i="82" s="1"/>
  <c r="F15" i="92"/>
  <c r="F12" i="53"/>
  <c r="F167" i="91"/>
  <c r="F168" i="91" s="1"/>
  <c r="M165" i="90"/>
  <c r="M162" i="90"/>
  <c r="M167" i="90" s="1"/>
  <c r="M190" i="81"/>
  <c r="M194" i="81" s="1"/>
  <c r="H202" i="1"/>
  <c r="E163" i="1"/>
  <c r="L145" i="74"/>
  <c r="L137" i="74"/>
  <c r="N145" i="74"/>
  <c r="G132" i="74"/>
  <c r="G136" i="74" s="1"/>
  <c r="G141" i="74" s="1"/>
  <c r="L178" i="1"/>
  <c r="L217" i="1"/>
  <c r="F175" i="82"/>
  <c r="I165" i="81"/>
  <c r="F214" i="81"/>
  <c r="H163" i="81"/>
  <c r="D137" i="81"/>
  <c r="G7" i="92"/>
  <c r="G14" i="53"/>
  <c r="H123" i="75"/>
  <c r="H128" i="75" s="1"/>
  <c r="H126" i="75"/>
  <c r="L126" i="75"/>
  <c r="D139" i="75"/>
  <c r="D136" i="75"/>
  <c r="D141" i="75" s="1"/>
  <c r="H139" i="75"/>
  <c r="H136" i="75"/>
  <c r="H137" i="75" s="1"/>
  <c r="H165" i="75"/>
  <c r="H162" i="75"/>
  <c r="H164" i="75" s="1"/>
  <c r="L178" i="75"/>
  <c r="L175" i="75"/>
  <c r="D204" i="75"/>
  <c r="D201" i="75"/>
  <c r="D203" i="75" s="1"/>
  <c r="N139" i="78"/>
  <c r="N136" i="78"/>
  <c r="F150" i="78"/>
  <c r="F151" i="78"/>
  <c r="F165" i="78"/>
  <c r="F162" i="78"/>
  <c r="F167" i="78" s="1"/>
  <c r="J178" i="78"/>
  <c r="J175" i="78"/>
  <c r="J176" i="78" s="1"/>
  <c r="N191" i="78"/>
  <c r="N188" i="78"/>
  <c r="E138" i="88"/>
  <c r="E195" i="91"/>
  <c r="E194" i="91"/>
  <c r="F201" i="88"/>
  <c r="F203" i="88" s="1"/>
  <c r="F204" i="88"/>
  <c r="M204" i="88"/>
  <c r="M201" i="88"/>
  <c r="M203" i="88" s="1"/>
  <c r="E217" i="88"/>
  <c r="E214" i="88"/>
  <c r="G123" i="89"/>
  <c r="G128" i="89" s="1"/>
  <c r="G126" i="89"/>
  <c r="D149" i="89"/>
  <c r="D154" i="89" s="1"/>
  <c r="D152" i="89"/>
  <c r="L152" i="89"/>
  <c r="L149" i="89"/>
  <c r="L154" i="89" s="1"/>
  <c r="K178" i="89"/>
  <c r="K175" i="89"/>
  <c r="K180" i="89" s="1"/>
  <c r="G123" i="90"/>
  <c r="G125" i="90" s="1"/>
  <c r="G126" i="90"/>
  <c r="N125" i="90"/>
  <c r="N128" i="90"/>
  <c r="C152" i="90"/>
  <c r="C149" i="90"/>
  <c r="M155" i="81"/>
  <c r="E151" i="82"/>
  <c r="L163" i="82"/>
  <c r="H110" i="75"/>
  <c r="H115" i="75" s="1"/>
  <c r="G110" i="81"/>
  <c r="G115" i="81" s="1"/>
  <c r="I145" i="74"/>
  <c r="D9" i="92"/>
  <c r="B99" i="46"/>
  <c r="D99" i="46" s="1"/>
  <c r="M141" i="80"/>
  <c r="I150" i="80"/>
  <c r="E188" i="80"/>
  <c r="E191" i="80"/>
  <c r="I191" i="80"/>
  <c r="I188" i="80"/>
  <c r="I203" i="80"/>
  <c r="D12" i="53"/>
  <c r="D15" i="92"/>
  <c r="C126" i="83"/>
  <c r="C123" i="83"/>
  <c r="F11" i="92"/>
  <c r="F8" i="53"/>
  <c r="I216" i="89"/>
  <c r="G138" i="90"/>
  <c r="G137" i="90"/>
  <c r="N139" i="88"/>
  <c r="F126" i="88"/>
  <c r="L126" i="88"/>
  <c r="C139" i="88"/>
  <c r="C136" i="88"/>
  <c r="C141" i="88" s="1"/>
  <c r="I123" i="89"/>
  <c r="I126" i="89"/>
  <c r="H152" i="89"/>
  <c r="H149" i="89"/>
  <c r="H154" i="89" s="1"/>
  <c r="I201" i="89"/>
  <c r="I206" i="89" s="1"/>
  <c r="I204" i="89"/>
  <c r="G217" i="89"/>
  <c r="G214" i="89"/>
  <c r="G216" i="89" s="1"/>
  <c r="H204" i="90"/>
  <c r="H201" i="90"/>
  <c r="H206" i="90" s="1"/>
  <c r="K204" i="90"/>
  <c r="K201" i="90"/>
  <c r="K206" i="90" s="1"/>
  <c r="E217" i="90"/>
  <c r="E214" i="90"/>
  <c r="E215" i="90" s="1"/>
  <c r="K19" i="92"/>
  <c r="C144" i="91"/>
  <c r="C141" i="91"/>
  <c r="C146" i="91" s="1"/>
  <c r="L460" i="82"/>
  <c r="L462" i="82" s="1"/>
  <c r="L463" i="82"/>
  <c r="C152" i="1"/>
  <c r="C149" i="1"/>
  <c r="K152" i="1"/>
  <c r="K149" i="1"/>
  <c r="G175" i="1"/>
  <c r="G178" i="1"/>
  <c r="G204" i="1"/>
  <c r="G201" i="1"/>
  <c r="C217" i="1"/>
  <c r="C214" i="1"/>
  <c r="C219" i="1" s="1"/>
  <c r="K217" i="1"/>
  <c r="K214" i="1"/>
  <c r="K219" i="1" s="1"/>
  <c r="L8" i="92"/>
  <c r="L7" i="53"/>
  <c r="N124" i="77"/>
  <c r="N129" i="77" s="1"/>
  <c r="E179" i="77"/>
  <c r="E176" i="77"/>
  <c r="M205" i="77"/>
  <c r="M202" i="77"/>
  <c r="J111" i="77"/>
  <c r="J116" i="77" s="1"/>
  <c r="J114" i="77"/>
  <c r="N111" i="77"/>
  <c r="N114" i="77"/>
  <c r="J150" i="77"/>
  <c r="J152" i="77" s="1"/>
  <c r="J153" i="77"/>
  <c r="F163" i="77"/>
  <c r="F166" i="77"/>
  <c r="E126" i="78"/>
  <c r="E123" i="78"/>
  <c r="E152" i="78"/>
  <c r="E149" i="78"/>
  <c r="E154" i="78" s="1"/>
  <c r="M152" i="78"/>
  <c r="M149" i="78"/>
  <c r="M154" i="78" s="1"/>
  <c r="M178" i="78"/>
  <c r="M175" i="78"/>
  <c r="M177" i="78" s="1"/>
  <c r="I191" i="78"/>
  <c r="I188" i="78"/>
  <c r="I189" i="78" s="1"/>
  <c r="G113" i="79"/>
  <c r="G110" i="79"/>
  <c r="G112" i="79" s="1"/>
  <c r="K113" i="79"/>
  <c r="K110" i="79"/>
  <c r="J126" i="79"/>
  <c r="J123" i="79"/>
  <c r="J125" i="79" s="1"/>
  <c r="N126" i="79"/>
  <c r="N123" i="79"/>
  <c r="K136" i="79"/>
  <c r="K141" i="79" s="1"/>
  <c r="K139" i="79"/>
  <c r="K152" i="79"/>
  <c r="K149" i="79"/>
  <c r="K150" i="79" s="1"/>
  <c r="C162" i="79"/>
  <c r="C167" i="79" s="1"/>
  <c r="C165" i="79"/>
  <c r="K165" i="79"/>
  <c r="K162" i="79"/>
  <c r="F175" i="80"/>
  <c r="F180" i="80" s="1"/>
  <c r="F178" i="80"/>
  <c r="J178" i="80"/>
  <c r="J175" i="80"/>
  <c r="J180" i="80" s="1"/>
  <c r="N188" i="80"/>
  <c r="N191" i="80"/>
  <c r="F202" i="80"/>
  <c r="F204" i="80"/>
  <c r="N203" i="80"/>
  <c r="N204" i="80"/>
  <c r="C202" i="83"/>
  <c r="C203" i="83"/>
  <c r="G204" i="83"/>
  <c r="G201" i="83"/>
  <c r="G206" i="83" s="1"/>
  <c r="F112" i="83"/>
  <c r="F111" i="83"/>
  <c r="H216" i="90"/>
  <c r="H215" i="90"/>
  <c r="J194" i="91"/>
  <c r="J195" i="91"/>
  <c r="I195" i="91"/>
  <c r="I194" i="91"/>
  <c r="L182" i="91"/>
  <c r="L181" i="91"/>
  <c r="L16" i="92"/>
  <c r="L21" i="53"/>
  <c r="E191" i="88"/>
  <c r="E188" i="88"/>
  <c r="E190" i="88" s="1"/>
  <c r="L201" i="88"/>
  <c r="L202" i="88" s="1"/>
  <c r="L204" i="88"/>
  <c r="H217" i="88"/>
  <c r="H214" i="88"/>
  <c r="H215" i="88" s="1"/>
  <c r="F150" i="89"/>
  <c r="E191" i="89"/>
  <c r="E188" i="89"/>
  <c r="E193" i="89" s="1"/>
  <c r="C204" i="89"/>
  <c r="C201" i="89"/>
  <c r="G165" i="90"/>
  <c r="G162" i="90"/>
  <c r="J165" i="90"/>
  <c r="J162" i="90"/>
  <c r="M191" i="90"/>
  <c r="M188" i="90"/>
  <c r="C204" i="90"/>
  <c r="C201" i="90"/>
  <c r="C206" i="90" s="1"/>
  <c r="I167" i="91"/>
  <c r="I172" i="91" s="1"/>
  <c r="I170" i="91"/>
  <c r="E180" i="91"/>
  <c r="E185" i="91" s="1"/>
  <c r="E183" i="91"/>
  <c r="H183" i="91"/>
  <c r="H180" i="91"/>
  <c r="H181" i="91" s="1"/>
  <c r="H196" i="91"/>
  <c r="H193" i="91"/>
  <c r="H198" i="91" s="1"/>
  <c r="D209" i="91"/>
  <c r="D206" i="91"/>
  <c r="D211" i="91" s="1"/>
  <c r="L206" i="91"/>
  <c r="L211" i="91" s="1"/>
  <c r="L209" i="91"/>
  <c r="H219" i="91"/>
  <c r="H222" i="91"/>
  <c r="D235" i="91"/>
  <c r="D232" i="91"/>
  <c r="D237" i="91" s="1"/>
  <c r="H248" i="91"/>
  <c r="H245" i="91"/>
  <c r="F319" i="82"/>
  <c r="D307" i="82"/>
  <c r="D310" i="82"/>
  <c r="M360" i="82"/>
  <c r="M357" i="82"/>
  <c r="K450" i="82"/>
  <c r="K447" i="82"/>
  <c r="K449" i="82" s="1"/>
  <c r="L140" i="89"/>
  <c r="H140" i="89"/>
  <c r="D140" i="89"/>
  <c r="K140" i="89"/>
  <c r="G140" i="89"/>
  <c r="C140" i="89"/>
  <c r="N140" i="89"/>
  <c r="J140" i="89"/>
  <c r="F140" i="89"/>
  <c r="M140" i="89"/>
  <c r="I140" i="89"/>
  <c r="E140" i="89"/>
  <c r="K110" i="81"/>
  <c r="K115" i="81" s="1"/>
  <c r="K113" i="81"/>
  <c r="F138" i="81"/>
  <c r="N163" i="81"/>
  <c r="J202" i="81"/>
  <c r="C21" i="73"/>
  <c r="C27" i="73" s="1"/>
  <c r="F113" i="82"/>
  <c r="N113" i="82"/>
  <c r="N115" i="82"/>
  <c r="L123" i="82"/>
  <c r="L126" i="82"/>
  <c r="K136" i="82"/>
  <c r="K137" i="82" s="1"/>
  <c r="K139" i="82"/>
  <c r="C152" i="82"/>
  <c r="C149" i="82"/>
  <c r="C162" i="82"/>
  <c r="C165" i="82"/>
  <c r="G165" i="82"/>
  <c r="G162" i="82"/>
  <c r="K165" i="82"/>
  <c r="K162" i="82"/>
  <c r="C175" i="82"/>
  <c r="C178" i="82"/>
  <c r="C188" i="82"/>
  <c r="C191" i="82"/>
  <c r="K191" i="82"/>
  <c r="K188" i="82"/>
  <c r="K189" i="82" s="1"/>
  <c r="C204" i="82"/>
  <c r="C201" i="82"/>
  <c r="C15" i="92"/>
  <c r="C12" i="53"/>
  <c r="K15" i="92"/>
  <c r="K12" i="53"/>
  <c r="L151" i="88"/>
  <c r="L150" i="88"/>
  <c r="I176" i="89"/>
  <c r="G21" i="53"/>
  <c r="G16" i="92"/>
  <c r="N110" i="88"/>
  <c r="N115" i="88" s="1"/>
  <c r="N113" i="88"/>
  <c r="N136" i="89"/>
  <c r="N137" i="89" s="1"/>
  <c r="N139" i="89"/>
  <c r="I165" i="89"/>
  <c r="I162" i="89"/>
  <c r="I163" i="89" s="1"/>
  <c r="F178" i="89"/>
  <c r="F175" i="89"/>
  <c r="F180" i="89" s="1"/>
  <c r="M214" i="89"/>
  <c r="M215" i="89" s="1"/>
  <c r="M217" i="89"/>
  <c r="H125" i="90"/>
  <c r="H128" i="90"/>
  <c r="C137" i="90"/>
  <c r="C138" i="90"/>
  <c r="I139" i="90"/>
  <c r="I136" i="90"/>
  <c r="I141" i="90" s="1"/>
  <c r="D152" i="90"/>
  <c r="D149" i="90"/>
  <c r="J214" i="90"/>
  <c r="J217" i="90"/>
  <c r="M230" i="82"/>
  <c r="M227" i="82"/>
  <c r="M253" i="82"/>
  <c r="M256" i="82"/>
  <c r="F150" i="80"/>
  <c r="M151" i="80"/>
  <c r="F138" i="79"/>
  <c r="F141" i="79"/>
  <c r="N139" i="1"/>
  <c r="G138" i="78"/>
  <c r="G141" i="78"/>
  <c r="E136" i="79"/>
  <c r="E138" i="79" s="1"/>
  <c r="E139" i="79"/>
  <c r="I149" i="79"/>
  <c r="I150" i="79" s="1"/>
  <c r="I152" i="79"/>
  <c r="M162" i="79"/>
  <c r="M167" i="79" s="1"/>
  <c r="M165" i="79"/>
  <c r="C141" i="80"/>
  <c r="C138" i="81"/>
  <c r="K137" i="81"/>
  <c r="K141" i="81"/>
  <c r="G164" i="81"/>
  <c r="D136" i="82"/>
  <c r="D139" i="82"/>
  <c r="L136" i="82"/>
  <c r="L138" i="82" s="1"/>
  <c r="L139" i="82"/>
  <c r="E12" i="53"/>
  <c r="C189" i="90"/>
  <c r="C190" i="90"/>
  <c r="G191" i="89"/>
  <c r="G188" i="89"/>
  <c r="D139" i="90"/>
  <c r="D136" i="90"/>
  <c r="J137" i="90"/>
  <c r="M137" i="90"/>
  <c r="M138" i="90"/>
  <c r="H188" i="90"/>
  <c r="H193" i="90" s="1"/>
  <c r="H191" i="90"/>
  <c r="L217" i="90"/>
  <c r="L214" i="90"/>
  <c r="D196" i="91"/>
  <c r="D193" i="91"/>
  <c r="D198" i="91" s="1"/>
  <c r="H209" i="91"/>
  <c r="H206" i="91"/>
  <c r="H211" i="91" s="1"/>
  <c r="D222" i="91"/>
  <c r="D219" i="91"/>
  <c r="H235" i="91"/>
  <c r="H232" i="91"/>
  <c r="H237" i="91" s="1"/>
  <c r="L248" i="91"/>
  <c r="L245" i="91"/>
  <c r="L250" i="91" s="1"/>
  <c r="G320" i="82"/>
  <c r="J216" i="82"/>
  <c r="N214" i="82"/>
  <c r="N217" i="82"/>
  <c r="G230" i="82"/>
  <c r="G227" i="82"/>
  <c r="K230" i="82"/>
  <c r="K227" i="82"/>
  <c r="F256" i="82"/>
  <c r="F253" i="82"/>
  <c r="H269" i="82"/>
  <c r="H266" i="82"/>
  <c r="H268" i="82" s="1"/>
  <c r="D292" i="82"/>
  <c r="D297" i="82" s="1"/>
  <c r="D295" i="82"/>
  <c r="C321" i="82"/>
  <c r="C318" i="82"/>
  <c r="H318" i="82"/>
  <c r="H321" i="82"/>
  <c r="M334" i="82"/>
  <c r="M331" i="82"/>
  <c r="F344" i="82"/>
  <c r="F349" i="82" s="1"/>
  <c r="F347" i="82"/>
  <c r="H357" i="82"/>
  <c r="H360" i="82"/>
  <c r="N357" i="82"/>
  <c r="N360" i="82"/>
  <c r="N370" i="82"/>
  <c r="N375" i="82" s="1"/>
  <c r="N373" i="82"/>
  <c r="K463" i="82"/>
  <c r="K460" i="82"/>
  <c r="K462" i="82" s="1"/>
  <c r="E230" i="82"/>
  <c r="E227" i="82"/>
  <c r="L435" i="82"/>
  <c r="H151" i="80"/>
  <c r="G203" i="80"/>
  <c r="D164" i="82"/>
  <c r="N163" i="79"/>
  <c r="F151" i="79"/>
  <c r="F154" i="79"/>
  <c r="C138" i="79"/>
  <c r="C141" i="79"/>
  <c r="K163" i="81"/>
  <c r="L111" i="81"/>
  <c r="L115" i="81"/>
  <c r="F110" i="79"/>
  <c r="F113" i="79"/>
  <c r="E123" i="79"/>
  <c r="E126" i="79"/>
  <c r="I123" i="79"/>
  <c r="I126" i="79"/>
  <c r="M123" i="79"/>
  <c r="M126" i="79"/>
  <c r="J162" i="79"/>
  <c r="J167" i="79" s="1"/>
  <c r="J165" i="79"/>
  <c r="F123" i="82"/>
  <c r="F126" i="82"/>
  <c r="E136" i="82"/>
  <c r="E139" i="82"/>
  <c r="M136" i="82"/>
  <c r="M139" i="82"/>
  <c r="I162" i="82"/>
  <c r="I165" i="82"/>
  <c r="E175" i="82"/>
  <c r="E176" i="82" s="1"/>
  <c r="E178" i="82"/>
  <c r="M175" i="82"/>
  <c r="M178" i="82"/>
  <c r="I188" i="82"/>
  <c r="I191" i="82"/>
  <c r="E201" i="82"/>
  <c r="E204" i="82"/>
  <c r="M201" i="82"/>
  <c r="M203" i="82" s="1"/>
  <c r="M204" i="82"/>
  <c r="I12" i="53"/>
  <c r="I15" i="92"/>
  <c r="M234" i="91"/>
  <c r="H168" i="91"/>
  <c r="H169" i="91"/>
  <c r="I21" i="53"/>
  <c r="I16" i="92"/>
  <c r="E149" i="88"/>
  <c r="E154" i="88" s="1"/>
  <c r="K217" i="88"/>
  <c r="K214" i="88"/>
  <c r="N150" i="89"/>
  <c r="N151" i="89"/>
  <c r="M165" i="89"/>
  <c r="M162" i="89"/>
  <c r="J126" i="90"/>
  <c r="J123" i="90"/>
  <c r="J124" i="90" s="1"/>
  <c r="F152" i="90"/>
  <c r="F149" i="90"/>
  <c r="G217" i="90"/>
  <c r="G214" i="90"/>
  <c r="E144" i="91"/>
  <c r="E141" i="91"/>
  <c r="E142" i="91" s="1"/>
  <c r="E170" i="91"/>
  <c r="E167" i="91"/>
  <c r="E172" i="91" s="1"/>
  <c r="L170" i="91"/>
  <c r="L167" i="91"/>
  <c r="L172" i="91" s="1"/>
  <c r="D183" i="91"/>
  <c r="D180" i="91"/>
  <c r="D185" i="91" s="1"/>
  <c r="F209" i="91"/>
  <c r="F206" i="91"/>
  <c r="F211" i="91" s="1"/>
  <c r="N206" i="91"/>
  <c r="N211" i="91" s="1"/>
  <c r="N209" i="91"/>
  <c r="J222" i="91"/>
  <c r="J219" i="91"/>
  <c r="N235" i="91"/>
  <c r="N232" i="91"/>
  <c r="N237" i="91" s="1"/>
  <c r="M297" i="82"/>
  <c r="C230" i="82"/>
  <c r="C227" i="82"/>
  <c r="H230" i="82"/>
  <c r="H227" i="82"/>
  <c r="L230" i="82"/>
  <c r="L227" i="82"/>
  <c r="L228" i="82" s="1"/>
  <c r="L256" i="82"/>
  <c r="L253" i="82"/>
  <c r="E269" i="82"/>
  <c r="E266" i="82"/>
  <c r="J295" i="82"/>
  <c r="J292" i="82"/>
  <c r="J297" i="82" s="1"/>
  <c r="N295" i="82"/>
  <c r="N292" i="82"/>
  <c r="N294" i="82" s="1"/>
  <c r="D334" i="82"/>
  <c r="D331" i="82"/>
  <c r="D333" i="82" s="1"/>
  <c r="I331" i="82"/>
  <c r="I336" i="82" s="1"/>
  <c r="I334" i="82"/>
  <c r="N331" i="82"/>
  <c r="N334" i="82"/>
  <c r="L347" i="82"/>
  <c r="L344" i="82"/>
  <c r="L349" i="82" s="1"/>
  <c r="D360" i="82"/>
  <c r="D357" i="82"/>
  <c r="D362" i="82" s="1"/>
  <c r="I357" i="82"/>
  <c r="I360" i="82"/>
  <c r="F462" i="82"/>
  <c r="F461" i="82"/>
  <c r="I214" i="82"/>
  <c r="I217" i="82"/>
  <c r="K334" i="82"/>
  <c r="K331" i="82"/>
  <c r="K333" i="82" s="1"/>
  <c r="L370" i="82"/>
  <c r="L372" i="82" s="1"/>
  <c r="L373" i="82"/>
  <c r="D370" i="82"/>
  <c r="D373" i="82"/>
  <c r="E21" i="53"/>
  <c r="E16" i="92"/>
  <c r="H21" i="53"/>
  <c r="M21" i="53"/>
  <c r="M16" i="92"/>
  <c r="C123" i="90"/>
  <c r="C125" i="90" s="1"/>
  <c r="F125" i="90"/>
  <c r="F128" i="90"/>
  <c r="I345" i="82"/>
  <c r="I350" i="82" s="1"/>
  <c r="D230" i="82"/>
  <c r="D227" i="82"/>
  <c r="I230" i="82"/>
  <c r="I227" i="82"/>
  <c r="N230" i="82"/>
  <c r="N227" i="82"/>
  <c r="L305" i="82"/>
  <c r="L310" i="82" s="1"/>
  <c r="L308" i="82"/>
  <c r="H214" i="82"/>
  <c r="H217" i="82"/>
  <c r="J240" i="82"/>
  <c r="H253" i="82"/>
  <c r="H256" i="82"/>
  <c r="L318" i="82"/>
  <c r="L321" i="82"/>
  <c r="C331" i="82"/>
  <c r="C334" i="82"/>
  <c r="C344" i="82"/>
  <c r="C347" i="82"/>
  <c r="C21" i="53"/>
  <c r="C16" i="92"/>
  <c r="K21" i="53"/>
  <c r="K16" i="92"/>
  <c r="L137" i="90"/>
  <c r="F332" i="82"/>
  <c r="F336" i="82"/>
  <c r="G293" i="82"/>
  <c r="F230" i="82"/>
  <c r="F227" i="82"/>
  <c r="J230" i="82"/>
  <c r="J227" i="82"/>
  <c r="L240" i="82"/>
  <c r="L243" i="82"/>
  <c r="E253" i="82"/>
  <c r="E256" i="82"/>
  <c r="E344" i="82"/>
  <c r="E347" i="82"/>
  <c r="G357" i="82"/>
  <c r="G362" i="82" s="1"/>
  <c r="G360" i="82"/>
  <c r="K357" i="82"/>
  <c r="K360" i="82"/>
  <c r="E357" i="82"/>
  <c r="E362" i="82" s="1"/>
  <c r="E360" i="82"/>
  <c r="H370" i="82"/>
  <c r="H375" i="82" s="1"/>
  <c r="H373" i="82"/>
  <c r="M127" i="81"/>
  <c r="I127" i="81"/>
  <c r="E127" i="81"/>
  <c r="M374" i="82"/>
  <c r="I374" i="82"/>
  <c r="E374" i="82"/>
  <c r="M233" i="80"/>
  <c r="I233" i="80"/>
  <c r="E233" i="80"/>
  <c r="K127" i="81"/>
  <c r="G127" i="81"/>
  <c r="C127" i="81"/>
  <c r="K374" i="82"/>
  <c r="G374" i="82"/>
  <c r="K233" i="80"/>
  <c r="G233" i="80"/>
  <c r="C233" i="80"/>
  <c r="L127" i="81"/>
  <c r="H127" i="81"/>
  <c r="D127" i="81"/>
  <c r="L374" i="82"/>
  <c r="H374" i="82"/>
  <c r="D374" i="82"/>
  <c r="L233" i="80"/>
  <c r="H233" i="80"/>
  <c r="D233" i="80"/>
  <c r="N127" i="81"/>
  <c r="F127" i="81"/>
  <c r="J374" i="82"/>
  <c r="J233" i="80"/>
  <c r="F233" i="80"/>
  <c r="J127" i="81"/>
  <c r="N374" i="82"/>
  <c r="N233" i="80"/>
  <c r="F374" i="82"/>
  <c r="N168" i="1"/>
  <c r="D207" i="88"/>
  <c r="C285" i="82"/>
  <c r="I189" i="77"/>
  <c r="I191" i="77" s="1"/>
  <c r="H114" i="77"/>
  <c r="G179" i="77"/>
  <c r="I177" i="77"/>
  <c r="G177" i="77"/>
  <c r="G112" i="78"/>
  <c r="G115" i="78"/>
  <c r="I111" i="78"/>
  <c r="I115" i="78"/>
  <c r="K112" i="78"/>
  <c r="K115" i="78"/>
  <c r="F111" i="78"/>
  <c r="F115" i="78"/>
  <c r="I112" i="78"/>
  <c r="I113" i="78"/>
  <c r="J110" i="78"/>
  <c r="C115" i="78"/>
  <c r="I166" i="77"/>
  <c r="K113" i="77"/>
  <c r="K163" i="77"/>
  <c r="C163" i="77"/>
  <c r="G150" i="77"/>
  <c r="K114" i="77"/>
  <c r="G203" i="77"/>
  <c r="K112" i="77"/>
  <c r="G113" i="77"/>
  <c r="C150" i="77"/>
  <c r="C152" i="77" s="1"/>
  <c r="J202" i="77"/>
  <c r="N189" i="77"/>
  <c r="F189" i="77"/>
  <c r="J176" i="77"/>
  <c r="D150" i="77"/>
  <c r="D152" i="77" s="1"/>
  <c r="M113" i="77"/>
  <c r="G114" i="77"/>
  <c r="I114" i="77"/>
  <c r="K192" i="77"/>
  <c r="I153" i="77"/>
  <c r="D266" i="82"/>
  <c r="D269" i="82"/>
  <c r="L266" i="82"/>
  <c r="L269" i="82"/>
  <c r="J266" i="82"/>
  <c r="J268" i="82" s="1"/>
  <c r="I266" i="82"/>
  <c r="I268" i="82" s="1"/>
  <c r="I269" i="82"/>
  <c r="F266" i="82"/>
  <c r="F267" i="82" s="1"/>
  <c r="F269" i="82"/>
  <c r="M266" i="82"/>
  <c r="M267" i="82" s="1"/>
  <c r="M269" i="82"/>
  <c r="D13" i="53"/>
  <c r="M150" i="77"/>
  <c r="M152" i="77" s="1"/>
  <c r="E150" i="77"/>
  <c r="E190" i="77"/>
  <c r="E191" i="77"/>
  <c r="M190" i="77"/>
  <c r="M191" i="77"/>
  <c r="N164" i="77"/>
  <c r="N165" i="77"/>
  <c r="N166" i="77"/>
  <c r="I205" i="77"/>
  <c r="M192" i="77"/>
  <c r="E192" i="77"/>
  <c r="I179" i="77"/>
  <c r="N150" i="77"/>
  <c r="F150" i="77"/>
  <c r="E146" i="91"/>
  <c r="F141" i="91"/>
  <c r="M141" i="91"/>
  <c r="K141" i="91"/>
  <c r="K143" i="91" s="1"/>
  <c r="I141" i="91"/>
  <c r="I146" i="91" s="1"/>
  <c r="E110" i="90"/>
  <c r="I111" i="90"/>
  <c r="J110" i="90"/>
  <c r="M110" i="90"/>
  <c r="M111" i="90" s="1"/>
  <c r="D190" i="89"/>
  <c r="D189" i="89"/>
  <c r="E202" i="89"/>
  <c r="N214" i="89"/>
  <c r="N215" i="89" s="1"/>
  <c r="J201" i="89"/>
  <c r="F188" i="89"/>
  <c r="F193" i="89" s="1"/>
  <c r="H214" i="89"/>
  <c r="H215" i="89" s="1"/>
  <c r="D201" i="89"/>
  <c r="D203" i="89" s="1"/>
  <c r="L175" i="89"/>
  <c r="N175" i="89"/>
  <c r="N177" i="89" s="1"/>
  <c r="N201" i="89"/>
  <c r="N206" i="89" s="1"/>
  <c r="J188" i="89"/>
  <c r="J193" i="89" s="1"/>
  <c r="L214" i="89"/>
  <c r="H201" i="89"/>
  <c r="H206" i="89" s="1"/>
  <c r="J214" i="89"/>
  <c r="J216" i="89" s="1"/>
  <c r="F201" i="89"/>
  <c r="D214" i="89"/>
  <c r="D215" i="89" s="1"/>
  <c r="H175" i="89"/>
  <c r="J175" i="89"/>
  <c r="D191" i="89"/>
  <c r="H162" i="89"/>
  <c r="H164" i="89" s="1"/>
  <c r="G162" i="89"/>
  <c r="G164" i="89" s="1"/>
  <c r="F162" i="89"/>
  <c r="F164" i="89" s="1"/>
  <c r="L168" i="89"/>
  <c r="N163" i="89"/>
  <c r="D164" i="89"/>
  <c r="D168" i="89" s="1"/>
  <c r="B46" i="81"/>
  <c r="C90" i="46" s="1"/>
  <c r="I176" i="81"/>
  <c r="I177" i="81"/>
  <c r="G177" i="81"/>
  <c r="G176" i="81"/>
  <c r="K175" i="81"/>
  <c r="D176" i="81"/>
  <c r="L177" i="81"/>
  <c r="L180" i="81"/>
  <c r="H178" i="81"/>
  <c r="G178" i="81"/>
  <c r="D178" i="81"/>
  <c r="I19" i="53"/>
  <c r="C149" i="89"/>
  <c r="C154" i="89" s="1"/>
  <c r="F151" i="89"/>
  <c r="K138" i="89"/>
  <c r="K141" i="89"/>
  <c r="K137" i="89"/>
  <c r="G136" i="89"/>
  <c r="G138" i="89" s="1"/>
  <c r="E136" i="89"/>
  <c r="E141" i="89" s="1"/>
  <c r="H138" i="89"/>
  <c r="H141" i="89"/>
  <c r="F141" i="89"/>
  <c r="E19" i="53"/>
  <c r="K19" i="53"/>
  <c r="C138" i="89"/>
  <c r="C141" i="89"/>
  <c r="C137" i="89"/>
  <c r="C139" i="89"/>
  <c r="H137" i="89"/>
  <c r="H216" i="81"/>
  <c r="D215" i="81"/>
  <c r="K216" i="81"/>
  <c r="K215" i="81"/>
  <c r="H215" i="81"/>
  <c r="H203" i="81"/>
  <c r="H202" i="81"/>
  <c r="J203" i="81"/>
  <c r="D190" i="81"/>
  <c r="D194" i="81" s="1"/>
  <c r="K191" i="81"/>
  <c r="K194" i="81" s="1"/>
  <c r="F191" i="81"/>
  <c r="C194" i="81"/>
  <c r="H176" i="81"/>
  <c r="H177" i="81"/>
  <c r="C175" i="81"/>
  <c r="D177" i="81"/>
  <c r="L176" i="81"/>
  <c r="I164" i="81"/>
  <c r="I163" i="81"/>
  <c r="E18" i="53"/>
  <c r="G165" i="81"/>
  <c r="C163" i="81"/>
  <c r="C164" i="81"/>
  <c r="N164" i="81"/>
  <c r="G163" i="81"/>
  <c r="D155" i="81"/>
  <c r="E155" i="81"/>
  <c r="H150" i="81"/>
  <c r="H151" i="81"/>
  <c r="J151" i="81"/>
  <c r="G151" i="81"/>
  <c r="G155" i="81" s="1"/>
  <c r="K150" i="81"/>
  <c r="J152" i="81"/>
  <c r="I155" i="81"/>
  <c r="D141" i="91"/>
  <c r="D146" i="91" s="1"/>
  <c r="F19" i="92"/>
  <c r="N141" i="91"/>
  <c r="N143" i="91" s="1"/>
  <c r="D19" i="92"/>
  <c r="L19" i="92"/>
  <c r="H19" i="92"/>
  <c r="J19" i="92"/>
  <c r="B19" i="92"/>
  <c r="H142" i="91"/>
  <c r="G110" i="90"/>
  <c r="H10" i="53"/>
  <c r="N110" i="89"/>
  <c r="N112" i="89" s="1"/>
  <c r="L110" i="89"/>
  <c r="I112" i="89"/>
  <c r="M111" i="89"/>
  <c r="J110" i="89"/>
  <c r="J115" i="89" s="1"/>
  <c r="H110" i="89"/>
  <c r="C112" i="89"/>
  <c r="G10" i="53"/>
  <c r="M10" i="53"/>
  <c r="E123" i="90"/>
  <c r="E128" i="90" s="1"/>
  <c r="F124" i="90"/>
  <c r="K10" i="53"/>
  <c r="H124" i="90"/>
  <c r="N124" i="90"/>
  <c r="I10" i="53"/>
  <c r="L10" i="53"/>
  <c r="B10" i="53"/>
  <c r="E125" i="89"/>
  <c r="E124" i="89"/>
  <c r="G124" i="89"/>
  <c r="K124" i="89"/>
  <c r="K125" i="89"/>
  <c r="D19" i="53"/>
  <c r="G19" i="53"/>
  <c r="J19" i="53"/>
  <c r="M19" i="53"/>
  <c r="H19" i="53"/>
  <c r="C19" i="53"/>
  <c r="F19" i="53"/>
  <c r="L19" i="53"/>
  <c r="D138" i="81"/>
  <c r="H136" i="81"/>
  <c r="K138" i="81"/>
  <c r="C137" i="81"/>
  <c r="I124" i="81"/>
  <c r="D18" i="53"/>
  <c r="C124" i="81"/>
  <c r="E177" i="1"/>
  <c r="M178" i="1"/>
  <c r="I176" i="1"/>
  <c r="I178" i="1"/>
  <c r="F176" i="1"/>
  <c r="I177" i="1"/>
  <c r="J176" i="1"/>
  <c r="E176" i="1"/>
  <c r="K178" i="1"/>
  <c r="C175" i="1"/>
  <c r="C180" i="1" s="1"/>
  <c r="D124" i="81"/>
  <c r="D125" i="81"/>
  <c r="H125" i="81"/>
  <c r="H124" i="81"/>
  <c r="E125" i="81"/>
  <c r="M125" i="81"/>
  <c r="L123" i="81"/>
  <c r="L128" i="81" s="1"/>
  <c r="I125" i="81"/>
  <c r="C18" i="53"/>
  <c r="D126" i="81"/>
  <c r="G18" i="53"/>
  <c r="C125" i="81"/>
  <c r="L18" i="53"/>
  <c r="F18" i="53"/>
  <c r="K18" i="53"/>
  <c r="H18" i="53"/>
  <c r="J18" i="53"/>
  <c r="J113" i="81"/>
  <c r="M18" i="53"/>
  <c r="I18" i="53"/>
  <c r="B18" i="53"/>
  <c r="L112" i="81"/>
  <c r="E372" i="82"/>
  <c r="E375" i="82"/>
  <c r="M370" i="82"/>
  <c r="M371" i="82" s="1"/>
  <c r="I423" i="82"/>
  <c r="I422" i="82"/>
  <c r="E422" i="82"/>
  <c r="E423" i="82"/>
  <c r="N462" i="82"/>
  <c r="N461" i="82"/>
  <c r="C422" i="82"/>
  <c r="J460" i="82"/>
  <c r="J370" i="82"/>
  <c r="J375" i="82" s="1"/>
  <c r="K434" i="82"/>
  <c r="C460" i="82"/>
  <c r="C461" i="82" s="1"/>
  <c r="K370" i="82"/>
  <c r="K375" i="82" s="1"/>
  <c r="E424" i="82"/>
  <c r="F370" i="82"/>
  <c r="F375" i="82" s="1"/>
  <c r="K421" i="82"/>
  <c r="G370" i="82"/>
  <c r="G375" i="82" s="1"/>
  <c r="O106" i="43"/>
  <c r="Q106" i="43" s="1"/>
  <c r="C448" i="82"/>
  <c r="C449" i="82"/>
  <c r="L423" i="82"/>
  <c r="L422" i="82"/>
  <c r="H435" i="82"/>
  <c r="H436" i="82"/>
  <c r="E462" i="82"/>
  <c r="E461" i="82"/>
  <c r="E371" i="82"/>
  <c r="D448" i="82"/>
  <c r="F434" i="82"/>
  <c r="G434" i="82"/>
  <c r="G436" i="82" s="1"/>
  <c r="G447" i="82"/>
  <c r="F421" i="82"/>
  <c r="D437" i="82"/>
  <c r="H437" i="82"/>
  <c r="I463" i="82"/>
  <c r="G460" i="82"/>
  <c r="G165" i="78"/>
  <c r="C152" i="78"/>
  <c r="E203" i="78"/>
  <c r="C204" i="78"/>
  <c r="G139" i="78"/>
  <c r="C138" i="78"/>
  <c r="C137" i="78"/>
  <c r="K138" i="78"/>
  <c r="K137" i="78"/>
  <c r="I201" i="78"/>
  <c r="E188" i="78"/>
  <c r="M162" i="78"/>
  <c r="M167" i="78" s="1"/>
  <c r="I149" i="78"/>
  <c r="I154" i="78" s="1"/>
  <c r="G191" i="78"/>
  <c r="K152" i="78"/>
  <c r="M188" i="78"/>
  <c r="I175" i="78"/>
  <c r="E162" i="78"/>
  <c r="E167" i="78" s="1"/>
  <c r="K204" i="78"/>
  <c r="C178" i="78"/>
  <c r="D124" i="78"/>
  <c r="G123" i="78"/>
  <c r="G128" i="78" s="1"/>
  <c r="L126" i="78"/>
  <c r="E125" i="78"/>
  <c r="H123" i="78"/>
  <c r="H128" i="78" s="1"/>
  <c r="G16" i="53"/>
  <c r="G162" i="79"/>
  <c r="G167" i="79" s="1"/>
  <c r="H162" i="79"/>
  <c r="H167" i="79" s="1"/>
  <c r="C163" i="79"/>
  <c r="E149" i="79"/>
  <c r="J8" i="53"/>
  <c r="J138" i="79"/>
  <c r="F137" i="79"/>
  <c r="C137" i="79"/>
  <c r="G136" i="79"/>
  <c r="L136" i="79"/>
  <c r="L137" i="79" s="1"/>
  <c r="H136" i="79"/>
  <c r="H141" i="79" s="1"/>
  <c r="D8" i="53"/>
  <c r="F124" i="79"/>
  <c r="B8" i="53"/>
  <c r="K8" i="53"/>
  <c r="K11" i="92"/>
  <c r="M8" i="53"/>
  <c r="C8" i="53"/>
  <c r="C11" i="92"/>
  <c r="I8" i="53"/>
  <c r="L8" i="53"/>
  <c r="L11" i="92"/>
  <c r="H8" i="53"/>
  <c r="H11" i="92"/>
  <c r="B47" i="46"/>
  <c r="C110" i="79"/>
  <c r="B46" i="79"/>
  <c r="C48" i="46" s="1"/>
  <c r="C151" i="78"/>
  <c r="C150" i="78"/>
  <c r="G163" i="78"/>
  <c r="G164" i="78"/>
  <c r="K177" i="78"/>
  <c r="K176" i="78"/>
  <c r="C202" i="78"/>
  <c r="C203" i="78"/>
  <c r="F181" i="78"/>
  <c r="M139" i="78"/>
  <c r="L125" i="78"/>
  <c r="L124" i="78"/>
  <c r="N126" i="78"/>
  <c r="L112" i="78"/>
  <c r="L111" i="78"/>
  <c r="C16" i="53"/>
  <c r="J16" i="53"/>
  <c r="H110" i="78"/>
  <c r="H115" i="78" s="1"/>
  <c r="D16" i="53"/>
  <c r="K16" i="53"/>
  <c r="K111" i="78"/>
  <c r="M110" i="78"/>
  <c r="M115" i="78" s="1"/>
  <c r="E16" i="53"/>
  <c r="H16" i="53"/>
  <c r="L16" i="53"/>
  <c r="F113" i="78"/>
  <c r="F16" i="53"/>
  <c r="I16" i="53"/>
  <c r="M16" i="53"/>
  <c r="F112" i="78"/>
  <c r="B46" i="78"/>
  <c r="B95" i="78" s="1"/>
  <c r="B127" i="46" s="1"/>
  <c r="D127" i="46" s="1"/>
  <c r="F14" i="53"/>
  <c r="F7" i="92"/>
  <c r="N138" i="74"/>
  <c r="M14" i="53"/>
  <c r="H14" i="53"/>
  <c r="H7" i="92"/>
  <c r="E14" i="53"/>
  <c r="J14" i="53"/>
  <c r="J7" i="92"/>
  <c r="L14" i="53"/>
  <c r="L7" i="92"/>
  <c r="I14" i="53"/>
  <c r="B7" i="92"/>
  <c r="B14" i="53"/>
  <c r="B46" i="74"/>
  <c r="B95" i="74" s="1"/>
  <c r="B108" i="46" s="1"/>
  <c r="D108" i="46" s="1"/>
  <c r="J344" i="82"/>
  <c r="D344" i="82"/>
  <c r="D349" i="82" s="1"/>
  <c r="C346" i="82"/>
  <c r="F333" i="82"/>
  <c r="L320" i="82"/>
  <c r="G319" i="82"/>
  <c r="M307" i="82"/>
  <c r="G305" i="82"/>
  <c r="G310" i="82" s="1"/>
  <c r="K305" i="82"/>
  <c r="K310" i="82" s="1"/>
  <c r="C305" i="82"/>
  <c r="C310" i="82" s="1"/>
  <c r="M293" i="82"/>
  <c r="G266" i="82"/>
  <c r="G268" i="82" s="1"/>
  <c r="C254" i="82"/>
  <c r="D253" i="82"/>
  <c r="I240" i="82"/>
  <c r="H240" i="82"/>
  <c r="G241" i="82"/>
  <c r="K240" i="82"/>
  <c r="F240" i="82"/>
  <c r="E83" i="75"/>
  <c r="I83" i="75"/>
  <c r="M83" i="75"/>
  <c r="J215" i="82"/>
  <c r="G214" i="82"/>
  <c r="I202" i="82"/>
  <c r="K202" i="82"/>
  <c r="J203" i="82"/>
  <c r="H201" i="82"/>
  <c r="K203" i="82"/>
  <c r="E190" i="82"/>
  <c r="I189" i="82"/>
  <c r="D190" i="82"/>
  <c r="K177" i="82"/>
  <c r="H177" i="82"/>
  <c r="L175" i="82"/>
  <c r="D175" i="82"/>
  <c r="G175" i="82"/>
  <c r="I175" i="82"/>
  <c r="H176" i="82"/>
  <c r="D163" i="82"/>
  <c r="E162" i="82"/>
  <c r="J162" i="82"/>
  <c r="M162" i="82"/>
  <c r="M164" i="82" s="1"/>
  <c r="C164" i="82"/>
  <c r="N149" i="82"/>
  <c r="F149" i="82"/>
  <c r="M149" i="82"/>
  <c r="M151" i="82" s="1"/>
  <c r="E150" i="82"/>
  <c r="H123" i="82"/>
  <c r="H137" i="82"/>
  <c r="J136" i="82"/>
  <c r="G136" i="82"/>
  <c r="J123" i="82"/>
  <c r="K123" i="82"/>
  <c r="I138" i="82"/>
  <c r="E124" i="82"/>
  <c r="D123" i="82"/>
  <c r="B46" i="82"/>
  <c r="B95" i="82" s="1"/>
  <c r="B56" i="46" s="1"/>
  <c r="D56" i="46" s="1"/>
  <c r="O55" i="43"/>
  <c r="Q55" i="43" s="1"/>
  <c r="G202" i="80"/>
  <c r="I204" i="80"/>
  <c r="I202" i="80"/>
  <c r="F189" i="80"/>
  <c r="F190" i="80"/>
  <c r="J188" i="80"/>
  <c r="K188" i="80"/>
  <c r="N176" i="80"/>
  <c r="N180" i="80"/>
  <c r="K176" i="80"/>
  <c r="K180" i="80"/>
  <c r="K177" i="80"/>
  <c r="E175" i="80"/>
  <c r="G176" i="80"/>
  <c r="G180" i="80"/>
  <c r="I177" i="80"/>
  <c r="M175" i="80"/>
  <c r="D177" i="80"/>
  <c r="D180" i="80"/>
  <c r="J163" i="80"/>
  <c r="K167" i="80"/>
  <c r="E164" i="80"/>
  <c r="M164" i="80"/>
  <c r="M167" i="80"/>
  <c r="K164" i="80"/>
  <c r="E165" i="80"/>
  <c r="K163" i="80"/>
  <c r="N162" i="80"/>
  <c r="F162" i="80"/>
  <c r="F167" i="80" s="1"/>
  <c r="E163" i="80"/>
  <c r="M165" i="80"/>
  <c r="C163" i="80"/>
  <c r="C164" i="80"/>
  <c r="D150" i="80"/>
  <c r="G150" i="80"/>
  <c r="H150" i="80"/>
  <c r="K137" i="80"/>
  <c r="K141" i="80"/>
  <c r="E141" i="80"/>
  <c r="J136" i="80"/>
  <c r="M139" i="80"/>
  <c r="I136" i="80"/>
  <c r="F11" i="53"/>
  <c r="F12" i="92"/>
  <c r="K138" i="80"/>
  <c r="N136" i="80"/>
  <c r="F136" i="80"/>
  <c r="G136" i="80"/>
  <c r="D12" i="92"/>
  <c r="K12" i="92"/>
  <c r="G11" i="53"/>
  <c r="G12" i="92"/>
  <c r="C11" i="53"/>
  <c r="C137" i="80"/>
  <c r="C138" i="80"/>
  <c r="C139" i="80"/>
  <c r="J112" i="81"/>
  <c r="J111" i="81"/>
  <c r="L149" i="74"/>
  <c r="L154" i="74" s="1"/>
  <c r="L158" i="74"/>
  <c r="D111" i="79"/>
  <c r="I125" i="75"/>
  <c r="C176" i="77"/>
  <c r="C179" i="77"/>
  <c r="L166" i="77"/>
  <c r="L163" i="77"/>
  <c r="D123" i="79"/>
  <c r="I136" i="79"/>
  <c r="I141" i="79" s="1"/>
  <c r="M149" i="79"/>
  <c r="M154" i="79" s="1"/>
  <c r="J139" i="81"/>
  <c r="J136" i="81"/>
  <c r="J141" i="81" s="1"/>
  <c r="J165" i="81"/>
  <c r="J162" i="81"/>
  <c r="N178" i="81"/>
  <c r="N175" i="81"/>
  <c r="N180" i="81" s="1"/>
  <c r="J191" i="81"/>
  <c r="J188" i="81"/>
  <c r="F204" i="81"/>
  <c r="F201" i="81"/>
  <c r="I112" i="83"/>
  <c r="I111" i="83"/>
  <c r="C157" i="91"/>
  <c r="C154" i="91"/>
  <c r="C159" i="91" s="1"/>
  <c r="M180" i="91"/>
  <c r="M185" i="91" s="1"/>
  <c r="M183" i="91"/>
  <c r="M207" i="91"/>
  <c r="M208" i="91"/>
  <c r="L216" i="81"/>
  <c r="G189" i="77"/>
  <c r="G191" i="77" s="1"/>
  <c r="G137" i="81"/>
  <c r="J175" i="81"/>
  <c r="J180" i="81" s="1"/>
  <c r="D176" i="77"/>
  <c r="D179" i="77"/>
  <c r="L176" i="77"/>
  <c r="L179" i="77"/>
  <c r="D113" i="77"/>
  <c r="D112" i="77"/>
  <c r="I139" i="78"/>
  <c r="I136" i="78"/>
  <c r="I141" i="78" s="1"/>
  <c r="H152" i="78"/>
  <c r="H149" i="78"/>
  <c r="H154" i="78" s="1"/>
  <c r="D176" i="78"/>
  <c r="D177" i="78"/>
  <c r="H178" i="78"/>
  <c r="H175" i="78"/>
  <c r="L191" i="78"/>
  <c r="L188" i="78"/>
  <c r="H204" i="78"/>
  <c r="H201" i="78"/>
  <c r="F110" i="81"/>
  <c r="F115" i="81" s="1"/>
  <c r="F113" i="81"/>
  <c r="B19" i="53"/>
  <c r="B151" i="46"/>
  <c r="D151" i="46" s="1"/>
  <c r="L144" i="91"/>
  <c r="L141" i="91"/>
  <c r="L146" i="91" s="1"/>
  <c r="C110" i="1"/>
  <c r="K190" i="77"/>
  <c r="C190" i="77"/>
  <c r="H189" i="78"/>
  <c r="K202" i="78"/>
  <c r="G189" i="78"/>
  <c r="L203" i="78"/>
  <c r="F190" i="81"/>
  <c r="L215" i="81"/>
  <c r="N177" i="80"/>
  <c r="M164" i="79"/>
  <c r="K151" i="78"/>
  <c r="F151" i="80"/>
  <c r="H129" i="74"/>
  <c r="E158" i="74"/>
  <c r="N116" i="74"/>
  <c r="M203" i="83"/>
  <c r="I164" i="1"/>
  <c r="I163" i="1"/>
  <c r="D205" i="77"/>
  <c r="G205" i="77"/>
  <c r="C192" i="77"/>
  <c r="I152" i="77"/>
  <c r="I151" i="77"/>
  <c r="B39" i="46"/>
  <c r="D124" i="75"/>
  <c r="G137" i="78"/>
  <c r="K125" i="78"/>
  <c r="K124" i="78"/>
  <c r="H191" i="78"/>
  <c r="L152" i="78"/>
  <c r="I162" i="79"/>
  <c r="I167" i="79" s="1"/>
  <c r="L123" i="79"/>
  <c r="J204" i="81"/>
  <c r="N165" i="81"/>
  <c r="F139" i="81"/>
  <c r="G136" i="1"/>
  <c r="G141" i="1" s="1"/>
  <c r="G139" i="1"/>
  <c r="J126" i="78"/>
  <c r="J123" i="78"/>
  <c r="J128" i="78" s="1"/>
  <c r="N125" i="78"/>
  <c r="N124" i="78"/>
  <c r="F139" i="78"/>
  <c r="F136" i="78"/>
  <c r="F141" i="78" s="1"/>
  <c r="J110" i="79"/>
  <c r="N110" i="79"/>
  <c r="E137" i="80"/>
  <c r="E138" i="80"/>
  <c r="M138" i="80"/>
  <c r="M137" i="80"/>
  <c r="I151" i="80"/>
  <c r="M163" i="80"/>
  <c r="C217" i="81"/>
  <c r="C214" i="81"/>
  <c r="G217" i="81"/>
  <c r="G214" i="81"/>
  <c r="G12" i="53"/>
  <c r="B81" i="46"/>
  <c r="D81" i="46" s="1"/>
  <c r="J126" i="83"/>
  <c r="J123" i="83"/>
  <c r="N126" i="83"/>
  <c r="N123" i="83"/>
  <c r="F204" i="83"/>
  <c r="F201" i="83"/>
  <c r="J201" i="83"/>
  <c r="J206" i="83" s="1"/>
  <c r="J204" i="83"/>
  <c r="B31" i="46"/>
  <c r="D31" i="46" s="1"/>
  <c r="M124" i="74"/>
  <c r="M129" i="74" s="1"/>
  <c r="G151" i="1"/>
  <c r="H138" i="82"/>
  <c r="G164" i="82"/>
  <c r="G111" i="78"/>
  <c r="M124" i="78"/>
  <c r="M125" i="78"/>
  <c r="M145" i="74"/>
  <c r="C114" i="77"/>
  <c r="C111" i="77"/>
  <c r="C116" i="77" s="1"/>
  <c r="L111" i="77"/>
  <c r="L116" i="77" s="1"/>
  <c r="L114" i="77"/>
  <c r="L153" i="77"/>
  <c r="L150" i="77"/>
  <c r="L152" i="77" s="1"/>
  <c r="H123" i="79"/>
  <c r="M136" i="79"/>
  <c r="M141" i="79" s="1"/>
  <c r="E162" i="79"/>
  <c r="E167" i="79" s="1"/>
  <c r="I113" i="81"/>
  <c r="I110" i="81"/>
  <c r="I115" i="81" s="1"/>
  <c r="F123" i="81"/>
  <c r="F126" i="81"/>
  <c r="J126" i="81"/>
  <c r="J123" i="81"/>
  <c r="N126" i="81"/>
  <c r="N123" i="81"/>
  <c r="N128" i="81" s="1"/>
  <c r="F152" i="81"/>
  <c r="N152" i="81"/>
  <c r="F178" i="81"/>
  <c r="F175" i="81"/>
  <c r="F180" i="81" s="1"/>
  <c r="N204" i="81"/>
  <c r="N201" i="81"/>
  <c r="M111" i="83"/>
  <c r="M112" i="83"/>
  <c r="E111" i="83"/>
  <c r="E112" i="83"/>
  <c r="F157" i="91"/>
  <c r="F154" i="91"/>
  <c r="F159" i="91" s="1"/>
  <c r="E449" i="82"/>
  <c r="M320" i="82"/>
  <c r="M319" i="82"/>
  <c r="C202" i="1"/>
  <c r="K150" i="78"/>
  <c r="F137" i="81"/>
  <c r="I124" i="75"/>
  <c r="I124" i="74"/>
  <c r="H164" i="1"/>
  <c r="H163" i="1"/>
  <c r="K202" i="77"/>
  <c r="K204" i="77" s="1"/>
  <c r="N151" i="80"/>
  <c r="N150" i="80"/>
  <c r="L115" i="1"/>
  <c r="N136" i="81"/>
  <c r="N141" i="81" s="1"/>
  <c r="L202" i="77"/>
  <c r="L203" i="77" s="1"/>
  <c r="L205" i="77"/>
  <c r="M138" i="78"/>
  <c r="M137" i="78"/>
  <c r="D165" i="78"/>
  <c r="D162" i="78"/>
  <c r="D167" i="78" s="1"/>
  <c r="L165" i="78"/>
  <c r="L162" i="78"/>
  <c r="L167" i="78" s="1"/>
  <c r="D191" i="78"/>
  <c r="D188" i="78"/>
  <c r="N113" i="81"/>
  <c r="N110" i="81"/>
  <c r="N115" i="81" s="1"/>
  <c r="K203" i="75"/>
  <c r="K207" i="75" s="1"/>
  <c r="G178" i="77"/>
  <c r="C177" i="78"/>
  <c r="K176" i="82"/>
  <c r="K150" i="82"/>
  <c r="C9" i="73"/>
  <c r="H112" i="77"/>
  <c r="K151" i="77"/>
  <c r="D112" i="79"/>
  <c r="D125" i="74"/>
  <c r="D124" i="74"/>
  <c r="K145" i="74"/>
  <c r="F150" i="1"/>
  <c r="F151" i="1"/>
  <c r="G150" i="1"/>
  <c r="E150" i="1"/>
  <c r="H113" i="77"/>
  <c r="H192" i="77"/>
  <c r="C202" i="77"/>
  <c r="C204" i="77" s="1"/>
  <c r="K176" i="77"/>
  <c r="I165" i="77"/>
  <c r="I164" i="77"/>
  <c r="E151" i="80"/>
  <c r="G190" i="80"/>
  <c r="G189" i="80"/>
  <c r="C177" i="80"/>
  <c r="C176" i="80"/>
  <c r="K150" i="80"/>
  <c r="K151" i="80"/>
  <c r="D163" i="81"/>
  <c r="D164" i="81"/>
  <c r="K115" i="1"/>
  <c r="K111" i="1"/>
  <c r="L175" i="78"/>
  <c r="D149" i="78"/>
  <c r="D154" i="78" s="1"/>
  <c r="M110" i="81"/>
  <c r="M115" i="81" s="1"/>
  <c r="N188" i="81"/>
  <c r="F162" i="81"/>
  <c r="H123" i="1"/>
  <c r="H125" i="1" s="1"/>
  <c r="H126" i="1"/>
  <c r="L128" i="1"/>
  <c r="L125" i="1"/>
  <c r="D136" i="1"/>
  <c r="D141" i="1" s="1"/>
  <c r="D139" i="1"/>
  <c r="M136" i="1"/>
  <c r="M139" i="1"/>
  <c r="D150" i="1"/>
  <c r="D155" i="1" s="1"/>
  <c r="L152" i="1"/>
  <c r="L149" i="1"/>
  <c r="D164" i="1"/>
  <c r="D175" i="1"/>
  <c r="D180" i="1" s="1"/>
  <c r="D178" i="1"/>
  <c r="H175" i="1"/>
  <c r="H180" i="1" s="1"/>
  <c r="H178" i="1"/>
  <c r="L177" i="1"/>
  <c r="L215" i="1"/>
  <c r="D14" i="53"/>
  <c r="B107" i="46"/>
  <c r="D107" i="46" s="1"/>
  <c r="C126" i="75"/>
  <c r="C123" i="75"/>
  <c r="C128" i="75" s="1"/>
  <c r="G126" i="75"/>
  <c r="G123" i="75"/>
  <c r="G128" i="75" s="1"/>
  <c r="K126" i="75"/>
  <c r="C136" i="75"/>
  <c r="C139" i="75"/>
  <c r="K165" i="75"/>
  <c r="K162" i="75"/>
  <c r="C178" i="75"/>
  <c r="C175" i="75"/>
  <c r="C191" i="75"/>
  <c r="C188" i="75"/>
  <c r="E7" i="53"/>
  <c r="B23" i="46"/>
  <c r="D23" i="46" s="1"/>
  <c r="N123" i="82"/>
  <c r="I149" i="82"/>
  <c r="M177" i="82"/>
  <c r="K136" i="1"/>
  <c r="K141" i="1" s="1"/>
  <c r="K139" i="1"/>
  <c r="E113" i="75"/>
  <c r="E110" i="75"/>
  <c r="E115" i="75" s="1"/>
  <c r="M113" i="75"/>
  <c r="M110" i="75"/>
  <c r="E113" i="78"/>
  <c r="E110" i="78"/>
  <c r="E115" i="78" s="1"/>
  <c r="K126" i="81"/>
  <c r="K123" i="81"/>
  <c r="K128" i="81" s="1"/>
  <c r="J216" i="88"/>
  <c r="J215" i="88"/>
  <c r="G194" i="91"/>
  <c r="G195" i="91"/>
  <c r="I208" i="91"/>
  <c r="I207" i="91"/>
  <c r="L194" i="91"/>
  <c r="L195" i="91"/>
  <c r="M155" i="91"/>
  <c r="C124" i="1"/>
  <c r="C128" i="1"/>
  <c r="I136" i="1"/>
  <c r="I141" i="1" s="1"/>
  <c r="I139" i="1"/>
  <c r="F113" i="75"/>
  <c r="F110" i="75"/>
  <c r="F115" i="75" s="1"/>
  <c r="J113" i="75"/>
  <c r="J110" i="75"/>
  <c r="J115" i="75" s="1"/>
  <c r="B126" i="46"/>
  <c r="D126" i="46" s="1"/>
  <c r="N113" i="78"/>
  <c r="N110" i="78"/>
  <c r="N115" i="78" s="1"/>
  <c r="I126" i="78"/>
  <c r="I123" i="78"/>
  <c r="I128" i="78" s="1"/>
  <c r="E139" i="78"/>
  <c r="E136" i="78"/>
  <c r="E141" i="78" s="1"/>
  <c r="L139" i="78"/>
  <c r="L136" i="78"/>
  <c r="L141" i="78" s="1"/>
  <c r="G152" i="78"/>
  <c r="G149" i="78"/>
  <c r="G154" i="78" s="1"/>
  <c r="C165" i="78"/>
  <c r="C162" i="78"/>
  <c r="C167" i="78" s="1"/>
  <c r="K165" i="78"/>
  <c r="K162" i="78"/>
  <c r="K167" i="78" s="1"/>
  <c r="G178" i="78"/>
  <c r="G175" i="78"/>
  <c r="C191" i="78"/>
  <c r="C188" i="78"/>
  <c r="K191" i="78"/>
  <c r="K188" i="78"/>
  <c r="G204" i="78"/>
  <c r="G201" i="78"/>
  <c r="C123" i="79"/>
  <c r="G123" i="79"/>
  <c r="D149" i="79"/>
  <c r="D154" i="79" s="1"/>
  <c r="H149" i="79"/>
  <c r="H154" i="79" s="1"/>
  <c r="B89" i="46"/>
  <c r="B142" i="46"/>
  <c r="D142" i="46" s="1"/>
  <c r="L124" i="83"/>
  <c r="E204" i="83"/>
  <c r="E201" i="83"/>
  <c r="E206" i="83" s="1"/>
  <c r="I204" i="83"/>
  <c r="I201" i="83"/>
  <c r="I206" i="83" s="1"/>
  <c r="F110" i="1"/>
  <c r="F115" i="1" s="1"/>
  <c r="F113" i="1"/>
  <c r="E111" i="77"/>
  <c r="E116" i="77" s="1"/>
  <c r="E114" i="77"/>
  <c r="H13" i="87"/>
  <c r="C195" i="91"/>
  <c r="C194" i="91"/>
  <c r="H155" i="91"/>
  <c r="H113" i="88"/>
  <c r="H110" i="88"/>
  <c r="H115" i="88" s="1"/>
  <c r="K113" i="88"/>
  <c r="K110" i="88"/>
  <c r="K115" i="88" s="1"/>
  <c r="C191" i="88"/>
  <c r="C188" i="88"/>
  <c r="L191" i="88"/>
  <c r="L188" i="88"/>
  <c r="C217" i="88"/>
  <c r="C214" i="88"/>
  <c r="J181" i="88"/>
  <c r="K150" i="88"/>
  <c r="G112" i="88"/>
  <c r="M203" i="89"/>
  <c r="C177" i="89"/>
  <c r="J164" i="89"/>
  <c r="J163" i="89"/>
  <c r="I150" i="89"/>
  <c r="F125" i="89"/>
  <c r="F124" i="89"/>
  <c r="M124" i="89"/>
  <c r="M125" i="89"/>
  <c r="K112" i="89"/>
  <c r="K111" i="89"/>
  <c r="I164" i="90"/>
  <c r="M190" i="89"/>
  <c r="M189" i="89"/>
  <c r="N149" i="88"/>
  <c r="N154" i="88" s="1"/>
  <c r="D191" i="88"/>
  <c r="D188" i="88"/>
  <c r="G191" i="88"/>
  <c r="G188" i="88"/>
  <c r="M191" i="88"/>
  <c r="M188" i="88"/>
  <c r="D217" i="88"/>
  <c r="D214" i="88"/>
  <c r="G217" i="88"/>
  <c r="G214" i="88"/>
  <c r="H124" i="83"/>
  <c r="H125" i="83"/>
  <c r="C113" i="83"/>
  <c r="C110" i="83"/>
  <c r="E126" i="83"/>
  <c r="E123" i="83"/>
  <c r="I126" i="83"/>
  <c r="I123" i="83"/>
  <c r="M126" i="83"/>
  <c r="M123" i="83"/>
  <c r="J111" i="83"/>
  <c r="M151" i="88"/>
  <c r="M150" i="88"/>
  <c r="L125" i="88"/>
  <c r="L124" i="88"/>
  <c r="M216" i="89"/>
  <c r="D216" i="89"/>
  <c r="E150" i="89"/>
  <c r="E151" i="89"/>
  <c r="K125" i="90"/>
  <c r="K124" i="90"/>
  <c r="D189" i="90"/>
  <c r="D190" i="90"/>
  <c r="E204" i="90"/>
  <c r="E201" i="90"/>
  <c r="E206" i="90" s="1"/>
  <c r="M204" i="90"/>
  <c r="M201" i="90"/>
  <c r="M206" i="90" s="1"/>
  <c r="K126" i="88"/>
  <c r="K123" i="88"/>
  <c r="K128" i="88" s="1"/>
  <c r="H139" i="88"/>
  <c r="K136" i="88"/>
  <c r="K141" i="88" s="1"/>
  <c r="K139" i="88"/>
  <c r="I149" i="88"/>
  <c r="I154" i="88" s="1"/>
  <c r="K113" i="90"/>
  <c r="K110" i="90"/>
  <c r="N113" i="90"/>
  <c r="N110" i="90"/>
  <c r="E112" i="89"/>
  <c r="E111" i="89"/>
  <c r="C125" i="89"/>
  <c r="I112" i="90"/>
  <c r="F181" i="91"/>
  <c r="C126" i="88"/>
  <c r="C123" i="88"/>
  <c r="C128" i="88" s="1"/>
  <c r="I126" i="88"/>
  <c r="I123" i="88"/>
  <c r="I128" i="88" s="1"/>
  <c r="L136" i="88"/>
  <c r="L141" i="88" s="1"/>
  <c r="L230" i="88" s="1"/>
  <c r="L52" i="88" s="1"/>
  <c r="L139" i="88"/>
  <c r="E10" i="53"/>
  <c r="B65" i="46"/>
  <c r="D65" i="46" s="1"/>
  <c r="C10" i="53"/>
  <c r="L113" i="90"/>
  <c r="L110" i="90"/>
  <c r="C113" i="88"/>
  <c r="C110" i="88"/>
  <c r="C115" i="88" s="1"/>
  <c r="I113" i="88"/>
  <c r="I110" i="88"/>
  <c r="I115" i="88" s="1"/>
  <c r="G149" i="88"/>
  <c r="G154" i="88" s="1"/>
  <c r="F113" i="90"/>
  <c r="F110" i="90"/>
  <c r="O13" i="43"/>
  <c r="Q13" i="43" s="1"/>
  <c r="O12" i="43"/>
  <c r="Q12" i="43" s="1"/>
  <c r="G201" i="88"/>
  <c r="N138" i="88"/>
  <c r="H149" i="88"/>
  <c r="H154" i="88" s="1"/>
  <c r="N204" i="88"/>
  <c r="N201" i="88"/>
  <c r="L217" i="88"/>
  <c r="L214" i="88"/>
  <c r="L125" i="90"/>
  <c r="L124" i="90"/>
  <c r="O60" i="43"/>
  <c r="Q60" i="43" s="1"/>
  <c r="J188" i="90"/>
  <c r="J193" i="90" s="1"/>
  <c r="H162" i="90"/>
  <c r="J149" i="90"/>
  <c r="D123" i="90"/>
  <c r="D128" i="90" s="1"/>
  <c r="K180" i="91"/>
  <c r="K185" i="91" s="1"/>
  <c r="G141" i="91"/>
  <c r="G146" i="91" s="1"/>
  <c r="H136" i="90"/>
  <c r="H141" i="90" s="1"/>
  <c r="D139" i="88"/>
  <c r="D136" i="88"/>
  <c r="D141" i="88" s="1"/>
  <c r="G139" i="88"/>
  <c r="G136" i="88"/>
  <c r="G141" i="88" s="1"/>
  <c r="K191" i="88"/>
  <c r="K188" i="88"/>
  <c r="H204" i="88"/>
  <c r="H201" i="88"/>
  <c r="D113" i="90"/>
  <c r="D110" i="90"/>
  <c r="H126" i="90"/>
  <c r="N126" i="90"/>
  <c r="J139" i="90"/>
  <c r="L139" i="90"/>
  <c r="L152" i="90"/>
  <c r="N152" i="90"/>
  <c r="I204" i="90"/>
  <c r="I201" i="90"/>
  <c r="I206" i="90" s="1"/>
  <c r="M217" i="90"/>
  <c r="M214" i="90"/>
  <c r="G170" i="91"/>
  <c r="G167" i="91"/>
  <c r="G172" i="91" s="1"/>
  <c r="J144" i="91"/>
  <c r="J141" i="91"/>
  <c r="J146" i="91" s="1"/>
  <c r="N157" i="91"/>
  <c r="N154" i="91"/>
  <c r="N159" i="91" s="1"/>
  <c r="F305" i="82"/>
  <c r="F310" i="82" s="1"/>
  <c r="I305" i="82"/>
  <c r="I310" i="82" s="1"/>
  <c r="L331" i="82"/>
  <c r="L336" i="82" s="1"/>
  <c r="H344" i="82"/>
  <c r="N344" i="82"/>
  <c r="N349" i="82" s="1"/>
  <c r="F357" i="82"/>
  <c r="F362" i="82" s="1"/>
  <c r="G421" i="82"/>
  <c r="G424" i="82"/>
  <c r="O80" i="43"/>
  <c r="Q80" i="43" s="1"/>
  <c r="O59" i="43"/>
  <c r="Q59" i="43" s="1"/>
  <c r="O58" i="43"/>
  <c r="Q58" i="43" s="1"/>
  <c r="L307" i="82"/>
  <c r="K345" i="82"/>
  <c r="K346" i="82"/>
  <c r="N448" i="82"/>
  <c r="N453" i="82" s="1"/>
  <c r="C214" i="82"/>
  <c r="K253" i="82"/>
  <c r="I450" i="82"/>
  <c r="I447" i="82"/>
  <c r="K215" i="82"/>
  <c r="K216" i="82"/>
  <c r="C436" i="82"/>
  <c r="C440" i="82" s="1"/>
  <c r="D216" i="82"/>
  <c r="D215" i="82"/>
  <c r="E214" i="82"/>
  <c r="C292" i="82"/>
  <c r="C297" i="82" s="1"/>
  <c r="F292" i="82"/>
  <c r="F297" i="82" s="1"/>
  <c r="E331" i="82"/>
  <c r="E336" i="82" s="1"/>
  <c r="O54" i="43"/>
  <c r="Q54" i="43" s="1"/>
  <c r="O114" i="43"/>
  <c r="Q114" i="43" s="1"/>
  <c r="L214" i="82"/>
  <c r="N253" i="82"/>
  <c r="N318" i="82"/>
  <c r="N240" i="82"/>
  <c r="I292" i="82"/>
  <c r="I297" i="82" s="1"/>
  <c r="H331" i="82"/>
  <c r="H336" i="82" s="1"/>
  <c r="I434" i="82"/>
  <c r="I437" i="82"/>
  <c r="L461" i="82"/>
  <c r="M449" i="82"/>
  <c r="F214" i="82"/>
  <c r="M240" i="82"/>
  <c r="E292" i="82"/>
  <c r="E297" i="82" s="1"/>
  <c r="H305" i="82"/>
  <c r="H310" i="82" s="1"/>
  <c r="M214" i="82"/>
  <c r="E305" i="82"/>
  <c r="E310" i="82" s="1"/>
  <c r="G344" i="82"/>
  <c r="G349" i="82" s="1"/>
  <c r="M421" i="82"/>
  <c r="M424" i="82"/>
  <c r="H460" i="82"/>
  <c r="H463" i="82"/>
  <c r="O85" i="43"/>
  <c r="Q85" i="43" s="1"/>
  <c r="O61" i="43"/>
  <c r="Q61" i="43" s="1"/>
  <c r="O57" i="43"/>
  <c r="Q57" i="43" s="1"/>
  <c r="J424" i="82"/>
  <c r="J421" i="82"/>
  <c r="E437" i="82"/>
  <c r="E434" i="82"/>
  <c r="M463" i="82"/>
  <c r="M460" i="82"/>
  <c r="H447" i="82"/>
  <c r="H450" i="82"/>
  <c r="I461" i="82"/>
  <c r="E240" i="82"/>
  <c r="H292" i="82"/>
  <c r="H297" i="82" s="1"/>
  <c r="N305" i="82"/>
  <c r="N310" i="82" s="1"/>
  <c r="M344" i="82"/>
  <c r="M349" i="82" s="1"/>
  <c r="I318" i="82"/>
  <c r="L357" i="82"/>
  <c r="H421" i="82"/>
  <c r="H424" i="82"/>
  <c r="D460" i="82"/>
  <c r="D463" i="82"/>
  <c r="O117" i="43"/>
  <c r="Q117" i="43" s="1"/>
  <c r="O116" i="43"/>
  <c r="Q116" i="43" s="1"/>
  <c r="O109" i="43"/>
  <c r="Q109" i="43" s="1"/>
  <c r="O107" i="43"/>
  <c r="Q107" i="43" s="1"/>
  <c r="O102" i="43"/>
  <c r="Q102" i="43" s="1"/>
  <c r="O101" i="43"/>
  <c r="Q101" i="43" s="1"/>
  <c r="O100" i="43"/>
  <c r="Q100" i="43" s="1"/>
  <c r="O95" i="43"/>
  <c r="Q95" i="43" s="1"/>
  <c r="O94" i="43"/>
  <c r="Q94" i="43" s="1"/>
  <c r="E129" i="75"/>
  <c r="O99" i="43"/>
  <c r="O79" i="43"/>
  <c r="Q79" i="43" s="1"/>
  <c r="O108" i="43"/>
  <c r="Q108" i="43" s="1"/>
  <c r="N176" i="1"/>
  <c r="K177" i="1"/>
  <c r="F178" i="1"/>
  <c r="N177" i="1"/>
  <c r="J178" i="1"/>
  <c r="F177" i="1"/>
  <c r="K176" i="1"/>
  <c r="N178" i="1"/>
  <c r="C176" i="1"/>
  <c r="F83" i="75"/>
  <c r="J83" i="75"/>
  <c r="N83" i="75"/>
  <c r="C83" i="75"/>
  <c r="G83" i="75"/>
  <c r="K83" i="75"/>
  <c r="N83" i="90"/>
  <c r="J83" i="90"/>
  <c r="F83" i="90"/>
  <c r="N83" i="89"/>
  <c r="J83" i="89"/>
  <c r="F83" i="89"/>
  <c r="N83" i="88"/>
  <c r="J83" i="88"/>
  <c r="F83" i="88"/>
  <c r="N83" i="81"/>
  <c r="J83" i="81"/>
  <c r="F83" i="81"/>
  <c r="N83" i="78"/>
  <c r="J83" i="78"/>
  <c r="F83" i="78"/>
  <c r="J83" i="83"/>
  <c r="N83" i="82"/>
  <c r="J83" i="82"/>
  <c r="F83" i="82"/>
  <c r="D83" i="90"/>
  <c r="H83" i="89"/>
  <c r="L83" i="88"/>
  <c r="D83" i="88"/>
  <c r="H83" i="81"/>
  <c r="L83" i="79"/>
  <c r="D83" i="79"/>
  <c r="H83" i="78"/>
  <c r="L83" i="82"/>
  <c r="D83" i="82"/>
  <c r="G83" i="90"/>
  <c r="K83" i="89"/>
  <c r="C83" i="89"/>
  <c r="G83" i="88"/>
  <c r="K83" i="81"/>
  <c r="G83" i="79"/>
  <c r="K83" i="78"/>
  <c r="G83" i="74"/>
  <c r="K83" i="83"/>
  <c r="G83" i="82"/>
  <c r="M83" i="90"/>
  <c r="I83" i="90"/>
  <c r="M83" i="89"/>
  <c r="I83" i="89"/>
  <c r="E83" i="89"/>
  <c r="M83" i="88"/>
  <c r="M83" i="81"/>
  <c r="I83" i="81"/>
  <c r="E83" i="81"/>
  <c r="M83" i="79"/>
  <c r="I83" i="79"/>
  <c r="M83" i="78"/>
  <c r="I83" i="78"/>
  <c r="E83" i="78"/>
  <c r="M83" i="74"/>
  <c r="I83" i="74"/>
  <c r="E83" i="83"/>
  <c r="M83" i="82"/>
  <c r="I83" i="82"/>
  <c r="E83" i="82"/>
  <c r="L83" i="90"/>
  <c r="H83" i="90"/>
  <c r="L83" i="89"/>
  <c r="D83" i="89"/>
  <c r="L83" i="81"/>
  <c r="D83" i="81"/>
  <c r="L83" i="78"/>
  <c r="D83" i="78"/>
  <c r="H83" i="74"/>
  <c r="L83" i="83"/>
  <c r="D83" i="83"/>
  <c r="H83" i="82"/>
  <c r="K83" i="90"/>
  <c r="C83" i="90"/>
  <c r="G83" i="89"/>
  <c r="G83" i="81"/>
  <c r="G83" i="78"/>
  <c r="K83" i="74"/>
  <c r="C83" i="74"/>
  <c r="G83" i="83"/>
  <c r="K83" i="82"/>
  <c r="C83" i="82"/>
  <c r="D83" i="75"/>
  <c r="H83" i="75"/>
  <c r="L83" i="75"/>
  <c r="M83" i="76"/>
  <c r="B11" i="53"/>
  <c r="D11" i="53"/>
  <c r="B73" i="46"/>
  <c r="D73" i="46" s="1"/>
  <c r="E11" i="53"/>
  <c r="H11" i="53"/>
  <c r="J11" i="53"/>
  <c r="L11" i="53"/>
  <c r="I11" i="53"/>
  <c r="K11" i="53"/>
  <c r="M11" i="53"/>
  <c r="H191" i="77"/>
  <c r="H190" i="77"/>
  <c r="D203" i="77"/>
  <c r="D204" i="77"/>
  <c r="H202" i="77"/>
  <c r="L189" i="77"/>
  <c r="D189" i="77"/>
  <c r="H176" i="77"/>
  <c r="D163" i="77"/>
  <c r="I203" i="77"/>
  <c r="I178" i="77"/>
  <c r="H163" i="77"/>
  <c r="H150" i="77"/>
  <c r="F13" i="53"/>
  <c r="I125" i="77"/>
  <c r="H13" i="53"/>
  <c r="J13" i="53"/>
  <c r="L13" i="53"/>
  <c r="I13" i="53"/>
  <c r="K13" i="53"/>
  <c r="M13" i="53"/>
  <c r="E113" i="77"/>
  <c r="E13" i="53"/>
  <c r="G13" i="53"/>
  <c r="C13" i="53"/>
  <c r="B13" i="53"/>
  <c r="I112" i="77"/>
  <c r="G112" i="77"/>
  <c r="O96" i="43"/>
  <c r="Q96" i="43" s="1"/>
  <c r="O105" i="43"/>
  <c r="Q105" i="43" s="1"/>
  <c r="O104" i="43"/>
  <c r="Q104" i="43" s="1"/>
  <c r="G7" i="53"/>
  <c r="I7" i="53"/>
  <c r="K7" i="53"/>
  <c r="M7" i="53"/>
  <c r="F7" i="53"/>
  <c r="H7" i="53"/>
  <c r="B7" i="53"/>
  <c r="B46" i="75"/>
  <c r="B95" i="75" s="1"/>
  <c r="B16" i="46" s="1"/>
  <c r="O81" i="43"/>
  <c r="O118" i="43"/>
  <c r="Q118" i="43" s="1"/>
  <c r="O93" i="43"/>
  <c r="Q93" i="43" s="1"/>
  <c r="G202" i="75"/>
  <c r="G207" i="75" s="1"/>
  <c r="G189" i="75"/>
  <c r="G194" i="75" s="1"/>
  <c r="J203" i="75"/>
  <c r="J207" i="75" s="1"/>
  <c r="F176" i="75"/>
  <c r="N168" i="75"/>
  <c r="L203" i="75"/>
  <c r="L207" i="75" s="1"/>
  <c r="D176" i="75"/>
  <c r="D181" i="75" s="1"/>
  <c r="I155" i="75"/>
  <c r="E190" i="75"/>
  <c r="E194" i="75" s="1"/>
  <c r="C201" i="75"/>
  <c r="G175" i="75"/>
  <c r="G177" i="75" s="1"/>
  <c r="G162" i="75"/>
  <c r="G164" i="75" s="1"/>
  <c r="K188" i="75"/>
  <c r="K190" i="75" s="1"/>
  <c r="K175" i="75"/>
  <c r="C162" i="75"/>
  <c r="C164" i="75" s="1"/>
  <c r="I136" i="75"/>
  <c r="G138" i="75"/>
  <c r="G137" i="75"/>
  <c r="O110" i="43"/>
  <c r="Q110" i="43" s="1"/>
  <c r="F202" i="75"/>
  <c r="F207" i="75" s="1"/>
  <c r="N190" i="75"/>
  <c r="N194" i="75" s="1"/>
  <c r="L190" i="75"/>
  <c r="D164" i="75"/>
  <c r="D168" i="75" s="1"/>
  <c r="E136" i="75"/>
  <c r="E141" i="75" s="1"/>
  <c r="B15" i="46"/>
  <c r="D15" i="46" s="1"/>
  <c r="D189" i="75"/>
  <c r="H203" i="75"/>
  <c r="H207" i="75" s="1"/>
  <c r="H177" i="75"/>
  <c r="K155" i="75"/>
  <c r="G155" i="75"/>
  <c r="J155" i="75"/>
  <c r="M155" i="75"/>
  <c r="M201" i="75"/>
  <c r="E201" i="75"/>
  <c r="I188" i="75"/>
  <c r="M175" i="75"/>
  <c r="E175" i="75"/>
  <c r="I162" i="75"/>
  <c r="M136" i="75"/>
  <c r="M141" i="75" s="1"/>
  <c r="N125" i="75"/>
  <c r="N124" i="75"/>
  <c r="F123" i="75"/>
  <c r="F128" i="75" s="1"/>
  <c r="J123" i="75"/>
  <c r="J128" i="75" s="1"/>
  <c r="M124" i="75"/>
  <c r="M125" i="75"/>
  <c r="N155" i="75"/>
  <c r="D111" i="75"/>
  <c r="O82" i="43"/>
  <c r="O112" i="43"/>
  <c r="Q112" i="43" s="1"/>
  <c r="O113" i="43"/>
  <c r="Q113" i="43" s="1"/>
  <c r="O115" i="43"/>
  <c r="Q115" i="43" s="1"/>
  <c r="O97" i="43"/>
  <c r="Q97" i="43" s="1"/>
  <c r="O103" i="43"/>
  <c r="Q103" i="43" s="1"/>
  <c r="O86" i="43"/>
  <c r="Q86" i="43" s="1"/>
  <c r="B46" i="1"/>
  <c r="B95" i="1" s="1"/>
  <c r="B8" i="46" s="1"/>
  <c r="F203" i="1"/>
  <c r="F202" i="1"/>
  <c r="N203" i="1"/>
  <c r="N202" i="1"/>
  <c r="J216" i="1"/>
  <c r="J215" i="1"/>
  <c r="N214" i="1"/>
  <c r="N219" i="1" s="1"/>
  <c r="F214" i="1"/>
  <c r="F219" i="1" s="1"/>
  <c r="J201" i="1"/>
  <c r="J177" i="1"/>
  <c r="M177" i="1"/>
  <c r="N137" i="1"/>
  <c r="B7" i="46"/>
  <c r="D7" i="46" s="1"/>
  <c r="F125" i="1"/>
  <c r="J125" i="1"/>
  <c r="J124" i="1"/>
  <c r="F124" i="1"/>
  <c r="L124" i="1"/>
  <c r="H111" i="1"/>
  <c r="H112" i="1"/>
  <c r="N111" i="1"/>
  <c r="N112" i="1"/>
  <c r="G112" i="1"/>
  <c r="D453" i="82" l="1"/>
  <c r="F449" i="82"/>
  <c r="F453" i="82" s="1"/>
  <c r="M125" i="77"/>
  <c r="D138" i="80"/>
  <c r="H141" i="80"/>
  <c r="M124" i="90"/>
  <c r="M128" i="90"/>
  <c r="C112" i="78"/>
  <c r="K151" i="88"/>
  <c r="K154" i="88"/>
  <c r="D151" i="88"/>
  <c r="D155" i="88" s="1"/>
  <c r="D154" i="88"/>
  <c r="D230" i="88" s="1"/>
  <c r="D52" i="88" s="1"/>
  <c r="I230" i="88"/>
  <c r="I52" i="88" s="1"/>
  <c r="H142" i="88"/>
  <c r="D137" i="78"/>
  <c r="I138" i="81"/>
  <c r="D150" i="82"/>
  <c r="D151" i="82"/>
  <c r="D111" i="82"/>
  <c r="L111" i="1"/>
  <c r="L116" i="1" s="1"/>
  <c r="H142" i="1"/>
  <c r="G98" i="43"/>
  <c r="M98" i="43"/>
  <c r="F98" i="43"/>
  <c r="I98" i="43"/>
  <c r="H98" i="43"/>
  <c r="L98" i="43"/>
  <c r="J98" i="43"/>
  <c r="N98" i="43"/>
  <c r="K98" i="43"/>
  <c r="Q81" i="43"/>
  <c r="I83" i="88"/>
  <c r="J142" i="88"/>
  <c r="D150" i="88"/>
  <c r="H189" i="88"/>
  <c r="H194" i="88" s="1"/>
  <c r="N220" i="88"/>
  <c r="L203" i="88"/>
  <c r="D181" i="88"/>
  <c r="I202" i="88"/>
  <c r="I207" i="88" s="1"/>
  <c r="E189" i="88"/>
  <c r="E194" i="88" s="1"/>
  <c r="E137" i="88"/>
  <c r="F164" i="75"/>
  <c r="H126" i="77"/>
  <c r="M164" i="81"/>
  <c r="G190" i="81"/>
  <c r="G194" i="81" s="1"/>
  <c r="I138" i="89"/>
  <c r="F137" i="89"/>
  <c r="M168" i="91"/>
  <c r="N194" i="88"/>
  <c r="K230" i="88"/>
  <c r="K52" i="88" s="1"/>
  <c r="H164" i="80"/>
  <c r="N177" i="82"/>
  <c r="J319" i="82"/>
  <c r="I137" i="81"/>
  <c r="I142" i="81" s="1"/>
  <c r="M141" i="89"/>
  <c r="M142" i="89" s="1"/>
  <c r="J320" i="82"/>
  <c r="G150" i="79"/>
  <c r="D168" i="88"/>
  <c r="E207" i="91"/>
  <c r="E212" i="91" s="1"/>
  <c r="E203" i="88"/>
  <c r="E207" i="88" s="1"/>
  <c r="K138" i="75"/>
  <c r="J115" i="1"/>
  <c r="J228" i="1" s="1"/>
  <c r="J52" i="1" s="1"/>
  <c r="J111" i="1"/>
  <c r="J116" i="1" s="1"/>
  <c r="L163" i="75"/>
  <c r="N422" i="82"/>
  <c r="K202" i="88"/>
  <c r="K207" i="88" s="1"/>
  <c r="C26" i="73"/>
  <c r="K163" i="1"/>
  <c r="L138" i="80"/>
  <c r="D137" i="80"/>
  <c r="N176" i="82"/>
  <c r="F268" i="82"/>
  <c r="M137" i="89"/>
  <c r="I128" i="90"/>
  <c r="I129" i="90" s="1"/>
  <c r="M230" i="88"/>
  <c r="M52" i="88" s="1"/>
  <c r="C230" i="88"/>
  <c r="C52" i="88" s="1"/>
  <c r="G111" i="88"/>
  <c r="G115" i="88"/>
  <c r="G230" i="88" s="1"/>
  <c r="G52" i="88" s="1"/>
  <c r="F111" i="88"/>
  <c r="F115" i="88"/>
  <c r="F230" i="88" s="1"/>
  <c r="F52" i="88" s="1"/>
  <c r="H230" i="88"/>
  <c r="H52" i="88" s="1"/>
  <c r="E111" i="88"/>
  <c r="E115" i="88"/>
  <c r="E230" i="88"/>
  <c r="E52" i="88" s="1"/>
  <c r="N124" i="88"/>
  <c r="N128" i="88"/>
  <c r="N230" i="88" s="1"/>
  <c r="N52" i="88" s="1"/>
  <c r="G151" i="90"/>
  <c r="F320" i="82"/>
  <c r="D320" i="82"/>
  <c r="C319" i="82"/>
  <c r="D241" i="82"/>
  <c r="J242" i="82"/>
  <c r="C242" i="82"/>
  <c r="E112" i="79"/>
  <c r="M111" i="79"/>
  <c r="I112" i="79"/>
  <c r="N138" i="79"/>
  <c r="N142" i="79" s="1"/>
  <c r="K137" i="79"/>
  <c r="Q82" i="43"/>
  <c r="F6" i="97"/>
  <c r="Q99" i="43"/>
  <c r="C233" i="91"/>
  <c r="M221" i="91"/>
  <c r="D111" i="81"/>
  <c r="D112" i="81"/>
  <c r="L189" i="80"/>
  <c r="C203" i="81"/>
  <c r="M220" i="91"/>
  <c r="C202" i="81"/>
  <c r="C234" i="91"/>
  <c r="C238" i="91" s="1"/>
  <c r="J246" i="91"/>
  <c r="J251" i="91" s="1"/>
  <c r="D169" i="91"/>
  <c r="F195" i="91"/>
  <c r="E208" i="91"/>
  <c r="M156" i="91"/>
  <c r="G247" i="91"/>
  <c r="G246" i="91"/>
  <c r="E246" i="91"/>
  <c r="D247" i="91"/>
  <c r="E250" i="91"/>
  <c r="E178" i="77"/>
  <c r="J359" i="82"/>
  <c r="N142" i="77"/>
  <c r="H138" i="77"/>
  <c r="H111" i="81"/>
  <c r="H112" i="81"/>
  <c r="H139" i="77"/>
  <c r="J139" i="77"/>
  <c r="E139" i="77"/>
  <c r="J151" i="78"/>
  <c r="I234" i="91"/>
  <c r="M202" i="89"/>
  <c r="M207" i="89" s="1"/>
  <c r="J138" i="78"/>
  <c r="E233" i="91"/>
  <c r="G207" i="81"/>
  <c r="F124" i="83"/>
  <c r="J137" i="78"/>
  <c r="J142" i="78" s="1"/>
  <c r="K203" i="81"/>
  <c r="K202" i="81"/>
  <c r="J358" i="82"/>
  <c r="J363" i="82" s="1"/>
  <c r="I233" i="91"/>
  <c r="N193" i="89"/>
  <c r="I142" i="77"/>
  <c r="I216" i="77" s="1"/>
  <c r="I52" i="77" s="1"/>
  <c r="G165" i="77"/>
  <c r="N189" i="89"/>
  <c r="N194" i="89" s="1"/>
  <c r="E234" i="91"/>
  <c r="J154" i="78"/>
  <c r="G220" i="91"/>
  <c r="F125" i="83"/>
  <c r="D141" i="78"/>
  <c r="E224" i="91"/>
  <c r="G221" i="91"/>
  <c r="C212" i="91"/>
  <c r="E221" i="91"/>
  <c r="D246" i="91"/>
  <c r="D251" i="91" s="1"/>
  <c r="N139" i="77"/>
  <c r="G138" i="77"/>
  <c r="F142" i="77"/>
  <c r="G139" i="77"/>
  <c r="F139" i="77"/>
  <c r="I139" i="77"/>
  <c r="I189" i="90"/>
  <c r="L150" i="82"/>
  <c r="D215" i="75"/>
  <c r="D52" i="75" s="1"/>
  <c r="K141" i="75"/>
  <c r="K142" i="75" s="1"/>
  <c r="H111" i="89"/>
  <c r="H115" i="89"/>
  <c r="H246" i="91"/>
  <c r="H250" i="91"/>
  <c r="E165" i="77"/>
  <c r="H160" i="91"/>
  <c r="J138" i="77"/>
  <c r="M112" i="78"/>
  <c r="C427" i="82"/>
  <c r="I115" i="82"/>
  <c r="C142" i="1"/>
  <c r="G151" i="82"/>
  <c r="H125" i="77"/>
  <c r="H130" i="77" s="1"/>
  <c r="K306" i="82"/>
  <c r="K319" i="82"/>
  <c r="M247" i="91"/>
  <c r="K164" i="89"/>
  <c r="K168" i="89" s="1"/>
  <c r="N125" i="88"/>
  <c r="G155" i="91"/>
  <c r="F112" i="88"/>
  <c r="F116" i="88" s="1"/>
  <c r="J228" i="88"/>
  <c r="J50" i="88" s="1"/>
  <c r="M215" i="88"/>
  <c r="M142" i="77"/>
  <c r="G163" i="79"/>
  <c r="K138" i="77"/>
  <c r="H177" i="80"/>
  <c r="H176" i="80"/>
  <c r="I112" i="82"/>
  <c r="E202" i="82"/>
  <c r="N216" i="82"/>
  <c r="D138" i="79"/>
  <c r="G151" i="79"/>
  <c r="C124" i="78"/>
  <c r="I137" i="89"/>
  <c r="J202" i="89"/>
  <c r="J206" i="89"/>
  <c r="H143" i="91"/>
  <c r="L139" i="77"/>
  <c r="J336" i="82"/>
  <c r="J307" i="82"/>
  <c r="L234" i="91"/>
  <c r="C203" i="89"/>
  <c r="C206" i="89"/>
  <c r="F165" i="77"/>
  <c r="F234" i="91"/>
  <c r="E112" i="88"/>
  <c r="F163" i="79"/>
  <c r="L220" i="91"/>
  <c r="M150" i="89"/>
  <c r="C125" i="78"/>
  <c r="K246" i="91"/>
  <c r="K250" i="91"/>
  <c r="D125" i="83"/>
  <c r="J164" i="77"/>
  <c r="F124" i="74"/>
  <c r="G185" i="91"/>
  <c r="G186" i="91" s="1"/>
  <c r="M195" i="91"/>
  <c r="D138" i="77"/>
  <c r="L194" i="75"/>
  <c r="K320" i="82"/>
  <c r="K324" i="82" s="1"/>
  <c r="J116" i="83"/>
  <c r="C176" i="89"/>
  <c r="M124" i="82"/>
  <c r="H164" i="82"/>
  <c r="M125" i="82"/>
  <c r="I267" i="82"/>
  <c r="D111" i="78"/>
  <c r="M124" i="81"/>
  <c r="M129" i="81" s="1"/>
  <c r="E319" i="82"/>
  <c r="E324" i="82" s="1"/>
  <c r="F233" i="91"/>
  <c r="I125" i="90"/>
  <c r="G150" i="82"/>
  <c r="G155" i="82" s="1"/>
  <c r="G150" i="90"/>
  <c r="J168" i="88"/>
  <c r="O188" i="81"/>
  <c r="D319" i="82"/>
  <c r="D324" i="82" s="1"/>
  <c r="L202" i="81"/>
  <c r="I186" i="91"/>
  <c r="M198" i="91"/>
  <c r="C52" i="76"/>
  <c r="I203" i="81"/>
  <c r="I230" i="81"/>
  <c r="I52" i="81" s="1"/>
  <c r="D142" i="77"/>
  <c r="H181" i="75"/>
  <c r="H242" i="82"/>
  <c r="K307" i="82"/>
  <c r="K294" i="82"/>
  <c r="M246" i="91"/>
  <c r="L137" i="89"/>
  <c r="K181" i="88"/>
  <c r="G156" i="91"/>
  <c r="G160" i="91" s="1"/>
  <c r="I142" i="91"/>
  <c r="M139" i="77"/>
  <c r="M143" i="77" s="1"/>
  <c r="H163" i="75"/>
  <c r="K142" i="77"/>
  <c r="C25" i="73"/>
  <c r="D202" i="75"/>
  <c r="D207" i="75" s="1"/>
  <c r="E203" i="77"/>
  <c r="E138" i="77"/>
  <c r="F138" i="74"/>
  <c r="E125" i="82"/>
  <c r="E129" i="82" s="1"/>
  <c r="F176" i="82"/>
  <c r="D202" i="82"/>
  <c r="E320" i="82"/>
  <c r="F164" i="79"/>
  <c r="F168" i="79" s="1"/>
  <c r="G125" i="81"/>
  <c r="F202" i="89"/>
  <c r="F206" i="89"/>
  <c r="F230" i="89" s="1"/>
  <c r="F52" i="89" s="1"/>
  <c r="D202" i="89"/>
  <c r="D206" i="89"/>
  <c r="L138" i="77"/>
  <c r="J332" i="82"/>
  <c r="I190" i="90"/>
  <c r="D242" i="82"/>
  <c r="L233" i="91"/>
  <c r="L221" i="91"/>
  <c r="L225" i="91" s="1"/>
  <c r="M151" i="89"/>
  <c r="D203" i="78"/>
  <c r="D228" i="81"/>
  <c r="D50" i="81" s="1"/>
  <c r="D230" i="81"/>
  <c r="D52" i="81" s="1"/>
  <c r="D112" i="89"/>
  <c r="D115" i="89"/>
  <c r="E203" i="89"/>
  <c r="E206" i="89"/>
  <c r="F117" i="77"/>
  <c r="E112" i="81"/>
  <c r="E115" i="81"/>
  <c r="N155" i="78"/>
  <c r="K233" i="91"/>
  <c r="K237" i="91"/>
  <c r="C111" i="81"/>
  <c r="C115" i="81"/>
  <c r="I177" i="89"/>
  <c r="I181" i="89" s="1"/>
  <c r="I190" i="89"/>
  <c r="I193" i="89"/>
  <c r="G189" i="89"/>
  <c r="G193" i="89"/>
  <c r="H190" i="89"/>
  <c r="H193" i="89"/>
  <c r="K189" i="89"/>
  <c r="G190" i="89"/>
  <c r="K190" i="89"/>
  <c r="F216" i="81"/>
  <c r="N215" i="81"/>
  <c r="M216" i="81"/>
  <c r="J216" i="81"/>
  <c r="J230" i="81"/>
  <c r="J52" i="81" s="1"/>
  <c r="E215" i="81"/>
  <c r="K112" i="81"/>
  <c r="K111" i="81"/>
  <c r="E111" i="81"/>
  <c r="J306" i="82"/>
  <c r="D203" i="82"/>
  <c r="L203" i="82"/>
  <c r="C203" i="82"/>
  <c r="C471" i="82"/>
  <c r="C50" i="82" s="1"/>
  <c r="E471" i="82"/>
  <c r="H163" i="78"/>
  <c r="H167" i="78"/>
  <c r="I163" i="78"/>
  <c r="I167" i="78"/>
  <c r="I215" i="78" s="1"/>
  <c r="I52" i="78" s="1"/>
  <c r="H138" i="78"/>
  <c r="H141" i="78"/>
  <c r="H215" i="78" s="1"/>
  <c r="H52" i="78" s="1"/>
  <c r="M238" i="91"/>
  <c r="F137" i="74"/>
  <c r="F142" i="74" s="1"/>
  <c r="C129" i="74"/>
  <c r="E164" i="77"/>
  <c r="F164" i="77"/>
  <c r="M177" i="77"/>
  <c r="E252" i="80"/>
  <c r="E50" i="80" s="1"/>
  <c r="K216" i="90"/>
  <c r="I216" i="90"/>
  <c r="I220" i="90" s="1"/>
  <c r="N358" i="82"/>
  <c r="L375" i="82"/>
  <c r="L362" i="82"/>
  <c r="D359" i="82"/>
  <c r="D471" i="82"/>
  <c r="D50" i="82" s="1"/>
  <c r="M359" i="82"/>
  <c r="G358" i="82"/>
  <c r="H362" i="82"/>
  <c r="K362" i="82"/>
  <c r="I362" i="82"/>
  <c r="G215" i="1"/>
  <c r="G219" i="1"/>
  <c r="G216" i="1"/>
  <c r="E142" i="1"/>
  <c r="F142" i="75"/>
  <c r="F215" i="90"/>
  <c r="F220" i="90" s="1"/>
  <c r="M453" i="82"/>
  <c r="C259" i="82"/>
  <c r="G52" i="76"/>
  <c r="E52" i="76"/>
  <c r="J50" i="76"/>
  <c r="D98" i="43"/>
  <c r="E98" i="43"/>
  <c r="C98" i="43"/>
  <c r="B150" i="46"/>
  <c r="B64" i="46" s="1"/>
  <c r="B177" i="46"/>
  <c r="D177" i="46" s="1"/>
  <c r="D150" i="46"/>
  <c r="D64" i="46" s="1"/>
  <c r="C150" i="46"/>
  <c r="C64" i="46" s="1"/>
  <c r="H137" i="80"/>
  <c r="H142" i="80" s="1"/>
  <c r="F52" i="76"/>
  <c r="J177" i="82"/>
  <c r="J138" i="75"/>
  <c r="J142" i="75" s="1"/>
  <c r="J141" i="75"/>
  <c r="G164" i="80"/>
  <c r="G167" i="80"/>
  <c r="D125" i="78"/>
  <c r="D128" i="78"/>
  <c r="E176" i="81"/>
  <c r="E180" i="81"/>
  <c r="G138" i="81"/>
  <c r="G142" i="81" s="1"/>
  <c r="G141" i="81"/>
  <c r="G230" i="81" s="1"/>
  <c r="G52" i="81" s="1"/>
  <c r="F142" i="1"/>
  <c r="N138" i="75"/>
  <c r="N141" i="75"/>
  <c r="N215" i="75" s="1"/>
  <c r="N52" i="75" s="1"/>
  <c r="N440" i="82"/>
  <c r="D125" i="88"/>
  <c r="D124" i="88"/>
  <c r="N137" i="74"/>
  <c r="N142" i="74" s="1"/>
  <c r="D255" i="82"/>
  <c r="L306" i="82"/>
  <c r="J151" i="77"/>
  <c r="J156" i="77" s="1"/>
  <c r="H177" i="89"/>
  <c r="H180" i="89"/>
  <c r="H255" i="82"/>
  <c r="L125" i="82"/>
  <c r="G176" i="1"/>
  <c r="G180" i="1"/>
  <c r="I124" i="82"/>
  <c r="O201" i="81"/>
  <c r="N226" i="1"/>
  <c r="N50" i="1" s="1"/>
  <c r="H125" i="75"/>
  <c r="F50" i="76"/>
  <c r="K126" i="77"/>
  <c r="G435" i="82"/>
  <c r="G440" i="82" s="1"/>
  <c r="G255" i="82"/>
  <c r="D155" i="91"/>
  <c r="J215" i="89"/>
  <c r="G115" i="1"/>
  <c r="G116" i="1" s="1"/>
  <c r="H247" i="91"/>
  <c r="M202" i="88"/>
  <c r="M207" i="88" s="1"/>
  <c r="H50" i="76"/>
  <c r="C138" i="75"/>
  <c r="C141" i="75"/>
  <c r="C215" i="75" s="1"/>
  <c r="C52" i="75" s="1"/>
  <c r="N164" i="78"/>
  <c r="N168" i="78" s="1"/>
  <c r="F111" i="79"/>
  <c r="G252" i="80"/>
  <c r="G50" i="80" s="1"/>
  <c r="L141" i="80"/>
  <c r="L142" i="80" s="1"/>
  <c r="K124" i="82"/>
  <c r="H125" i="82"/>
  <c r="N228" i="82"/>
  <c r="M306" i="82"/>
  <c r="D137" i="79"/>
  <c r="D142" i="79" s="1"/>
  <c r="J164" i="79"/>
  <c r="I358" i="82"/>
  <c r="D111" i="89"/>
  <c r="C180" i="81"/>
  <c r="O175" i="81"/>
  <c r="L189" i="81"/>
  <c r="L194" i="81" s="1"/>
  <c r="N177" i="77"/>
  <c r="D115" i="78"/>
  <c r="D116" i="78" s="1"/>
  <c r="L254" i="82"/>
  <c r="E177" i="82"/>
  <c r="F124" i="82"/>
  <c r="C168" i="91"/>
  <c r="C173" i="91" s="1"/>
  <c r="F215" i="88"/>
  <c r="F220" i="88" s="1"/>
  <c r="G242" i="82"/>
  <c r="G246" i="82" s="1"/>
  <c r="D215" i="90"/>
  <c r="D220" i="90" s="1"/>
  <c r="J203" i="78"/>
  <c r="J207" i="78" s="1"/>
  <c r="N154" i="79"/>
  <c r="K151" i="82"/>
  <c r="K155" i="82" s="1"/>
  <c r="E177" i="78"/>
  <c r="E181" i="78" s="1"/>
  <c r="K164" i="90"/>
  <c r="K168" i="90" s="1"/>
  <c r="C124" i="89"/>
  <c r="C128" i="89"/>
  <c r="O110" i="81"/>
  <c r="M193" i="82"/>
  <c r="F149" i="74"/>
  <c r="F158" i="74"/>
  <c r="C141" i="74"/>
  <c r="C137" i="74"/>
  <c r="C142" i="74" s="1"/>
  <c r="E138" i="74"/>
  <c r="I138" i="75"/>
  <c r="I141" i="75"/>
  <c r="J176" i="89"/>
  <c r="J180" i="89"/>
  <c r="I124" i="79"/>
  <c r="E203" i="82"/>
  <c r="C229" i="82"/>
  <c r="L241" i="82"/>
  <c r="L345" i="82"/>
  <c r="F124" i="78"/>
  <c r="F128" i="78"/>
  <c r="E177" i="89"/>
  <c r="E180" i="89"/>
  <c r="D125" i="89"/>
  <c r="D128" i="89"/>
  <c r="I111" i="75"/>
  <c r="I115" i="75"/>
  <c r="H124" i="75"/>
  <c r="D194" i="75"/>
  <c r="K125" i="77"/>
  <c r="F126" i="77"/>
  <c r="C177" i="1"/>
  <c r="C181" i="1" s="1"/>
  <c r="G254" i="82"/>
  <c r="H176" i="89"/>
  <c r="F194" i="91"/>
  <c r="F199" i="91" s="1"/>
  <c r="M176" i="82"/>
  <c r="M181" i="82" s="1"/>
  <c r="I163" i="80"/>
  <c r="M189" i="75"/>
  <c r="G163" i="82"/>
  <c r="G168" i="82" s="1"/>
  <c r="N163" i="78"/>
  <c r="G145" i="74"/>
  <c r="G158" i="74" s="1"/>
  <c r="E137" i="74"/>
  <c r="F112" i="79"/>
  <c r="F116" i="79" s="1"/>
  <c r="H163" i="80"/>
  <c r="N190" i="80"/>
  <c r="D124" i="82"/>
  <c r="J124" i="82"/>
  <c r="J150" i="82"/>
  <c r="I164" i="82"/>
  <c r="J176" i="82"/>
  <c r="C241" i="82"/>
  <c r="C246" i="82" s="1"/>
  <c r="D440" i="82"/>
  <c r="J448" i="82"/>
  <c r="J453" i="82" s="1"/>
  <c r="H228" i="81"/>
  <c r="H50" i="81" s="1"/>
  <c r="H141" i="81"/>
  <c r="M163" i="81"/>
  <c r="E177" i="81"/>
  <c r="D202" i="81"/>
  <c r="H163" i="82"/>
  <c r="M254" i="82"/>
  <c r="C169" i="91"/>
  <c r="C163" i="82"/>
  <c r="K163" i="79"/>
  <c r="K167" i="79"/>
  <c r="E124" i="78"/>
  <c r="E128" i="78"/>
  <c r="E199" i="91"/>
  <c r="H138" i="75"/>
  <c r="H141" i="75"/>
  <c r="H215" i="75" s="1"/>
  <c r="H52" i="75" s="1"/>
  <c r="H207" i="1"/>
  <c r="G124" i="82"/>
  <c r="N151" i="79"/>
  <c r="C124" i="82"/>
  <c r="G111" i="75"/>
  <c r="G115" i="75"/>
  <c r="L138" i="75"/>
  <c r="L141" i="75"/>
  <c r="I259" i="82"/>
  <c r="H125" i="88"/>
  <c r="H124" i="88"/>
  <c r="O136" i="81"/>
  <c r="D136" i="74"/>
  <c r="D145" i="74"/>
  <c r="F150" i="88"/>
  <c r="F151" i="88"/>
  <c r="C149" i="74"/>
  <c r="C158" i="74"/>
  <c r="H151" i="82"/>
  <c r="H150" i="82"/>
  <c r="M137" i="1"/>
  <c r="M141" i="1"/>
  <c r="D221" i="91"/>
  <c r="D224" i="91"/>
  <c r="K221" i="91"/>
  <c r="K224" i="91"/>
  <c r="I221" i="91"/>
  <c r="I224" i="91"/>
  <c r="I258" i="91" s="1"/>
  <c r="I83" i="91" s="1"/>
  <c r="H220" i="91"/>
  <c r="H224" i="91"/>
  <c r="C221" i="91"/>
  <c r="C224" i="91"/>
  <c r="J221" i="91"/>
  <c r="J224" i="91"/>
  <c r="J258" i="91" s="1"/>
  <c r="J83" i="91" s="1"/>
  <c r="H163" i="89"/>
  <c r="H168" i="89" s="1"/>
  <c r="I124" i="89"/>
  <c r="I128" i="89"/>
  <c r="J125" i="89"/>
  <c r="J128" i="89"/>
  <c r="O123" i="81"/>
  <c r="I189" i="80"/>
  <c r="C190" i="80"/>
  <c r="C254" i="80"/>
  <c r="H189" i="80"/>
  <c r="H254" i="80"/>
  <c r="D189" i="80"/>
  <c r="G298" i="82"/>
  <c r="K267" i="82"/>
  <c r="D112" i="82"/>
  <c r="D116" i="82" s="1"/>
  <c r="E226" i="1"/>
  <c r="E50" i="1" s="1"/>
  <c r="E228" i="1"/>
  <c r="E52" i="1" s="1"/>
  <c r="M138" i="1"/>
  <c r="K125" i="83"/>
  <c r="J203" i="90"/>
  <c r="C163" i="90"/>
  <c r="E216" i="90"/>
  <c r="E220" i="90" s="1"/>
  <c r="I168" i="90"/>
  <c r="N215" i="90"/>
  <c r="N220" i="90" s="1"/>
  <c r="G203" i="90"/>
  <c r="G202" i="90"/>
  <c r="J202" i="90"/>
  <c r="N189" i="90"/>
  <c r="F163" i="90"/>
  <c r="F168" i="90" s="1"/>
  <c r="E150" i="90"/>
  <c r="M150" i="90"/>
  <c r="H150" i="90"/>
  <c r="H155" i="90" s="1"/>
  <c r="H230" i="90"/>
  <c r="H52" i="90" s="1"/>
  <c r="M151" i="90"/>
  <c r="I150" i="90"/>
  <c r="H151" i="90"/>
  <c r="K150" i="90"/>
  <c r="I151" i="90"/>
  <c r="K138" i="90"/>
  <c r="K141" i="90"/>
  <c r="N137" i="90"/>
  <c r="F138" i="90"/>
  <c r="F141" i="90"/>
  <c r="D138" i="90"/>
  <c r="D141" i="90"/>
  <c r="D230" i="90" s="1"/>
  <c r="D52" i="90" s="1"/>
  <c r="N138" i="90"/>
  <c r="E137" i="90"/>
  <c r="E141" i="90"/>
  <c r="M190" i="82"/>
  <c r="D194" i="82"/>
  <c r="G190" i="82"/>
  <c r="G203" i="82"/>
  <c r="F202" i="82"/>
  <c r="F203" i="82"/>
  <c r="G202" i="82"/>
  <c r="G207" i="82" s="1"/>
  <c r="C202" i="82"/>
  <c r="J202" i="82"/>
  <c r="J207" i="82" s="1"/>
  <c r="N203" i="82"/>
  <c r="I137" i="82"/>
  <c r="I142" i="82" s="1"/>
  <c r="F138" i="82"/>
  <c r="E138" i="82"/>
  <c r="D138" i="82"/>
  <c r="C138" i="82"/>
  <c r="M138" i="82"/>
  <c r="F137" i="82"/>
  <c r="N138" i="82"/>
  <c r="D137" i="82"/>
  <c r="N137" i="82"/>
  <c r="C137" i="82"/>
  <c r="D254" i="82"/>
  <c r="I375" i="82"/>
  <c r="I372" i="82"/>
  <c r="F346" i="82"/>
  <c r="H319" i="82"/>
  <c r="L293" i="82"/>
  <c r="K293" i="82"/>
  <c r="K298" i="82" s="1"/>
  <c r="L294" i="82"/>
  <c r="C267" i="82"/>
  <c r="N267" i="82"/>
  <c r="N272" i="82" s="1"/>
  <c r="M268" i="82"/>
  <c r="M272" i="82" s="1"/>
  <c r="M255" i="82"/>
  <c r="H254" i="82"/>
  <c r="G228" i="82"/>
  <c r="N229" i="82"/>
  <c r="C228" i="82"/>
  <c r="I216" i="82"/>
  <c r="I215" i="82"/>
  <c r="N215" i="82"/>
  <c r="J189" i="82"/>
  <c r="J193" i="82"/>
  <c r="E194" i="82"/>
  <c r="H190" i="82"/>
  <c r="H193" i="82"/>
  <c r="H189" i="82"/>
  <c r="K190" i="82"/>
  <c r="K193" i="82"/>
  <c r="J190" i="82"/>
  <c r="G189" i="82"/>
  <c r="I190" i="82"/>
  <c r="I193" i="82"/>
  <c r="L190" i="82"/>
  <c r="L193" i="82"/>
  <c r="L189" i="82"/>
  <c r="C189" i="82"/>
  <c r="C193" i="82"/>
  <c r="C190" i="82"/>
  <c r="E137" i="82"/>
  <c r="K138" i="82"/>
  <c r="L137" i="82"/>
  <c r="H124" i="82"/>
  <c r="I125" i="79"/>
  <c r="E125" i="79"/>
  <c r="L155" i="78"/>
  <c r="L125" i="77"/>
  <c r="L129" i="77"/>
  <c r="M126" i="77"/>
  <c r="J125" i="77"/>
  <c r="J129" i="77"/>
  <c r="I126" i="77"/>
  <c r="G125" i="77"/>
  <c r="G129" i="77"/>
  <c r="G216" i="77" s="1"/>
  <c r="G52" i="77" s="1"/>
  <c r="F125" i="77"/>
  <c r="E125" i="77"/>
  <c r="E130" i="77" s="1"/>
  <c r="E129" i="77"/>
  <c r="C125" i="77"/>
  <c r="C129" i="77"/>
  <c r="C216" i="77" s="1"/>
  <c r="C52" i="77" s="1"/>
  <c r="D126" i="77"/>
  <c r="D125" i="77"/>
  <c r="L126" i="77"/>
  <c r="N113" i="77"/>
  <c r="N116" i="77"/>
  <c r="F182" i="91"/>
  <c r="H182" i="91"/>
  <c r="H185" i="91"/>
  <c r="M160" i="91"/>
  <c r="K160" i="91"/>
  <c r="I169" i="91"/>
  <c r="D156" i="91"/>
  <c r="J160" i="91"/>
  <c r="E143" i="91"/>
  <c r="E147" i="91" s="1"/>
  <c r="C142" i="91"/>
  <c r="C143" i="91"/>
  <c r="D220" i="91"/>
  <c r="J220" i="91"/>
  <c r="H221" i="91"/>
  <c r="J207" i="91"/>
  <c r="G208" i="91"/>
  <c r="G211" i="91"/>
  <c r="J208" i="91"/>
  <c r="K208" i="91"/>
  <c r="K211" i="91"/>
  <c r="K212" i="91" s="1"/>
  <c r="H256" i="91"/>
  <c r="H81" i="91" s="1"/>
  <c r="I168" i="91"/>
  <c r="I173" i="91" s="1"/>
  <c r="D168" i="91"/>
  <c r="F169" i="91"/>
  <c r="F172" i="91"/>
  <c r="I256" i="91"/>
  <c r="I81" i="91" s="1"/>
  <c r="K168" i="91"/>
  <c r="K172" i="91"/>
  <c r="E256" i="91"/>
  <c r="E81" i="91" s="1"/>
  <c r="F181" i="75"/>
  <c r="I155" i="1"/>
  <c r="G194" i="78"/>
  <c r="F168" i="75"/>
  <c r="J199" i="91"/>
  <c r="H168" i="81"/>
  <c r="G115" i="82"/>
  <c r="K125" i="75"/>
  <c r="N427" i="82"/>
  <c r="H155" i="75"/>
  <c r="C129" i="78"/>
  <c r="H173" i="91"/>
  <c r="G112" i="82"/>
  <c r="L207" i="78"/>
  <c r="J168" i="78"/>
  <c r="D311" i="82"/>
  <c r="C272" i="82"/>
  <c r="D207" i="78"/>
  <c r="N207" i="78"/>
  <c r="J194" i="78"/>
  <c r="L207" i="90"/>
  <c r="D427" i="82"/>
  <c r="D116" i="88"/>
  <c r="H116" i="83"/>
  <c r="E168" i="89"/>
  <c r="C168" i="1"/>
  <c r="G324" i="82"/>
  <c r="C142" i="90"/>
  <c r="E129" i="1"/>
  <c r="D129" i="75"/>
  <c r="E155" i="82"/>
  <c r="K168" i="81"/>
  <c r="I168" i="81"/>
  <c r="J129" i="88"/>
  <c r="N129" i="90"/>
  <c r="C207" i="1"/>
  <c r="G208" i="77"/>
  <c r="D168" i="82"/>
  <c r="E466" i="82"/>
  <c r="M116" i="89"/>
  <c r="N116" i="75"/>
  <c r="K129" i="1"/>
  <c r="C181" i="78"/>
  <c r="M298" i="82"/>
  <c r="L440" i="82"/>
  <c r="F207" i="78"/>
  <c r="D285" i="82"/>
  <c r="L168" i="75"/>
  <c r="N155" i="90"/>
  <c r="G116" i="83"/>
  <c r="K168" i="1"/>
  <c r="E207" i="78"/>
  <c r="N168" i="89"/>
  <c r="I116" i="89"/>
  <c r="J155" i="79"/>
  <c r="N181" i="78"/>
  <c r="I251" i="91"/>
  <c r="E220" i="89"/>
  <c r="L116" i="83"/>
  <c r="L116" i="75"/>
  <c r="F129" i="74"/>
  <c r="H129" i="90"/>
  <c r="E208" i="77"/>
  <c r="L427" i="82"/>
  <c r="F129" i="88"/>
  <c r="D129" i="1"/>
  <c r="H168" i="75"/>
  <c r="L138" i="74"/>
  <c r="L142" i="74" s="1"/>
  <c r="H111" i="82"/>
  <c r="N466" i="82"/>
  <c r="K272" i="82"/>
  <c r="E168" i="1"/>
  <c r="L207" i="83"/>
  <c r="E155" i="1"/>
  <c r="D258" i="91"/>
  <c r="D83" i="91" s="1"/>
  <c r="C168" i="81"/>
  <c r="L453" i="82"/>
  <c r="K155" i="88"/>
  <c r="M220" i="88"/>
  <c r="M207" i="83"/>
  <c r="K195" i="77"/>
  <c r="E181" i="1"/>
  <c r="J311" i="82"/>
  <c r="I199" i="91"/>
  <c r="F116" i="83"/>
  <c r="N168" i="88"/>
  <c r="L168" i="82"/>
  <c r="N116" i="83"/>
  <c r="J207" i="88"/>
  <c r="H115" i="82"/>
  <c r="L111" i="82"/>
  <c r="N125" i="74"/>
  <c r="N129" i="74" s="1"/>
  <c r="L176" i="89"/>
  <c r="L180" i="89"/>
  <c r="H111" i="79"/>
  <c r="D238" i="79"/>
  <c r="D52" i="79" s="1"/>
  <c r="N125" i="77"/>
  <c r="N126" i="77"/>
  <c r="K359" i="82"/>
  <c r="N142" i="88"/>
  <c r="C215" i="83"/>
  <c r="C52" i="83" s="1"/>
  <c r="C199" i="91"/>
  <c r="L258" i="91"/>
  <c r="L83" i="91" s="1"/>
  <c r="I252" i="80"/>
  <c r="I50" i="80" s="1"/>
  <c r="I125" i="82"/>
  <c r="I129" i="82" s="1"/>
  <c r="L242" i="82"/>
  <c r="F345" i="82"/>
  <c r="M215" i="78"/>
  <c r="M52" i="78" s="1"/>
  <c r="I116" i="79"/>
  <c r="D375" i="82"/>
  <c r="D371" i="82"/>
  <c r="F466" i="82"/>
  <c r="H203" i="80"/>
  <c r="C226" i="1"/>
  <c r="C50" i="1" s="1"/>
  <c r="K203" i="83"/>
  <c r="K206" i="83"/>
  <c r="K202" i="83"/>
  <c r="J215" i="83"/>
  <c r="J52" i="83" s="1"/>
  <c r="I215" i="83"/>
  <c r="I52" i="83" s="1"/>
  <c r="E215" i="74"/>
  <c r="E52" i="74" s="1"/>
  <c r="J168" i="91"/>
  <c r="J169" i="91"/>
  <c r="G125" i="88"/>
  <c r="G124" i="88"/>
  <c r="J255" i="82"/>
  <c r="J254" i="82"/>
  <c r="F137" i="88"/>
  <c r="F138" i="88"/>
  <c r="I128" i="1"/>
  <c r="I228" i="1" s="1"/>
  <c r="I52" i="1" s="1"/>
  <c r="I124" i="1"/>
  <c r="I125" i="1"/>
  <c r="C150" i="79"/>
  <c r="C154" i="79"/>
  <c r="I156" i="91"/>
  <c r="I155" i="91"/>
  <c r="K111" i="75"/>
  <c r="K115" i="75"/>
  <c r="K215" i="75" s="1"/>
  <c r="K52" i="75" s="1"/>
  <c r="K112" i="75"/>
  <c r="J158" i="74"/>
  <c r="J149" i="74"/>
  <c r="K423" i="82"/>
  <c r="K422" i="82"/>
  <c r="L163" i="81"/>
  <c r="L164" i="81"/>
  <c r="C246" i="91"/>
  <c r="C247" i="91"/>
  <c r="C216" i="90"/>
  <c r="C215" i="90"/>
  <c r="M180" i="89"/>
  <c r="M177" i="89"/>
  <c r="C202" i="88"/>
  <c r="C203" i="88"/>
  <c r="F190" i="88"/>
  <c r="F189" i="88"/>
  <c r="F111" i="1"/>
  <c r="I137" i="75"/>
  <c r="E163" i="75"/>
  <c r="E168" i="75" s="1"/>
  <c r="C137" i="75"/>
  <c r="L155" i="90"/>
  <c r="M176" i="89"/>
  <c r="K213" i="75"/>
  <c r="K50" i="75" s="1"/>
  <c r="G142" i="78"/>
  <c r="M212" i="91"/>
  <c r="J177" i="80"/>
  <c r="H202" i="80"/>
  <c r="D124" i="89"/>
  <c r="J137" i="74"/>
  <c r="J142" i="74" s="1"/>
  <c r="C349" i="82"/>
  <c r="C345" i="82"/>
  <c r="L319" i="82"/>
  <c r="L186" i="91"/>
  <c r="H194" i="1"/>
  <c r="D163" i="90"/>
  <c r="D168" i="90" s="1"/>
  <c r="F216" i="89"/>
  <c r="F215" i="89"/>
  <c r="C189" i="89"/>
  <c r="C190" i="89"/>
  <c r="J137" i="89"/>
  <c r="J141" i="89"/>
  <c r="I216" i="81"/>
  <c r="I215" i="81"/>
  <c r="F111" i="89"/>
  <c r="F112" i="89"/>
  <c r="C112" i="82"/>
  <c r="C115" i="82"/>
  <c r="H207" i="83"/>
  <c r="E215" i="83"/>
  <c r="E52" i="83" s="1"/>
  <c r="N202" i="75"/>
  <c r="N203" i="75"/>
  <c r="N128" i="1"/>
  <c r="N124" i="1"/>
  <c r="N125" i="1"/>
  <c r="M128" i="1"/>
  <c r="M125" i="1"/>
  <c r="M124" i="1"/>
  <c r="L141" i="81"/>
  <c r="L137" i="81"/>
  <c r="L228" i="81"/>
  <c r="L50" i="81" s="1"/>
  <c r="H252" i="80"/>
  <c r="H50" i="80" s="1"/>
  <c r="K52" i="76"/>
  <c r="E111" i="82"/>
  <c r="E112" i="82"/>
  <c r="E115" i="82"/>
  <c r="J435" i="82"/>
  <c r="J436" i="82"/>
  <c r="L111" i="88"/>
  <c r="L112" i="88"/>
  <c r="N213" i="75"/>
  <c r="N50" i="75" s="1"/>
  <c r="N137" i="75"/>
  <c r="I177" i="75"/>
  <c r="I181" i="75" s="1"/>
  <c r="K358" i="82"/>
  <c r="C112" i="90"/>
  <c r="D143" i="91"/>
  <c r="I129" i="75"/>
  <c r="F206" i="83"/>
  <c r="F215" i="83" s="1"/>
  <c r="F52" i="83" s="1"/>
  <c r="J116" i="81"/>
  <c r="J252" i="80"/>
  <c r="J50" i="80" s="1"/>
  <c r="L116" i="81"/>
  <c r="G215" i="89"/>
  <c r="G220" i="89" s="1"/>
  <c r="C111" i="90"/>
  <c r="K116" i="83"/>
  <c r="E190" i="89"/>
  <c r="E189" i="89"/>
  <c r="E164" i="81"/>
  <c r="E163" i="81"/>
  <c r="G111" i="89"/>
  <c r="G112" i="89"/>
  <c r="J190" i="77"/>
  <c r="J191" i="77"/>
  <c r="M164" i="77"/>
  <c r="M168" i="1"/>
  <c r="K202" i="1"/>
  <c r="K228" i="1"/>
  <c r="K52" i="1" s="1"/>
  <c r="L167" i="90"/>
  <c r="L164" i="90"/>
  <c r="D207" i="83"/>
  <c r="J137" i="1"/>
  <c r="J138" i="1"/>
  <c r="G234" i="91"/>
  <c r="G233" i="91"/>
  <c r="J181" i="91"/>
  <c r="J182" i="91"/>
  <c r="I154" i="89"/>
  <c r="I151" i="89"/>
  <c r="M137" i="88"/>
  <c r="M138" i="88"/>
  <c r="M124" i="88"/>
  <c r="M125" i="88"/>
  <c r="L203" i="81"/>
  <c r="G163" i="1"/>
  <c r="G164" i="1"/>
  <c r="M111" i="88"/>
  <c r="M112" i="88"/>
  <c r="K252" i="80"/>
  <c r="K50" i="80" s="1"/>
  <c r="M112" i="77"/>
  <c r="F129" i="79"/>
  <c r="E129" i="81"/>
  <c r="M256" i="91"/>
  <c r="M81" i="91" s="1"/>
  <c r="F214" i="77"/>
  <c r="F50" i="77" s="1"/>
  <c r="M194" i="75"/>
  <c r="M194" i="80"/>
  <c r="C194" i="1"/>
  <c r="G215" i="83"/>
  <c r="G52" i="83" s="1"/>
  <c r="C163" i="89"/>
  <c r="C164" i="89"/>
  <c r="N182" i="91"/>
  <c r="N181" i="91"/>
  <c r="C181" i="91"/>
  <c r="C182" i="91"/>
  <c r="I138" i="88"/>
  <c r="I137" i="88"/>
  <c r="H215" i="83"/>
  <c r="H52" i="83" s="1"/>
  <c r="K194" i="91"/>
  <c r="K195" i="91"/>
  <c r="I190" i="88"/>
  <c r="I189" i="88"/>
  <c r="J116" i="88"/>
  <c r="F129" i="90"/>
  <c r="H147" i="91"/>
  <c r="J155" i="81"/>
  <c r="N176" i="89"/>
  <c r="N180" i="89"/>
  <c r="L155" i="88"/>
  <c r="N173" i="91"/>
  <c r="L194" i="1"/>
  <c r="G207" i="89"/>
  <c r="N203" i="83"/>
  <c r="N206" i="83"/>
  <c r="H189" i="75"/>
  <c r="H190" i="75"/>
  <c r="I216" i="88"/>
  <c r="I215" i="88"/>
  <c r="M173" i="91"/>
  <c r="N167" i="90"/>
  <c r="N163" i="90"/>
  <c r="H190" i="81"/>
  <c r="H189" i="81"/>
  <c r="D115" i="1"/>
  <c r="D228" i="1" s="1"/>
  <c r="D52" i="1" s="1"/>
  <c r="D111" i="1"/>
  <c r="D112" i="1"/>
  <c r="H145" i="74"/>
  <c r="I112" i="75"/>
  <c r="M203" i="78"/>
  <c r="M207" i="78" s="1"/>
  <c r="H164" i="78"/>
  <c r="I164" i="78"/>
  <c r="F189" i="78"/>
  <c r="F190" i="78"/>
  <c r="F236" i="79"/>
  <c r="F50" i="79" s="1"/>
  <c r="L112" i="82"/>
  <c r="M115" i="82"/>
  <c r="M111" i="82"/>
  <c r="C111" i="82"/>
  <c r="D83" i="76"/>
  <c r="N50" i="76"/>
  <c r="M50" i="76"/>
  <c r="C50" i="76"/>
  <c r="G50" i="76"/>
  <c r="L50" i="76"/>
  <c r="E50" i="76"/>
  <c r="F207" i="90"/>
  <c r="D372" i="82"/>
  <c r="H372" i="82"/>
  <c r="H371" i="82"/>
  <c r="L371" i="82"/>
  <c r="L376" i="82" s="1"/>
  <c r="N193" i="90"/>
  <c r="K137" i="90"/>
  <c r="H111" i="90"/>
  <c r="G155" i="90"/>
  <c r="N203" i="90"/>
  <c r="N202" i="90"/>
  <c r="M129" i="90"/>
  <c r="L189" i="90"/>
  <c r="L193" i="90"/>
  <c r="H112" i="90"/>
  <c r="M189" i="90"/>
  <c r="M193" i="90"/>
  <c r="H220" i="90"/>
  <c r="F189" i="90"/>
  <c r="F193" i="90"/>
  <c r="G189" i="90"/>
  <c r="G193" i="90"/>
  <c r="L202" i="89"/>
  <c r="L206" i="89"/>
  <c r="K203" i="89"/>
  <c r="K206" i="89"/>
  <c r="K230" i="89" s="1"/>
  <c r="K52" i="89" s="1"/>
  <c r="N236" i="79"/>
  <c r="L236" i="79"/>
  <c r="E236" i="79"/>
  <c r="H236" i="79"/>
  <c r="J236" i="79"/>
  <c r="D142" i="81"/>
  <c r="C142" i="81"/>
  <c r="K129" i="89"/>
  <c r="H216" i="89"/>
  <c r="H220" i="89" s="1"/>
  <c r="N216" i="89"/>
  <c r="N220" i="89" s="1"/>
  <c r="I220" i="89"/>
  <c r="K216" i="89"/>
  <c r="K220" i="89" s="1"/>
  <c r="C220" i="89"/>
  <c r="H189" i="89"/>
  <c r="L189" i="89"/>
  <c r="L193" i="89"/>
  <c r="I189" i="89"/>
  <c r="I228" i="89"/>
  <c r="I50" i="89" s="1"/>
  <c r="I236" i="79"/>
  <c r="M236" i="79"/>
  <c r="K236" i="79"/>
  <c r="K50" i="79" s="1"/>
  <c r="G236" i="79"/>
  <c r="D236" i="79"/>
  <c r="D50" i="79" s="1"/>
  <c r="C236" i="79"/>
  <c r="L138" i="89"/>
  <c r="G124" i="83"/>
  <c r="G125" i="83"/>
  <c r="D116" i="83"/>
  <c r="I116" i="83"/>
  <c r="N111" i="82"/>
  <c r="N112" i="82"/>
  <c r="I116" i="82"/>
  <c r="G333" i="82"/>
  <c r="I333" i="82"/>
  <c r="J142" i="90"/>
  <c r="M142" i="90"/>
  <c r="D137" i="90"/>
  <c r="G142" i="90"/>
  <c r="J215" i="81"/>
  <c r="F215" i="81"/>
  <c r="L203" i="89"/>
  <c r="N228" i="89"/>
  <c r="N50" i="89" s="1"/>
  <c r="N371" i="82"/>
  <c r="N372" i="82"/>
  <c r="K151" i="89"/>
  <c r="K228" i="89"/>
  <c r="K50" i="89" s="1"/>
  <c r="K150" i="89"/>
  <c r="J151" i="89"/>
  <c r="J154" i="89"/>
  <c r="G150" i="89"/>
  <c r="G154" i="89"/>
  <c r="N128" i="89"/>
  <c r="N124" i="89"/>
  <c r="H124" i="89"/>
  <c r="H125" i="89"/>
  <c r="L128" i="89"/>
  <c r="L125" i="89"/>
  <c r="L124" i="89"/>
  <c r="N141" i="89"/>
  <c r="N138" i="89"/>
  <c r="D137" i="89"/>
  <c r="D141" i="89"/>
  <c r="E138" i="89"/>
  <c r="D228" i="89"/>
  <c r="D50" i="89" s="1"/>
  <c r="G190" i="90"/>
  <c r="C194" i="90"/>
  <c r="L202" i="80"/>
  <c r="L206" i="80"/>
  <c r="C252" i="80"/>
  <c r="C50" i="80" s="1"/>
  <c r="D252" i="80"/>
  <c r="D50" i="80" s="1"/>
  <c r="M194" i="89"/>
  <c r="F190" i="90"/>
  <c r="K220" i="90"/>
  <c r="E194" i="90"/>
  <c r="N142" i="1"/>
  <c r="G194" i="1"/>
  <c r="J194" i="1"/>
  <c r="N194" i="1"/>
  <c r="K194" i="1"/>
  <c r="M194" i="1"/>
  <c r="I194" i="1"/>
  <c r="E194" i="1"/>
  <c r="N252" i="80"/>
  <c r="N50" i="80" s="1"/>
  <c r="K203" i="80"/>
  <c r="K202" i="80"/>
  <c r="E176" i="89"/>
  <c r="G176" i="89"/>
  <c r="G177" i="89"/>
  <c r="F228" i="89"/>
  <c r="F50" i="89" s="1"/>
  <c r="J203" i="89"/>
  <c r="L177" i="89"/>
  <c r="D194" i="89"/>
  <c r="D176" i="89"/>
  <c r="D177" i="89"/>
  <c r="N155" i="89"/>
  <c r="J150" i="89"/>
  <c r="C228" i="90"/>
  <c r="C50" i="90" s="1"/>
  <c r="D202" i="90"/>
  <c r="D203" i="90"/>
  <c r="K189" i="90"/>
  <c r="K190" i="90"/>
  <c r="E168" i="90"/>
  <c r="C168" i="90"/>
  <c r="G151" i="89"/>
  <c r="E155" i="89"/>
  <c r="F155" i="89"/>
  <c r="L151" i="89"/>
  <c r="H228" i="89"/>
  <c r="H50" i="89" s="1"/>
  <c r="K220" i="81"/>
  <c r="B95" i="79"/>
  <c r="B32" i="46" s="1"/>
  <c r="D32" i="46" s="1"/>
  <c r="F155" i="79"/>
  <c r="J142" i="79"/>
  <c r="F142" i="79"/>
  <c r="C142" i="79"/>
  <c r="N155" i="79"/>
  <c r="E116" i="79"/>
  <c r="D181" i="78"/>
  <c r="F155" i="78"/>
  <c r="K155" i="78"/>
  <c r="M176" i="78"/>
  <c r="M181" i="78" s="1"/>
  <c r="B20" i="92"/>
  <c r="B27" i="92" s="1"/>
  <c r="B51" i="92" s="1"/>
  <c r="C88" i="77" s="1"/>
  <c r="D164" i="79"/>
  <c r="G164" i="79"/>
  <c r="D163" i="79"/>
  <c r="N168" i="79"/>
  <c r="J163" i="79"/>
  <c r="J168" i="79" s="1"/>
  <c r="I427" i="82"/>
  <c r="M436" i="82"/>
  <c r="M435" i="82"/>
  <c r="M220" i="1"/>
  <c r="E220" i="1"/>
  <c r="M203" i="1"/>
  <c r="I207" i="1"/>
  <c r="M202" i="1"/>
  <c r="L220" i="1"/>
  <c r="F112" i="1"/>
  <c r="D194" i="1"/>
  <c r="D226" i="1"/>
  <c r="D50" i="1" s="1"/>
  <c r="M150" i="1"/>
  <c r="M151" i="1"/>
  <c r="F226" i="1"/>
  <c r="F50" i="1" s="1"/>
  <c r="I216" i="1"/>
  <c r="I215" i="1"/>
  <c r="E203" i="1"/>
  <c r="E227" i="1" s="1"/>
  <c r="F194" i="1"/>
  <c r="D168" i="1"/>
  <c r="E203" i="80"/>
  <c r="E202" i="80"/>
  <c r="F252" i="80"/>
  <c r="F50" i="80" s="1"/>
  <c r="L252" i="80"/>
  <c r="L50" i="80" s="1"/>
  <c r="M252" i="80"/>
  <c r="M50" i="80" s="1"/>
  <c r="I220" i="80"/>
  <c r="N220" i="80"/>
  <c r="E220" i="80"/>
  <c r="H220" i="80"/>
  <c r="L220" i="80"/>
  <c r="J220" i="80"/>
  <c r="D220" i="80"/>
  <c r="K220" i="80"/>
  <c r="K254" i="80"/>
  <c r="K52" i="80" s="1"/>
  <c r="F220" i="80"/>
  <c r="G220" i="80"/>
  <c r="M220" i="80"/>
  <c r="C220" i="80"/>
  <c r="H267" i="82"/>
  <c r="H272" i="82" s="1"/>
  <c r="G332" i="82"/>
  <c r="I332" i="82"/>
  <c r="F337" i="82"/>
  <c r="E151" i="90"/>
  <c r="D293" i="82"/>
  <c r="D294" i="82"/>
  <c r="L155" i="80"/>
  <c r="L180" i="80"/>
  <c r="N189" i="80"/>
  <c r="J203" i="80"/>
  <c r="I164" i="80"/>
  <c r="H155" i="80"/>
  <c r="L164" i="80"/>
  <c r="L167" i="80"/>
  <c r="J202" i="80"/>
  <c r="C155" i="80"/>
  <c r="F155" i="80"/>
  <c r="G207" i="80"/>
  <c r="I155" i="80"/>
  <c r="D163" i="80"/>
  <c r="D164" i="80"/>
  <c r="L177" i="80"/>
  <c r="F176" i="80"/>
  <c r="M177" i="80"/>
  <c r="I181" i="80"/>
  <c r="F177" i="80"/>
  <c r="J176" i="80"/>
  <c r="G163" i="80"/>
  <c r="J155" i="80"/>
  <c r="G155" i="80"/>
  <c r="M155" i="80"/>
  <c r="I117" i="77"/>
  <c r="G126" i="77"/>
  <c r="M165" i="77"/>
  <c r="K156" i="77"/>
  <c r="J214" i="77"/>
  <c r="J50" i="77" s="1"/>
  <c r="F178" i="77"/>
  <c r="C203" i="77"/>
  <c r="C208" i="77" s="1"/>
  <c r="M151" i="77"/>
  <c r="M156" i="77" s="1"/>
  <c r="G190" i="77"/>
  <c r="G195" i="77" s="1"/>
  <c r="H213" i="75"/>
  <c r="H50" i="75" s="1"/>
  <c r="N141" i="80"/>
  <c r="E163" i="82"/>
  <c r="E255" i="82"/>
  <c r="E254" i="82"/>
  <c r="M164" i="89"/>
  <c r="M163" i="89"/>
  <c r="F255" i="82"/>
  <c r="F254" i="82"/>
  <c r="L246" i="91"/>
  <c r="L247" i="91"/>
  <c r="M150" i="78"/>
  <c r="M151" i="78"/>
  <c r="F177" i="82"/>
  <c r="F181" i="82" s="1"/>
  <c r="F189" i="82"/>
  <c r="F190" i="82"/>
  <c r="F164" i="82"/>
  <c r="N246" i="91"/>
  <c r="N247" i="91"/>
  <c r="J234" i="91"/>
  <c r="J233" i="91"/>
  <c r="F220" i="91"/>
  <c r="F221" i="91"/>
  <c r="N194" i="91"/>
  <c r="N195" i="91"/>
  <c r="L156" i="91"/>
  <c r="L155" i="91"/>
  <c r="E203" i="81"/>
  <c r="M180" i="81"/>
  <c r="M177" i="81"/>
  <c r="L202" i="1"/>
  <c r="L203" i="1"/>
  <c r="H150" i="1"/>
  <c r="H151" i="1"/>
  <c r="L163" i="79"/>
  <c r="M137" i="81"/>
  <c r="M141" i="81"/>
  <c r="C111" i="1"/>
  <c r="I214" i="77"/>
  <c r="I50" i="77" s="1"/>
  <c r="C116" i="75"/>
  <c r="L255" i="82"/>
  <c r="F324" i="82"/>
  <c r="M228" i="89"/>
  <c r="M50" i="89" s="1"/>
  <c r="G228" i="90"/>
  <c r="G50" i="90" s="1"/>
  <c r="I164" i="89"/>
  <c r="I168" i="89" s="1"/>
  <c r="H216" i="88"/>
  <c r="H220" i="88" s="1"/>
  <c r="C129" i="1"/>
  <c r="M137" i="82"/>
  <c r="E155" i="80"/>
  <c r="H142" i="82"/>
  <c r="E164" i="82"/>
  <c r="J137" i="80"/>
  <c r="D155" i="80"/>
  <c r="C202" i="80"/>
  <c r="L203" i="80"/>
  <c r="M163" i="82"/>
  <c r="N202" i="82"/>
  <c r="J220" i="82"/>
  <c r="G229" i="82"/>
  <c r="H241" i="82"/>
  <c r="J324" i="82"/>
  <c r="L116" i="78"/>
  <c r="M124" i="79"/>
  <c r="G155" i="79"/>
  <c r="C164" i="79"/>
  <c r="C168" i="79" s="1"/>
  <c r="L164" i="79"/>
  <c r="I190" i="78"/>
  <c r="I194" i="78" s="1"/>
  <c r="K448" i="82"/>
  <c r="K453" i="82" s="1"/>
  <c r="M138" i="81"/>
  <c r="H155" i="81"/>
  <c r="H230" i="81"/>
  <c r="H52" i="81" s="1"/>
  <c r="C215" i="78"/>
  <c r="C52" i="78" s="1"/>
  <c r="E177" i="77"/>
  <c r="L215" i="78"/>
  <c r="L52" i="78" s="1"/>
  <c r="C336" i="82"/>
  <c r="C333" i="82"/>
  <c r="C332" i="82"/>
  <c r="I359" i="82"/>
  <c r="F207" i="91"/>
  <c r="F208" i="91"/>
  <c r="D181" i="91"/>
  <c r="D182" i="91"/>
  <c r="E168" i="91"/>
  <c r="E169" i="91"/>
  <c r="N359" i="82"/>
  <c r="N362" i="82"/>
  <c r="H234" i="91"/>
  <c r="H233" i="91"/>
  <c r="H208" i="91"/>
  <c r="H207" i="91"/>
  <c r="M163" i="79"/>
  <c r="E137" i="79"/>
  <c r="E141" i="79"/>
  <c r="J215" i="90"/>
  <c r="J216" i="90"/>
  <c r="N111" i="88"/>
  <c r="N112" i="88"/>
  <c r="C150" i="82"/>
  <c r="C151" i="82"/>
  <c r="F115" i="82"/>
  <c r="F111" i="82"/>
  <c r="F112" i="82"/>
  <c r="L207" i="91"/>
  <c r="L208" i="91"/>
  <c r="E182" i="91"/>
  <c r="E181" i="91"/>
  <c r="G202" i="83"/>
  <c r="G203" i="83"/>
  <c r="J124" i="79"/>
  <c r="J238" i="79"/>
  <c r="J52" i="79" s="1"/>
  <c r="G111" i="79"/>
  <c r="N112" i="77"/>
  <c r="K203" i="90"/>
  <c r="K202" i="90"/>
  <c r="H151" i="89"/>
  <c r="H150" i="89"/>
  <c r="C137" i="88"/>
  <c r="C138" i="88"/>
  <c r="C125" i="83"/>
  <c r="C124" i="83"/>
  <c r="G111" i="81"/>
  <c r="G112" i="81"/>
  <c r="H112" i="75"/>
  <c r="H111" i="75"/>
  <c r="C150" i="90"/>
  <c r="C151" i="90"/>
  <c r="L150" i="89"/>
  <c r="E215" i="88"/>
  <c r="E216" i="88"/>
  <c r="E142" i="88"/>
  <c r="M115" i="1"/>
  <c r="M112" i="1"/>
  <c r="M111" i="1"/>
  <c r="D216" i="1"/>
  <c r="D215" i="1"/>
  <c r="L137" i="1"/>
  <c r="L138" i="1"/>
  <c r="N164" i="82"/>
  <c r="J151" i="82"/>
  <c r="L142" i="90"/>
  <c r="M190" i="90"/>
  <c r="J177" i="89"/>
  <c r="F202" i="88"/>
  <c r="F207" i="88" s="1"/>
  <c r="D256" i="91"/>
  <c r="D81" i="91" s="1"/>
  <c r="K124" i="74"/>
  <c r="K129" i="74" s="1"/>
  <c r="C177" i="82"/>
  <c r="L163" i="1"/>
  <c r="L168" i="1" s="1"/>
  <c r="L124" i="82"/>
  <c r="M150" i="82"/>
  <c r="F163" i="82"/>
  <c r="I207" i="82"/>
  <c r="K242" i="82"/>
  <c r="I241" i="82"/>
  <c r="D246" i="82"/>
  <c r="F272" i="82"/>
  <c r="M311" i="82"/>
  <c r="E124" i="79"/>
  <c r="L138" i="79"/>
  <c r="L141" i="79"/>
  <c r="K138" i="79"/>
  <c r="K142" i="79" s="1"/>
  <c r="L129" i="78"/>
  <c r="J177" i="78"/>
  <c r="J181" i="78" s="1"/>
  <c r="C142" i="78"/>
  <c r="K461" i="82"/>
  <c r="K466" i="82" s="1"/>
  <c r="K142" i="81"/>
  <c r="G125" i="89"/>
  <c r="G129" i="89" s="1"/>
  <c r="C228" i="89"/>
  <c r="C50" i="89" s="1"/>
  <c r="G163" i="89"/>
  <c r="G168" i="89" s="1"/>
  <c r="C202" i="89"/>
  <c r="F203" i="77"/>
  <c r="F208" i="77" s="1"/>
  <c r="I116" i="78"/>
  <c r="F229" i="82"/>
  <c r="F228" i="82"/>
  <c r="N332" i="82"/>
  <c r="N336" i="82"/>
  <c r="N333" i="82"/>
  <c r="L169" i="91"/>
  <c r="L168" i="91"/>
  <c r="K216" i="88"/>
  <c r="K215" i="88"/>
  <c r="H358" i="82"/>
  <c r="H359" i="82"/>
  <c r="H320" i="82"/>
  <c r="D195" i="91"/>
  <c r="D194" i="91"/>
  <c r="H189" i="90"/>
  <c r="H190" i="90"/>
  <c r="I151" i="79"/>
  <c r="I154" i="79"/>
  <c r="K163" i="82"/>
  <c r="K164" i="82"/>
  <c r="C207" i="83"/>
  <c r="K164" i="79"/>
  <c r="K154" i="79"/>
  <c r="K151" i="79"/>
  <c r="N125" i="79"/>
  <c r="N124" i="79"/>
  <c r="K111" i="79"/>
  <c r="K112" i="79"/>
  <c r="J112" i="77"/>
  <c r="J113" i="77"/>
  <c r="G177" i="1"/>
  <c r="C258" i="91"/>
  <c r="C83" i="91" s="1"/>
  <c r="H202" i="90"/>
  <c r="H203" i="90"/>
  <c r="I190" i="80"/>
  <c r="I149" i="74"/>
  <c r="I154" i="74" s="1"/>
  <c r="I215" i="74" s="1"/>
  <c r="I52" i="74" s="1"/>
  <c r="I158" i="74"/>
  <c r="K176" i="89"/>
  <c r="K177" i="89"/>
  <c r="M163" i="90"/>
  <c r="M164" i="90"/>
  <c r="G128" i="1"/>
  <c r="G124" i="1"/>
  <c r="G125" i="1"/>
  <c r="L111" i="79"/>
  <c r="L150" i="79"/>
  <c r="L154" i="79"/>
  <c r="K124" i="79"/>
  <c r="G164" i="77"/>
  <c r="E189" i="81"/>
  <c r="E190" i="81"/>
  <c r="L165" i="77"/>
  <c r="I137" i="80"/>
  <c r="E151" i="79"/>
  <c r="E154" i="79"/>
  <c r="E359" i="82"/>
  <c r="G359" i="82"/>
  <c r="J241" i="82"/>
  <c r="J246" i="82" s="1"/>
  <c r="D229" i="82"/>
  <c r="K332" i="82"/>
  <c r="K336" i="82"/>
  <c r="D358" i="82"/>
  <c r="D332" i="82"/>
  <c r="D336" i="82"/>
  <c r="J294" i="82"/>
  <c r="J293" i="82"/>
  <c r="N233" i="91"/>
  <c r="N234" i="91"/>
  <c r="F151" i="90"/>
  <c r="F150" i="90"/>
  <c r="D150" i="90"/>
  <c r="D151" i="90"/>
  <c r="M358" i="82"/>
  <c r="M362" i="82"/>
  <c r="D208" i="91"/>
  <c r="D207" i="91"/>
  <c r="J164" i="90"/>
  <c r="J163" i="90"/>
  <c r="F203" i="80"/>
  <c r="C215" i="1"/>
  <c r="C216" i="1"/>
  <c r="C151" i="1"/>
  <c r="C150" i="1"/>
  <c r="E190" i="80"/>
  <c r="E189" i="80"/>
  <c r="I137" i="74"/>
  <c r="I138" i="74"/>
  <c r="G124" i="90"/>
  <c r="G128" i="90"/>
  <c r="L176" i="75"/>
  <c r="L177" i="75"/>
  <c r="D137" i="75"/>
  <c r="D138" i="75"/>
  <c r="N158" i="74"/>
  <c r="N149" i="74"/>
  <c r="N154" i="74" s="1"/>
  <c r="D151" i="77"/>
  <c r="D156" i="77" s="1"/>
  <c r="M181" i="1"/>
  <c r="N207" i="1"/>
  <c r="D213" i="75"/>
  <c r="D50" i="75" s="1"/>
  <c r="L213" i="75"/>
  <c r="L50" i="75" s="1"/>
  <c r="M164" i="75"/>
  <c r="M168" i="75" s="1"/>
  <c r="G176" i="75"/>
  <c r="G181" i="75" s="1"/>
  <c r="G213" i="75"/>
  <c r="G50" i="75" s="1"/>
  <c r="M214" i="77"/>
  <c r="M50" i="77" s="1"/>
  <c r="L164" i="77"/>
  <c r="L204" i="77"/>
  <c r="L208" i="77" s="1"/>
  <c r="F228" i="1"/>
  <c r="F52" i="1" s="1"/>
  <c r="M225" i="91"/>
  <c r="D173" i="91"/>
  <c r="H226" i="1"/>
  <c r="H50" i="1" s="1"/>
  <c r="E228" i="81"/>
  <c r="E50" i="81" s="1"/>
  <c r="F125" i="82"/>
  <c r="C176" i="82"/>
  <c r="K207" i="78"/>
  <c r="I190" i="77"/>
  <c r="I195" i="77" s="1"/>
  <c r="G141" i="80"/>
  <c r="G254" i="80" s="1"/>
  <c r="D202" i="80"/>
  <c r="M202" i="82"/>
  <c r="D228" i="82"/>
  <c r="K181" i="78"/>
  <c r="M125" i="79"/>
  <c r="G137" i="79"/>
  <c r="G141" i="79"/>
  <c r="F215" i="78"/>
  <c r="F52" i="78" s="1"/>
  <c r="E358" i="82"/>
  <c r="I181" i="1"/>
  <c r="E129" i="89"/>
  <c r="E202" i="81"/>
  <c r="C151" i="77"/>
  <c r="C156" i="77" s="1"/>
  <c r="K215" i="78"/>
  <c r="K52" i="78" s="1"/>
  <c r="E349" i="82"/>
  <c r="E346" i="82"/>
  <c r="E345" i="82"/>
  <c r="H216" i="82"/>
  <c r="H215" i="82"/>
  <c r="I229" i="82"/>
  <c r="I228" i="82"/>
  <c r="C124" i="90"/>
  <c r="C128" i="90"/>
  <c r="C230" i="90" s="1"/>
  <c r="C52" i="90" s="1"/>
  <c r="L346" i="82"/>
  <c r="N293" i="82"/>
  <c r="N297" i="82"/>
  <c r="E268" i="82"/>
  <c r="E267" i="82"/>
  <c r="L229" i="82"/>
  <c r="N208" i="91"/>
  <c r="N207" i="91"/>
  <c r="G215" i="90"/>
  <c r="G216" i="90"/>
  <c r="J125" i="90"/>
  <c r="J128" i="90"/>
  <c r="E151" i="88"/>
  <c r="E150" i="88"/>
  <c r="I163" i="82"/>
  <c r="E229" i="82"/>
  <c r="E228" i="82"/>
  <c r="M332" i="82"/>
  <c r="M336" i="82"/>
  <c r="M333" i="82"/>
  <c r="C320" i="82"/>
  <c r="L216" i="90"/>
  <c r="L215" i="90"/>
  <c r="M228" i="82"/>
  <c r="M229" i="82"/>
  <c r="I137" i="90"/>
  <c r="I138" i="90"/>
  <c r="F177" i="89"/>
  <c r="F176" i="89"/>
  <c r="D234" i="91"/>
  <c r="D233" i="91"/>
  <c r="H194" i="91"/>
  <c r="H195" i="91"/>
  <c r="C203" i="90"/>
  <c r="C202" i="90"/>
  <c r="G164" i="90"/>
  <c r="G163" i="90"/>
  <c r="N202" i="80"/>
  <c r="E150" i="78"/>
  <c r="E151" i="78"/>
  <c r="M203" i="77"/>
  <c r="M204" i="77"/>
  <c r="K215" i="1"/>
  <c r="K216" i="1"/>
  <c r="G203" i="1"/>
  <c r="G202" i="1"/>
  <c r="K151" i="1"/>
  <c r="K150" i="1"/>
  <c r="I202" i="89"/>
  <c r="I203" i="89"/>
  <c r="I125" i="89"/>
  <c r="D151" i="89"/>
  <c r="D150" i="89"/>
  <c r="N190" i="78"/>
  <c r="N189" i="78"/>
  <c r="F164" i="78"/>
  <c r="F163" i="78"/>
  <c r="N138" i="78"/>
  <c r="N141" i="78"/>
  <c r="N215" i="78" s="1"/>
  <c r="N52" i="78" s="1"/>
  <c r="N137" i="78"/>
  <c r="L125" i="75"/>
  <c r="L124" i="75"/>
  <c r="N189" i="82"/>
  <c r="N190" i="82"/>
  <c r="F246" i="91"/>
  <c r="F247" i="91"/>
  <c r="N221" i="91"/>
  <c r="N220" i="91"/>
  <c r="E156" i="91"/>
  <c r="E155" i="91"/>
  <c r="M202" i="81"/>
  <c r="M203" i="81"/>
  <c r="I189" i="81"/>
  <c r="I190" i="81"/>
  <c r="E137" i="81"/>
  <c r="E138" i="81"/>
  <c r="D202" i="1"/>
  <c r="D203" i="1"/>
  <c r="N203" i="77"/>
  <c r="N204" i="77"/>
  <c r="I202" i="75"/>
  <c r="I203" i="75"/>
  <c r="H216" i="1"/>
  <c r="H215" i="1"/>
  <c r="E168" i="80"/>
  <c r="D220" i="82"/>
  <c r="K181" i="82"/>
  <c r="C207" i="82"/>
  <c r="G129" i="81"/>
  <c r="K50" i="76"/>
  <c r="C207" i="78"/>
  <c r="H440" i="82"/>
  <c r="L466" i="82"/>
  <c r="M220" i="89"/>
  <c r="I212" i="91"/>
  <c r="G155" i="1"/>
  <c r="L228" i="1"/>
  <c r="L52" i="1" s="1"/>
  <c r="J52" i="76"/>
  <c r="F186" i="91"/>
  <c r="M142" i="78"/>
  <c r="F155" i="75"/>
  <c r="J207" i="81"/>
  <c r="I168" i="1"/>
  <c r="F129" i="78"/>
  <c r="N181" i="80"/>
  <c r="D155" i="82"/>
  <c r="K111" i="82"/>
  <c r="K115" i="82"/>
  <c r="N181" i="82"/>
  <c r="E207" i="82"/>
  <c r="K116" i="78"/>
  <c r="K142" i="78"/>
  <c r="H181" i="81"/>
  <c r="H207" i="81"/>
  <c r="H142" i="89"/>
  <c r="C142" i="89"/>
  <c r="F142" i="89"/>
  <c r="G181" i="81"/>
  <c r="C116" i="78"/>
  <c r="M129" i="75"/>
  <c r="G142" i="75"/>
  <c r="D194" i="90"/>
  <c r="L207" i="88"/>
  <c r="J168" i="89"/>
  <c r="L199" i="91"/>
  <c r="J220" i="88"/>
  <c r="F155" i="1"/>
  <c r="F142" i="81"/>
  <c r="E116" i="83"/>
  <c r="C168" i="80"/>
  <c r="K168" i="80"/>
  <c r="I272" i="82"/>
  <c r="E215" i="78"/>
  <c r="E52" i="78" s="1"/>
  <c r="G168" i="81"/>
  <c r="K117" i="77"/>
  <c r="I208" i="77"/>
  <c r="G182" i="77"/>
  <c r="I46" i="77"/>
  <c r="H117" i="77"/>
  <c r="K177" i="77"/>
  <c r="D178" i="77"/>
  <c r="L178" i="77"/>
  <c r="M111" i="78"/>
  <c r="M116" i="78" s="1"/>
  <c r="J112" i="78"/>
  <c r="J115" i="78"/>
  <c r="J111" i="78"/>
  <c r="G116" i="78"/>
  <c r="F116" i="78"/>
  <c r="M213" i="78"/>
  <c r="M50" i="78" s="1"/>
  <c r="G152" i="77"/>
  <c r="G151" i="77"/>
  <c r="K130" i="77"/>
  <c r="C195" i="77"/>
  <c r="N214" i="77"/>
  <c r="N50" i="77" s="1"/>
  <c r="E195" i="77"/>
  <c r="J204" i="77"/>
  <c r="J203" i="77"/>
  <c r="G214" i="77"/>
  <c r="G50" i="77" s="1"/>
  <c r="D177" i="77"/>
  <c r="D117" i="77"/>
  <c r="J178" i="77"/>
  <c r="J177" i="77"/>
  <c r="K164" i="77"/>
  <c r="K165" i="77"/>
  <c r="N191" i="77"/>
  <c r="N190" i="77"/>
  <c r="M195" i="77"/>
  <c r="C164" i="77"/>
  <c r="C165" i="77"/>
  <c r="D214" i="77"/>
  <c r="D50" i="77" s="1"/>
  <c r="K203" i="77"/>
  <c r="K208" i="77" s="1"/>
  <c r="F191" i="77"/>
  <c r="F190" i="77"/>
  <c r="N169" i="77"/>
  <c r="L268" i="82"/>
  <c r="L267" i="82"/>
  <c r="J267" i="82"/>
  <c r="J272" i="82" s="1"/>
  <c r="D268" i="82"/>
  <c r="D267" i="82"/>
  <c r="G267" i="82"/>
  <c r="G272" i="82" s="1"/>
  <c r="E152" i="77"/>
  <c r="E151" i="77"/>
  <c r="H214" i="77"/>
  <c r="H50" i="77" s="1"/>
  <c r="I182" i="77"/>
  <c r="I169" i="77"/>
  <c r="I156" i="77"/>
  <c r="C83" i="77"/>
  <c r="N83" i="77"/>
  <c r="M83" i="77"/>
  <c r="K178" i="77"/>
  <c r="J83" i="77"/>
  <c r="I83" i="77"/>
  <c r="H83" i="77"/>
  <c r="K83" i="77"/>
  <c r="F151" i="77"/>
  <c r="F152" i="77"/>
  <c r="L83" i="77"/>
  <c r="F83" i="77"/>
  <c r="E83" i="77"/>
  <c r="D83" i="77"/>
  <c r="G83" i="77"/>
  <c r="N151" i="77"/>
  <c r="N152" i="77"/>
  <c r="B10" i="46"/>
  <c r="M143" i="91"/>
  <c r="M146" i="91"/>
  <c r="M258" i="91" s="1"/>
  <c r="M83" i="91" s="1"/>
  <c r="M142" i="91"/>
  <c r="N142" i="91"/>
  <c r="N146" i="91"/>
  <c r="N258" i="91" s="1"/>
  <c r="N83" i="91" s="1"/>
  <c r="F143" i="91"/>
  <c r="F146" i="91"/>
  <c r="F142" i="91"/>
  <c r="I143" i="91"/>
  <c r="D142" i="91"/>
  <c r="K142" i="91"/>
  <c r="K146" i="91"/>
  <c r="J111" i="90"/>
  <c r="J112" i="90"/>
  <c r="E111" i="90"/>
  <c r="E112" i="90"/>
  <c r="M112" i="90"/>
  <c r="J190" i="89"/>
  <c r="J189" i="89"/>
  <c r="J220" i="89"/>
  <c r="N202" i="89"/>
  <c r="N203" i="89"/>
  <c r="H202" i="89"/>
  <c r="H203" i="89"/>
  <c r="F190" i="89"/>
  <c r="F189" i="89"/>
  <c r="F203" i="89"/>
  <c r="L215" i="89"/>
  <c r="L216" i="89"/>
  <c r="G228" i="89"/>
  <c r="G50" i="89" s="1"/>
  <c r="F163" i="89"/>
  <c r="F168" i="89" s="1"/>
  <c r="B95" i="81"/>
  <c r="B143" i="46" s="1"/>
  <c r="D143" i="46" s="1"/>
  <c r="L181" i="81"/>
  <c r="D181" i="81"/>
  <c r="K177" i="81"/>
  <c r="K180" i="81"/>
  <c r="K230" i="81" s="1"/>
  <c r="K52" i="81" s="1"/>
  <c r="K176" i="81"/>
  <c r="I181" i="81"/>
  <c r="G228" i="81"/>
  <c r="G50" i="81" s="1"/>
  <c r="C150" i="89"/>
  <c r="C151" i="89"/>
  <c r="E228" i="89"/>
  <c r="E50" i="89" s="1"/>
  <c r="K142" i="89"/>
  <c r="E137" i="89"/>
  <c r="I142" i="89"/>
  <c r="G137" i="89"/>
  <c r="G141" i="89"/>
  <c r="H220" i="81"/>
  <c r="D220" i="81"/>
  <c r="F194" i="81"/>
  <c r="C176" i="81"/>
  <c r="C177" i="81"/>
  <c r="N168" i="81"/>
  <c r="M168" i="81"/>
  <c r="K151" i="81"/>
  <c r="K155" i="81" s="1"/>
  <c r="C150" i="81"/>
  <c r="C151" i="81"/>
  <c r="G111" i="90"/>
  <c r="G112" i="90"/>
  <c r="J112" i="89"/>
  <c r="J228" i="89"/>
  <c r="J50" i="89" s="1"/>
  <c r="L111" i="89"/>
  <c r="L115" i="89"/>
  <c r="L228" i="89"/>
  <c r="L50" i="89" s="1"/>
  <c r="L112" i="89"/>
  <c r="J111" i="89"/>
  <c r="H112" i="89"/>
  <c r="N115" i="89"/>
  <c r="N111" i="89"/>
  <c r="C116" i="89"/>
  <c r="L129" i="90"/>
  <c r="I20" i="92"/>
  <c r="I30" i="92" s="1"/>
  <c r="I54" i="92" s="1"/>
  <c r="J88" i="80" s="1"/>
  <c r="E125" i="90"/>
  <c r="E124" i="90"/>
  <c r="K129" i="90"/>
  <c r="E20" i="92"/>
  <c r="E33" i="92" s="1"/>
  <c r="E57" i="92" s="1"/>
  <c r="F88" i="83" s="1"/>
  <c r="M20" i="92"/>
  <c r="M30" i="92" s="1"/>
  <c r="M54" i="92" s="1"/>
  <c r="N88" i="80" s="1"/>
  <c r="M129" i="89"/>
  <c r="H137" i="81"/>
  <c r="H138" i="81"/>
  <c r="I129" i="81"/>
  <c r="C129" i="81"/>
  <c r="L181" i="1"/>
  <c r="J181" i="1"/>
  <c r="H129" i="81"/>
  <c r="D129" i="81"/>
  <c r="L124" i="81"/>
  <c r="L125" i="81"/>
  <c r="J20" i="92"/>
  <c r="J30" i="92" s="1"/>
  <c r="J54" i="92" s="1"/>
  <c r="K88" i="80" s="1"/>
  <c r="E376" i="82"/>
  <c r="M372" i="82"/>
  <c r="M375" i="82"/>
  <c r="K435" i="82"/>
  <c r="K436" i="82"/>
  <c r="F372" i="82"/>
  <c r="F371" i="82"/>
  <c r="J372" i="82"/>
  <c r="J371" i="82"/>
  <c r="I466" i="82"/>
  <c r="C462" i="82"/>
  <c r="C466" i="82" s="1"/>
  <c r="G372" i="82"/>
  <c r="G371" i="82"/>
  <c r="K372" i="82"/>
  <c r="K371" i="82"/>
  <c r="J461" i="82"/>
  <c r="J462" i="82"/>
  <c r="E427" i="82"/>
  <c r="E453" i="82"/>
  <c r="G181" i="80"/>
  <c r="F194" i="80"/>
  <c r="D181" i="80"/>
  <c r="G462" i="82"/>
  <c r="G461" i="82"/>
  <c r="G448" i="82"/>
  <c r="G449" i="82"/>
  <c r="F435" i="82"/>
  <c r="F436" i="82"/>
  <c r="F423" i="82"/>
  <c r="F422" i="82"/>
  <c r="C453" i="82"/>
  <c r="E164" i="78"/>
  <c r="E163" i="78"/>
  <c r="I151" i="78"/>
  <c r="I150" i="78"/>
  <c r="I177" i="78"/>
  <c r="I176" i="78"/>
  <c r="M164" i="78"/>
  <c r="M163" i="78"/>
  <c r="G168" i="78"/>
  <c r="I202" i="78"/>
  <c r="I203" i="78"/>
  <c r="C155" i="78"/>
  <c r="M189" i="78"/>
  <c r="M190" i="78"/>
  <c r="E190" i="78"/>
  <c r="E189" i="78"/>
  <c r="C20" i="92"/>
  <c r="C30" i="92" s="1"/>
  <c r="C54" i="92" s="1"/>
  <c r="D88" i="80" s="1"/>
  <c r="G125" i="78"/>
  <c r="G215" i="78"/>
  <c r="G52" i="78" s="1"/>
  <c r="G124" i="78"/>
  <c r="H124" i="78"/>
  <c r="H125" i="78"/>
  <c r="H164" i="79"/>
  <c r="H163" i="79"/>
  <c r="D22" i="53"/>
  <c r="E150" i="79"/>
  <c r="H137" i="79"/>
  <c r="H138" i="79"/>
  <c r="G138" i="79"/>
  <c r="C111" i="79"/>
  <c r="C112" i="79"/>
  <c r="H194" i="78"/>
  <c r="G213" i="78"/>
  <c r="G50" i="78" s="1"/>
  <c r="M129" i="78"/>
  <c r="L20" i="92"/>
  <c r="L30" i="92" s="1"/>
  <c r="L54" i="92" s="1"/>
  <c r="M88" i="80" s="1"/>
  <c r="H20" i="92"/>
  <c r="H30" i="92" s="1"/>
  <c r="H54" i="92" s="1"/>
  <c r="I88" i="80" s="1"/>
  <c r="H111" i="78"/>
  <c r="H112" i="78"/>
  <c r="C40" i="46"/>
  <c r="J345" i="82"/>
  <c r="J346" i="82"/>
  <c r="D345" i="82"/>
  <c r="D346" i="82"/>
  <c r="K350" i="82"/>
  <c r="M324" i="82"/>
  <c r="G307" i="82"/>
  <c r="G306" i="82"/>
  <c r="C306" i="82"/>
  <c r="C307" i="82"/>
  <c r="L311" i="82"/>
  <c r="I242" i="82"/>
  <c r="K241" i="82"/>
  <c r="F241" i="82"/>
  <c r="F242" i="82"/>
  <c r="J228" i="82"/>
  <c r="J229" i="82"/>
  <c r="K220" i="82"/>
  <c r="G216" i="82"/>
  <c r="G215" i="82"/>
  <c r="K207" i="82"/>
  <c r="D207" i="82"/>
  <c r="H202" i="82"/>
  <c r="H203" i="82"/>
  <c r="D177" i="82"/>
  <c r="I176" i="82"/>
  <c r="H181" i="82"/>
  <c r="I177" i="82"/>
  <c r="L177" i="82"/>
  <c r="L176" i="82"/>
  <c r="D176" i="82"/>
  <c r="G176" i="82"/>
  <c r="G177" i="82"/>
  <c r="C168" i="82"/>
  <c r="J164" i="82"/>
  <c r="J163" i="82"/>
  <c r="F151" i="82"/>
  <c r="F150" i="82"/>
  <c r="N151" i="82"/>
  <c r="N150" i="82"/>
  <c r="G137" i="82"/>
  <c r="G138" i="82"/>
  <c r="J138" i="82"/>
  <c r="J137" i="82"/>
  <c r="K125" i="82"/>
  <c r="D125" i="82"/>
  <c r="J125" i="82"/>
  <c r="J112" i="82"/>
  <c r="J111" i="82"/>
  <c r="K181" i="80"/>
  <c r="I207" i="80"/>
  <c r="C181" i="80"/>
  <c r="N155" i="80"/>
  <c r="J168" i="80"/>
  <c r="D203" i="80"/>
  <c r="M203" i="80"/>
  <c r="M202" i="80"/>
  <c r="C203" i="80"/>
  <c r="J190" i="80"/>
  <c r="J189" i="80"/>
  <c r="K189" i="80"/>
  <c r="K190" i="80"/>
  <c r="M176" i="80"/>
  <c r="M180" i="80"/>
  <c r="M254" i="80" s="1"/>
  <c r="E176" i="80"/>
  <c r="E180" i="80"/>
  <c r="E254" i="80" s="1"/>
  <c r="E177" i="80"/>
  <c r="F22" i="53"/>
  <c r="H168" i="80"/>
  <c r="M168" i="80"/>
  <c r="F164" i="80"/>
  <c r="F163" i="80"/>
  <c r="N167" i="80"/>
  <c r="N164" i="80"/>
  <c r="N163" i="80"/>
  <c r="K155" i="80"/>
  <c r="K142" i="80"/>
  <c r="J141" i="80"/>
  <c r="J138" i="80"/>
  <c r="I138" i="80"/>
  <c r="I141" i="80"/>
  <c r="M142" i="80"/>
  <c r="F141" i="80"/>
  <c r="K20" i="92"/>
  <c r="K30" i="92" s="1"/>
  <c r="K54" i="92" s="1"/>
  <c r="L88" i="80" s="1"/>
  <c r="G137" i="80"/>
  <c r="G138" i="80"/>
  <c r="G20" i="92"/>
  <c r="G30" i="92" s="1"/>
  <c r="G54" i="92" s="1"/>
  <c r="H88" i="80" s="1"/>
  <c r="D20" i="92"/>
  <c r="D30" i="92" s="1"/>
  <c r="D54" i="92" s="1"/>
  <c r="E88" i="80" s="1"/>
  <c r="N137" i="80"/>
  <c r="N138" i="80"/>
  <c r="F20" i="92"/>
  <c r="F30" i="92" s="1"/>
  <c r="F54" i="92" s="1"/>
  <c r="G88" i="80" s="1"/>
  <c r="F138" i="80"/>
  <c r="F137" i="80"/>
  <c r="C142" i="80"/>
  <c r="E142" i="80"/>
  <c r="L116" i="80"/>
  <c r="H293" i="82"/>
  <c r="H294" i="82"/>
  <c r="I294" i="82"/>
  <c r="I293" i="82"/>
  <c r="L215" i="82"/>
  <c r="L216" i="82"/>
  <c r="N345" i="82"/>
  <c r="N346" i="82"/>
  <c r="F307" i="82"/>
  <c r="F306" i="82"/>
  <c r="K189" i="88"/>
  <c r="K190" i="88"/>
  <c r="I112" i="88"/>
  <c r="I228" i="88"/>
  <c r="I111" i="88"/>
  <c r="I124" i="83"/>
  <c r="I125" i="83"/>
  <c r="D190" i="88"/>
  <c r="D189" i="88"/>
  <c r="H151" i="79"/>
  <c r="H150" i="79"/>
  <c r="G202" i="78"/>
  <c r="G203" i="78"/>
  <c r="K164" i="78"/>
  <c r="K163" i="78"/>
  <c r="N213" i="78"/>
  <c r="N111" i="78"/>
  <c r="N112" i="78"/>
  <c r="E112" i="78"/>
  <c r="E213" i="78"/>
  <c r="E111" i="78"/>
  <c r="K138" i="1"/>
  <c r="K137" i="1"/>
  <c r="K226" i="1"/>
  <c r="K50" i="1" s="1"/>
  <c r="N189" i="81"/>
  <c r="N190" i="81"/>
  <c r="N111" i="81"/>
  <c r="N112" i="81"/>
  <c r="N228" i="81"/>
  <c r="L163" i="78"/>
  <c r="L164" i="78"/>
  <c r="E163" i="79"/>
  <c r="E164" i="79"/>
  <c r="J125" i="83"/>
  <c r="J124" i="83"/>
  <c r="L125" i="79"/>
  <c r="L124" i="79"/>
  <c r="H203" i="78"/>
  <c r="H202" i="78"/>
  <c r="H176" i="78"/>
  <c r="H177" i="78"/>
  <c r="H151" i="78"/>
  <c r="H150" i="78"/>
  <c r="H213" i="78"/>
  <c r="J177" i="81"/>
  <c r="J176" i="81"/>
  <c r="C155" i="91"/>
  <c r="C156" i="91"/>
  <c r="I50" i="76"/>
  <c r="H116" i="80"/>
  <c r="J116" i="80"/>
  <c r="H423" i="82"/>
  <c r="H422" i="82"/>
  <c r="G346" i="82"/>
  <c r="G345" i="82"/>
  <c r="E293" i="82"/>
  <c r="E294" i="82"/>
  <c r="I435" i="82"/>
  <c r="I436" i="82"/>
  <c r="G423" i="82"/>
  <c r="G422" i="82"/>
  <c r="N155" i="91"/>
  <c r="N156" i="91"/>
  <c r="G168" i="91"/>
  <c r="G169" i="91"/>
  <c r="G137" i="88"/>
  <c r="G138" i="88"/>
  <c r="G228" i="88"/>
  <c r="J189" i="90"/>
  <c r="J190" i="90"/>
  <c r="L216" i="88"/>
  <c r="L215" i="88"/>
  <c r="L228" i="88"/>
  <c r="C125" i="88"/>
  <c r="C124" i="88"/>
  <c r="C256" i="91"/>
  <c r="C177" i="75"/>
  <c r="C176" i="75"/>
  <c r="K116" i="1"/>
  <c r="D129" i="74"/>
  <c r="N137" i="81"/>
  <c r="N138" i="81"/>
  <c r="N151" i="81"/>
  <c r="N150" i="81"/>
  <c r="J229" i="88"/>
  <c r="J51" i="88" s="1"/>
  <c r="F138" i="78"/>
  <c r="F137" i="78"/>
  <c r="J124" i="78"/>
  <c r="J125" i="78"/>
  <c r="J213" i="78"/>
  <c r="I164" i="79"/>
  <c r="I163" i="79"/>
  <c r="E151" i="74"/>
  <c r="E150" i="74"/>
  <c r="J164" i="81"/>
  <c r="J163" i="81"/>
  <c r="M150" i="79"/>
  <c r="M151" i="79"/>
  <c r="I226" i="1"/>
  <c r="I50" i="1" s="1"/>
  <c r="C163" i="75"/>
  <c r="C168" i="75" s="1"/>
  <c r="D50" i="76"/>
  <c r="L151" i="77"/>
  <c r="L156" i="77" s="1"/>
  <c r="L177" i="77"/>
  <c r="B62" i="82"/>
  <c r="F181" i="1"/>
  <c r="D116" i="80"/>
  <c r="K116" i="80"/>
  <c r="F116" i="80"/>
  <c r="M116" i="80"/>
  <c r="I116" i="1"/>
  <c r="N306" i="82"/>
  <c r="N307" i="82"/>
  <c r="E242" i="82"/>
  <c r="E241" i="82"/>
  <c r="E435" i="82"/>
  <c r="E436" i="82"/>
  <c r="H461" i="82"/>
  <c r="H462" i="82"/>
  <c r="H333" i="82"/>
  <c r="H332" i="82"/>
  <c r="N241" i="82"/>
  <c r="N242" i="82"/>
  <c r="N320" i="82"/>
  <c r="N319" i="82"/>
  <c r="H229" i="82"/>
  <c r="H228" i="82"/>
  <c r="F293" i="82"/>
  <c r="F294" i="82"/>
  <c r="I448" i="82"/>
  <c r="I449" i="82"/>
  <c r="H346" i="82"/>
  <c r="H345" i="82"/>
  <c r="I307" i="82"/>
  <c r="I306" i="82"/>
  <c r="H203" i="88"/>
  <c r="H202" i="88"/>
  <c r="K182" i="91"/>
  <c r="K181" i="91"/>
  <c r="K256" i="91"/>
  <c r="G150" i="88"/>
  <c r="G151" i="88"/>
  <c r="C111" i="88"/>
  <c r="C112" i="88"/>
  <c r="C228" i="88"/>
  <c r="L111" i="90"/>
  <c r="L228" i="90"/>
  <c r="L112" i="90"/>
  <c r="L138" i="88"/>
  <c r="L137" i="88"/>
  <c r="I116" i="90"/>
  <c r="N112" i="90"/>
  <c r="N111" i="90"/>
  <c r="N228" i="90"/>
  <c r="I150" i="88"/>
  <c r="I151" i="88"/>
  <c r="M202" i="90"/>
  <c r="M203" i="90"/>
  <c r="M155" i="88"/>
  <c r="M125" i="83"/>
  <c r="M124" i="83"/>
  <c r="E125" i="83"/>
  <c r="E124" i="83"/>
  <c r="G216" i="88"/>
  <c r="G215" i="88"/>
  <c r="G190" i="88"/>
  <c r="G189" i="88"/>
  <c r="K116" i="89"/>
  <c r="C181" i="89"/>
  <c r="C215" i="88"/>
  <c r="C216" i="88"/>
  <c r="C190" i="88"/>
  <c r="C189" i="88"/>
  <c r="K228" i="88"/>
  <c r="K112" i="88"/>
  <c r="K111" i="88"/>
  <c r="N256" i="91"/>
  <c r="L129" i="83"/>
  <c r="D150" i="79"/>
  <c r="D151" i="79"/>
  <c r="C124" i="79"/>
  <c r="C125" i="79"/>
  <c r="K190" i="78"/>
  <c r="K189" i="78"/>
  <c r="G176" i="78"/>
  <c r="G177" i="78"/>
  <c r="C164" i="78"/>
  <c r="C163" i="78"/>
  <c r="C213" i="78"/>
  <c r="L138" i="78"/>
  <c r="L213" i="78"/>
  <c r="L137" i="78"/>
  <c r="I124" i="78"/>
  <c r="I213" i="78"/>
  <c r="I125" i="78"/>
  <c r="F111" i="75"/>
  <c r="F112" i="75"/>
  <c r="G199" i="91"/>
  <c r="K125" i="81"/>
  <c r="K124" i="81"/>
  <c r="K228" i="81"/>
  <c r="H177" i="1"/>
  <c r="H176" i="1"/>
  <c r="D137" i="1"/>
  <c r="D138" i="1"/>
  <c r="H128" i="1"/>
  <c r="H228" i="1" s="1"/>
  <c r="H52" i="1" s="1"/>
  <c r="H124" i="1"/>
  <c r="D151" i="78"/>
  <c r="D150" i="78"/>
  <c r="D213" i="78"/>
  <c r="D168" i="81"/>
  <c r="K149" i="74"/>
  <c r="K154" i="74" s="1"/>
  <c r="K158" i="74"/>
  <c r="K213" i="78"/>
  <c r="D190" i="78"/>
  <c r="D189" i="78"/>
  <c r="D164" i="78"/>
  <c r="D163" i="78"/>
  <c r="H168" i="1"/>
  <c r="L220" i="81"/>
  <c r="F124" i="81"/>
  <c r="F125" i="81"/>
  <c r="M149" i="74"/>
  <c r="M154" i="74" s="1"/>
  <c r="M158" i="74"/>
  <c r="C11" i="73"/>
  <c r="N125" i="83"/>
  <c r="N124" i="83"/>
  <c r="K129" i="78"/>
  <c r="G137" i="74"/>
  <c r="G138" i="74"/>
  <c r="C112" i="1"/>
  <c r="C115" i="1"/>
  <c r="C228" i="1" s="1"/>
  <c r="L143" i="91"/>
  <c r="L142" i="91"/>
  <c r="L256" i="91"/>
  <c r="L189" i="78"/>
  <c r="L190" i="78"/>
  <c r="I138" i="78"/>
  <c r="I137" i="78"/>
  <c r="C177" i="77"/>
  <c r="C178" i="77"/>
  <c r="L150" i="74"/>
  <c r="L151" i="74"/>
  <c r="N116" i="80"/>
  <c r="E116" i="80"/>
  <c r="M346" i="82"/>
  <c r="M345" i="82"/>
  <c r="M462" i="82"/>
  <c r="M461" i="82"/>
  <c r="J423" i="82"/>
  <c r="J422" i="82"/>
  <c r="M423" i="82"/>
  <c r="M422" i="82"/>
  <c r="N255" i="82"/>
  <c r="N254" i="82"/>
  <c r="L332" i="82"/>
  <c r="L333" i="82"/>
  <c r="G142" i="91"/>
  <c r="G143" i="91"/>
  <c r="G256" i="91"/>
  <c r="K228" i="90"/>
  <c r="K112" i="90"/>
  <c r="K111" i="90"/>
  <c r="E202" i="90"/>
  <c r="E228" i="90"/>
  <c r="E203" i="90"/>
  <c r="C112" i="83"/>
  <c r="C111" i="83"/>
  <c r="D216" i="88"/>
  <c r="D215" i="88"/>
  <c r="M190" i="88"/>
  <c r="M189" i="88"/>
  <c r="M228" i="88"/>
  <c r="L190" i="88"/>
  <c r="L189" i="88"/>
  <c r="H111" i="88"/>
  <c r="H228" i="88"/>
  <c r="H112" i="88"/>
  <c r="G124" i="79"/>
  <c r="G125" i="79"/>
  <c r="C189" i="78"/>
  <c r="C190" i="78"/>
  <c r="G151" i="78"/>
  <c r="G150" i="78"/>
  <c r="E138" i="78"/>
  <c r="E137" i="78"/>
  <c r="J111" i="75"/>
  <c r="J112" i="75"/>
  <c r="D177" i="1"/>
  <c r="D176" i="1"/>
  <c r="M137" i="79"/>
  <c r="M138" i="79"/>
  <c r="L112" i="77"/>
  <c r="L113" i="77"/>
  <c r="F203" i="83"/>
  <c r="F202" i="83"/>
  <c r="G138" i="1"/>
  <c r="G226" i="1"/>
  <c r="G50" i="1" s="1"/>
  <c r="G137" i="1"/>
  <c r="E171" i="74"/>
  <c r="E162" i="74"/>
  <c r="K124" i="75"/>
  <c r="E112" i="77"/>
  <c r="I320" i="82"/>
  <c r="I319" i="82"/>
  <c r="M215" i="82"/>
  <c r="M216" i="82"/>
  <c r="M241" i="82"/>
  <c r="M242" i="82"/>
  <c r="K254" i="82"/>
  <c r="K255" i="82"/>
  <c r="I203" i="90"/>
  <c r="I202" i="90"/>
  <c r="J150" i="90"/>
  <c r="J151" i="90"/>
  <c r="H151" i="88"/>
  <c r="H150" i="88"/>
  <c r="F228" i="90"/>
  <c r="F112" i="90"/>
  <c r="F111" i="90"/>
  <c r="K138" i="88"/>
  <c r="K137" i="88"/>
  <c r="D220" i="89"/>
  <c r="N150" i="88"/>
  <c r="N151" i="88"/>
  <c r="N228" i="88"/>
  <c r="F129" i="89"/>
  <c r="E203" i="83"/>
  <c r="E202" i="83"/>
  <c r="I138" i="1"/>
  <c r="I137" i="1"/>
  <c r="E215" i="75"/>
  <c r="E52" i="75" s="1"/>
  <c r="E112" i="75"/>
  <c r="E111" i="75"/>
  <c r="G125" i="75"/>
  <c r="G124" i="75"/>
  <c r="M111" i="81"/>
  <c r="M112" i="81"/>
  <c r="M228" i="81"/>
  <c r="N203" i="81"/>
  <c r="N202" i="81"/>
  <c r="N124" i="81"/>
  <c r="N125" i="81"/>
  <c r="C113" i="77"/>
  <c r="C112" i="77"/>
  <c r="C216" i="81"/>
  <c r="C228" i="81"/>
  <c r="C215" i="81"/>
  <c r="N112" i="79"/>
  <c r="N111" i="79"/>
  <c r="G149" i="74"/>
  <c r="G154" i="74" s="1"/>
  <c r="G215" i="74" s="1"/>
  <c r="G52" i="74" s="1"/>
  <c r="J189" i="81"/>
  <c r="J190" i="81"/>
  <c r="D124" i="79"/>
  <c r="D125" i="79"/>
  <c r="L162" i="74"/>
  <c r="L167" i="74" s="1"/>
  <c r="L215" i="74" s="1"/>
  <c r="L52" i="74" s="1"/>
  <c r="L171" i="74"/>
  <c r="J228" i="81"/>
  <c r="J129" i="1"/>
  <c r="M226" i="1"/>
  <c r="M50" i="1" s="1"/>
  <c r="J220" i="1"/>
  <c r="F207" i="1"/>
  <c r="N129" i="75"/>
  <c r="G163" i="75"/>
  <c r="G168" i="75" s="1"/>
  <c r="C213" i="75"/>
  <c r="C50" i="75" s="1"/>
  <c r="G22" i="53"/>
  <c r="E214" i="77"/>
  <c r="E50" i="77" s="1"/>
  <c r="K214" i="77"/>
  <c r="K50" i="77" s="1"/>
  <c r="H216" i="77"/>
  <c r="H52" i="77" s="1"/>
  <c r="M130" i="77"/>
  <c r="L214" i="77"/>
  <c r="L50" i="77" s="1"/>
  <c r="N181" i="1"/>
  <c r="G116" i="80"/>
  <c r="I116" i="80"/>
  <c r="E116" i="1"/>
  <c r="D461" i="82"/>
  <c r="D462" i="82"/>
  <c r="L358" i="82"/>
  <c r="L359" i="82"/>
  <c r="H449" i="82"/>
  <c r="H448" i="82"/>
  <c r="E281" i="82"/>
  <c r="E280" i="82"/>
  <c r="E306" i="82"/>
  <c r="E307" i="82"/>
  <c r="H306" i="82"/>
  <c r="H307" i="82"/>
  <c r="F216" i="82"/>
  <c r="F215" i="82"/>
  <c r="E332" i="82"/>
  <c r="E333" i="82"/>
  <c r="C294" i="82"/>
  <c r="C293" i="82"/>
  <c r="E216" i="82"/>
  <c r="E215" i="82"/>
  <c r="C215" i="82"/>
  <c r="C216" i="82"/>
  <c r="F358" i="82"/>
  <c r="F359" i="82"/>
  <c r="K228" i="82"/>
  <c r="K229" i="82"/>
  <c r="J143" i="91"/>
  <c r="J256" i="91"/>
  <c r="J142" i="91"/>
  <c r="M216" i="90"/>
  <c r="M215" i="90"/>
  <c r="D112" i="90"/>
  <c r="D111" i="90"/>
  <c r="D228" i="90"/>
  <c r="D137" i="88"/>
  <c r="D228" i="88"/>
  <c r="D138" i="88"/>
  <c r="H138" i="90"/>
  <c r="H137" i="90"/>
  <c r="D124" i="90"/>
  <c r="D125" i="90"/>
  <c r="H164" i="90"/>
  <c r="H163" i="90"/>
  <c r="N203" i="88"/>
  <c r="N202" i="88"/>
  <c r="E228" i="88"/>
  <c r="G202" i="88"/>
  <c r="G203" i="88"/>
  <c r="I124" i="88"/>
  <c r="I125" i="88"/>
  <c r="I228" i="90"/>
  <c r="E116" i="89"/>
  <c r="K125" i="88"/>
  <c r="K124" i="88"/>
  <c r="M228" i="90"/>
  <c r="L129" i="88"/>
  <c r="H129" i="83"/>
  <c r="J228" i="90"/>
  <c r="F228" i="88"/>
  <c r="H228" i="90"/>
  <c r="I203" i="83"/>
  <c r="I202" i="83"/>
  <c r="M115" i="75"/>
  <c r="M215" i="75" s="1"/>
  <c r="M52" i="75" s="1"/>
  <c r="M112" i="75"/>
  <c r="M111" i="75"/>
  <c r="I150" i="82"/>
  <c r="I151" i="82"/>
  <c r="N124" i="82"/>
  <c r="N125" i="82"/>
  <c r="C189" i="75"/>
  <c r="C190" i="75"/>
  <c r="K164" i="75"/>
  <c r="K163" i="75"/>
  <c r="C125" i="75"/>
  <c r="C124" i="75"/>
  <c r="L151" i="1"/>
  <c r="L226" i="1"/>
  <c r="L50" i="1" s="1"/>
  <c r="L150" i="1"/>
  <c r="F164" i="81"/>
  <c r="F163" i="81"/>
  <c r="L177" i="78"/>
  <c r="L176" i="78"/>
  <c r="G194" i="80"/>
  <c r="K137" i="74"/>
  <c r="K138" i="74"/>
  <c r="F213" i="78"/>
  <c r="I129" i="74"/>
  <c r="F155" i="91"/>
  <c r="F156" i="91"/>
  <c r="F256" i="91"/>
  <c r="M116" i="83"/>
  <c r="F177" i="81"/>
  <c r="F176" i="81"/>
  <c r="F151" i="81"/>
  <c r="F150" i="81"/>
  <c r="J124" i="81"/>
  <c r="J125" i="81"/>
  <c r="I111" i="81"/>
  <c r="I112" i="81"/>
  <c r="I228" i="81"/>
  <c r="H125" i="79"/>
  <c r="H124" i="79"/>
  <c r="M137" i="74"/>
  <c r="M138" i="74"/>
  <c r="J202" i="83"/>
  <c r="J203" i="83"/>
  <c r="G216" i="81"/>
  <c r="G215" i="81"/>
  <c r="J111" i="79"/>
  <c r="J112" i="79"/>
  <c r="N129" i="78"/>
  <c r="C28" i="73"/>
  <c r="F111" i="81"/>
  <c r="F112" i="81"/>
  <c r="F228" i="81"/>
  <c r="M181" i="91"/>
  <c r="M182" i="91"/>
  <c r="F202" i="81"/>
  <c r="F203" i="81"/>
  <c r="N176" i="81"/>
  <c r="N177" i="81"/>
  <c r="J137" i="81"/>
  <c r="J138" i="81"/>
  <c r="I138" i="79"/>
  <c r="I137" i="79"/>
  <c r="D116" i="79"/>
  <c r="K181" i="1"/>
  <c r="B62" i="75"/>
  <c r="B62" i="81"/>
  <c r="J22" i="53"/>
  <c r="K22" i="53"/>
  <c r="H195" i="77"/>
  <c r="C214" i="77"/>
  <c r="C50" i="77" s="1"/>
  <c r="D191" i="77"/>
  <c r="D190" i="77"/>
  <c r="D164" i="77"/>
  <c r="D165" i="77"/>
  <c r="L191" i="77"/>
  <c r="L190" i="77"/>
  <c r="D208" i="77"/>
  <c r="H152" i="77"/>
  <c r="H151" i="77"/>
  <c r="H204" i="77"/>
  <c r="H203" i="77"/>
  <c r="H164" i="77"/>
  <c r="H165" i="77"/>
  <c r="H178" i="77"/>
  <c r="H177" i="77"/>
  <c r="F130" i="77"/>
  <c r="H22" i="53"/>
  <c r="I22" i="53"/>
  <c r="L22" i="53"/>
  <c r="C22" i="53"/>
  <c r="G117" i="77"/>
  <c r="E22" i="53"/>
  <c r="B22" i="53"/>
  <c r="M22" i="53"/>
  <c r="K189" i="75"/>
  <c r="K194" i="75" s="1"/>
  <c r="M213" i="75"/>
  <c r="M50" i="75" s="1"/>
  <c r="I213" i="75"/>
  <c r="I50" i="75" s="1"/>
  <c r="K177" i="75"/>
  <c r="K176" i="75"/>
  <c r="C203" i="75"/>
  <c r="C202" i="75"/>
  <c r="B62" i="78"/>
  <c r="B62" i="77"/>
  <c r="B62" i="83"/>
  <c r="B62" i="76"/>
  <c r="B62" i="88"/>
  <c r="B93" i="91"/>
  <c r="B62" i="89"/>
  <c r="B62" i="90"/>
  <c r="E176" i="75"/>
  <c r="E177" i="75"/>
  <c r="M202" i="75"/>
  <c r="M203" i="75"/>
  <c r="E213" i="75"/>
  <c r="E50" i="75" s="1"/>
  <c r="E138" i="75"/>
  <c r="E137" i="75"/>
  <c r="M177" i="75"/>
  <c r="M176" i="75"/>
  <c r="M137" i="75"/>
  <c r="M138" i="75"/>
  <c r="I190" i="75"/>
  <c r="I189" i="75"/>
  <c r="I163" i="75"/>
  <c r="I164" i="75"/>
  <c r="E203" i="75"/>
  <c r="E202" i="75"/>
  <c r="F124" i="75"/>
  <c r="F125" i="75"/>
  <c r="F213" i="75"/>
  <c r="F50" i="75" s="1"/>
  <c r="J124" i="75"/>
  <c r="J125" i="75"/>
  <c r="J213" i="75"/>
  <c r="J50" i="75" s="1"/>
  <c r="H129" i="75"/>
  <c r="D116" i="75"/>
  <c r="D8" i="46"/>
  <c r="J202" i="1"/>
  <c r="J203" i="1"/>
  <c r="J226" i="1"/>
  <c r="J50" i="1" s="1"/>
  <c r="F215" i="1"/>
  <c r="F216" i="1"/>
  <c r="N215" i="1"/>
  <c r="N216" i="1"/>
  <c r="L129" i="1"/>
  <c r="F129" i="1"/>
  <c r="H116" i="1"/>
  <c r="N116" i="1"/>
  <c r="C130" i="77" l="1"/>
  <c r="D142" i="80"/>
  <c r="D142" i="78"/>
  <c r="E143" i="77"/>
  <c r="I143" i="77"/>
  <c r="D129" i="89"/>
  <c r="I168" i="88"/>
  <c r="J29" i="53"/>
  <c r="F29" i="53"/>
  <c r="M29" i="53"/>
  <c r="I29" i="53"/>
  <c r="L29" i="53"/>
  <c r="H29" i="53"/>
  <c r="K29" i="53"/>
  <c r="G29" i="53"/>
  <c r="G258" i="91"/>
  <c r="G83" i="91" s="1"/>
  <c r="J129" i="89"/>
  <c r="M129" i="82"/>
  <c r="E216" i="77"/>
  <c r="E52" i="77" s="1"/>
  <c r="L155" i="82"/>
  <c r="L194" i="80"/>
  <c r="G181" i="1"/>
  <c r="M230" i="89"/>
  <c r="M52" i="89" s="1"/>
  <c r="H168" i="82"/>
  <c r="N129" i="88"/>
  <c r="K311" i="82"/>
  <c r="M116" i="79"/>
  <c r="I230" i="90"/>
  <c r="I52" i="90" s="1"/>
  <c r="E155" i="90"/>
  <c r="C8" i="91"/>
  <c r="C24" i="43" s="1"/>
  <c r="G116" i="88"/>
  <c r="N220" i="82"/>
  <c r="N233" i="82"/>
  <c r="D129" i="78"/>
  <c r="L207" i="82"/>
  <c r="M155" i="89"/>
  <c r="E116" i="88"/>
  <c r="J337" i="82"/>
  <c r="H181" i="80"/>
  <c r="B52" i="88"/>
  <c r="N142" i="90"/>
  <c r="C207" i="81"/>
  <c r="I168" i="78"/>
  <c r="H168" i="78"/>
  <c r="M155" i="90"/>
  <c r="I129" i="79"/>
  <c r="E129" i="78"/>
  <c r="D116" i="81"/>
  <c r="G363" i="82"/>
  <c r="D229" i="81"/>
  <c r="D51" i="81" s="1"/>
  <c r="D53" i="81" s="1"/>
  <c r="K207" i="81"/>
  <c r="H143" i="77"/>
  <c r="J143" i="77"/>
  <c r="H116" i="81"/>
  <c r="D143" i="77"/>
  <c r="G251" i="91"/>
  <c r="M251" i="91"/>
  <c r="M9" i="91" s="1"/>
  <c r="E258" i="91"/>
  <c r="E83" i="91" s="1"/>
  <c r="E251" i="91"/>
  <c r="G225" i="91"/>
  <c r="I238" i="91"/>
  <c r="E182" i="77"/>
  <c r="K116" i="81"/>
  <c r="E207" i="89"/>
  <c r="I194" i="90"/>
  <c r="D207" i="89"/>
  <c r="N143" i="77"/>
  <c r="F129" i="83"/>
  <c r="E238" i="91"/>
  <c r="M52" i="76"/>
  <c r="E169" i="77"/>
  <c r="L238" i="91"/>
  <c r="F238" i="91"/>
  <c r="K143" i="77"/>
  <c r="J155" i="78"/>
  <c r="I254" i="80"/>
  <c r="I52" i="80" s="1"/>
  <c r="K216" i="77"/>
  <c r="K52" i="77" s="1"/>
  <c r="J216" i="77"/>
  <c r="J52" i="77" s="1"/>
  <c r="D116" i="89"/>
  <c r="E220" i="81"/>
  <c r="M220" i="81"/>
  <c r="F207" i="89"/>
  <c r="F216" i="77"/>
  <c r="F52" i="77" s="1"/>
  <c r="D216" i="77"/>
  <c r="D52" i="77" s="1"/>
  <c r="F169" i="77"/>
  <c r="D129" i="83"/>
  <c r="L143" i="77"/>
  <c r="F143" i="77"/>
  <c r="H142" i="78"/>
  <c r="J215" i="78"/>
  <c r="J52" i="78" s="1"/>
  <c r="F220" i="81"/>
  <c r="C194" i="80"/>
  <c r="I225" i="91"/>
  <c r="M182" i="77"/>
  <c r="K194" i="89"/>
  <c r="J169" i="77"/>
  <c r="G143" i="77"/>
  <c r="E225" i="91"/>
  <c r="E230" i="89"/>
  <c r="E52" i="89" s="1"/>
  <c r="H194" i="89"/>
  <c r="N220" i="81"/>
  <c r="D215" i="83"/>
  <c r="D52" i="83" s="1"/>
  <c r="D194" i="80"/>
  <c r="D207" i="81"/>
  <c r="N182" i="77"/>
  <c r="I194" i="89"/>
  <c r="I207" i="81"/>
  <c r="N194" i="80"/>
  <c r="D225" i="91"/>
  <c r="H194" i="80"/>
  <c r="K225" i="91"/>
  <c r="M199" i="91"/>
  <c r="M8" i="91" s="1"/>
  <c r="H251" i="91"/>
  <c r="C147" i="91"/>
  <c r="C225" i="91"/>
  <c r="K238" i="91"/>
  <c r="C116" i="81"/>
  <c r="C230" i="81"/>
  <c r="C52" i="81" s="1"/>
  <c r="K251" i="91"/>
  <c r="I215" i="77"/>
  <c r="I217" i="77" s="1"/>
  <c r="J155" i="82"/>
  <c r="M142" i="1"/>
  <c r="I168" i="82"/>
  <c r="L350" i="82"/>
  <c r="H142" i="75"/>
  <c r="I168" i="80"/>
  <c r="L142" i="89"/>
  <c r="D473" i="82"/>
  <c r="D52" i="82" s="1"/>
  <c r="D160" i="91"/>
  <c r="H129" i="82"/>
  <c r="D259" i="82"/>
  <c r="G116" i="75"/>
  <c r="G259" i="82"/>
  <c r="F33" i="53"/>
  <c r="C29" i="53"/>
  <c r="D29" i="53"/>
  <c r="E29" i="53"/>
  <c r="I130" i="77"/>
  <c r="I129" i="89"/>
  <c r="H324" i="82"/>
  <c r="C207" i="89"/>
  <c r="J212" i="91"/>
  <c r="J8" i="91" s="1"/>
  <c r="F142" i="82"/>
  <c r="G129" i="82"/>
  <c r="E8" i="91"/>
  <c r="E181" i="88"/>
  <c r="E116" i="81"/>
  <c r="D215" i="78"/>
  <c r="D52" i="78" s="1"/>
  <c r="H246" i="82"/>
  <c r="G168" i="79"/>
  <c r="J207" i="89"/>
  <c r="E181" i="89"/>
  <c r="C142" i="75"/>
  <c r="J225" i="91"/>
  <c r="K230" i="90"/>
  <c r="K52" i="90" s="1"/>
  <c r="F155" i="88"/>
  <c r="H129" i="88"/>
  <c r="L142" i="75"/>
  <c r="J181" i="89"/>
  <c r="H181" i="89"/>
  <c r="G194" i="89"/>
  <c r="J220" i="81"/>
  <c r="E230" i="81"/>
  <c r="E52" i="81" s="1"/>
  <c r="E181" i="81"/>
  <c r="N216" i="77"/>
  <c r="N52" i="77" s="1"/>
  <c r="K155" i="90"/>
  <c r="C233" i="82"/>
  <c r="E473" i="82"/>
  <c r="E52" i="82" s="1"/>
  <c r="I220" i="82"/>
  <c r="F207" i="82"/>
  <c r="C472" i="82"/>
  <c r="C51" i="82" s="1"/>
  <c r="C129" i="82"/>
  <c r="C473" i="82"/>
  <c r="C52" i="82" s="1"/>
  <c r="H258" i="91"/>
  <c r="H83" i="91" s="1"/>
  <c r="K258" i="91"/>
  <c r="K83" i="91" s="1"/>
  <c r="E142" i="74"/>
  <c r="K129" i="83"/>
  <c r="D254" i="80"/>
  <c r="D52" i="80" s="1"/>
  <c r="E472" i="82"/>
  <c r="E51" i="82" s="1"/>
  <c r="I376" i="82"/>
  <c r="D363" i="82"/>
  <c r="D472" i="82"/>
  <c r="D51" i="82" s="1"/>
  <c r="J51" i="76"/>
  <c r="J53" i="76" s="1"/>
  <c r="G220" i="1"/>
  <c r="L52" i="76"/>
  <c r="I215" i="75"/>
  <c r="I52" i="75" s="1"/>
  <c r="N142" i="75"/>
  <c r="K129" i="82"/>
  <c r="F129" i="82"/>
  <c r="I363" i="82"/>
  <c r="M194" i="82"/>
  <c r="J181" i="82"/>
  <c r="L259" i="82"/>
  <c r="L298" i="82"/>
  <c r="E181" i="82"/>
  <c r="F238" i="79"/>
  <c r="F52" i="79" s="1"/>
  <c r="D230" i="89"/>
  <c r="D52" i="89" s="1"/>
  <c r="C129" i="89"/>
  <c r="M38" i="53"/>
  <c r="E32" i="53"/>
  <c r="K31" i="53"/>
  <c r="B39" i="53"/>
  <c r="C38" i="53"/>
  <c r="I36" i="53"/>
  <c r="M30" i="53"/>
  <c r="K32" i="53"/>
  <c r="J33" i="53"/>
  <c r="I28" i="53"/>
  <c r="J32" i="53"/>
  <c r="E31" i="53"/>
  <c r="I38" i="53"/>
  <c r="M39" i="53"/>
  <c r="D27" i="53"/>
  <c r="J34" i="53"/>
  <c r="E39" i="53"/>
  <c r="C27" i="53"/>
  <c r="L34" i="53"/>
  <c r="M28" i="53"/>
  <c r="G30" i="53"/>
  <c r="H27" i="53"/>
  <c r="B29" i="53"/>
  <c r="C32" i="53"/>
  <c r="L28" i="53"/>
  <c r="E33" i="53"/>
  <c r="K39" i="53"/>
  <c r="C28" i="53"/>
  <c r="G33" i="53"/>
  <c r="J38" i="53"/>
  <c r="D31" i="53"/>
  <c r="E41" i="53"/>
  <c r="J28" i="53"/>
  <c r="G32" i="53"/>
  <c r="B32" i="53"/>
  <c r="G39" i="53"/>
  <c r="F31" i="53"/>
  <c r="F28" i="53"/>
  <c r="F39" i="53"/>
  <c r="B31" i="53"/>
  <c r="M41" i="53"/>
  <c r="E34" i="53"/>
  <c r="G27" i="53"/>
  <c r="D39" i="53"/>
  <c r="E36" i="53"/>
  <c r="I27" i="53"/>
  <c r="J27" i="53"/>
  <c r="F41" i="53"/>
  <c r="L30" i="53"/>
  <c r="K28" i="53"/>
  <c r="F34" i="53"/>
  <c r="I33" i="53"/>
  <c r="B36" i="53"/>
  <c r="H41" i="53"/>
  <c r="J39" i="53"/>
  <c r="D28" i="53"/>
  <c r="E27" i="53"/>
  <c r="K33" i="53"/>
  <c r="I41" i="53"/>
  <c r="L39" i="53"/>
  <c r="D36" i="53"/>
  <c r="D34" i="53"/>
  <c r="M33" i="53"/>
  <c r="G34" i="53"/>
  <c r="I30" i="53"/>
  <c r="K38" i="53"/>
  <c r="K36" i="53"/>
  <c r="I34" i="53"/>
  <c r="L33" i="53"/>
  <c r="F30" i="53"/>
  <c r="I32" i="53"/>
  <c r="C39" i="53"/>
  <c r="H36" i="53"/>
  <c r="G31" i="53"/>
  <c r="K27" i="53"/>
  <c r="G41" i="53"/>
  <c r="E38" i="53"/>
  <c r="G38" i="53"/>
  <c r="M36" i="53"/>
  <c r="H31" i="53"/>
  <c r="M27" i="53"/>
  <c r="I39" i="53"/>
  <c r="B38" i="53"/>
  <c r="B34" i="53"/>
  <c r="M31" i="53"/>
  <c r="F27" i="53"/>
  <c r="K41" i="53"/>
  <c r="D38" i="53"/>
  <c r="B28" i="53"/>
  <c r="F36" i="53"/>
  <c r="L31" i="53"/>
  <c r="F40" i="53"/>
  <c r="J40" i="53"/>
  <c r="E37" i="53"/>
  <c r="M37" i="53"/>
  <c r="D40" i="53"/>
  <c r="D37" i="53"/>
  <c r="C40" i="53"/>
  <c r="I37" i="53"/>
  <c r="H40" i="53"/>
  <c r="B37" i="53"/>
  <c r="J35" i="53"/>
  <c r="L37" i="53"/>
  <c r="K40" i="53"/>
  <c r="G35" i="53"/>
  <c r="G40" i="53"/>
  <c r="L35" i="53"/>
  <c r="K37" i="53"/>
  <c r="M40" i="53"/>
  <c r="E35" i="53"/>
  <c r="C35" i="53"/>
  <c r="B40" i="53"/>
  <c r="C37" i="53"/>
  <c r="F37" i="53"/>
  <c r="L40" i="53"/>
  <c r="H35" i="53"/>
  <c r="H37" i="53"/>
  <c r="K35" i="53"/>
  <c r="D35" i="53"/>
  <c r="G37" i="53"/>
  <c r="E40" i="53"/>
  <c r="J37" i="53"/>
  <c r="B35" i="53"/>
  <c r="M35" i="53"/>
  <c r="F35" i="53"/>
  <c r="I40" i="53"/>
  <c r="I35" i="53"/>
  <c r="M32" i="53"/>
  <c r="K34" i="53"/>
  <c r="H32" i="53"/>
  <c r="D30" i="53"/>
  <c r="G28" i="53"/>
  <c r="D41" i="53"/>
  <c r="C34" i="53"/>
  <c r="L32" i="53"/>
  <c r="B41" i="53"/>
  <c r="J41" i="53"/>
  <c r="E28" i="53"/>
  <c r="J30" i="53"/>
  <c r="D32" i="53"/>
  <c r="K30" i="53"/>
  <c r="H38" i="53"/>
  <c r="J36" i="53"/>
  <c r="H34" i="53"/>
  <c r="I31" i="53"/>
  <c r="B27" i="53"/>
  <c r="L41" i="53"/>
  <c r="C41" i="53"/>
  <c r="B30" i="53"/>
  <c r="L38" i="53"/>
  <c r="L36" i="53"/>
  <c r="C30" i="53"/>
  <c r="H33" i="53"/>
  <c r="L27" i="53"/>
  <c r="D33" i="53"/>
  <c r="F38" i="53"/>
  <c r="H28" i="53"/>
  <c r="C31" i="53"/>
  <c r="J31" i="53"/>
  <c r="C33" i="53"/>
  <c r="F32" i="53"/>
  <c r="H30" i="53"/>
  <c r="H39" i="53"/>
  <c r="G36" i="53"/>
  <c r="C36" i="53"/>
  <c r="M34" i="53"/>
  <c r="E30" i="53"/>
  <c r="B33" i="53"/>
  <c r="D10" i="46"/>
  <c r="I52" i="76"/>
  <c r="D142" i="90"/>
  <c r="I116" i="75"/>
  <c r="L246" i="82"/>
  <c r="I8" i="91"/>
  <c r="G212" i="91"/>
  <c r="G8" i="91" s="1"/>
  <c r="M259" i="82"/>
  <c r="D129" i="88"/>
  <c r="C171" i="74"/>
  <c r="C162" i="74"/>
  <c r="D149" i="74"/>
  <c r="D158" i="74"/>
  <c r="F171" i="74"/>
  <c r="F162" i="74"/>
  <c r="C230" i="89"/>
  <c r="C52" i="89" s="1"/>
  <c r="I230" i="89"/>
  <c r="I52" i="89" s="1"/>
  <c r="L130" i="77"/>
  <c r="L142" i="82"/>
  <c r="D142" i="82"/>
  <c r="J207" i="90"/>
  <c r="H155" i="82"/>
  <c r="C154" i="74"/>
  <c r="C215" i="74" s="1"/>
  <c r="C52" i="74" s="1"/>
  <c r="C150" i="74"/>
  <c r="C151" i="74"/>
  <c r="D141" i="74"/>
  <c r="D137" i="74"/>
  <c r="F154" i="74"/>
  <c r="F215" i="74" s="1"/>
  <c r="F52" i="74" s="1"/>
  <c r="F151" i="74"/>
  <c r="F150" i="74"/>
  <c r="J130" i="77"/>
  <c r="L129" i="82"/>
  <c r="I142" i="75"/>
  <c r="I160" i="91"/>
  <c r="F350" i="82"/>
  <c r="H225" i="91"/>
  <c r="G194" i="82"/>
  <c r="H259" i="82"/>
  <c r="F142" i="90"/>
  <c r="D138" i="74"/>
  <c r="G207" i="90"/>
  <c r="N194" i="90"/>
  <c r="E230" i="90"/>
  <c r="E52" i="90" s="1"/>
  <c r="E142" i="90"/>
  <c r="M230" i="90"/>
  <c r="M52" i="90" s="1"/>
  <c r="I155" i="90"/>
  <c r="F230" i="90"/>
  <c r="F52" i="90" s="1"/>
  <c r="K194" i="82"/>
  <c r="C194" i="82"/>
  <c r="J194" i="82"/>
  <c r="I194" i="82"/>
  <c r="N207" i="82"/>
  <c r="E142" i="82"/>
  <c r="C142" i="82"/>
  <c r="N142" i="82"/>
  <c r="M142" i="82"/>
  <c r="K142" i="82"/>
  <c r="G233" i="82"/>
  <c r="L194" i="82"/>
  <c r="H194" i="82"/>
  <c r="E129" i="79"/>
  <c r="G130" i="77"/>
  <c r="D130" i="77"/>
  <c r="H186" i="91"/>
  <c r="K173" i="91"/>
  <c r="F173" i="91"/>
  <c r="F258" i="91"/>
  <c r="F83" i="91" s="1"/>
  <c r="J74" i="65"/>
  <c r="B26" i="97" s="1"/>
  <c r="I238" i="79"/>
  <c r="I52" i="79" s="1"/>
  <c r="G337" i="82"/>
  <c r="F225" i="91"/>
  <c r="F259" i="82"/>
  <c r="G116" i="82"/>
  <c r="K129" i="81"/>
  <c r="H116" i="79"/>
  <c r="D155" i="75"/>
  <c r="D199" i="91"/>
  <c r="C238" i="79"/>
  <c r="C52" i="79" s="1"/>
  <c r="C155" i="79"/>
  <c r="K129" i="75"/>
  <c r="H427" i="82"/>
  <c r="I129" i="1"/>
  <c r="M116" i="88"/>
  <c r="L207" i="81"/>
  <c r="C116" i="90"/>
  <c r="L142" i="81"/>
  <c r="C350" i="82"/>
  <c r="K427" i="82"/>
  <c r="H238" i="79"/>
  <c r="H52" i="79" s="1"/>
  <c r="H253" i="80"/>
  <c r="H51" i="80" s="1"/>
  <c r="L168" i="80"/>
  <c r="N181" i="89"/>
  <c r="N181" i="88"/>
  <c r="L168" i="90"/>
  <c r="H116" i="82"/>
  <c r="K142" i="90"/>
  <c r="L324" i="82"/>
  <c r="N130" i="77"/>
  <c r="N228" i="1"/>
  <c r="N52" i="1" s="1"/>
  <c r="J181" i="80"/>
  <c r="J230" i="89"/>
  <c r="J52" i="89" s="1"/>
  <c r="D376" i="82"/>
  <c r="M228" i="1"/>
  <c r="M52" i="1" s="1"/>
  <c r="M230" i="81"/>
  <c r="M52" i="81" s="1"/>
  <c r="E155" i="88"/>
  <c r="L233" i="82"/>
  <c r="E363" i="82"/>
  <c r="H129" i="89"/>
  <c r="M117" i="77"/>
  <c r="I220" i="81"/>
  <c r="C194" i="89"/>
  <c r="N214" i="75"/>
  <c r="N51" i="75" s="1"/>
  <c r="N53" i="75" s="1"/>
  <c r="F116" i="89"/>
  <c r="F194" i="88"/>
  <c r="D147" i="91"/>
  <c r="D212" i="91"/>
  <c r="M181" i="88"/>
  <c r="L230" i="81"/>
  <c r="L52" i="81" s="1"/>
  <c r="J142" i="89"/>
  <c r="L220" i="82"/>
  <c r="D238" i="91"/>
  <c r="D9" i="91" s="1"/>
  <c r="D26" i="43" s="1"/>
  <c r="J129" i="90"/>
  <c r="N212" i="91"/>
  <c r="E272" i="82"/>
  <c r="J168" i="90"/>
  <c r="N168" i="82"/>
  <c r="H116" i="75"/>
  <c r="N363" i="82"/>
  <c r="J238" i="91"/>
  <c r="J9" i="91" s="1"/>
  <c r="J26" i="43" s="1"/>
  <c r="L251" i="91"/>
  <c r="E259" i="82"/>
  <c r="L194" i="89"/>
  <c r="N160" i="91"/>
  <c r="C181" i="82"/>
  <c r="O115" i="81"/>
  <c r="N129" i="83"/>
  <c r="G156" i="77"/>
  <c r="N52" i="76"/>
  <c r="I233" i="82"/>
  <c r="O206" i="81"/>
  <c r="D142" i="75"/>
  <c r="C155" i="1"/>
  <c r="M168" i="90"/>
  <c r="K155" i="79"/>
  <c r="K220" i="88"/>
  <c r="I337" i="82"/>
  <c r="I155" i="89"/>
  <c r="N142" i="89"/>
  <c r="L194" i="90"/>
  <c r="D116" i="1"/>
  <c r="N168" i="90"/>
  <c r="I142" i="88"/>
  <c r="N186" i="91"/>
  <c r="M216" i="77"/>
  <c r="M52" i="77" s="1"/>
  <c r="G238" i="91"/>
  <c r="J195" i="77"/>
  <c r="E168" i="81"/>
  <c r="K116" i="75"/>
  <c r="J259" i="82"/>
  <c r="O141" i="81"/>
  <c r="K233" i="82"/>
  <c r="O128" i="81"/>
  <c r="J208" i="77"/>
  <c r="H207" i="80"/>
  <c r="M181" i="89"/>
  <c r="J231" i="88"/>
  <c r="C220" i="88"/>
  <c r="H257" i="91"/>
  <c r="H82" i="91" s="1"/>
  <c r="N298" i="82"/>
  <c r="M229" i="89"/>
  <c r="M51" i="89" s="1"/>
  <c r="L230" i="90"/>
  <c r="L52" i="90" s="1"/>
  <c r="M142" i="88"/>
  <c r="J186" i="91"/>
  <c r="J142" i="1"/>
  <c r="G116" i="89"/>
  <c r="E194" i="89"/>
  <c r="C207" i="88"/>
  <c r="M194" i="90"/>
  <c r="M129" i="88"/>
  <c r="N207" i="75"/>
  <c r="H155" i="88"/>
  <c r="D220" i="88"/>
  <c r="J427" i="82"/>
  <c r="N155" i="81"/>
  <c r="O154" i="81"/>
  <c r="N225" i="91"/>
  <c r="L214" i="75"/>
  <c r="L51" i="75" s="1"/>
  <c r="K129" i="79"/>
  <c r="F233" i="82"/>
  <c r="I220" i="88"/>
  <c r="K363" i="82"/>
  <c r="J440" i="82"/>
  <c r="F220" i="89"/>
  <c r="F116" i="1"/>
  <c r="L116" i="82"/>
  <c r="O180" i="81"/>
  <c r="O193" i="81"/>
  <c r="D214" i="75"/>
  <c r="D51" i="75" s="1"/>
  <c r="D53" i="75" s="1"/>
  <c r="N116" i="88"/>
  <c r="H116" i="90"/>
  <c r="F194" i="78"/>
  <c r="N230" i="90"/>
  <c r="N52" i="90" s="1"/>
  <c r="G168" i="1"/>
  <c r="N207" i="81"/>
  <c r="L194" i="88"/>
  <c r="I257" i="91"/>
  <c r="I82" i="91" s="1"/>
  <c r="I84" i="91" s="1"/>
  <c r="E257" i="91"/>
  <c r="E82" i="91" s="1"/>
  <c r="L129" i="75"/>
  <c r="K168" i="82"/>
  <c r="C129" i="83"/>
  <c r="M51" i="76"/>
  <c r="G238" i="79"/>
  <c r="G52" i="79" s="1"/>
  <c r="L181" i="80"/>
  <c r="H194" i="81"/>
  <c r="M129" i="1"/>
  <c r="N129" i="1"/>
  <c r="C220" i="90"/>
  <c r="L168" i="81"/>
  <c r="G129" i="88"/>
  <c r="E116" i="82"/>
  <c r="N51" i="76"/>
  <c r="C116" i="82"/>
  <c r="G253" i="80"/>
  <c r="G51" i="80" s="1"/>
  <c r="L173" i="91"/>
  <c r="M155" i="1"/>
  <c r="D168" i="79"/>
  <c r="H138" i="74"/>
  <c r="H137" i="74"/>
  <c r="H194" i="75"/>
  <c r="F155" i="81"/>
  <c r="I147" i="91"/>
  <c r="G155" i="88"/>
  <c r="H207" i="88"/>
  <c r="E207" i="1"/>
  <c r="G427" i="82"/>
  <c r="F51" i="76"/>
  <c r="F53" i="76" s="1"/>
  <c r="F8" i="76" s="1"/>
  <c r="J116" i="78"/>
  <c r="E229" i="81"/>
  <c r="E51" i="81" s="1"/>
  <c r="I194" i="81"/>
  <c r="E160" i="91"/>
  <c r="G51" i="76"/>
  <c r="G53" i="76" s="1"/>
  <c r="G8" i="76" s="1"/>
  <c r="M233" i="82"/>
  <c r="E233" i="82"/>
  <c r="M207" i="82"/>
  <c r="N238" i="91"/>
  <c r="E186" i="91"/>
  <c r="D257" i="91"/>
  <c r="D82" i="91" s="1"/>
  <c r="D84" i="91" s="1"/>
  <c r="L254" i="80"/>
  <c r="L52" i="80" s="1"/>
  <c r="M169" i="77"/>
  <c r="D298" i="82"/>
  <c r="N129" i="89"/>
  <c r="N237" i="79"/>
  <c r="N51" i="79" s="1"/>
  <c r="I194" i="88"/>
  <c r="C186" i="91"/>
  <c r="C168" i="89"/>
  <c r="L116" i="88"/>
  <c r="C251" i="91"/>
  <c r="F142" i="88"/>
  <c r="H158" i="74"/>
  <c r="H149" i="74"/>
  <c r="J150" i="74"/>
  <c r="J154" i="74"/>
  <c r="J215" i="74" s="1"/>
  <c r="J52" i="74" s="1"/>
  <c r="J151" i="74"/>
  <c r="C116" i="1"/>
  <c r="M168" i="82"/>
  <c r="N238" i="79"/>
  <c r="N52" i="79" s="1"/>
  <c r="N207" i="83"/>
  <c r="K207" i="1"/>
  <c r="J171" i="74"/>
  <c r="J162" i="74"/>
  <c r="J173" i="91"/>
  <c r="F181" i="88"/>
  <c r="K186" i="91"/>
  <c r="I181" i="88"/>
  <c r="G173" i="91"/>
  <c r="I246" i="82"/>
  <c r="L215" i="75"/>
  <c r="L52" i="75" s="1"/>
  <c r="N142" i="78"/>
  <c r="D233" i="82"/>
  <c r="M363" i="82"/>
  <c r="E194" i="81"/>
  <c r="K246" i="82"/>
  <c r="E220" i="88"/>
  <c r="H212" i="91"/>
  <c r="M142" i="81"/>
  <c r="N199" i="91"/>
  <c r="N8" i="91" s="1"/>
  <c r="L181" i="89"/>
  <c r="K155" i="89"/>
  <c r="N376" i="82"/>
  <c r="K199" i="91"/>
  <c r="K8" i="91" s="1"/>
  <c r="K207" i="83"/>
  <c r="H214" i="75"/>
  <c r="H51" i="75" s="1"/>
  <c r="H53" i="75" s="1"/>
  <c r="H87" i="75" s="1"/>
  <c r="G181" i="78"/>
  <c r="M237" i="79"/>
  <c r="M51" i="79" s="1"/>
  <c r="E238" i="79"/>
  <c r="E52" i="79" s="1"/>
  <c r="E155" i="74"/>
  <c r="L155" i="74"/>
  <c r="H237" i="79"/>
  <c r="H51" i="79" s="1"/>
  <c r="L238" i="79"/>
  <c r="L52" i="79" s="1"/>
  <c r="K238" i="79"/>
  <c r="K52" i="79" s="1"/>
  <c r="J237" i="79"/>
  <c r="J51" i="79" s="1"/>
  <c r="C237" i="79"/>
  <c r="C51" i="79" s="1"/>
  <c r="H376" i="82"/>
  <c r="F207" i="83"/>
  <c r="M116" i="82"/>
  <c r="N116" i="82"/>
  <c r="L51" i="76"/>
  <c r="E51" i="76"/>
  <c r="E53" i="76" s="1"/>
  <c r="E8" i="76" s="1"/>
  <c r="D51" i="76"/>
  <c r="I253" i="80"/>
  <c r="I51" i="80" s="1"/>
  <c r="N207" i="90"/>
  <c r="F194" i="90"/>
  <c r="J220" i="90"/>
  <c r="G230" i="90"/>
  <c r="G52" i="90" s="1"/>
  <c r="G194" i="90"/>
  <c r="K237" i="79"/>
  <c r="K51" i="79" s="1"/>
  <c r="L207" i="89"/>
  <c r="K207" i="89"/>
  <c r="F237" i="79"/>
  <c r="F51" i="79" s="1"/>
  <c r="M238" i="79"/>
  <c r="M52" i="79" s="1"/>
  <c r="N230" i="89"/>
  <c r="N52" i="89" s="1"/>
  <c r="F194" i="89"/>
  <c r="E237" i="79"/>
  <c r="E51" i="79" s="1"/>
  <c r="D237" i="79"/>
  <c r="I237" i="79"/>
  <c r="I51" i="79" s="1"/>
  <c r="G237" i="79"/>
  <c r="G51" i="79" s="1"/>
  <c r="L237" i="79"/>
  <c r="L51" i="79" s="1"/>
  <c r="G129" i="83"/>
  <c r="J129" i="83"/>
  <c r="K116" i="82"/>
  <c r="N230" i="81"/>
  <c r="N52" i="81" s="1"/>
  <c r="H207" i="89"/>
  <c r="J155" i="89"/>
  <c r="G155" i="89"/>
  <c r="G230" i="89"/>
  <c r="G52" i="89" s="1"/>
  <c r="L129" i="89"/>
  <c r="I229" i="89"/>
  <c r="G142" i="89"/>
  <c r="E142" i="89"/>
  <c r="D142" i="89"/>
  <c r="E229" i="89"/>
  <c r="E51" i="89" s="1"/>
  <c r="L253" i="80"/>
  <c r="L51" i="80" s="1"/>
  <c r="C207" i="90"/>
  <c r="L220" i="90"/>
  <c r="D207" i="90"/>
  <c r="K253" i="80"/>
  <c r="K51" i="80" s="1"/>
  <c r="K53" i="80" s="1"/>
  <c r="F254" i="80"/>
  <c r="F52" i="80" s="1"/>
  <c r="E253" i="80"/>
  <c r="E51" i="80" s="1"/>
  <c r="K207" i="80"/>
  <c r="G181" i="89"/>
  <c r="F181" i="89"/>
  <c r="K229" i="89"/>
  <c r="K51" i="89" s="1"/>
  <c r="K53" i="89" s="1"/>
  <c r="D181" i="89"/>
  <c r="N207" i="89"/>
  <c r="G220" i="90"/>
  <c r="K194" i="90"/>
  <c r="I207" i="90"/>
  <c r="G168" i="90"/>
  <c r="D155" i="89"/>
  <c r="H155" i="89"/>
  <c r="L155" i="89"/>
  <c r="C155" i="89"/>
  <c r="H230" i="89"/>
  <c r="H52" i="89" s="1"/>
  <c r="L230" i="89"/>
  <c r="L52" i="89" s="1"/>
  <c r="D229" i="89"/>
  <c r="D51" i="89" s="1"/>
  <c r="L229" i="89"/>
  <c r="M181" i="81"/>
  <c r="B32" i="92"/>
  <c r="B56" i="92" s="1"/>
  <c r="C88" i="82" s="1"/>
  <c r="M129" i="79"/>
  <c r="B29" i="92"/>
  <c r="B53" i="92" s="1"/>
  <c r="C88" i="79" s="1"/>
  <c r="E142" i="79"/>
  <c r="B36" i="92"/>
  <c r="B60" i="92" s="1"/>
  <c r="L116" i="79"/>
  <c r="K116" i="79"/>
  <c r="L142" i="79"/>
  <c r="J129" i="79"/>
  <c r="I155" i="79"/>
  <c r="I168" i="79"/>
  <c r="B30" i="92"/>
  <c r="B54" i="92" s="1"/>
  <c r="C88" i="80" s="1"/>
  <c r="B28" i="92"/>
  <c r="B52" i="92" s="1"/>
  <c r="B35" i="92"/>
  <c r="B59" i="92" s="1"/>
  <c r="B25" i="92"/>
  <c r="B49" i="92" s="1"/>
  <c r="B34" i="92"/>
  <c r="B58" i="92" s="1"/>
  <c r="B31" i="92"/>
  <c r="B55" i="92" s="1"/>
  <c r="L155" i="79"/>
  <c r="G116" i="79"/>
  <c r="B33" i="92"/>
  <c r="B57" i="92" s="1"/>
  <c r="C88" i="83" s="1"/>
  <c r="B37" i="92"/>
  <c r="B61" i="92" s="1"/>
  <c r="B26" i="92"/>
  <c r="B50" i="92" s="1"/>
  <c r="C88" i="76" s="1"/>
  <c r="M155" i="78"/>
  <c r="I181" i="78"/>
  <c r="E168" i="78"/>
  <c r="K168" i="79"/>
  <c r="M168" i="79"/>
  <c r="H168" i="79"/>
  <c r="I129" i="78"/>
  <c r="M142" i="74"/>
  <c r="K440" i="82"/>
  <c r="M440" i="82"/>
  <c r="J254" i="80"/>
  <c r="J52" i="80" s="1"/>
  <c r="C253" i="80"/>
  <c r="C51" i="80" s="1"/>
  <c r="J253" i="80"/>
  <c r="J51" i="80" s="1"/>
  <c r="M253" i="80"/>
  <c r="M51" i="80" s="1"/>
  <c r="E207" i="80"/>
  <c r="M207" i="1"/>
  <c r="M227" i="1"/>
  <c r="M51" i="1" s="1"/>
  <c r="G207" i="1"/>
  <c r="C220" i="1"/>
  <c r="L142" i="1"/>
  <c r="G228" i="1"/>
  <c r="G52" i="1" s="1"/>
  <c r="H220" i="1"/>
  <c r="I220" i="1"/>
  <c r="K220" i="1"/>
  <c r="L207" i="1"/>
  <c r="K155" i="1"/>
  <c r="G129" i="1"/>
  <c r="M116" i="1"/>
  <c r="C227" i="1"/>
  <c r="C51" i="1" s="1"/>
  <c r="H155" i="1"/>
  <c r="D253" i="80"/>
  <c r="D51" i="80" s="1"/>
  <c r="N254" i="80"/>
  <c r="N52" i="80" s="1"/>
  <c r="N253" i="80"/>
  <c r="N51" i="80" s="1"/>
  <c r="C207" i="80"/>
  <c r="F253" i="80"/>
  <c r="F51" i="80" s="1"/>
  <c r="L272" i="82"/>
  <c r="H337" i="82"/>
  <c r="D337" i="82"/>
  <c r="K337" i="82"/>
  <c r="F155" i="90"/>
  <c r="C155" i="90"/>
  <c r="D155" i="90"/>
  <c r="C229" i="90"/>
  <c r="C51" i="90" s="1"/>
  <c r="C53" i="90" s="1"/>
  <c r="J298" i="82"/>
  <c r="E285" i="82"/>
  <c r="F279" i="82"/>
  <c r="F471" i="82" s="1"/>
  <c r="D168" i="80"/>
  <c r="N207" i="80"/>
  <c r="I194" i="80"/>
  <c r="F181" i="80"/>
  <c r="J207" i="80"/>
  <c r="G52" i="80"/>
  <c r="F207" i="80"/>
  <c r="G168" i="80"/>
  <c r="J36" i="92"/>
  <c r="J60" i="92" s="1"/>
  <c r="M215" i="77"/>
  <c r="M51" i="77" s="1"/>
  <c r="N46" i="77"/>
  <c r="L46" i="77"/>
  <c r="K46" i="77"/>
  <c r="M46" i="77"/>
  <c r="J46" i="77"/>
  <c r="G169" i="77"/>
  <c r="L169" i="77"/>
  <c r="J117" i="77"/>
  <c r="N117" i="77"/>
  <c r="J215" i="75"/>
  <c r="J52" i="75" s="1"/>
  <c r="L155" i="1"/>
  <c r="J207" i="83"/>
  <c r="K257" i="91"/>
  <c r="K82" i="91" s="1"/>
  <c r="H229" i="89"/>
  <c r="H51" i="89" s="1"/>
  <c r="C229" i="89"/>
  <c r="E116" i="75"/>
  <c r="D181" i="1"/>
  <c r="M229" i="90"/>
  <c r="M51" i="90" s="1"/>
  <c r="D207" i="80"/>
  <c r="E168" i="82"/>
  <c r="M337" i="82"/>
  <c r="E350" i="82"/>
  <c r="E207" i="81"/>
  <c r="N150" i="74"/>
  <c r="N151" i="74"/>
  <c r="I162" i="74"/>
  <c r="I171" i="74"/>
  <c r="C337" i="82"/>
  <c r="G129" i="90"/>
  <c r="F168" i="81"/>
  <c r="C155" i="88"/>
  <c r="M220" i="90"/>
  <c r="M116" i="81"/>
  <c r="J155" i="90"/>
  <c r="G142" i="1"/>
  <c r="H168" i="88"/>
  <c r="M194" i="88"/>
  <c r="H129" i="1"/>
  <c r="K194" i="78"/>
  <c r="F229" i="88"/>
  <c r="F51" i="88" s="1"/>
  <c r="G220" i="88"/>
  <c r="J53" i="88"/>
  <c r="N142" i="81"/>
  <c r="C257" i="91"/>
  <c r="C82" i="91" s="1"/>
  <c r="K227" i="1"/>
  <c r="K51" i="1" s="1"/>
  <c r="K53" i="1" s="1"/>
  <c r="K87" i="1" s="1"/>
  <c r="L181" i="88"/>
  <c r="K194" i="88"/>
  <c r="M207" i="80"/>
  <c r="M155" i="82"/>
  <c r="G142" i="79"/>
  <c r="E155" i="79"/>
  <c r="M168" i="78"/>
  <c r="I155" i="78"/>
  <c r="G466" i="82"/>
  <c r="F182" i="77"/>
  <c r="L207" i="80"/>
  <c r="N208" i="77"/>
  <c r="E142" i="81"/>
  <c r="F251" i="91"/>
  <c r="F168" i="78"/>
  <c r="I207" i="89"/>
  <c r="M208" i="77"/>
  <c r="C324" i="82"/>
  <c r="H220" i="82"/>
  <c r="N162" i="74"/>
  <c r="N167" i="74" s="1"/>
  <c r="N215" i="74" s="1"/>
  <c r="N52" i="74" s="1"/>
  <c r="N171" i="74"/>
  <c r="L181" i="75"/>
  <c r="E194" i="80"/>
  <c r="F168" i="88"/>
  <c r="K181" i="89"/>
  <c r="I150" i="74"/>
  <c r="I151" i="74"/>
  <c r="H207" i="90"/>
  <c r="H194" i="90"/>
  <c r="N337" i="82"/>
  <c r="F168" i="82"/>
  <c r="G116" i="81"/>
  <c r="G207" i="83"/>
  <c r="L212" i="91"/>
  <c r="L8" i="91" s="1"/>
  <c r="H238" i="91"/>
  <c r="H40" i="91" s="1"/>
  <c r="E173" i="91"/>
  <c r="F212" i="91"/>
  <c r="F8" i="91" s="1"/>
  <c r="L168" i="79"/>
  <c r="N251" i="91"/>
  <c r="F194" i="82"/>
  <c r="M168" i="89"/>
  <c r="F227" i="1"/>
  <c r="F51" i="1" s="1"/>
  <c r="F53" i="1" s="1"/>
  <c r="F87" i="1" s="1"/>
  <c r="J214" i="75"/>
  <c r="J51" i="75" s="1"/>
  <c r="M186" i="91"/>
  <c r="L227" i="1"/>
  <c r="L51" i="1" s="1"/>
  <c r="L53" i="1" s="1"/>
  <c r="L87" i="1" s="1"/>
  <c r="K129" i="88"/>
  <c r="N207" i="88"/>
  <c r="D129" i="90"/>
  <c r="E207" i="83"/>
  <c r="F229" i="89"/>
  <c r="F51" i="89" s="1"/>
  <c r="F53" i="89" s="1"/>
  <c r="N155" i="88"/>
  <c r="L216" i="77"/>
  <c r="L52" i="77" s="1"/>
  <c r="M427" i="82"/>
  <c r="L229" i="88"/>
  <c r="L51" i="88" s="1"/>
  <c r="G350" i="82"/>
  <c r="J116" i="82"/>
  <c r="N155" i="82"/>
  <c r="G311" i="82"/>
  <c r="F230" i="81"/>
  <c r="F52" i="81" s="1"/>
  <c r="J230" i="90"/>
  <c r="J52" i="90" s="1"/>
  <c r="C51" i="76"/>
  <c r="C53" i="76" s="1"/>
  <c r="C8" i="76" s="1"/>
  <c r="I207" i="75"/>
  <c r="D207" i="1"/>
  <c r="M207" i="81"/>
  <c r="N194" i="82"/>
  <c r="N194" i="78"/>
  <c r="E155" i="78"/>
  <c r="H199" i="91"/>
  <c r="I142" i="90"/>
  <c r="I142" i="74"/>
  <c r="C129" i="90"/>
  <c r="G181" i="88"/>
  <c r="N129" i="79"/>
  <c r="H363" i="82"/>
  <c r="D220" i="1"/>
  <c r="M168" i="88"/>
  <c r="C142" i="88"/>
  <c r="K207" i="90"/>
  <c r="F116" i="82"/>
  <c r="C155" i="82"/>
  <c r="D186" i="91"/>
  <c r="L160" i="91"/>
  <c r="B83" i="83"/>
  <c r="B97" i="83" s="1"/>
  <c r="C194" i="78"/>
  <c r="G229" i="89"/>
  <c r="H227" i="1"/>
  <c r="H51" i="1" s="1"/>
  <c r="H53" i="1" s="1"/>
  <c r="H87" i="1" s="1"/>
  <c r="L168" i="88"/>
  <c r="I453" i="82"/>
  <c r="J194" i="90"/>
  <c r="N220" i="1"/>
  <c r="B83" i="89"/>
  <c r="B97" i="89" s="1"/>
  <c r="B154" i="46" s="1"/>
  <c r="B83" i="75"/>
  <c r="B97" i="75" s="1"/>
  <c r="B18" i="46" s="1"/>
  <c r="L181" i="78"/>
  <c r="I207" i="83"/>
  <c r="I129" i="88"/>
  <c r="D229" i="88"/>
  <c r="D51" i="88" s="1"/>
  <c r="H453" i="82"/>
  <c r="G214" i="75"/>
  <c r="G51" i="75" s="1"/>
  <c r="I227" i="1"/>
  <c r="I51" i="1" s="1"/>
  <c r="I53" i="1" s="1"/>
  <c r="I87" i="1" s="1"/>
  <c r="K142" i="88"/>
  <c r="H181" i="88"/>
  <c r="J116" i="75"/>
  <c r="C129" i="79"/>
  <c r="C194" i="88"/>
  <c r="G194" i="88"/>
  <c r="E129" i="83"/>
  <c r="G168" i="88"/>
  <c r="H466" i="82"/>
  <c r="C129" i="88"/>
  <c r="E298" i="82"/>
  <c r="C160" i="91"/>
  <c r="K142" i="1"/>
  <c r="J233" i="82"/>
  <c r="F427" i="82"/>
  <c r="N116" i="89"/>
  <c r="J229" i="89"/>
  <c r="J51" i="89" s="1"/>
  <c r="C155" i="81"/>
  <c r="M147" i="91"/>
  <c r="M40" i="91" s="1"/>
  <c r="B114" i="91"/>
  <c r="B128" i="91" s="1"/>
  <c r="C229" i="88"/>
  <c r="C51" i="88" s="1"/>
  <c r="B83" i="88"/>
  <c r="B97" i="88" s="1"/>
  <c r="B172" i="46" s="1"/>
  <c r="D172" i="46" s="1"/>
  <c r="G207" i="88"/>
  <c r="I229" i="90"/>
  <c r="I51" i="90" s="1"/>
  <c r="M207" i="90"/>
  <c r="E440" i="82"/>
  <c r="N194" i="81"/>
  <c r="J350" i="82"/>
  <c r="E116" i="90"/>
  <c r="N147" i="91"/>
  <c r="F220" i="1"/>
  <c r="J207" i="1"/>
  <c r="F215" i="75"/>
  <c r="F52" i="75" s="1"/>
  <c r="B83" i="90"/>
  <c r="B97" i="90" s="1"/>
  <c r="B83" i="81"/>
  <c r="C92" i="46" s="1"/>
  <c r="I142" i="79"/>
  <c r="J142" i="81"/>
  <c r="F207" i="81"/>
  <c r="C117" i="77"/>
  <c r="F229" i="90"/>
  <c r="F51" i="90" s="1"/>
  <c r="G227" i="1"/>
  <c r="G51" i="1" s="1"/>
  <c r="F116" i="75"/>
  <c r="K116" i="88"/>
  <c r="K168" i="88"/>
  <c r="I155" i="88"/>
  <c r="N116" i="90"/>
  <c r="L142" i="88"/>
  <c r="L182" i="77"/>
  <c r="L220" i="88"/>
  <c r="N257" i="91"/>
  <c r="N82" i="91" s="1"/>
  <c r="L168" i="78"/>
  <c r="N116" i="81"/>
  <c r="D194" i="88"/>
  <c r="F155" i="82"/>
  <c r="D181" i="82"/>
  <c r="G220" i="82"/>
  <c r="D350" i="82"/>
  <c r="G129" i="78"/>
  <c r="G453" i="82"/>
  <c r="M376" i="82"/>
  <c r="E129" i="90"/>
  <c r="H116" i="89"/>
  <c r="G229" i="90"/>
  <c r="G51" i="90" s="1"/>
  <c r="J116" i="90"/>
  <c r="K182" i="77"/>
  <c r="F195" i="77"/>
  <c r="K169" i="77"/>
  <c r="E52" i="80"/>
  <c r="N195" i="77"/>
  <c r="D182" i="77"/>
  <c r="J215" i="77"/>
  <c r="J51" i="77" s="1"/>
  <c r="B83" i="78"/>
  <c r="B97" i="78" s="1"/>
  <c r="C169" i="77"/>
  <c r="B76" i="46"/>
  <c r="L117" i="77"/>
  <c r="G215" i="77"/>
  <c r="G51" i="77" s="1"/>
  <c r="J182" i="77"/>
  <c r="N215" i="77"/>
  <c r="N51" i="77" s="1"/>
  <c r="E156" i="77"/>
  <c r="B83" i="82"/>
  <c r="B97" i="82" s="1"/>
  <c r="B58" i="46" s="1"/>
  <c r="D272" i="82"/>
  <c r="H156" i="77"/>
  <c r="B83" i="77"/>
  <c r="B98" i="77" s="1"/>
  <c r="B102" i="46" s="1"/>
  <c r="H182" i="77"/>
  <c r="N156" i="77"/>
  <c r="F156" i="77"/>
  <c r="F215" i="77"/>
  <c r="K215" i="77"/>
  <c r="H142" i="90"/>
  <c r="H229" i="90"/>
  <c r="H51" i="90" s="1"/>
  <c r="F257" i="91"/>
  <c r="F82" i="91" s="1"/>
  <c r="J147" i="91"/>
  <c r="F147" i="91"/>
  <c r="G147" i="91"/>
  <c r="L257" i="91"/>
  <c r="L82" i="91" s="1"/>
  <c r="K147" i="91"/>
  <c r="M116" i="90"/>
  <c r="J229" i="90"/>
  <c r="J51" i="90" s="1"/>
  <c r="D116" i="90"/>
  <c r="K116" i="90"/>
  <c r="N229" i="90"/>
  <c r="N51" i="90" s="1"/>
  <c r="J194" i="89"/>
  <c r="L220" i="89"/>
  <c r="J181" i="81"/>
  <c r="K181" i="81"/>
  <c r="F181" i="81"/>
  <c r="C181" i="81"/>
  <c r="G229" i="81"/>
  <c r="G51" i="81" s="1"/>
  <c r="C229" i="81"/>
  <c r="C51" i="81" s="1"/>
  <c r="G220" i="81"/>
  <c r="C220" i="81"/>
  <c r="J194" i="81"/>
  <c r="N181" i="81"/>
  <c r="J168" i="81"/>
  <c r="E25" i="92"/>
  <c r="E49" i="92" s="1"/>
  <c r="E37" i="92"/>
  <c r="E61" i="92" s="1"/>
  <c r="J257" i="91"/>
  <c r="J82" i="91" s="1"/>
  <c r="I28" i="92"/>
  <c r="I52" i="92" s="1"/>
  <c r="E32" i="92"/>
  <c r="E56" i="92" s="1"/>
  <c r="F88" i="82" s="1"/>
  <c r="M37" i="92"/>
  <c r="M61" i="92" s="1"/>
  <c r="G116" i="90"/>
  <c r="M25" i="92"/>
  <c r="M49" i="92" s="1"/>
  <c r="I34" i="92"/>
  <c r="I58" i="92" s="1"/>
  <c r="L229" i="90"/>
  <c r="L51" i="90" s="1"/>
  <c r="N229" i="89"/>
  <c r="I25" i="92"/>
  <c r="I49" i="92" s="1"/>
  <c r="I37" i="92"/>
  <c r="I61" i="92" s="1"/>
  <c r="E27" i="92"/>
  <c r="E51" i="92" s="1"/>
  <c r="F88" i="77" s="1"/>
  <c r="E26" i="92"/>
  <c r="E50" i="92" s="1"/>
  <c r="F88" i="76" s="1"/>
  <c r="I33" i="92"/>
  <c r="I57" i="92" s="1"/>
  <c r="J88" i="83" s="1"/>
  <c r="I36" i="92"/>
  <c r="I60" i="92" s="1"/>
  <c r="E28" i="92"/>
  <c r="E52" i="92" s="1"/>
  <c r="E35" i="92"/>
  <c r="E59" i="92" s="1"/>
  <c r="L116" i="89"/>
  <c r="J116" i="89"/>
  <c r="M31" i="92"/>
  <c r="M55" i="92" s="1"/>
  <c r="I35" i="92"/>
  <c r="I59" i="92" s="1"/>
  <c r="I26" i="92"/>
  <c r="I50" i="92" s="1"/>
  <c r="J88" i="76" s="1"/>
  <c r="I31" i="92"/>
  <c r="I55" i="92" s="1"/>
  <c r="E36" i="92"/>
  <c r="E60" i="92" s="1"/>
  <c r="E29" i="92"/>
  <c r="E53" i="92" s="1"/>
  <c r="F88" i="79" s="1"/>
  <c r="M27" i="92"/>
  <c r="M51" i="92" s="1"/>
  <c r="N88" i="77" s="1"/>
  <c r="M36" i="92"/>
  <c r="M60" i="92" s="1"/>
  <c r="M32" i="92"/>
  <c r="M56" i="92" s="1"/>
  <c r="N88" i="82" s="1"/>
  <c r="E229" i="90"/>
  <c r="E51" i="90" s="1"/>
  <c r="M26" i="92"/>
  <c r="M50" i="92" s="1"/>
  <c r="N88" i="76" s="1"/>
  <c r="M34" i="92"/>
  <c r="M58" i="92" s="1"/>
  <c r="M35" i="92"/>
  <c r="M59" i="92" s="1"/>
  <c r="M33" i="92"/>
  <c r="M57" i="92" s="1"/>
  <c r="N88" i="83" s="1"/>
  <c r="M29" i="92"/>
  <c r="M53" i="92" s="1"/>
  <c r="N88" i="79" s="1"/>
  <c r="M28" i="92"/>
  <c r="M52" i="92" s="1"/>
  <c r="E30" i="92"/>
  <c r="E54" i="92" s="1"/>
  <c r="F88" i="80" s="1"/>
  <c r="I27" i="92"/>
  <c r="I51" i="92" s="1"/>
  <c r="J88" i="77" s="1"/>
  <c r="I32" i="92"/>
  <c r="I56" i="92" s="1"/>
  <c r="J88" i="82" s="1"/>
  <c r="I29" i="92"/>
  <c r="I53" i="92" s="1"/>
  <c r="J88" i="79" s="1"/>
  <c r="E34" i="92"/>
  <c r="E58" i="92" s="1"/>
  <c r="E31" i="92"/>
  <c r="E55" i="92" s="1"/>
  <c r="B50" i="89"/>
  <c r="H142" i="81"/>
  <c r="H229" i="81"/>
  <c r="N129" i="81"/>
  <c r="J29" i="92"/>
  <c r="J53" i="92" s="1"/>
  <c r="K88" i="79" s="1"/>
  <c r="L129" i="81"/>
  <c r="J28" i="92"/>
  <c r="J52" i="92" s="1"/>
  <c r="J34" i="92"/>
  <c r="J58" i="92" s="1"/>
  <c r="J26" i="92"/>
  <c r="J50" i="92" s="1"/>
  <c r="K88" i="76" s="1"/>
  <c r="J32" i="92"/>
  <c r="J56" i="92" s="1"/>
  <c r="K88" i="82" s="1"/>
  <c r="J25" i="92"/>
  <c r="J49" i="92" s="1"/>
  <c r="J27" i="92"/>
  <c r="J51" i="92" s="1"/>
  <c r="K88" i="77" s="1"/>
  <c r="J37" i="92"/>
  <c r="J61" i="92" s="1"/>
  <c r="L229" i="81"/>
  <c r="L51" i="81" s="1"/>
  <c r="J129" i="81"/>
  <c r="J33" i="92"/>
  <c r="J57" i="92" s="1"/>
  <c r="K88" i="83" s="1"/>
  <c r="J31" i="92"/>
  <c r="J55" i="92" s="1"/>
  <c r="J35" i="92"/>
  <c r="J59" i="92" s="1"/>
  <c r="J229" i="81"/>
  <c r="J51" i="81" s="1"/>
  <c r="F129" i="81"/>
  <c r="F116" i="81"/>
  <c r="G376" i="82"/>
  <c r="J376" i="82"/>
  <c r="K376" i="82"/>
  <c r="F376" i="82"/>
  <c r="M466" i="82"/>
  <c r="F440" i="82"/>
  <c r="J466" i="82"/>
  <c r="M181" i="80"/>
  <c r="M52" i="80"/>
  <c r="D466" i="82"/>
  <c r="I440" i="82"/>
  <c r="F363" i="82"/>
  <c r="C29" i="92"/>
  <c r="C53" i="92" s="1"/>
  <c r="D88" i="79" s="1"/>
  <c r="L363" i="82"/>
  <c r="C31" i="92"/>
  <c r="C55" i="92" s="1"/>
  <c r="C33" i="92"/>
  <c r="C57" i="92" s="1"/>
  <c r="D88" i="83" s="1"/>
  <c r="H181" i="78"/>
  <c r="C27" i="92"/>
  <c r="C51" i="92" s="1"/>
  <c r="D88" i="77" s="1"/>
  <c r="I207" i="78"/>
  <c r="D194" i="78"/>
  <c r="C37" i="92"/>
  <c r="C61" i="92" s="1"/>
  <c r="C28" i="92"/>
  <c r="C52" i="92" s="1"/>
  <c r="E142" i="78"/>
  <c r="C26" i="92"/>
  <c r="C50" i="92" s="1"/>
  <c r="D88" i="76" s="1"/>
  <c r="C34" i="92"/>
  <c r="C58" i="92" s="1"/>
  <c r="C36" i="92"/>
  <c r="C60" i="92" s="1"/>
  <c r="C25" i="92"/>
  <c r="C32" i="92"/>
  <c r="C56" i="92" s="1"/>
  <c r="D88" i="82" s="1"/>
  <c r="C35" i="92"/>
  <c r="C59" i="92" s="1"/>
  <c r="F214" i="78"/>
  <c r="F51" i="78" s="1"/>
  <c r="L194" i="78"/>
  <c r="M214" i="78"/>
  <c r="M51" i="78" s="1"/>
  <c r="M53" i="78" s="1"/>
  <c r="G207" i="78"/>
  <c r="E194" i="78"/>
  <c r="K214" i="78"/>
  <c r="K51" i="78" s="1"/>
  <c r="M194" i="78"/>
  <c r="H129" i="78"/>
  <c r="L36" i="92"/>
  <c r="L60" i="92" s="1"/>
  <c r="H155" i="79"/>
  <c r="D155" i="79"/>
  <c r="M155" i="79"/>
  <c r="M142" i="79"/>
  <c r="H142" i="79"/>
  <c r="L26" i="92"/>
  <c r="L50" i="92" s="1"/>
  <c r="M88" i="76" s="1"/>
  <c r="D129" i="79"/>
  <c r="L31" i="92"/>
  <c r="L55" i="92" s="1"/>
  <c r="L33" i="92"/>
  <c r="L57" i="92" s="1"/>
  <c r="M88" i="83" s="1"/>
  <c r="H37" i="92"/>
  <c r="H61" i="92" s="1"/>
  <c r="H31" i="92"/>
  <c r="H55" i="92" s="1"/>
  <c r="H34" i="92"/>
  <c r="H58" i="92" s="1"/>
  <c r="J116" i="79"/>
  <c r="L32" i="92"/>
  <c r="L56" i="92" s="1"/>
  <c r="M88" i="82" s="1"/>
  <c r="H36" i="92"/>
  <c r="H60" i="92" s="1"/>
  <c r="H28" i="92"/>
  <c r="H52" i="92" s="1"/>
  <c r="L27" i="92"/>
  <c r="L51" i="92" s="1"/>
  <c r="M88" i="77" s="1"/>
  <c r="H26" i="92"/>
  <c r="H50" i="92" s="1"/>
  <c r="I88" i="76" s="1"/>
  <c r="H25" i="92"/>
  <c r="H49" i="92" s="1"/>
  <c r="C116" i="79"/>
  <c r="K168" i="78"/>
  <c r="G214" i="78"/>
  <c r="G51" i="78" s="1"/>
  <c r="G53" i="78" s="1"/>
  <c r="D168" i="78"/>
  <c r="H207" i="78"/>
  <c r="L29" i="92"/>
  <c r="L53" i="92" s="1"/>
  <c r="M88" i="79" s="1"/>
  <c r="L28" i="92"/>
  <c r="L52" i="92" s="1"/>
  <c r="L35" i="92"/>
  <c r="L59" i="92" s="1"/>
  <c r="L214" i="78"/>
  <c r="L51" i="78" s="1"/>
  <c r="I142" i="78"/>
  <c r="F142" i="78"/>
  <c r="L34" i="92"/>
  <c r="L58" i="92" s="1"/>
  <c r="L25" i="92"/>
  <c r="L49" i="92" s="1"/>
  <c r="L37" i="92"/>
  <c r="L61" i="92" s="1"/>
  <c r="H33" i="92"/>
  <c r="H57" i="92" s="1"/>
  <c r="I88" i="83" s="1"/>
  <c r="H29" i="92"/>
  <c r="H53" i="92" s="1"/>
  <c r="I88" i="79" s="1"/>
  <c r="H116" i="78"/>
  <c r="N214" i="78"/>
  <c r="N51" i="78" s="1"/>
  <c r="H27" i="92"/>
  <c r="H51" i="92" s="1"/>
  <c r="I88" i="77" s="1"/>
  <c r="H32" i="92"/>
  <c r="H56" i="92" s="1"/>
  <c r="I88" i="82" s="1"/>
  <c r="H35" i="92"/>
  <c r="H59" i="92" s="1"/>
  <c r="E214" i="78"/>
  <c r="E51" i="78" s="1"/>
  <c r="K142" i="74"/>
  <c r="G142" i="74"/>
  <c r="M350" i="82"/>
  <c r="H350" i="82"/>
  <c r="N350" i="82"/>
  <c r="E337" i="82"/>
  <c r="L337" i="82"/>
  <c r="I324" i="82"/>
  <c r="N324" i="82"/>
  <c r="C311" i="82"/>
  <c r="E311" i="82"/>
  <c r="I311" i="82"/>
  <c r="H311" i="82"/>
  <c r="N311" i="82"/>
  <c r="F311" i="82"/>
  <c r="I298" i="82"/>
  <c r="C298" i="82"/>
  <c r="F298" i="82"/>
  <c r="H298" i="82"/>
  <c r="N259" i="82"/>
  <c r="K259" i="82"/>
  <c r="E246" i="82"/>
  <c r="N246" i="82"/>
  <c r="F246" i="82"/>
  <c r="M246" i="82"/>
  <c r="H233" i="82"/>
  <c r="E220" i="82"/>
  <c r="M220" i="82"/>
  <c r="F220" i="82"/>
  <c r="H207" i="82"/>
  <c r="I181" i="82"/>
  <c r="L181" i="82"/>
  <c r="G181" i="82"/>
  <c r="J168" i="82"/>
  <c r="G142" i="82"/>
  <c r="J142" i="82"/>
  <c r="D129" i="82"/>
  <c r="J129" i="82"/>
  <c r="K194" i="80"/>
  <c r="N168" i="80"/>
  <c r="J194" i="80"/>
  <c r="E181" i="80"/>
  <c r="F168" i="80"/>
  <c r="B50" i="80"/>
  <c r="F142" i="80"/>
  <c r="I142" i="80"/>
  <c r="J142" i="80"/>
  <c r="N142" i="80"/>
  <c r="G36" i="92"/>
  <c r="G60" i="92" s="1"/>
  <c r="G32" i="92"/>
  <c r="G56" i="92" s="1"/>
  <c r="H88" i="82" s="1"/>
  <c r="G27" i="92"/>
  <c r="G51" i="92" s="1"/>
  <c r="H88" i="77" s="1"/>
  <c r="G29" i="92"/>
  <c r="G53" i="92" s="1"/>
  <c r="H88" i="79" s="1"/>
  <c r="G28" i="92"/>
  <c r="G52" i="92" s="1"/>
  <c r="G37" i="92"/>
  <c r="G61" i="92" s="1"/>
  <c r="G25" i="92"/>
  <c r="G31" i="92"/>
  <c r="G55" i="92" s="1"/>
  <c r="G35" i="92"/>
  <c r="G59" i="92" s="1"/>
  <c r="G34" i="92"/>
  <c r="G58" i="92" s="1"/>
  <c r="G26" i="92"/>
  <c r="G50" i="92" s="1"/>
  <c r="H88" i="76" s="1"/>
  <c r="G33" i="92"/>
  <c r="G57" i="92" s="1"/>
  <c r="H88" i="83" s="1"/>
  <c r="G142" i="80"/>
  <c r="F32" i="92"/>
  <c r="F56" i="92" s="1"/>
  <c r="G88" i="82" s="1"/>
  <c r="F31" i="92"/>
  <c r="F55" i="92" s="1"/>
  <c r="F36" i="92"/>
  <c r="F60" i="92" s="1"/>
  <c r="F29" i="92"/>
  <c r="F53" i="92" s="1"/>
  <c r="G88" i="79" s="1"/>
  <c r="F26" i="92"/>
  <c r="F50" i="92" s="1"/>
  <c r="G88" i="76" s="1"/>
  <c r="F37" i="92"/>
  <c r="F61" i="92" s="1"/>
  <c r="F28" i="92"/>
  <c r="F52" i="92" s="1"/>
  <c r="F34" i="92"/>
  <c r="F58" i="92" s="1"/>
  <c r="F33" i="92"/>
  <c r="F57" i="92" s="1"/>
  <c r="G88" i="83" s="1"/>
  <c r="F35" i="92"/>
  <c r="F59" i="92" s="1"/>
  <c r="F27" i="92"/>
  <c r="F51" i="92" s="1"/>
  <c r="G88" i="77" s="1"/>
  <c r="F25" i="92"/>
  <c r="D36" i="92"/>
  <c r="D60" i="92" s="1"/>
  <c r="D31" i="92"/>
  <c r="D55" i="92" s="1"/>
  <c r="D32" i="92"/>
  <c r="D56" i="92" s="1"/>
  <c r="E88" i="82" s="1"/>
  <c r="D37" i="92"/>
  <c r="D61" i="92" s="1"/>
  <c r="D28" i="92"/>
  <c r="D52" i="92" s="1"/>
  <c r="D27" i="92"/>
  <c r="D51" i="92" s="1"/>
  <c r="E88" i="77" s="1"/>
  <c r="D34" i="92"/>
  <c r="D58" i="92" s="1"/>
  <c r="D25" i="92"/>
  <c r="D35" i="92"/>
  <c r="D59" i="92" s="1"/>
  <c r="D26" i="92"/>
  <c r="D50" i="92" s="1"/>
  <c r="E88" i="76" s="1"/>
  <c r="D29" i="92"/>
  <c r="D53" i="92" s="1"/>
  <c r="E88" i="79" s="1"/>
  <c r="D33" i="92"/>
  <c r="D57" i="92" s="1"/>
  <c r="E88" i="83" s="1"/>
  <c r="K26" i="92"/>
  <c r="K50" i="92" s="1"/>
  <c r="L88" i="76" s="1"/>
  <c r="K31" i="92"/>
  <c r="K55" i="92" s="1"/>
  <c r="K33" i="92"/>
  <c r="K57" i="92" s="1"/>
  <c r="L88" i="83" s="1"/>
  <c r="K29" i="92"/>
  <c r="K53" i="92" s="1"/>
  <c r="L88" i="79" s="1"/>
  <c r="K32" i="92"/>
  <c r="K56" i="92" s="1"/>
  <c r="L88" i="82" s="1"/>
  <c r="K35" i="92"/>
  <c r="K59" i="92" s="1"/>
  <c r="K36" i="92"/>
  <c r="K60" i="92" s="1"/>
  <c r="K37" i="92"/>
  <c r="K61" i="92" s="1"/>
  <c r="K27" i="92"/>
  <c r="K51" i="92" s="1"/>
  <c r="L88" i="77" s="1"/>
  <c r="K34" i="92"/>
  <c r="K58" i="92" s="1"/>
  <c r="K28" i="92"/>
  <c r="K52" i="92" s="1"/>
  <c r="K25" i="92"/>
  <c r="D52" i="76"/>
  <c r="C52" i="1"/>
  <c r="G150" i="74"/>
  <c r="G151" i="74"/>
  <c r="F50" i="90"/>
  <c r="E164" i="74"/>
  <c r="E163" i="74"/>
  <c r="G50" i="79"/>
  <c r="G81" i="91"/>
  <c r="E50" i="79"/>
  <c r="K50" i="78"/>
  <c r="D214" i="78"/>
  <c r="D51" i="78" s="1"/>
  <c r="K50" i="81"/>
  <c r="C50" i="78"/>
  <c r="J50" i="78"/>
  <c r="G229" i="88"/>
  <c r="G51" i="88" s="1"/>
  <c r="N50" i="81"/>
  <c r="I50" i="79"/>
  <c r="J50" i="79"/>
  <c r="F81" i="91"/>
  <c r="E229" i="88"/>
  <c r="E51" i="88" s="1"/>
  <c r="D50" i="90"/>
  <c r="N50" i="88"/>
  <c r="H52" i="76"/>
  <c r="E175" i="74"/>
  <c r="E184" i="74"/>
  <c r="C182" i="77"/>
  <c r="M162" i="74"/>
  <c r="M167" i="74" s="1"/>
  <c r="M215" i="74" s="1"/>
  <c r="M52" i="74" s="1"/>
  <c r="M171" i="74"/>
  <c r="K171" i="74"/>
  <c r="K162" i="74"/>
  <c r="K167" i="74" s="1"/>
  <c r="K215" i="74" s="1"/>
  <c r="K52" i="74" s="1"/>
  <c r="I50" i="78"/>
  <c r="L50" i="78"/>
  <c r="C214" i="78"/>
  <c r="C51" i="78" s="1"/>
  <c r="M129" i="83"/>
  <c r="C81" i="91"/>
  <c r="L50" i="79"/>
  <c r="E50" i="78"/>
  <c r="N50" i="78"/>
  <c r="I229" i="88"/>
  <c r="I51" i="88" s="1"/>
  <c r="K214" i="75"/>
  <c r="K51" i="75" s="1"/>
  <c r="H169" i="77"/>
  <c r="H50" i="79"/>
  <c r="I50" i="81"/>
  <c r="F160" i="91"/>
  <c r="K168" i="75"/>
  <c r="M116" i="75"/>
  <c r="E168" i="88"/>
  <c r="H168" i="90"/>
  <c r="D142" i="88"/>
  <c r="J81" i="91"/>
  <c r="C220" i="82"/>
  <c r="C50" i="81"/>
  <c r="M229" i="81"/>
  <c r="M51" i="81" s="1"/>
  <c r="F116" i="90"/>
  <c r="C116" i="83"/>
  <c r="E50" i="90"/>
  <c r="K50" i="90"/>
  <c r="G257" i="91"/>
  <c r="G82" i="91" s="1"/>
  <c r="L81" i="91"/>
  <c r="M150" i="74"/>
  <c r="M151" i="74"/>
  <c r="K151" i="74"/>
  <c r="K150" i="74"/>
  <c r="D155" i="78"/>
  <c r="H181" i="1"/>
  <c r="K229" i="81"/>
  <c r="K51" i="81" s="1"/>
  <c r="I214" i="78"/>
  <c r="I51" i="78" s="1"/>
  <c r="L142" i="78"/>
  <c r="C168" i="78"/>
  <c r="C50" i="79"/>
  <c r="L116" i="90"/>
  <c r="C116" i="88"/>
  <c r="J214" i="78"/>
  <c r="J51" i="78" s="1"/>
  <c r="C181" i="75"/>
  <c r="L50" i="88"/>
  <c r="G142" i="88"/>
  <c r="H214" i="78"/>
  <c r="H51" i="78" s="1"/>
  <c r="L129" i="79"/>
  <c r="E168" i="79"/>
  <c r="I129" i="83"/>
  <c r="I116" i="88"/>
  <c r="C52" i="80"/>
  <c r="F50" i="81"/>
  <c r="F50" i="78"/>
  <c r="E51" i="1"/>
  <c r="E53" i="1" s="1"/>
  <c r="E87" i="1" s="1"/>
  <c r="E229" i="1"/>
  <c r="L175" i="74"/>
  <c r="L184" i="74"/>
  <c r="N50" i="79"/>
  <c r="M50" i="81"/>
  <c r="E117" i="77"/>
  <c r="E215" i="77"/>
  <c r="E51" i="77" s="1"/>
  <c r="H229" i="88"/>
  <c r="H51" i="88" s="1"/>
  <c r="M229" i="88"/>
  <c r="M51" i="88" s="1"/>
  <c r="I142" i="1"/>
  <c r="J227" i="1"/>
  <c r="J51" i="1" s="1"/>
  <c r="F214" i="75"/>
  <c r="F51" i="75" s="1"/>
  <c r="H208" i="77"/>
  <c r="I229" i="81"/>
  <c r="I51" i="81" s="1"/>
  <c r="C194" i="75"/>
  <c r="N129" i="82"/>
  <c r="H50" i="90"/>
  <c r="L163" i="74"/>
  <c r="L164" i="74"/>
  <c r="G162" i="74"/>
  <c r="G171" i="74"/>
  <c r="G129" i="75"/>
  <c r="G155" i="78"/>
  <c r="H116" i="88"/>
  <c r="M50" i="88"/>
  <c r="D142" i="1"/>
  <c r="D227" i="1"/>
  <c r="N81" i="91"/>
  <c r="K50" i="88"/>
  <c r="C50" i="88"/>
  <c r="G50" i="88"/>
  <c r="H52" i="80"/>
  <c r="H50" i="78"/>
  <c r="N229" i="88"/>
  <c r="N51" i="88" s="1"/>
  <c r="G215" i="75"/>
  <c r="G52" i="75" s="1"/>
  <c r="N227" i="1"/>
  <c r="N51" i="1" s="1"/>
  <c r="D169" i="77"/>
  <c r="M257" i="91"/>
  <c r="F229" i="81"/>
  <c r="F51" i="81" s="1"/>
  <c r="H129" i="79"/>
  <c r="I116" i="81"/>
  <c r="C129" i="75"/>
  <c r="I155" i="82"/>
  <c r="F50" i="88"/>
  <c r="J50" i="90"/>
  <c r="M50" i="90"/>
  <c r="I50" i="90"/>
  <c r="E50" i="88"/>
  <c r="D50" i="88"/>
  <c r="D229" i="90"/>
  <c r="D51" i="90" s="1"/>
  <c r="E50" i="82"/>
  <c r="J50" i="81"/>
  <c r="N116" i="79"/>
  <c r="M50" i="79"/>
  <c r="G129" i="79"/>
  <c r="H50" i="88"/>
  <c r="E207" i="90"/>
  <c r="K229" i="90"/>
  <c r="K51" i="90" s="1"/>
  <c r="L147" i="91"/>
  <c r="D50" i="78"/>
  <c r="K229" i="88"/>
  <c r="K51" i="88" s="1"/>
  <c r="N50" i="90"/>
  <c r="L50" i="90"/>
  <c r="K81" i="91"/>
  <c r="J129" i="78"/>
  <c r="H155" i="78"/>
  <c r="N229" i="81"/>
  <c r="N51" i="81" s="1"/>
  <c r="E116" i="78"/>
  <c r="N116" i="78"/>
  <c r="I50" i="88"/>
  <c r="L195" i="77"/>
  <c r="C215" i="77"/>
  <c r="C143" i="77"/>
  <c r="H215" i="77"/>
  <c r="D215" i="77"/>
  <c r="L215" i="77"/>
  <c r="D195" i="77"/>
  <c r="B62" i="79"/>
  <c r="B83" i="79" s="1"/>
  <c r="B50" i="77"/>
  <c r="B50" i="76"/>
  <c r="E181" i="75"/>
  <c r="I214" i="75"/>
  <c r="K181" i="75"/>
  <c r="C214" i="75"/>
  <c r="C207" i="75"/>
  <c r="E155" i="75"/>
  <c r="M181" i="75"/>
  <c r="E207" i="75"/>
  <c r="I194" i="75"/>
  <c r="M207" i="75"/>
  <c r="B62" i="74"/>
  <c r="B83" i="74" s="1"/>
  <c r="I168" i="75"/>
  <c r="E142" i="75"/>
  <c r="E214" i="75"/>
  <c r="M142" i="75"/>
  <c r="M214" i="75"/>
  <c r="F129" i="75"/>
  <c r="J129" i="75"/>
  <c r="B50" i="75"/>
  <c r="B50" i="1"/>
  <c r="N216" i="75" l="1"/>
  <c r="K40" i="91"/>
  <c r="I40" i="91"/>
  <c r="I25" i="43" s="1"/>
  <c r="J40" i="91"/>
  <c r="J25" i="43" s="1"/>
  <c r="C9" i="91"/>
  <c r="L9" i="91"/>
  <c r="F9" i="91"/>
  <c r="M53" i="89"/>
  <c r="G40" i="91"/>
  <c r="G25" i="43" s="1"/>
  <c r="K53" i="88"/>
  <c r="D231" i="81"/>
  <c r="N40" i="91"/>
  <c r="N25" i="43" s="1"/>
  <c r="N9" i="91"/>
  <c r="N26" i="43" s="1"/>
  <c r="K9" i="91"/>
  <c r="E40" i="91"/>
  <c r="E25" i="43" s="1"/>
  <c r="I9" i="91"/>
  <c r="I26" i="43" s="1"/>
  <c r="L40" i="91"/>
  <c r="L25" i="43" s="1"/>
  <c r="F40" i="91"/>
  <c r="F25" i="43" s="1"/>
  <c r="D40" i="91"/>
  <c r="D25" i="43" s="1"/>
  <c r="C40" i="91"/>
  <c r="C25" i="43" s="1"/>
  <c r="H9" i="91"/>
  <c r="H26" i="43" s="1"/>
  <c r="E9" i="91"/>
  <c r="E26" i="43" s="1"/>
  <c r="G9" i="91"/>
  <c r="G26" i="43" s="1"/>
  <c r="I216" i="75"/>
  <c r="H25" i="43"/>
  <c r="K25" i="43"/>
  <c r="B52" i="78"/>
  <c r="J53" i="77"/>
  <c r="M53" i="76"/>
  <c r="M8" i="76" s="1"/>
  <c r="M8" i="43" s="1"/>
  <c r="M25" i="43"/>
  <c r="E84" i="91"/>
  <c r="E53" i="89"/>
  <c r="B83" i="91"/>
  <c r="H8" i="91"/>
  <c r="H84" i="91"/>
  <c r="I51" i="77"/>
  <c r="I53" i="77" s="1"/>
  <c r="L24" i="43"/>
  <c r="J24" i="43"/>
  <c r="F24" i="43"/>
  <c r="E8" i="43"/>
  <c r="E46" i="76"/>
  <c r="F8" i="43"/>
  <c r="F46" i="76"/>
  <c r="D8" i="91"/>
  <c r="E24" i="43"/>
  <c r="G24" i="43"/>
  <c r="M24" i="43"/>
  <c r="H24" i="43"/>
  <c r="C8" i="43"/>
  <c r="C46" i="76"/>
  <c r="K24" i="43"/>
  <c r="N24" i="43"/>
  <c r="I24" i="43"/>
  <c r="C155" i="74"/>
  <c r="L53" i="76"/>
  <c r="L8" i="76" s="1"/>
  <c r="L8" i="43" s="1"/>
  <c r="D53" i="89"/>
  <c r="F53" i="79"/>
  <c r="E92" i="43"/>
  <c r="C92" i="43"/>
  <c r="C135" i="43" s="1"/>
  <c r="G53" i="81"/>
  <c r="E53" i="81"/>
  <c r="I231" i="89"/>
  <c r="C231" i="89"/>
  <c r="F155" i="74"/>
  <c r="D162" i="74"/>
  <c r="D171" i="74"/>
  <c r="D150" i="74"/>
  <c r="D154" i="74"/>
  <c r="D215" i="74" s="1"/>
  <c r="D52" i="74" s="1"/>
  <c r="D92" i="43" s="1"/>
  <c r="D151" i="74"/>
  <c r="B8" i="91"/>
  <c r="F164" i="74"/>
  <c r="F163" i="74"/>
  <c r="C164" i="74"/>
  <c r="C163" i="74"/>
  <c r="D142" i="74"/>
  <c r="F184" i="74"/>
  <c r="F175" i="74"/>
  <c r="C175" i="74"/>
  <c r="C184" i="74"/>
  <c r="B129" i="75"/>
  <c r="G53" i="90"/>
  <c r="B88" i="80"/>
  <c r="M231" i="88"/>
  <c r="H53" i="80"/>
  <c r="I51" i="76"/>
  <c r="I53" i="76" s="1"/>
  <c r="J53" i="89"/>
  <c r="H255" i="80"/>
  <c r="D216" i="75"/>
  <c r="M53" i="1"/>
  <c r="M87" i="1" s="1"/>
  <c r="F231" i="88"/>
  <c r="N53" i="1"/>
  <c r="N87" i="1" s="1"/>
  <c r="C84" i="91"/>
  <c r="C259" i="91"/>
  <c r="M231" i="89"/>
  <c r="F84" i="91"/>
  <c r="L53" i="81"/>
  <c r="I259" i="91"/>
  <c r="E259" i="91"/>
  <c r="O181" i="89"/>
  <c r="F46" i="77"/>
  <c r="D259" i="91"/>
  <c r="G231" i="88"/>
  <c r="N259" i="91"/>
  <c r="F53" i="75"/>
  <c r="F87" i="75" s="1"/>
  <c r="C229" i="1"/>
  <c r="B52" i="77"/>
  <c r="M53" i="77"/>
  <c r="N53" i="76"/>
  <c r="N8" i="76" s="1"/>
  <c r="N46" i="76" s="1"/>
  <c r="C53" i="1"/>
  <c r="C87" i="1" s="1"/>
  <c r="O129" i="89"/>
  <c r="N84" i="91"/>
  <c r="D53" i="76"/>
  <c r="D8" i="76" s="1"/>
  <c r="H259" i="91"/>
  <c r="E231" i="81"/>
  <c r="I53" i="80"/>
  <c r="O155" i="78"/>
  <c r="L231" i="88"/>
  <c r="J84" i="91"/>
  <c r="B121" i="46"/>
  <c r="D121" i="46" s="1"/>
  <c r="F53" i="80"/>
  <c r="D53" i="80"/>
  <c r="E53" i="80"/>
  <c r="G53" i="80"/>
  <c r="O168" i="90"/>
  <c r="K84" i="91"/>
  <c r="G231" i="89"/>
  <c r="C53" i="80"/>
  <c r="L216" i="75"/>
  <c r="N53" i="80"/>
  <c r="L53" i="80"/>
  <c r="M53" i="80"/>
  <c r="E53" i="82"/>
  <c r="M217" i="77"/>
  <c r="E474" i="82"/>
  <c r="J53" i="80"/>
  <c r="H162" i="74"/>
  <c r="H171" i="74"/>
  <c r="N53" i="88"/>
  <c r="O116" i="89"/>
  <c r="B52" i="81"/>
  <c r="J164" i="74"/>
  <c r="J163" i="74"/>
  <c r="H142" i="74"/>
  <c r="G53" i="88"/>
  <c r="L53" i="88"/>
  <c r="J184" i="74"/>
  <c r="J175" i="74"/>
  <c r="J155" i="74"/>
  <c r="H154" i="74"/>
  <c r="H215" i="74" s="1"/>
  <c r="H52" i="74" s="1"/>
  <c r="H150" i="74"/>
  <c r="H151" i="74"/>
  <c r="H216" i="75"/>
  <c r="E168" i="74"/>
  <c r="N155" i="74"/>
  <c r="B129" i="46"/>
  <c r="D129" i="46" s="1"/>
  <c r="B84" i="46"/>
  <c r="D84" i="46" s="1"/>
  <c r="K51" i="76"/>
  <c r="K53" i="76" s="1"/>
  <c r="K8" i="76" s="1"/>
  <c r="B52" i="76"/>
  <c r="O194" i="90"/>
  <c r="O129" i="90"/>
  <c r="O116" i="90"/>
  <c r="B52" i="90"/>
  <c r="B68" i="46"/>
  <c r="D68" i="46" s="1"/>
  <c r="K53" i="79"/>
  <c r="F239" i="79"/>
  <c r="H53" i="89"/>
  <c r="D154" i="46"/>
  <c r="B88" i="83"/>
  <c r="C231" i="90"/>
  <c r="I51" i="89"/>
  <c r="I53" i="89" s="1"/>
  <c r="I8" i="89" s="1"/>
  <c r="K231" i="89"/>
  <c r="E231" i="89"/>
  <c r="L255" i="80"/>
  <c r="K255" i="80"/>
  <c r="F231" i="89"/>
  <c r="J231" i="89"/>
  <c r="G51" i="89"/>
  <c r="G53" i="89" s="1"/>
  <c r="L231" i="89"/>
  <c r="B52" i="89"/>
  <c r="M53" i="90"/>
  <c r="M231" i="90"/>
  <c r="F53" i="90"/>
  <c r="L51" i="89"/>
  <c r="L53" i="89" s="1"/>
  <c r="C51" i="89"/>
  <c r="C53" i="89" s="1"/>
  <c r="D231" i="89"/>
  <c r="H231" i="89"/>
  <c r="D76" i="46"/>
  <c r="B38" i="92"/>
  <c r="N53" i="79"/>
  <c r="M216" i="78"/>
  <c r="H216" i="78"/>
  <c r="B52" i="79"/>
  <c r="M229" i="1"/>
  <c r="H229" i="1"/>
  <c r="G229" i="1"/>
  <c r="G53" i="1"/>
  <c r="G87" i="1" s="1"/>
  <c r="N229" i="1"/>
  <c r="F229" i="1"/>
  <c r="K229" i="1"/>
  <c r="H231" i="90"/>
  <c r="F284" i="82"/>
  <c r="F280" i="82"/>
  <c r="F281" i="82"/>
  <c r="F50" i="82"/>
  <c r="J255" i="80"/>
  <c r="I255" i="80"/>
  <c r="C255" i="80"/>
  <c r="G46" i="77"/>
  <c r="E255" i="80"/>
  <c r="B8" i="77"/>
  <c r="J53" i="75"/>
  <c r="J87" i="75" s="1"/>
  <c r="F216" i="75"/>
  <c r="C42" i="46"/>
  <c r="H53" i="88"/>
  <c r="E231" i="88"/>
  <c r="L229" i="1"/>
  <c r="D53" i="82"/>
  <c r="K239" i="79"/>
  <c r="I163" i="74"/>
  <c r="I164" i="74"/>
  <c r="J229" i="1"/>
  <c r="J216" i="75"/>
  <c r="K259" i="91"/>
  <c r="D231" i="88"/>
  <c r="J259" i="91"/>
  <c r="K216" i="78"/>
  <c r="F231" i="90"/>
  <c r="B97" i="81"/>
  <c r="C53" i="88"/>
  <c r="I155" i="74"/>
  <c r="I53" i="88"/>
  <c r="D53" i="88"/>
  <c r="N175" i="74"/>
  <c r="N184" i="74"/>
  <c r="M53" i="88"/>
  <c r="K155" i="74"/>
  <c r="I229" i="1"/>
  <c r="G231" i="90"/>
  <c r="G53" i="75"/>
  <c r="N164" i="74"/>
  <c r="N163" i="74"/>
  <c r="F53" i="88"/>
  <c r="I184" i="74"/>
  <c r="I175" i="74"/>
  <c r="L231" i="81"/>
  <c r="B52" i="75"/>
  <c r="G216" i="75"/>
  <c r="I53" i="90"/>
  <c r="J231" i="90"/>
  <c r="N239" i="79"/>
  <c r="N231" i="88"/>
  <c r="B51" i="88"/>
  <c r="E53" i="88"/>
  <c r="K231" i="88"/>
  <c r="G84" i="91"/>
  <c r="H231" i="88"/>
  <c r="I231" i="90"/>
  <c r="C231" i="88"/>
  <c r="E53" i="90"/>
  <c r="F259" i="91"/>
  <c r="M255" i="80"/>
  <c r="J217" i="77"/>
  <c r="O195" i="77"/>
  <c r="H46" i="77"/>
  <c r="B27" i="77"/>
  <c r="G53" i="77"/>
  <c r="G217" i="77"/>
  <c r="N217" i="77"/>
  <c r="N53" i="77"/>
  <c r="F51" i="77"/>
  <c r="F217" i="77"/>
  <c r="E53" i="77"/>
  <c r="K51" i="77"/>
  <c r="K217" i="77"/>
  <c r="H90" i="75"/>
  <c r="N53" i="90"/>
  <c r="H53" i="90"/>
  <c r="L53" i="90"/>
  <c r="K53" i="90"/>
  <c r="L84" i="91"/>
  <c r="L259" i="91"/>
  <c r="D53" i="90"/>
  <c r="N231" i="90"/>
  <c r="J53" i="90"/>
  <c r="C53" i="81"/>
  <c r="G231" i="81"/>
  <c r="C231" i="81"/>
  <c r="L231" i="90"/>
  <c r="N51" i="89"/>
  <c r="N231" i="89"/>
  <c r="E38" i="92"/>
  <c r="I38" i="92"/>
  <c r="D231" i="90"/>
  <c r="E231" i="90"/>
  <c r="M38" i="92"/>
  <c r="K231" i="90"/>
  <c r="B51" i="90"/>
  <c r="B50" i="90"/>
  <c r="J53" i="81"/>
  <c r="H51" i="81"/>
  <c r="H231" i="81"/>
  <c r="J231" i="81"/>
  <c r="J38" i="92"/>
  <c r="F53" i="81"/>
  <c r="M53" i="81"/>
  <c r="I53" i="81"/>
  <c r="M231" i="81"/>
  <c r="K53" i="81"/>
  <c r="F231" i="81"/>
  <c r="N53" i="81"/>
  <c r="E239" i="79"/>
  <c r="C38" i="92"/>
  <c r="C49" i="92"/>
  <c r="D88" i="74" s="1"/>
  <c r="F216" i="78"/>
  <c r="F53" i="78"/>
  <c r="L53" i="78"/>
  <c r="K53" i="78"/>
  <c r="E216" i="78"/>
  <c r="G216" i="78"/>
  <c r="D42" i="53"/>
  <c r="M239" i="79"/>
  <c r="H239" i="79"/>
  <c r="H53" i="79"/>
  <c r="E53" i="79"/>
  <c r="B88" i="79"/>
  <c r="L239" i="79"/>
  <c r="L53" i="79"/>
  <c r="G53" i="79"/>
  <c r="G239" i="79"/>
  <c r="H38" i="92"/>
  <c r="M53" i="79"/>
  <c r="L38" i="92"/>
  <c r="C239" i="79"/>
  <c r="I53" i="79"/>
  <c r="J53" i="79"/>
  <c r="J239" i="79"/>
  <c r="B50" i="79"/>
  <c r="C53" i="79"/>
  <c r="L216" i="78"/>
  <c r="N216" i="78"/>
  <c r="N53" i="78"/>
  <c r="D53" i="78"/>
  <c r="E53" i="78"/>
  <c r="I53" i="78"/>
  <c r="D216" i="78"/>
  <c r="B51" i="78"/>
  <c r="J53" i="78"/>
  <c r="J216" i="78"/>
  <c r="H53" i="78"/>
  <c r="C53" i="78"/>
  <c r="M155" i="74"/>
  <c r="H62" i="92"/>
  <c r="I88" i="74"/>
  <c r="J62" i="92"/>
  <c r="K88" i="74"/>
  <c r="M62" i="92"/>
  <c r="N88" i="74"/>
  <c r="B62" i="92"/>
  <c r="C88" i="74"/>
  <c r="E62" i="92"/>
  <c r="F88" i="74"/>
  <c r="L62" i="92"/>
  <c r="M88" i="74"/>
  <c r="I62" i="92"/>
  <c r="J88" i="74"/>
  <c r="C474" i="82"/>
  <c r="B88" i="82"/>
  <c r="D58" i="46" s="1"/>
  <c r="D474" i="82"/>
  <c r="C53" i="82"/>
  <c r="F42" i="53"/>
  <c r="D255" i="80"/>
  <c r="B88" i="76"/>
  <c r="G255" i="80"/>
  <c r="N255" i="80"/>
  <c r="F255" i="80"/>
  <c r="B88" i="77"/>
  <c r="D102" i="46" s="1"/>
  <c r="G38" i="92"/>
  <c r="G49" i="92"/>
  <c r="K38" i="92"/>
  <c r="K49" i="92"/>
  <c r="F38" i="92"/>
  <c r="F49" i="92"/>
  <c r="G42" i="53"/>
  <c r="D38" i="92"/>
  <c r="D49" i="92"/>
  <c r="D51" i="1"/>
  <c r="D53" i="1" s="1"/>
  <c r="D87" i="1" s="1"/>
  <c r="D229" i="1"/>
  <c r="M163" i="74"/>
  <c r="M164" i="74"/>
  <c r="B50" i="78"/>
  <c r="B50" i="88"/>
  <c r="L168" i="74"/>
  <c r="I231" i="81"/>
  <c r="K163" i="74"/>
  <c r="K164" i="74"/>
  <c r="K216" i="75"/>
  <c r="G184" i="74"/>
  <c r="G175" i="74"/>
  <c r="L197" i="74"/>
  <c r="L201" i="74" s="1"/>
  <c r="L188" i="74"/>
  <c r="B52" i="80"/>
  <c r="D51" i="79"/>
  <c r="D239" i="79"/>
  <c r="K175" i="74"/>
  <c r="K184" i="74"/>
  <c r="E217" i="77"/>
  <c r="K231" i="81"/>
  <c r="G155" i="74"/>
  <c r="B50" i="81"/>
  <c r="E188" i="74"/>
  <c r="E197" i="74"/>
  <c r="E201" i="74" s="1"/>
  <c r="H51" i="76"/>
  <c r="H53" i="76" s="1"/>
  <c r="H8" i="76" s="1"/>
  <c r="H8" i="43" s="1"/>
  <c r="B81" i="91"/>
  <c r="E176" i="74"/>
  <c r="E177" i="74"/>
  <c r="N231" i="81"/>
  <c r="C216" i="78"/>
  <c r="I51" i="75"/>
  <c r="I231" i="88"/>
  <c r="M82" i="91"/>
  <c r="M259" i="91"/>
  <c r="B51" i="80"/>
  <c r="G163" i="74"/>
  <c r="G164" i="74"/>
  <c r="L176" i="74"/>
  <c r="L177" i="74"/>
  <c r="I216" i="78"/>
  <c r="M184" i="74"/>
  <c r="M175" i="74"/>
  <c r="I239" i="79"/>
  <c r="G259" i="91"/>
  <c r="B52" i="1"/>
  <c r="B97" i="79"/>
  <c r="B34" i="46" s="1"/>
  <c r="C50" i="46"/>
  <c r="J42" i="53"/>
  <c r="K42" i="53"/>
  <c r="H42" i="53"/>
  <c r="C217" i="77"/>
  <c r="C51" i="77"/>
  <c r="D51" i="77"/>
  <c r="D217" i="77"/>
  <c r="H217" i="77"/>
  <c r="H51" i="77"/>
  <c r="L51" i="77"/>
  <c r="L217" i="77"/>
  <c r="I42" i="53"/>
  <c r="L42" i="53"/>
  <c r="B42" i="53"/>
  <c r="C42" i="53"/>
  <c r="E42" i="53"/>
  <c r="O98" i="43"/>
  <c r="M42" i="53"/>
  <c r="O142" i="75"/>
  <c r="C216" i="75"/>
  <c r="C51" i="75"/>
  <c r="K53" i="75"/>
  <c r="D87" i="75"/>
  <c r="N87" i="75"/>
  <c r="B97" i="74"/>
  <c r="B110" i="46" s="1"/>
  <c r="E51" i="75"/>
  <c r="E216" i="75"/>
  <c r="L53" i="75"/>
  <c r="M216" i="75"/>
  <c r="M51" i="75"/>
  <c r="J53" i="1"/>
  <c r="J87" i="1" s="1"/>
  <c r="L46" i="76" l="1"/>
  <c r="H77" i="91"/>
  <c r="J77" i="91"/>
  <c r="M46" i="76"/>
  <c r="G77" i="91"/>
  <c r="L77" i="91"/>
  <c r="F472" i="82"/>
  <c r="F51" i="82" s="1"/>
  <c r="Q98" i="43"/>
  <c r="M77" i="91"/>
  <c r="K77" i="91"/>
  <c r="F77" i="91"/>
  <c r="L26" i="43"/>
  <c r="M26" i="43"/>
  <c r="F26" i="43"/>
  <c r="K26" i="43"/>
  <c r="E77" i="91"/>
  <c r="I77" i="91"/>
  <c r="B40" i="91"/>
  <c r="N77" i="91"/>
  <c r="C26" i="43"/>
  <c r="B9" i="91"/>
  <c r="C77" i="91"/>
  <c r="O25" i="43"/>
  <c r="Q25" i="43" s="1"/>
  <c r="B8" i="76"/>
  <c r="J87" i="43"/>
  <c r="D8" i="43"/>
  <c r="D46" i="76"/>
  <c r="N8" i="43"/>
  <c r="E87" i="43"/>
  <c r="F473" i="82"/>
  <c r="C168" i="74"/>
  <c r="K46" i="76"/>
  <c r="K8" i="43"/>
  <c r="D77" i="91"/>
  <c r="D24" i="43"/>
  <c r="O24" i="43" s="1"/>
  <c r="Q24" i="43" s="1"/>
  <c r="D155" i="74"/>
  <c r="H53" i="81"/>
  <c r="H92" i="75"/>
  <c r="G45" i="53"/>
  <c r="G90" i="1"/>
  <c r="E90" i="1"/>
  <c r="L90" i="1"/>
  <c r="I90" i="1"/>
  <c r="K90" i="1"/>
  <c r="F90" i="1"/>
  <c r="N90" i="1"/>
  <c r="M90" i="1"/>
  <c r="C90" i="1"/>
  <c r="D163" i="74"/>
  <c r="D164" i="74"/>
  <c r="B52" i="74"/>
  <c r="F197" i="74"/>
  <c r="F201" i="74" s="1"/>
  <c r="F188" i="74"/>
  <c r="C176" i="74"/>
  <c r="C177" i="74"/>
  <c r="F176" i="74"/>
  <c r="F181" i="74" s="1"/>
  <c r="F177" i="74"/>
  <c r="C197" i="74"/>
  <c r="C201" i="74" s="1"/>
  <c r="C188" i="74"/>
  <c r="F168" i="74"/>
  <c r="D175" i="74"/>
  <c r="D184" i="74"/>
  <c r="J168" i="74"/>
  <c r="B53" i="80"/>
  <c r="B96" i="80" s="1"/>
  <c r="B75" i="46" s="1"/>
  <c r="H155" i="74"/>
  <c r="J177" i="74"/>
  <c r="J176" i="74"/>
  <c r="H164" i="74"/>
  <c r="H163" i="74"/>
  <c r="H46" i="76"/>
  <c r="J197" i="74"/>
  <c r="J201" i="74" s="1"/>
  <c r="J188" i="74"/>
  <c r="H175" i="74"/>
  <c r="H184" i="74"/>
  <c r="H90" i="1"/>
  <c r="I168" i="74"/>
  <c r="B145" i="46"/>
  <c r="D145" i="46" s="1"/>
  <c r="I32" i="43"/>
  <c r="I46" i="89"/>
  <c r="O53" i="89"/>
  <c r="M45" i="53"/>
  <c r="E45" i="53"/>
  <c r="G279" i="82"/>
  <c r="G471" i="82" s="1"/>
  <c r="F285" i="82"/>
  <c r="G87" i="75"/>
  <c r="G90" i="75" s="1"/>
  <c r="K87" i="75"/>
  <c r="J45" i="53" s="1"/>
  <c r="K168" i="74"/>
  <c r="N168" i="74"/>
  <c r="I176" i="74"/>
  <c r="I177" i="74"/>
  <c r="N197" i="74"/>
  <c r="N201" i="74" s="1"/>
  <c r="N188" i="74"/>
  <c r="L181" i="74"/>
  <c r="I197" i="74"/>
  <c r="I201" i="74" s="1"/>
  <c r="I188" i="74"/>
  <c r="N176" i="74"/>
  <c r="N177" i="74"/>
  <c r="B51" i="75"/>
  <c r="B53" i="75" s="1"/>
  <c r="B96" i="75" s="1"/>
  <c r="B17" i="46" s="1"/>
  <c r="D17" i="46" s="1"/>
  <c r="E181" i="74"/>
  <c r="B51" i="76"/>
  <c r="B53" i="76" s="1"/>
  <c r="B96" i="76" s="1"/>
  <c r="B53" i="88"/>
  <c r="G168" i="74"/>
  <c r="C53" i="77"/>
  <c r="K53" i="77"/>
  <c r="L53" i="77"/>
  <c r="F53" i="77"/>
  <c r="D34" i="46"/>
  <c r="D90" i="75"/>
  <c r="J90" i="75"/>
  <c r="O53" i="90"/>
  <c r="B82" i="91"/>
  <c r="B84" i="91" s="1"/>
  <c r="M84" i="91"/>
  <c r="B53" i="90"/>
  <c r="N53" i="89"/>
  <c r="B51" i="89"/>
  <c r="B53" i="89" s="1"/>
  <c r="B51" i="81"/>
  <c r="B53" i="81" s="1"/>
  <c r="B51" i="1"/>
  <c r="B53" i="1" s="1"/>
  <c r="B96" i="1" s="1"/>
  <c r="B9" i="46" s="1"/>
  <c r="O53" i="81"/>
  <c r="C62" i="92"/>
  <c r="B53" i="78"/>
  <c r="B51" i="79"/>
  <c r="B53" i="79" s="1"/>
  <c r="D53" i="79"/>
  <c r="D62" i="92"/>
  <c r="E88" i="74"/>
  <c r="G62" i="92"/>
  <c r="H88" i="74"/>
  <c r="M168" i="74"/>
  <c r="K62" i="92"/>
  <c r="L88" i="74"/>
  <c r="F62" i="92"/>
  <c r="G88" i="74"/>
  <c r="M188" i="74"/>
  <c r="M197" i="74"/>
  <c r="M201" i="74" s="1"/>
  <c r="I53" i="75"/>
  <c r="O53" i="78"/>
  <c r="K188" i="74"/>
  <c r="K197" i="74"/>
  <c r="K201" i="74" s="1"/>
  <c r="G197" i="74"/>
  <c r="G201" i="74" s="1"/>
  <c r="G188" i="74"/>
  <c r="E190" i="74"/>
  <c r="E189" i="74"/>
  <c r="E213" i="74"/>
  <c r="L203" i="74"/>
  <c r="L202" i="74"/>
  <c r="G176" i="74"/>
  <c r="G177" i="74"/>
  <c r="M177" i="74"/>
  <c r="M176" i="74"/>
  <c r="E203" i="74"/>
  <c r="E202" i="74"/>
  <c r="K176" i="74"/>
  <c r="K177" i="74"/>
  <c r="L190" i="74"/>
  <c r="L189" i="74"/>
  <c r="L213" i="74"/>
  <c r="O53" i="77"/>
  <c r="H53" i="77"/>
  <c r="D53" i="77"/>
  <c r="B51" i="77"/>
  <c r="B53" i="77" s="1"/>
  <c r="B97" i="77" s="1"/>
  <c r="O53" i="75"/>
  <c r="C53" i="75"/>
  <c r="N90" i="75"/>
  <c r="F90" i="75"/>
  <c r="L87" i="75"/>
  <c r="M53" i="75"/>
  <c r="E53" i="75"/>
  <c r="D16" i="46"/>
  <c r="F474" i="82" l="1"/>
  <c r="L87" i="43"/>
  <c r="B77" i="91"/>
  <c r="B126" i="91" s="1"/>
  <c r="B119" i="46" s="1"/>
  <c r="D119" i="46" s="1"/>
  <c r="M87" i="43"/>
  <c r="O26" i="43"/>
  <c r="Q26" i="43" s="1"/>
  <c r="F52" i="82"/>
  <c r="F92" i="43" s="1"/>
  <c r="N87" i="43"/>
  <c r="K87" i="43"/>
  <c r="D87" i="43"/>
  <c r="N213" i="74"/>
  <c r="N50" i="74" s="1"/>
  <c r="C181" i="74"/>
  <c r="G213" i="74"/>
  <c r="G50" i="74" s="1"/>
  <c r="F92" i="75"/>
  <c r="J92" i="75"/>
  <c r="N92" i="75"/>
  <c r="D92" i="75"/>
  <c r="G92" i="75"/>
  <c r="H92" i="1"/>
  <c r="N92" i="1"/>
  <c r="L92" i="1"/>
  <c r="F92" i="1"/>
  <c r="E92" i="1"/>
  <c r="C92" i="1"/>
  <c r="K92" i="1"/>
  <c r="G92" i="1"/>
  <c r="M92" i="1"/>
  <c r="I92" i="1"/>
  <c r="J51" i="53"/>
  <c r="K87" i="79" s="1"/>
  <c r="J55" i="53"/>
  <c r="K87" i="83" s="1"/>
  <c r="J59" i="53"/>
  <c r="K87" i="78" s="1"/>
  <c r="J63" i="53"/>
  <c r="K87" i="95" s="1"/>
  <c r="K90" i="95" s="1"/>
  <c r="K92" i="95" s="1"/>
  <c r="J53" i="53"/>
  <c r="K87" i="90" s="1"/>
  <c r="J57" i="53"/>
  <c r="K87" i="74" s="1"/>
  <c r="J61" i="53"/>
  <c r="K87" i="81" s="1"/>
  <c r="J50" i="53"/>
  <c r="K87" i="76" s="1"/>
  <c r="J56" i="53"/>
  <c r="K87" i="77" s="1"/>
  <c r="J64" i="53"/>
  <c r="K87" i="88" s="1"/>
  <c r="J54" i="53"/>
  <c r="K87" i="80" s="1"/>
  <c r="J62" i="53"/>
  <c r="K87" i="89" s="1"/>
  <c r="J52" i="53"/>
  <c r="K87" i="82" s="1"/>
  <c r="J60" i="53"/>
  <c r="K87" i="94" s="1"/>
  <c r="K90" i="94" s="1"/>
  <c r="K92" i="94" s="1"/>
  <c r="J58" i="53"/>
  <c r="K118" i="91" s="1"/>
  <c r="I45" i="53"/>
  <c r="M54" i="53"/>
  <c r="N87" i="80" s="1"/>
  <c r="N90" i="80" s="1"/>
  <c r="N92" i="80" s="1"/>
  <c r="M58" i="53"/>
  <c r="N118" i="91" s="1"/>
  <c r="N121" i="91" s="1"/>
  <c r="N123" i="91" s="1"/>
  <c r="M62" i="53"/>
  <c r="N87" i="89" s="1"/>
  <c r="N90" i="89" s="1"/>
  <c r="N92" i="89" s="1"/>
  <c r="M52" i="53"/>
  <c r="N87" i="82" s="1"/>
  <c r="N90" i="82" s="1"/>
  <c r="M56" i="53"/>
  <c r="N87" i="77" s="1"/>
  <c r="N90" i="77" s="1"/>
  <c r="M60" i="53"/>
  <c r="N87" i="94" s="1"/>
  <c r="M64" i="53"/>
  <c r="N87" i="88" s="1"/>
  <c r="N90" i="88" s="1"/>
  <c r="N92" i="88" s="1"/>
  <c r="M55" i="53"/>
  <c r="N87" i="83" s="1"/>
  <c r="N90" i="83" s="1"/>
  <c r="M63" i="53"/>
  <c r="N87" i="95" s="1"/>
  <c r="M53" i="53"/>
  <c r="N87" i="90" s="1"/>
  <c r="M61" i="53"/>
  <c r="N87" i="81" s="1"/>
  <c r="M51" i="53"/>
  <c r="N87" i="79" s="1"/>
  <c r="N90" i="79" s="1"/>
  <c r="N92" i="79" s="1"/>
  <c r="M59" i="53"/>
  <c r="N87" i="78" s="1"/>
  <c r="N90" i="78" s="1"/>
  <c r="N92" i="78" s="1"/>
  <c r="M57" i="53"/>
  <c r="N87" i="74" s="1"/>
  <c r="N90" i="74" s="1"/>
  <c r="M50" i="53"/>
  <c r="N87" i="76" s="1"/>
  <c r="C45" i="53"/>
  <c r="E54" i="53"/>
  <c r="F87" i="80" s="1"/>
  <c r="F90" i="80" s="1"/>
  <c r="E58" i="53"/>
  <c r="F118" i="91" s="1"/>
  <c r="F121" i="91" s="1"/>
  <c r="F123" i="91" s="1"/>
  <c r="E62" i="53"/>
  <c r="F87" i="89" s="1"/>
  <c r="F90" i="89" s="1"/>
  <c r="F8" i="89" s="1"/>
  <c r="E52" i="53"/>
  <c r="F87" i="82" s="1"/>
  <c r="F90" i="82" s="1"/>
  <c r="E56" i="53"/>
  <c r="F87" i="77" s="1"/>
  <c r="F90" i="77" s="1"/>
  <c r="E60" i="53"/>
  <c r="F87" i="94" s="1"/>
  <c r="E64" i="53"/>
  <c r="F87" i="88" s="1"/>
  <c r="F90" i="88" s="1"/>
  <c r="F92" i="88" s="1"/>
  <c r="E55" i="53"/>
  <c r="F87" i="83" s="1"/>
  <c r="E63" i="53"/>
  <c r="F87" i="95" s="1"/>
  <c r="E53" i="53"/>
  <c r="F87" i="90" s="1"/>
  <c r="E61" i="53"/>
  <c r="F87" i="81" s="1"/>
  <c r="E51" i="53"/>
  <c r="F87" i="79" s="1"/>
  <c r="F90" i="79" s="1"/>
  <c r="F92" i="79" s="1"/>
  <c r="E59" i="53"/>
  <c r="F87" i="78" s="1"/>
  <c r="F90" i="78" s="1"/>
  <c r="F92" i="78" s="1"/>
  <c r="E57" i="53"/>
  <c r="F87" i="74" s="1"/>
  <c r="E50" i="53"/>
  <c r="F87" i="76" s="1"/>
  <c r="F90" i="76" s="1"/>
  <c r="G52" i="53"/>
  <c r="H87" i="82" s="1"/>
  <c r="H90" i="82" s="1"/>
  <c r="G56" i="53"/>
  <c r="H87" i="77" s="1"/>
  <c r="H90" i="77" s="1"/>
  <c r="G60" i="53"/>
  <c r="H87" i="94" s="1"/>
  <c r="H90" i="94" s="1"/>
  <c r="H46" i="94" s="1"/>
  <c r="H92" i="94" s="1"/>
  <c r="G64" i="53"/>
  <c r="H87" i="88" s="1"/>
  <c r="H90" i="88" s="1"/>
  <c r="H92" i="88" s="1"/>
  <c r="G54" i="53"/>
  <c r="H87" i="80" s="1"/>
  <c r="H90" i="80" s="1"/>
  <c r="H92" i="80" s="1"/>
  <c r="G58" i="53"/>
  <c r="H118" i="91" s="1"/>
  <c r="H121" i="91" s="1"/>
  <c r="H123" i="91" s="1"/>
  <c r="G62" i="53"/>
  <c r="H87" i="89" s="1"/>
  <c r="H90" i="89" s="1"/>
  <c r="H8" i="89" s="1"/>
  <c r="H32" i="43" s="1"/>
  <c r="G57" i="53"/>
  <c r="H87" i="74" s="1"/>
  <c r="H90" i="74" s="1"/>
  <c r="G50" i="53"/>
  <c r="H87" i="76" s="1"/>
  <c r="H90" i="76" s="1"/>
  <c r="G55" i="53"/>
  <c r="H87" i="83" s="1"/>
  <c r="H90" i="83" s="1"/>
  <c r="G63" i="53"/>
  <c r="H87" i="95" s="1"/>
  <c r="H90" i="95" s="1"/>
  <c r="H92" i="95" s="1"/>
  <c r="G53" i="53"/>
  <c r="H87" i="90" s="1"/>
  <c r="G61" i="53"/>
  <c r="H87" i="81" s="1"/>
  <c r="H90" i="81" s="1"/>
  <c r="H92" i="81" s="1"/>
  <c r="G51" i="53"/>
  <c r="H87" i="79" s="1"/>
  <c r="H90" i="79" s="1"/>
  <c r="H92" i="79" s="1"/>
  <c r="G59" i="53"/>
  <c r="H87" i="78" s="1"/>
  <c r="H90" i="78" s="1"/>
  <c r="H92" i="78" s="1"/>
  <c r="D9" i="46"/>
  <c r="C190" i="74"/>
  <c r="C189" i="74"/>
  <c r="D188" i="74"/>
  <c r="D197" i="74"/>
  <c r="D201" i="74" s="1"/>
  <c r="C202" i="74"/>
  <c r="C203" i="74"/>
  <c r="C213" i="74"/>
  <c r="C50" i="74" s="1"/>
  <c r="F203" i="74"/>
  <c r="F202" i="74"/>
  <c r="F207" i="74" s="1"/>
  <c r="F213" i="74"/>
  <c r="D177" i="74"/>
  <c r="D176" i="74"/>
  <c r="F189" i="74"/>
  <c r="F190" i="74"/>
  <c r="D168" i="74"/>
  <c r="H90" i="90"/>
  <c r="H168" i="74"/>
  <c r="J181" i="74"/>
  <c r="E207" i="74"/>
  <c r="M181" i="74"/>
  <c r="J202" i="74"/>
  <c r="J203" i="74"/>
  <c r="K181" i="74"/>
  <c r="J189" i="74"/>
  <c r="J190" i="74"/>
  <c r="J213" i="74"/>
  <c r="H197" i="74"/>
  <c r="H201" i="74" s="1"/>
  <c r="H188" i="74"/>
  <c r="L194" i="74"/>
  <c r="H177" i="74"/>
  <c r="H176" i="74"/>
  <c r="E194" i="74"/>
  <c r="I181" i="74"/>
  <c r="I87" i="43"/>
  <c r="B87" i="1"/>
  <c r="B90" i="1" s="1"/>
  <c r="B98" i="1" s="1"/>
  <c r="G284" i="82"/>
  <c r="G281" i="82"/>
  <c r="G280" i="82"/>
  <c r="K90" i="75"/>
  <c r="E87" i="75"/>
  <c r="D45" i="53" s="1"/>
  <c r="I189" i="74"/>
  <c r="I190" i="74"/>
  <c r="N189" i="74"/>
  <c r="N190" i="74"/>
  <c r="M87" i="75"/>
  <c r="L45" i="53" s="1"/>
  <c r="C87" i="75"/>
  <c r="I87" i="75"/>
  <c r="H45" i="53" s="1"/>
  <c r="N181" i="74"/>
  <c r="I202" i="74"/>
  <c r="I203" i="74"/>
  <c r="N203" i="74"/>
  <c r="N202" i="74"/>
  <c r="F45" i="53"/>
  <c r="I213" i="74"/>
  <c r="D90" i="1"/>
  <c r="B25" i="46"/>
  <c r="D25" i="46" s="1"/>
  <c r="B101" i="46"/>
  <c r="L90" i="75"/>
  <c r="K45" i="53"/>
  <c r="J90" i="1"/>
  <c r="D75" i="46"/>
  <c r="B88" i="74"/>
  <c r="L214" i="74"/>
  <c r="L51" i="74" s="1"/>
  <c r="E214" i="74"/>
  <c r="E51" i="74" s="1"/>
  <c r="L207" i="74"/>
  <c r="M202" i="74"/>
  <c r="M203" i="74"/>
  <c r="G181" i="74"/>
  <c r="G203" i="74"/>
  <c r="G202" i="74"/>
  <c r="K190" i="74"/>
  <c r="K189" i="74"/>
  <c r="K213" i="74"/>
  <c r="M213" i="74"/>
  <c r="E50" i="74"/>
  <c r="G189" i="74"/>
  <c r="G190" i="74"/>
  <c r="M190" i="74"/>
  <c r="M189" i="74"/>
  <c r="L50" i="74"/>
  <c r="K202" i="74"/>
  <c r="K203" i="74"/>
  <c r="H122" i="43" l="1"/>
  <c r="H123" i="43" s="1"/>
  <c r="F92" i="76"/>
  <c r="D213" i="74"/>
  <c r="D50" i="74" s="1"/>
  <c r="F53" i="82"/>
  <c r="F92" i="82" s="1"/>
  <c r="G473" i="82"/>
  <c r="G52" i="82" s="1"/>
  <c r="G92" i="43" s="1"/>
  <c r="H279" i="82"/>
  <c r="H471" i="82" s="1"/>
  <c r="G472" i="82"/>
  <c r="G51" i="82" s="1"/>
  <c r="F194" i="74"/>
  <c r="H213" i="74"/>
  <c r="H50" i="74" s="1"/>
  <c r="D181" i="74"/>
  <c r="F214" i="74"/>
  <c r="F51" i="74" s="1"/>
  <c r="K92" i="75"/>
  <c r="L92" i="75"/>
  <c r="B45" i="53"/>
  <c r="B52" i="53" s="1"/>
  <c r="O90" i="75"/>
  <c r="B99" i="1"/>
  <c r="B11" i="46"/>
  <c r="H92" i="76"/>
  <c r="D92" i="1"/>
  <c r="G65" i="53"/>
  <c r="J92" i="1"/>
  <c r="D53" i="53"/>
  <c r="E87" i="90" s="1"/>
  <c r="D57" i="53"/>
  <c r="E87" i="74" s="1"/>
  <c r="D61" i="53"/>
  <c r="E87" i="81" s="1"/>
  <c r="D50" i="53"/>
  <c r="E87" i="76" s="1"/>
  <c r="D51" i="53"/>
  <c r="E87" i="79" s="1"/>
  <c r="D55" i="53"/>
  <c r="E87" i="83" s="1"/>
  <c r="D59" i="53"/>
  <c r="E87" i="78" s="1"/>
  <c r="D63" i="53"/>
  <c r="E87" i="95" s="1"/>
  <c r="D58" i="53"/>
  <c r="E118" i="91" s="1"/>
  <c r="D56" i="53"/>
  <c r="E87" i="77" s="1"/>
  <c r="D64" i="53"/>
  <c r="E87" i="88" s="1"/>
  <c r="D54" i="53"/>
  <c r="E87" i="80" s="1"/>
  <c r="E90" i="80" s="1"/>
  <c r="E92" i="80" s="1"/>
  <c r="D62" i="53"/>
  <c r="E87" i="89" s="1"/>
  <c r="D52" i="53"/>
  <c r="E87" i="82" s="1"/>
  <c r="D60" i="53"/>
  <c r="E87" i="94" s="1"/>
  <c r="I54" i="53"/>
  <c r="J87" i="80" s="1"/>
  <c r="J90" i="80" s="1"/>
  <c r="J92" i="80" s="1"/>
  <c r="I58" i="53"/>
  <c r="J118" i="91" s="1"/>
  <c r="I62" i="53"/>
  <c r="J87" i="89" s="1"/>
  <c r="I52" i="53"/>
  <c r="J87" i="82" s="1"/>
  <c r="I56" i="53"/>
  <c r="J87" i="77" s="1"/>
  <c r="J90" i="77" s="1"/>
  <c r="I60" i="53"/>
  <c r="J87" i="94" s="1"/>
  <c r="J90" i="94" s="1"/>
  <c r="J92" i="94" s="1"/>
  <c r="I64" i="53"/>
  <c r="J87" i="88" s="1"/>
  <c r="J90" i="88" s="1"/>
  <c r="J92" i="88" s="1"/>
  <c r="I51" i="53"/>
  <c r="J87" i="79" s="1"/>
  <c r="J90" i="79" s="1"/>
  <c r="J92" i="79" s="1"/>
  <c r="I59" i="53"/>
  <c r="J87" i="78" s="1"/>
  <c r="I57" i="53"/>
  <c r="J87" i="74" s="1"/>
  <c r="J90" i="74" s="1"/>
  <c r="I50" i="53"/>
  <c r="J87" i="76" s="1"/>
  <c r="I55" i="53"/>
  <c r="J87" i="83" s="1"/>
  <c r="I63" i="53"/>
  <c r="J87" i="95" s="1"/>
  <c r="J90" i="95" s="1"/>
  <c r="J92" i="95" s="1"/>
  <c r="I53" i="53"/>
  <c r="J87" i="90" s="1"/>
  <c r="I61" i="53"/>
  <c r="J87" i="81" s="1"/>
  <c r="J90" i="81" s="1"/>
  <c r="J92" i="81" s="1"/>
  <c r="K52" i="53"/>
  <c r="L87" i="82" s="1"/>
  <c r="K56" i="53"/>
  <c r="L87" i="77" s="1"/>
  <c r="K60" i="53"/>
  <c r="L87" i="94" s="1"/>
  <c r="K64" i="53"/>
  <c r="L87" i="88" s="1"/>
  <c r="K54" i="53"/>
  <c r="L87" i="80" s="1"/>
  <c r="L90" i="80" s="1"/>
  <c r="L92" i="80" s="1"/>
  <c r="K58" i="53"/>
  <c r="L118" i="91" s="1"/>
  <c r="K62" i="53"/>
  <c r="L87" i="89" s="1"/>
  <c r="K53" i="53"/>
  <c r="L87" i="90" s="1"/>
  <c r="K61" i="53"/>
  <c r="L87" i="81" s="1"/>
  <c r="K51" i="53"/>
  <c r="L87" i="79" s="1"/>
  <c r="L90" i="79" s="1"/>
  <c r="L92" i="79" s="1"/>
  <c r="K59" i="53"/>
  <c r="L87" i="78" s="1"/>
  <c r="K57" i="53"/>
  <c r="L87" i="74" s="1"/>
  <c r="K50" i="53"/>
  <c r="L87" i="76" s="1"/>
  <c r="K55" i="53"/>
  <c r="L87" i="83" s="1"/>
  <c r="K63" i="53"/>
  <c r="L87" i="95" s="1"/>
  <c r="H53" i="53"/>
  <c r="I87" i="90" s="1"/>
  <c r="H57" i="53"/>
  <c r="I87" i="74" s="1"/>
  <c r="H61" i="53"/>
  <c r="I87" i="81" s="1"/>
  <c r="H50" i="53"/>
  <c r="I87" i="76" s="1"/>
  <c r="H51" i="53"/>
  <c r="I87" i="79" s="1"/>
  <c r="H55" i="53"/>
  <c r="I87" i="83" s="1"/>
  <c r="H59" i="53"/>
  <c r="I87" i="78" s="1"/>
  <c r="H63" i="53"/>
  <c r="I87" i="95" s="1"/>
  <c r="H54" i="53"/>
  <c r="I87" i="80" s="1"/>
  <c r="I90" i="80" s="1"/>
  <c r="I92" i="80" s="1"/>
  <c r="H62" i="53"/>
  <c r="I87" i="89" s="1"/>
  <c r="H52" i="53"/>
  <c r="I87" i="82" s="1"/>
  <c r="H60" i="53"/>
  <c r="I87" i="94" s="1"/>
  <c r="H58" i="53"/>
  <c r="I118" i="91" s="1"/>
  <c r="H56" i="53"/>
  <c r="I87" i="77" s="1"/>
  <c r="H64" i="53"/>
  <c r="I87" i="88" s="1"/>
  <c r="N90" i="76"/>
  <c r="F51" i="53"/>
  <c r="G87" i="79" s="1"/>
  <c r="G90" i="79" s="1"/>
  <c r="G92" i="79" s="1"/>
  <c r="F55" i="53"/>
  <c r="G87" i="83" s="1"/>
  <c r="F59" i="53"/>
  <c r="G87" i="78" s="1"/>
  <c r="G90" i="78" s="1"/>
  <c r="G92" i="78" s="1"/>
  <c r="F63" i="53"/>
  <c r="G87" i="95" s="1"/>
  <c r="F53" i="53"/>
  <c r="G87" i="90" s="1"/>
  <c r="F57" i="53"/>
  <c r="G87" i="74" s="1"/>
  <c r="F61" i="53"/>
  <c r="G87" i="81" s="1"/>
  <c r="F50" i="53"/>
  <c r="G87" i="76" s="1"/>
  <c r="G90" i="76" s="1"/>
  <c r="F52" i="53"/>
  <c r="G87" i="82" s="1"/>
  <c r="G90" i="82" s="1"/>
  <c r="F60" i="53"/>
  <c r="G87" i="94" s="1"/>
  <c r="F58" i="53"/>
  <c r="G118" i="91" s="1"/>
  <c r="G121" i="91" s="1"/>
  <c r="G123" i="91" s="1"/>
  <c r="F56" i="53"/>
  <c r="G87" i="77" s="1"/>
  <c r="G90" i="77" s="1"/>
  <c r="F64" i="53"/>
  <c r="G87" i="88" s="1"/>
  <c r="G90" i="88" s="1"/>
  <c r="G92" i="88" s="1"/>
  <c r="F54" i="53"/>
  <c r="G87" i="80" s="1"/>
  <c r="G90" i="80" s="1"/>
  <c r="G92" i="80" s="1"/>
  <c r="F62" i="53"/>
  <c r="G87" i="89" s="1"/>
  <c r="G90" i="89" s="1"/>
  <c r="G8" i="89" s="1"/>
  <c r="G32" i="43" s="1"/>
  <c r="L53" i="53"/>
  <c r="M87" i="90" s="1"/>
  <c r="L57" i="53"/>
  <c r="M87" i="74" s="1"/>
  <c r="L61" i="53"/>
  <c r="M87" i="81" s="1"/>
  <c r="L50" i="53"/>
  <c r="M87" i="76" s="1"/>
  <c r="L51" i="53"/>
  <c r="M87" i="79" s="1"/>
  <c r="L55" i="53"/>
  <c r="M87" i="83" s="1"/>
  <c r="L59" i="53"/>
  <c r="M87" i="78" s="1"/>
  <c r="L63" i="53"/>
  <c r="M87" i="95" s="1"/>
  <c r="L58" i="53"/>
  <c r="M118" i="91" s="1"/>
  <c r="L56" i="53"/>
  <c r="M87" i="77" s="1"/>
  <c r="L64" i="53"/>
  <c r="M87" i="88" s="1"/>
  <c r="L54" i="53"/>
  <c r="M87" i="80" s="1"/>
  <c r="M90" i="80" s="1"/>
  <c r="M92" i="80" s="1"/>
  <c r="L62" i="53"/>
  <c r="M87" i="89" s="1"/>
  <c r="L52" i="53"/>
  <c r="M87" i="82" s="1"/>
  <c r="L60" i="53"/>
  <c r="M87" i="94" s="1"/>
  <c r="C52" i="53"/>
  <c r="D87" i="82" s="1"/>
  <c r="D90" i="82" s="1"/>
  <c r="C56" i="53"/>
  <c r="D87" i="77" s="1"/>
  <c r="D90" i="77" s="1"/>
  <c r="C60" i="53"/>
  <c r="D87" i="94" s="1"/>
  <c r="D90" i="94" s="1"/>
  <c r="D92" i="94" s="1"/>
  <c r="C64" i="53"/>
  <c r="D87" i="88" s="1"/>
  <c r="D90" i="88" s="1"/>
  <c r="D92" i="88" s="1"/>
  <c r="C54" i="53"/>
  <c r="D87" i="80" s="1"/>
  <c r="D90" i="80" s="1"/>
  <c r="D92" i="80" s="1"/>
  <c r="C58" i="53"/>
  <c r="D118" i="91" s="1"/>
  <c r="D121" i="91" s="1"/>
  <c r="D123" i="91" s="1"/>
  <c r="C62" i="53"/>
  <c r="D87" i="89" s="1"/>
  <c r="D90" i="89" s="1"/>
  <c r="D92" i="89" s="1"/>
  <c r="C53" i="53"/>
  <c r="D87" i="90" s="1"/>
  <c r="D90" i="90" s="1"/>
  <c r="D92" i="90" s="1"/>
  <c r="C61" i="53"/>
  <c r="D87" i="81" s="1"/>
  <c r="D90" i="81" s="1"/>
  <c r="D92" i="81" s="1"/>
  <c r="C51" i="53"/>
  <c r="D87" i="79" s="1"/>
  <c r="D90" i="79" s="1"/>
  <c r="D92" i="79" s="1"/>
  <c r="C59" i="53"/>
  <c r="D87" i="78" s="1"/>
  <c r="D90" i="78" s="1"/>
  <c r="D92" i="78" s="1"/>
  <c r="C57" i="53"/>
  <c r="D87" i="74" s="1"/>
  <c r="D90" i="74" s="1"/>
  <c r="C50" i="53"/>
  <c r="D87" i="76" s="1"/>
  <c r="D90" i="76" s="1"/>
  <c r="C55" i="53"/>
  <c r="D87" i="83" s="1"/>
  <c r="D90" i="83" s="1"/>
  <c r="C63" i="53"/>
  <c r="D87" i="95" s="1"/>
  <c r="D90" i="95" s="1"/>
  <c r="D92" i="95" s="1"/>
  <c r="C194" i="74"/>
  <c r="C214" i="74"/>
  <c r="F50" i="74"/>
  <c r="F53" i="74" s="1"/>
  <c r="F216" i="74"/>
  <c r="D190" i="74"/>
  <c r="D189" i="74"/>
  <c r="C207" i="74"/>
  <c r="D202" i="74"/>
  <c r="D203" i="74"/>
  <c r="F90" i="81"/>
  <c r="F92" i="81" s="1"/>
  <c r="F90" i="95"/>
  <c r="F92" i="95" s="1"/>
  <c r="F90" i="90"/>
  <c r="F90" i="94"/>
  <c r="N90" i="90"/>
  <c r="N92" i="90" s="1"/>
  <c r="N90" i="94"/>
  <c r="N92" i="94" s="1"/>
  <c r="N90" i="81"/>
  <c r="N92" i="81" s="1"/>
  <c r="N90" i="95"/>
  <c r="N92" i="95" s="1"/>
  <c r="J194" i="74"/>
  <c r="J207" i="74"/>
  <c r="N194" i="74"/>
  <c r="J214" i="74"/>
  <c r="J51" i="74" s="1"/>
  <c r="I194" i="74"/>
  <c r="H181" i="74"/>
  <c r="K121" i="91"/>
  <c r="K123" i="91" s="1"/>
  <c r="K90" i="80"/>
  <c r="K92" i="80" s="1"/>
  <c r="K90" i="76"/>
  <c r="K90" i="79"/>
  <c r="K92" i="79" s="1"/>
  <c r="K90" i="90"/>
  <c r="K92" i="90" s="1"/>
  <c r="K90" i="88"/>
  <c r="K92" i="88" s="1"/>
  <c r="K90" i="89"/>
  <c r="K92" i="89" s="1"/>
  <c r="K90" i="81"/>
  <c r="K92" i="81" s="1"/>
  <c r="K90" i="78"/>
  <c r="K92" i="78" s="1"/>
  <c r="K90" i="82"/>
  <c r="K90" i="83"/>
  <c r="J50" i="74"/>
  <c r="H189" i="74"/>
  <c r="H190" i="74"/>
  <c r="H202" i="74"/>
  <c r="H203" i="74"/>
  <c r="I207" i="74"/>
  <c r="N214" i="74"/>
  <c r="N216" i="74" s="1"/>
  <c r="F90" i="83"/>
  <c r="M65" i="53"/>
  <c r="H46" i="90"/>
  <c r="H92" i="90" s="1"/>
  <c r="F32" i="43"/>
  <c r="E65" i="53"/>
  <c r="G285" i="82"/>
  <c r="G50" i="82"/>
  <c r="H284" i="82"/>
  <c r="H281" i="82"/>
  <c r="H280" i="82"/>
  <c r="C90" i="75"/>
  <c r="I90" i="75"/>
  <c r="B87" i="75"/>
  <c r="L216" i="74"/>
  <c r="N207" i="74"/>
  <c r="E90" i="75"/>
  <c r="I50" i="74"/>
  <c r="F92" i="77"/>
  <c r="N92" i="77"/>
  <c r="M90" i="75"/>
  <c r="K207" i="74"/>
  <c r="M194" i="74"/>
  <c r="M207" i="74"/>
  <c r="I214" i="74"/>
  <c r="I51" i="74" s="1"/>
  <c r="H92" i="77"/>
  <c r="G207" i="74"/>
  <c r="D110" i="46"/>
  <c r="D101" i="46"/>
  <c r="H46" i="89"/>
  <c r="H92" i="89" s="1"/>
  <c r="F46" i="89"/>
  <c r="F92" i="89" s="1"/>
  <c r="E53" i="74"/>
  <c r="K214" i="74"/>
  <c r="K51" i="74" s="1"/>
  <c r="L53" i="74"/>
  <c r="E216" i="74"/>
  <c r="G214" i="74"/>
  <c r="G216" i="74" s="1"/>
  <c r="M214" i="74"/>
  <c r="M51" i="74" s="1"/>
  <c r="K194" i="74"/>
  <c r="G194" i="74"/>
  <c r="M50" i="74"/>
  <c r="K50" i="74"/>
  <c r="K90" i="77"/>
  <c r="J65" i="53"/>
  <c r="F90" i="74"/>
  <c r="N122" i="43" l="1"/>
  <c r="N123" i="43" s="1"/>
  <c r="F122" i="43"/>
  <c r="F123" i="43" s="1"/>
  <c r="D122" i="43"/>
  <c r="G474" i="82"/>
  <c r="H473" i="82"/>
  <c r="H52" i="82" s="1"/>
  <c r="H92" i="43" s="1"/>
  <c r="I279" i="82"/>
  <c r="I471" i="82" s="1"/>
  <c r="H472" i="82"/>
  <c r="H51" i="82" s="1"/>
  <c r="D207" i="74"/>
  <c r="D92" i="82"/>
  <c r="J53" i="74"/>
  <c r="J92" i="74" s="1"/>
  <c r="D214" i="74"/>
  <c r="D51" i="74" s="1"/>
  <c r="D53" i="74" s="1"/>
  <c r="D92" i="74" s="1"/>
  <c r="D194" i="74"/>
  <c r="B50" i="53"/>
  <c r="C87" i="76" s="1"/>
  <c r="O90" i="76" s="1"/>
  <c r="B61" i="53"/>
  <c r="N61" i="53" s="1"/>
  <c r="B57" i="53"/>
  <c r="C87" i="74" s="1"/>
  <c r="B53" i="53"/>
  <c r="N53" i="53" s="1"/>
  <c r="N45" i="53"/>
  <c r="B64" i="53"/>
  <c r="N64" i="53" s="1"/>
  <c r="B60" i="53"/>
  <c r="N60" i="53" s="1"/>
  <c r="B56" i="53"/>
  <c r="N56" i="53" s="1"/>
  <c r="B51" i="53"/>
  <c r="C87" i="79" s="1"/>
  <c r="B63" i="53"/>
  <c r="N63" i="53" s="1"/>
  <c r="B59" i="53"/>
  <c r="N59" i="53" s="1"/>
  <c r="B55" i="53"/>
  <c r="C87" i="83" s="1"/>
  <c r="C90" i="83" s="1"/>
  <c r="B62" i="53"/>
  <c r="N62" i="53" s="1"/>
  <c r="B58" i="53"/>
  <c r="C118" i="91" s="1"/>
  <c r="B54" i="53"/>
  <c r="C87" i="80" s="1"/>
  <c r="M92" i="75"/>
  <c r="E92" i="75"/>
  <c r="I92" i="75"/>
  <c r="C92" i="75"/>
  <c r="D92" i="76"/>
  <c r="K92" i="76"/>
  <c r="N92" i="76"/>
  <c r="C65" i="53"/>
  <c r="N52" i="53"/>
  <c r="C87" i="82"/>
  <c r="O32" i="43"/>
  <c r="Q32" i="43" s="1"/>
  <c r="D11" i="46"/>
  <c r="D12" i="46" s="1"/>
  <c r="D216" i="74"/>
  <c r="F92" i="74"/>
  <c r="C51" i="74"/>
  <c r="C53" i="74" s="1"/>
  <c r="C216" i="74"/>
  <c r="F46" i="90"/>
  <c r="F92" i="90" s="1"/>
  <c r="M90" i="81"/>
  <c r="M92" i="81" s="1"/>
  <c r="M90" i="95"/>
  <c r="M92" i="95" s="1"/>
  <c r="L90" i="81"/>
  <c r="L92" i="81" s="1"/>
  <c r="L90" i="95"/>
  <c r="L92" i="95" s="1"/>
  <c r="G90" i="90"/>
  <c r="G90" i="94"/>
  <c r="G46" i="94" s="1"/>
  <c r="G92" i="94" s="1"/>
  <c r="E90" i="81"/>
  <c r="E92" i="81" s="1"/>
  <c r="E90" i="95"/>
  <c r="E92" i="95" s="1"/>
  <c r="L90" i="90"/>
  <c r="L92" i="90" s="1"/>
  <c r="L90" i="94"/>
  <c r="L92" i="94" s="1"/>
  <c r="G90" i="81"/>
  <c r="G92" i="81" s="1"/>
  <c r="G90" i="95"/>
  <c r="G92" i="95" s="1"/>
  <c r="F46" i="94"/>
  <c r="F92" i="94" s="1"/>
  <c r="M90" i="90"/>
  <c r="M92" i="90" s="1"/>
  <c r="M90" i="94"/>
  <c r="M92" i="94" s="1"/>
  <c r="E90" i="90"/>
  <c r="E92" i="90" s="1"/>
  <c r="E90" i="94"/>
  <c r="E92" i="94" s="1"/>
  <c r="I90" i="81"/>
  <c r="I92" i="81" s="1"/>
  <c r="I90" i="95"/>
  <c r="I92" i="95" s="1"/>
  <c r="I90" i="90"/>
  <c r="I92" i="90" s="1"/>
  <c r="I90" i="94"/>
  <c r="I92" i="94" s="1"/>
  <c r="J216" i="74"/>
  <c r="H207" i="74"/>
  <c r="H214" i="74"/>
  <c r="H216" i="74" s="1"/>
  <c r="H194" i="74"/>
  <c r="N51" i="74"/>
  <c r="N53" i="74" s="1"/>
  <c r="N92" i="74" s="1"/>
  <c r="K216" i="74"/>
  <c r="G90" i="83"/>
  <c r="B12" i="46"/>
  <c r="I216" i="74"/>
  <c r="H50" i="82"/>
  <c r="G53" i="82"/>
  <c r="G92" i="82" s="1"/>
  <c r="I284" i="82"/>
  <c r="I281" i="82"/>
  <c r="I280" i="82"/>
  <c r="H285" i="82"/>
  <c r="B90" i="75"/>
  <c r="B98" i="75" s="1"/>
  <c r="G46" i="89"/>
  <c r="G92" i="89" s="1"/>
  <c r="B8" i="89"/>
  <c r="B46" i="89" s="1"/>
  <c r="B95" i="89" s="1"/>
  <c r="B152" i="46" s="1"/>
  <c r="D92" i="77"/>
  <c r="F65" i="53"/>
  <c r="M216" i="74"/>
  <c r="G51" i="74"/>
  <c r="G53" i="74" s="1"/>
  <c r="K92" i="77"/>
  <c r="J92" i="77"/>
  <c r="I53" i="74"/>
  <c r="G92" i="77"/>
  <c r="H87" i="43"/>
  <c r="J90" i="90"/>
  <c r="J92" i="90" s="1"/>
  <c r="J90" i="82"/>
  <c r="J90" i="78"/>
  <c r="J92" i="78" s="1"/>
  <c r="J90" i="89"/>
  <c r="J92" i="89" s="1"/>
  <c r="L90" i="83"/>
  <c r="I90" i="74"/>
  <c r="M90" i="83"/>
  <c r="M121" i="91"/>
  <c r="M123" i="91" s="1"/>
  <c r="E90" i="83"/>
  <c r="J90" i="76"/>
  <c r="I90" i="83"/>
  <c r="J90" i="83"/>
  <c r="J121" i="91"/>
  <c r="J123" i="91" s="1"/>
  <c r="I65" i="53"/>
  <c r="I90" i="88"/>
  <c r="I92" i="88" s="1"/>
  <c r="E90" i="79"/>
  <c r="E92" i="79" s="1"/>
  <c r="L90" i="78"/>
  <c r="L92" i="78" s="1"/>
  <c r="M90" i="78"/>
  <c r="M92" i="78" s="1"/>
  <c r="I90" i="79"/>
  <c r="I92" i="79" s="1"/>
  <c r="M90" i="79"/>
  <c r="M92" i="79" s="1"/>
  <c r="E90" i="78"/>
  <c r="E92" i="78" s="1"/>
  <c r="I90" i="78"/>
  <c r="I92" i="78" s="1"/>
  <c r="M53" i="74"/>
  <c r="K53" i="74"/>
  <c r="B50" i="74"/>
  <c r="M90" i="82"/>
  <c r="L90" i="82"/>
  <c r="I90" i="82"/>
  <c r="E90" i="82"/>
  <c r="I90" i="77"/>
  <c r="I121" i="91"/>
  <c r="I123" i="91" s="1"/>
  <c r="H65" i="53"/>
  <c r="I90" i="89"/>
  <c r="I92" i="89" s="1"/>
  <c r="E90" i="77"/>
  <c r="M90" i="77"/>
  <c r="L90" i="77"/>
  <c r="L90" i="76"/>
  <c r="L90" i="74"/>
  <c r="L92" i="74" s="1"/>
  <c r="K65" i="53"/>
  <c r="L121" i="91"/>
  <c r="L123" i="91" s="1"/>
  <c r="L90" i="89"/>
  <c r="L92" i="89" s="1"/>
  <c r="L90" i="88"/>
  <c r="L92" i="88" s="1"/>
  <c r="K90" i="74"/>
  <c r="K122" i="43" s="1"/>
  <c r="D18" i="46"/>
  <c r="D65" i="53"/>
  <c r="E90" i="74"/>
  <c r="E92" i="74" s="1"/>
  <c r="E90" i="76"/>
  <c r="L65" i="53"/>
  <c r="M90" i="74"/>
  <c r="E90" i="88"/>
  <c r="E92" i="88" s="1"/>
  <c r="E90" i="89"/>
  <c r="E92" i="89" s="1"/>
  <c r="E121" i="91"/>
  <c r="E123" i="91" s="1"/>
  <c r="M90" i="76"/>
  <c r="M90" i="89"/>
  <c r="M92" i="89" s="1"/>
  <c r="M90" i="88"/>
  <c r="M92" i="88" s="1"/>
  <c r="J122" i="43" l="1"/>
  <c r="J123" i="43" s="1"/>
  <c r="M122" i="43"/>
  <c r="M123" i="43" s="1"/>
  <c r="L122" i="43"/>
  <c r="L123" i="43" s="1"/>
  <c r="E122" i="43"/>
  <c r="D152" i="46"/>
  <c r="I473" i="82"/>
  <c r="I52" i="82" s="1"/>
  <c r="I92" i="43" s="1"/>
  <c r="N57" i="53"/>
  <c r="J279" i="82"/>
  <c r="J471" i="82" s="1"/>
  <c r="I472" i="82"/>
  <c r="I51" i="82" s="1"/>
  <c r="H474" i="82"/>
  <c r="E92" i="82"/>
  <c r="C90" i="76"/>
  <c r="N50" i="53"/>
  <c r="C87" i="88"/>
  <c r="C90" i="88" s="1"/>
  <c r="N51" i="53"/>
  <c r="C87" i="81"/>
  <c r="B87" i="81" s="1"/>
  <c r="C87" i="89"/>
  <c r="C90" i="89" s="1"/>
  <c r="C92" i="89" s="1"/>
  <c r="C87" i="78"/>
  <c r="C90" i="78" s="1"/>
  <c r="C92" i="78" s="1"/>
  <c r="C87" i="90"/>
  <c r="O87" i="90" s="1"/>
  <c r="N55" i="53"/>
  <c r="C87" i="77"/>
  <c r="C90" i="77" s="1"/>
  <c r="B65" i="53"/>
  <c r="N54" i="53"/>
  <c r="C87" i="95"/>
  <c r="C90" i="95" s="1"/>
  <c r="C92" i="95" s="1"/>
  <c r="N58" i="53"/>
  <c r="C87" i="94"/>
  <c r="B87" i="94" s="1"/>
  <c r="B90" i="94" s="1"/>
  <c r="B98" i="94" s="1"/>
  <c r="B138" i="46" s="1"/>
  <c r="B99" i="75"/>
  <c r="B19" i="46"/>
  <c r="K123" i="43"/>
  <c r="C90" i="80"/>
  <c r="C92" i="80" s="1"/>
  <c r="O87" i="80"/>
  <c r="B87" i="80"/>
  <c r="B90" i="80" s="1"/>
  <c r="B98" i="80" s="1"/>
  <c r="B77" i="46" s="1"/>
  <c r="C90" i="82"/>
  <c r="E92" i="76"/>
  <c r="J92" i="76"/>
  <c r="M92" i="76"/>
  <c r="L92" i="76"/>
  <c r="D123" i="43"/>
  <c r="C90" i="79"/>
  <c r="C92" i="79" s="1"/>
  <c r="B8" i="94"/>
  <c r="B46" i="94" s="1"/>
  <c r="B95" i="94" s="1"/>
  <c r="B135" i="46" s="1"/>
  <c r="D135" i="46" s="1"/>
  <c r="B8" i="90"/>
  <c r="B46" i="90" s="1"/>
  <c r="B95" i="90" s="1"/>
  <c r="B66" i="46" s="1"/>
  <c r="D66" i="46" s="1"/>
  <c r="G46" i="90"/>
  <c r="G92" i="90" s="1"/>
  <c r="H51" i="74"/>
  <c r="O53" i="74"/>
  <c r="B87" i="83"/>
  <c r="B90" i="83" s="1"/>
  <c r="B98" i="83" s="1"/>
  <c r="B85" i="46" s="1"/>
  <c r="I285" i="82"/>
  <c r="J284" i="82"/>
  <c r="J281" i="82"/>
  <c r="J280" i="82"/>
  <c r="H53" i="82"/>
  <c r="H92" i="82" s="1"/>
  <c r="I50" i="82"/>
  <c r="I92" i="74"/>
  <c r="M92" i="77"/>
  <c r="K92" i="74"/>
  <c r="G90" i="74"/>
  <c r="G92" i="74" s="1"/>
  <c r="M92" i="74"/>
  <c r="E92" i="77"/>
  <c r="I92" i="77"/>
  <c r="L92" i="77"/>
  <c r="I90" i="76"/>
  <c r="I122" i="43" s="1"/>
  <c r="B87" i="79"/>
  <c r="B87" i="82"/>
  <c r="B87" i="76"/>
  <c r="C121" i="91"/>
  <c r="C123" i="91" s="1"/>
  <c r="B118" i="91"/>
  <c r="B87" i="74"/>
  <c r="C90" i="74"/>
  <c r="C92" i="74" s="1"/>
  <c r="G122" i="43" l="1"/>
  <c r="C92" i="76"/>
  <c r="J473" i="82"/>
  <c r="J52" i="82" s="1"/>
  <c r="J92" i="43" s="1"/>
  <c r="J472" i="82"/>
  <c r="J51" i="82" s="1"/>
  <c r="I474" i="82"/>
  <c r="C92" i="82"/>
  <c r="B87" i="88"/>
  <c r="B90" i="88" s="1"/>
  <c r="B87" i="77"/>
  <c r="B90" i="77" s="1"/>
  <c r="B99" i="77" s="1"/>
  <c r="B87" i="89"/>
  <c r="B90" i="89" s="1"/>
  <c r="B98" i="89" s="1"/>
  <c r="C90" i="81"/>
  <c r="C92" i="81" s="1"/>
  <c r="B87" i="90"/>
  <c r="B90" i="90" s="1"/>
  <c r="B98" i="90" s="1"/>
  <c r="B69" i="46" s="1"/>
  <c r="B87" i="78"/>
  <c r="B90" i="78" s="1"/>
  <c r="B98" i="78" s="1"/>
  <c r="B87" i="95"/>
  <c r="B90" i="95" s="1"/>
  <c r="B98" i="95" s="1"/>
  <c r="B165" i="46" s="1"/>
  <c r="C90" i="90"/>
  <c r="C92" i="90" s="1"/>
  <c r="C90" i="94"/>
  <c r="C92" i="94" s="1"/>
  <c r="N65" i="53"/>
  <c r="N67" i="53" s="1"/>
  <c r="B20" i="46"/>
  <c r="D19" i="46"/>
  <c r="D20" i="46" s="1"/>
  <c r="I92" i="76"/>
  <c r="I123" i="43"/>
  <c r="D138" i="46"/>
  <c r="D139" i="46" s="1"/>
  <c r="B139" i="46"/>
  <c r="H53" i="74"/>
  <c r="H92" i="74" s="1"/>
  <c r="B51" i="74"/>
  <c r="B53" i="74" s="1"/>
  <c r="B99" i="94"/>
  <c r="J50" i="82"/>
  <c r="J285" i="82"/>
  <c r="K279" i="82"/>
  <c r="K471" i="82" s="1"/>
  <c r="I53" i="82"/>
  <c r="I92" i="82" s="1"/>
  <c r="D77" i="46"/>
  <c r="B90" i="79"/>
  <c r="C51" i="46" s="1"/>
  <c r="B90" i="82"/>
  <c r="B98" i="82" s="1"/>
  <c r="B90" i="76"/>
  <c r="B98" i="76" s="1"/>
  <c r="B27" i="46" s="1"/>
  <c r="B90" i="74"/>
  <c r="B98" i="74" s="1"/>
  <c r="B111" i="46" s="1"/>
  <c r="B121" i="91"/>
  <c r="B129" i="91" s="1"/>
  <c r="B122" i="46" s="1"/>
  <c r="E123" i="43"/>
  <c r="C93" i="46"/>
  <c r="B90" i="81"/>
  <c r="B98" i="81" s="1"/>
  <c r="B146" i="46" s="1"/>
  <c r="C122" i="43" l="1"/>
  <c r="C123" i="43"/>
  <c r="B98" i="88"/>
  <c r="B173" i="46" s="1"/>
  <c r="J474" i="82"/>
  <c r="B99" i="95"/>
  <c r="B130" i="46"/>
  <c r="B103" i="46"/>
  <c r="B155" i="46"/>
  <c r="B59" i="46"/>
  <c r="G123" i="43"/>
  <c r="D165" i="46"/>
  <c r="D166" i="46" s="1"/>
  <c r="B166" i="46"/>
  <c r="D27" i="46"/>
  <c r="D122" i="46"/>
  <c r="D85" i="46"/>
  <c r="B98" i="79"/>
  <c r="B35" i="46" s="1"/>
  <c r="K284" i="82"/>
  <c r="K280" i="82"/>
  <c r="K281" i="82"/>
  <c r="J53" i="82"/>
  <c r="J92" i="82" s="1"/>
  <c r="C43" i="46"/>
  <c r="D111" i="46"/>
  <c r="D69" i="46"/>
  <c r="D146" i="46"/>
  <c r="D181" i="46" l="1"/>
  <c r="D103" i="46"/>
  <c r="D155" i="46"/>
  <c r="D130" i="46"/>
  <c r="D173" i="46"/>
  <c r="L279" i="82"/>
  <c r="L471" i="82" s="1"/>
  <c r="K472" i="82"/>
  <c r="K51" i="82" s="1"/>
  <c r="K473" i="82"/>
  <c r="O122" i="43"/>
  <c r="O123" i="43" s="1"/>
  <c r="D59" i="46"/>
  <c r="D35" i="46"/>
  <c r="L284" i="82"/>
  <c r="L281" i="82"/>
  <c r="L280" i="82"/>
  <c r="K50" i="82"/>
  <c r="K285" i="82"/>
  <c r="K474" i="82" l="1"/>
  <c r="M279" i="82"/>
  <c r="M471" i="82" s="1"/>
  <c r="L472" i="82"/>
  <c r="L51" i="82" s="1"/>
  <c r="K52" i="82"/>
  <c r="K53" i="82" s="1"/>
  <c r="K92" i="82" s="1"/>
  <c r="L473" i="82"/>
  <c r="L52" i="82" s="1"/>
  <c r="Q122" i="43"/>
  <c r="Q123" i="43" s="1"/>
  <c r="L285" i="82"/>
  <c r="L50" i="82"/>
  <c r="M284" i="82"/>
  <c r="M281" i="82"/>
  <c r="M280" i="82"/>
  <c r="L474" i="82" l="1"/>
  <c r="N279" i="82"/>
  <c r="N471" i="82" s="1"/>
  <c r="M472" i="82"/>
  <c r="M51" i="82" s="1"/>
  <c r="M473" i="82"/>
  <c r="M52" i="82" s="1"/>
  <c r="M285" i="82"/>
  <c r="L53" i="82"/>
  <c r="L92" i="82" s="1"/>
  <c r="N284" i="82"/>
  <c r="N281" i="82"/>
  <c r="N280" i="82"/>
  <c r="M50" i="82"/>
  <c r="F46" i="80"/>
  <c r="F92" i="80" s="1"/>
  <c r="B8" i="80"/>
  <c r="B46" i="80" s="1"/>
  <c r="B95" i="80" s="1"/>
  <c r="B99" i="80" s="1"/>
  <c r="N472" i="82" l="1"/>
  <c r="N51" i="82" s="1"/>
  <c r="B51" i="82" s="1"/>
  <c r="M474" i="82"/>
  <c r="N473" i="82"/>
  <c r="N285" i="82"/>
  <c r="M53" i="82"/>
  <c r="M92" i="82" s="1"/>
  <c r="N50" i="82"/>
  <c r="F87" i="43"/>
  <c r="B74" i="46"/>
  <c r="N474" i="82" l="1"/>
  <c r="N52" i="82"/>
  <c r="B52" i="82" s="1"/>
  <c r="B50" i="82"/>
  <c r="B78" i="46"/>
  <c r="D74" i="46"/>
  <c r="D78" i="46" s="1"/>
  <c r="B53" i="82" l="1"/>
  <c r="B96" i="82" s="1"/>
  <c r="B57" i="46" s="1"/>
  <c r="N53" i="82"/>
  <c r="N92" i="82" s="1"/>
  <c r="B96" i="74"/>
  <c r="B99" i="82" l="1"/>
  <c r="B99" i="74"/>
  <c r="B109" i="46"/>
  <c r="D109" i="46" s="1"/>
  <c r="D112" i="46" s="1"/>
  <c r="D57" i="46"/>
  <c r="D60" i="46" s="1"/>
  <c r="B60" i="46"/>
  <c r="C41" i="46"/>
  <c r="C44" i="46" s="1"/>
  <c r="B96" i="78"/>
  <c r="B99" i="78" l="1"/>
  <c r="B128" i="46"/>
  <c r="B112" i="46"/>
  <c r="B131" i="46" l="1"/>
  <c r="D128" i="46"/>
  <c r="D131" i="46" s="1"/>
  <c r="C49" i="46" l="1"/>
  <c r="C52" i="46" s="1"/>
  <c r="B96" i="79"/>
  <c r="B99" i="79" l="1"/>
  <c r="B33" i="46"/>
  <c r="C91" i="46"/>
  <c r="C94" i="46" s="1"/>
  <c r="B96" i="81"/>
  <c r="B36" i="46" l="1"/>
  <c r="B99" i="81"/>
  <c r="B144" i="46"/>
  <c r="B147" i="46" s="1"/>
  <c r="D33" i="46"/>
  <c r="D36" i="46" s="1"/>
  <c r="B96" i="89"/>
  <c r="B153" i="46" s="1"/>
  <c r="D144" i="46" l="1"/>
  <c r="D147" i="46" s="1"/>
  <c r="B156" i="46"/>
  <c r="B99" i="89"/>
  <c r="B96" i="88"/>
  <c r="B171" i="46" l="1"/>
  <c r="D153" i="46"/>
  <c r="D156" i="46" s="1"/>
  <c r="D171" i="46" l="1"/>
  <c r="B127" i="91"/>
  <c r="B96" i="90"/>
  <c r="B67" i="46" s="1"/>
  <c r="B130" i="91" l="1"/>
  <c r="B120" i="46"/>
  <c r="B99" i="90"/>
  <c r="D120" i="46" l="1"/>
  <c r="D123" i="46" s="1"/>
  <c r="B123" i="46"/>
  <c r="B70" i="46"/>
  <c r="D67" i="46"/>
  <c r="D70" i="46" s="1"/>
  <c r="C46" i="77"/>
  <c r="C92" i="77" s="1"/>
  <c r="B29" i="77"/>
  <c r="B46" i="77" s="1"/>
  <c r="B96" i="77" s="1"/>
  <c r="B100" i="77" l="1"/>
  <c r="B100" i="46"/>
  <c r="O78" i="43"/>
  <c r="Q78" i="43" l="1"/>
  <c r="F5" i="97"/>
  <c r="Q53" i="43"/>
  <c r="D100" i="46"/>
  <c r="D104" i="46" s="1"/>
  <c r="B104" i="46"/>
  <c r="G8" i="43"/>
  <c r="G75" i="76"/>
  <c r="G111" i="43" s="1"/>
  <c r="B9" i="76"/>
  <c r="B11" i="76" l="1"/>
  <c r="B46" i="76" s="1"/>
  <c r="B95" i="76" s="1"/>
  <c r="B24" i="46" s="1"/>
  <c r="G83" i="76"/>
  <c r="O111" i="43"/>
  <c r="G87" i="43"/>
  <c r="B75" i="76"/>
  <c r="B83" i="76" s="1"/>
  <c r="B97" i="76" s="1"/>
  <c r="B26" i="46" s="1"/>
  <c r="B180" i="46" s="1"/>
  <c r="O8" i="43"/>
  <c r="Q8" i="43" s="1"/>
  <c r="G46" i="76"/>
  <c r="Q111" i="43" l="1"/>
  <c r="B5" i="97"/>
  <c r="G92" i="76"/>
  <c r="B99" i="76"/>
  <c r="D26" i="46"/>
  <c r="B28" i="46"/>
  <c r="D24" i="46"/>
  <c r="D28" i="46" l="1"/>
  <c r="D180" i="46"/>
  <c r="C138" i="83" l="1"/>
  <c r="C137" i="83"/>
  <c r="C213" i="83"/>
  <c r="C50" i="83" s="1"/>
  <c r="C90" i="43" s="1"/>
  <c r="C142" i="83" l="1"/>
  <c r="C214" i="83"/>
  <c r="C51" i="83" s="1"/>
  <c r="C91" i="43" s="1"/>
  <c r="C134" i="43" l="1"/>
  <c r="C141" i="43" s="1"/>
  <c r="D133" i="43" s="1"/>
  <c r="D137" i="83"/>
  <c r="D138" i="83"/>
  <c r="D142" i="83" s="1"/>
  <c r="D213" i="83"/>
  <c r="C53" i="83"/>
  <c r="C92" i="83" s="1"/>
  <c r="C216" i="83"/>
  <c r="D214" i="83" l="1"/>
  <c r="D51" i="83" s="1"/>
  <c r="D91" i="43" s="1"/>
  <c r="D50" i="83"/>
  <c r="D90" i="43" s="1"/>
  <c r="C119" i="43"/>
  <c r="D134" i="43" l="1"/>
  <c r="D141" i="43" s="1"/>
  <c r="E133" i="43" s="1"/>
  <c r="D53" i="83"/>
  <c r="D92" i="83" s="1"/>
  <c r="E138" i="83"/>
  <c r="E137" i="83"/>
  <c r="E213" i="83"/>
  <c r="D216" i="83"/>
  <c r="E142" i="83" l="1"/>
  <c r="E50" i="83"/>
  <c r="E90" i="43" s="1"/>
  <c r="E214" i="83"/>
  <c r="E51" i="83" s="1"/>
  <c r="E91" i="43" s="1"/>
  <c r="D119" i="43"/>
  <c r="D126" i="43" s="1"/>
  <c r="E134" i="43" l="1"/>
  <c r="E141" i="43" s="1"/>
  <c r="F133" i="43" s="1"/>
  <c r="F213" i="83"/>
  <c r="F138" i="83"/>
  <c r="F137" i="83"/>
  <c r="E216" i="83"/>
  <c r="E53" i="83"/>
  <c r="E92" i="83" s="1"/>
  <c r="F142" i="83" l="1"/>
  <c r="E119" i="43"/>
  <c r="E126" i="43" s="1"/>
  <c r="F214" i="83"/>
  <c r="F51" i="83" s="1"/>
  <c r="F91" i="43" s="1"/>
  <c r="F50" i="83"/>
  <c r="F90" i="43" s="1"/>
  <c r="F134" i="43" l="1"/>
  <c r="F141" i="43" s="1"/>
  <c r="G133" i="43" s="1"/>
  <c r="F216" i="83"/>
  <c r="G138" i="83"/>
  <c r="G137" i="83"/>
  <c r="G213" i="83"/>
  <c r="F53" i="83"/>
  <c r="F92" i="83" s="1"/>
  <c r="G50" i="83" l="1"/>
  <c r="G90" i="43" s="1"/>
  <c r="G142" i="83"/>
  <c r="G214" i="83"/>
  <c r="G51" i="83" s="1"/>
  <c r="G91" i="43" s="1"/>
  <c r="F119" i="43"/>
  <c r="F126" i="43" s="1"/>
  <c r="G134" i="43" l="1"/>
  <c r="G141" i="43" s="1"/>
  <c r="H133" i="43" s="1"/>
  <c r="G216" i="83"/>
  <c r="H213" i="83"/>
  <c r="H138" i="83"/>
  <c r="H137" i="83"/>
  <c r="G53" i="83"/>
  <c r="G92" i="83" s="1"/>
  <c r="H142" i="83" l="1"/>
  <c r="H214" i="83"/>
  <c r="H51" i="83" s="1"/>
  <c r="H91" i="43" s="1"/>
  <c r="H50" i="83"/>
  <c r="H90" i="43" s="1"/>
  <c r="G119" i="43"/>
  <c r="G126" i="43" s="1"/>
  <c r="H134" i="43" l="1"/>
  <c r="H141" i="43" s="1"/>
  <c r="I133" i="43" s="1"/>
  <c r="H53" i="83"/>
  <c r="H92" i="83" s="1"/>
  <c r="I138" i="83"/>
  <c r="I137" i="83"/>
  <c r="I213" i="83"/>
  <c r="H216" i="83"/>
  <c r="I142" i="83" l="1"/>
  <c r="I50" i="83"/>
  <c r="I90" i="43" s="1"/>
  <c r="H119" i="43"/>
  <c r="H126" i="43" s="1"/>
  <c r="I214" i="83"/>
  <c r="I51" i="83" s="1"/>
  <c r="I91" i="43" s="1"/>
  <c r="I134" i="43" l="1"/>
  <c r="I141" i="43" s="1"/>
  <c r="J133" i="43" s="1"/>
  <c r="J138" i="83"/>
  <c r="J213" i="83"/>
  <c r="J137" i="83"/>
  <c r="I216" i="83"/>
  <c r="I119" i="43"/>
  <c r="I126" i="43" s="1"/>
  <c r="I53" i="83"/>
  <c r="I92" i="83" s="1"/>
  <c r="J214" i="83" l="1"/>
  <c r="J51" i="83" s="1"/>
  <c r="J91" i="43" s="1"/>
  <c r="J50" i="83"/>
  <c r="J90" i="43" s="1"/>
  <c r="J142" i="83"/>
  <c r="J134" i="43" l="1"/>
  <c r="J141" i="43" s="1"/>
  <c r="K133" i="43" s="1"/>
  <c r="J216" i="83"/>
  <c r="J53" i="83"/>
  <c r="J92" i="83" s="1"/>
  <c r="J119" i="43"/>
  <c r="J126" i="43" s="1"/>
  <c r="K137" i="83"/>
  <c r="K138" i="83"/>
  <c r="K141" i="83"/>
  <c r="K215" i="83" s="1"/>
  <c r="K52" i="83" s="1"/>
  <c r="K92" i="43" s="1"/>
  <c r="K213" i="83"/>
  <c r="K50" i="83" l="1"/>
  <c r="K90" i="43" s="1"/>
  <c r="K214" i="83"/>
  <c r="K51" i="83" s="1"/>
  <c r="K91" i="43" s="1"/>
  <c r="K142" i="83"/>
  <c r="K134" i="43" l="1"/>
  <c r="K141" i="43" s="1"/>
  <c r="L133" i="43" s="1"/>
  <c r="L137" i="83"/>
  <c r="L213" i="83"/>
  <c r="L138" i="83"/>
  <c r="L141" i="83"/>
  <c r="L215" i="83" s="1"/>
  <c r="L52" i="83" s="1"/>
  <c r="L92" i="43" s="1"/>
  <c r="K216" i="83"/>
  <c r="K53" i="83"/>
  <c r="K92" i="83" s="1"/>
  <c r="K119" i="43"/>
  <c r="K126" i="43" s="1"/>
  <c r="L50" i="83" l="1"/>
  <c r="L90" i="43" s="1"/>
  <c r="L142" i="83"/>
  <c r="L214" i="83"/>
  <c r="L51" i="83" s="1"/>
  <c r="L91" i="43" s="1"/>
  <c r="L134" i="43" l="1"/>
  <c r="L141" i="43" s="1"/>
  <c r="M133" i="43" s="1"/>
  <c r="L216" i="83"/>
  <c r="M141" i="83"/>
  <c r="M215" i="83" s="1"/>
  <c r="M52" i="83" s="1"/>
  <c r="M92" i="43" s="1"/>
  <c r="M213" i="83"/>
  <c r="M137" i="83"/>
  <c r="M138" i="83"/>
  <c r="L53" i="83"/>
  <c r="L92" i="83" s="1"/>
  <c r="L119" i="43"/>
  <c r="L126" i="43" s="1"/>
  <c r="M214" i="83" l="1"/>
  <c r="M51" i="83" s="1"/>
  <c r="M91" i="43" s="1"/>
  <c r="M50" i="83"/>
  <c r="M90" i="43" s="1"/>
  <c r="M142" i="83"/>
  <c r="M134" i="43" l="1"/>
  <c r="M141" i="43" s="1"/>
  <c r="N133" i="43" s="1"/>
  <c r="M216" i="83"/>
  <c r="M119" i="43"/>
  <c r="M126" i="43" s="1"/>
  <c r="M53" i="83"/>
  <c r="M92" i="83" s="1"/>
  <c r="N141" i="83"/>
  <c r="N215" i="83" s="1"/>
  <c r="N52" i="83" s="1"/>
  <c r="N92" i="43" s="1"/>
  <c r="N213" i="83"/>
  <c r="N138" i="83"/>
  <c r="N137" i="83"/>
  <c r="N214" i="83" s="1"/>
  <c r="N51" i="83" s="1"/>
  <c r="N91" i="43" s="1"/>
  <c r="N142" i="83" l="1"/>
  <c r="N50" i="83"/>
  <c r="N90" i="43" s="1"/>
  <c r="N134" i="43" s="1"/>
  <c r="N141" i="43" s="1"/>
  <c r="N216" i="83"/>
  <c r="O53" i="83" s="1"/>
  <c r="O91" i="43"/>
  <c r="Q91" i="43" s="1"/>
  <c r="B51" i="83"/>
  <c r="O92" i="43"/>
  <c r="Q92" i="43" s="1"/>
  <c r="B52" i="83"/>
  <c r="N53" i="83" l="1"/>
  <c r="N92" i="83" s="1"/>
  <c r="B50" i="83"/>
  <c r="B53" i="83" s="1"/>
  <c r="B96" i="83" s="1"/>
  <c r="B99" i="83" l="1"/>
  <c r="B83" i="46"/>
  <c r="B37" i="97" s="1"/>
  <c r="N119" i="43"/>
  <c r="N126" i="43" s="1"/>
  <c r="O90" i="43"/>
  <c r="B179" i="46" l="1"/>
  <c r="E142" i="46" s="1"/>
  <c r="Q90" i="43"/>
  <c r="Q119" i="43" s="1"/>
  <c r="B4" i="97"/>
  <c r="O119" i="43"/>
  <c r="B86" i="46"/>
  <c r="D83" i="46"/>
  <c r="D86" i="46" s="1"/>
  <c r="E7" i="46" l="1"/>
  <c r="E15" i="46"/>
  <c r="E73" i="46"/>
  <c r="E134" i="46"/>
  <c r="E81" i="46"/>
  <c r="E23" i="46"/>
  <c r="E118" i="46"/>
  <c r="E161" i="46"/>
  <c r="E107" i="46"/>
  <c r="E65" i="46"/>
  <c r="E55" i="46"/>
  <c r="E126" i="46"/>
  <c r="E31" i="46"/>
  <c r="E99" i="46"/>
  <c r="E151" i="46"/>
  <c r="E177" i="46"/>
  <c r="E169" i="46"/>
  <c r="O120" i="43"/>
  <c r="Q120" i="43" s="1"/>
  <c r="B6" i="97"/>
  <c r="C38" i="97" s="1"/>
  <c r="D179" i="46"/>
  <c r="C34" i="43"/>
  <c r="C87" i="43" s="1"/>
  <c r="C126" i="43" s="1"/>
  <c r="C46" i="88"/>
  <c r="C92" i="88" s="1"/>
  <c r="B8" i="88"/>
  <c r="B46" i="88" s="1"/>
  <c r="B95" i="88" s="1"/>
  <c r="F177" i="46" l="1"/>
  <c r="O34" i="43"/>
  <c r="Q34" i="43" s="1"/>
  <c r="B170" i="46"/>
  <c r="B99" i="88"/>
  <c r="O35" i="43" l="1"/>
  <c r="O87" i="43" s="1"/>
  <c r="B178" i="46"/>
  <c r="B174" i="46"/>
  <c r="D170" i="46"/>
  <c r="D174" i="46" s="1"/>
  <c r="F4" i="97" l="1"/>
  <c r="F7" i="97" s="1"/>
  <c r="G4" i="97" s="1"/>
  <c r="Q35" i="43"/>
  <c r="Q87" i="43" s="1"/>
  <c r="Q126" i="43" s="1"/>
  <c r="O127" i="43"/>
  <c r="O126" i="43"/>
  <c r="B184" i="46" s="1"/>
  <c r="B186" i="46" s="1"/>
  <c r="D178" i="46"/>
  <c r="D182" i="46" s="1"/>
  <c r="B182" i="46"/>
  <c r="O88" i="43"/>
  <c r="Q88" i="43" s="1"/>
  <c r="G6" i="97" l="1"/>
  <c r="C5" i="97"/>
  <c r="G5" i="97"/>
  <c r="C4" i="97"/>
  <c r="O89" i="43"/>
  <c r="G7" i="97" l="1"/>
  <c r="C6" i="97"/>
  <c r="C39" i="97"/>
</calcChain>
</file>

<file path=xl/comments1.xml><?xml version="1.0" encoding="utf-8"?>
<comments xmlns="http://schemas.openxmlformats.org/spreadsheetml/2006/main">
  <authors>
    <author>Jessica</author>
  </authors>
  <commentList>
    <comment ref="C134" authorId="0" shapeId="0">
      <text>
        <r>
          <rPr>
            <b/>
            <sz val="9"/>
            <color indexed="81"/>
            <rFont val="Tahoma"/>
            <family val="2"/>
          </rPr>
          <t xml:space="preserve">one time cash flow bump as a result of new payroll process
</t>
        </r>
      </text>
    </comment>
  </commentList>
</comments>
</file>

<file path=xl/comments10.xml><?xml version="1.0" encoding="utf-8"?>
<comments xmlns="http://schemas.openxmlformats.org/spreadsheetml/2006/main">
  <authors>
    <author>Jessica Staten</author>
    <author>Jessica</author>
  </authors>
  <commentList>
    <comment ref="B9" authorId="0" shapeId="0">
      <text>
        <r>
          <rPr>
            <sz val="9"/>
            <color indexed="81"/>
            <rFont val="Tahoma"/>
            <family val="2"/>
          </rPr>
          <t xml:space="preserve">Unclear if funding will continue - talk to Bonnie about how this funding came about - will need to be replaced
</t>
        </r>
      </text>
    </comment>
    <comment ref="A24" authorId="0" shapeId="0">
      <text>
        <r>
          <rPr>
            <b/>
            <sz val="9"/>
            <color indexed="81"/>
            <rFont val="Tahoma"/>
            <family val="2"/>
          </rPr>
          <t xml:space="preserve">Jan 2017 thru Dec 2017 - per RB
</t>
        </r>
        <r>
          <rPr>
            <sz val="9"/>
            <color indexed="81"/>
            <rFont val="Tahoma"/>
            <family val="2"/>
          </rPr>
          <t xml:space="preserve">
</t>
        </r>
      </text>
    </comment>
    <comment ref="A25" authorId="0" shapeId="0">
      <text>
        <r>
          <rPr>
            <b/>
            <sz val="9"/>
            <color indexed="81"/>
            <rFont val="Tahoma"/>
            <family val="2"/>
          </rPr>
          <t xml:space="preserve">Sept 2016 thru June 2017 - ONE TIME AWARD PER KC
14953 moved to 2016 pending ok for COB  to bill for BMc
</t>
        </r>
        <r>
          <rPr>
            <sz val="9"/>
            <color indexed="81"/>
            <rFont val="Tahoma"/>
            <family val="2"/>
          </rPr>
          <t xml:space="preserve">
</t>
        </r>
      </text>
    </comment>
    <comment ref="A27" authorId="0" shapeId="0">
      <text>
        <r>
          <rPr>
            <b/>
            <sz val="9"/>
            <color indexed="81"/>
            <rFont val="Tahoma"/>
            <family val="2"/>
          </rPr>
          <t xml:space="preserve">March 2017 thru Feb 2018 - Vocational
</t>
        </r>
        <r>
          <rPr>
            <sz val="9"/>
            <color indexed="81"/>
            <rFont val="Tahoma"/>
            <family val="2"/>
          </rPr>
          <t xml:space="preserve">
</t>
        </r>
      </text>
    </comment>
    <comment ref="G29" authorId="0" shapeId="0">
      <text>
        <r>
          <rPr>
            <b/>
            <sz val="9"/>
            <color indexed="81"/>
            <rFont val="Tahoma"/>
            <family val="2"/>
          </rPr>
          <t xml:space="preserve">Can we request to use remainder towards operating costs?
</t>
        </r>
        <r>
          <rPr>
            <sz val="9"/>
            <color indexed="81"/>
            <rFont val="Tahoma"/>
            <family val="2"/>
          </rPr>
          <t xml:space="preserve">
</t>
        </r>
      </text>
    </comment>
    <comment ref="A39" authorId="0" shapeId="0">
      <text>
        <r>
          <rPr>
            <b/>
            <sz val="9"/>
            <color indexed="81"/>
            <rFont val="Tahoma"/>
            <family val="2"/>
          </rPr>
          <t>Produce Sales</t>
        </r>
        <r>
          <rPr>
            <sz val="9"/>
            <color indexed="81"/>
            <rFont val="Tahoma"/>
            <family val="2"/>
          </rPr>
          <t xml:space="preserve">
</t>
        </r>
      </text>
    </comment>
    <comment ref="B58" authorId="0" shapeId="0">
      <text>
        <r>
          <rPr>
            <b/>
            <sz val="9"/>
            <color indexed="81"/>
            <rFont val="Tahoma"/>
            <family val="2"/>
          </rPr>
          <t>Increase reimb rate to 0.535</t>
        </r>
        <r>
          <rPr>
            <sz val="9"/>
            <color indexed="81"/>
            <rFont val="Tahoma"/>
            <family val="2"/>
          </rPr>
          <t xml:space="preserve">
</t>
        </r>
      </text>
    </comment>
    <comment ref="A75" authorId="1" shapeId="0">
      <text>
        <r>
          <rPr>
            <b/>
            <sz val="9"/>
            <color indexed="81"/>
            <rFont val="Tahoma"/>
            <family val="2"/>
          </rPr>
          <t xml:space="preserve">Leasehold Excise Tax - can remove if exemption app is approved
</t>
        </r>
        <r>
          <rPr>
            <sz val="9"/>
            <color indexed="81"/>
            <rFont val="Tahoma"/>
            <family val="2"/>
          </rPr>
          <t xml:space="preserve">
</t>
        </r>
      </text>
    </comment>
    <comment ref="A124" authorId="0" shapeId="0">
      <text>
        <r>
          <rPr>
            <sz val="9"/>
            <color indexed="81"/>
            <rFont val="Tahoma"/>
            <family val="2"/>
          </rPr>
          <t xml:space="preserve">Shares also with Teen Court - note not FT when allocating health ins
</t>
        </r>
      </text>
    </comment>
  </commentList>
</comments>
</file>

<file path=xl/comments11.xml><?xml version="1.0" encoding="utf-8"?>
<comments xmlns="http://schemas.openxmlformats.org/spreadsheetml/2006/main">
  <authors>
    <author>Jessica Staten</author>
  </authors>
  <commentList>
    <comment ref="A25" authorId="0" shapeId="0">
      <text>
        <r>
          <rPr>
            <b/>
            <sz val="9"/>
            <color indexed="81"/>
            <rFont val="Tahoma"/>
            <family val="2"/>
          </rPr>
          <t xml:space="preserve">2 Yr Grant - June 2016 thru May 2017 ($10K each Yr) plus 
</t>
        </r>
        <r>
          <rPr>
            <sz val="9"/>
            <color indexed="81"/>
            <rFont val="Tahoma"/>
            <family val="2"/>
          </rPr>
          <t xml:space="preserve">
</t>
        </r>
      </text>
    </comment>
    <comment ref="A26" authorId="0" shapeId="0">
      <text>
        <r>
          <rPr>
            <b/>
            <sz val="9"/>
            <color indexed="81"/>
            <rFont val="Tahoma"/>
            <family val="2"/>
          </rPr>
          <t xml:space="preserve">One-time Rapid Response Fund
</t>
        </r>
        <r>
          <rPr>
            <sz val="9"/>
            <color indexed="81"/>
            <rFont val="Tahoma"/>
            <family val="2"/>
          </rPr>
          <t xml:space="preserve">
</t>
        </r>
      </text>
    </comment>
    <comment ref="A27" authorId="0" shapeId="0">
      <text>
        <r>
          <rPr>
            <b/>
            <sz val="9"/>
            <color indexed="81"/>
            <rFont val="Tahoma"/>
            <family val="2"/>
          </rPr>
          <t>Jan 2017 thru Dec 2017</t>
        </r>
        <r>
          <rPr>
            <sz val="9"/>
            <color indexed="81"/>
            <rFont val="Tahoma"/>
            <family val="2"/>
          </rPr>
          <t xml:space="preserve">
</t>
        </r>
      </text>
    </comment>
    <comment ref="F63" authorId="0" shapeId="0">
      <text>
        <r>
          <rPr>
            <b/>
            <sz val="9"/>
            <color indexed="81"/>
            <rFont val="Tahoma"/>
            <family val="2"/>
          </rPr>
          <t>Audit</t>
        </r>
        <r>
          <rPr>
            <sz val="9"/>
            <color indexed="81"/>
            <rFont val="Tahoma"/>
            <family val="2"/>
          </rPr>
          <t xml:space="preserve">
</t>
        </r>
      </text>
    </comment>
    <comment ref="B72" authorId="0" shapeId="0">
      <text>
        <r>
          <rPr>
            <b/>
            <sz val="9"/>
            <color indexed="81"/>
            <rFont val="Tahoma"/>
            <family val="2"/>
          </rPr>
          <t xml:space="preserve">$920 therapy for 5 kids
</t>
        </r>
        <r>
          <rPr>
            <sz val="9"/>
            <color indexed="81"/>
            <rFont val="Tahoma"/>
            <family val="2"/>
          </rPr>
          <t xml:space="preserve">
</t>
        </r>
      </text>
    </comment>
    <comment ref="B75" authorId="0" shapeId="0">
      <text>
        <r>
          <rPr>
            <sz val="9"/>
            <color indexed="81"/>
            <rFont val="Tahoma"/>
            <family val="2"/>
          </rPr>
          <t>Copier</t>
        </r>
      </text>
    </comment>
    <comment ref="B82" authorId="0" shapeId="0">
      <text>
        <r>
          <rPr>
            <b/>
            <sz val="9"/>
            <color indexed="81"/>
            <rFont val="Tahoma"/>
            <family val="2"/>
          </rPr>
          <t xml:space="preserve">MHP Trainings under Whatcom Cty Grant
</t>
        </r>
        <r>
          <rPr>
            <sz val="9"/>
            <color indexed="81"/>
            <rFont val="Tahoma"/>
            <family val="2"/>
          </rPr>
          <t xml:space="preserve">
</t>
        </r>
      </text>
    </comment>
  </commentList>
</comments>
</file>

<file path=xl/comments12.xml><?xml version="1.0" encoding="utf-8"?>
<comments xmlns="http://schemas.openxmlformats.org/spreadsheetml/2006/main">
  <authors>
    <author>Jessica Staten</author>
  </authors>
  <commentList>
    <comment ref="B94" authorId="0" shapeId="0">
      <text>
        <r>
          <rPr>
            <sz val="9"/>
            <color indexed="81"/>
            <rFont val="Tahoma"/>
            <family val="2"/>
          </rPr>
          <t xml:space="preserve">Based on 2 FT staff from Compass - $40/hour and CCS - $38.55/hour (37/hours a wk)
</t>
        </r>
      </text>
    </comment>
  </commentList>
</comments>
</file>

<file path=xl/comments13.xml><?xml version="1.0" encoding="utf-8"?>
<comments xmlns="http://schemas.openxmlformats.org/spreadsheetml/2006/main">
  <authors>
    <author>Jessica Staten</author>
  </authors>
  <commentList>
    <comment ref="B8" authorId="0" shapeId="0">
      <text>
        <r>
          <rPr>
            <b/>
            <sz val="9"/>
            <color indexed="81"/>
            <rFont val="Tahoma"/>
            <family val="2"/>
          </rPr>
          <t>Jan thru Dec 2017</t>
        </r>
        <r>
          <rPr>
            <sz val="9"/>
            <color indexed="81"/>
            <rFont val="Tahoma"/>
            <family val="2"/>
          </rPr>
          <t xml:space="preserve">
</t>
        </r>
      </text>
    </comment>
    <comment ref="B9" authorId="0" shapeId="0">
      <text>
        <r>
          <rPr>
            <b/>
            <sz val="9"/>
            <color indexed="81"/>
            <rFont val="Tahoma"/>
            <family val="2"/>
          </rPr>
          <t>Jan thru Dec 2017</t>
        </r>
        <r>
          <rPr>
            <sz val="9"/>
            <color indexed="81"/>
            <rFont val="Tahoma"/>
            <family val="2"/>
          </rPr>
          <t xml:space="preserve">
</t>
        </r>
      </text>
    </comment>
    <comment ref="G59" authorId="0" shapeId="0">
      <text>
        <r>
          <rPr>
            <b/>
            <sz val="9"/>
            <color indexed="81"/>
            <rFont val="Tahoma"/>
            <family val="2"/>
          </rPr>
          <t xml:space="preserve">Bowling party for volunteers
</t>
        </r>
        <r>
          <rPr>
            <sz val="9"/>
            <color indexed="81"/>
            <rFont val="Tahoma"/>
            <family val="2"/>
          </rPr>
          <t xml:space="preserve">
</t>
        </r>
      </text>
    </comment>
    <comment ref="B63" authorId="0" shapeId="0">
      <text>
        <r>
          <rPr>
            <b/>
            <sz val="9"/>
            <color indexed="81"/>
            <rFont val="Tahoma"/>
            <family val="2"/>
          </rPr>
          <t xml:space="preserve">Honoraria for teachers - $50 for 9
</t>
        </r>
      </text>
    </comment>
    <comment ref="A80" authorId="0" shapeId="0">
      <text>
        <r>
          <rPr>
            <b/>
            <sz val="9"/>
            <color indexed="81"/>
            <rFont val="Tahoma"/>
            <family val="2"/>
          </rPr>
          <t>Trainings &amp; Advisory Board Meetings</t>
        </r>
        <r>
          <rPr>
            <sz val="9"/>
            <color indexed="81"/>
            <rFont val="Tahoma"/>
            <family val="2"/>
          </rPr>
          <t xml:space="preserve">
</t>
        </r>
      </text>
    </comment>
    <comment ref="I82" authorId="0" shapeId="0">
      <text>
        <r>
          <rPr>
            <b/>
            <sz val="9"/>
            <color indexed="81"/>
            <rFont val="Tahoma"/>
            <family val="2"/>
          </rPr>
          <t xml:space="preserve">261 hours at $13/hour
</t>
        </r>
        <r>
          <rPr>
            <sz val="9"/>
            <color indexed="81"/>
            <rFont val="Tahoma"/>
            <family val="2"/>
          </rPr>
          <t xml:space="preserve">
</t>
        </r>
      </text>
    </comment>
    <comment ref="A123" authorId="0" shapeId="0">
      <text>
        <r>
          <rPr>
            <b/>
            <sz val="9"/>
            <color indexed="81"/>
            <rFont val="Tahoma"/>
            <family val="2"/>
          </rPr>
          <t xml:space="preserve">Shares hour w/Teen Court - not FT, when allocating health ins
</t>
        </r>
        <r>
          <rPr>
            <sz val="9"/>
            <color indexed="81"/>
            <rFont val="Tahoma"/>
            <family val="2"/>
          </rPr>
          <t xml:space="preserve">
</t>
        </r>
      </text>
    </comment>
  </commentList>
</comments>
</file>

<file path=xl/comments14.xml><?xml version="1.0" encoding="utf-8"?>
<comments xmlns="http://schemas.openxmlformats.org/spreadsheetml/2006/main">
  <authors>
    <author>Jessica Staten</author>
    <author>Jessica</author>
  </authors>
  <commentList>
    <comment ref="B8" authorId="0" shapeId="0">
      <text>
        <r>
          <rPr>
            <b/>
            <sz val="9"/>
            <color indexed="81"/>
            <rFont val="Tahoma"/>
            <family val="2"/>
          </rPr>
          <t xml:space="preserve">July 16 thru June 17
</t>
        </r>
        <r>
          <rPr>
            <sz val="9"/>
            <color indexed="81"/>
            <rFont val="Tahoma"/>
            <family val="2"/>
          </rPr>
          <t xml:space="preserve">
</t>
        </r>
      </text>
    </comment>
    <comment ref="B163" authorId="1" shapeId="0">
      <text>
        <r>
          <rPr>
            <b/>
            <sz val="9"/>
            <color indexed="81"/>
            <rFont val="Tahoma"/>
            <family val="2"/>
          </rPr>
          <t xml:space="preserve">PILB + 0.90/HR
</t>
        </r>
      </text>
    </comment>
    <comment ref="B164" authorId="1" shapeId="0">
      <text>
        <r>
          <rPr>
            <b/>
            <sz val="9"/>
            <color indexed="81"/>
            <rFont val="Tahoma"/>
            <family val="2"/>
          </rPr>
          <t xml:space="preserve">PILB + 0.90/HR
</t>
        </r>
      </text>
    </comment>
  </commentList>
</comments>
</file>

<file path=xl/comments15.xml><?xml version="1.0" encoding="utf-8"?>
<comments xmlns="http://schemas.openxmlformats.org/spreadsheetml/2006/main">
  <authors>
    <author>Jessica Staten</author>
  </authors>
  <commentList>
    <comment ref="B8" authorId="0" shapeId="0">
      <text>
        <r>
          <rPr>
            <b/>
            <sz val="9"/>
            <color indexed="81"/>
            <rFont val="Tahoma"/>
            <family val="2"/>
          </rPr>
          <t xml:space="preserve">Jan 17 thru June 17
</t>
        </r>
        <r>
          <rPr>
            <sz val="9"/>
            <color indexed="81"/>
            <rFont val="Tahoma"/>
            <family val="2"/>
          </rPr>
          <t xml:space="preserve">
</t>
        </r>
      </text>
    </comment>
    <comment ref="B9" authorId="0" shapeId="0">
      <text>
        <r>
          <rPr>
            <b/>
            <sz val="9"/>
            <color indexed="81"/>
            <rFont val="Tahoma"/>
            <family val="2"/>
          </rPr>
          <t>Sept 2016 thru Aug 2017</t>
        </r>
        <r>
          <rPr>
            <sz val="9"/>
            <color indexed="81"/>
            <rFont val="Tahoma"/>
            <family val="2"/>
          </rPr>
          <t xml:space="preserve">
</t>
        </r>
      </text>
    </comment>
    <comment ref="B58" authorId="0" shapeId="0">
      <text>
        <r>
          <rPr>
            <b/>
            <sz val="9"/>
            <color indexed="81"/>
            <rFont val="Tahoma"/>
            <family val="2"/>
          </rPr>
          <t xml:space="preserve">increase reimb rate to 0.535
</t>
        </r>
        <r>
          <rPr>
            <sz val="9"/>
            <color indexed="81"/>
            <rFont val="Tahoma"/>
            <family val="2"/>
          </rPr>
          <t xml:space="preserve">
</t>
        </r>
      </text>
    </comment>
    <comment ref="I66" authorId="0" shapeId="0">
      <text>
        <r>
          <rPr>
            <b/>
            <sz val="9"/>
            <color indexed="81"/>
            <rFont val="Tahoma"/>
            <family val="2"/>
          </rPr>
          <t>Vehicle Tabs</t>
        </r>
        <r>
          <rPr>
            <sz val="9"/>
            <color indexed="81"/>
            <rFont val="Tahoma"/>
            <family val="2"/>
          </rPr>
          <t xml:space="preserve">
</t>
        </r>
      </text>
    </comment>
    <comment ref="B67" authorId="0" shapeId="0">
      <text>
        <r>
          <rPr>
            <b/>
            <sz val="9"/>
            <color indexed="81"/>
            <rFont val="Tahoma"/>
            <family val="2"/>
          </rPr>
          <t xml:space="preserve">Copier
</t>
        </r>
        <r>
          <rPr>
            <sz val="9"/>
            <color indexed="81"/>
            <rFont val="Tahoma"/>
            <family val="2"/>
          </rPr>
          <t xml:space="preserve">
</t>
        </r>
      </text>
    </comment>
  </commentList>
</comments>
</file>

<file path=xl/comments16.xml><?xml version="1.0" encoding="utf-8"?>
<comments xmlns="http://schemas.openxmlformats.org/spreadsheetml/2006/main">
  <authors>
    <author>Jessica Staten</author>
    <author>Jessica</author>
  </authors>
  <commentList>
    <comment ref="A8" authorId="0" shapeId="0">
      <text>
        <r>
          <rPr>
            <b/>
            <sz val="9"/>
            <color indexed="81"/>
            <rFont val="Tahoma"/>
            <family val="2"/>
          </rPr>
          <t xml:space="preserve">July 16 thru June 17
</t>
        </r>
        <r>
          <rPr>
            <sz val="9"/>
            <color indexed="81"/>
            <rFont val="Tahoma"/>
            <family val="2"/>
          </rPr>
          <t xml:space="preserve">
</t>
        </r>
      </text>
    </comment>
    <comment ref="B176" authorId="1" shapeId="0">
      <text>
        <r>
          <rPr>
            <b/>
            <sz val="9"/>
            <color indexed="81"/>
            <rFont val="Tahoma"/>
            <family val="2"/>
          </rPr>
          <t xml:space="preserve">PILB + 0.90/HR
</t>
        </r>
      </text>
    </comment>
    <comment ref="B177" authorId="1" shapeId="0">
      <text>
        <r>
          <rPr>
            <b/>
            <sz val="9"/>
            <color indexed="81"/>
            <rFont val="Tahoma"/>
            <family val="2"/>
          </rPr>
          <t xml:space="preserve">PILB + 0.90/HR
</t>
        </r>
      </text>
    </comment>
  </commentList>
</comments>
</file>

<file path=xl/comments17.xml><?xml version="1.0" encoding="utf-8"?>
<comments xmlns="http://schemas.openxmlformats.org/spreadsheetml/2006/main">
  <authors>
    <author>Jessica Staten</author>
  </authors>
  <commentList>
    <comment ref="B8" authorId="0" shapeId="0">
      <text>
        <r>
          <rPr>
            <b/>
            <sz val="9"/>
            <color indexed="81"/>
            <rFont val="Tahoma"/>
            <family val="2"/>
          </rPr>
          <t xml:space="preserve">Jan 17 thru June 17
</t>
        </r>
        <r>
          <rPr>
            <sz val="9"/>
            <color indexed="81"/>
            <rFont val="Tahoma"/>
            <family val="2"/>
          </rPr>
          <t xml:space="preserve">
</t>
        </r>
      </text>
    </comment>
    <comment ref="B9" authorId="0" shapeId="0">
      <text>
        <r>
          <rPr>
            <b/>
            <sz val="9"/>
            <color indexed="81"/>
            <rFont val="Tahoma"/>
            <family val="2"/>
          </rPr>
          <t>Sept 2016 thru Aug 2017</t>
        </r>
        <r>
          <rPr>
            <sz val="9"/>
            <color indexed="81"/>
            <rFont val="Tahoma"/>
            <family val="2"/>
          </rPr>
          <t xml:space="preserve">
</t>
        </r>
      </text>
    </comment>
    <comment ref="B67" authorId="0" shapeId="0">
      <text>
        <r>
          <rPr>
            <b/>
            <sz val="9"/>
            <color indexed="81"/>
            <rFont val="Tahoma"/>
            <family val="2"/>
          </rPr>
          <t xml:space="preserve">Copier
</t>
        </r>
        <r>
          <rPr>
            <sz val="9"/>
            <color indexed="81"/>
            <rFont val="Tahoma"/>
            <family val="2"/>
          </rPr>
          <t xml:space="preserve">
</t>
        </r>
      </text>
    </comment>
  </commentList>
</comments>
</file>

<file path=xl/comments18.xml><?xml version="1.0" encoding="utf-8"?>
<comments xmlns="http://schemas.openxmlformats.org/spreadsheetml/2006/main">
  <authors>
    <author>Jessica Staten</author>
  </authors>
  <commentList>
    <comment ref="I63" authorId="0" shapeId="0">
      <text>
        <r>
          <rPr>
            <b/>
            <sz val="9"/>
            <color indexed="81"/>
            <rFont val="Tahoma"/>
            <family val="2"/>
          </rPr>
          <t>Case mgrs sub contracted from OC</t>
        </r>
        <r>
          <rPr>
            <sz val="9"/>
            <color indexed="81"/>
            <rFont val="Tahoma"/>
            <family val="2"/>
          </rPr>
          <t xml:space="preserve">
</t>
        </r>
      </text>
    </comment>
    <comment ref="I67" authorId="0" shapeId="0">
      <text>
        <r>
          <rPr>
            <b/>
            <sz val="9"/>
            <color indexed="81"/>
            <rFont val="Tahoma"/>
            <family val="2"/>
          </rPr>
          <t xml:space="preserve">Initial purchase of desks, chairs, computer equip, etc
</t>
        </r>
        <r>
          <rPr>
            <sz val="9"/>
            <color indexed="81"/>
            <rFont val="Tahoma"/>
            <family val="2"/>
          </rPr>
          <t xml:space="preserve">
</t>
        </r>
      </text>
    </comment>
    <comment ref="K75" authorId="0" shapeId="0">
      <text>
        <r>
          <rPr>
            <b/>
            <sz val="9"/>
            <color indexed="81"/>
            <rFont val="Tahoma"/>
            <family val="2"/>
          </rPr>
          <t xml:space="preserve">2600/mo for clients, and 400/mo for staff office space
</t>
        </r>
        <r>
          <rPr>
            <sz val="9"/>
            <color indexed="81"/>
            <rFont val="Tahoma"/>
            <family val="2"/>
          </rPr>
          <t xml:space="preserve">
</t>
        </r>
      </text>
    </comment>
  </commentList>
</comments>
</file>

<file path=xl/comments2.xml><?xml version="1.0" encoding="utf-8"?>
<comments xmlns="http://schemas.openxmlformats.org/spreadsheetml/2006/main">
  <authors>
    <author>Jessica</author>
  </authors>
  <commentList>
    <comment ref="J54" authorId="0" shapeId="0">
      <text>
        <r>
          <rPr>
            <b/>
            <sz val="9"/>
            <color indexed="81"/>
            <rFont val="Tahoma"/>
            <family val="2"/>
          </rPr>
          <t xml:space="preserve">FT?
</t>
        </r>
      </text>
    </comment>
    <comment ref="J64" authorId="0" shapeId="0">
      <text>
        <r>
          <rPr>
            <b/>
            <sz val="9"/>
            <color indexed="81"/>
            <rFont val="Tahoma"/>
            <family val="2"/>
          </rPr>
          <t xml:space="preserve">Summer only
</t>
        </r>
        <r>
          <rPr>
            <sz val="9"/>
            <color indexed="81"/>
            <rFont val="Tahoma"/>
            <family val="2"/>
          </rPr>
          <t xml:space="preserve">
</t>
        </r>
      </text>
    </comment>
  </commentList>
</comments>
</file>

<file path=xl/comments3.xml><?xml version="1.0" encoding="utf-8"?>
<comments xmlns="http://schemas.openxmlformats.org/spreadsheetml/2006/main">
  <authors>
    <author>NWYS Guest</author>
    <author>Jessica Staten</author>
    <author>Jessica</author>
  </authors>
  <commentList>
    <comment ref="N42" authorId="0" shapeId="0">
      <text>
        <r>
          <rPr>
            <b/>
            <sz val="9"/>
            <color indexed="81"/>
            <rFont val="Tahoma"/>
            <family val="2"/>
          </rPr>
          <t xml:space="preserve">$5K from Morse = to pay down mortgage &amp; $6K from Daylight Props towards Herald Rent
</t>
        </r>
        <r>
          <rPr>
            <sz val="9"/>
            <color indexed="81"/>
            <rFont val="Tahoma"/>
            <family val="2"/>
          </rPr>
          <t xml:space="preserve">
</t>
        </r>
      </text>
    </comment>
    <comment ref="K45" authorId="1" shapeId="0">
      <text>
        <r>
          <rPr>
            <b/>
            <sz val="9"/>
            <color indexed="81"/>
            <rFont val="Tahoma"/>
            <family val="2"/>
          </rPr>
          <t xml:space="preserve">PSE Solar Panels
</t>
        </r>
        <r>
          <rPr>
            <sz val="9"/>
            <color indexed="81"/>
            <rFont val="Tahoma"/>
            <family val="2"/>
          </rPr>
          <t xml:space="preserve">
</t>
        </r>
      </text>
    </comment>
    <comment ref="C60" authorId="0" shapeId="0">
      <text>
        <r>
          <rPr>
            <b/>
            <sz val="9"/>
            <color indexed="81"/>
            <rFont val="Tahoma"/>
            <family val="2"/>
          </rPr>
          <t xml:space="preserve">$25 per 2 back up phones &amp; $30 per designated position reimb for prof use of personal phone
</t>
        </r>
        <r>
          <rPr>
            <sz val="9"/>
            <color indexed="81"/>
            <rFont val="Tahoma"/>
            <family val="2"/>
          </rPr>
          <t xml:space="preserve">
</t>
        </r>
      </text>
    </comment>
    <comment ref="B62" authorId="1" shapeId="0">
      <text>
        <r>
          <rPr>
            <b/>
            <sz val="9"/>
            <color indexed="81"/>
            <rFont val="Tahoma"/>
            <family val="2"/>
          </rPr>
          <t>D&amp;O Only</t>
        </r>
        <r>
          <rPr>
            <sz val="9"/>
            <color indexed="81"/>
            <rFont val="Tahoma"/>
            <family val="2"/>
          </rPr>
          <t xml:space="preserve">
</t>
        </r>
      </text>
    </comment>
    <comment ref="C63" authorId="1" shapeId="0">
      <text>
        <r>
          <rPr>
            <sz val="9"/>
            <color indexed="81"/>
            <rFont val="Tahoma"/>
            <family val="2"/>
          </rPr>
          <t xml:space="preserve">Accounting Temp
</t>
        </r>
      </text>
    </comment>
    <comment ref="E63" authorId="2" shapeId="0">
      <text>
        <r>
          <rPr>
            <b/>
            <sz val="9"/>
            <color indexed="81"/>
            <rFont val="Tahoma"/>
            <family val="2"/>
          </rPr>
          <t xml:space="preserve">Audit &amp; 990 - $20K
</t>
        </r>
      </text>
    </comment>
    <comment ref="I64" authorId="1" shapeId="0">
      <text>
        <r>
          <rPr>
            <b/>
            <sz val="9"/>
            <color indexed="81"/>
            <rFont val="Tahoma"/>
            <family val="2"/>
          </rPr>
          <t xml:space="preserve">Full ADP Services/Semi-monthly PR
</t>
        </r>
        <r>
          <rPr>
            <sz val="9"/>
            <color indexed="81"/>
            <rFont val="Tahoma"/>
            <family val="2"/>
          </rPr>
          <t xml:space="preserve">
</t>
        </r>
      </text>
    </comment>
    <comment ref="C65" authorId="1" shapeId="0">
      <text>
        <r>
          <rPr>
            <b/>
            <sz val="9"/>
            <color indexed="81"/>
            <rFont val="Tahoma"/>
            <family val="2"/>
          </rPr>
          <t xml:space="preserve">Full ADP Services/Semi-monthly PR
</t>
        </r>
        <r>
          <rPr>
            <sz val="9"/>
            <color indexed="81"/>
            <rFont val="Tahoma"/>
            <family val="2"/>
          </rPr>
          <t xml:space="preserve">
</t>
        </r>
      </text>
    </comment>
    <comment ref="B75" authorId="0" shapeId="0">
      <text>
        <r>
          <rPr>
            <b/>
            <sz val="9"/>
            <color indexed="81"/>
            <rFont val="Tahoma"/>
            <family val="2"/>
          </rPr>
          <t xml:space="preserve">$3654/month, including NNN and Parking
</t>
        </r>
        <r>
          <rPr>
            <sz val="9"/>
            <color indexed="81"/>
            <rFont val="Tahoma"/>
            <family val="2"/>
          </rPr>
          <t xml:space="preserve">
</t>
        </r>
      </text>
    </comment>
    <comment ref="B176" authorId="2" shapeId="0">
      <text>
        <r>
          <rPr>
            <b/>
            <sz val="9"/>
            <color indexed="81"/>
            <rFont val="Tahoma"/>
            <family val="2"/>
          </rPr>
          <t xml:space="preserve">PILB + 0.90/HR
</t>
        </r>
      </text>
    </comment>
    <comment ref="B189" authorId="2" shapeId="0">
      <text>
        <r>
          <rPr>
            <b/>
            <sz val="9"/>
            <color indexed="81"/>
            <rFont val="Tahoma"/>
            <family val="2"/>
          </rPr>
          <t xml:space="preserve">PILB + 0.90/HR
</t>
        </r>
      </text>
    </comment>
  </commentList>
</comments>
</file>

<file path=xl/comments4.xml><?xml version="1.0" encoding="utf-8"?>
<comments xmlns="http://schemas.openxmlformats.org/spreadsheetml/2006/main">
  <authors>
    <author>Jessica Staten</author>
    <author>NWYS Guest</author>
  </authors>
  <commentList>
    <comment ref="B24" authorId="0" shapeId="0">
      <text>
        <r>
          <rPr>
            <sz val="9"/>
            <color indexed="81"/>
            <rFont val="Tahoma"/>
            <family val="2"/>
          </rPr>
          <t xml:space="preserve">Unrestricted for 2017
</t>
        </r>
      </text>
    </comment>
    <comment ref="B42" authorId="0" shapeId="0">
      <text>
        <r>
          <rPr>
            <b/>
            <sz val="9"/>
            <color indexed="81"/>
            <rFont val="Tahoma"/>
            <family val="2"/>
          </rPr>
          <t>Includes add'l donations raised by Dev Dir</t>
        </r>
        <r>
          <rPr>
            <sz val="9"/>
            <color indexed="81"/>
            <rFont val="Tahoma"/>
            <family val="2"/>
          </rPr>
          <t xml:space="preserve">
</t>
        </r>
      </text>
    </comment>
    <comment ref="E61" authorId="1" shapeId="0">
      <text>
        <r>
          <rPr>
            <b/>
            <sz val="9"/>
            <color indexed="81"/>
            <rFont val="Tahoma"/>
            <family val="2"/>
          </rPr>
          <t xml:space="preserve">AFP Membership
</t>
        </r>
      </text>
    </comment>
    <comment ref="A65" authorId="1" shapeId="0">
      <text>
        <r>
          <rPr>
            <b/>
            <sz val="9"/>
            <color indexed="81"/>
            <rFont val="Tahoma"/>
            <family val="2"/>
          </rPr>
          <t xml:space="preserve">Donor software -$1000 per month w/$1000 set up fee
</t>
        </r>
      </text>
    </comment>
    <comment ref="H65" authorId="0" shapeId="0">
      <text>
        <r>
          <rPr>
            <b/>
            <sz val="9"/>
            <color indexed="81"/>
            <rFont val="Tahoma"/>
            <family val="2"/>
          </rPr>
          <t xml:space="preserve">(1) Vista Vols
</t>
        </r>
        <r>
          <rPr>
            <sz val="9"/>
            <color indexed="81"/>
            <rFont val="Tahoma"/>
            <family val="2"/>
          </rPr>
          <t xml:space="preserve">
</t>
        </r>
      </text>
    </comment>
  </commentList>
</comments>
</file>

<file path=xl/comments5.xml><?xml version="1.0" encoding="utf-8"?>
<comments xmlns="http://schemas.openxmlformats.org/spreadsheetml/2006/main">
  <authors>
    <author>Jessica Staten</author>
  </authors>
  <commentList>
    <comment ref="A82" authorId="0" shapeId="0">
      <text>
        <r>
          <rPr>
            <b/>
            <sz val="9"/>
            <color indexed="81"/>
            <rFont val="Tahoma"/>
            <family val="2"/>
          </rPr>
          <t xml:space="preserve">Grant surplus not yet designated - plan is to meet in March to develop line item change request
</t>
        </r>
        <r>
          <rPr>
            <sz val="9"/>
            <color indexed="81"/>
            <rFont val="Tahoma"/>
            <family val="2"/>
          </rPr>
          <t xml:space="preserve">
</t>
        </r>
      </text>
    </comment>
  </commentList>
</comments>
</file>

<file path=xl/comments6.xml><?xml version="1.0" encoding="utf-8"?>
<comments xmlns="http://schemas.openxmlformats.org/spreadsheetml/2006/main">
  <authors>
    <author>Jessica Staten</author>
    <author>Jessica</author>
  </authors>
  <commentList>
    <comment ref="B8" authorId="0" shapeId="0">
      <text>
        <r>
          <rPr>
            <b/>
            <sz val="9"/>
            <color indexed="81"/>
            <rFont val="Tahoma"/>
            <family val="2"/>
          </rPr>
          <t>Sept 16 thru Sept 17</t>
        </r>
        <r>
          <rPr>
            <sz val="9"/>
            <color indexed="81"/>
            <rFont val="Tahoma"/>
            <family val="2"/>
          </rPr>
          <t xml:space="preserve">
13 months
</t>
        </r>
      </text>
    </comment>
    <comment ref="B9" authorId="0" shapeId="0">
      <text>
        <r>
          <rPr>
            <b/>
            <sz val="9"/>
            <color indexed="81"/>
            <rFont val="Tahoma"/>
            <family val="2"/>
          </rPr>
          <t xml:space="preserve">Oct 2016 thru Sept 2017 = 3 year grant total $77,751- 2018 incl $8,800 rollover from prior year
</t>
        </r>
        <r>
          <rPr>
            <sz val="9"/>
            <color indexed="81"/>
            <rFont val="Tahoma"/>
            <family val="2"/>
          </rPr>
          <t xml:space="preserve">
</t>
        </r>
      </text>
    </comment>
    <comment ref="A23" authorId="0" shapeId="0">
      <text>
        <r>
          <rPr>
            <b/>
            <sz val="9"/>
            <color indexed="81"/>
            <rFont val="Tahoma"/>
            <family val="2"/>
          </rPr>
          <t xml:space="preserve">Jan 2017 thru Dec 2017
</t>
        </r>
        <r>
          <rPr>
            <sz val="9"/>
            <color indexed="81"/>
            <rFont val="Tahoma"/>
            <family val="2"/>
          </rPr>
          <t xml:space="preserve">
</t>
        </r>
      </text>
    </comment>
    <comment ref="A24" authorId="0" shapeId="0">
      <text>
        <r>
          <rPr>
            <b/>
            <sz val="9"/>
            <color indexed="81"/>
            <rFont val="Tahoma"/>
            <family val="2"/>
          </rPr>
          <t>April 2016 thru March 2017</t>
        </r>
        <r>
          <rPr>
            <sz val="9"/>
            <color indexed="81"/>
            <rFont val="Tahoma"/>
            <family val="2"/>
          </rPr>
          <t xml:space="preserve">
</t>
        </r>
      </text>
    </comment>
    <comment ref="J57" authorId="0" shapeId="0">
      <text>
        <r>
          <rPr>
            <b/>
            <sz val="9"/>
            <color indexed="81"/>
            <rFont val="Tahoma"/>
            <family val="2"/>
          </rPr>
          <t xml:space="preserve">Gender Odyssey
</t>
        </r>
        <r>
          <rPr>
            <sz val="9"/>
            <color indexed="81"/>
            <rFont val="Tahoma"/>
            <family val="2"/>
          </rPr>
          <t xml:space="preserve">
</t>
        </r>
      </text>
    </comment>
    <comment ref="K57" authorId="0" shapeId="0">
      <text>
        <r>
          <rPr>
            <b/>
            <sz val="9"/>
            <color indexed="81"/>
            <rFont val="Tahoma"/>
            <family val="2"/>
          </rPr>
          <t xml:space="preserve">RHYA Training 
</t>
        </r>
        <r>
          <rPr>
            <sz val="9"/>
            <color indexed="81"/>
            <rFont val="Tahoma"/>
            <family val="2"/>
          </rPr>
          <t xml:space="preserve">
</t>
        </r>
      </text>
    </comment>
    <comment ref="G61" authorId="0" shapeId="0">
      <text>
        <r>
          <rPr>
            <b/>
            <sz val="9"/>
            <color indexed="81"/>
            <rFont val="Tahoma"/>
            <family val="2"/>
          </rPr>
          <t xml:space="preserve">YMCA fees
</t>
        </r>
        <r>
          <rPr>
            <sz val="9"/>
            <color indexed="81"/>
            <rFont val="Tahoma"/>
            <family val="2"/>
          </rPr>
          <t xml:space="preserve">
</t>
        </r>
      </text>
    </comment>
    <comment ref="B75" authorId="0" shapeId="0">
      <text>
        <r>
          <rPr>
            <b/>
            <sz val="9"/>
            <color indexed="81"/>
            <rFont val="Tahoma"/>
            <family val="2"/>
          </rPr>
          <t xml:space="preserve">Copier
</t>
        </r>
        <r>
          <rPr>
            <sz val="9"/>
            <color indexed="81"/>
            <rFont val="Tahoma"/>
            <family val="2"/>
          </rPr>
          <t xml:space="preserve">
</t>
        </r>
      </text>
    </comment>
    <comment ref="B124" authorId="1" shapeId="0">
      <text>
        <r>
          <rPr>
            <b/>
            <sz val="9"/>
            <color indexed="81"/>
            <rFont val="Tahoma"/>
            <family val="2"/>
          </rPr>
          <t xml:space="preserve">PILB + 0.90/HR
</t>
        </r>
      </text>
    </comment>
    <comment ref="B125" authorId="1" shapeId="0">
      <text>
        <r>
          <rPr>
            <b/>
            <sz val="9"/>
            <color indexed="81"/>
            <rFont val="Tahoma"/>
            <family val="2"/>
          </rPr>
          <t xml:space="preserve">PILB + 0.90/HR
</t>
        </r>
      </text>
    </comment>
    <comment ref="B137" authorId="1" shapeId="0">
      <text>
        <r>
          <rPr>
            <b/>
            <sz val="9"/>
            <color indexed="81"/>
            <rFont val="Tahoma"/>
            <family val="2"/>
          </rPr>
          <t xml:space="preserve">PILB + 0.90/HR
</t>
        </r>
      </text>
    </comment>
    <comment ref="B138" authorId="1" shapeId="0">
      <text>
        <r>
          <rPr>
            <b/>
            <sz val="9"/>
            <color indexed="81"/>
            <rFont val="Tahoma"/>
            <family val="2"/>
          </rPr>
          <t xml:space="preserve">PILB + 0.90/HR
</t>
        </r>
      </text>
    </comment>
  </commentList>
</comments>
</file>

<file path=xl/comments7.xml><?xml version="1.0" encoding="utf-8"?>
<comments xmlns="http://schemas.openxmlformats.org/spreadsheetml/2006/main">
  <authors>
    <author>Jessica Staten</author>
    <author>Jessica</author>
  </authors>
  <commentList>
    <comment ref="A8" authorId="0" shapeId="0">
      <text>
        <r>
          <rPr>
            <b/>
            <sz val="9"/>
            <color indexed="81"/>
            <rFont val="Tahoma"/>
            <family val="2"/>
          </rPr>
          <t xml:space="preserve">Sept 2016 thru Sept 2017 - 13 months
</t>
        </r>
        <r>
          <rPr>
            <sz val="9"/>
            <color indexed="81"/>
            <rFont val="Tahoma"/>
            <family val="2"/>
          </rPr>
          <t xml:space="preserve">
</t>
        </r>
      </text>
    </comment>
    <comment ref="A9" authorId="0" shapeId="0">
      <text>
        <r>
          <rPr>
            <b/>
            <sz val="9"/>
            <color indexed="81"/>
            <rFont val="Tahoma"/>
            <family val="2"/>
          </rPr>
          <t>July 2016 thru June 2017</t>
        </r>
        <r>
          <rPr>
            <sz val="9"/>
            <color indexed="81"/>
            <rFont val="Tahoma"/>
            <family val="2"/>
          </rPr>
          <t xml:space="preserve">
</t>
        </r>
      </text>
    </comment>
    <comment ref="A10" authorId="0" shapeId="0">
      <text>
        <r>
          <rPr>
            <b/>
            <sz val="9"/>
            <color indexed="81"/>
            <rFont val="Tahoma"/>
            <family val="2"/>
          </rPr>
          <t>July 2016 thru June 2017</t>
        </r>
        <r>
          <rPr>
            <sz val="9"/>
            <color indexed="81"/>
            <rFont val="Tahoma"/>
            <family val="2"/>
          </rPr>
          <t xml:space="preserve">
</t>
        </r>
      </text>
    </comment>
    <comment ref="A11" authorId="0" shapeId="0">
      <text>
        <r>
          <rPr>
            <b/>
            <sz val="9"/>
            <color indexed="81"/>
            <rFont val="Tahoma"/>
            <family val="2"/>
          </rPr>
          <t>Jan 2017 thru Dec 2017</t>
        </r>
        <r>
          <rPr>
            <sz val="9"/>
            <color indexed="81"/>
            <rFont val="Tahoma"/>
            <family val="2"/>
          </rPr>
          <t xml:space="preserve">
</t>
        </r>
      </text>
    </comment>
    <comment ref="A12" authorId="0" shapeId="0">
      <text>
        <r>
          <rPr>
            <b/>
            <sz val="9"/>
            <color indexed="81"/>
            <rFont val="Tahoma"/>
            <family val="2"/>
          </rPr>
          <t xml:space="preserve">May 17 thru June 17
</t>
        </r>
        <r>
          <rPr>
            <sz val="9"/>
            <color indexed="81"/>
            <rFont val="Tahoma"/>
            <family val="2"/>
          </rPr>
          <t xml:space="preserve">
</t>
        </r>
      </text>
    </comment>
    <comment ref="A13" authorId="0" shapeId="0">
      <text>
        <r>
          <rPr>
            <b/>
            <sz val="9"/>
            <color indexed="81"/>
            <rFont val="Tahoma"/>
            <family val="2"/>
          </rPr>
          <t>April 16 thru Mar 17
NEW $5K not yet billed</t>
        </r>
      </text>
    </comment>
    <comment ref="A14" authorId="0" shapeId="0">
      <text>
        <r>
          <rPr>
            <b/>
            <sz val="9"/>
            <color indexed="81"/>
            <rFont val="Tahoma"/>
            <family val="2"/>
          </rPr>
          <t>May 2017 thru June 2017</t>
        </r>
        <r>
          <rPr>
            <sz val="9"/>
            <color indexed="81"/>
            <rFont val="Tahoma"/>
            <family val="2"/>
          </rPr>
          <t xml:space="preserve">
</t>
        </r>
      </text>
    </comment>
    <comment ref="B23" authorId="0" shapeId="0">
      <text>
        <r>
          <rPr>
            <b/>
            <sz val="9"/>
            <color indexed="81"/>
            <rFont val="Tahoma"/>
            <family val="2"/>
          </rPr>
          <t xml:space="preserve">Mar 17 thru Aug 17
</t>
        </r>
        <r>
          <rPr>
            <sz val="9"/>
            <color indexed="81"/>
            <rFont val="Tahoma"/>
            <family val="2"/>
          </rPr>
          <t xml:space="preserve">
</t>
        </r>
      </text>
    </comment>
    <comment ref="B61" authorId="0" shapeId="0">
      <text>
        <r>
          <rPr>
            <b/>
            <sz val="9"/>
            <color indexed="81"/>
            <rFont val="Tahoma"/>
            <family val="2"/>
          </rPr>
          <t>$10 per youth</t>
        </r>
        <r>
          <rPr>
            <sz val="9"/>
            <color indexed="81"/>
            <rFont val="Tahoma"/>
            <family val="2"/>
          </rPr>
          <t xml:space="preserve">
</t>
        </r>
      </text>
    </comment>
    <comment ref="E61" authorId="0" shapeId="0">
      <text>
        <r>
          <rPr>
            <b/>
            <sz val="9"/>
            <color indexed="81"/>
            <rFont val="Tahoma"/>
            <family val="2"/>
          </rPr>
          <t>Costco</t>
        </r>
        <r>
          <rPr>
            <sz val="9"/>
            <color indexed="81"/>
            <rFont val="Tahoma"/>
            <family val="2"/>
          </rPr>
          <t xml:space="preserve">
</t>
        </r>
      </text>
    </comment>
    <comment ref="E63" authorId="0" shapeId="0">
      <text>
        <r>
          <rPr>
            <b/>
            <sz val="9"/>
            <color indexed="81"/>
            <rFont val="Tahoma"/>
            <family val="2"/>
          </rPr>
          <t xml:space="preserve">Audit
</t>
        </r>
        <r>
          <rPr>
            <sz val="9"/>
            <color indexed="81"/>
            <rFont val="Tahoma"/>
            <family val="2"/>
          </rPr>
          <t xml:space="preserve">
</t>
        </r>
      </text>
    </comment>
    <comment ref="B75" authorId="0" shapeId="0">
      <text>
        <r>
          <rPr>
            <sz val="9"/>
            <color indexed="81"/>
            <rFont val="Tahoma"/>
            <family val="2"/>
          </rPr>
          <t xml:space="preserve">Copier Lease
</t>
        </r>
      </text>
    </comment>
    <comment ref="B163" authorId="1" shapeId="0">
      <text>
        <r>
          <rPr>
            <b/>
            <sz val="9"/>
            <color indexed="81"/>
            <rFont val="Tahoma"/>
            <family val="2"/>
          </rPr>
          <t xml:space="preserve">PILB + 0.90/HR
</t>
        </r>
      </text>
    </comment>
    <comment ref="B164" authorId="1" shapeId="0">
      <text>
        <r>
          <rPr>
            <b/>
            <sz val="9"/>
            <color indexed="81"/>
            <rFont val="Tahoma"/>
            <family val="2"/>
          </rPr>
          <t xml:space="preserve">PILB + 0.90/HR
</t>
        </r>
      </text>
    </comment>
    <comment ref="A188" authorId="0" shapeId="0">
      <text>
        <r>
          <rPr>
            <b/>
            <sz val="9"/>
            <color indexed="81"/>
            <rFont val="Tahoma"/>
            <family val="2"/>
          </rPr>
          <t xml:space="preserve">Includes estimated time for weekly 1-hour staff mtgs.  Assume that 13 attending.
</t>
        </r>
        <r>
          <rPr>
            <sz val="9"/>
            <color indexed="81"/>
            <rFont val="Tahoma"/>
            <family val="2"/>
          </rPr>
          <t xml:space="preserve">
</t>
        </r>
      </text>
    </comment>
    <comment ref="B215" authorId="1" shapeId="0">
      <text>
        <r>
          <rPr>
            <b/>
            <sz val="9"/>
            <color indexed="81"/>
            <rFont val="Tahoma"/>
            <family val="2"/>
          </rPr>
          <t xml:space="preserve">PILB + 0.90/HR
</t>
        </r>
      </text>
    </comment>
    <comment ref="B216" authorId="1" shapeId="0">
      <text>
        <r>
          <rPr>
            <b/>
            <sz val="9"/>
            <color indexed="81"/>
            <rFont val="Tahoma"/>
            <family val="2"/>
          </rPr>
          <t xml:space="preserve">PILB + 0.90/HR
</t>
        </r>
      </text>
    </comment>
    <comment ref="B241" authorId="1" shapeId="0">
      <text>
        <r>
          <rPr>
            <b/>
            <sz val="9"/>
            <color indexed="81"/>
            <rFont val="Tahoma"/>
            <family val="2"/>
          </rPr>
          <t xml:space="preserve">PILB + 0.90/HR
</t>
        </r>
      </text>
    </comment>
    <comment ref="B242" authorId="1" shapeId="0">
      <text>
        <r>
          <rPr>
            <b/>
            <sz val="9"/>
            <color indexed="81"/>
            <rFont val="Tahoma"/>
            <family val="2"/>
          </rPr>
          <t xml:space="preserve">PILB + 0.90/HR
</t>
        </r>
      </text>
    </comment>
    <comment ref="B254" authorId="1" shapeId="0">
      <text>
        <r>
          <rPr>
            <b/>
            <sz val="9"/>
            <color indexed="81"/>
            <rFont val="Tahoma"/>
            <family val="2"/>
          </rPr>
          <t xml:space="preserve">PILB + 0.90/HR
</t>
        </r>
      </text>
    </comment>
    <comment ref="B255" authorId="1" shapeId="0">
      <text>
        <r>
          <rPr>
            <b/>
            <sz val="9"/>
            <color indexed="81"/>
            <rFont val="Tahoma"/>
            <family val="2"/>
          </rPr>
          <t xml:space="preserve">PILB + 0.90/HR
</t>
        </r>
      </text>
    </comment>
  </commentList>
</comments>
</file>

<file path=xl/comments8.xml><?xml version="1.0" encoding="utf-8"?>
<comments xmlns="http://schemas.openxmlformats.org/spreadsheetml/2006/main">
  <authors>
    <author>Jessica Staten</author>
  </authors>
  <commentList>
    <comment ref="B8" authorId="0" shapeId="0">
      <text>
        <r>
          <rPr>
            <b/>
            <sz val="9"/>
            <color indexed="81"/>
            <rFont val="Tahoma"/>
            <family val="2"/>
          </rPr>
          <t xml:space="preserve">July 16 thru June 17
</t>
        </r>
        <r>
          <rPr>
            <sz val="9"/>
            <color indexed="81"/>
            <rFont val="Tahoma"/>
            <family val="2"/>
          </rPr>
          <t xml:space="preserve">
</t>
        </r>
      </text>
    </comment>
  </commentList>
</comments>
</file>

<file path=xl/comments9.xml><?xml version="1.0" encoding="utf-8"?>
<comments xmlns="http://schemas.openxmlformats.org/spreadsheetml/2006/main">
  <authors>
    <author>Jessica Staten</author>
  </authors>
  <commentList>
    <comment ref="A8" authorId="0" shapeId="0">
      <text>
        <r>
          <rPr>
            <b/>
            <sz val="9"/>
            <color indexed="81"/>
            <rFont val="Tahoma"/>
            <family val="2"/>
          </rPr>
          <t xml:space="preserve">$33,000 July thru June
</t>
        </r>
        <r>
          <rPr>
            <sz val="9"/>
            <color indexed="81"/>
            <rFont val="Tahoma"/>
            <family val="2"/>
          </rPr>
          <t xml:space="preserve">
</t>
        </r>
      </text>
    </comment>
    <comment ref="A9" authorId="0" shapeId="0">
      <text>
        <r>
          <rPr>
            <b/>
            <sz val="9"/>
            <color indexed="81"/>
            <rFont val="Tahoma"/>
            <family val="2"/>
          </rPr>
          <t xml:space="preserve">$200,000 May thru April
</t>
        </r>
        <r>
          <rPr>
            <sz val="9"/>
            <color indexed="81"/>
            <rFont val="Tahoma"/>
            <family val="2"/>
          </rPr>
          <t xml:space="preserve">
</t>
        </r>
      </text>
    </comment>
    <comment ref="B10" authorId="0" shapeId="0">
      <text>
        <r>
          <rPr>
            <b/>
            <sz val="9"/>
            <color indexed="81"/>
            <rFont val="Tahoma"/>
            <family val="2"/>
          </rPr>
          <t xml:space="preserve">$21,361 from Sept thru June - "shortfall" funding - expect to continue?
</t>
        </r>
        <r>
          <rPr>
            <sz val="9"/>
            <color indexed="81"/>
            <rFont val="Tahoma"/>
            <family val="2"/>
          </rPr>
          <t xml:space="preserve">
</t>
        </r>
      </text>
    </comment>
    <comment ref="B24" authorId="0" shapeId="0">
      <text>
        <r>
          <rPr>
            <b/>
            <sz val="9"/>
            <color indexed="81"/>
            <rFont val="Tahoma"/>
            <family val="2"/>
          </rPr>
          <t xml:space="preserve">May 17 thru April 18
2 YEAR GRANT - OF $40k -YR 2/2
</t>
        </r>
        <r>
          <rPr>
            <sz val="9"/>
            <color indexed="81"/>
            <rFont val="Tahoma"/>
            <family val="2"/>
          </rPr>
          <t xml:space="preserve">
</t>
        </r>
      </text>
    </comment>
    <comment ref="K57" authorId="0" shapeId="0">
      <text>
        <r>
          <rPr>
            <b/>
            <sz val="9"/>
            <color indexed="81"/>
            <rFont val="Tahoma"/>
            <family val="2"/>
          </rPr>
          <t xml:space="preserve">RHYA Conference
</t>
        </r>
        <r>
          <rPr>
            <sz val="9"/>
            <color indexed="81"/>
            <rFont val="Tahoma"/>
            <family val="2"/>
          </rPr>
          <t xml:space="preserve">
</t>
        </r>
      </text>
    </comment>
    <comment ref="G61" authorId="0" shapeId="0">
      <text>
        <r>
          <rPr>
            <b/>
            <sz val="9"/>
            <color indexed="81"/>
            <rFont val="Tahoma"/>
            <family val="2"/>
          </rPr>
          <t xml:space="preserve">YMCA fee for recreation
</t>
        </r>
        <r>
          <rPr>
            <sz val="9"/>
            <color indexed="81"/>
            <rFont val="Tahoma"/>
            <family val="2"/>
          </rPr>
          <t xml:space="preserve">
</t>
        </r>
      </text>
    </comment>
    <comment ref="L61" authorId="0" shapeId="0">
      <text>
        <r>
          <rPr>
            <b/>
            <sz val="9"/>
            <color indexed="81"/>
            <rFont val="Tahoma"/>
            <family val="2"/>
          </rPr>
          <t xml:space="preserve">YMCA Membership
</t>
        </r>
        <r>
          <rPr>
            <sz val="9"/>
            <color indexed="81"/>
            <rFont val="Tahoma"/>
            <family val="2"/>
          </rPr>
          <t xml:space="preserve">
</t>
        </r>
      </text>
    </comment>
    <comment ref="H65" authorId="0" shapeId="0">
      <text>
        <r>
          <rPr>
            <b/>
            <sz val="9"/>
            <color indexed="81"/>
            <rFont val="Tahoma"/>
            <family val="2"/>
          </rPr>
          <t xml:space="preserve">2 FT VISTA's
</t>
        </r>
        <r>
          <rPr>
            <sz val="9"/>
            <color indexed="81"/>
            <rFont val="Tahoma"/>
            <family val="2"/>
          </rPr>
          <t xml:space="preserve">
</t>
        </r>
      </text>
    </comment>
  </commentList>
</comments>
</file>

<file path=xl/sharedStrings.xml><?xml version="1.0" encoding="utf-8"?>
<sst xmlns="http://schemas.openxmlformats.org/spreadsheetml/2006/main" count="4007" uniqueCount="712">
  <si>
    <t>Budget Assumptions</t>
  </si>
  <si>
    <t>January</t>
  </si>
  <si>
    <t>February</t>
  </si>
  <si>
    <t>March</t>
  </si>
  <si>
    <t>April</t>
  </si>
  <si>
    <t>May</t>
  </si>
  <si>
    <t>June</t>
  </si>
  <si>
    <t>July</t>
  </si>
  <si>
    <t>August</t>
  </si>
  <si>
    <t>September</t>
  </si>
  <si>
    <t>October</t>
  </si>
  <si>
    <t>November</t>
  </si>
  <si>
    <t>December</t>
  </si>
  <si>
    <t>GRAND TOTAL           2017</t>
  </si>
  <si>
    <t>REVENUES</t>
  </si>
  <si>
    <t>Grants</t>
  </si>
  <si>
    <t>Program Fees &amp; Dues</t>
  </si>
  <si>
    <t>Fundraising Campaigns &amp; Events</t>
  </si>
  <si>
    <t>Misc Income</t>
  </si>
  <si>
    <t>TOTAL REVENUES</t>
  </si>
  <si>
    <t>EXPENSES</t>
  </si>
  <si>
    <t>Salaries &amp; Wages</t>
  </si>
  <si>
    <t>Payroll Taxes</t>
  </si>
  <si>
    <t>Benefits</t>
  </si>
  <si>
    <t>TOTAL EXPENSES</t>
  </si>
  <si>
    <t>OTHER INCOME &amp; EXPENSES</t>
  </si>
  <si>
    <t>TOTAL OTHER</t>
  </si>
  <si>
    <t>SURPLUS (DEFICT)</t>
  </si>
  <si>
    <t>Summary - All Cost Centers</t>
  </si>
  <si>
    <t>VARIANCE</t>
  </si>
  <si>
    <t>Average Annual FTEs</t>
  </si>
  <si>
    <t>Total Revenues</t>
  </si>
  <si>
    <t>Total Personnel</t>
  </si>
  <si>
    <t>Total Operating</t>
  </si>
  <si>
    <t>Overhead Allocation</t>
  </si>
  <si>
    <t>Net Surplus (Deficit)</t>
  </si>
  <si>
    <t>TOTAL</t>
  </si>
  <si>
    <t>COMBINED TOTAL, ALL</t>
  </si>
  <si>
    <t>Name</t>
  </si>
  <si>
    <t>Date of Hire</t>
  </si>
  <si>
    <t>Position</t>
  </si>
  <si>
    <t>Program</t>
  </si>
  <si>
    <t>Date of Birth</t>
  </si>
  <si>
    <t>Age Calculation</t>
  </si>
  <si>
    <t>FTE</t>
  </si>
  <si>
    <t>Health Insurance</t>
  </si>
  <si>
    <t>Monthly Premium</t>
  </si>
  <si>
    <t>E = Eligible</t>
  </si>
  <si>
    <t>NE = Not Eligible</t>
  </si>
  <si>
    <t>PILB = Pay in Lieu</t>
  </si>
  <si>
    <t>Riannon Bardsley</t>
  </si>
  <si>
    <t>Executive Director</t>
  </si>
  <si>
    <t>CMS</t>
  </si>
  <si>
    <t>E</t>
  </si>
  <si>
    <t>Heather McGuinness</t>
  </si>
  <si>
    <t>Community Relations Cord.</t>
  </si>
  <si>
    <t>Shantel Rapp</t>
  </si>
  <si>
    <t>PILB</t>
  </si>
  <si>
    <t>NE</t>
  </si>
  <si>
    <t>Stephanie Wagner</t>
  </si>
  <si>
    <t>Finance Assistant</t>
  </si>
  <si>
    <t>VACANT</t>
  </si>
  <si>
    <t>Grant Writer</t>
  </si>
  <si>
    <t>Daniel Reese</t>
  </si>
  <si>
    <t>Student Stability Case Manager</t>
  </si>
  <si>
    <t>HSSP</t>
  </si>
  <si>
    <t>Cathy Beaty</t>
  </si>
  <si>
    <t>Youth Accountability Manager</t>
  </si>
  <si>
    <t>PAD</t>
  </si>
  <si>
    <t>Kimberly Butorac</t>
  </si>
  <si>
    <t>PAD - Youth Worker</t>
  </si>
  <si>
    <t>Anthony Darwin</t>
  </si>
  <si>
    <t>WH - Youth Janitor</t>
  </si>
  <si>
    <t>Eric Holl</t>
  </si>
  <si>
    <t>WH - Site Monitor</t>
  </si>
  <si>
    <t>PAD - Case Manager</t>
  </si>
  <si>
    <t>David Loudon</t>
  </si>
  <si>
    <t>Rebecca Pendergraft</t>
  </si>
  <si>
    <t>WH - Case Manager</t>
  </si>
  <si>
    <t>Kelsey Peronto</t>
  </si>
  <si>
    <t>PAD Program Manager</t>
  </si>
  <si>
    <t>Liam Reed</t>
  </si>
  <si>
    <t>WH- Overnight Shelter Specialist &amp; PAD Youth Worker</t>
  </si>
  <si>
    <t>Hilary Susnar</t>
  </si>
  <si>
    <t>Brandin Tolbert</t>
  </si>
  <si>
    <t>Jamie Warpenburg</t>
  </si>
  <si>
    <t>PAD Program Assistant Manager</t>
  </si>
  <si>
    <t>Jose Zamora</t>
  </si>
  <si>
    <t>Lisa Page</t>
  </si>
  <si>
    <t>Queer Youth Program Cord.</t>
  </si>
  <si>
    <t>QYP</t>
  </si>
  <si>
    <t>Brande Ortiz</t>
  </si>
  <si>
    <t>SK- Site Monitor</t>
  </si>
  <si>
    <t>SK TL</t>
  </si>
  <si>
    <t>Elizabeth Abbott</t>
  </si>
  <si>
    <t>SK - Case Manager</t>
  </si>
  <si>
    <t>Jacelyn Barham</t>
  </si>
  <si>
    <t>Avalon Berwick</t>
  </si>
  <si>
    <t>SK - Youth Janitor</t>
  </si>
  <si>
    <t>SK - Vocational Cord</t>
  </si>
  <si>
    <t>Shantel Chance</t>
  </si>
  <si>
    <t>SK- Housing Specialist</t>
  </si>
  <si>
    <t>Rachel Handy</t>
  </si>
  <si>
    <t>SK - Housing Programs Manager</t>
  </si>
  <si>
    <t>Katie Cruickshank</t>
  </si>
  <si>
    <t>SK/WH - ALL</t>
  </si>
  <si>
    <t>Hannah Fisk</t>
  </si>
  <si>
    <t>Jessica McLendon</t>
  </si>
  <si>
    <t>Daniel Statema</t>
  </si>
  <si>
    <t>Maintenance Tech.</t>
  </si>
  <si>
    <t>Conner Darlington</t>
  </si>
  <si>
    <t>Street Outreach Specialist</t>
  </si>
  <si>
    <t>WH SOP</t>
  </si>
  <si>
    <t>Katarina Gombocz</t>
  </si>
  <si>
    <t>Daniel Liddicoet</t>
  </si>
  <si>
    <t>Amanda Robins</t>
  </si>
  <si>
    <t>Street Outreach Program Manager</t>
  </si>
  <si>
    <t>Bonnie Schultz-Lorentzen</t>
  </si>
  <si>
    <t>Teen Court</t>
  </si>
  <si>
    <t>WH TC</t>
  </si>
  <si>
    <t>Sara Airoldi</t>
  </si>
  <si>
    <t>Ashtin Carnahan</t>
  </si>
  <si>
    <t>Program Support Specialist</t>
  </si>
  <si>
    <t>Jon Dukes</t>
  </si>
  <si>
    <t>Patrick Egan</t>
  </si>
  <si>
    <t>Robin Meyer</t>
  </si>
  <si>
    <t>WH-Housing Programs Manager</t>
  </si>
  <si>
    <t>Barry MacHale</t>
  </si>
  <si>
    <t>WH VOC</t>
  </si>
  <si>
    <t>Links to Departments</t>
  </si>
  <si>
    <t>Annual Raise Percentage - January</t>
  </si>
  <si>
    <t>Pay in Lieu of Benefits - per hour</t>
  </si>
  <si>
    <t>General Liability Insurance - 1st Year</t>
  </si>
  <si>
    <t>&lt;Prof Liability portion only - D&amp;O Portion in CMS</t>
  </si>
  <si>
    <t>Worker's Comp - Employers' Portion</t>
  </si>
  <si>
    <t>L&amp;I Rate - Clerical (4904)</t>
  </si>
  <si>
    <t>L&amp;I Rate - Sales NOC Outside (6303)</t>
  </si>
  <si>
    <t>L&amp;I Rate - Board Homes (6509)</t>
  </si>
  <si>
    <t>L&amp;I Rate - Volunteer</t>
  </si>
  <si>
    <t>SUTA Rate</t>
  </si>
  <si>
    <t>FICA/Medicare Rate</t>
  </si>
  <si>
    <t>Retirement Contribution Rate</t>
  </si>
  <si>
    <t>Core Mission Support</t>
  </si>
  <si>
    <t>Description</t>
  </si>
  <si>
    <t>Total</t>
  </si>
  <si>
    <t xml:space="preserve">Contract - </t>
  </si>
  <si>
    <t xml:space="preserve">Grant - </t>
  </si>
  <si>
    <t>In-kind Donations</t>
  </si>
  <si>
    <t>Donations</t>
  </si>
  <si>
    <t>Interest Income</t>
  </si>
  <si>
    <t>Purchase Discounts</t>
  </si>
  <si>
    <t>TOTAL REVENUES, NET</t>
  </si>
  <si>
    <t>PERSONNEL</t>
  </si>
  <si>
    <t>Regular Wages</t>
  </si>
  <si>
    <t>TOTAL PERSONNEL</t>
  </si>
  <si>
    <t>OPERATING EXPENSES</t>
  </si>
  <si>
    <t>Training</t>
  </si>
  <si>
    <t>Travel</t>
  </si>
  <si>
    <t>Recognition</t>
  </si>
  <si>
    <t>Communications</t>
  </si>
  <si>
    <t>Dues &amp; Subscriptions</t>
  </si>
  <si>
    <t>Liability Insurance</t>
  </si>
  <si>
    <t>Professional Services</t>
  </si>
  <si>
    <t>Legal Fees</t>
  </si>
  <si>
    <t>Technical Services</t>
  </si>
  <si>
    <t>Taxes/Licenses &amp; Permits</t>
  </si>
  <si>
    <t>Small Tools &amp; Equip</t>
  </si>
  <si>
    <t>Office Supplies</t>
  </si>
  <si>
    <t>Program Supplies</t>
  </si>
  <si>
    <t>Advertising</t>
  </si>
  <si>
    <t>Repairs &amp; Maintenance</t>
  </si>
  <si>
    <t>Client Expense</t>
  </si>
  <si>
    <t>Printing</t>
  </si>
  <si>
    <t>Postage</t>
  </si>
  <si>
    <t>Rent/Lease Expense</t>
  </si>
  <si>
    <t>Utilities</t>
  </si>
  <si>
    <t>Bank Fees/Late Fees</t>
  </si>
  <si>
    <t>Bad Debt Expense</t>
  </si>
  <si>
    <t>Interest Expense</t>
  </si>
  <si>
    <t>Meeting Expense</t>
  </si>
  <si>
    <t>Misc Expense</t>
  </si>
  <si>
    <t xml:space="preserve">CMS Exp Allocation </t>
  </si>
  <si>
    <t>Total Other</t>
  </si>
  <si>
    <t>FTEs</t>
  </si>
  <si>
    <t>Personnel Detail</t>
  </si>
  <si>
    <t>Holidays</t>
  </si>
  <si>
    <t>Hours</t>
  </si>
  <si>
    <t>DOH UNK</t>
  </si>
  <si>
    <t>FICA/Med</t>
  </si>
  <si>
    <t>Unemployment Ins</t>
  </si>
  <si>
    <t>L&amp;I</t>
  </si>
  <si>
    <t>Health Ins</t>
  </si>
  <si>
    <t>Retirement</t>
  </si>
  <si>
    <t>BLANK</t>
  </si>
  <si>
    <t>Grand Total, All</t>
  </si>
  <si>
    <t>Wages</t>
  </si>
  <si>
    <t>GRAND TOTAL</t>
  </si>
  <si>
    <t>Fundraising</t>
  </si>
  <si>
    <t>Fundraising Allocation</t>
  </si>
  <si>
    <t>DOH 07/14</t>
  </si>
  <si>
    <t>BLAN K</t>
  </si>
  <si>
    <t>2016 QHP Target</t>
  </si>
  <si>
    <t>Number at end of OE 3</t>
  </si>
  <si>
    <t>2017 Target (to be paid at end of OE 4)</t>
  </si>
  <si>
    <t>2017 
85% Base Pay</t>
  </si>
  <si>
    <t>15% Incentive</t>
  </si>
  <si>
    <t>2016 Monthly Payment</t>
  </si>
  <si>
    <t>2017 Monthly Payment</t>
  </si>
  <si>
    <t>2016 Incentive</t>
  </si>
  <si>
    <t>2017 Incentive</t>
  </si>
  <si>
    <t>Paid in Mar 2017 - 1700 QHP</t>
  </si>
  <si>
    <t>WOULD HAVE BEEN IF TARGETS MET</t>
  </si>
  <si>
    <t>No WAH targets</t>
  </si>
  <si>
    <t>Percent of WA population</t>
  </si>
  <si>
    <t>2016 QHP &amp; WAH Target
 (12 month contract)</t>
  </si>
  <si>
    <t>2017 QHP target without adjustments*
(9 month contract)</t>
  </si>
  <si>
    <t>Adjustment based on OE 3 results</t>
  </si>
  <si>
    <t>Sea Mar Results OE 3</t>
  </si>
  <si>
    <t>QHP</t>
  </si>
  <si>
    <t>Island</t>
  </si>
  <si>
    <t>SKAGIT</t>
  </si>
  <si>
    <t>San Juan</t>
  </si>
  <si>
    <t>Snoh</t>
  </si>
  <si>
    <t>Skagit</t>
  </si>
  <si>
    <t>300 to Sea Mar</t>
  </si>
  <si>
    <t>Whatcom</t>
  </si>
  <si>
    <t>Snohomish</t>
  </si>
  <si>
    <t>60 to Sea Mar</t>
  </si>
  <si>
    <t>CHC Sno results</t>
  </si>
  <si>
    <t>660 to Sea Mar</t>
  </si>
  <si>
    <t>Statewide total</t>
  </si>
  <si>
    <t>x 8.5%</t>
  </si>
  <si>
    <t>Statewide QHP target</t>
  </si>
  <si>
    <t xml:space="preserve">*2017 QHP targets without adjustments (in green) is what the numbers look like if no adjustments are made for actual performance.  Based on low WAHA QHPs and higher than expected Sea Mar QHPs, we have reduced WAHA targets and increased Sea Mar targets to align with actual performance.  </t>
  </si>
  <si>
    <t>Homeless Student Stability Program</t>
  </si>
  <si>
    <t>Whatcom - Vocational</t>
  </si>
  <si>
    <t>Whatcom - Transitional Living</t>
  </si>
  <si>
    <t>Health Homes FFS Revenues Calculation</t>
  </si>
  <si>
    <t>Expected Case Load per FTE</t>
  </si>
  <si>
    <t>Expected Billable Episodes of Care Per Month by FTE</t>
  </si>
  <si>
    <t>Tier Mix</t>
  </si>
  <si>
    <t>Fee Each</t>
  </si>
  <si>
    <t>Tier 1</t>
  </si>
  <si>
    <t>Tier 2</t>
  </si>
  <si>
    <t>Tier 3</t>
  </si>
  <si>
    <t>Total FTE for Health Homes</t>
  </si>
  <si>
    <t>Expected Billable Services</t>
  </si>
  <si>
    <t>Kraft</t>
  </si>
  <si>
    <t>Day</t>
  </si>
  <si>
    <t>Kuhlman</t>
  </si>
  <si>
    <t>Nicholson</t>
  </si>
  <si>
    <t>Sandall</t>
  </si>
  <si>
    <t>Woods</t>
  </si>
  <si>
    <t>Total FTE</t>
  </si>
  <si>
    <t>Expected Revenues per Month</t>
  </si>
  <si>
    <t>Whatcom - PAD</t>
  </si>
  <si>
    <t>DOH 11/16</t>
  </si>
  <si>
    <t>Queer Youth Project</t>
  </si>
  <si>
    <t>DOH N/A</t>
  </si>
  <si>
    <t>CORE MISSION SUPPORT ALLOCATIONS</t>
  </si>
  <si>
    <t>Total FTEs by Program</t>
  </si>
  <si>
    <t>Department</t>
  </si>
  <si>
    <t># of FTE's</t>
  </si>
  <si>
    <t>Percent of FTE's by Program</t>
  </si>
  <si>
    <t>% of FTE's</t>
  </si>
  <si>
    <t>CMS &amp; Fundraising NET Expense by Month</t>
  </si>
  <si>
    <t>CMS &amp; Fundraising Expense Allocated by Month</t>
  </si>
  <si>
    <t>CMS &amp; FR Exp</t>
  </si>
  <si>
    <t>DOH 08/15</t>
  </si>
  <si>
    <t>DOH 01/07</t>
  </si>
  <si>
    <t>DOH 03/17</t>
  </si>
  <si>
    <t>DOH 09/15</t>
  </si>
  <si>
    <t>In Kind Expense</t>
  </si>
  <si>
    <t>DOH 04/14</t>
  </si>
  <si>
    <t>DOH 04/16</t>
  </si>
  <si>
    <t>Vocational Specialist (BMc)</t>
  </si>
  <si>
    <t>Vocational Coordinator (BS-L)</t>
  </si>
  <si>
    <t>Student Stability Case Manager (DR)</t>
  </si>
  <si>
    <t>Executive Director (RB)</t>
  </si>
  <si>
    <t>Finance Assistant (SW)</t>
  </si>
  <si>
    <t>SOP</t>
  </si>
  <si>
    <t>All others</t>
  </si>
  <si>
    <t># OF HRS? primarily SOP</t>
  </si>
  <si>
    <t>Grant - Norcliffe Foundation</t>
  </si>
  <si>
    <t>Grant - Chuckanut Health Foundation</t>
  </si>
  <si>
    <t>Grant - Whatcom Community Foundation</t>
  </si>
  <si>
    <t>1020 N State St Allocations</t>
  </si>
  <si>
    <t>Total Facility Costs:</t>
  </si>
  <si>
    <t>Mortgage Interest</t>
  </si>
  <si>
    <t>1020 N State St Expenses allocated</t>
  </si>
  <si>
    <t>Staff</t>
  </si>
  <si>
    <t>Proj.</t>
  </si>
  <si>
    <t>Admin</t>
  </si>
  <si>
    <t>DR</t>
  </si>
  <si>
    <t>Dinner</t>
  </si>
  <si>
    <t>Sk TL</t>
  </si>
  <si>
    <t>TC</t>
  </si>
  <si>
    <t>VOC</t>
  </si>
  <si>
    <t>MHP</t>
  </si>
  <si>
    <t>Wh Combined</t>
  </si>
  <si>
    <t>Wh TL</t>
  </si>
  <si>
    <t>Commerce HUSLY</t>
  </si>
  <si>
    <t>Commerce Wh TL/Skagit PERM</t>
  </si>
  <si>
    <t>Uncovered</t>
  </si>
  <si>
    <t>Vocational</t>
  </si>
  <si>
    <t>Vocational Specialist</t>
  </si>
  <si>
    <t xml:space="preserve">Whatcom Big Kid Housing </t>
  </si>
  <si>
    <t>TBD</t>
  </si>
  <si>
    <t>Carolyn Feffer</t>
  </si>
  <si>
    <t>Amanda Robbins</t>
  </si>
  <si>
    <t>Kestrel Bailey</t>
  </si>
  <si>
    <t>Danny Liddecoet</t>
  </si>
  <si>
    <t>Jessilyn  Krolicki</t>
  </si>
  <si>
    <t>Daniel Reese HSSP</t>
  </si>
  <si>
    <t>8.15 Youth Workers</t>
  </si>
  <si>
    <t>Admin/DR/Data/Other</t>
  </si>
  <si>
    <t>Tari Caswell</t>
  </si>
  <si>
    <t>Alicia Recob</t>
  </si>
  <si>
    <t>Skagit Housing</t>
  </si>
  <si>
    <t>Case Manager</t>
  </si>
  <si>
    <t>Site Monitor</t>
  </si>
  <si>
    <t>HUSLY Skagit and Whatcom</t>
  </si>
  <si>
    <t xml:space="preserve">Skagit </t>
  </si>
  <si>
    <t>Grant - Satterberg</t>
  </si>
  <si>
    <t>Grant - Storer Foundation</t>
  </si>
  <si>
    <t>Grant - Towne Foundation</t>
  </si>
  <si>
    <t>In Kind Donations</t>
  </si>
  <si>
    <t>Fundraising Expense</t>
  </si>
  <si>
    <t>Facility Allocations</t>
  </si>
  <si>
    <t>Core Mission Support Allocation</t>
  </si>
  <si>
    <t>Facility Allocation</t>
  </si>
  <si>
    <t>Contract - City of Bellingham</t>
  </si>
  <si>
    <t>Grant - Harvest Foundation</t>
  </si>
  <si>
    <t>Grant - STEM Foundation</t>
  </si>
  <si>
    <t>Grant - Bank of America</t>
  </si>
  <si>
    <t>Contract - City of Bham</t>
  </si>
  <si>
    <t>Contract - RHYA</t>
  </si>
  <si>
    <t>Grant - Walton Foundation</t>
  </si>
  <si>
    <t>Grant - Safeco Foundation</t>
  </si>
  <si>
    <t>Grant - United Way</t>
  </si>
  <si>
    <t>Housing Programs Mgr (RM)</t>
  </si>
  <si>
    <t>DOH 04/12</t>
  </si>
  <si>
    <t>Case Manager (SA)</t>
  </si>
  <si>
    <t>Case Manager (PE)</t>
  </si>
  <si>
    <t>DOH 04/15</t>
  </si>
  <si>
    <t>Case Manager (RP)</t>
  </si>
  <si>
    <t>DOH 03/15</t>
  </si>
  <si>
    <t>DOH 03/16</t>
  </si>
  <si>
    <t>DOH 01/17</t>
  </si>
  <si>
    <t>Program Support Specialist (AC)</t>
  </si>
  <si>
    <t>Grant - NW Childrens' Fund</t>
  </si>
  <si>
    <t>Grant - Taco Time</t>
  </si>
  <si>
    <t>Grant - BNSF Railway</t>
  </si>
  <si>
    <t>Contract - Dept of Commerce HOPE</t>
  </si>
  <si>
    <t>Contract - Whatcom County 2060</t>
  </si>
  <si>
    <t>Contract - Whatcom County Add'l</t>
  </si>
  <si>
    <t>PAD Program Mgr (KP)</t>
  </si>
  <si>
    <t>DOH 11/13</t>
  </si>
  <si>
    <t>Overnight Shelter Specialist (LR)</t>
  </si>
  <si>
    <t>DOH 10/16</t>
  </si>
  <si>
    <t>PAD Program Asst Mgr (JW)</t>
  </si>
  <si>
    <t>DOH 04/13</t>
  </si>
  <si>
    <t>PAD Youth Worker (JZ)</t>
  </si>
  <si>
    <t>PAD Youth Worker (HS)</t>
  </si>
  <si>
    <t>PAD Youth Worker (BT)</t>
  </si>
  <si>
    <t>Kyle Boardman</t>
  </si>
  <si>
    <t>PAD Youth Worker (KB)</t>
  </si>
  <si>
    <t>DOH 04/17</t>
  </si>
  <si>
    <t>DOH 09/16</t>
  </si>
  <si>
    <t>PAD Youth Janitor (AD)</t>
  </si>
  <si>
    <t>FLAT RATE</t>
  </si>
  <si>
    <t>DOH 08/16</t>
  </si>
  <si>
    <t>DOH 10/14</t>
  </si>
  <si>
    <t>PAD Youth Worker (DL)</t>
  </si>
  <si>
    <t>Grant - Mary Storer Foundation</t>
  </si>
  <si>
    <t>Grant - Pride Foundation</t>
  </si>
  <si>
    <t>QYP Coordinator (LP)</t>
  </si>
  <si>
    <t>DOH 12/16</t>
  </si>
  <si>
    <t>Grant - Western Washington University</t>
  </si>
  <si>
    <t>Grant -  City of Ferndale</t>
  </si>
  <si>
    <t>Contract - Whatcom County Juvenile Ct</t>
  </si>
  <si>
    <t>Youth Accountability Mgr (CB)</t>
  </si>
  <si>
    <t>DOH 11/95</t>
  </si>
  <si>
    <t>Teen Court (BS-L)</t>
  </si>
  <si>
    <t>Grant - Mick Lamb Foundation</t>
  </si>
  <si>
    <t>Grant - Access Freedom Foundation</t>
  </si>
  <si>
    <t>Contract - OVW (DV Comm)</t>
  </si>
  <si>
    <t>Street Outreach Specialist (KG)</t>
  </si>
  <si>
    <t>Street Outreach Specialist (DL)</t>
  </si>
  <si>
    <t>DOH 05/16</t>
  </si>
  <si>
    <t>Housing Programs Mgr (RH)</t>
  </si>
  <si>
    <t>DOH 01/15</t>
  </si>
  <si>
    <t>Site Monitor (BO)</t>
  </si>
  <si>
    <t>Case Manager (JB)</t>
  </si>
  <si>
    <t>Youth Janitor (AB)</t>
  </si>
  <si>
    <t>DOH 01/16</t>
  </si>
  <si>
    <t>DOH 10/13</t>
  </si>
  <si>
    <t>Housing Specialist (SC)</t>
  </si>
  <si>
    <t>Grant - Skagit Community Foundation</t>
  </si>
  <si>
    <t>Grant - Tulalip Tribe</t>
  </si>
  <si>
    <t>Contract - Skagit County 2060</t>
  </si>
  <si>
    <t>Contract - HUD</t>
  </si>
  <si>
    <t>Contract - Dept of Commerce - YAHP</t>
  </si>
  <si>
    <t>In-kind Expense</t>
  </si>
  <si>
    <t>Garden Youth Workers</t>
  </si>
  <si>
    <t>Surplus (Deficit) by Month</t>
  </si>
  <si>
    <t>Variance</t>
  </si>
  <si>
    <t>Sigourney Gundy</t>
  </si>
  <si>
    <t>PAD - Youth Worker /Morning Shelter Specialist</t>
  </si>
  <si>
    <t>UKN</t>
  </si>
  <si>
    <t>Contract - Bham School District (Rent)</t>
  </si>
  <si>
    <t>Contract - Bham School District (Flex Funds)</t>
  </si>
  <si>
    <t>Contract - Bham School District (Admin - 10%)</t>
  </si>
  <si>
    <t>Grant - WECU</t>
  </si>
  <si>
    <t>Contracts - HSSP - Bham Schools</t>
  </si>
  <si>
    <t>Contracts - VOC - City of Bham</t>
  </si>
  <si>
    <t>Grants - VOC - STEM</t>
  </si>
  <si>
    <t>Grants - VOC - Harvest</t>
  </si>
  <si>
    <t xml:space="preserve">Grants - VOC - Mary Storer </t>
  </si>
  <si>
    <t>Grants - VOC - WECU</t>
  </si>
  <si>
    <t xml:space="preserve">Grants - WH TL - Walton </t>
  </si>
  <si>
    <t>Grants - WH TL - United Way</t>
  </si>
  <si>
    <t>Contracts - WH TL - City of Bham</t>
  </si>
  <si>
    <t>Contracts - WH TL - RHYA</t>
  </si>
  <si>
    <t>Grants - PAD - Taco Time</t>
  </si>
  <si>
    <t>Grants - PAD - BNSF Railway</t>
  </si>
  <si>
    <t>Grants - PAD - United Way</t>
  </si>
  <si>
    <t>Grants - PAD - NW Childrens Fund</t>
  </si>
  <si>
    <t>Contracts - PAD - EFSP</t>
  </si>
  <si>
    <t>Contract - EFSP</t>
  </si>
  <si>
    <t>Contract - City of Bellingham Add'l</t>
  </si>
  <si>
    <t>DOH 05/17</t>
  </si>
  <si>
    <t>Contracts - PAD - City of Bham</t>
  </si>
  <si>
    <t>Contracts - PAD - RHYA</t>
  </si>
  <si>
    <t>Contracts - PAD - Whatcom County</t>
  </si>
  <si>
    <t>Contracts - PAD - Commerce HOPE</t>
  </si>
  <si>
    <t>Grants - General - Satterberg</t>
  </si>
  <si>
    <t>Grants - General - Storer</t>
  </si>
  <si>
    <t>Grants - General - Towne</t>
  </si>
  <si>
    <t>Grants - General - Norcliffe</t>
  </si>
  <si>
    <t>Grants - General - Chuckanut Health</t>
  </si>
  <si>
    <t>Grants - General - Whatcom Community</t>
  </si>
  <si>
    <t>Grants - QYP - Pride Foundation</t>
  </si>
  <si>
    <t>Grants - QYP - Mary Storer</t>
  </si>
  <si>
    <t>Grants - QYP - Whatcom Community</t>
  </si>
  <si>
    <t>Contracts - Teen Ct - City of Bham</t>
  </si>
  <si>
    <t>Contracts - Teen Ct - Whatcom County</t>
  </si>
  <si>
    <t>Grant - Moccasin Lake Foundation</t>
  </si>
  <si>
    <t>Grants - Teen Ct - Moccasin Lake</t>
  </si>
  <si>
    <t>Grants - Teen Ct - City of Ferndale</t>
  </si>
  <si>
    <t>Grants - Teen Ct - WWU</t>
  </si>
  <si>
    <t>Grant - Whatcom Bar Association</t>
  </si>
  <si>
    <t>LEAVE COVERAGE</t>
  </si>
  <si>
    <t>DOH unk</t>
  </si>
  <si>
    <t>Grants - SOP - Mick Lamb</t>
  </si>
  <si>
    <t xml:space="preserve">Grants - SOP- Access Freedom </t>
  </si>
  <si>
    <t>Contracts - SOP - RHYA</t>
  </si>
  <si>
    <t>Contracts - SOP - OVW</t>
  </si>
  <si>
    <t>Grants - WH TL - Safeco</t>
  </si>
  <si>
    <t>Grants  -WH Tl - Cornwall Housing</t>
  </si>
  <si>
    <t>Grants - SK TL - United Way</t>
  </si>
  <si>
    <t>Grants - SK TL - Skagit Community</t>
  </si>
  <si>
    <t>Grants - SK TL - Bank of America</t>
  </si>
  <si>
    <t>Grants - SK TL - Tulalip Tribe</t>
  </si>
  <si>
    <t>Contracts - SK TL - Skagit County</t>
  </si>
  <si>
    <t>Contracts - SK TL - HUD</t>
  </si>
  <si>
    <t>Contracts - SK Perm - Commerce (YAHP)</t>
  </si>
  <si>
    <t>GRAND TOTAL - CONTRACTS</t>
  </si>
  <si>
    <t>GRAND TOTAL - GRANTS</t>
  </si>
  <si>
    <t>Grants - Teen Ct - Whatcom Bar Assoc</t>
  </si>
  <si>
    <t>HR Director (SR)</t>
  </si>
  <si>
    <t>PAD Youth Worker (AG)</t>
  </si>
  <si>
    <t>Amber Gray</t>
  </si>
  <si>
    <t>Contract - Whatcom County Health Dept</t>
  </si>
  <si>
    <t>Contracts - Whatcom County - WH Perm</t>
  </si>
  <si>
    <t>DOH 08/07</t>
  </si>
  <si>
    <t>Street Outreach Manager (AR)</t>
  </si>
  <si>
    <t>Behavioral Health Team</t>
  </si>
  <si>
    <t>GRAND TOTAL           2018</t>
  </si>
  <si>
    <t>2017 Budget</t>
  </si>
  <si>
    <t>2018 Budget</t>
  </si>
  <si>
    <t>Age</t>
  </si>
  <si>
    <t>Est Increase</t>
  </si>
  <si>
    <t>2018 Premium</t>
  </si>
  <si>
    <t>Less EE Contribution</t>
  </si>
  <si>
    <t>Monthly ER Expense</t>
  </si>
  <si>
    <t>0-20</t>
  </si>
  <si>
    <t>64+</t>
  </si>
  <si>
    <t>(Based on 1.00 FTE)</t>
  </si>
  <si>
    <t xml:space="preserve">&lt;budget full participation </t>
  </si>
  <si>
    <t>Revenues:</t>
  </si>
  <si>
    <t>All revenues are expected to be the same as in 2016/2017 - unsecured, or new, funding is listed below</t>
  </si>
  <si>
    <t>&gt;</t>
  </si>
  <si>
    <t>Average for UNK Hires</t>
  </si>
  <si>
    <t>Employee Census - as of September 2017</t>
  </si>
  <si>
    <t>CURRENT Hourly Equivalent Rate of Pay</t>
  </si>
  <si>
    <t>PROPOSED Hourly Equivalent Rate of Pay</t>
  </si>
  <si>
    <t>UNK</t>
  </si>
  <si>
    <t>Finance Manager</t>
  </si>
  <si>
    <t>Development Director</t>
  </si>
  <si>
    <t>Human Resources Manager</t>
  </si>
  <si>
    <t>MH - Clinical Director</t>
  </si>
  <si>
    <t>MH</t>
  </si>
  <si>
    <t>MH - Substance Abuse Peer CM</t>
  </si>
  <si>
    <t>MH - Supported Employment Specialist</t>
  </si>
  <si>
    <t>MH - Training Specialist</t>
  </si>
  <si>
    <t>MH - Clinical Manager</t>
  </si>
  <si>
    <t>James Provost</t>
  </si>
  <si>
    <t>Angela Sherburne</t>
  </si>
  <si>
    <t>Alison Ross</t>
  </si>
  <si>
    <t>VOC-Vocational Specialist</t>
  </si>
  <si>
    <t>VOC-Garden Crew</t>
  </si>
  <si>
    <t>VOC-Vocational Coordinator</t>
  </si>
  <si>
    <t>Contract - Whatcom County</t>
  </si>
  <si>
    <t>Contract - SAMHSA</t>
  </si>
  <si>
    <t>Clinical Director (UNK)</t>
  </si>
  <si>
    <t>Substance Abuse Peer (UNK)</t>
  </si>
  <si>
    <t>Training Specialist (UNK)</t>
  </si>
  <si>
    <t>Supported Employment (UNK)</t>
  </si>
  <si>
    <t>Clinical Mgr (HF)</t>
  </si>
  <si>
    <t>Clinical Mgr (JD)</t>
  </si>
  <si>
    <t>Contract - Whatcom County Contract</t>
  </si>
  <si>
    <t>Grant - Whatcom Comm Foundation</t>
  </si>
  <si>
    <t>Grant - Capital One</t>
  </si>
  <si>
    <t>Youth Job Contracting</t>
  </si>
  <si>
    <t>Street Outreach Specialist (UNK)</t>
  </si>
  <si>
    <t>N/A</t>
  </si>
  <si>
    <t>PAD Case Manager (JH)</t>
  </si>
  <si>
    <t>Jesselyn Helms</t>
  </si>
  <si>
    <t>PAD Youth Worker (JP)</t>
  </si>
  <si>
    <t>DOH 7/17</t>
  </si>
  <si>
    <t>Ezekial Nuremberg</t>
  </si>
  <si>
    <t>Noell Johnson</t>
  </si>
  <si>
    <t>DOH 07/17</t>
  </si>
  <si>
    <t>PAD Youth Worker (EN)</t>
  </si>
  <si>
    <t>PAD Youth Worker (NJ)</t>
  </si>
  <si>
    <t>On Call</t>
  </si>
  <si>
    <t>Grant - Pride Foundation (RRF)</t>
  </si>
  <si>
    <t>Morning Shelter Specialist (UNK)</t>
  </si>
  <si>
    <t>Morning Shelter Specialist</t>
  </si>
  <si>
    <t>HUSLY</t>
  </si>
  <si>
    <t>PAD  Youth Worker (UNK)</t>
  </si>
  <si>
    <t xml:space="preserve">BLANK </t>
  </si>
  <si>
    <t>Case Manager (AR)</t>
  </si>
  <si>
    <t>DOH 06/17</t>
  </si>
  <si>
    <t>&lt;Average from Cost Centers Summary</t>
  </si>
  <si>
    <t>Finance Manager (UNK)</t>
  </si>
  <si>
    <t>Sydney Denessen</t>
  </si>
  <si>
    <t>Executive Assistant</t>
  </si>
  <si>
    <t>Community Relations Coord (SG)</t>
  </si>
  <si>
    <t>Development Director (UNK)</t>
  </si>
  <si>
    <t>WH TL &amp; PERM</t>
  </si>
  <si>
    <t>Site Monitor (UNK)</t>
  </si>
  <si>
    <t>Vocational Specialist (AS)</t>
  </si>
  <si>
    <t>Grant - Horne Foundation</t>
  </si>
  <si>
    <t>Contract - Bham School District (Ops)</t>
  </si>
  <si>
    <t>PAD Program Mgr (JW)</t>
  </si>
  <si>
    <t>Program Support  Coord (UNK)</t>
  </si>
  <si>
    <t>Grant - Superfeet</t>
  </si>
  <si>
    <t>Whatcom - Permanent Housing</t>
  </si>
  <si>
    <t>Whatcom - Street Outreach Program</t>
  </si>
  <si>
    <t>Skagit - Transitional Living</t>
  </si>
  <si>
    <t>Skagit - Permanent Housing</t>
  </si>
  <si>
    <t>Skagit - Vocational</t>
  </si>
  <si>
    <t xml:space="preserve">From Cost Centers </t>
  </si>
  <si>
    <t>From Monthly Summary</t>
  </si>
  <si>
    <t>Whatcom - HUSLY</t>
  </si>
  <si>
    <t>Skagit - HUSLY</t>
  </si>
  <si>
    <t>Grants - General - Horne</t>
  </si>
  <si>
    <t>Contracts - WH HUSLY - Commerce YAS</t>
  </si>
  <si>
    <t>Contract - State Dept of Commerce YAHP</t>
  </si>
  <si>
    <t>Contracts - WH TL - Commerce YAHP</t>
  </si>
  <si>
    <t>Contracts - VOC - Whatcom County</t>
  </si>
  <si>
    <t>Grants - VOC - Whatcom Comm Foundation</t>
  </si>
  <si>
    <t>Contracts - QYP - Whatcom County</t>
  </si>
  <si>
    <t>Contracts - BH - Whatcom County</t>
  </si>
  <si>
    <t>Contracts - BH - SAMHSA</t>
  </si>
  <si>
    <t>Contracts - SK HUSLY - Commerce YAS</t>
  </si>
  <si>
    <t>Grants - General - Superfeet</t>
  </si>
  <si>
    <t>1020 N State Allocation</t>
  </si>
  <si>
    <t>Core Mission Supp &amp; 1020 N Allocations</t>
  </si>
  <si>
    <t>Donation - for Dev Dir</t>
  </si>
  <si>
    <t>Grant - Mt Vernon Skagit Rotary</t>
  </si>
  <si>
    <t>Grant - SK VOC - Tulalip Tribe</t>
  </si>
  <si>
    <t>Grant - SK VOC - United Way</t>
  </si>
  <si>
    <t>Grant - SK VOC - Skagit Community Foundation</t>
  </si>
  <si>
    <t>Grant - SK VOC - Mt Vernon/Skagit Rotary</t>
  </si>
  <si>
    <t>Program Support Coordinator</t>
  </si>
  <si>
    <t>Operations Director</t>
  </si>
  <si>
    <t>Programs Director</t>
  </si>
  <si>
    <t>Hour worked</t>
  </si>
  <si>
    <t>Annually</t>
  </si>
  <si>
    <t xml:space="preserve">Add'l Cost </t>
  </si>
  <si>
    <t>per Hour</t>
  </si>
  <si>
    <t>Cash Flow Projection</t>
  </si>
  <si>
    <t>Bginning Unrestricted Cash - Estimated</t>
  </si>
  <si>
    <t>(Less) Payroll</t>
  </si>
  <si>
    <t>(Less) Vendor Payments</t>
  </si>
  <si>
    <t>Plus Receivables Collected</t>
  </si>
  <si>
    <t>Plus Fees, Fundraising, Donations,  Etc</t>
  </si>
  <si>
    <t>Total, Unrestricted Cash</t>
  </si>
  <si>
    <t>Plus Grants Received</t>
  </si>
  <si>
    <t>Program Support Specialist &amp; Coordinator</t>
  </si>
  <si>
    <t>WH - HUSLY</t>
  </si>
  <si>
    <t>SK - HUSLY</t>
  </si>
  <si>
    <t>WH - TL</t>
  </si>
  <si>
    <t>WH - PERM</t>
  </si>
  <si>
    <t>WH - S+C (?)</t>
  </si>
  <si>
    <t>WH - PAD</t>
  </si>
  <si>
    <t>WH - VOC</t>
  </si>
  <si>
    <t>WH - HSSP</t>
  </si>
  <si>
    <t>WH - SOP</t>
  </si>
  <si>
    <t>WH - TC</t>
  </si>
  <si>
    <t>WH - QYP</t>
  </si>
  <si>
    <t>WH - HMIS (?)</t>
  </si>
  <si>
    <t>SK - TL</t>
  </si>
  <si>
    <t>SK - RRH (?)</t>
  </si>
  <si>
    <t>SK - VOC</t>
  </si>
  <si>
    <t xml:space="preserve">Total </t>
  </si>
  <si>
    <t>SK - PERM</t>
  </si>
  <si>
    <t>% FTE</t>
  </si>
  <si>
    <t>WH- Case Management (?)</t>
  </si>
  <si>
    <t>BH Team</t>
  </si>
  <si>
    <t>Programs Director (UNK)</t>
  </si>
  <si>
    <t>Case Manager (EA)</t>
  </si>
  <si>
    <t>New fundraising expected as a result of hiring a FT Development Director - $100K</t>
  </si>
  <si>
    <t>Assumed that all funding available will be drawn down</t>
  </si>
  <si>
    <t>Assumed all other revenues (fees, donations, etc) will maintain current levels (note that In Kind Donations have been reduced to what is GAAP)</t>
  </si>
  <si>
    <t>Personnel:</t>
  </si>
  <si>
    <t>Added the following position:  Development Director, Operations Director, Clinical Director</t>
  </si>
  <si>
    <t>Increased Leave Coverage for SOP &amp; PAD teams to be more realistic</t>
  </si>
  <si>
    <t>Increased Finance Mgr position to full time</t>
  </si>
  <si>
    <t>Decreased Grant Writer to part time</t>
  </si>
  <si>
    <t>Payroll taxes are based on current rates (they change annually, in January)</t>
  </si>
  <si>
    <t>SAMHSA funding for Behavioral Health is new, at $400K per year.</t>
  </si>
  <si>
    <t>Operating Expenses:</t>
  </si>
  <si>
    <t>Fees included for implementation of new donor software and ADP services</t>
  </si>
  <si>
    <t>Higher rent expenses for Admin office at the Herald</t>
  </si>
  <si>
    <t>SAMHSA</t>
  </si>
  <si>
    <t>ADP &amp; Donor sofware</t>
  </si>
  <si>
    <t>Realistic expectation</t>
  </si>
  <si>
    <t>New Admin &amp; BH Team space</t>
  </si>
  <si>
    <t>Includes Utitlies</t>
  </si>
  <si>
    <t>Removed IK donations tha shouldn't be booked</t>
  </si>
  <si>
    <t>Missed liab ins last budget</t>
  </si>
  <si>
    <t>BH Team &amp; New directors &amp; Wage increases</t>
  </si>
  <si>
    <t>Other than SAMSHA, drawing down funds in time frame</t>
  </si>
  <si>
    <t>Satterberg as revenue - not just cash</t>
  </si>
  <si>
    <t>22N Donations Paid, now Receiving (Blair, Imhof, Kimberly)</t>
  </si>
  <si>
    <t>Executive/Admin Assistant (SD)</t>
  </si>
  <si>
    <t>Grant - Medina</t>
  </si>
  <si>
    <t>Contract - Commerce</t>
  </si>
  <si>
    <t>Contracts - BH - Commerce</t>
  </si>
  <si>
    <t>BH Specialist</t>
  </si>
  <si>
    <t>Contracts</t>
  </si>
  <si>
    <t>Fundraising &amp; Other Activities</t>
  </si>
  <si>
    <r>
      <t xml:space="preserve">NWYS Budget - </t>
    </r>
    <r>
      <rPr>
        <b/>
        <sz val="12"/>
        <color rgb="FFFF0000"/>
        <rFont val="Times New Roman"/>
        <family val="1"/>
      </rPr>
      <t>Fun Facts!</t>
    </r>
  </si>
  <si>
    <t>Dollars</t>
  </si>
  <si>
    <t>%</t>
  </si>
  <si>
    <t>Expenses:</t>
  </si>
  <si>
    <t>Personnel</t>
  </si>
  <si>
    <t>Operating</t>
  </si>
  <si>
    <t>Core Mission Support vs Programs</t>
  </si>
  <si>
    <t>Program Expenses</t>
  </si>
  <si>
    <t>Core Mission Support Expenses</t>
  </si>
  <si>
    <t>Number of Employees</t>
  </si>
  <si>
    <t>Number of FTE's</t>
  </si>
  <si>
    <t>Total Additional</t>
  </si>
  <si>
    <t>Expense</t>
  </si>
  <si>
    <t>Incl Taxes</t>
  </si>
  <si>
    <t>A few words about process…..</t>
  </si>
  <si>
    <t>Meetings with the Managers on each program, by line item</t>
  </si>
  <si>
    <t>Feedback from the Board incorporated, and add'l info added (Health Ins)</t>
  </si>
  <si>
    <t>Approval by the Board at their November meeting</t>
  </si>
  <si>
    <t>Review by Executive Director &amp; Operations Manager</t>
  </si>
  <si>
    <t>Feedback from the Executive Director &amp; Operations Manager incorporated</t>
  </si>
  <si>
    <t>NWYS Cash Donations History</t>
  </si>
  <si>
    <t>(from Audited Financials)</t>
  </si>
  <si>
    <t>Year</t>
  </si>
  <si>
    <t>Annual Average</t>
  </si>
  <si>
    <t>Increased wages for line staff - total cost, including taxes, is approximately $67K</t>
  </si>
  <si>
    <t>Moving to ADP assumed in January, providing a one-time cash bump of about $90K</t>
  </si>
  <si>
    <t>Welcome!</t>
  </si>
  <si>
    <t xml:space="preserve"> </t>
  </si>
  <si>
    <t>Grant - Peoples Bank</t>
  </si>
  <si>
    <t>Grants - PAD - Peoples</t>
  </si>
  <si>
    <t>Grant - Smith</t>
  </si>
  <si>
    <t>Grants - PAD - Smith</t>
  </si>
  <si>
    <t>Grant - Kaiser</t>
  </si>
  <si>
    <t>Grant - Woozy Moo</t>
  </si>
  <si>
    <t>Grants - General - Medina</t>
  </si>
  <si>
    <t>22 North Project</t>
  </si>
  <si>
    <t>Contract - Wash Youth &amp; Families Fund</t>
  </si>
  <si>
    <t>Contracts - 22 North - WYFF</t>
  </si>
  <si>
    <t>Housing/Program Mgr</t>
  </si>
  <si>
    <t>Health insurance premiums are budgeted for a 0% increase, as per current info from Rice Ins - 7% employee contribution removed</t>
  </si>
  <si>
    <r>
      <t>Special Budget Meeting with the Board -</t>
    </r>
    <r>
      <rPr>
        <sz val="26"/>
        <color theme="5" tint="-0.249977111117893"/>
        <rFont val="Times New Roman"/>
        <family val="1"/>
      </rPr>
      <t xml:space="preserve"> October 18th</t>
    </r>
  </si>
  <si>
    <r>
      <t xml:space="preserve">2nd Special Budget Meeting - </t>
    </r>
    <r>
      <rPr>
        <sz val="26"/>
        <color theme="5" tint="-0.249977111117893"/>
        <rFont val="Times New Roman"/>
        <family val="1"/>
      </rPr>
      <t>November 6th</t>
    </r>
  </si>
  <si>
    <t>% of Budget</t>
  </si>
  <si>
    <t>Contract - Dept of Commerce/YAS - 51.5%</t>
  </si>
  <si>
    <t>Contract - Dept of Commerce/YAS - 48.5%</t>
  </si>
  <si>
    <t>Contracts - 22 North - HUD</t>
  </si>
  <si>
    <t>Development Director Donations</t>
  </si>
  <si>
    <t>Replace Servers &amp; Upgrade IT (Capitalized Expenditure)</t>
  </si>
  <si>
    <t>Capital Expenditure:</t>
  </si>
  <si>
    <t>$35K added to Cash Flow Projection for capital project - Server Replacement &amp; IT Upgrades</t>
  </si>
  <si>
    <t>Northwest Youth Services Budget - 2018 - APPROVED BY BOARD NOV 30, 2017</t>
  </si>
  <si>
    <t>Approved Surplus&gt;</t>
  </si>
  <si>
    <t>COLA for</t>
  </si>
  <si>
    <t>Employees not</t>
  </si>
  <si>
    <t>recving range increases</t>
  </si>
  <si>
    <t>Maintenance Tech (DS)</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</si>
</sst>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quot;$&quot;* #,##0.00_);_(&quot;$&quot;* \(#,##0.00\);_(&quot;$&quot;* &quot;-&quot;??_);_(@_)"/>
    <numFmt numFmtId="43" formatCode="_(* #,##0.00_);_(* \(#,##0.00\);_(* &quot;-&quot;??_);_(@_)"/>
    <numFmt numFmtId="164" formatCode="_(* #,##0_);_(* \(#,##0\);_(* &quot;-&quot;??_);_(@_)"/>
    <numFmt numFmtId="165" formatCode="0.000"/>
    <numFmt numFmtId="166" formatCode="_(&quot;$&quot;* #,##0_);_(&quot;$&quot;* \(#,##0\);_(&quot;$&quot;* &quot;-&quot;??_);_(@_)"/>
    <numFmt numFmtId="167" formatCode="#,##0.00000"/>
    <numFmt numFmtId="168" formatCode="_(&quot;$&quot;* #,##0_);_(&quot;$&quot;* \(#,##0\);_(&quot;$&quot;* &quot;-&quot;???_);_(@_)"/>
    <numFmt numFmtId="169" formatCode="0.0%"/>
    <numFmt numFmtId="170" formatCode="mm/dd/yy;@"/>
    <numFmt numFmtId="171" formatCode="#,##0.000"/>
    <numFmt numFmtId="172" formatCode="#,##0.000_);[Red]\(#,##0.000\)"/>
    <numFmt numFmtId="173" formatCode="0_);[Red]\(0\)"/>
  </numFmts>
  <fonts count="38" x14ac:knownFonts="1">
    <font>
      <sz val="12"/>
      <color theme="1"/>
      <name val="Times New Roman"/>
      <family val="2"/>
    </font>
    <font>
      <sz val="11"/>
      <color theme="1"/>
      <name val="Calibri"/>
      <family val="2"/>
      <scheme val="minor"/>
    </font>
    <font>
      <b/>
      <sz val="12"/>
      <color theme="1"/>
      <name val="Times New Roman"/>
      <family val="1"/>
    </font>
    <font>
      <b/>
      <sz val="11"/>
      <color theme="1"/>
      <name val="Times New Roman"/>
      <family val="1"/>
    </font>
    <font>
      <sz val="11"/>
      <color theme="1"/>
      <name val="Times New Roman"/>
      <family val="1"/>
    </font>
    <font>
      <sz val="12"/>
      <color theme="1"/>
      <name val="Times New Roman"/>
      <family val="2"/>
    </font>
    <font>
      <b/>
      <sz val="10"/>
      <color theme="1"/>
      <name val="Times New Roman"/>
      <family val="1"/>
    </font>
    <font>
      <sz val="10"/>
      <color theme="1"/>
      <name val="Times New Roman"/>
      <family val="1"/>
    </font>
    <font>
      <sz val="12"/>
      <color theme="1"/>
      <name val="Times New Roman"/>
      <family val="1"/>
    </font>
    <font>
      <b/>
      <sz val="10"/>
      <name val="Times New Roman"/>
      <family val="1"/>
    </font>
    <font>
      <sz val="10"/>
      <color theme="1"/>
      <name val="Times New Roman"/>
      <family val="2"/>
    </font>
    <font>
      <b/>
      <sz val="8"/>
      <color indexed="8"/>
      <name val="Arial"/>
      <family val="2"/>
    </font>
    <font>
      <b/>
      <sz val="12"/>
      <color indexed="8"/>
      <name val="Arial"/>
      <family val="2"/>
    </font>
    <font>
      <sz val="9"/>
      <color indexed="81"/>
      <name val="Tahoma"/>
      <family val="2"/>
    </font>
    <font>
      <b/>
      <sz val="9"/>
      <color indexed="81"/>
      <name val="Tahoma"/>
      <family val="2"/>
    </font>
    <font>
      <b/>
      <sz val="16"/>
      <color theme="1"/>
      <name val="Times New Roman"/>
      <family val="1"/>
    </font>
    <font>
      <sz val="16"/>
      <color theme="1"/>
      <name val="Times New Roman"/>
      <family val="1"/>
    </font>
    <font>
      <sz val="16"/>
      <name val="Times New Roman"/>
      <family val="1"/>
    </font>
    <font>
      <b/>
      <sz val="12"/>
      <color theme="1"/>
      <name val="Calibri"/>
      <family val="2"/>
    </font>
    <font>
      <sz val="12"/>
      <color theme="1"/>
      <name val="Calibri"/>
      <family val="2"/>
    </font>
    <font>
      <sz val="14"/>
      <color theme="1"/>
      <name val="Calibri"/>
      <family val="2"/>
    </font>
    <font>
      <sz val="10"/>
      <color rgb="FFFF0000"/>
      <name val="Times New Roman"/>
      <family val="2"/>
    </font>
    <font>
      <b/>
      <sz val="16"/>
      <name val="Times New Roman"/>
      <family val="1"/>
    </font>
    <font>
      <sz val="10"/>
      <name val="Times New Roman"/>
      <family val="1"/>
    </font>
    <font>
      <sz val="10"/>
      <color rgb="FFFFFF00"/>
      <name val="Times New Roman"/>
      <family val="1"/>
    </font>
    <font>
      <sz val="11"/>
      <color rgb="FFFF0000"/>
      <name val="Calibri"/>
      <family val="2"/>
      <scheme val="minor"/>
    </font>
    <font>
      <b/>
      <sz val="11"/>
      <color theme="1"/>
      <name val="Calibri"/>
      <family val="2"/>
      <scheme val="minor"/>
    </font>
    <font>
      <b/>
      <sz val="10"/>
      <color theme="1"/>
      <name val="Calibri"/>
      <family val="2"/>
      <scheme val="minor"/>
    </font>
    <font>
      <b/>
      <sz val="10"/>
      <color indexed="8"/>
      <name val="Times New Roman"/>
      <family val="1"/>
    </font>
    <font>
      <sz val="10"/>
      <color theme="0"/>
      <name val="Times New Roman"/>
      <family val="1"/>
    </font>
    <font>
      <sz val="16"/>
      <color theme="1"/>
      <name val="Times New Roman"/>
      <family val="2"/>
    </font>
    <font>
      <b/>
      <sz val="11"/>
      <color theme="1"/>
      <name val="Calibri"/>
      <family val="2"/>
    </font>
    <font>
      <sz val="18"/>
      <color theme="1"/>
      <name val="Times New Roman"/>
      <family val="2"/>
    </font>
    <font>
      <b/>
      <sz val="12"/>
      <color rgb="FFFF0000"/>
      <name val="Times New Roman"/>
      <family val="1"/>
    </font>
    <font>
      <sz val="26"/>
      <color theme="6" tint="-0.249977111117893"/>
      <name val="Times New Roman"/>
      <family val="2"/>
    </font>
    <font>
      <b/>
      <sz val="28"/>
      <color theme="6" tint="-0.249977111117893"/>
      <name val="Times New Roman"/>
      <family val="1"/>
    </font>
    <font>
      <sz val="26"/>
      <color theme="5" tint="-0.249977111117893"/>
      <name val="Times New Roman"/>
      <family val="1"/>
    </font>
    <font>
      <b/>
      <i/>
      <sz val="72"/>
      <color theme="3" tint="0.39997558519241921"/>
      <name val="Times New Roman"/>
      <family val="1"/>
    </font>
  </fonts>
  <fills count="1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indexed="9"/>
        <bgColor indexed="64"/>
      </patternFill>
    </fill>
    <fill>
      <patternFill patternType="solid">
        <fgColor indexed="3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rgb="FF92D050"/>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59999389629810485"/>
        <bgColor indexed="64"/>
      </patternFill>
    </fill>
  </fills>
  <borders count="40">
    <border>
      <left/>
      <right/>
      <top/>
      <bottom/>
      <diagonal/>
    </border>
    <border>
      <left/>
      <right/>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medium">
        <color auto="1"/>
      </top>
      <bottom style="double">
        <color auto="1"/>
      </bottom>
      <diagonal/>
    </border>
    <border>
      <left/>
      <right/>
      <top style="medium">
        <color auto="1"/>
      </top>
      <bottom/>
      <diagonal/>
    </border>
    <border>
      <left/>
      <right/>
      <top/>
      <bottom style="thin">
        <color auto="1"/>
      </bottom>
      <diagonal/>
    </border>
    <border>
      <left/>
      <right/>
      <top/>
      <bottom style="double">
        <color indexed="64"/>
      </bottom>
      <diagonal/>
    </border>
    <border>
      <left style="double">
        <color auto="1"/>
      </left>
      <right/>
      <top style="double">
        <color auto="1"/>
      </top>
      <bottom style="medium">
        <color auto="1"/>
      </bottom>
      <diagonal/>
    </border>
    <border>
      <left style="double">
        <color auto="1"/>
      </left>
      <right/>
      <top/>
      <bottom/>
      <diagonal/>
    </border>
    <border>
      <left style="double">
        <color auto="1"/>
      </left>
      <right/>
      <top style="medium">
        <color auto="1"/>
      </top>
      <bottom/>
      <diagonal/>
    </border>
    <border>
      <left style="double">
        <color auto="1"/>
      </left>
      <right style="double">
        <color auto="1"/>
      </right>
      <top style="double">
        <color auto="1"/>
      </top>
      <bottom style="medium">
        <color auto="1"/>
      </bottom>
      <diagonal/>
    </border>
    <border>
      <left style="double">
        <color auto="1"/>
      </left>
      <right style="double">
        <color auto="1"/>
      </right>
      <top/>
      <bottom/>
      <diagonal/>
    </border>
    <border>
      <left style="double">
        <color auto="1"/>
      </left>
      <right style="double">
        <color auto="1"/>
      </right>
      <top style="medium">
        <color auto="1"/>
      </top>
      <bottom/>
      <diagonal/>
    </border>
    <border>
      <left style="double">
        <color auto="1"/>
      </left>
      <right style="double">
        <color auto="1"/>
      </right>
      <top/>
      <bottom style="medium">
        <color auto="1"/>
      </bottom>
      <diagonal/>
    </border>
    <border>
      <left style="double">
        <color auto="1"/>
      </left>
      <right style="double">
        <color auto="1"/>
      </right>
      <top style="thin">
        <color auto="1"/>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double">
        <color auto="1"/>
      </left>
      <right style="double">
        <color auto="1"/>
      </right>
      <top style="medium">
        <color auto="1"/>
      </top>
      <bottom style="thin">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medium">
        <color auto="1"/>
      </top>
      <bottom style="double">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style="thin">
        <color auto="1"/>
      </right>
      <top/>
      <bottom style="medium">
        <color auto="1"/>
      </bottom>
      <diagonal/>
    </border>
    <border>
      <left style="thin">
        <color auto="1"/>
      </left>
      <right style="thin">
        <color auto="1"/>
      </right>
      <top/>
      <bottom/>
      <diagonal/>
    </border>
    <border>
      <left/>
      <right/>
      <top style="medium">
        <color auto="1"/>
      </top>
      <bottom style="thin">
        <color auto="1"/>
      </bottom>
      <diagonal/>
    </border>
    <border>
      <left style="double">
        <color auto="1"/>
      </left>
      <right style="double">
        <color auto="1"/>
      </right>
      <top/>
      <bottom style="thin">
        <color auto="1"/>
      </bottom>
      <diagonal/>
    </border>
    <border>
      <left/>
      <right/>
      <top style="thin">
        <color auto="1"/>
      </top>
      <bottom style="thin">
        <color auto="1"/>
      </bottom>
      <diagonal/>
    </border>
    <border>
      <left style="double">
        <color auto="1"/>
      </left>
      <right/>
      <top style="thin">
        <color auto="1"/>
      </top>
      <bottom style="thin">
        <color auto="1"/>
      </bottom>
      <diagonal/>
    </border>
    <border>
      <left style="double">
        <color auto="1"/>
      </left>
      <right/>
      <top style="thin">
        <color auto="1"/>
      </top>
      <bottom style="medium">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style="double">
        <color auto="1"/>
      </top>
      <bottom style="medium">
        <color auto="1"/>
      </bottom>
      <diagonal/>
    </border>
    <border>
      <left style="double">
        <color auto="1"/>
      </left>
      <right/>
      <top style="double">
        <color auto="1"/>
      </top>
      <bottom/>
      <diagonal/>
    </border>
    <border>
      <left style="double">
        <color auto="1"/>
      </left>
      <right style="double">
        <color auto="1"/>
      </right>
      <top style="double">
        <color auto="1"/>
      </top>
      <bottom/>
      <diagonal/>
    </border>
    <border>
      <left style="double">
        <color auto="1"/>
      </left>
      <right style="double">
        <color auto="1"/>
      </right>
      <top/>
      <bottom style="double">
        <color auto="1"/>
      </bottom>
      <diagonal/>
    </border>
  </borders>
  <cellStyleXfs count="11">
    <xf numFmtId="0" fontId="0" fillId="0" borderId="0"/>
    <xf numFmtId="9"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5" fillId="0" borderId="0"/>
    <xf numFmtId="9" fontId="5" fillId="0" borderId="0" applyFont="0" applyFill="0" applyBorder="0" applyAlignment="0" applyProtection="0"/>
  </cellStyleXfs>
  <cellXfs count="524">
    <xf numFmtId="0" fontId="0" fillId="0" borderId="0" xfId="0"/>
    <xf numFmtId="0" fontId="2" fillId="0" borderId="0" xfId="0" applyFont="1"/>
    <xf numFmtId="0" fontId="3" fillId="0" borderId="0" xfId="0" applyFont="1"/>
    <xf numFmtId="0" fontId="4" fillId="0" borderId="0" xfId="0" applyFont="1"/>
    <xf numFmtId="0" fontId="6" fillId="0" borderId="0" xfId="0" applyFont="1"/>
    <xf numFmtId="0" fontId="7" fillId="0" borderId="0" xfId="0" applyFont="1"/>
    <xf numFmtId="38" fontId="6" fillId="0" borderId="0" xfId="0" applyNumberFormat="1" applyFont="1"/>
    <xf numFmtId="0" fontId="8" fillId="0" borderId="0" xfId="0" applyFont="1"/>
    <xf numFmtId="38" fontId="2" fillId="0" borderId="0" xfId="0" applyNumberFormat="1" applyFont="1"/>
    <xf numFmtId="0" fontId="6" fillId="0" borderId="0" xfId="0" applyFont="1" applyAlignment="1">
      <alignment horizontal="center" wrapText="1"/>
    </xf>
    <xf numFmtId="0" fontId="10" fillId="0" borderId="0" xfId="0" applyFont="1"/>
    <xf numFmtId="0" fontId="0" fillId="0" borderId="0" xfId="0" applyFill="1"/>
    <xf numFmtId="0" fontId="10" fillId="2" borderId="0" xfId="0" applyFont="1" applyFill="1"/>
    <xf numFmtId="166" fontId="7" fillId="0" borderId="0" xfId="3" applyNumberFormat="1" applyFont="1" applyAlignment="1">
      <alignment horizontal="center"/>
    </xf>
    <xf numFmtId="0" fontId="8" fillId="0" borderId="1" xfId="0" applyFont="1" applyBorder="1"/>
    <xf numFmtId="0" fontId="2" fillId="0" borderId="9" xfId="0" applyFont="1" applyBorder="1"/>
    <xf numFmtId="0" fontId="8" fillId="0" borderId="3" xfId="0" applyFont="1" applyBorder="1"/>
    <xf numFmtId="0" fontId="2" fillId="0" borderId="4" xfId="0" applyFont="1" applyBorder="1"/>
    <xf numFmtId="38" fontId="2" fillId="0" borderId="4" xfId="0" applyNumberFormat="1" applyFont="1" applyBorder="1"/>
    <xf numFmtId="9" fontId="12" fillId="0" borderId="0" xfId="0" applyNumberFormat="1" applyFont="1" applyBorder="1" applyAlignment="1">
      <alignment horizontal="center"/>
    </xf>
    <xf numFmtId="0" fontId="8" fillId="2" borderId="3" xfId="0" applyFont="1" applyFill="1" applyBorder="1"/>
    <xf numFmtId="0" fontId="2" fillId="0" borderId="4" xfId="0" applyFont="1" applyFill="1" applyBorder="1"/>
    <xf numFmtId="0" fontId="2" fillId="0" borderId="0" xfId="0" applyFont="1" applyFill="1" applyBorder="1"/>
    <xf numFmtId="0" fontId="2" fillId="0" borderId="7" xfId="0" applyFont="1" applyFill="1" applyBorder="1"/>
    <xf numFmtId="38" fontId="2" fillId="0" borderId="7" xfId="0" applyNumberFormat="1" applyFont="1" applyBorder="1"/>
    <xf numFmtId="40" fontId="7" fillId="3" borderId="0" xfId="0" applyNumberFormat="1" applyFont="1" applyFill="1"/>
    <xf numFmtId="38" fontId="6" fillId="0" borderId="8" xfId="0" applyNumberFormat="1" applyFont="1" applyBorder="1" applyAlignment="1">
      <alignment horizontal="center" wrapText="1"/>
    </xf>
    <xf numFmtId="0" fontId="10" fillId="3" borderId="0" xfId="0" applyFont="1" applyFill="1"/>
    <xf numFmtId="0" fontId="6" fillId="0" borderId="0" xfId="0" applyFont="1" applyBorder="1" applyAlignment="1">
      <alignment horizontal="left" wrapText="1"/>
    </xf>
    <xf numFmtId="0" fontId="6" fillId="0" borderId="0" xfId="0" applyFont="1"/>
    <xf numFmtId="0" fontId="7" fillId="0" borderId="0" xfId="0" applyFont="1"/>
    <xf numFmtId="38" fontId="6" fillId="0" borderId="0" xfId="0" applyNumberFormat="1" applyFont="1"/>
    <xf numFmtId="9" fontId="6" fillId="0" borderId="0" xfId="1" applyFont="1" applyAlignment="1">
      <alignment horizontal="center"/>
    </xf>
    <xf numFmtId="0" fontId="6" fillId="0" borderId="0" xfId="0" applyFont="1" applyAlignment="1">
      <alignment horizontal="center" wrapText="1"/>
    </xf>
    <xf numFmtId="0" fontId="9" fillId="0" borderId="0" xfId="0" applyFont="1"/>
    <xf numFmtId="10" fontId="6" fillId="0" borderId="0" xfId="1" applyNumberFormat="1" applyFont="1" applyAlignment="1">
      <alignment horizontal="center"/>
    </xf>
    <xf numFmtId="0" fontId="9" fillId="0" borderId="0" xfId="0" applyFont="1" applyBorder="1"/>
    <xf numFmtId="2" fontId="6" fillId="0" borderId="0" xfId="0" applyNumberFormat="1" applyFont="1" applyAlignment="1">
      <alignment horizontal="center" vertical="center"/>
    </xf>
    <xf numFmtId="0" fontId="10" fillId="0" borderId="0" xfId="0" applyFont="1"/>
    <xf numFmtId="165" fontId="9" fillId="0" borderId="0" xfId="1" applyNumberFormat="1" applyFont="1" applyAlignment="1">
      <alignment horizontal="center"/>
    </xf>
    <xf numFmtId="0" fontId="9" fillId="0" borderId="0" xfId="0" applyFont="1" applyFill="1" applyBorder="1"/>
    <xf numFmtId="3" fontId="6" fillId="0" borderId="0" xfId="0" applyNumberFormat="1" applyFont="1" applyAlignment="1">
      <alignment horizontal="center"/>
    </xf>
    <xf numFmtId="167" fontId="6" fillId="0" borderId="0" xfId="0" applyNumberFormat="1" applyFont="1" applyAlignment="1">
      <alignment horizontal="center"/>
    </xf>
    <xf numFmtId="0" fontId="10" fillId="2" borderId="0" xfId="0" applyFont="1" applyFill="1"/>
    <xf numFmtId="0" fontId="4" fillId="0" borderId="0" xfId="0" applyFont="1" applyBorder="1"/>
    <xf numFmtId="0" fontId="3" fillId="0" borderId="0" xfId="0" applyFont="1" applyBorder="1"/>
    <xf numFmtId="38" fontId="3" fillId="0" borderId="0" xfId="0" applyNumberFormat="1" applyFont="1" applyBorder="1"/>
    <xf numFmtId="38" fontId="3" fillId="0" borderId="0" xfId="0" applyNumberFormat="1" applyFont="1" applyBorder="1" applyAlignment="1">
      <alignment horizontal="center"/>
    </xf>
    <xf numFmtId="4" fontId="9" fillId="0" borderId="0" xfId="1" applyNumberFormat="1" applyFont="1" applyAlignment="1">
      <alignment horizontal="center"/>
    </xf>
    <xf numFmtId="2" fontId="7" fillId="0" borderId="0" xfId="0" applyNumberFormat="1" applyFont="1" applyAlignment="1">
      <alignment horizontal="center" vertical="center"/>
    </xf>
    <xf numFmtId="1" fontId="7" fillId="0" borderId="0" xfId="0" applyNumberFormat="1" applyFont="1"/>
    <xf numFmtId="2" fontId="6" fillId="0" borderId="5" xfId="0" applyNumberFormat="1" applyFont="1" applyBorder="1"/>
    <xf numFmtId="2" fontId="6" fillId="0" borderId="0" xfId="0" applyNumberFormat="1" applyFont="1" applyAlignment="1">
      <alignment horizontal="center" wrapText="1"/>
    </xf>
    <xf numFmtId="0" fontId="7" fillId="0" borderId="0" xfId="0" applyFont="1" applyAlignment="1">
      <alignment horizontal="center" vertical="center"/>
    </xf>
    <xf numFmtId="0" fontId="0" fillId="0" borderId="0" xfId="0"/>
    <xf numFmtId="0" fontId="2" fillId="0" borderId="0" xfId="0" applyFont="1"/>
    <xf numFmtId="0" fontId="4" fillId="0" borderId="0" xfId="0" applyFont="1"/>
    <xf numFmtId="0" fontId="2" fillId="0" borderId="1" xfId="0" applyFont="1" applyBorder="1"/>
    <xf numFmtId="0" fontId="6" fillId="0" borderId="0" xfId="0" applyFont="1"/>
    <xf numFmtId="0" fontId="7" fillId="0" borderId="0" xfId="0" applyFont="1"/>
    <xf numFmtId="38" fontId="6" fillId="0" borderId="0" xfId="0" applyNumberFormat="1" applyFont="1"/>
    <xf numFmtId="0" fontId="7" fillId="0" borderId="3" xfId="0" applyFont="1" applyBorder="1"/>
    <xf numFmtId="38" fontId="7" fillId="0" borderId="3" xfId="0" applyNumberFormat="1" applyFont="1" applyBorder="1"/>
    <xf numFmtId="38" fontId="6" fillId="0" borderId="3" xfId="0" applyNumberFormat="1" applyFont="1" applyBorder="1"/>
    <xf numFmtId="0" fontId="6" fillId="0" borderId="4" xfId="0" applyFont="1" applyBorder="1"/>
    <xf numFmtId="38" fontId="6" fillId="0" borderId="4" xfId="0" applyNumberFormat="1" applyFont="1" applyBorder="1"/>
    <xf numFmtId="38" fontId="7" fillId="0" borderId="0" xfId="0" applyNumberFormat="1" applyFont="1"/>
    <xf numFmtId="0" fontId="6" fillId="0" borderId="1" xfId="0" applyFont="1" applyBorder="1"/>
    <xf numFmtId="0" fontId="8" fillId="0" borderId="0" xfId="0" applyFont="1"/>
    <xf numFmtId="0" fontId="2" fillId="0" borderId="5" xfId="0" applyFont="1" applyBorder="1"/>
    <xf numFmtId="0" fontId="6" fillId="0" borderId="0" xfId="0" applyFont="1" applyAlignment="1">
      <alignment horizontal="center" wrapText="1"/>
    </xf>
    <xf numFmtId="0" fontId="6" fillId="0" borderId="0" xfId="0" applyFont="1" applyAlignment="1">
      <alignment horizontal="center"/>
    </xf>
    <xf numFmtId="0" fontId="6" fillId="0" borderId="0" xfId="0" applyFont="1" applyAlignment="1">
      <alignment horizontal="center" vertical="center"/>
    </xf>
    <xf numFmtId="40" fontId="7" fillId="0" borderId="0" xfId="0" applyNumberFormat="1" applyFont="1"/>
    <xf numFmtId="40" fontId="6" fillId="0" borderId="0" xfId="0" applyNumberFormat="1" applyFont="1"/>
    <xf numFmtId="40" fontId="6" fillId="0" borderId="0" xfId="0" applyNumberFormat="1" applyFont="1" applyAlignment="1">
      <alignment horizontal="center"/>
    </xf>
    <xf numFmtId="0" fontId="2" fillId="0" borderId="8" xfId="0" applyFont="1" applyBorder="1"/>
    <xf numFmtId="9" fontId="7" fillId="0" borderId="0" xfId="1" applyFont="1" applyAlignment="1">
      <alignment horizontal="center"/>
    </xf>
    <xf numFmtId="38" fontId="7" fillId="0" borderId="0" xfId="0" applyNumberFormat="1" applyFont="1" applyAlignment="1">
      <alignment horizontal="center"/>
    </xf>
    <xf numFmtId="38" fontId="6" fillId="0" borderId="1" xfId="0" applyNumberFormat="1" applyFont="1" applyBorder="1"/>
    <xf numFmtId="0" fontId="6" fillId="0" borderId="0" xfId="0" applyFont="1" applyBorder="1"/>
    <xf numFmtId="38" fontId="6" fillId="0" borderId="0" xfId="0" applyNumberFormat="1" applyFont="1" applyBorder="1"/>
    <xf numFmtId="0" fontId="6" fillId="0" borderId="2" xfId="0" applyFont="1" applyBorder="1" applyAlignment="1">
      <alignment horizontal="left" wrapText="1"/>
    </xf>
    <xf numFmtId="38" fontId="6" fillId="0" borderId="2" xfId="0" applyNumberFormat="1" applyFont="1" applyBorder="1" applyAlignment="1">
      <alignment horizontal="center" wrapText="1"/>
    </xf>
    <xf numFmtId="0" fontId="10" fillId="0" borderId="0" xfId="0" applyFont="1"/>
    <xf numFmtId="38" fontId="6" fillId="0" borderId="0" xfId="0" applyNumberFormat="1" applyFont="1" applyAlignment="1">
      <alignment horizontal="right"/>
    </xf>
    <xf numFmtId="38" fontId="6" fillId="0" borderId="0" xfId="0" applyNumberFormat="1" applyFont="1" applyBorder="1" applyAlignment="1">
      <alignment horizontal="center" wrapText="1"/>
    </xf>
    <xf numFmtId="0" fontId="6" fillId="0" borderId="5" xfId="0" applyFont="1" applyBorder="1"/>
    <xf numFmtId="38" fontId="6" fillId="0" borderId="5" xfId="0" applyNumberFormat="1" applyFont="1" applyBorder="1"/>
    <xf numFmtId="38" fontId="6" fillId="0" borderId="0" xfId="0" applyNumberFormat="1" applyFont="1" applyAlignment="1">
      <alignment horizontal="center"/>
    </xf>
    <xf numFmtId="0" fontId="7" fillId="2" borderId="3" xfId="0" applyFont="1" applyFill="1" applyBorder="1"/>
    <xf numFmtId="38" fontId="7" fillId="3" borderId="0" xfId="0" applyNumberFormat="1" applyFont="1" applyFill="1"/>
    <xf numFmtId="38" fontId="6" fillId="3" borderId="0" xfId="0" applyNumberFormat="1" applyFont="1" applyFill="1"/>
    <xf numFmtId="38" fontId="7" fillId="2" borderId="3" xfId="0" applyNumberFormat="1" applyFont="1" applyFill="1" applyBorder="1"/>
    <xf numFmtId="38" fontId="6" fillId="0" borderId="9" xfId="0" applyNumberFormat="1" applyFont="1" applyBorder="1" applyAlignment="1">
      <alignment horizontal="center" wrapText="1"/>
    </xf>
    <xf numFmtId="38" fontId="0" fillId="2" borderId="0" xfId="0" applyNumberFormat="1" applyFill="1"/>
    <xf numFmtId="0" fontId="2" fillId="0" borderId="11" xfId="0" applyFont="1" applyBorder="1" applyAlignment="1">
      <alignment horizontal="center" wrapText="1"/>
    </xf>
    <xf numFmtId="40" fontId="0" fillId="0" borderId="12" xfId="0" applyNumberFormat="1" applyFill="1" applyBorder="1" applyAlignment="1">
      <alignment horizontal="center"/>
    </xf>
    <xf numFmtId="40" fontId="2" fillId="0" borderId="13" xfId="0" applyNumberFormat="1" applyFont="1" applyFill="1" applyBorder="1" applyAlignment="1">
      <alignment horizontal="center"/>
    </xf>
    <xf numFmtId="38" fontId="8" fillId="0" borderId="0" xfId="0" applyNumberFormat="1" applyFont="1"/>
    <xf numFmtId="9" fontId="11" fillId="0" borderId="0" xfId="0" applyNumberFormat="1" applyFont="1" applyBorder="1" applyAlignment="1">
      <alignment horizontal="center"/>
    </xf>
    <xf numFmtId="0" fontId="10" fillId="2" borderId="0" xfId="0" applyFont="1" applyFill="1"/>
    <xf numFmtId="166" fontId="6" fillId="0" borderId="5" xfId="0" applyNumberFormat="1" applyFont="1" applyBorder="1"/>
    <xf numFmtId="38" fontId="2" fillId="0" borderId="2" xfId="0" applyNumberFormat="1" applyFont="1" applyBorder="1" applyAlignment="1">
      <alignment horizontal="center" wrapText="1"/>
    </xf>
    <xf numFmtId="38" fontId="8" fillId="0" borderId="3" xfId="0" applyNumberFormat="1" applyFont="1" applyBorder="1"/>
    <xf numFmtId="38" fontId="3" fillId="0" borderId="0" xfId="0" applyNumberFormat="1" applyFont="1" applyAlignment="1">
      <alignment horizontal="center" wrapText="1"/>
    </xf>
    <xf numFmtId="38" fontId="3" fillId="0" borderId="0" xfId="0" applyNumberFormat="1" applyFont="1"/>
    <xf numFmtId="38" fontId="4" fillId="0" borderId="0" xfId="0" applyNumberFormat="1" applyFont="1"/>
    <xf numFmtId="40" fontId="4" fillId="0" borderId="0" xfId="0" applyNumberFormat="1" applyFont="1" applyAlignment="1">
      <alignment horizontal="center" wrapText="1"/>
    </xf>
    <xf numFmtId="0" fontId="3" fillId="0" borderId="5" xfId="0" applyFont="1" applyBorder="1"/>
    <xf numFmtId="38" fontId="3" fillId="0" borderId="5" xfId="0" applyNumberFormat="1" applyFont="1" applyBorder="1"/>
    <xf numFmtId="38" fontId="4" fillId="0" borderId="0" xfId="0" applyNumberFormat="1" applyFont="1" applyBorder="1"/>
    <xf numFmtId="164" fontId="8" fillId="0" borderId="0" xfId="2" applyNumberFormat="1" applyFont="1"/>
    <xf numFmtId="166" fontId="7" fillId="0" borderId="0" xfId="0" applyNumberFormat="1" applyFont="1"/>
    <xf numFmtId="166" fontId="7" fillId="0" borderId="0" xfId="3" applyNumberFormat="1" applyFont="1"/>
    <xf numFmtId="2" fontId="7" fillId="0" borderId="0" xfId="0" applyNumberFormat="1" applyFont="1"/>
    <xf numFmtId="0" fontId="6" fillId="3" borderId="0" xfId="0" applyFont="1" applyFill="1"/>
    <xf numFmtId="166" fontId="6" fillId="0" borderId="0" xfId="3" applyNumberFormat="1" applyFont="1" applyAlignment="1">
      <alignment horizontal="center"/>
    </xf>
    <xf numFmtId="9" fontId="6" fillId="0" borderId="5" xfId="1" applyFont="1" applyBorder="1" applyAlignment="1">
      <alignment horizontal="center"/>
    </xf>
    <xf numFmtId="0" fontId="2" fillId="0" borderId="14" xfId="0" applyFont="1" applyBorder="1" applyAlignment="1">
      <alignment horizontal="center" wrapText="1"/>
    </xf>
    <xf numFmtId="40" fontId="0" fillId="0" borderId="15" xfId="0" applyNumberFormat="1" applyFill="1" applyBorder="1" applyAlignment="1">
      <alignment horizontal="center"/>
    </xf>
    <xf numFmtId="9" fontId="0" fillId="0" borderId="12" xfId="1" applyFont="1" applyFill="1" applyBorder="1" applyAlignment="1">
      <alignment horizontal="center"/>
    </xf>
    <xf numFmtId="38" fontId="0" fillId="0" borderId="0" xfId="0" applyNumberFormat="1" applyFill="1"/>
    <xf numFmtId="9" fontId="0" fillId="0" borderId="15" xfId="1" applyFont="1" applyFill="1" applyBorder="1" applyAlignment="1">
      <alignment horizontal="center"/>
    </xf>
    <xf numFmtId="38" fontId="2" fillId="0" borderId="13" xfId="0" applyNumberFormat="1" applyFont="1" applyFill="1" applyBorder="1" applyAlignment="1">
      <alignment horizontal="right"/>
    </xf>
    <xf numFmtId="3" fontId="0" fillId="0" borderId="16" xfId="1" applyNumberFormat="1" applyFont="1" applyFill="1" applyBorder="1" applyAlignment="1">
      <alignment horizontal="right"/>
    </xf>
    <xf numFmtId="3" fontId="0" fillId="0" borderId="15" xfId="1" applyNumberFormat="1" applyFont="1" applyFill="1" applyBorder="1" applyAlignment="1">
      <alignment horizontal="right"/>
    </xf>
    <xf numFmtId="0" fontId="3" fillId="0" borderId="1" xfId="0" applyFont="1" applyBorder="1"/>
    <xf numFmtId="1" fontId="7" fillId="0" borderId="0" xfId="0" applyNumberFormat="1" applyFont="1" applyAlignment="1">
      <alignment horizontal="center"/>
    </xf>
    <xf numFmtId="1" fontId="6" fillId="0" borderId="5" xfId="0" applyNumberFormat="1" applyFont="1" applyBorder="1" applyAlignment="1">
      <alignment horizontal="center"/>
    </xf>
    <xf numFmtId="38" fontId="6" fillId="0" borderId="0" xfId="0" applyNumberFormat="1" applyFont="1" applyBorder="1" applyAlignment="1">
      <alignment horizontal="center"/>
    </xf>
    <xf numFmtId="40" fontId="0" fillId="0" borderId="17" xfId="0" applyNumberFormat="1" applyFill="1" applyBorder="1" applyAlignment="1">
      <alignment horizontal="center"/>
    </xf>
    <xf numFmtId="38" fontId="2" fillId="0" borderId="19" xfId="0" applyNumberFormat="1" applyFont="1" applyBorder="1"/>
    <xf numFmtId="38" fontId="2" fillId="0" borderId="20" xfId="0" applyNumberFormat="1" applyFont="1" applyBorder="1"/>
    <xf numFmtId="38" fontId="2" fillId="0" borderId="21" xfId="0" applyNumberFormat="1" applyFont="1" applyBorder="1"/>
    <xf numFmtId="38" fontId="2" fillId="0" borderId="22" xfId="0" applyNumberFormat="1" applyFont="1" applyBorder="1"/>
    <xf numFmtId="38" fontId="2" fillId="0" borderId="23" xfId="0" applyNumberFormat="1" applyFont="1" applyBorder="1"/>
    <xf numFmtId="0" fontId="2" fillId="0" borderId="18" xfId="0" applyFont="1" applyBorder="1" applyAlignment="1">
      <alignment horizontal="center" wrapText="1"/>
    </xf>
    <xf numFmtId="164" fontId="8" fillId="2" borderId="0" xfId="2" applyNumberFormat="1" applyFont="1" applyFill="1"/>
    <xf numFmtId="164" fontId="8" fillId="0" borderId="0" xfId="0" applyNumberFormat="1" applyFont="1"/>
    <xf numFmtId="38" fontId="10" fillId="0" borderId="0" xfId="0" applyNumberFormat="1" applyFont="1"/>
    <xf numFmtId="164" fontId="2" fillId="0" borderId="0" xfId="0" applyNumberFormat="1" applyFont="1"/>
    <xf numFmtId="10" fontId="6" fillId="0" borderId="0" xfId="1" applyNumberFormat="1" applyFont="1"/>
    <xf numFmtId="16" fontId="0" fillId="0" borderId="10" xfId="0" applyNumberFormat="1" applyBorder="1" applyAlignment="1">
      <alignment horizontal="center"/>
    </xf>
    <xf numFmtId="0" fontId="16" fillId="2" borderId="0" xfId="0" applyFont="1" applyFill="1" applyAlignment="1">
      <alignment horizontal="center"/>
    </xf>
    <xf numFmtId="0" fontId="16" fillId="0" borderId="0" xfId="0" applyFont="1" applyAlignment="1">
      <alignment horizontal="center"/>
    </xf>
    <xf numFmtId="0" fontId="16" fillId="0" borderId="0" xfId="0" applyFont="1"/>
    <xf numFmtId="0" fontId="7" fillId="3" borderId="0" xfId="0" applyFont="1" applyFill="1"/>
    <xf numFmtId="43" fontId="11" fillId="0" borderId="0" xfId="2" applyFont="1" applyBorder="1" applyAlignment="1">
      <alignment horizontal="center"/>
    </xf>
    <xf numFmtId="0" fontId="15" fillId="0" borderId="0" xfId="0" applyFont="1" applyAlignment="1">
      <alignment horizontal="center"/>
    </xf>
    <xf numFmtId="1" fontId="8" fillId="0" borderId="0" xfId="0" applyNumberFormat="1" applyFont="1"/>
    <xf numFmtId="0" fontId="18" fillId="0" borderId="3" xfId="0" applyFont="1" applyBorder="1" applyAlignment="1">
      <alignment horizontal="center"/>
    </xf>
    <xf numFmtId="0" fontId="18" fillId="0" borderId="3" xfId="0" applyFont="1" applyBorder="1" applyAlignment="1">
      <alignment horizontal="center" wrapText="1"/>
    </xf>
    <xf numFmtId="164" fontId="18" fillId="0" borderId="3" xfId="2" applyNumberFormat="1" applyFont="1" applyBorder="1" applyAlignment="1">
      <alignment horizontal="center"/>
    </xf>
    <xf numFmtId="0" fontId="18" fillId="3" borderId="3" xfId="0" applyFont="1" applyFill="1" applyBorder="1" applyAlignment="1">
      <alignment horizontal="center" wrapText="1"/>
    </xf>
    <xf numFmtId="0" fontId="18" fillId="0" borderId="3" xfId="0" applyFont="1" applyFill="1" applyBorder="1" applyAlignment="1">
      <alignment horizontal="center" wrapText="1"/>
    </xf>
    <xf numFmtId="0" fontId="0" fillId="0" borderId="3" xfId="0" applyBorder="1"/>
    <xf numFmtId="0" fontId="0" fillId="0" borderId="3" xfId="0" applyBorder="1" applyAlignment="1">
      <alignment horizontal="center" wrapText="1"/>
    </xf>
    <xf numFmtId="166" fontId="0" fillId="0" borderId="3" xfId="3" applyNumberFormat="1" applyFont="1" applyBorder="1"/>
    <xf numFmtId="164" fontId="19" fillId="0" borderId="3" xfId="2" applyNumberFormat="1" applyFont="1" applyBorder="1"/>
    <xf numFmtId="166" fontId="19" fillId="0" borderId="3" xfId="3" applyNumberFormat="1" applyFont="1" applyBorder="1" applyAlignment="1">
      <alignment wrapText="1"/>
    </xf>
    <xf numFmtId="166" fontId="19" fillId="3" borderId="3" xfId="3" applyNumberFormat="1" applyFont="1" applyFill="1" applyBorder="1" applyAlignment="1">
      <alignment wrapText="1"/>
    </xf>
    <xf numFmtId="166" fontId="19" fillId="0" borderId="3" xfId="3" applyNumberFormat="1" applyFont="1" applyBorder="1"/>
    <xf numFmtId="166" fontId="19" fillId="3" borderId="3" xfId="3" applyNumberFormat="1" applyFont="1" applyFill="1" applyBorder="1"/>
    <xf numFmtId="0" fontId="0" fillId="0" borderId="0" xfId="0" applyBorder="1"/>
    <xf numFmtId="0" fontId="0" fillId="0" borderId="0" xfId="0" applyBorder="1" applyAlignment="1">
      <alignment wrapText="1"/>
    </xf>
    <xf numFmtId="9" fontId="0" fillId="0" borderId="0" xfId="0" applyNumberFormat="1" applyBorder="1" applyAlignment="1">
      <alignment wrapText="1"/>
    </xf>
    <xf numFmtId="3" fontId="0" fillId="0" borderId="0" xfId="0" applyNumberFormat="1" applyBorder="1"/>
    <xf numFmtId="164" fontId="18" fillId="0" borderId="0" xfId="2" applyNumberFormat="1" applyFont="1" applyBorder="1"/>
    <xf numFmtId="166" fontId="18" fillId="0" borderId="0" xfId="3" applyNumberFormat="1" applyFont="1" applyBorder="1" applyAlignment="1">
      <alignment wrapText="1"/>
    </xf>
    <xf numFmtId="166" fontId="18" fillId="0" borderId="0" xfId="3" applyNumberFormat="1" applyFont="1" applyBorder="1"/>
    <xf numFmtId="0" fontId="0" fillId="0" borderId="0" xfId="0" applyAlignment="1">
      <alignment wrapText="1"/>
    </xf>
    <xf numFmtId="164" fontId="18" fillId="0" borderId="0" xfId="2" applyNumberFormat="1" applyFont="1"/>
    <xf numFmtId="164" fontId="0" fillId="0" borderId="0" xfId="2" applyNumberFormat="1" applyFont="1"/>
    <xf numFmtId="0" fontId="20" fillId="0" borderId="3" xfId="0" applyFont="1" applyFill="1" applyBorder="1"/>
    <xf numFmtId="0" fontId="20" fillId="0" borderId="3" xfId="0" applyFont="1" applyFill="1" applyBorder="1" applyAlignment="1">
      <alignment wrapText="1"/>
    </xf>
    <xf numFmtId="0" fontId="0" fillId="0" borderId="3" xfId="0" applyBorder="1" applyAlignment="1">
      <alignment horizontal="center"/>
    </xf>
    <xf numFmtId="10" fontId="20" fillId="0" borderId="3" xfId="0" applyNumberFormat="1" applyFont="1" applyFill="1" applyBorder="1"/>
    <xf numFmtId="164" fontId="0" fillId="5" borderId="3" xfId="2" applyNumberFormat="1" applyFont="1" applyFill="1" applyBorder="1"/>
    <xf numFmtId="166" fontId="0" fillId="5" borderId="3" xfId="3" applyNumberFormat="1" applyFont="1" applyFill="1" applyBorder="1"/>
    <xf numFmtId="164" fontId="20" fillId="4" borderId="3" xfId="2" applyNumberFormat="1" applyFont="1" applyFill="1" applyBorder="1"/>
    <xf numFmtId="166" fontId="20" fillId="4" borderId="3" xfId="3" applyNumberFormat="1" applyFont="1" applyFill="1" applyBorder="1"/>
    <xf numFmtId="0" fontId="0" fillId="0" borderId="3" xfId="0" applyBorder="1" applyAlignment="1">
      <alignment wrapText="1"/>
    </xf>
    <xf numFmtId="3" fontId="0" fillId="0" borderId="3" xfId="0" applyNumberFormat="1" applyBorder="1" applyAlignment="1">
      <alignment wrapText="1"/>
    </xf>
    <xf numFmtId="168" fontId="0" fillId="0" borderId="3" xfId="0" applyNumberFormat="1" applyBorder="1" applyAlignment="1">
      <alignment wrapText="1"/>
    </xf>
    <xf numFmtId="0" fontId="0" fillId="0" borderId="3" xfId="0" applyBorder="1" applyAlignment="1">
      <alignment horizontal="left"/>
    </xf>
    <xf numFmtId="0" fontId="0" fillId="0" borderId="0" xfId="0" applyAlignment="1">
      <alignment horizontal="left"/>
    </xf>
    <xf numFmtId="0" fontId="18" fillId="0" borderId="3" xfId="0" applyFont="1" applyBorder="1"/>
    <xf numFmtId="166" fontId="20" fillId="5" borderId="3" xfId="3" applyNumberFormat="1" applyFont="1" applyFill="1" applyBorder="1" applyAlignment="1">
      <alignment horizontal="right" vertical="center" wrapText="1"/>
    </xf>
    <xf numFmtId="10" fontId="0" fillId="0" borderId="3" xfId="0" applyNumberFormat="1" applyBorder="1" applyAlignment="1">
      <alignment wrapText="1"/>
    </xf>
    <xf numFmtId="166" fontId="19" fillId="5" borderId="3" xfId="3" applyNumberFormat="1" applyFont="1" applyFill="1" applyBorder="1" applyAlignment="1">
      <alignment horizontal="right" vertical="center" wrapText="1"/>
    </xf>
    <xf numFmtId="164" fontId="18" fillId="0" borderId="3" xfId="2" applyNumberFormat="1" applyFont="1" applyBorder="1"/>
    <xf numFmtId="164" fontId="0" fillId="0" borderId="0" xfId="2" applyNumberFormat="1" applyFont="1" applyBorder="1"/>
    <xf numFmtId="169" fontId="18" fillId="0" borderId="0" xfId="0" applyNumberFormat="1" applyFont="1" applyAlignment="1">
      <alignment wrapText="1"/>
    </xf>
    <xf numFmtId="2" fontId="0" fillId="0" borderId="0" xfId="0" applyNumberFormat="1"/>
    <xf numFmtId="169" fontId="18" fillId="3" borderId="0" xfId="1" applyNumberFormat="1" applyFont="1" applyFill="1"/>
    <xf numFmtId="164" fontId="18" fillId="3" borderId="0" xfId="2" applyNumberFormat="1" applyFont="1" applyFill="1"/>
    <xf numFmtId="0" fontId="18" fillId="0" borderId="0" xfId="0" applyFont="1"/>
    <xf numFmtId="166" fontId="18" fillId="0" borderId="0" xfId="3" applyNumberFormat="1" applyFont="1" applyAlignment="1">
      <alignment horizontal="right" wrapText="1"/>
    </xf>
    <xf numFmtId="168" fontId="18" fillId="0" borderId="0" xfId="0" applyNumberFormat="1" applyFont="1" applyAlignment="1">
      <alignment horizontal="right" wrapText="1"/>
    </xf>
    <xf numFmtId="3" fontId="18" fillId="0" borderId="0" xfId="0" applyNumberFormat="1" applyFont="1" applyAlignment="1">
      <alignment horizontal="right" wrapText="1"/>
    </xf>
    <xf numFmtId="0" fontId="18" fillId="0" borderId="0" xfId="0" applyFont="1" applyAlignment="1">
      <alignment wrapText="1"/>
    </xf>
    <xf numFmtId="3" fontId="18" fillId="0" borderId="0" xfId="0" applyNumberFormat="1" applyFont="1" applyAlignment="1">
      <alignment wrapText="1"/>
    </xf>
    <xf numFmtId="38" fontId="6" fillId="2" borderId="0" xfId="0" applyNumberFormat="1" applyFont="1" applyFill="1" applyBorder="1"/>
    <xf numFmtId="49" fontId="6" fillId="2" borderId="0" xfId="0" applyNumberFormat="1" applyFont="1" applyFill="1"/>
    <xf numFmtId="164" fontId="6" fillId="0" borderId="0" xfId="2" applyNumberFormat="1" applyFont="1" applyAlignment="1">
      <alignment horizontal="center" wrapText="1"/>
    </xf>
    <xf numFmtId="0" fontId="6" fillId="0" borderId="0" xfId="0" applyFont="1" applyAlignment="1">
      <alignment horizontal="right"/>
    </xf>
    <xf numFmtId="38" fontId="7" fillId="0" borderId="0" xfId="0" applyNumberFormat="1" applyFont="1" applyAlignment="1">
      <alignment horizontal="right"/>
    </xf>
    <xf numFmtId="38" fontId="7" fillId="0" borderId="0" xfId="0" applyNumberFormat="1" applyFont="1" applyBorder="1"/>
    <xf numFmtId="2" fontId="10" fillId="0" borderId="0" xfId="0" applyNumberFormat="1" applyFont="1"/>
    <xf numFmtId="38" fontId="7" fillId="2" borderId="0" xfId="0" applyNumberFormat="1" applyFont="1" applyFill="1"/>
    <xf numFmtId="0" fontId="21" fillId="0" borderId="0" xfId="0" applyFont="1" applyAlignment="1">
      <alignment horizontal="center"/>
    </xf>
    <xf numFmtId="38" fontId="6" fillId="2" borderId="0" xfId="0" applyNumberFormat="1" applyFont="1" applyFill="1"/>
    <xf numFmtId="0" fontId="6" fillId="2" borderId="0" xfId="0" applyFont="1" applyFill="1"/>
    <xf numFmtId="0" fontId="15" fillId="0" borderId="0" xfId="0" applyFont="1"/>
    <xf numFmtId="1" fontId="16" fillId="0" borderId="0" xfId="0" applyNumberFormat="1" applyFont="1" applyAlignment="1">
      <alignment horizontal="center"/>
    </xf>
    <xf numFmtId="170" fontId="16" fillId="0" borderId="0" xfId="0" applyNumberFormat="1" applyFont="1" applyAlignment="1">
      <alignment horizontal="center"/>
    </xf>
    <xf numFmtId="2" fontId="16" fillId="0" borderId="0" xfId="0" applyNumberFormat="1" applyFont="1" applyAlignment="1">
      <alignment horizontal="center"/>
    </xf>
    <xf numFmtId="2" fontId="9" fillId="0" borderId="0" xfId="1" applyNumberFormat="1" applyFont="1" applyAlignment="1">
      <alignment horizontal="center"/>
    </xf>
    <xf numFmtId="44" fontId="7" fillId="0" borderId="0" xfId="3" applyFont="1"/>
    <xf numFmtId="3" fontId="16" fillId="0" borderId="0" xfId="0" applyNumberFormat="1" applyFont="1" applyAlignment="1">
      <alignment horizontal="center"/>
    </xf>
    <xf numFmtId="3" fontId="16" fillId="0" borderId="0" xfId="0" applyNumberFormat="1" applyFont="1" applyAlignment="1">
      <alignment horizontal="right"/>
    </xf>
    <xf numFmtId="40" fontId="4" fillId="0" borderId="0" xfId="0" applyNumberFormat="1" applyFont="1" applyBorder="1" applyAlignment="1">
      <alignment horizontal="center" wrapText="1"/>
    </xf>
    <xf numFmtId="0" fontId="7" fillId="2" borderId="0" xfId="0" applyFont="1" applyFill="1"/>
    <xf numFmtId="38" fontId="6" fillId="2" borderId="0" xfId="0" applyNumberFormat="1" applyFont="1" applyFill="1" applyAlignment="1">
      <alignment horizontal="center"/>
    </xf>
    <xf numFmtId="0" fontId="6" fillId="2" borderId="0" xfId="0" applyFont="1" applyFill="1" applyAlignment="1">
      <alignment horizontal="center" vertical="center"/>
    </xf>
    <xf numFmtId="0" fontId="6" fillId="2" borderId="0" xfId="0" applyFont="1" applyFill="1" applyAlignment="1">
      <alignment horizontal="center"/>
    </xf>
    <xf numFmtId="38" fontId="7" fillId="2" borderId="0" xfId="0" applyNumberFormat="1" applyFont="1" applyFill="1" applyAlignment="1">
      <alignment horizontal="center"/>
    </xf>
    <xf numFmtId="2" fontId="7" fillId="2" borderId="0" xfId="0" applyNumberFormat="1" applyFont="1" applyFill="1" applyAlignment="1">
      <alignment horizontal="center" vertical="center"/>
    </xf>
    <xf numFmtId="0" fontId="7" fillId="2" borderId="0" xfId="0" applyFont="1" applyFill="1" applyAlignment="1">
      <alignment horizontal="center" vertical="center"/>
    </xf>
    <xf numFmtId="38" fontId="8" fillId="0" borderId="26" xfId="0" applyNumberFormat="1" applyFont="1" applyBorder="1" applyAlignment="1">
      <alignment horizontal="right" wrapText="1"/>
    </xf>
    <xf numFmtId="0" fontId="8" fillId="0" borderId="29" xfId="0" applyFont="1" applyBorder="1"/>
    <xf numFmtId="0" fontId="2" fillId="0" borderId="29" xfId="0" applyFont="1" applyBorder="1" applyAlignment="1">
      <alignment horizontal="center" wrapText="1"/>
    </xf>
    <xf numFmtId="38" fontId="2" fillId="0" borderId="30" xfId="0" applyNumberFormat="1" applyFont="1" applyBorder="1" applyAlignment="1">
      <alignment horizontal="right" wrapText="1"/>
    </xf>
    <xf numFmtId="0" fontId="8" fillId="2" borderId="0" xfId="0" applyFont="1" applyFill="1" applyBorder="1"/>
    <xf numFmtId="164" fontId="8" fillId="2" borderId="0" xfId="2" applyNumberFormat="1" applyFont="1" applyFill="1" applyBorder="1"/>
    <xf numFmtId="38" fontId="8" fillId="2" borderId="0" xfId="0" applyNumberFormat="1" applyFont="1" applyFill="1" applyBorder="1"/>
    <xf numFmtId="167" fontId="6" fillId="3" borderId="0" xfId="0" applyNumberFormat="1" applyFont="1" applyFill="1" applyAlignment="1">
      <alignment horizontal="center"/>
    </xf>
    <xf numFmtId="167" fontId="6" fillId="2" borderId="0" xfId="0" applyNumberFormat="1" applyFont="1" applyFill="1" applyAlignment="1">
      <alignment horizontal="center"/>
    </xf>
    <xf numFmtId="171" fontId="6" fillId="0" borderId="0" xfId="0" applyNumberFormat="1" applyFont="1" applyAlignment="1">
      <alignment horizontal="center"/>
    </xf>
    <xf numFmtId="0" fontId="6" fillId="0" borderId="0" xfId="0" applyFont="1" applyAlignment="1">
      <alignment horizontal="left"/>
    </xf>
    <xf numFmtId="40" fontId="6" fillId="8" borderId="0" xfId="0" applyNumberFormat="1" applyFont="1" applyFill="1"/>
    <xf numFmtId="38" fontId="7" fillId="0" borderId="0" xfId="0" applyNumberFormat="1" applyFont="1" applyBorder="1" applyAlignment="1">
      <alignment horizontal="center" wrapText="1"/>
    </xf>
    <xf numFmtId="40" fontId="6" fillId="3" borderId="0" xfId="0" applyNumberFormat="1" applyFont="1" applyFill="1"/>
    <xf numFmtId="0" fontId="7" fillId="3" borderId="3" xfId="0" applyFont="1" applyFill="1" applyBorder="1"/>
    <xf numFmtId="0" fontId="23" fillId="0" borderId="0" xfId="0" applyFont="1" applyFill="1" applyBorder="1"/>
    <xf numFmtId="0" fontId="24" fillId="0" borderId="0" xfId="0" applyFont="1"/>
    <xf numFmtId="172" fontId="6" fillId="0" borderId="0" xfId="0" applyNumberFormat="1" applyFont="1"/>
    <xf numFmtId="38" fontId="6" fillId="3" borderId="3" xfId="0" applyNumberFormat="1" applyFont="1" applyFill="1" applyBorder="1"/>
    <xf numFmtId="38" fontId="0" fillId="0" borderId="5" xfId="0" applyNumberFormat="1" applyFill="1" applyBorder="1"/>
    <xf numFmtId="38" fontId="0" fillId="0" borderId="0" xfId="0" applyNumberFormat="1"/>
    <xf numFmtId="0" fontId="26" fillId="0" borderId="3" xfId="0" applyFont="1" applyBorder="1" applyAlignment="1">
      <alignment horizontal="center" wrapText="1"/>
    </xf>
    <xf numFmtId="0" fontId="27" fillId="2" borderId="3" xfId="0" applyFont="1" applyFill="1" applyBorder="1" applyAlignment="1">
      <alignment horizontal="center"/>
    </xf>
    <xf numFmtId="0" fontId="26" fillId="0" borderId="3" xfId="0" applyFont="1" applyBorder="1" applyAlignment="1">
      <alignment horizontal="center"/>
    </xf>
    <xf numFmtId="10" fontId="0" fillId="0" borderId="3" xfId="1" applyNumberFormat="1" applyFont="1" applyBorder="1"/>
    <xf numFmtId="0" fontId="26" fillId="2" borderId="3" xfId="0" applyFont="1" applyFill="1" applyBorder="1" applyAlignment="1">
      <alignment horizontal="center"/>
    </xf>
    <xf numFmtId="10" fontId="0" fillId="2" borderId="3" xfId="0" applyNumberFormat="1" applyFill="1" applyBorder="1"/>
    <xf numFmtId="10" fontId="0" fillId="3" borderId="3" xfId="0" applyNumberFormat="1" applyFill="1" applyBorder="1"/>
    <xf numFmtId="0" fontId="25" fillId="0" borderId="3" xfId="0" applyFont="1" applyBorder="1"/>
    <xf numFmtId="0" fontId="0" fillId="0" borderId="3" xfId="0" applyFont="1" applyBorder="1" applyAlignment="1">
      <alignment horizontal="left"/>
    </xf>
    <xf numFmtId="1" fontId="7" fillId="0" borderId="0" xfId="0" applyNumberFormat="1" applyFont="1" applyAlignment="1">
      <alignment horizontal="center" vertical="center"/>
    </xf>
    <xf numFmtId="38" fontId="7" fillId="3" borderId="3" xfId="0" applyNumberFormat="1" applyFont="1" applyFill="1" applyBorder="1"/>
    <xf numFmtId="0" fontId="6" fillId="0" borderId="24" xfId="0" applyFont="1" applyBorder="1"/>
    <xf numFmtId="38" fontId="6" fillId="0" borderId="31" xfId="0" applyNumberFormat="1" applyFont="1" applyBorder="1"/>
    <xf numFmtId="38" fontId="6" fillId="0" borderId="25" xfId="0" applyNumberFormat="1" applyFont="1" applyBorder="1"/>
    <xf numFmtId="0" fontId="28" fillId="0" borderId="24" xfId="0" applyFont="1" applyBorder="1"/>
    <xf numFmtId="38" fontId="28" fillId="0" borderId="31" xfId="0" applyNumberFormat="1" applyFont="1" applyBorder="1"/>
    <xf numFmtId="38" fontId="28" fillId="0" borderId="25" xfId="0" applyNumberFormat="1" applyFont="1" applyBorder="1"/>
    <xf numFmtId="0" fontId="28" fillId="0" borderId="31" xfId="0" applyFont="1" applyBorder="1" applyAlignment="1">
      <alignment horizontal="right"/>
    </xf>
    <xf numFmtId="9" fontId="2" fillId="0" borderId="0" xfId="0" applyNumberFormat="1" applyFont="1"/>
    <xf numFmtId="9" fontId="26" fillId="0" borderId="3" xfId="0" applyNumberFormat="1" applyFont="1" applyBorder="1" applyAlignment="1">
      <alignment horizontal="center" wrapText="1"/>
    </xf>
    <xf numFmtId="9" fontId="0" fillId="0" borderId="3" xfId="1" applyNumberFormat="1" applyFont="1" applyBorder="1"/>
    <xf numFmtId="9" fontId="0" fillId="0" borderId="0" xfId="0" applyNumberFormat="1"/>
    <xf numFmtId="0" fontId="15" fillId="2" borderId="0" xfId="9" applyFont="1" applyFill="1" applyAlignment="1">
      <alignment horizontal="left"/>
    </xf>
    <xf numFmtId="170" fontId="15" fillId="0" borderId="0" xfId="9" applyNumberFormat="1" applyFont="1" applyAlignment="1">
      <alignment horizontal="center"/>
    </xf>
    <xf numFmtId="0" fontId="15" fillId="0" borderId="0" xfId="9" applyFont="1"/>
    <xf numFmtId="1" fontId="15" fillId="0" borderId="0" xfId="9" applyNumberFormat="1" applyFont="1" applyAlignment="1">
      <alignment horizontal="center"/>
    </xf>
    <xf numFmtId="0" fontId="15" fillId="0" borderId="0" xfId="9" applyFont="1" applyAlignment="1">
      <alignment horizontal="center"/>
    </xf>
    <xf numFmtId="2" fontId="15" fillId="0" borderId="0" xfId="9" applyNumberFormat="1" applyFont="1" applyAlignment="1">
      <alignment horizontal="center"/>
    </xf>
    <xf numFmtId="3" fontId="15" fillId="0" borderId="0" xfId="9" applyNumberFormat="1" applyFont="1" applyAlignment="1">
      <alignment horizontal="center"/>
    </xf>
    <xf numFmtId="0" fontId="15" fillId="2" borderId="6" xfId="9" applyFont="1" applyFill="1" applyBorder="1" applyAlignment="1">
      <alignment horizontal="center"/>
    </xf>
    <xf numFmtId="170" fontId="15" fillId="0" borderId="6" xfId="9" applyNumberFormat="1" applyFont="1" applyBorder="1" applyAlignment="1">
      <alignment horizontal="center"/>
    </xf>
    <xf numFmtId="0" fontId="15" fillId="0" borderId="6" xfId="9" applyFont="1" applyBorder="1"/>
    <xf numFmtId="0" fontId="15" fillId="0" borderId="6" xfId="9" applyFont="1" applyBorder="1" applyAlignment="1">
      <alignment horizontal="center"/>
    </xf>
    <xf numFmtId="1" fontId="15" fillId="0" borderId="6" xfId="9" applyNumberFormat="1" applyFont="1" applyBorder="1" applyAlignment="1">
      <alignment horizontal="center" wrapText="1"/>
    </xf>
    <xf numFmtId="0" fontId="15" fillId="0" borderId="6" xfId="9" applyFont="1" applyBorder="1" applyAlignment="1">
      <alignment horizontal="center" wrapText="1"/>
    </xf>
    <xf numFmtId="2" fontId="15" fillId="0" borderId="6" xfId="9" applyNumberFormat="1" applyFont="1" applyBorder="1" applyAlignment="1">
      <alignment horizontal="center"/>
    </xf>
    <xf numFmtId="3" fontId="15" fillId="0" borderId="6" xfId="9" applyNumberFormat="1" applyFont="1" applyBorder="1" applyAlignment="1">
      <alignment horizontal="center" wrapText="1"/>
    </xf>
    <xf numFmtId="0" fontId="15" fillId="2" borderId="28" xfId="9" applyFont="1" applyFill="1" applyBorder="1" applyAlignment="1">
      <alignment horizontal="center"/>
    </xf>
    <xf numFmtId="170" fontId="15" fillId="0" borderId="28" xfId="9" applyNumberFormat="1" applyFont="1" applyBorder="1" applyAlignment="1">
      <alignment horizontal="center"/>
    </xf>
    <xf numFmtId="0" fontId="15" fillId="0" borderId="28" xfId="9" applyFont="1" applyBorder="1"/>
    <xf numFmtId="1" fontId="15" fillId="0" borderId="28" xfId="9" applyNumberFormat="1" applyFont="1" applyBorder="1" applyAlignment="1">
      <alignment horizontal="center" wrapText="1"/>
    </xf>
    <xf numFmtId="0" fontId="15" fillId="0" borderId="28" xfId="9" applyFont="1" applyBorder="1" applyAlignment="1">
      <alignment horizontal="center" wrapText="1"/>
    </xf>
    <xf numFmtId="2" fontId="15" fillId="0" borderId="28" xfId="9" applyNumberFormat="1" applyFont="1" applyBorder="1" applyAlignment="1">
      <alignment horizontal="center"/>
    </xf>
    <xf numFmtId="3" fontId="15" fillId="0" borderId="28" xfId="9" applyNumberFormat="1" applyFont="1" applyBorder="1" applyAlignment="1">
      <alignment horizontal="center"/>
    </xf>
    <xf numFmtId="0" fontId="15" fillId="2" borderId="27" xfId="9" applyFont="1" applyFill="1" applyBorder="1" applyAlignment="1">
      <alignment horizontal="center"/>
    </xf>
    <xf numFmtId="170" fontId="15" fillId="0" borderId="27" xfId="9" applyNumberFormat="1" applyFont="1" applyBorder="1" applyAlignment="1">
      <alignment horizontal="center"/>
    </xf>
    <xf numFmtId="0" fontId="15" fillId="0" borderId="27" xfId="9" applyFont="1" applyBorder="1"/>
    <xf numFmtId="1" fontId="15" fillId="0" borderId="27" xfId="9" applyNumberFormat="1" applyFont="1" applyBorder="1" applyAlignment="1">
      <alignment horizontal="center"/>
    </xf>
    <xf numFmtId="0" fontId="15" fillId="0" borderId="27" xfId="9" applyFont="1" applyBorder="1" applyAlignment="1">
      <alignment horizontal="center"/>
    </xf>
    <xf numFmtId="2" fontId="15" fillId="0" borderId="27" xfId="9" applyNumberFormat="1" applyFont="1" applyBorder="1" applyAlignment="1">
      <alignment horizontal="center"/>
    </xf>
    <xf numFmtId="3" fontId="15" fillId="0" borderId="27" xfId="9" applyNumberFormat="1" applyFont="1" applyBorder="1" applyAlignment="1">
      <alignment horizontal="center"/>
    </xf>
    <xf numFmtId="1" fontId="17" fillId="0" borderId="26" xfId="9" applyNumberFormat="1" applyFont="1" applyFill="1" applyBorder="1" applyAlignment="1" applyProtection="1">
      <alignment horizontal="center"/>
      <protection locked="0"/>
    </xf>
    <xf numFmtId="3" fontId="16" fillId="0" borderId="26" xfId="9" applyNumberFormat="1" applyFont="1" applyBorder="1" applyAlignment="1">
      <alignment horizontal="right"/>
    </xf>
    <xf numFmtId="14" fontId="17" fillId="0" borderId="3" xfId="9" applyNumberFormat="1" applyFont="1" applyFill="1" applyBorder="1" applyAlignment="1" applyProtection="1">
      <alignment horizontal="left"/>
      <protection locked="0"/>
    </xf>
    <xf numFmtId="170" fontId="17" fillId="0" borderId="3" xfId="9" applyNumberFormat="1" applyFont="1" applyFill="1" applyBorder="1" applyAlignment="1" applyProtection="1">
      <alignment horizontal="center"/>
      <protection locked="0"/>
    </xf>
    <xf numFmtId="1" fontId="17" fillId="0" borderId="3" xfId="9" applyNumberFormat="1" applyFont="1" applyFill="1" applyBorder="1" applyAlignment="1" applyProtection="1">
      <alignment horizontal="center"/>
      <protection locked="0"/>
    </xf>
    <xf numFmtId="4" fontId="17" fillId="0" borderId="3" xfId="9" applyNumberFormat="1" applyFont="1" applyFill="1" applyBorder="1" applyAlignment="1" applyProtection="1">
      <alignment horizontal="center"/>
      <protection locked="0"/>
    </xf>
    <xf numFmtId="2" fontId="17" fillId="0" borderId="3" xfId="9" applyNumberFormat="1" applyFont="1" applyFill="1" applyBorder="1" applyAlignment="1" applyProtection="1">
      <alignment horizontal="center"/>
      <protection locked="0"/>
    </xf>
    <xf numFmtId="49" fontId="17" fillId="0" borderId="3" xfId="9" applyNumberFormat="1" applyFont="1" applyFill="1" applyBorder="1" applyAlignment="1" applyProtection="1">
      <alignment horizontal="center"/>
      <protection locked="0"/>
    </xf>
    <xf numFmtId="3" fontId="16" fillId="0" borderId="3" xfId="9" applyNumberFormat="1" applyFont="1" applyBorder="1" applyAlignment="1">
      <alignment horizontal="right"/>
    </xf>
    <xf numFmtId="14" fontId="17" fillId="6" borderId="3" xfId="9" applyNumberFormat="1" applyFont="1" applyFill="1" applyBorder="1" applyAlignment="1" applyProtection="1">
      <alignment horizontal="left"/>
      <protection locked="0"/>
    </xf>
    <xf numFmtId="170" fontId="17" fillId="6" borderId="3" xfId="9" applyNumberFormat="1" applyFont="1" applyFill="1" applyBorder="1" applyAlignment="1" applyProtection="1">
      <alignment horizontal="center"/>
      <protection locked="0"/>
    </xf>
    <xf numFmtId="4" fontId="17" fillId="6" borderId="3" xfId="9" applyNumberFormat="1" applyFont="1" applyFill="1" applyBorder="1" applyAlignment="1" applyProtection="1">
      <alignment horizontal="center"/>
      <protection locked="0"/>
    </xf>
    <xf numFmtId="49" fontId="17" fillId="7" borderId="3" xfId="9" applyNumberFormat="1" applyFont="1" applyFill="1" applyBorder="1" applyAlignment="1" applyProtection="1">
      <alignment horizontal="center"/>
      <protection locked="0"/>
    </xf>
    <xf numFmtId="14" fontId="17" fillId="6" borderId="3" xfId="9" applyNumberFormat="1" applyFont="1" applyFill="1" applyBorder="1" applyAlignment="1" applyProtection="1">
      <alignment horizontal="center"/>
      <protection locked="0"/>
    </xf>
    <xf numFmtId="2" fontId="17" fillId="6" borderId="3" xfId="9" applyNumberFormat="1" applyFont="1" applyFill="1" applyBorder="1" applyAlignment="1" applyProtection="1">
      <alignment horizontal="center"/>
      <protection locked="0"/>
    </xf>
    <xf numFmtId="14" fontId="17" fillId="7" borderId="3" xfId="9" applyNumberFormat="1" applyFont="1" applyFill="1" applyBorder="1" applyAlignment="1" applyProtection="1">
      <alignment horizontal="center"/>
      <protection locked="0"/>
    </xf>
    <xf numFmtId="4" fontId="17" fillId="3" borderId="3" xfId="9" applyNumberFormat="1" applyFont="1" applyFill="1" applyBorder="1" applyAlignment="1" applyProtection="1">
      <alignment horizontal="center"/>
      <protection locked="0"/>
    </xf>
    <xf numFmtId="14" fontId="17" fillId="2" borderId="3" xfId="9" applyNumberFormat="1" applyFont="1" applyFill="1" applyBorder="1" applyAlignment="1" applyProtection="1">
      <alignment horizontal="center"/>
      <protection locked="0"/>
    </xf>
    <xf numFmtId="0" fontId="17" fillId="0" borderId="3" xfId="9" applyFont="1" applyFill="1" applyBorder="1" applyAlignment="1">
      <alignment horizontal="center" wrapText="1"/>
    </xf>
    <xf numFmtId="49" fontId="17" fillId="2" borderId="3" xfId="9" applyNumberFormat="1" applyFont="1" applyFill="1" applyBorder="1" applyAlignment="1" applyProtection="1">
      <alignment horizontal="center"/>
      <protection locked="0"/>
    </xf>
    <xf numFmtId="2" fontId="17" fillId="0" borderId="3" xfId="9" applyNumberFormat="1" applyFont="1" applyFill="1" applyBorder="1" applyAlignment="1">
      <alignment horizontal="center" wrapText="1"/>
    </xf>
    <xf numFmtId="170" fontId="17" fillId="0" borderId="3" xfId="9" applyNumberFormat="1" applyFont="1" applyBorder="1" applyAlignment="1">
      <alignment horizontal="center"/>
    </xf>
    <xf numFmtId="14" fontId="17" fillId="0" borderId="3" xfId="9" applyNumberFormat="1" applyFont="1" applyBorder="1" applyAlignment="1">
      <alignment horizontal="left"/>
    </xf>
    <xf numFmtId="1" fontId="17" fillId="0" borderId="3" xfId="9" applyNumberFormat="1" applyFont="1" applyBorder="1" applyAlignment="1">
      <alignment horizontal="center"/>
    </xf>
    <xf numFmtId="2" fontId="17" fillId="0" borderId="3" xfId="9" applyNumberFormat="1" applyFont="1" applyBorder="1" applyAlignment="1">
      <alignment horizontal="center"/>
    </xf>
    <xf numFmtId="0" fontId="17" fillId="0" borderId="3" xfId="9" applyFont="1" applyBorder="1" applyAlignment="1">
      <alignment horizontal="center"/>
    </xf>
    <xf numFmtId="14" fontId="17" fillId="2" borderId="3" xfId="9" applyNumberFormat="1" applyFont="1" applyFill="1" applyBorder="1" applyAlignment="1" applyProtection="1">
      <alignment horizontal="left"/>
      <protection locked="0"/>
    </xf>
    <xf numFmtId="0" fontId="5" fillId="0" borderId="0" xfId="9"/>
    <xf numFmtId="2" fontId="17" fillId="2" borderId="3" xfId="9" applyNumberFormat="1" applyFont="1" applyFill="1" applyBorder="1" applyAlignment="1" applyProtection="1">
      <alignment horizontal="center"/>
      <protection locked="0"/>
    </xf>
    <xf numFmtId="170" fontId="17" fillId="0" borderId="3" xfId="9" applyNumberFormat="1" applyFont="1" applyFill="1" applyBorder="1" applyAlignment="1">
      <alignment horizontal="center" wrapText="1"/>
    </xf>
    <xf numFmtId="14" fontId="17" fillId="0" borderId="3" xfId="9" applyNumberFormat="1" applyFont="1" applyFill="1" applyBorder="1" applyAlignment="1">
      <alignment horizontal="left" wrapText="1"/>
    </xf>
    <xf numFmtId="1" fontId="17" fillId="0" borderId="3" xfId="9" applyNumberFormat="1" applyFont="1" applyFill="1" applyBorder="1" applyAlignment="1">
      <alignment horizontal="center" wrapText="1"/>
    </xf>
    <xf numFmtId="4" fontId="17" fillId="0" borderId="3" xfId="9" applyNumberFormat="1" applyFont="1" applyFill="1" applyBorder="1" applyAlignment="1">
      <alignment horizontal="center" wrapText="1"/>
    </xf>
    <xf numFmtId="14" fontId="17" fillId="0" borderId="3" xfId="9" applyNumberFormat="1" applyFont="1" applyFill="1" applyBorder="1" applyAlignment="1" applyProtection="1">
      <alignment horizontal="center"/>
      <protection locked="0"/>
    </xf>
    <xf numFmtId="4" fontId="22" fillId="6" borderId="3" xfId="9" applyNumberFormat="1" applyFont="1" applyFill="1" applyBorder="1" applyAlignment="1" applyProtection="1">
      <alignment horizontal="center"/>
      <protection locked="0"/>
    </xf>
    <xf numFmtId="2" fontId="22" fillId="6" borderId="3" xfId="9" applyNumberFormat="1" applyFont="1" applyFill="1" applyBorder="1" applyAlignment="1" applyProtection="1">
      <alignment horizontal="center"/>
    </xf>
    <xf numFmtId="14" fontId="17" fillId="6" borderId="5" xfId="9" applyNumberFormat="1" applyFont="1" applyFill="1" applyBorder="1" applyAlignment="1" applyProtection="1">
      <alignment horizontal="center"/>
      <protection locked="0"/>
    </xf>
    <xf numFmtId="3" fontId="15" fillId="0" borderId="0" xfId="9" applyNumberFormat="1" applyFont="1" applyAlignment="1">
      <alignment horizontal="right"/>
    </xf>
    <xf numFmtId="14" fontId="17" fillId="0" borderId="26" xfId="9" applyNumberFormat="1" applyFont="1" applyFill="1" applyBorder="1" applyAlignment="1" applyProtection="1">
      <alignment horizontal="left"/>
      <protection locked="0"/>
    </xf>
    <xf numFmtId="170" fontId="17" fillId="0" borderId="26" xfId="9" applyNumberFormat="1" applyFont="1" applyFill="1" applyBorder="1" applyAlignment="1" applyProtection="1">
      <alignment horizontal="center"/>
      <protection locked="0"/>
    </xf>
    <xf numFmtId="2" fontId="17" fillId="0" borderId="26" xfId="9" applyNumberFormat="1" applyFont="1" applyFill="1" applyBorder="1" applyAlignment="1" applyProtection="1">
      <alignment horizontal="center"/>
      <protection locked="0"/>
    </xf>
    <xf numFmtId="49" fontId="17" fillId="0" borderId="26" xfId="9" applyNumberFormat="1" applyFont="1" applyFill="1" applyBorder="1" applyAlignment="1" applyProtection="1">
      <alignment horizontal="center"/>
      <protection locked="0"/>
    </xf>
    <xf numFmtId="0" fontId="15" fillId="0" borderId="28" xfId="9" applyFont="1" applyBorder="1" applyAlignment="1">
      <alignment horizontal="center"/>
    </xf>
    <xf numFmtId="14" fontId="17" fillId="0" borderId="26" xfId="9" applyNumberFormat="1" applyFont="1" applyFill="1" applyBorder="1" applyAlignment="1" applyProtection="1">
      <alignment horizontal="center"/>
      <protection locked="0"/>
    </xf>
    <xf numFmtId="14" fontId="17" fillId="0" borderId="3" xfId="9" applyNumberFormat="1" applyFont="1" applyBorder="1" applyAlignment="1">
      <alignment horizontal="center"/>
    </xf>
    <xf numFmtId="0" fontId="0" fillId="0" borderId="0" xfId="0" applyAlignment="1">
      <alignment horizontal="center"/>
    </xf>
    <xf numFmtId="0" fontId="5" fillId="0" borderId="0" xfId="9" applyAlignment="1">
      <alignment horizontal="center"/>
    </xf>
    <xf numFmtId="38" fontId="7" fillId="9" borderId="3" xfId="0" applyNumberFormat="1" applyFont="1" applyFill="1" applyBorder="1"/>
    <xf numFmtId="0" fontId="7" fillId="9" borderId="3" xfId="0" applyFont="1" applyFill="1" applyBorder="1"/>
    <xf numFmtId="38" fontId="7" fillId="10" borderId="3" xfId="0" applyNumberFormat="1" applyFont="1" applyFill="1" applyBorder="1"/>
    <xf numFmtId="38" fontId="7" fillId="11" borderId="3" xfId="0" applyNumberFormat="1" applyFont="1" applyFill="1" applyBorder="1"/>
    <xf numFmtId="0" fontId="7" fillId="10" borderId="3" xfId="0" applyFont="1" applyFill="1" applyBorder="1"/>
    <xf numFmtId="0" fontId="7" fillId="11" borderId="3" xfId="0" applyFont="1" applyFill="1" applyBorder="1"/>
    <xf numFmtId="0" fontId="7" fillId="12" borderId="3" xfId="0" applyFont="1" applyFill="1" applyBorder="1"/>
    <xf numFmtId="38" fontId="7" fillId="12" borderId="3" xfId="0" applyNumberFormat="1" applyFont="1" applyFill="1" applyBorder="1"/>
    <xf numFmtId="38" fontId="6" fillId="9" borderId="4" xfId="0" applyNumberFormat="1" applyFont="1" applyFill="1" applyBorder="1"/>
    <xf numFmtId="38" fontId="6" fillId="11" borderId="0" xfId="0" applyNumberFormat="1" applyFont="1" applyFill="1"/>
    <xf numFmtId="0" fontId="7" fillId="11" borderId="0" xfId="0" applyFont="1" applyFill="1"/>
    <xf numFmtId="38" fontId="6" fillId="9" borderId="0" xfId="0" applyNumberFormat="1" applyFont="1" applyFill="1"/>
    <xf numFmtId="38" fontId="29" fillId="2" borderId="3" xfId="0" applyNumberFormat="1" applyFont="1" applyFill="1" applyBorder="1"/>
    <xf numFmtId="38" fontId="10" fillId="2" borderId="0" xfId="0" applyNumberFormat="1" applyFont="1" applyFill="1"/>
    <xf numFmtId="164" fontId="10" fillId="2" borderId="0" xfId="2" applyNumberFormat="1" applyFont="1" applyFill="1"/>
    <xf numFmtId="3" fontId="10" fillId="2" borderId="0" xfId="0" applyNumberFormat="1" applyFont="1" applyFill="1"/>
    <xf numFmtId="38" fontId="7" fillId="13" borderId="3" xfId="0" applyNumberFormat="1" applyFont="1" applyFill="1" applyBorder="1"/>
    <xf numFmtId="164" fontId="10" fillId="0" borderId="0" xfId="2" applyNumberFormat="1" applyFont="1"/>
    <xf numFmtId="40" fontId="6" fillId="2" borderId="0" xfId="0" applyNumberFormat="1" applyFont="1" applyFill="1"/>
    <xf numFmtId="0" fontId="21" fillId="2" borderId="0" xfId="0" applyFont="1" applyFill="1"/>
    <xf numFmtId="170" fontId="17" fillId="2" borderId="3" xfId="9" applyNumberFormat="1" applyFont="1" applyFill="1" applyBorder="1" applyAlignment="1" applyProtection="1">
      <alignment horizontal="center"/>
      <protection locked="0"/>
    </xf>
    <xf numFmtId="1" fontId="17" fillId="2" borderId="3" xfId="9" applyNumberFormat="1" applyFont="1" applyFill="1" applyBorder="1" applyAlignment="1" applyProtection="1">
      <alignment horizontal="center"/>
      <protection locked="0"/>
    </xf>
    <xf numFmtId="4" fontId="17" fillId="2" borderId="3" xfId="9" applyNumberFormat="1" applyFont="1" applyFill="1" applyBorder="1" applyAlignment="1" applyProtection="1">
      <alignment horizontal="center"/>
      <protection locked="0"/>
    </xf>
    <xf numFmtId="3" fontId="16" fillId="2" borderId="3" xfId="9" applyNumberFormat="1" applyFont="1" applyFill="1" applyBorder="1" applyAlignment="1">
      <alignment horizontal="right"/>
    </xf>
    <xf numFmtId="0" fontId="17" fillId="2" borderId="3" xfId="9" applyFont="1" applyFill="1" applyBorder="1" applyAlignment="1">
      <alignment horizontal="center" wrapText="1"/>
    </xf>
    <xf numFmtId="0" fontId="30" fillId="0" borderId="0" xfId="0" applyFont="1"/>
    <xf numFmtId="0" fontId="30" fillId="2" borderId="0" xfId="0" applyFont="1" applyFill="1"/>
    <xf numFmtId="2" fontId="30" fillId="2" borderId="0" xfId="0" applyNumberFormat="1" applyFont="1" applyFill="1"/>
    <xf numFmtId="0" fontId="30" fillId="0" borderId="0" xfId="9" applyFont="1"/>
    <xf numFmtId="0" fontId="30" fillId="2" borderId="0" xfId="9" applyFont="1" applyFill="1"/>
    <xf numFmtId="2" fontId="17" fillId="5" borderId="3" xfId="9" applyNumberFormat="1" applyFont="1" applyFill="1" applyBorder="1" applyAlignment="1" applyProtection="1">
      <alignment horizontal="center"/>
      <protection locked="0"/>
    </xf>
    <xf numFmtId="38" fontId="6" fillId="14" borderId="0" xfId="0" applyNumberFormat="1" applyFont="1" applyFill="1"/>
    <xf numFmtId="164" fontId="8" fillId="0" borderId="1" xfId="2" applyNumberFormat="1" applyFont="1" applyBorder="1"/>
    <xf numFmtId="164" fontId="2" fillId="0" borderId="18" xfId="2" applyNumberFormat="1" applyFont="1" applyFill="1" applyBorder="1" applyAlignment="1">
      <alignment horizontal="center" wrapText="1"/>
    </xf>
    <xf numFmtId="164" fontId="8" fillId="0" borderId="22" xfId="2" applyNumberFormat="1" applyFont="1" applyBorder="1"/>
    <xf numFmtId="164" fontId="2" fillId="0" borderId="21" xfId="2" applyNumberFormat="1" applyFont="1" applyBorder="1"/>
    <xf numFmtId="164" fontId="8" fillId="0" borderId="35" xfId="2" applyNumberFormat="1" applyFont="1" applyBorder="1"/>
    <xf numFmtId="164" fontId="8" fillId="0" borderId="34" xfId="2" applyNumberFormat="1" applyFont="1" applyBorder="1"/>
    <xf numFmtId="164" fontId="2" fillId="0" borderId="23" xfId="2" applyNumberFormat="1" applyFont="1" applyBorder="1"/>
    <xf numFmtId="164" fontId="8" fillId="0" borderId="32" xfId="2" applyNumberFormat="1" applyFont="1" applyBorder="1"/>
    <xf numFmtId="164" fontId="8" fillId="0" borderId="33" xfId="2" applyNumberFormat="1" applyFont="1" applyBorder="1"/>
    <xf numFmtId="38" fontId="8" fillId="2" borderId="26" xfId="0" applyNumberFormat="1" applyFont="1" applyFill="1" applyBorder="1" applyAlignment="1">
      <alignment horizontal="right" wrapText="1"/>
    </xf>
    <xf numFmtId="0" fontId="8" fillId="0" borderId="26" xfId="0" applyFont="1" applyBorder="1"/>
    <xf numFmtId="0" fontId="8" fillId="2" borderId="26" xfId="0" applyFont="1" applyFill="1" applyBorder="1"/>
    <xf numFmtId="0" fontId="8" fillId="0" borderId="2" xfId="0" applyFont="1" applyBorder="1"/>
    <xf numFmtId="0" fontId="8" fillId="2" borderId="0" xfId="0" applyFont="1" applyFill="1"/>
    <xf numFmtId="38" fontId="2" fillId="2" borderId="30" xfId="0" applyNumberFormat="1" applyFont="1" applyFill="1" applyBorder="1" applyAlignment="1">
      <alignment horizontal="right" wrapText="1"/>
    </xf>
    <xf numFmtId="164" fontId="8" fillId="2" borderId="32" xfId="2" applyNumberFormat="1" applyFont="1" applyFill="1" applyBorder="1"/>
    <xf numFmtId="0" fontId="31" fillId="0" borderId="0" xfId="0" quotePrefix="1" applyFont="1" applyAlignment="1">
      <alignment horizontal="left" vertical="center" wrapText="1" indent="4"/>
    </xf>
    <xf numFmtId="3" fontId="0" fillId="0" borderId="0" xfId="0" applyNumberFormat="1"/>
    <xf numFmtId="4" fontId="9" fillId="0" borderId="0" xfId="1" applyNumberFormat="1" applyFont="1" applyAlignment="1">
      <alignment horizontal="center" wrapText="1"/>
    </xf>
    <xf numFmtId="0" fontId="6" fillId="0" borderId="0" xfId="0" applyFont="1" applyAlignment="1">
      <alignment wrapText="1"/>
    </xf>
    <xf numFmtId="0" fontId="9" fillId="0" borderId="0" xfId="0" applyFont="1" applyFill="1" applyBorder="1" applyAlignment="1">
      <alignment horizontal="left" wrapText="1"/>
    </xf>
    <xf numFmtId="173" fontId="7" fillId="0" borderId="0" xfId="3" applyNumberFormat="1" applyFont="1"/>
    <xf numFmtId="3" fontId="7" fillId="0" borderId="0" xfId="0" applyNumberFormat="1" applyFont="1"/>
    <xf numFmtId="1" fontId="6" fillId="0" borderId="0" xfId="0" applyNumberFormat="1" applyFont="1"/>
    <xf numFmtId="3" fontId="6" fillId="0" borderId="0" xfId="0" applyNumberFormat="1" applyFont="1"/>
    <xf numFmtId="0" fontId="9" fillId="0" borderId="0" xfId="0" applyFont="1" applyFill="1" applyBorder="1" applyAlignment="1">
      <alignment horizontal="left"/>
    </xf>
    <xf numFmtId="3" fontId="23" fillId="0" borderId="0" xfId="1" applyNumberFormat="1" applyFont="1" applyAlignment="1">
      <alignment horizontal="right"/>
    </xf>
    <xf numFmtId="2" fontId="15" fillId="0" borderId="6" xfId="9" applyNumberFormat="1" applyFont="1" applyBorder="1" applyAlignment="1">
      <alignment horizontal="center" wrapText="1"/>
    </xf>
    <xf numFmtId="2" fontId="15" fillId="0" borderId="28" xfId="9" applyNumberFormat="1" applyFont="1" applyBorder="1" applyAlignment="1">
      <alignment horizontal="center" wrapText="1"/>
    </xf>
    <xf numFmtId="2" fontId="17" fillId="0" borderId="26" xfId="2" applyNumberFormat="1" applyFont="1" applyFill="1" applyBorder="1" applyAlignment="1" applyProtection="1">
      <alignment horizontal="center"/>
      <protection locked="0"/>
    </xf>
    <xf numFmtId="2" fontId="17" fillId="2" borderId="3" xfId="2" applyNumberFormat="1" applyFont="1" applyFill="1" applyBorder="1" applyAlignment="1" applyProtection="1">
      <alignment horizontal="center"/>
      <protection locked="0"/>
    </xf>
    <xf numFmtId="170" fontId="17" fillId="2" borderId="26" xfId="9" applyNumberFormat="1" applyFont="1" applyFill="1" applyBorder="1" applyAlignment="1" applyProtection="1">
      <alignment horizontal="center"/>
      <protection locked="0"/>
    </xf>
    <xf numFmtId="170" fontId="17" fillId="6" borderId="26" xfId="9" applyNumberFormat="1" applyFont="1" applyFill="1" applyBorder="1" applyAlignment="1" applyProtection="1">
      <alignment horizontal="center"/>
      <protection locked="0"/>
    </xf>
    <xf numFmtId="2" fontId="17" fillId="0" borderId="3" xfId="2" applyNumberFormat="1" applyFont="1" applyFill="1" applyBorder="1" applyAlignment="1" applyProtection="1">
      <alignment horizontal="center"/>
      <protection locked="0"/>
    </xf>
    <xf numFmtId="2" fontId="17" fillId="6" borderId="3" xfId="2" applyNumberFormat="1" applyFont="1" applyFill="1" applyBorder="1" applyAlignment="1" applyProtection="1">
      <alignment horizontal="center"/>
      <protection locked="0"/>
    </xf>
    <xf numFmtId="2" fontId="17" fillId="0" borderId="3" xfId="2" applyNumberFormat="1" applyFont="1" applyFill="1" applyBorder="1" applyAlignment="1">
      <alignment horizontal="center" wrapText="1"/>
    </xf>
    <xf numFmtId="2" fontId="22" fillId="6" borderId="3" xfId="9" applyNumberFormat="1" applyFont="1" applyFill="1" applyBorder="1" applyAlignment="1" applyProtection="1">
      <alignment horizontal="center"/>
      <protection locked="0"/>
    </xf>
    <xf numFmtId="2" fontId="5" fillId="0" borderId="0" xfId="9" applyNumberFormat="1"/>
    <xf numFmtId="38" fontId="6" fillId="2" borderId="3" xfId="0" applyNumberFormat="1" applyFont="1" applyFill="1" applyBorder="1"/>
    <xf numFmtId="14" fontId="17" fillId="15" borderId="3" xfId="9" applyNumberFormat="1" applyFont="1" applyFill="1" applyBorder="1" applyAlignment="1" applyProtection="1">
      <alignment horizontal="center"/>
      <protection locked="0"/>
    </xf>
    <xf numFmtId="49" fontId="17" fillId="15" borderId="3" xfId="9" applyNumberFormat="1" applyFont="1" applyFill="1" applyBorder="1" applyAlignment="1" applyProtection="1">
      <alignment horizontal="center"/>
      <protection locked="0"/>
    </xf>
    <xf numFmtId="38" fontId="23" fillId="2" borderId="3" xfId="0" applyNumberFormat="1" applyFont="1" applyFill="1" applyBorder="1"/>
    <xf numFmtId="38" fontId="6" fillId="2" borderId="4" xfId="0" applyNumberFormat="1" applyFont="1" applyFill="1" applyBorder="1"/>
    <xf numFmtId="9" fontId="16" fillId="0" borderId="0" xfId="1" applyFont="1" applyAlignment="1">
      <alignment horizontal="left"/>
    </xf>
    <xf numFmtId="0" fontId="30" fillId="0" borderId="0" xfId="0" applyNumberFormat="1" applyFont="1"/>
    <xf numFmtId="172" fontId="7" fillId="0" borderId="0" xfId="0" applyNumberFormat="1" applyFont="1"/>
    <xf numFmtId="0" fontId="17" fillId="2" borderId="3" xfId="9" applyFont="1" applyFill="1" applyBorder="1" applyAlignment="1">
      <alignment horizontal="left" wrapText="1"/>
    </xf>
    <xf numFmtId="2" fontId="30" fillId="0" borderId="0" xfId="9" applyNumberFormat="1" applyFont="1"/>
    <xf numFmtId="2" fontId="17" fillId="3" borderId="3" xfId="9" applyNumberFormat="1" applyFont="1" applyFill="1" applyBorder="1" applyAlignment="1" applyProtection="1">
      <alignment horizontal="center"/>
      <protection locked="0"/>
    </xf>
    <xf numFmtId="2" fontId="22" fillId="6" borderId="5" xfId="9" applyNumberFormat="1" applyFont="1" applyFill="1" applyBorder="1" applyAlignment="1" applyProtection="1">
      <alignment horizontal="center"/>
    </xf>
    <xf numFmtId="40" fontId="6" fillId="0" borderId="0" xfId="0" applyNumberFormat="1" applyFont="1" applyBorder="1" applyAlignment="1">
      <alignment horizontal="center" wrapText="1"/>
    </xf>
    <xf numFmtId="0" fontId="32" fillId="0" borderId="0" xfId="0" applyFont="1"/>
    <xf numFmtId="0" fontId="17" fillId="2" borderId="3" xfId="9" applyNumberFormat="1" applyFont="1" applyFill="1" applyBorder="1" applyAlignment="1" applyProtection="1">
      <alignment horizontal="center"/>
      <protection locked="0"/>
    </xf>
    <xf numFmtId="38" fontId="4" fillId="0" borderId="1" xfId="0" applyNumberFormat="1" applyFont="1" applyBorder="1"/>
    <xf numFmtId="38" fontId="4" fillId="0" borderId="1" xfId="2" applyNumberFormat="1" applyFont="1" applyBorder="1"/>
    <xf numFmtId="38" fontId="3" fillId="0" borderId="0" xfId="2" applyNumberFormat="1" applyFont="1" applyAlignment="1">
      <alignment horizontal="center" wrapText="1"/>
    </xf>
    <xf numFmtId="38" fontId="3" fillId="0" borderId="0" xfId="0" applyNumberFormat="1" applyFont="1" applyBorder="1" applyAlignment="1">
      <alignment horizontal="center" wrapText="1"/>
    </xf>
    <xf numFmtId="38" fontId="3" fillId="0" borderId="0" xfId="2" applyNumberFormat="1" applyFont="1" applyBorder="1" applyAlignment="1">
      <alignment horizontal="center" wrapText="1"/>
    </xf>
    <xf numFmtId="38" fontId="3" fillId="0" borderId="0" xfId="0" applyNumberFormat="1" applyFont="1" applyAlignment="1">
      <alignment horizontal="center"/>
    </xf>
    <xf numFmtId="38" fontId="4" fillId="0" borderId="0" xfId="0" applyNumberFormat="1" applyFont="1" applyAlignment="1">
      <alignment horizontal="center" wrapText="1"/>
    </xf>
    <xf numFmtId="38" fontId="4" fillId="0" borderId="0" xfId="2" applyNumberFormat="1" applyFont="1"/>
    <xf numFmtId="38" fontId="4" fillId="0" borderId="0" xfId="2" applyNumberFormat="1" applyFont="1" applyBorder="1"/>
    <xf numFmtId="38" fontId="3" fillId="0" borderId="5" xfId="2" applyNumberFormat="1" applyFont="1" applyBorder="1"/>
    <xf numFmtId="38" fontId="3" fillId="0" borderId="0" xfId="2" applyNumberFormat="1" applyFont="1" applyBorder="1" applyAlignment="1">
      <alignment horizontal="center"/>
    </xf>
    <xf numFmtId="38" fontId="3" fillId="0" borderId="0" xfId="2" applyNumberFormat="1" applyFont="1" applyBorder="1"/>
    <xf numFmtId="38" fontId="4" fillId="2" borderId="0" xfId="2" applyNumberFormat="1" applyFont="1" applyFill="1" applyBorder="1"/>
    <xf numFmtId="40" fontId="4" fillId="0" borderId="0" xfId="2" applyNumberFormat="1" applyFont="1" applyAlignment="1">
      <alignment horizontal="center" wrapText="1"/>
    </xf>
    <xf numFmtId="40" fontId="4" fillId="0" borderId="0" xfId="0" applyNumberFormat="1" applyFont="1" applyBorder="1" applyAlignment="1">
      <alignment horizontal="center"/>
    </xf>
    <xf numFmtId="40" fontId="4" fillId="0" borderId="0" xfId="2" applyNumberFormat="1" applyFont="1" applyBorder="1"/>
    <xf numFmtId="40" fontId="4" fillId="0" borderId="0" xfId="2" applyNumberFormat="1" applyFont="1" applyBorder="1" applyAlignment="1">
      <alignment horizontal="center"/>
    </xf>
    <xf numFmtId="40" fontId="4" fillId="0" borderId="0" xfId="2" applyNumberFormat="1" applyFont="1" applyAlignment="1">
      <alignment horizontal="center"/>
    </xf>
    <xf numFmtId="38" fontId="4" fillId="0" borderId="0" xfId="2" applyNumberFormat="1" applyFont="1" applyAlignment="1">
      <alignment horizontal="right"/>
    </xf>
    <xf numFmtId="40" fontId="0" fillId="0" borderId="15" xfId="0" applyNumberFormat="1" applyBorder="1" applyAlignment="1">
      <alignment horizontal="center"/>
    </xf>
    <xf numFmtId="0" fontId="2" fillId="0" borderId="37" xfId="0" applyFont="1" applyBorder="1" applyAlignment="1">
      <alignment horizontal="center" wrapText="1"/>
    </xf>
    <xf numFmtId="38" fontId="2" fillId="0" borderId="12" xfId="0" applyNumberFormat="1" applyFont="1" applyFill="1" applyBorder="1" applyAlignment="1">
      <alignment horizontal="right"/>
    </xf>
    <xf numFmtId="3" fontId="0" fillId="0" borderId="38" xfId="1" applyNumberFormat="1" applyFont="1" applyFill="1" applyBorder="1" applyAlignment="1">
      <alignment horizontal="right"/>
    </xf>
    <xf numFmtId="3" fontId="0" fillId="0" borderId="39" xfId="1" applyNumberFormat="1" applyFont="1" applyFill="1" applyBorder="1" applyAlignment="1">
      <alignment horizontal="right"/>
    </xf>
    <xf numFmtId="164" fontId="2" fillId="0" borderId="36" xfId="2" applyNumberFormat="1" applyFont="1" applyBorder="1"/>
    <xf numFmtId="0" fontId="2" fillId="2" borderId="26" xfId="0" applyFont="1" applyFill="1" applyBorder="1"/>
    <xf numFmtId="164" fontId="2" fillId="2" borderId="32" xfId="2" applyNumberFormat="1" applyFont="1" applyFill="1" applyBorder="1"/>
    <xf numFmtId="164" fontId="2" fillId="0" borderId="22" xfId="2" applyNumberFormat="1" applyFont="1" applyBorder="1"/>
    <xf numFmtId="0" fontId="16" fillId="2" borderId="31" xfId="0" applyFont="1" applyFill="1" applyBorder="1" applyAlignment="1">
      <alignment horizontal="center"/>
    </xf>
    <xf numFmtId="170" fontId="16" fillId="0" borderId="31" xfId="0" applyNumberFormat="1" applyFont="1" applyBorder="1" applyAlignment="1">
      <alignment horizontal="center"/>
    </xf>
    <xf numFmtId="0" fontId="16" fillId="0" borderId="31" xfId="0" applyFont="1" applyBorder="1"/>
    <xf numFmtId="0" fontId="16" fillId="0" borderId="31" xfId="0" applyFont="1" applyBorder="1" applyAlignment="1">
      <alignment horizontal="center"/>
    </xf>
    <xf numFmtId="1" fontId="16" fillId="0" borderId="31" xfId="0" applyNumberFormat="1" applyFont="1" applyBorder="1" applyAlignment="1">
      <alignment horizontal="center"/>
    </xf>
    <xf numFmtId="2" fontId="16" fillId="0" borderId="31" xfId="0" applyNumberFormat="1" applyFont="1" applyBorder="1" applyAlignment="1">
      <alignment horizontal="center"/>
    </xf>
    <xf numFmtId="1" fontId="17" fillId="0" borderId="31" xfId="9" applyNumberFormat="1" applyFont="1" applyFill="1" applyBorder="1" applyAlignment="1" applyProtection="1">
      <alignment horizontal="center"/>
      <protection locked="0"/>
    </xf>
    <xf numFmtId="2" fontId="17" fillId="0" borderId="31" xfId="9" applyNumberFormat="1" applyFont="1" applyFill="1" applyBorder="1" applyAlignment="1" applyProtection="1">
      <alignment horizontal="center"/>
      <protection locked="0"/>
    </xf>
    <xf numFmtId="3" fontId="16" fillId="0" borderId="31" xfId="0" applyNumberFormat="1" applyFont="1" applyBorder="1" applyAlignment="1">
      <alignment horizontal="center"/>
    </xf>
    <xf numFmtId="0" fontId="30" fillId="0" borderId="31" xfId="0" applyFont="1" applyBorder="1"/>
    <xf numFmtId="38" fontId="2" fillId="0" borderId="0" xfId="0" applyNumberFormat="1" applyFont="1" applyAlignment="1">
      <alignment horizontal="center"/>
    </xf>
    <xf numFmtId="164" fontId="2" fillId="0" borderId="0" xfId="2" applyNumberFormat="1" applyFont="1"/>
    <xf numFmtId="164" fontId="2" fillId="0" borderId="5" xfId="2" applyNumberFormat="1" applyFont="1" applyBorder="1"/>
    <xf numFmtId="0" fontId="2" fillId="0" borderId="0" xfId="0" applyFont="1" applyAlignment="1">
      <alignment horizontal="center"/>
    </xf>
    <xf numFmtId="2" fontId="0" fillId="0" borderId="0" xfId="0" applyNumberFormat="1" applyAlignment="1">
      <alignment horizontal="center"/>
    </xf>
    <xf numFmtId="0" fontId="0" fillId="3" borderId="0" xfId="0" applyFill="1"/>
    <xf numFmtId="2" fontId="2" fillId="0" borderId="5" xfId="0" applyNumberFormat="1" applyFont="1" applyBorder="1" applyAlignment="1">
      <alignment horizontal="center"/>
    </xf>
    <xf numFmtId="43" fontId="0" fillId="0" borderId="0" xfId="2" applyFont="1" applyAlignment="1"/>
    <xf numFmtId="2" fontId="2" fillId="0" borderId="5" xfId="0" applyNumberFormat="1" applyFont="1" applyBorder="1" applyAlignment="1">
      <alignment horizontal="right"/>
    </xf>
    <xf numFmtId="2" fontId="0" fillId="3" borderId="0" xfId="0" applyNumberFormat="1" applyFill="1" applyAlignment="1">
      <alignment horizontal="center"/>
    </xf>
    <xf numFmtId="43" fontId="0" fillId="3" borderId="0" xfId="2" applyFont="1" applyFill="1" applyAlignment="1"/>
    <xf numFmtId="164" fontId="8" fillId="3" borderId="0" xfId="2" applyNumberFormat="1" applyFont="1" applyFill="1"/>
    <xf numFmtId="38" fontId="7" fillId="0" borderId="24" xfId="0" applyNumberFormat="1" applyFont="1" applyBorder="1"/>
    <xf numFmtId="38" fontId="2" fillId="0" borderId="5" xfId="0" applyNumberFormat="1" applyFont="1" applyBorder="1"/>
    <xf numFmtId="9" fontId="0" fillId="0" borderId="0" xfId="1" applyFont="1" applyAlignment="1">
      <alignment horizontal="center"/>
    </xf>
    <xf numFmtId="9" fontId="2" fillId="0" borderId="5" xfId="0" applyNumberFormat="1" applyFont="1" applyBorder="1" applyAlignment="1">
      <alignment horizontal="center"/>
    </xf>
    <xf numFmtId="9" fontId="2" fillId="0" borderId="5" xfId="1" applyFont="1" applyBorder="1" applyAlignment="1">
      <alignment horizontal="center"/>
    </xf>
    <xf numFmtId="0" fontId="2" fillId="0" borderId="0" xfId="0" applyFont="1" applyAlignment="1">
      <alignment horizontal="left"/>
    </xf>
    <xf numFmtId="164" fontId="15" fillId="0" borderId="0" xfId="9" applyNumberFormat="1" applyFont="1" applyAlignment="1">
      <alignment horizontal="center"/>
    </xf>
    <xf numFmtId="164" fontId="15" fillId="0" borderId="6" xfId="9" applyNumberFormat="1" applyFont="1" applyBorder="1" applyAlignment="1">
      <alignment horizontal="center"/>
    </xf>
    <xf numFmtId="164" fontId="15" fillId="0" borderId="28" xfId="9" applyNumberFormat="1" applyFont="1" applyBorder="1" applyAlignment="1">
      <alignment horizontal="center"/>
    </xf>
    <xf numFmtId="164" fontId="15" fillId="0" borderId="27" xfId="9" applyNumberFormat="1" applyFont="1" applyBorder="1" applyAlignment="1">
      <alignment horizontal="center"/>
    </xf>
    <xf numFmtId="164" fontId="17" fillId="0" borderId="26" xfId="2" applyNumberFormat="1" applyFont="1" applyFill="1" applyBorder="1" applyAlignment="1" applyProtection="1">
      <alignment horizontal="center"/>
      <protection locked="0"/>
    </xf>
    <xf numFmtId="164" fontId="17" fillId="0" borderId="31" xfId="2" applyNumberFormat="1" applyFont="1" applyFill="1" applyBorder="1" applyAlignment="1" applyProtection="1">
      <alignment horizontal="center"/>
      <protection locked="0"/>
    </xf>
    <xf numFmtId="164" fontId="22" fillId="6" borderId="5" xfId="2" applyNumberFormat="1" applyFont="1" applyFill="1" applyBorder="1" applyAlignment="1" applyProtection="1">
      <alignment horizontal="center"/>
    </xf>
    <xf numFmtId="164" fontId="16" fillId="0" borderId="0" xfId="0" applyNumberFormat="1" applyFont="1" applyAlignment="1">
      <alignment horizontal="center"/>
    </xf>
    <xf numFmtId="164" fontId="0" fillId="0" borderId="0" xfId="0" applyNumberFormat="1"/>
    <xf numFmtId="1" fontId="2" fillId="0" borderId="0" xfId="0" applyNumberFormat="1" applyFont="1" applyAlignment="1">
      <alignment horizontal="left"/>
    </xf>
    <xf numFmtId="38" fontId="3" fillId="0" borderId="0" xfId="2" applyNumberFormat="1" applyFont="1" applyBorder="1" applyAlignment="1"/>
    <xf numFmtId="38" fontId="3" fillId="0" borderId="0" xfId="0" applyNumberFormat="1" applyFont="1" applyBorder="1" applyAlignment="1"/>
    <xf numFmtId="0" fontId="34" fillId="0" borderId="0" xfId="0" applyFont="1"/>
    <xf numFmtId="0" fontId="35" fillId="0" borderId="0" xfId="0" applyFont="1"/>
    <xf numFmtId="1" fontId="0" fillId="0" borderId="0" xfId="0" applyNumberFormat="1" applyAlignment="1">
      <alignment horizontal="center"/>
    </xf>
    <xf numFmtId="0" fontId="37" fillId="0" borderId="0" xfId="0" applyFont="1"/>
    <xf numFmtId="9" fontId="3" fillId="0" borderId="0" xfId="1" applyFont="1" applyBorder="1" applyAlignment="1">
      <alignment horizontal="center"/>
    </xf>
    <xf numFmtId="9" fontId="4" fillId="0" borderId="0" xfId="1" applyFont="1" applyAlignment="1">
      <alignment horizontal="center"/>
    </xf>
    <xf numFmtId="9" fontId="3" fillId="0" borderId="0" xfId="1" applyFont="1" applyAlignment="1">
      <alignment horizontal="center"/>
    </xf>
    <xf numFmtId="9" fontId="4" fillId="0" borderId="0" xfId="0" applyNumberFormat="1" applyFont="1" applyBorder="1"/>
    <xf numFmtId="9" fontId="4" fillId="0" borderId="1" xfId="1" applyFont="1" applyBorder="1" applyAlignment="1">
      <alignment horizontal="center"/>
    </xf>
    <xf numFmtId="9" fontId="4" fillId="0" borderId="0" xfId="1" applyFont="1" applyBorder="1" applyAlignment="1">
      <alignment horizontal="center"/>
    </xf>
    <xf numFmtId="0" fontId="0" fillId="2" borderId="0" xfId="0" applyFill="1"/>
    <xf numFmtId="0" fontId="2" fillId="2" borderId="24" xfId="0" applyFont="1" applyFill="1" applyBorder="1"/>
    <xf numFmtId="0" fontId="2" fillId="0" borderId="31" xfId="0" applyFont="1" applyBorder="1"/>
    <xf numFmtId="38" fontId="2" fillId="0" borderId="25" xfId="0" applyNumberFormat="1" applyFont="1" applyBorder="1"/>
    <xf numFmtId="0" fontId="2" fillId="2" borderId="9" xfId="0" applyFont="1" applyFill="1" applyBorder="1" applyAlignment="1">
      <alignment horizontal="center"/>
    </xf>
    <xf numFmtId="0" fontId="18" fillId="4" borderId="9" xfId="0" applyFont="1" applyFill="1" applyBorder="1" applyAlignment="1">
      <alignment horizontal="center" wrapText="1"/>
    </xf>
    <xf numFmtId="0" fontId="20" fillId="5" borderId="3" xfId="0" applyFont="1" applyFill="1" applyBorder="1" applyAlignment="1">
      <alignment horizontal="center" wrapText="1"/>
    </xf>
    <xf numFmtId="164" fontId="20" fillId="4" borderId="24" xfId="2" applyNumberFormat="1" applyFont="1" applyFill="1" applyBorder="1" applyAlignment="1">
      <alignment horizontal="center" wrapText="1"/>
    </xf>
    <xf numFmtId="164" fontId="20" fillId="4" borderId="25" xfId="2" applyNumberFormat="1" applyFont="1" applyFill="1" applyBorder="1" applyAlignment="1">
      <alignment horizontal="center" wrapText="1"/>
    </xf>
    <xf numFmtId="0" fontId="0" fillId="0" borderId="24" xfId="0" applyBorder="1" applyAlignment="1">
      <alignment horizontal="center" wrapText="1"/>
    </xf>
    <xf numFmtId="0" fontId="0" fillId="0" borderId="25" xfId="0" applyBorder="1" applyAlignment="1">
      <alignment horizontal="center" wrapText="1"/>
    </xf>
    <xf numFmtId="0" fontId="0" fillId="0" borderId="0" xfId="0" applyAlignment="1">
      <alignment horizontal="left" wrapText="1"/>
    </xf>
  </cellXfs>
  <cellStyles count="11">
    <cellStyle name="Comma" xfId="2" builtinId="3"/>
    <cellStyle name="Comma 2" xfId="5"/>
    <cellStyle name="Comma 3" xfId="7"/>
    <cellStyle name="Currency" xfId="3" builtinId="4"/>
    <cellStyle name="Normal" xfId="0" builtinId="0"/>
    <cellStyle name="Normal 2" xfId="4"/>
    <cellStyle name="Normal 3" xfId="6"/>
    <cellStyle name="Normal 4" xfId="9"/>
    <cellStyle name="Percent" xfId="1" builtinId="5"/>
    <cellStyle name="Percent 2" xfId="8"/>
    <cellStyle name="Percent 3" xfId="10"/>
  </cellStyles>
  <dxfs count="0"/>
  <tableStyles count="0" defaultTableStyle="TableStyleMedium9" defaultPivotStyle="PivotStyleLight16"/>
  <colors>
    <mruColors>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Core Mission Support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cat>
            <c:strRef>
              <c:f>'Fun Facts &amp; Graphs'!$A$37:$A$38</c:f>
              <c:strCache>
                <c:ptCount val="2"/>
                <c:pt idx="0">
                  <c:v>Program Expenses</c:v>
                </c:pt>
                <c:pt idx="1">
                  <c:v>Core Mission Support Expenses</c:v>
                </c:pt>
              </c:strCache>
            </c:strRef>
          </c:cat>
          <c:val>
            <c:numRef>
              <c:f>'Fun Facts &amp; Graphs'!$B$37:$B$38</c:f>
              <c:numCache>
                <c:formatCode>#,##0_);[Red]\(#,##0\)</c:formatCode>
                <c:ptCount val="2"/>
                <c:pt idx="0">
                  <c:v>2684830.3538544038</c:v>
                </c:pt>
                <c:pt idx="1">
                  <c:v>521155</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Cash Flow Projection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'Summary by Month'!$C$141:$N$141</c:f>
              <c:numCache>
                <c:formatCode>_(* #,##0_);_(* \(#,##0\);_(* "-"??_);_(@_)</c:formatCode>
                <c:ptCount val="12"/>
                <c:pt idx="0">
                  <c:v>210455.59870798473</c:v>
                </c:pt>
                <c:pt idx="1">
                  <c:v>196647.89452466011</c:v>
                </c:pt>
                <c:pt idx="2">
                  <c:v>150532.34177859264</c:v>
                </c:pt>
                <c:pt idx="3">
                  <c:v>120004.97171495701</c:v>
                </c:pt>
                <c:pt idx="4">
                  <c:v>114115.26971686901</c:v>
                </c:pt>
                <c:pt idx="5">
                  <c:v>104121.72849982594</c:v>
                </c:pt>
                <c:pt idx="6">
                  <c:v>74891.434532804589</c:v>
                </c:pt>
                <c:pt idx="7">
                  <c:v>19429.504382639032</c:v>
                </c:pt>
                <c:pt idx="8">
                  <c:v>-34263.223031418805</c:v>
                </c:pt>
                <c:pt idx="9">
                  <c:v>-72938.44462684961</c:v>
                </c:pt>
                <c:pt idx="10">
                  <c:v>-34421.013683602141</c:v>
                </c:pt>
                <c:pt idx="11">
                  <c:v>105002.36891461935</c:v>
                </c:pt>
              </c:numCache>
            </c:numRef>
          </c:val>
          <c:smooth val="0"/>
        </c:ser>
        <c:dLbls>
          <c:showLegendKey val="0"/>
          <c:showVal val="0"/>
          <c:showCatName val="0"/>
          <c:showSerName val="0"/>
          <c:showPercent val="0"/>
          <c:showBubbleSize val="0"/>
        </c:dLbls>
        <c:smooth val="0"/>
        <c:axId val="383096656"/>
        <c:axId val="383097440"/>
      </c:lineChart>
      <c:catAx>
        <c:axId val="383096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3097440"/>
        <c:crosses val="autoZero"/>
        <c:auto val="1"/>
        <c:lblAlgn val="ctr"/>
        <c:lblOffset val="100"/>
        <c:noMultiLvlLbl val="0"/>
      </c:catAx>
      <c:valAx>
        <c:axId val="38309744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3096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Revenues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cat>
            <c:strRef>
              <c:f>'Fun Facts &amp; Graphs'!$E$4:$E$6</c:f>
              <c:strCache>
                <c:ptCount val="3"/>
                <c:pt idx="0">
                  <c:v>Contracts</c:v>
                </c:pt>
                <c:pt idx="1">
                  <c:v>Grants</c:v>
                </c:pt>
                <c:pt idx="2">
                  <c:v>Fundraising &amp; Other Activities</c:v>
                </c:pt>
              </c:strCache>
            </c:strRef>
          </c:cat>
          <c:val>
            <c:numRef>
              <c:f>'Fun Facts &amp; Graphs'!$F$4:$F$6</c:f>
              <c:numCache>
                <c:formatCode>#,##0_);[Red]\(#,##0\)</c:formatCode>
                <c:ptCount val="3"/>
                <c:pt idx="0">
                  <c:v>2607938.0169771509</c:v>
                </c:pt>
                <c:pt idx="1">
                  <c:v>444918</c:v>
                </c:pt>
                <c:pt idx="2">
                  <c:v>483180.66666666657</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Expenses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cat>
            <c:strRef>
              <c:f>'Fun Facts &amp; Graphs'!$A$4:$A$5</c:f>
              <c:strCache>
                <c:ptCount val="2"/>
                <c:pt idx="0">
                  <c:v>Personnel</c:v>
                </c:pt>
                <c:pt idx="1">
                  <c:v>Operating</c:v>
                </c:pt>
              </c:strCache>
            </c:strRef>
          </c:cat>
          <c:val>
            <c:numRef>
              <c:f>'Fun Facts &amp; Graphs'!$B$4:$B$5</c:f>
              <c:numCache>
                <c:formatCode>#,##0_);[Red]\(#,##0\)</c:formatCode>
                <c:ptCount val="2"/>
                <c:pt idx="0">
                  <c:v>2428312.2216675426</c:v>
                </c:pt>
                <c:pt idx="1">
                  <c:v>1044809.2020006477</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verticalDpi="599"/>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38100</xdr:rowOff>
    </xdr:from>
    <xdr:to>
      <xdr:col>10</xdr:col>
      <xdr:colOff>247650</xdr:colOff>
      <xdr:row>37</xdr:row>
      <xdr:rowOff>142875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381125"/>
          <a:ext cx="7105650" cy="7105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200025</xdr:colOff>
      <xdr:row>3</xdr:row>
      <xdr:rowOff>95250</xdr:rowOff>
    </xdr:from>
    <xdr:to>
      <xdr:col>0</xdr:col>
      <xdr:colOff>476250</xdr:colOff>
      <xdr:row>3</xdr:row>
      <xdr:rowOff>371475</xdr:rowOff>
    </xdr:to>
    <xdr:pic>
      <xdr:nvPicPr>
        <xdr:cNvPr id="2" name="Picture 1"/>
        <xdr:cNvPicPr>
          <a:picLocks noChangeAspect="1" noChangeArrowheads="1"/>
        </xdr:cNvPicPr>
      </xdr:nvPicPr>
      <xdr:blipFill>
        <a:blip xmlns:r="http://schemas.openxmlformats.org/officeDocument/2006/relationships" r:embed="rId1" cstate="print">
          <a:duotone>
            <a:prstClr val="black"/>
            <a:schemeClr val="accent2">
              <a:tint val="45000"/>
              <a:satMod val="400000"/>
            </a:schemeClr>
          </a:duotone>
          <a:extLst>
            <a:ext uri="{28A0092B-C50C-407E-A947-70E740481C1C}">
              <a14:useLocalDpi xmlns:a14="http://schemas.microsoft.com/office/drawing/2010/main" val="0"/>
            </a:ext>
          </a:extLst>
        </a:blip>
        <a:srcRect/>
        <a:stretch>
          <a:fillRect/>
        </a:stretch>
      </xdr:blipFill>
      <xdr:spPr bwMode="auto">
        <a:xfrm>
          <a:off x="200025" y="933450"/>
          <a:ext cx="276225"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xdr:colOff>
      <xdr:row>5</xdr:row>
      <xdr:rowOff>66675</xdr:rowOff>
    </xdr:from>
    <xdr:to>
      <xdr:col>0</xdr:col>
      <xdr:colOff>514350</xdr:colOff>
      <xdr:row>5</xdr:row>
      <xdr:rowOff>371475</xdr:rowOff>
    </xdr:to>
    <xdr:pic>
      <xdr:nvPicPr>
        <xdr:cNvPr id="4" name="Picture 3"/>
        <xdr:cNvPicPr>
          <a:picLocks noChangeAspect="1" noChangeArrowheads="1"/>
        </xdr:cNvPicPr>
      </xdr:nvPicPr>
      <xdr:blipFill>
        <a:blip xmlns:r="http://schemas.openxmlformats.org/officeDocument/2006/relationships" r:embed="rId1" cstate="print">
          <a:duotone>
            <a:prstClr val="black"/>
            <a:schemeClr val="accent2">
              <a:tint val="45000"/>
              <a:satMod val="400000"/>
            </a:schemeClr>
          </a:duotone>
          <a:extLst>
            <a:ext uri="{28A0092B-C50C-407E-A947-70E740481C1C}">
              <a14:useLocalDpi xmlns:a14="http://schemas.microsoft.com/office/drawing/2010/main" val="0"/>
            </a:ext>
          </a:extLst>
        </a:blip>
        <a:srcRect/>
        <a:stretch>
          <a:fillRect/>
        </a:stretch>
      </xdr:blipFill>
      <xdr:spPr bwMode="auto">
        <a:xfrm>
          <a:off x="209550" y="1743075"/>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7</xdr:row>
      <xdr:rowOff>47625</xdr:rowOff>
    </xdr:from>
    <xdr:to>
      <xdr:col>0</xdr:col>
      <xdr:colOff>457200</xdr:colOff>
      <xdr:row>7</xdr:row>
      <xdr:rowOff>342900</xdr:rowOff>
    </xdr:to>
    <xdr:pic>
      <xdr:nvPicPr>
        <xdr:cNvPr id="6" name="Picture 5"/>
        <xdr:cNvPicPr>
          <a:picLocks noChangeAspect="1" noChangeArrowheads="1"/>
        </xdr:cNvPicPr>
      </xdr:nvPicPr>
      <xdr:blipFill>
        <a:blip xmlns:r="http://schemas.openxmlformats.org/officeDocument/2006/relationships" r:embed="rId1" cstate="print">
          <a:duotone>
            <a:prstClr val="black"/>
            <a:schemeClr val="accent2">
              <a:tint val="45000"/>
              <a:satMod val="400000"/>
            </a:schemeClr>
          </a:duotone>
          <a:extLst>
            <a:ext uri="{28A0092B-C50C-407E-A947-70E740481C1C}">
              <a14:useLocalDpi xmlns:a14="http://schemas.microsoft.com/office/drawing/2010/main" val="0"/>
            </a:ext>
          </a:extLst>
        </a:blip>
        <a:srcRect/>
        <a:stretch>
          <a:fillRect/>
        </a:stretch>
      </xdr:blipFill>
      <xdr:spPr bwMode="auto">
        <a:xfrm>
          <a:off x="161925" y="2562225"/>
          <a:ext cx="295275"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xdr:row>
      <xdr:rowOff>76200</xdr:rowOff>
    </xdr:from>
    <xdr:to>
      <xdr:col>0</xdr:col>
      <xdr:colOff>457200</xdr:colOff>
      <xdr:row>9</xdr:row>
      <xdr:rowOff>371475</xdr:rowOff>
    </xdr:to>
    <xdr:pic>
      <xdr:nvPicPr>
        <xdr:cNvPr id="7" name="Picture 6"/>
        <xdr:cNvPicPr>
          <a:picLocks noChangeAspect="1" noChangeArrowheads="1"/>
        </xdr:cNvPicPr>
      </xdr:nvPicPr>
      <xdr:blipFill>
        <a:blip xmlns:r="http://schemas.openxmlformats.org/officeDocument/2006/relationships" r:embed="rId1" cstate="print">
          <a:duotone>
            <a:prstClr val="black"/>
            <a:schemeClr val="accent2">
              <a:tint val="45000"/>
              <a:satMod val="400000"/>
            </a:schemeClr>
          </a:duotone>
          <a:extLst>
            <a:ext uri="{28A0092B-C50C-407E-A947-70E740481C1C}">
              <a14:useLocalDpi xmlns:a14="http://schemas.microsoft.com/office/drawing/2010/main" val="0"/>
            </a:ext>
          </a:extLst>
        </a:blip>
        <a:srcRect/>
        <a:stretch>
          <a:fillRect/>
        </a:stretch>
      </xdr:blipFill>
      <xdr:spPr bwMode="auto">
        <a:xfrm>
          <a:off x="161925" y="3429000"/>
          <a:ext cx="295275"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203200</xdr:colOff>
      <xdr:row>11</xdr:row>
      <xdr:rowOff>76200</xdr:rowOff>
    </xdr:from>
    <xdr:to>
      <xdr:col>0</xdr:col>
      <xdr:colOff>498475</xdr:colOff>
      <xdr:row>11</xdr:row>
      <xdr:rowOff>371475</xdr:rowOff>
    </xdr:to>
    <xdr:pic>
      <xdr:nvPicPr>
        <xdr:cNvPr id="8" name="Picture 7"/>
        <xdr:cNvPicPr>
          <a:picLocks noChangeAspect="1" noChangeArrowheads="1"/>
        </xdr:cNvPicPr>
      </xdr:nvPicPr>
      <xdr:blipFill>
        <a:blip xmlns:r="http://schemas.openxmlformats.org/officeDocument/2006/relationships" r:embed="rId1" cstate="print">
          <a:duotone>
            <a:prstClr val="black"/>
            <a:schemeClr val="accent2">
              <a:tint val="45000"/>
              <a:satMod val="400000"/>
            </a:schemeClr>
          </a:duotone>
          <a:extLst>
            <a:ext uri="{28A0092B-C50C-407E-A947-70E740481C1C}">
              <a14:useLocalDpi xmlns:a14="http://schemas.microsoft.com/office/drawing/2010/main" val="0"/>
            </a:ext>
          </a:extLst>
        </a:blip>
        <a:srcRect/>
        <a:stretch>
          <a:fillRect/>
        </a:stretch>
      </xdr:blipFill>
      <xdr:spPr bwMode="auto">
        <a:xfrm>
          <a:off x="203200" y="4279900"/>
          <a:ext cx="295275"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215900</xdr:colOff>
      <xdr:row>13</xdr:row>
      <xdr:rowOff>101600</xdr:rowOff>
    </xdr:from>
    <xdr:to>
      <xdr:col>0</xdr:col>
      <xdr:colOff>511175</xdr:colOff>
      <xdr:row>13</xdr:row>
      <xdr:rowOff>396875</xdr:rowOff>
    </xdr:to>
    <xdr:pic>
      <xdr:nvPicPr>
        <xdr:cNvPr id="9" name="Picture 8"/>
        <xdr:cNvPicPr>
          <a:picLocks noChangeAspect="1" noChangeArrowheads="1"/>
        </xdr:cNvPicPr>
      </xdr:nvPicPr>
      <xdr:blipFill>
        <a:blip xmlns:r="http://schemas.openxmlformats.org/officeDocument/2006/relationships" r:embed="rId1" cstate="print">
          <a:duotone>
            <a:prstClr val="black"/>
            <a:schemeClr val="accent2">
              <a:tint val="45000"/>
              <a:satMod val="400000"/>
            </a:schemeClr>
          </a:duotone>
          <a:extLst>
            <a:ext uri="{28A0092B-C50C-407E-A947-70E740481C1C}">
              <a14:useLocalDpi xmlns:a14="http://schemas.microsoft.com/office/drawing/2010/main" val="0"/>
            </a:ext>
          </a:extLst>
        </a:blip>
        <a:srcRect/>
        <a:stretch>
          <a:fillRect/>
        </a:stretch>
      </xdr:blipFill>
      <xdr:spPr bwMode="auto">
        <a:xfrm>
          <a:off x="215900" y="5143500"/>
          <a:ext cx="295275"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95250</xdr:colOff>
      <xdr:row>40</xdr:row>
      <xdr:rowOff>119061</xdr:rowOff>
    </xdr:from>
    <xdr:to>
      <xdr:col>2</xdr:col>
      <xdr:colOff>590550</xdr:colOff>
      <xdr:row>54</xdr:row>
      <xdr:rowOff>104775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85725</xdr:colOff>
      <xdr:row>37</xdr:row>
      <xdr:rowOff>66675</xdr:rowOff>
    </xdr:from>
    <xdr:to>
      <xdr:col>7</xdr:col>
      <xdr:colOff>476249</xdr:colOff>
      <xdr:row>51</xdr:row>
      <xdr:rowOff>9525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95250</xdr:colOff>
      <xdr:row>8</xdr:row>
      <xdr:rowOff>47625</xdr:rowOff>
    </xdr:from>
    <xdr:to>
      <xdr:col>6</xdr:col>
      <xdr:colOff>647700</xdr:colOff>
      <xdr:row>22</xdr:row>
      <xdr:rowOff>161925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xdr:row>
      <xdr:rowOff>57150</xdr:rowOff>
    </xdr:from>
    <xdr:to>
      <xdr:col>2</xdr:col>
      <xdr:colOff>542925</xdr:colOff>
      <xdr:row>22</xdr:row>
      <xdr:rowOff>185738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C2"/>
  <sheetViews>
    <sheetView workbookViewId="0">
      <selection activeCell="C2" sqref="C2"/>
    </sheetView>
  </sheetViews>
  <sheetFormatPr defaultRowHeight="15.75" x14ac:dyDescent="0.25"/>
  <sheetData>
    <row r="2" spans="3:3" ht="90" x14ac:dyDescent="1.1499999999999999">
      <c r="C2" s="505" t="s">
        <v>682</v>
      </c>
    </row>
  </sheetData>
  <pageMargins left="0.7" right="0.7" top="0.75" bottom="0.75" header="0.3" footer="0.3"/>
  <pageSetup orientation="portrait" verticalDpi="599"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1"/>
  <sheetViews>
    <sheetView topLeftCell="A18" workbookViewId="0">
      <selection activeCell="E23" sqref="E23"/>
    </sheetView>
  </sheetViews>
  <sheetFormatPr defaultRowHeight="12.75" x14ac:dyDescent="0.2"/>
  <cols>
    <col min="1" max="1" width="40.25" style="59" customWidth="1"/>
    <col min="2" max="2" width="9" style="58"/>
    <col min="3" max="3" width="10.125" style="58" bestFit="1" customWidth="1"/>
    <col min="4" max="4" width="9" style="58"/>
    <col min="5" max="5" width="11.5" style="58" customWidth="1"/>
    <col min="6" max="6" width="9" style="58"/>
    <col min="7" max="11" width="9" style="59"/>
    <col min="12" max="12" width="10.125" style="59" customWidth="1"/>
    <col min="13" max="16384" width="9" style="59"/>
  </cols>
  <sheetData>
    <row r="1" spans="1:4" x14ac:dyDescent="0.2">
      <c r="A1" s="58" t="s">
        <v>129</v>
      </c>
      <c r="B1" s="59"/>
      <c r="C1" s="59"/>
      <c r="D1" s="59"/>
    </row>
    <row r="3" spans="1:4" x14ac:dyDescent="0.2">
      <c r="A3" s="36" t="s">
        <v>130</v>
      </c>
      <c r="B3" s="39">
        <v>0</v>
      </c>
      <c r="C3" s="34"/>
      <c r="D3" s="59"/>
    </row>
    <row r="4" spans="1:4" x14ac:dyDescent="0.2">
      <c r="A4" s="36"/>
      <c r="B4" s="39"/>
      <c r="C4" s="34"/>
      <c r="D4" s="59"/>
    </row>
    <row r="5" spans="1:4" x14ac:dyDescent="0.2">
      <c r="A5" s="40" t="s">
        <v>132</v>
      </c>
      <c r="B5" s="41">
        <v>13711</v>
      </c>
      <c r="C5" s="58" t="s">
        <v>133</v>
      </c>
      <c r="D5" s="59"/>
    </row>
    <row r="6" spans="1:4" x14ac:dyDescent="0.2">
      <c r="B6" s="41"/>
      <c r="C6" s="59"/>
      <c r="D6" s="59"/>
    </row>
    <row r="7" spans="1:4" x14ac:dyDescent="0.2">
      <c r="A7" s="58" t="s">
        <v>134</v>
      </c>
      <c r="B7" s="41"/>
      <c r="C7" s="59"/>
      <c r="D7" s="59"/>
    </row>
    <row r="8" spans="1:4" x14ac:dyDescent="0.2">
      <c r="A8" s="245" t="s">
        <v>135</v>
      </c>
      <c r="B8" s="42">
        <v>7.7850000000000003E-2</v>
      </c>
      <c r="C8" s="147" t="s">
        <v>281</v>
      </c>
      <c r="D8" s="147"/>
    </row>
    <row r="9" spans="1:4" x14ac:dyDescent="0.2">
      <c r="A9" s="245" t="s">
        <v>136</v>
      </c>
      <c r="B9" s="238">
        <v>0.14674999999999999</v>
      </c>
      <c r="C9" s="147" t="s">
        <v>280</v>
      </c>
      <c r="D9" s="147"/>
    </row>
    <row r="10" spans="1:4" x14ac:dyDescent="0.2">
      <c r="A10" s="245" t="s">
        <v>137</v>
      </c>
      <c r="B10" s="42">
        <v>0.48525000000000001</v>
      </c>
      <c r="C10" s="147" t="s">
        <v>68</v>
      </c>
      <c r="D10" s="147"/>
    </row>
    <row r="11" spans="1:4" x14ac:dyDescent="0.2">
      <c r="A11" s="245" t="s">
        <v>138</v>
      </c>
      <c r="B11" s="237">
        <v>5.5899999999999998E-2</v>
      </c>
      <c r="C11" s="147" t="s">
        <v>282</v>
      </c>
      <c r="D11" s="246"/>
    </row>
    <row r="12" spans="1:4" x14ac:dyDescent="0.2">
      <c r="B12" s="41"/>
      <c r="C12" s="59"/>
      <c r="D12" s="59"/>
    </row>
    <row r="13" spans="1:4" x14ac:dyDescent="0.2">
      <c r="A13" s="40" t="s">
        <v>139</v>
      </c>
      <c r="B13" s="35">
        <v>6.0000000000000001E-3</v>
      </c>
      <c r="C13" s="59"/>
      <c r="D13" s="59"/>
    </row>
    <row r="14" spans="1:4" x14ac:dyDescent="0.2">
      <c r="B14" s="41"/>
      <c r="C14" s="59"/>
      <c r="D14" s="59"/>
    </row>
    <row r="15" spans="1:4" x14ac:dyDescent="0.2">
      <c r="A15" s="40" t="s">
        <v>140</v>
      </c>
      <c r="B15" s="42">
        <v>7.6499999999999999E-2</v>
      </c>
      <c r="C15" s="59"/>
      <c r="D15" s="59"/>
    </row>
    <row r="16" spans="1:4" x14ac:dyDescent="0.2">
      <c r="B16" s="41"/>
      <c r="C16" s="59"/>
      <c r="D16" s="59"/>
    </row>
    <row r="17" spans="1:13" x14ac:dyDescent="0.2">
      <c r="A17" s="58" t="s">
        <v>141</v>
      </c>
      <c r="B17" s="32">
        <v>0.03</v>
      </c>
      <c r="C17" s="59" t="s">
        <v>489</v>
      </c>
      <c r="D17" s="59"/>
    </row>
    <row r="18" spans="1:13" x14ac:dyDescent="0.2">
      <c r="B18" s="41"/>
      <c r="C18" s="59"/>
      <c r="D18" s="59"/>
    </row>
    <row r="19" spans="1:13" x14ac:dyDescent="0.2">
      <c r="A19" s="240"/>
      <c r="B19" s="239"/>
    </row>
    <row r="20" spans="1:13" x14ac:dyDescent="0.2">
      <c r="A20" s="58"/>
      <c r="B20" s="32"/>
      <c r="H20" s="40"/>
      <c r="I20" s="48"/>
      <c r="J20" s="71"/>
      <c r="L20" s="58"/>
      <c r="M20" s="58"/>
    </row>
    <row r="21" spans="1:13" ht="25.5" x14ac:dyDescent="0.2">
      <c r="A21" s="401"/>
      <c r="B21" s="399" t="s">
        <v>46</v>
      </c>
      <c r="C21" s="70" t="s">
        <v>482</v>
      </c>
      <c r="D21" s="70" t="s">
        <v>483</v>
      </c>
      <c r="E21" s="70" t="s">
        <v>484</v>
      </c>
      <c r="F21" s="70" t="s">
        <v>485</v>
      </c>
      <c r="H21" s="401"/>
      <c r="I21" s="399"/>
      <c r="J21" s="70"/>
      <c r="K21" s="70"/>
      <c r="L21" s="70"/>
      <c r="M21" s="400"/>
    </row>
    <row r="22" spans="1:13" x14ac:dyDescent="0.2">
      <c r="A22" s="40"/>
      <c r="B22" s="48"/>
      <c r="C22" s="32">
        <v>0</v>
      </c>
      <c r="D22" s="59"/>
      <c r="E22" s="32">
        <v>-7.0000000000000007E-2</v>
      </c>
    </row>
    <row r="23" spans="1:13" x14ac:dyDescent="0.2">
      <c r="A23" s="40" t="s">
        <v>481</v>
      </c>
      <c r="B23" s="48"/>
      <c r="C23" s="71"/>
      <c r="D23" s="59"/>
      <c r="H23" s="40"/>
      <c r="I23" s="48"/>
      <c r="J23" s="71"/>
      <c r="L23" s="58"/>
      <c r="M23" s="58"/>
    </row>
    <row r="24" spans="1:13" x14ac:dyDescent="0.2">
      <c r="A24" s="40" t="s">
        <v>486</v>
      </c>
      <c r="B24" s="407">
        <f>383.34+43.12</f>
        <v>426.46</v>
      </c>
      <c r="C24" s="402">
        <f>SUM(B24*$C$22)</f>
        <v>0</v>
      </c>
      <c r="D24" s="403">
        <f>SUM(B24:C24)</f>
        <v>426.46</v>
      </c>
      <c r="E24" s="50">
        <f>SUM(D24*$E$22)</f>
        <v>-29.8522</v>
      </c>
      <c r="F24" s="405">
        <f>SUM(D24:E24)</f>
        <v>396.6078</v>
      </c>
    </row>
    <row r="25" spans="1:13" x14ac:dyDescent="0.2">
      <c r="A25" s="406">
        <v>21</v>
      </c>
      <c r="B25" s="407">
        <f t="shared" ref="B25:B68" si="0">383.34+43.12</f>
        <v>426.46</v>
      </c>
      <c r="C25" s="402">
        <f t="shared" ref="C25:C34" si="1">SUM(B25*$C$22)</f>
        <v>0</v>
      </c>
      <c r="D25" s="403">
        <f t="shared" ref="D25:D34" si="2">SUM(B25:C25)</f>
        <v>426.46</v>
      </c>
      <c r="E25" s="50">
        <f t="shared" ref="E25:E34" si="3">SUM(D25*$E$22)</f>
        <v>-29.8522</v>
      </c>
      <c r="F25" s="405">
        <f t="shared" ref="F25:F34" si="4">SUM(D25:E25)</f>
        <v>396.6078</v>
      </c>
    </row>
    <row r="26" spans="1:13" x14ac:dyDescent="0.2">
      <c r="A26" s="406">
        <v>22</v>
      </c>
      <c r="B26" s="407">
        <f t="shared" si="0"/>
        <v>426.46</v>
      </c>
      <c r="C26" s="402">
        <f t="shared" si="1"/>
        <v>0</v>
      </c>
      <c r="D26" s="403">
        <f t="shared" si="2"/>
        <v>426.46</v>
      </c>
      <c r="E26" s="50">
        <f t="shared" si="3"/>
        <v>-29.8522</v>
      </c>
      <c r="F26" s="405">
        <f t="shared" si="4"/>
        <v>396.6078</v>
      </c>
    </row>
    <row r="27" spans="1:13" x14ac:dyDescent="0.2">
      <c r="A27" s="406">
        <v>23</v>
      </c>
      <c r="B27" s="407">
        <f t="shared" si="0"/>
        <v>426.46</v>
      </c>
      <c r="C27" s="402">
        <f t="shared" si="1"/>
        <v>0</v>
      </c>
      <c r="D27" s="403">
        <f t="shared" si="2"/>
        <v>426.46</v>
      </c>
      <c r="E27" s="50">
        <f t="shared" si="3"/>
        <v>-29.8522</v>
      </c>
      <c r="F27" s="405">
        <f t="shared" si="4"/>
        <v>396.6078</v>
      </c>
    </row>
    <row r="28" spans="1:13" x14ac:dyDescent="0.2">
      <c r="A28" s="406">
        <v>24</v>
      </c>
      <c r="B28" s="407">
        <f t="shared" si="0"/>
        <v>426.46</v>
      </c>
      <c r="C28" s="402">
        <f t="shared" si="1"/>
        <v>0</v>
      </c>
      <c r="D28" s="403">
        <f t="shared" si="2"/>
        <v>426.46</v>
      </c>
      <c r="E28" s="50">
        <f t="shared" si="3"/>
        <v>-29.8522</v>
      </c>
      <c r="F28" s="405">
        <f t="shared" si="4"/>
        <v>396.6078</v>
      </c>
    </row>
    <row r="29" spans="1:13" x14ac:dyDescent="0.2">
      <c r="A29" s="406">
        <v>25</v>
      </c>
      <c r="B29" s="407">
        <f t="shared" si="0"/>
        <v>426.46</v>
      </c>
      <c r="C29" s="402">
        <f t="shared" si="1"/>
        <v>0</v>
      </c>
      <c r="D29" s="403">
        <f t="shared" si="2"/>
        <v>426.46</v>
      </c>
      <c r="E29" s="50">
        <f t="shared" si="3"/>
        <v>-29.8522</v>
      </c>
      <c r="F29" s="405">
        <f t="shared" si="4"/>
        <v>396.6078</v>
      </c>
    </row>
    <row r="30" spans="1:13" x14ac:dyDescent="0.2">
      <c r="A30" s="406">
        <v>26</v>
      </c>
      <c r="B30" s="407">
        <f t="shared" si="0"/>
        <v>426.46</v>
      </c>
      <c r="C30" s="402">
        <f t="shared" si="1"/>
        <v>0</v>
      </c>
      <c r="D30" s="403">
        <f t="shared" si="2"/>
        <v>426.46</v>
      </c>
      <c r="E30" s="50">
        <f t="shared" si="3"/>
        <v>-29.8522</v>
      </c>
      <c r="F30" s="405">
        <f t="shared" si="4"/>
        <v>396.6078</v>
      </c>
    </row>
    <row r="31" spans="1:13" x14ac:dyDescent="0.2">
      <c r="A31" s="406">
        <v>27</v>
      </c>
      <c r="B31" s="407">
        <f t="shared" si="0"/>
        <v>426.46</v>
      </c>
      <c r="C31" s="402">
        <f t="shared" si="1"/>
        <v>0</v>
      </c>
      <c r="D31" s="403">
        <f t="shared" si="2"/>
        <v>426.46</v>
      </c>
      <c r="E31" s="50">
        <f t="shared" si="3"/>
        <v>-29.8522</v>
      </c>
      <c r="F31" s="405">
        <f t="shared" si="4"/>
        <v>396.6078</v>
      </c>
    </row>
    <row r="32" spans="1:13" x14ac:dyDescent="0.2">
      <c r="A32" s="406">
        <v>28</v>
      </c>
      <c r="B32" s="407">
        <f t="shared" si="0"/>
        <v>426.46</v>
      </c>
      <c r="C32" s="402">
        <f t="shared" si="1"/>
        <v>0</v>
      </c>
      <c r="D32" s="403">
        <f t="shared" si="2"/>
        <v>426.46</v>
      </c>
      <c r="E32" s="50">
        <f t="shared" si="3"/>
        <v>-29.8522</v>
      </c>
      <c r="F32" s="405">
        <f t="shared" si="4"/>
        <v>396.6078</v>
      </c>
    </row>
    <row r="33" spans="1:6" x14ac:dyDescent="0.2">
      <c r="A33" s="406">
        <v>29</v>
      </c>
      <c r="B33" s="407">
        <f t="shared" si="0"/>
        <v>426.46</v>
      </c>
      <c r="C33" s="402">
        <f t="shared" si="1"/>
        <v>0</v>
      </c>
      <c r="D33" s="403">
        <f t="shared" si="2"/>
        <v>426.46</v>
      </c>
      <c r="E33" s="50">
        <f t="shared" si="3"/>
        <v>-29.8522</v>
      </c>
      <c r="F33" s="405">
        <f t="shared" si="4"/>
        <v>396.6078</v>
      </c>
    </row>
    <row r="34" spans="1:6" x14ac:dyDescent="0.2">
      <c r="A34" s="406">
        <v>30</v>
      </c>
      <c r="B34" s="407">
        <f t="shared" si="0"/>
        <v>426.46</v>
      </c>
      <c r="C34" s="402">
        <f t="shared" si="1"/>
        <v>0</v>
      </c>
      <c r="D34" s="403">
        <f t="shared" si="2"/>
        <v>426.46</v>
      </c>
      <c r="E34" s="50">
        <f t="shared" si="3"/>
        <v>-29.8522</v>
      </c>
      <c r="F34" s="405">
        <f t="shared" si="4"/>
        <v>396.6078</v>
      </c>
    </row>
    <row r="35" spans="1:6" x14ac:dyDescent="0.2">
      <c r="A35" s="406">
        <v>31</v>
      </c>
      <c r="B35" s="407">
        <f t="shared" si="0"/>
        <v>426.46</v>
      </c>
      <c r="C35" s="402">
        <f>SUM(B35*$C$22)</f>
        <v>0</v>
      </c>
      <c r="D35" s="403">
        <f>SUM(B35:C35)</f>
        <v>426.46</v>
      </c>
      <c r="E35" s="50">
        <f>SUM(D35*$E$22)</f>
        <v>-29.8522</v>
      </c>
      <c r="F35" s="405">
        <f>SUM(D35:E35)</f>
        <v>396.6078</v>
      </c>
    </row>
    <row r="36" spans="1:6" x14ac:dyDescent="0.2">
      <c r="A36" s="406">
        <v>32</v>
      </c>
      <c r="B36" s="407">
        <f t="shared" si="0"/>
        <v>426.46</v>
      </c>
      <c r="C36" s="402">
        <f t="shared" ref="C36:C68" si="5">SUM(B36*$C$22)</f>
        <v>0</v>
      </c>
      <c r="D36" s="403">
        <f t="shared" ref="D36:D68" si="6">SUM(B36:C36)</f>
        <v>426.46</v>
      </c>
      <c r="E36" s="50">
        <f t="shared" ref="E36:E68" si="7">SUM(D36*$E$22)</f>
        <v>-29.8522</v>
      </c>
      <c r="F36" s="405">
        <f t="shared" ref="F36:F68" si="8">SUM(D36:E36)</f>
        <v>396.6078</v>
      </c>
    </row>
    <row r="37" spans="1:6" x14ac:dyDescent="0.2">
      <c r="A37" s="406">
        <v>33</v>
      </c>
      <c r="B37" s="407">
        <f t="shared" si="0"/>
        <v>426.46</v>
      </c>
      <c r="C37" s="402">
        <f t="shared" si="5"/>
        <v>0</v>
      </c>
      <c r="D37" s="403">
        <f t="shared" si="6"/>
        <v>426.46</v>
      </c>
      <c r="E37" s="50">
        <f t="shared" si="7"/>
        <v>-29.8522</v>
      </c>
      <c r="F37" s="405">
        <f t="shared" si="8"/>
        <v>396.6078</v>
      </c>
    </row>
    <row r="38" spans="1:6" x14ac:dyDescent="0.2">
      <c r="A38" s="406">
        <v>34</v>
      </c>
      <c r="B38" s="407">
        <f t="shared" si="0"/>
        <v>426.46</v>
      </c>
      <c r="C38" s="402">
        <f t="shared" si="5"/>
        <v>0</v>
      </c>
      <c r="D38" s="403">
        <f t="shared" si="6"/>
        <v>426.46</v>
      </c>
      <c r="E38" s="50">
        <f t="shared" si="7"/>
        <v>-29.8522</v>
      </c>
      <c r="F38" s="405">
        <f t="shared" si="8"/>
        <v>396.6078</v>
      </c>
    </row>
    <row r="39" spans="1:6" x14ac:dyDescent="0.2">
      <c r="A39" s="406">
        <v>35</v>
      </c>
      <c r="B39" s="407">
        <f t="shared" si="0"/>
        <v>426.46</v>
      </c>
      <c r="C39" s="402">
        <f t="shared" si="5"/>
        <v>0</v>
      </c>
      <c r="D39" s="403">
        <f t="shared" si="6"/>
        <v>426.46</v>
      </c>
      <c r="E39" s="50">
        <f t="shared" si="7"/>
        <v>-29.8522</v>
      </c>
      <c r="F39" s="405">
        <f t="shared" si="8"/>
        <v>396.6078</v>
      </c>
    </row>
    <row r="40" spans="1:6" x14ac:dyDescent="0.2">
      <c r="A40" s="406">
        <v>36</v>
      </c>
      <c r="B40" s="407">
        <f t="shared" si="0"/>
        <v>426.46</v>
      </c>
      <c r="C40" s="402">
        <f t="shared" si="5"/>
        <v>0</v>
      </c>
      <c r="D40" s="403">
        <f t="shared" si="6"/>
        <v>426.46</v>
      </c>
      <c r="E40" s="50">
        <f t="shared" si="7"/>
        <v>-29.8522</v>
      </c>
      <c r="F40" s="405">
        <f t="shared" si="8"/>
        <v>396.6078</v>
      </c>
    </row>
    <row r="41" spans="1:6" x14ac:dyDescent="0.2">
      <c r="A41" s="406">
        <v>37</v>
      </c>
      <c r="B41" s="407">
        <f t="shared" si="0"/>
        <v>426.46</v>
      </c>
      <c r="C41" s="402">
        <f t="shared" si="5"/>
        <v>0</v>
      </c>
      <c r="D41" s="403">
        <f t="shared" si="6"/>
        <v>426.46</v>
      </c>
      <c r="E41" s="50">
        <f t="shared" si="7"/>
        <v>-29.8522</v>
      </c>
      <c r="F41" s="405">
        <f t="shared" si="8"/>
        <v>396.6078</v>
      </c>
    </row>
    <row r="42" spans="1:6" x14ac:dyDescent="0.2">
      <c r="A42" s="406">
        <v>38</v>
      </c>
      <c r="B42" s="407">
        <f t="shared" si="0"/>
        <v>426.46</v>
      </c>
      <c r="C42" s="402">
        <f t="shared" si="5"/>
        <v>0</v>
      </c>
      <c r="D42" s="403">
        <f t="shared" si="6"/>
        <v>426.46</v>
      </c>
      <c r="E42" s="50">
        <f t="shared" si="7"/>
        <v>-29.8522</v>
      </c>
      <c r="F42" s="405">
        <f t="shared" si="8"/>
        <v>396.6078</v>
      </c>
    </row>
    <row r="43" spans="1:6" x14ac:dyDescent="0.2">
      <c r="A43" s="406">
        <v>39</v>
      </c>
      <c r="B43" s="407">
        <f t="shared" si="0"/>
        <v>426.46</v>
      </c>
      <c r="C43" s="402">
        <f t="shared" si="5"/>
        <v>0</v>
      </c>
      <c r="D43" s="403">
        <f t="shared" si="6"/>
        <v>426.46</v>
      </c>
      <c r="E43" s="50">
        <f t="shared" si="7"/>
        <v>-29.8522</v>
      </c>
      <c r="F43" s="405">
        <f t="shared" si="8"/>
        <v>396.6078</v>
      </c>
    </row>
    <row r="44" spans="1:6" x14ac:dyDescent="0.2">
      <c r="A44" s="406">
        <v>40</v>
      </c>
      <c r="B44" s="407">
        <f t="shared" si="0"/>
        <v>426.46</v>
      </c>
      <c r="C44" s="402">
        <f t="shared" si="5"/>
        <v>0</v>
      </c>
      <c r="D44" s="403">
        <f t="shared" si="6"/>
        <v>426.46</v>
      </c>
      <c r="E44" s="50">
        <f t="shared" si="7"/>
        <v>-29.8522</v>
      </c>
      <c r="F44" s="405">
        <f t="shared" si="8"/>
        <v>396.6078</v>
      </c>
    </row>
    <row r="45" spans="1:6" x14ac:dyDescent="0.2">
      <c r="A45" s="406">
        <v>41</v>
      </c>
      <c r="B45" s="407">
        <f t="shared" si="0"/>
        <v>426.46</v>
      </c>
      <c r="C45" s="402">
        <f t="shared" si="5"/>
        <v>0</v>
      </c>
      <c r="D45" s="403">
        <f t="shared" si="6"/>
        <v>426.46</v>
      </c>
      <c r="E45" s="50">
        <f t="shared" si="7"/>
        <v>-29.8522</v>
      </c>
      <c r="F45" s="405">
        <f t="shared" si="8"/>
        <v>396.6078</v>
      </c>
    </row>
    <row r="46" spans="1:6" x14ac:dyDescent="0.2">
      <c r="A46" s="406">
        <v>42</v>
      </c>
      <c r="B46" s="407">
        <f t="shared" si="0"/>
        <v>426.46</v>
      </c>
      <c r="C46" s="402">
        <f t="shared" si="5"/>
        <v>0</v>
      </c>
      <c r="D46" s="403">
        <f t="shared" si="6"/>
        <v>426.46</v>
      </c>
      <c r="E46" s="50">
        <f t="shared" si="7"/>
        <v>-29.8522</v>
      </c>
      <c r="F46" s="405">
        <f t="shared" si="8"/>
        <v>396.6078</v>
      </c>
    </row>
    <row r="47" spans="1:6" x14ac:dyDescent="0.2">
      <c r="A47" s="406">
        <v>43</v>
      </c>
      <c r="B47" s="407">
        <f t="shared" si="0"/>
        <v>426.46</v>
      </c>
      <c r="C47" s="402">
        <f t="shared" si="5"/>
        <v>0</v>
      </c>
      <c r="D47" s="403">
        <f t="shared" si="6"/>
        <v>426.46</v>
      </c>
      <c r="E47" s="50">
        <f t="shared" si="7"/>
        <v>-29.8522</v>
      </c>
      <c r="F47" s="405">
        <f t="shared" si="8"/>
        <v>396.6078</v>
      </c>
    </row>
    <row r="48" spans="1:6" x14ac:dyDescent="0.2">
      <c r="A48" s="406">
        <v>44</v>
      </c>
      <c r="B48" s="407">
        <f t="shared" si="0"/>
        <v>426.46</v>
      </c>
      <c r="C48" s="402">
        <f t="shared" si="5"/>
        <v>0</v>
      </c>
      <c r="D48" s="403">
        <f t="shared" si="6"/>
        <v>426.46</v>
      </c>
      <c r="E48" s="50">
        <f t="shared" si="7"/>
        <v>-29.8522</v>
      </c>
      <c r="F48" s="405">
        <f t="shared" si="8"/>
        <v>396.6078</v>
      </c>
    </row>
    <row r="49" spans="1:6" x14ac:dyDescent="0.2">
      <c r="A49" s="406">
        <v>45</v>
      </c>
      <c r="B49" s="407">
        <f t="shared" si="0"/>
        <v>426.46</v>
      </c>
      <c r="C49" s="402">
        <f t="shared" si="5"/>
        <v>0</v>
      </c>
      <c r="D49" s="403">
        <f t="shared" si="6"/>
        <v>426.46</v>
      </c>
      <c r="E49" s="50">
        <f t="shared" si="7"/>
        <v>-29.8522</v>
      </c>
      <c r="F49" s="405">
        <f t="shared" si="8"/>
        <v>396.6078</v>
      </c>
    </row>
    <row r="50" spans="1:6" x14ac:dyDescent="0.2">
      <c r="A50" s="406">
        <v>46</v>
      </c>
      <c r="B50" s="407">
        <f t="shared" si="0"/>
        <v>426.46</v>
      </c>
      <c r="C50" s="402">
        <f t="shared" si="5"/>
        <v>0</v>
      </c>
      <c r="D50" s="403">
        <f t="shared" si="6"/>
        <v>426.46</v>
      </c>
      <c r="E50" s="50">
        <f t="shared" si="7"/>
        <v>-29.8522</v>
      </c>
      <c r="F50" s="405">
        <f t="shared" si="8"/>
        <v>396.6078</v>
      </c>
    </row>
    <row r="51" spans="1:6" x14ac:dyDescent="0.2">
      <c r="A51" s="406">
        <v>47</v>
      </c>
      <c r="B51" s="407">
        <f t="shared" si="0"/>
        <v>426.46</v>
      </c>
      <c r="C51" s="402">
        <f t="shared" si="5"/>
        <v>0</v>
      </c>
      <c r="D51" s="403">
        <f t="shared" si="6"/>
        <v>426.46</v>
      </c>
      <c r="E51" s="50">
        <f t="shared" si="7"/>
        <v>-29.8522</v>
      </c>
      <c r="F51" s="405">
        <f t="shared" si="8"/>
        <v>396.6078</v>
      </c>
    </row>
    <row r="52" spans="1:6" x14ac:dyDescent="0.2">
      <c r="A52" s="406">
        <v>48</v>
      </c>
      <c r="B52" s="407">
        <f t="shared" si="0"/>
        <v>426.46</v>
      </c>
      <c r="C52" s="402">
        <f t="shared" si="5"/>
        <v>0</v>
      </c>
      <c r="D52" s="403">
        <f t="shared" si="6"/>
        <v>426.46</v>
      </c>
      <c r="E52" s="50">
        <f t="shared" si="7"/>
        <v>-29.8522</v>
      </c>
      <c r="F52" s="405">
        <f t="shared" si="8"/>
        <v>396.6078</v>
      </c>
    </row>
    <row r="53" spans="1:6" x14ac:dyDescent="0.2">
      <c r="A53" s="406">
        <v>49</v>
      </c>
      <c r="B53" s="407">
        <f t="shared" si="0"/>
        <v>426.46</v>
      </c>
      <c r="C53" s="402">
        <f t="shared" si="5"/>
        <v>0</v>
      </c>
      <c r="D53" s="403">
        <f t="shared" si="6"/>
        <v>426.46</v>
      </c>
      <c r="E53" s="50">
        <f t="shared" si="7"/>
        <v>-29.8522</v>
      </c>
      <c r="F53" s="405">
        <f t="shared" si="8"/>
        <v>396.6078</v>
      </c>
    </row>
    <row r="54" spans="1:6" x14ac:dyDescent="0.2">
      <c r="A54" s="406">
        <v>50</v>
      </c>
      <c r="B54" s="407">
        <f t="shared" si="0"/>
        <v>426.46</v>
      </c>
      <c r="C54" s="402">
        <f t="shared" si="5"/>
        <v>0</v>
      </c>
      <c r="D54" s="403">
        <f t="shared" si="6"/>
        <v>426.46</v>
      </c>
      <c r="E54" s="50">
        <f t="shared" si="7"/>
        <v>-29.8522</v>
      </c>
      <c r="F54" s="405">
        <f t="shared" si="8"/>
        <v>396.6078</v>
      </c>
    </row>
    <row r="55" spans="1:6" x14ac:dyDescent="0.2">
      <c r="A55" s="406">
        <v>51</v>
      </c>
      <c r="B55" s="407">
        <f t="shared" si="0"/>
        <v>426.46</v>
      </c>
      <c r="C55" s="402">
        <f t="shared" si="5"/>
        <v>0</v>
      </c>
      <c r="D55" s="403">
        <f t="shared" si="6"/>
        <v>426.46</v>
      </c>
      <c r="E55" s="50">
        <f t="shared" si="7"/>
        <v>-29.8522</v>
      </c>
      <c r="F55" s="405">
        <f t="shared" si="8"/>
        <v>396.6078</v>
      </c>
    </row>
    <row r="56" spans="1:6" x14ac:dyDescent="0.2">
      <c r="A56" s="406">
        <v>52</v>
      </c>
      <c r="B56" s="407">
        <f t="shared" si="0"/>
        <v>426.46</v>
      </c>
      <c r="C56" s="402">
        <f t="shared" si="5"/>
        <v>0</v>
      </c>
      <c r="D56" s="403">
        <f t="shared" si="6"/>
        <v>426.46</v>
      </c>
      <c r="E56" s="50">
        <f t="shared" si="7"/>
        <v>-29.8522</v>
      </c>
      <c r="F56" s="405">
        <f t="shared" si="8"/>
        <v>396.6078</v>
      </c>
    </row>
    <row r="57" spans="1:6" x14ac:dyDescent="0.2">
      <c r="A57" s="406">
        <v>53</v>
      </c>
      <c r="B57" s="407">
        <f t="shared" si="0"/>
        <v>426.46</v>
      </c>
      <c r="C57" s="402">
        <f t="shared" si="5"/>
        <v>0</v>
      </c>
      <c r="D57" s="403">
        <f t="shared" si="6"/>
        <v>426.46</v>
      </c>
      <c r="E57" s="50">
        <f t="shared" si="7"/>
        <v>-29.8522</v>
      </c>
      <c r="F57" s="405">
        <f t="shared" si="8"/>
        <v>396.6078</v>
      </c>
    </row>
    <row r="58" spans="1:6" x14ac:dyDescent="0.2">
      <c r="A58" s="406">
        <v>54</v>
      </c>
      <c r="B58" s="407">
        <f t="shared" si="0"/>
        <v>426.46</v>
      </c>
      <c r="C58" s="402">
        <f t="shared" si="5"/>
        <v>0</v>
      </c>
      <c r="D58" s="403">
        <f t="shared" si="6"/>
        <v>426.46</v>
      </c>
      <c r="E58" s="50">
        <f t="shared" si="7"/>
        <v>-29.8522</v>
      </c>
      <c r="F58" s="405">
        <f t="shared" si="8"/>
        <v>396.6078</v>
      </c>
    </row>
    <row r="59" spans="1:6" x14ac:dyDescent="0.2">
      <c r="A59" s="406">
        <v>55</v>
      </c>
      <c r="B59" s="407">
        <f t="shared" si="0"/>
        <v>426.46</v>
      </c>
      <c r="C59" s="402">
        <f t="shared" si="5"/>
        <v>0</v>
      </c>
      <c r="D59" s="403">
        <f t="shared" si="6"/>
        <v>426.46</v>
      </c>
      <c r="E59" s="50">
        <f t="shared" si="7"/>
        <v>-29.8522</v>
      </c>
      <c r="F59" s="405">
        <f t="shared" si="8"/>
        <v>396.6078</v>
      </c>
    </row>
    <row r="60" spans="1:6" x14ac:dyDescent="0.2">
      <c r="A60" s="406">
        <v>56</v>
      </c>
      <c r="B60" s="407">
        <f t="shared" si="0"/>
        <v>426.46</v>
      </c>
      <c r="C60" s="402">
        <f t="shared" si="5"/>
        <v>0</v>
      </c>
      <c r="D60" s="403">
        <f t="shared" si="6"/>
        <v>426.46</v>
      </c>
      <c r="E60" s="50">
        <f t="shared" si="7"/>
        <v>-29.8522</v>
      </c>
      <c r="F60" s="405">
        <f t="shared" si="8"/>
        <v>396.6078</v>
      </c>
    </row>
    <row r="61" spans="1:6" x14ac:dyDescent="0.2">
      <c r="A61" s="406">
        <v>57</v>
      </c>
      <c r="B61" s="407">
        <f t="shared" si="0"/>
        <v>426.46</v>
      </c>
      <c r="C61" s="402">
        <f t="shared" si="5"/>
        <v>0</v>
      </c>
      <c r="D61" s="403">
        <f t="shared" si="6"/>
        <v>426.46</v>
      </c>
      <c r="E61" s="50">
        <f t="shared" si="7"/>
        <v>-29.8522</v>
      </c>
      <c r="F61" s="405">
        <f t="shared" si="8"/>
        <v>396.6078</v>
      </c>
    </row>
    <row r="62" spans="1:6" x14ac:dyDescent="0.2">
      <c r="A62" s="406">
        <v>58</v>
      </c>
      <c r="B62" s="407">
        <f t="shared" si="0"/>
        <v>426.46</v>
      </c>
      <c r="C62" s="402">
        <f t="shared" si="5"/>
        <v>0</v>
      </c>
      <c r="D62" s="403">
        <f t="shared" si="6"/>
        <v>426.46</v>
      </c>
      <c r="E62" s="50">
        <f t="shared" si="7"/>
        <v>-29.8522</v>
      </c>
      <c r="F62" s="405">
        <f t="shared" si="8"/>
        <v>396.6078</v>
      </c>
    </row>
    <row r="63" spans="1:6" x14ac:dyDescent="0.2">
      <c r="A63" s="406">
        <v>59</v>
      </c>
      <c r="B63" s="407">
        <f t="shared" si="0"/>
        <v>426.46</v>
      </c>
      <c r="C63" s="402">
        <f t="shared" si="5"/>
        <v>0</v>
      </c>
      <c r="D63" s="403">
        <f t="shared" si="6"/>
        <v>426.46</v>
      </c>
      <c r="E63" s="50">
        <f t="shared" si="7"/>
        <v>-29.8522</v>
      </c>
      <c r="F63" s="405">
        <f t="shared" si="8"/>
        <v>396.6078</v>
      </c>
    </row>
    <row r="64" spans="1:6" x14ac:dyDescent="0.2">
      <c r="A64" s="406">
        <v>60</v>
      </c>
      <c r="B64" s="407">
        <f t="shared" si="0"/>
        <v>426.46</v>
      </c>
      <c r="C64" s="402">
        <f t="shared" si="5"/>
        <v>0</v>
      </c>
      <c r="D64" s="403">
        <f t="shared" si="6"/>
        <v>426.46</v>
      </c>
      <c r="E64" s="50">
        <f t="shared" si="7"/>
        <v>-29.8522</v>
      </c>
      <c r="F64" s="405">
        <f t="shared" si="8"/>
        <v>396.6078</v>
      </c>
    </row>
    <row r="65" spans="1:6" x14ac:dyDescent="0.2">
      <c r="A65" s="406">
        <v>61</v>
      </c>
      <c r="B65" s="407">
        <f t="shared" si="0"/>
        <v>426.46</v>
      </c>
      <c r="C65" s="402">
        <f t="shared" si="5"/>
        <v>0</v>
      </c>
      <c r="D65" s="403">
        <f t="shared" si="6"/>
        <v>426.46</v>
      </c>
      <c r="E65" s="50">
        <f t="shared" si="7"/>
        <v>-29.8522</v>
      </c>
      <c r="F65" s="405">
        <f t="shared" si="8"/>
        <v>396.6078</v>
      </c>
    </row>
    <row r="66" spans="1:6" x14ac:dyDescent="0.2">
      <c r="A66" s="406">
        <v>62</v>
      </c>
      <c r="B66" s="407">
        <f t="shared" si="0"/>
        <v>426.46</v>
      </c>
      <c r="C66" s="402">
        <f t="shared" si="5"/>
        <v>0</v>
      </c>
      <c r="D66" s="403">
        <f t="shared" si="6"/>
        <v>426.46</v>
      </c>
      <c r="E66" s="50">
        <f t="shared" si="7"/>
        <v>-29.8522</v>
      </c>
      <c r="F66" s="405">
        <f t="shared" si="8"/>
        <v>396.6078</v>
      </c>
    </row>
    <row r="67" spans="1:6" x14ac:dyDescent="0.2">
      <c r="A67" s="406">
        <v>63</v>
      </c>
      <c r="B67" s="407">
        <f t="shared" si="0"/>
        <v>426.46</v>
      </c>
      <c r="C67" s="402">
        <f t="shared" si="5"/>
        <v>0</v>
      </c>
      <c r="D67" s="403">
        <f t="shared" si="6"/>
        <v>426.46</v>
      </c>
      <c r="E67" s="50">
        <f t="shared" si="7"/>
        <v>-29.8522</v>
      </c>
      <c r="F67" s="405">
        <f t="shared" si="8"/>
        <v>396.6078</v>
      </c>
    </row>
    <row r="68" spans="1:6" x14ac:dyDescent="0.2">
      <c r="A68" s="406" t="s">
        <v>487</v>
      </c>
      <c r="B68" s="407">
        <f t="shared" si="0"/>
        <v>426.46</v>
      </c>
      <c r="C68" s="402">
        <f t="shared" si="5"/>
        <v>0</v>
      </c>
      <c r="D68" s="403">
        <f t="shared" si="6"/>
        <v>426.46</v>
      </c>
      <c r="E68" s="50">
        <f t="shared" si="7"/>
        <v>-29.8522</v>
      </c>
      <c r="F68" s="405">
        <f t="shared" si="8"/>
        <v>396.6078</v>
      </c>
    </row>
    <row r="69" spans="1:6" x14ac:dyDescent="0.2">
      <c r="A69" s="58" t="s">
        <v>493</v>
      </c>
      <c r="F69" s="404">
        <v>426</v>
      </c>
    </row>
    <row r="71" spans="1:6" x14ac:dyDescent="0.2">
      <c r="A71" s="40" t="s">
        <v>131</v>
      </c>
      <c r="B71" s="218">
        <v>0.9</v>
      </c>
      <c r="C71" s="219">
        <f>SUM(B71*2080)</f>
        <v>1872</v>
      </c>
      <c r="D71" s="59" t="s">
        <v>488</v>
      </c>
    </row>
  </sheetData>
  <pageMargins left="0.7" right="0.7" top="0.75" bottom="0.75" header="0.3" footer="0.3"/>
  <pageSetup scale="75" orientation="portrait" r:id="rId1"/>
  <headerFooter>
    <oddFooter>&amp;LRev &amp;D&amp;C&amp;P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workbookViewId="0">
      <selection sqref="A1:C12"/>
    </sheetView>
  </sheetViews>
  <sheetFormatPr defaultRowHeight="15.75" x14ac:dyDescent="0.25"/>
  <cols>
    <col min="2" max="2" width="18.25" customWidth="1"/>
    <col min="3" max="3" width="11" customWidth="1"/>
  </cols>
  <sheetData>
    <row r="1" spans="1:3" s="55" customFormat="1" x14ac:dyDescent="0.25">
      <c r="A1" s="55" t="s">
        <v>676</v>
      </c>
    </row>
    <row r="2" spans="1:3" s="55" customFormat="1" x14ac:dyDescent="0.25">
      <c r="A2" s="55" t="s">
        <v>677</v>
      </c>
    </row>
    <row r="3" spans="1:3" s="55" customFormat="1" x14ac:dyDescent="0.25"/>
    <row r="4" spans="1:3" s="55" customFormat="1" x14ac:dyDescent="0.25">
      <c r="A4" s="475" t="s">
        <v>678</v>
      </c>
      <c r="B4" s="475" t="s">
        <v>144</v>
      </c>
    </row>
    <row r="5" spans="1:3" x14ac:dyDescent="0.25">
      <c r="A5" s="504">
        <v>2016</v>
      </c>
      <c r="B5" s="250">
        <v>439031</v>
      </c>
    </row>
    <row r="6" spans="1:3" x14ac:dyDescent="0.25">
      <c r="A6" s="504">
        <v>2015</v>
      </c>
      <c r="B6" s="250">
        <v>750652</v>
      </c>
    </row>
    <row r="7" spans="1:3" x14ac:dyDescent="0.25">
      <c r="A7" s="504">
        <v>2014</v>
      </c>
      <c r="B7" s="250">
        <v>233631</v>
      </c>
    </row>
    <row r="8" spans="1:3" x14ac:dyDescent="0.25">
      <c r="A8" s="504">
        <v>2013</v>
      </c>
      <c r="B8" s="250">
        <v>163634</v>
      </c>
    </row>
    <row r="9" spans="1:3" x14ac:dyDescent="0.25">
      <c r="A9" s="504">
        <v>2012</v>
      </c>
      <c r="B9" s="250">
        <v>419585</v>
      </c>
    </row>
    <row r="10" spans="1:3" x14ac:dyDescent="0.25">
      <c r="A10" s="504">
        <v>2011</v>
      </c>
      <c r="B10" s="250">
        <v>208688</v>
      </c>
    </row>
    <row r="11" spans="1:3" x14ac:dyDescent="0.25">
      <c r="A11" s="504"/>
      <c r="B11" s="250"/>
    </row>
    <row r="12" spans="1:3" x14ac:dyDescent="0.25">
      <c r="A12" s="499" t="s">
        <v>679</v>
      </c>
      <c r="B12" s="250"/>
      <c r="C12" s="473">
        <f>SUM(B5:B10)/6</f>
        <v>369203.5</v>
      </c>
    </row>
    <row r="13" spans="1:3" x14ac:dyDescent="0.25">
      <c r="A13" s="504"/>
      <c r="B13" s="250"/>
    </row>
    <row r="14" spans="1:3" x14ac:dyDescent="0.25">
      <c r="A14" s="504"/>
      <c r="B14" s="250"/>
    </row>
    <row r="15" spans="1:3" x14ac:dyDescent="0.25">
      <c r="A15" s="504"/>
      <c r="B15" s="250"/>
    </row>
    <row r="16" spans="1:3" x14ac:dyDescent="0.25">
      <c r="A16" s="504"/>
      <c r="B16" s="250"/>
    </row>
    <row r="17" spans="1:1" x14ac:dyDescent="0.25">
      <c r="A17" s="504"/>
    </row>
    <row r="18" spans="1:1" x14ac:dyDescent="0.25">
      <c r="A18" s="504"/>
    </row>
  </sheetData>
  <pageMargins left="0.7" right="0.7" top="0.75" bottom="0.75" header="0.3" footer="0.3"/>
  <pageSetup orientation="portrait" verticalDpi="599"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1223"/>
  <sheetViews>
    <sheetView topLeftCell="A80" zoomScaleNormal="100" workbookViewId="0">
      <selection sqref="A1:N229"/>
    </sheetView>
  </sheetViews>
  <sheetFormatPr defaultColWidth="9" defaultRowHeight="12.75" x14ac:dyDescent="0.2"/>
  <cols>
    <col min="1" max="1" width="31.125" style="5" customWidth="1"/>
    <col min="2" max="2" width="10.125" style="6" bestFit="1" customWidth="1"/>
    <col min="3" max="3" width="9" style="58" customWidth="1"/>
    <col min="4" max="4" width="9" style="10" customWidth="1"/>
    <col min="5" max="7" width="9" style="10"/>
    <col min="8" max="8" width="9.375" style="10" customWidth="1"/>
    <col min="9" max="9" width="9" style="10"/>
    <col min="10" max="10" width="10.625" style="10" bestFit="1" customWidth="1"/>
    <col min="11" max="11" width="10.75" style="10" bestFit="1" customWidth="1"/>
    <col min="12" max="12" width="9" style="10"/>
    <col min="13" max="13" width="9.625" style="10" bestFit="1" customWidth="1"/>
    <col min="14" max="16384" width="9" style="10"/>
  </cols>
  <sheetData>
    <row r="1" spans="1:14" s="4" customFormat="1" ht="13.5" thickBot="1" x14ac:dyDescent="0.25">
      <c r="A1" s="67" t="s">
        <v>706</v>
      </c>
      <c r="B1" s="79"/>
      <c r="C1" s="67"/>
      <c r="D1" s="67"/>
      <c r="E1" s="67"/>
      <c r="F1" s="67"/>
      <c r="G1" s="67"/>
      <c r="H1" s="67"/>
      <c r="I1" s="67"/>
      <c r="J1" s="67"/>
      <c r="K1" s="67"/>
      <c r="L1" s="67"/>
      <c r="M1" s="67"/>
      <c r="N1" s="67"/>
    </row>
    <row r="2" spans="1:14" s="4" customFormat="1" x14ac:dyDescent="0.2">
      <c r="A2" s="80"/>
      <c r="B2" s="81"/>
      <c r="C2" s="58"/>
      <c r="D2" s="58"/>
      <c r="E2" s="58"/>
      <c r="F2" s="58"/>
      <c r="G2" s="58"/>
      <c r="H2" s="58"/>
      <c r="I2" s="58"/>
      <c r="J2" s="58"/>
      <c r="K2" s="58"/>
      <c r="L2" s="58"/>
      <c r="M2" s="58"/>
      <c r="N2" s="58"/>
    </row>
    <row r="3" spans="1:14" s="4" customFormat="1" x14ac:dyDescent="0.2">
      <c r="A3" s="81" t="s">
        <v>142</v>
      </c>
      <c r="B3" s="203"/>
      <c r="C3" s="213"/>
      <c r="D3" s="213"/>
      <c r="E3" s="213"/>
      <c r="F3" s="213"/>
      <c r="G3" s="213"/>
      <c r="H3" s="213"/>
      <c r="I3" s="58"/>
      <c r="J3" s="58"/>
      <c r="K3" s="58"/>
      <c r="L3" s="58"/>
      <c r="M3" s="58"/>
      <c r="N3" s="58"/>
    </row>
    <row r="5" spans="1:14" s="9" customFormat="1" ht="13.5" thickBot="1" x14ac:dyDescent="0.25">
      <c r="A5" s="82" t="s">
        <v>143</v>
      </c>
      <c r="B5" s="83" t="s">
        <v>144</v>
      </c>
      <c r="C5" s="83" t="s">
        <v>1</v>
      </c>
      <c r="D5" s="83" t="s">
        <v>2</v>
      </c>
      <c r="E5" s="83" t="s">
        <v>3</v>
      </c>
      <c r="F5" s="83" t="s">
        <v>4</v>
      </c>
      <c r="G5" s="83" t="s">
        <v>5</v>
      </c>
      <c r="H5" s="83" t="s">
        <v>6</v>
      </c>
      <c r="I5" s="83" t="s">
        <v>7</v>
      </c>
      <c r="J5" s="83" t="s">
        <v>8</v>
      </c>
      <c r="K5" s="83" t="s">
        <v>9</v>
      </c>
      <c r="L5" s="83" t="s">
        <v>10</v>
      </c>
      <c r="M5" s="83" t="s">
        <v>11</v>
      </c>
      <c r="N5" s="83" t="s">
        <v>12</v>
      </c>
    </row>
    <row r="6" spans="1:14" s="33" customFormat="1" x14ac:dyDescent="0.2">
      <c r="A6" s="28"/>
      <c r="B6" s="86"/>
      <c r="C6" s="242"/>
      <c r="D6" s="26"/>
      <c r="E6" s="26"/>
      <c r="F6" s="26"/>
      <c r="G6" s="26"/>
      <c r="H6" s="26"/>
      <c r="I6" s="26"/>
      <c r="J6" s="26"/>
      <c r="K6" s="26"/>
      <c r="L6" s="26"/>
      <c r="M6" s="26"/>
      <c r="N6" s="26"/>
    </row>
    <row r="7" spans="1:14" s="9" customFormat="1" x14ac:dyDescent="0.2">
      <c r="A7" s="58" t="s">
        <v>14</v>
      </c>
      <c r="B7" s="60"/>
      <c r="C7" s="66"/>
      <c r="D7" s="94"/>
      <c r="E7" s="94"/>
      <c r="F7" s="94"/>
      <c r="G7" s="94"/>
      <c r="H7" s="94"/>
      <c r="I7" s="94"/>
      <c r="J7" s="94"/>
      <c r="K7" s="94"/>
      <c r="L7" s="94"/>
      <c r="M7" s="94"/>
      <c r="N7" s="94"/>
    </row>
    <row r="8" spans="1:14" hidden="1" x14ac:dyDescent="0.2">
      <c r="A8" s="61" t="s">
        <v>145</v>
      </c>
      <c r="B8" s="63">
        <f t="shared" ref="B8:B45" si="0">SUM(C8:N8)</f>
        <v>0</v>
      </c>
      <c r="C8" s="62"/>
      <c r="D8" s="62"/>
      <c r="E8" s="62"/>
      <c r="F8" s="62"/>
      <c r="G8" s="62"/>
      <c r="H8" s="62"/>
      <c r="I8" s="62"/>
      <c r="J8" s="62"/>
      <c r="K8" s="62"/>
      <c r="L8" s="62"/>
      <c r="M8" s="62"/>
      <c r="N8" s="62"/>
    </row>
    <row r="9" spans="1:14" hidden="1" x14ac:dyDescent="0.2">
      <c r="A9" s="61" t="s">
        <v>145</v>
      </c>
      <c r="B9" s="63">
        <f t="shared" si="0"/>
        <v>0</v>
      </c>
      <c r="C9" s="62"/>
      <c r="D9" s="62"/>
      <c r="E9" s="62"/>
      <c r="F9" s="62"/>
      <c r="G9" s="62"/>
      <c r="H9" s="62"/>
      <c r="I9" s="62"/>
      <c r="J9" s="62"/>
      <c r="K9" s="62"/>
      <c r="L9" s="62"/>
      <c r="M9" s="62"/>
      <c r="N9" s="62"/>
    </row>
    <row r="10" spans="1:14" hidden="1" x14ac:dyDescent="0.2">
      <c r="A10" s="61" t="s">
        <v>145</v>
      </c>
      <c r="B10" s="63">
        <f t="shared" si="0"/>
        <v>0</v>
      </c>
      <c r="C10" s="62"/>
      <c r="D10" s="62"/>
      <c r="E10" s="62"/>
      <c r="F10" s="62"/>
      <c r="G10" s="62"/>
      <c r="H10" s="62"/>
      <c r="I10" s="62"/>
      <c r="J10" s="62"/>
      <c r="K10" s="62"/>
      <c r="L10" s="62"/>
      <c r="M10" s="62"/>
      <c r="N10" s="62"/>
    </row>
    <row r="11" spans="1:14" hidden="1" x14ac:dyDescent="0.2">
      <c r="A11" s="61" t="s">
        <v>145</v>
      </c>
      <c r="B11" s="63">
        <f t="shared" si="0"/>
        <v>0</v>
      </c>
      <c r="C11" s="62"/>
      <c r="D11" s="62"/>
      <c r="E11" s="62"/>
      <c r="F11" s="62"/>
      <c r="G11" s="62"/>
      <c r="H11" s="62"/>
      <c r="I11" s="62"/>
      <c r="J11" s="93"/>
      <c r="K11" s="93"/>
      <c r="L11" s="93"/>
      <c r="M11" s="93"/>
      <c r="N11" s="93"/>
    </row>
    <row r="12" spans="1:14" hidden="1" x14ac:dyDescent="0.2">
      <c r="A12" s="61" t="s">
        <v>145</v>
      </c>
      <c r="B12" s="63">
        <f t="shared" si="0"/>
        <v>0</v>
      </c>
      <c r="C12" s="62"/>
      <c r="D12" s="62"/>
      <c r="E12" s="62"/>
      <c r="F12" s="62"/>
      <c r="G12" s="62"/>
      <c r="H12" s="62"/>
      <c r="I12" s="62"/>
      <c r="J12" s="93"/>
      <c r="K12" s="93"/>
      <c r="L12" s="93"/>
      <c r="M12" s="93"/>
      <c r="N12" s="93"/>
    </row>
    <row r="13" spans="1:14" hidden="1" x14ac:dyDescent="0.2">
      <c r="A13" s="61" t="s">
        <v>145</v>
      </c>
      <c r="B13" s="63">
        <f t="shared" si="0"/>
        <v>0</v>
      </c>
      <c r="C13" s="62"/>
      <c r="D13" s="62"/>
      <c r="E13" s="62"/>
      <c r="F13" s="62"/>
      <c r="G13" s="62"/>
      <c r="H13" s="62"/>
      <c r="I13" s="62"/>
      <c r="J13" s="62"/>
      <c r="K13" s="62"/>
      <c r="L13" s="62"/>
      <c r="M13" s="62"/>
      <c r="N13" s="62"/>
    </row>
    <row r="14" spans="1:14" hidden="1" x14ac:dyDescent="0.2">
      <c r="A14" s="61" t="s">
        <v>145</v>
      </c>
      <c r="B14" s="63">
        <f t="shared" si="0"/>
        <v>0</v>
      </c>
      <c r="C14" s="62"/>
      <c r="D14" s="62"/>
      <c r="E14" s="62"/>
      <c r="F14" s="62"/>
      <c r="G14" s="62"/>
      <c r="H14" s="62"/>
      <c r="I14" s="62"/>
      <c r="J14" s="62"/>
      <c r="K14" s="62"/>
      <c r="L14" s="62"/>
      <c r="M14" s="62"/>
      <c r="N14" s="62"/>
    </row>
    <row r="15" spans="1:14" hidden="1" x14ac:dyDescent="0.2">
      <c r="A15" s="61" t="s">
        <v>145</v>
      </c>
      <c r="B15" s="63">
        <f t="shared" si="0"/>
        <v>0</v>
      </c>
      <c r="C15" s="62"/>
      <c r="D15" s="62"/>
      <c r="E15" s="62"/>
      <c r="F15" s="62"/>
      <c r="G15" s="62"/>
      <c r="H15" s="62"/>
      <c r="I15" s="62"/>
      <c r="J15" s="62"/>
      <c r="K15" s="62"/>
      <c r="L15" s="62"/>
      <c r="M15" s="62"/>
      <c r="N15" s="62"/>
    </row>
    <row r="16" spans="1:14" hidden="1" x14ac:dyDescent="0.2">
      <c r="A16" s="61" t="s">
        <v>145</v>
      </c>
      <c r="B16" s="63">
        <f t="shared" si="0"/>
        <v>0</v>
      </c>
      <c r="C16" s="62"/>
      <c r="D16" s="62"/>
      <c r="E16" s="62"/>
      <c r="F16" s="62"/>
      <c r="G16" s="62"/>
      <c r="H16" s="62"/>
      <c r="I16" s="62"/>
      <c r="J16" s="62"/>
      <c r="K16" s="62"/>
      <c r="L16" s="62"/>
      <c r="M16" s="62"/>
      <c r="N16" s="62"/>
    </row>
    <row r="17" spans="1:14" hidden="1" x14ac:dyDescent="0.2">
      <c r="A17" s="61" t="s">
        <v>145</v>
      </c>
      <c r="B17" s="63">
        <f t="shared" si="0"/>
        <v>0</v>
      </c>
      <c r="C17" s="62"/>
      <c r="D17" s="62"/>
      <c r="E17" s="62"/>
      <c r="F17" s="62"/>
      <c r="G17" s="62"/>
      <c r="H17" s="62"/>
      <c r="I17" s="62"/>
      <c r="J17" s="62"/>
      <c r="K17" s="62"/>
      <c r="L17" s="62"/>
      <c r="M17" s="62"/>
      <c r="N17" s="62"/>
    </row>
    <row r="18" spans="1:14" hidden="1" x14ac:dyDescent="0.2">
      <c r="A18" s="61" t="s">
        <v>145</v>
      </c>
      <c r="B18" s="63">
        <f t="shared" si="0"/>
        <v>0</v>
      </c>
      <c r="C18" s="62"/>
      <c r="D18" s="62"/>
      <c r="E18" s="62"/>
      <c r="F18" s="62"/>
      <c r="G18" s="62"/>
      <c r="H18" s="62"/>
      <c r="I18" s="62"/>
      <c r="J18" s="62"/>
      <c r="K18" s="62"/>
      <c r="L18" s="62"/>
      <c r="M18" s="62"/>
      <c r="N18" s="62"/>
    </row>
    <row r="19" spans="1:14" hidden="1" x14ac:dyDescent="0.2">
      <c r="A19" s="61" t="s">
        <v>145</v>
      </c>
      <c r="B19" s="63">
        <f t="shared" si="0"/>
        <v>0</v>
      </c>
      <c r="C19" s="62"/>
      <c r="D19" s="62"/>
      <c r="E19" s="62"/>
      <c r="F19" s="62"/>
      <c r="G19" s="62"/>
      <c r="H19" s="62"/>
      <c r="I19" s="62"/>
      <c r="J19" s="62"/>
      <c r="K19" s="62"/>
      <c r="L19" s="62"/>
      <c r="M19" s="62"/>
      <c r="N19" s="62"/>
    </row>
    <row r="20" spans="1:14" hidden="1" x14ac:dyDescent="0.2">
      <c r="A20" s="61" t="s">
        <v>145</v>
      </c>
      <c r="B20" s="63">
        <f t="shared" si="0"/>
        <v>0</v>
      </c>
      <c r="C20" s="62"/>
      <c r="D20" s="62"/>
      <c r="E20" s="62"/>
      <c r="F20" s="62"/>
      <c r="G20" s="62"/>
      <c r="H20" s="62"/>
      <c r="I20" s="62"/>
      <c r="J20" s="62"/>
      <c r="K20" s="62"/>
      <c r="L20" s="62"/>
      <c r="M20" s="62"/>
      <c r="N20" s="62"/>
    </row>
    <row r="21" spans="1:14" x14ac:dyDescent="0.2">
      <c r="A21" s="61" t="s">
        <v>145</v>
      </c>
      <c r="B21" s="63">
        <f t="shared" si="0"/>
        <v>0</v>
      </c>
      <c r="C21" s="62"/>
      <c r="D21" s="62"/>
      <c r="E21" s="62"/>
      <c r="F21" s="62"/>
      <c r="G21" s="62"/>
      <c r="H21" s="62"/>
      <c r="I21" s="62"/>
      <c r="J21" s="62"/>
      <c r="K21" s="62"/>
      <c r="L21" s="62"/>
      <c r="M21" s="62"/>
      <c r="N21" s="62"/>
    </row>
    <row r="22" spans="1:14" x14ac:dyDescent="0.2">
      <c r="A22" s="61" t="s">
        <v>145</v>
      </c>
      <c r="B22" s="63">
        <f t="shared" si="0"/>
        <v>0</v>
      </c>
      <c r="C22" s="62"/>
      <c r="D22" s="62"/>
      <c r="E22" s="62"/>
      <c r="F22" s="62"/>
      <c r="G22" s="62"/>
      <c r="H22" s="62"/>
      <c r="I22" s="62"/>
      <c r="J22" s="62"/>
      <c r="K22" s="62"/>
      <c r="L22" s="62"/>
      <c r="M22" s="62"/>
      <c r="N22" s="62"/>
    </row>
    <row r="23" spans="1:14" x14ac:dyDescent="0.2">
      <c r="A23" s="61" t="s">
        <v>283</v>
      </c>
      <c r="B23" s="63">
        <f t="shared" si="0"/>
        <v>0</v>
      </c>
      <c r="C23" s="93"/>
      <c r="D23" s="62"/>
      <c r="E23" s="62"/>
      <c r="F23" s="62"/>
      <c r="G23" s="62"/>
      <c r="H23" s="62"/>
      <c r="I23" s="62"/>
      <c r="J23" s="62"/>
      <c r="K23" s="62"/>
      <c r="L23" s="93"/>
      <c r="M23" s="93"/>
      <c r="N23" s="93"/>
    </row>
    <row r="24" spans="1:14" x14ac:dyDescent="0.2">
      <c r="A24" s="61" t="s">
        <v>284</v>
      </c>
      <c r="B24" s="63">
        <f t="shared" si="0"/>
        <v>0</v>
      </c>
      <c r="C24" s="62"/>
      <c r="D24" s="62"/>
      <c r="E24" s="62"/>
      <c r="F24" s="62"/>
      <c r="G24" s="62"/>
      <c r="H24" s="62"/>
      <c r="I24" s="62"/>
      <c r="J24" s="62"/>
      <c r="K24" s="62"/>
      <c r="L24" s="62"/>
      <c r="M24" s="62"/>
      <c r="N24" s="62"/>
    </row>
    <row r="25" spans="1:14" x14ac:dyDescent="0.2">
      <c r="A25" s="61" t="s">
        <v>285</v>
      </c>
      <c r="B25" s="63">
        <f t="shared" si="0"/>
        <v>0</v>
      </c>
      <c r="C25" s="62"/>
      <c r="D25" s="62"/>
      <c r="E25" s="62"/>
      <c r="F25" s="62"/>
      <c r="G25" s="62"/>
      <c r="H25" s="62"/>
      <c r="I25" s="62"/>
      <c r="J25" s="62"/>
      <c r="K25" s="62"/>
      <c r="L25" s="62"/>
      <c r="M25" s="62"/>
      <c r="N25" s="62"/>
    </row>
    <row r="26" spans="1:14" x14ac:dyDescent="0.2">
      <c r="A26" s="61" t="s">
        <v>323</v>
      </c>
      <c r="B26" s="63">
        <f t="shared" si="0"/>
        <v>100000</v>
      </c>
      <c r="C26" s="62"/>
      <c r="D26" s="62"/>
      <c r="E26" s="62"/>
      <c r="F26" s="62"/>
      <c r="G26" s="62"/>
      <c r="H26" s="62"/>
      <c r="I26" s="62"/>
      <c r="J26" s="62"/>
      <c r="K26" s="62"/>
      <c r="L26" s="62"/>
      <c r="M26" s="62"/>
      <c r="N26" s="62">
        <v>100000</v>
      </c>
    </row>
    <row r="27" spans="1:14" x14ac:dyDescent="0.2">
      <c r="A27" s="61" t="s">
        <v>558</v>
      </c>
      <c r="B27" s="63">
        <f t="shared" si="0"/>
        <v>20000</v>
      </c>
      <c r="C27" s="62"/>
      <c r="D27" s="62"/>
      <c r="E27" s="62"/>
      <c r="F27" s="62"/>
      <c r="G27" s="62"/>
      <c r="H27" s="62"/>
      <c r="I27" s="62"/>
      <c r="J27" s="62"/>
      <c r="K27" s="62"/>
      <c r="L27" s="62"/>
      <c r="M27" s="62"/>
      <c r="N27" s="62">
        <v>20000</v>
      </c>
    </row>
    <row r="28" spans="1:14" x14ac:dyDescent="0.2">
      <c r="A28" s="61" t="s">
        <v>650</v>
      </c>
      <c r="B28" s="63">
        <f t="shared" si="0"/>
        <v>25000</v>
      </c>
      <c r="C28" s="62"/>
      <c r="D28" s="62"/>
      <c r="E28" s="62"/>
      <c r="F28" s="62"/>
      <c r="G28" s="62"/>
      <c r="H28" s="62"/>
      <c r="I28" s="62">
        <v>25000</v>
      </c>
      <c r="J28" s="62"/>
      <c r="K28" s="62"/>
      <c r="L28" s="62"/>
      <c r="M28" s="62"/>
      <c r="N28" s="62"/>
    </row>
    <row r="29" spans="1:14" x14ac:dyDescent="0.2">
      <c r="A29" s="61" t="s">
        <v>146</v>
      </c>
      <c r="B29" s="63">
        <f t="shared" si="0"/>
        <v>0</v>
      </c>
      <c r="C29" s="62"/>
      <c r="D29" s="62"/>
      <c r="E29" s="62"/>
      <c r="F29" s="62"/>
      <c r="G29" s="62"/>
      <c r="H29" s="62"/>
      <c r="I29" s="62"/>
      <c r="J29" s="62"/>
      <c r="K29" s="62"/>
      <c r="L29" s="62"/>
      <c r="M29" s="62"/>
      <c r="N29" s="62"/>
    </row>
    <row r="30" spans="1:14" hidden="1" x14ac:dyDescent="0.2">
      <c r="A30" s="61" t="s">
        <v>146</v>
      </c>
      <c r="B30" s="63">
        <f t="shared" si="0"/>
        <v>0</v>
      </c>
      <c r="C30" s="62"/>
      <c r="D30" s="62"/>
      <c r="E30" s="62"/>
      <c r="F30" s="62"/>
      <c r="G30" s="62"/>
      <c r="H30" s="62"/>
      <c r="I30" s="62"/>
      <c r="J30" s="62"/>
      <c r="K30" s="62"/>
      <c r="L30" s="62"/>
      <c r="M30" s="62"/>
      <c r="N30" s="62"/>
    </row>
    <row r="31" spans="1:14" hidden="1" x14ac:dyDescent="0.2">
      <c r="A31" s="61" t="s">
        <v>146</v>
      </c>
      <c r="B31" s="63">
        <f t="shared" si="0"/>
        <v>0</v>
      </c>
      <c r="C31" s="62"/>
      <c r="D31" s="62"/>
      <c r="E31" s="62"/>
      <c r="F31" s="62"/>
      <c r="G31" s="62"/>
      <c r="H31" s="62"/>
      <c r="I31" s="62"/>
      <c r="J31" s="62"/>
      <c r="K31" s="62"/>
      <c r="L31" s="62"/>
      <c r="M31" s="62"/>
      <c r="N31" s="62"/>
    </row>
    <row r="32" spans="1:14" hidden="1" x14ac:dyDescent="0.2">
      <c r="A32" s="61" t="s">
        <v>146</v>
      </c>
      <c r="B32" s="63">
        <f t="shared" si="0"/>
        <v>0</v>
      </c>
      <c r="C32" s="62"/>
      <c r="D32" s="62"/>
      <c r="E32" s="62"/>
      <c r="F32" s="62"/>
      <c r="G32" s="62"/>
      <c r="H32" s="62"/>
      <c r="I32" s="62"/>
      <c r="J32" s="62"/>
      <c r="K32" s="62"/>
      <c r="L32" s="62"/>
      <c r="M32" s="62"/>
      <c r="N32" s="62"/>
    </row>
    <row r="33" spans="1:14" hidden="1" x14ac:dyDescent="0.2">
      <c r="A33" s="61" t="s">
        <v>146</v>
      </c>
      <c r="B33" s="63">
        <f t="shared" si="0"/>
        <v>0</v>
      </c>
      <c r="C33" s="62"/>
      <c r="D33" s="62"/>
      <c r="E33" s="62"/>
      <c r="F33" s="62"/>
      <c r="G33" s="62"/>
      <c r="H33" s="62"/>
      <c r="I33" s="62"/>
      <c r="J33" s="62"/>
      <c r="K33" s="62"/>
      <c r="L33" s="62"/>
      <c r="M33" s="62"/>
      <c r="N33" s="62"/>
    </row>
    <row r="34" spans="1:14" hidden="1" x14ac:dyDescent="0.2">
      <c r="A34" s="61" t="s">
        <v>146</v>
      </c>
      <c r="B34" s="63">
        <f t="shared" si="0"/>
        <v>0</v>
      </c>
      <c r="C34" s="62"/>
      <c r="D34" s="62"/>
      <c r="E34" s="62"/>
      <c r="F34" s="62"/>
      <c r="G34" s="62"/>
      <c r="H34" s="62"/>
      <c r="I34" s="62"/>
      <c r="J34" s="62"/>
      <c r="K34" s="62"/>
      <c r="L34" s="62"/>
      <c r="M34" s="62"/>
      <c r="N34" s="62"/>
    </row>
    <row r="35" spans="1:14" hidden="1" x14ac:dyDescent="0.2">
      <c r="A35" s="61" t="s">
        <v>146</v>
      </c>
      <c r="B35" s="63">
        <f t="shared" si="0"/>
        <v>0</v>
      </c>
      <c r="C35" s="62"/>
      <c r="D35" s="62"/>
      <c r="E35" s="62"/>
      <c r="F35" s="62"/>
      <c r="G35" s="62"/>
      <c r="H35" s="62"/>
      <c r="I35" s="62"/>
      <c r="J35" s="62"/>
      <c r="K35" s="62"/>
      <c r="L35" s="62"/>
      <c r="M35" s="62"/>
      <c r="N35" s="62"/>
    </row>
    <row r="36" spans="1:14" hidden="1" x14ac:dyDescent="0.2">
      <c r="A36" s="61" t="s">
        <v>146</v>
      </c>
      <c r="B36" s="63">
        <f t="shared" si="0"/>
        <v>0</v>
      </c>
      <c r="C36" s="62"/>
      <c r="D36" s="62"/>
      <c r="E36" s="62"/>
      <c r="F36" s="62"/>
      <c r="G36" s="62"/>
      <c r="H36" s="62"/>
      <c r="I36" s="62"/>
      <c r="J36" s="62"/>
      <c r="K36" s="62"/>
      <c r="L36" s="62"/>
      <c r="M36" s="62"/>
      <c r="N36" s="62"/>
    </row>
    <row r="37" spans="1:14" hidden="1" x14ac:dyDescent="0.2">
      <c r="A37" s="61" t="s">
        <v>146</v>
      </c>
      <c r="B37" s="63">
        <f t="shared" si="0"/>
        <v>0</v>
      </c>
      <c r="C37" s="62"/>
      <c r="D37" s="62"/>
      <c r="E37" s="62"/>
      <c r="F37" s="62"/>
      <c r="G37" s="62"/>
      <c r="H37" s="62"/>
      <c r="I37" s="62"/>
      <c r="J37" s="62"/>
      <c r="K37" s="62"/>
      <c r="L37" s="62"/>
      <c r="M37" s="62"/>
      <c r="N37" s="93"/>
    </row>
    <row r="38" spans="1:14" x14ac:dyDescent="0.2">
      <c r="A38" s="61" t="s">
        <v>146</v>
      </c>
      <c r="B38" s="63">
        <f t="shared" si="0"/>
        <v>0</v>
      </c>
      <c r="C38" s="62"/>
      <c r="D38" s="62"/>
      <c r="E38" s="62"/>
      <c r="F38" s="62"/>
      <c r="G38" s="62"/>
      <c r="H38" s="62"/>
      <c r="I38" s="62"/>
      <c r="J38" s="62"/>
      <c r="K38" s="62"/>
      <c r="L38" s="62"/>
      <c r="M38" s="62"/>
      <c r="N38" s="62"/>
    </row>
    <row r="39" spans="1:14" x14ac:dyDescent="0.2">
      <c r="A39" s="61" t="s">
        <v>16</v>
      </c>
      <c r="B39" s="63">
        <f t="shared" si="0"/>
        <v>0</v>
      </c>
      <c r="C39" s="62"/>
      <c r="D39" s="62"/>
      <c r="E39" s="62"/>
      <c r="F39" s="62"/>
      <c r="G39" s="62"/>
      <c r="H39" s="62"/>
      <c r="I39" s="62"/>
      <c r="J39" s="62"/>
      <c r="K39" s="62"/>
      <c r="L39" s="62"/>
      <c r="M39" s="62"/>
      <c r="N39" s="62"/>
    </row>
    <row r="40" spans="1:14" x14ac:dyDescent="0.2">
      <c r="A40" s="61" t="s">
        <v>17</v>
      </c>
      <c r="B40" s="63">
        <f t="shared" si="0"/>
        <v>0</v>
      </c>
      <c r="C40" s="62"/>
      <c r="D40" s="62"/>
      <c r="E40" s="62"/>
      <c r="F40" s="62"/>
      <c r="G40" s="62"/>
      <c r="H40" s="62"/>
      <c r="I40" s="62"/>
      <c r="J40" s="62"/>
      <c r="K40" s="62"/>
      <c r="L40" s="62"/>
      <c r="M40" s="62"/>
      <c r="N40" s="62"/>
    </row>
    <row r="41" spans="1:14" x14ac:dyDescent="0.2">
      <c r="A41" s="61" t="s">
        <v>147</v>
      </c>
      <c r="B41" s="63">
        <f t="shared" si="0"/>
        <v>0</v>
      </c>
      <c r="C41" s="62"/>
      <c r="D41" s="62"/>
      <c r="E41" s="62"/>
      <c r="F41" s="62"/>
      <c r="G41" s="62"/>
      <c r="H41" s="62"/>
      <c r="I41" s="62"/>
      <c r="J41" s="62"/>
      <c r="K41" s="62"/>
      <c r="L41" s="62"/>
      <c r="M41" s="62"/>
      <c r="N41" s="62"/>
    </row>
    <row r="42" spans="1:14" x14ac:dyDescent="0.2">
      <c r="A42" s="61" t="s">
        <v>148</v>
      </c>
      <c r="B42" s="63">
        <f t="shared" si="0"/>
        <v>14927</v>
      </c>
      <c r="C42" s="62">
        <v>357</v>
      </c>
      <c r="D42" s="62">
        <v>357</v>
      </c>
      <c r="E42" s="62">
        <v>357</v>
      </c>
      <c r="F42" s="62">
        <v>357</v>
      </c>
      <c r="G42" s="62">
        <v>357</v>
      </c>
      <c r="H42" s="62">
        <v>357</v>
      </c>
      <c r="I42" s="62">
        <v>357</v>
      </c>
      <c r="J42" s="62">
        <v>357</v>
      </c>
      <c r="K42" s="62">
        <v>357</v>
      </c>
      <c r="L42" s="62">
        <v>357</v>
      </c>
      <c r="M42" s="62">
        <v>357</v>
      </c>
      <c r="N42" s="62">
        <v>11000</v>
      </c>
    </row>
    <row r="43" spans="1:14" x14ac:dyDescent="0.2">
      <c r="A43" s="61" t="s">
        <v>149</v>
      </c>
      <c r="B43" s="63">
        <f t="shared" si="0"/>
        <v>4</v>
      </c>
      <c r="C43" s="62">
        <v>4</v>
      </c>
      <c r="D43" s="62"/>
      <c r="E43" s="62"/>
      <c r="F43" s="62"/>
      <c r="G43" s="62"/>
      <c r="H43" s="62"/>
      <c r="I43" s="62"/>
      <c r="J43" s="62"/>
      <c r="K43" s="62"/>
      <c r="L43" s="62"/>
      <c r="M43" s="62"/>
      <c r="N43" s="62"/>
    </row>
    <row r="44" spans="1:14" x14ac:dyDescent="0.2">
      <c r="A44" s="61" t="s">
        <v>150</v>
      </c>
      <c r="B44" s="63">
        <f t="shared" si="0"/>
        <v>0</v>
      </c>
      <c r="C44" s="62"/>
      <c r="D44" s="62"/>
      <c r="E44" s="62"/>
      <c r="F44" s="62"/>
      <c r="G44" s="62"/>
      <c r="H44" s="62"/>
      <c r="I44" s="62"/>
      <c r="J44" s="62"/>
      <c r="K44" s="62"/>
      <c r="L44" s="62"/>
      <c r="M44" s="62"/>
      <c r="N44" s="62"/>
    </row>
    <row r="45" spans="1:14" ht="13.5" thickBot="1" x14ac:dyDescent="0.25">
      <c r="A45" s="61" t="s">
        <v>18</v>
      </c>
      <c r="B45" s="63">
        <f t="shared" si="0"/>
        <v>1500</v>
      </c>
      <c r="C45" s="62"/>
      <c r="D45" s="62"/>
      <c r="E45" s="62"/>
      <c r="F45" s="62"/>
      <c r="G45" s="62"/>
      <c r="H45" s="62"/>
      <c r="I45" s="62"/>
      <c r="J45" s="62"/>
      <c r="K45" s="62">
        <v>1500</v>
      </c>
      <c r="L45" s="62"/>
      <c r="M45" s="62"/>
      <c r="N45" s="62"/>
    </row>
    <row r="46" spans="1:14" x14ac:dyDescent="0.2">
      <c r="A46" s="64" t="s">
        <v>151</v>
      </c>
      <c r="B46" s="65">
        <f t="shared" ref="B46:N46" si="1">SUM(B8:B45)</f>
        <v>161431</v>
      </c>
      <c r="C46" s="65">
        <f t="shared" si="1"/>
        <v>361</v>
      </c>
      <c r="D46" s="65">
        <f t="shared" si="1"/>
        <v>357</v>
      </c>
      <c r="E46" s="65">
        <f t="shared" si="1"/>
        <v>357</v>
      </c>
      <c r="F46" s="65">
        <f t="shared" si="1"/>
        <v>357</v>
      </c>
      <c r="G46" s="65">
        <f t="shared" si="1"/>
        <v>357</v>
      </c>
      <c r="H46" s="65">
        <f t="shared" si="1"/>
        <v>357</v>
      </c>
      <c r="I46" s="65">
        <f t="shared" si="1"/>
        <v>25357</v>
      </c>
      <c r="J46" s="65">
        <f t="shared" si="1"/>
        <v>357</v>
      </c>
      <c r="K46" s="65">
        <f t="shared" si="1"/>
        <v>1857</v>
      </c>
      <c r="L46" s="65">
        <f t="shared" si="1"/>
        <v>357</v>
      </c>
      <c r="M46" s="65">
        <f t="shared" si="1"/>
        <v>357</v>
      </c>
      <c r="N46" s="65">
        <f t="shared" si="1"/>
        <v>131000</v>
      </c>
    </row>
    <row r="47" spans="1:14" x14ac:dyDescent="0.2">
      <c r="A47" s="59"/>
      <c r="B47" s="60"/>
      <c r="C47" s="60"/>
      <c r="D47" s="66"/>
      <c r="E47" s="66"/>
      <c r="F47" s="66"/>
      <c r="G47" s="66"/>
      <c r="H47" s="66"/>
      <c r="I47" s="66"/>
      <c r="J47" s="66"/>
      <c r="K47" s="66"/>
      <c r="L47" s="66"/>
      <c r="M47" s="66"/>
      <c r="N47" s="66"/>
    </row>
    <row r="48" spans="1:14" x14ac:dyDescent="0.2">
      <c r="A48" s="58"/>
      <c r="B48" s="60"/>
      <c r="C48" s="60"/>
      <c r="D48" s="100"/>
      <c r="E48" s="100"/>
      <c r="F48" s="100"/>
      <c r="G48" s="100"/>
      <c r="H48" s="100"/>
      <c r="I48" s="100"/>
      <c r="J48" s="100"/>
      <c r="K48" s="100"/>
      <c r="L48" s="100"/>
      <c r="M48" s="100"/>
      <c r="N48" s="100"/>
    </row>
    <row r="49" spans="1:15" x14ac:dyDescent="0.2">
      <c r="A49" s="58" t="s">
        <v>152</v>
      </c>
      <c r="B49" s="85"/>
      <c r="C49" s="85"/>
      <c r="D49" s="85"/>
      <c r="E49" s="85"/>
      <c r="F49" s="85"/>
      <c r="G49" s="85"/>
      <c r="H49" s="85"/>
      <c r="I49" s="85"/>
      <c r="J49" s="85"/>
      <c r="K49" s="85"/>
      <c r="L49" s="85"/>
      <c r="M49" s="85"/>
      <c r="N49" s="85"/>
      <c r="O49" s="84"/>
    </row>
    <row r="50" spans="1:15" x14ac:dyDescent="0.2">
      <c r="A50" s="61" t="s">
        <v>153</v>
      </c>
      <c r="B50" s="63">
        <f>SUM(C50:N50)</f>
        <v>297613.08</v>
      </c>
      <c r="C50" s="62">
        <f>SUM(C226)</f>
        <v>24801.09</v>
      </c>
      <c r="D50" s="62">
        <f t="shared" ref="D50:N50" si="2">SUM(D226)</f>
        <v>24801.09</v>
      </c>
      <c r="E50" s="62">
        <f t="shared" si="2"/>
        <v>24801.09</v>
      </c>
      <c r="F50" s="62">
        <f t="shared" si="2"/>
        <v>24801.09</v>
      </c>
      <c r="G50" s="62">
        <f t="shared" si="2"/>
        <v>24801.09</v>
      </c>
      <c r="H50" s="62">
        <f t="shared" si="2"/>
        <v>24801.09</v>
      </c>
      <c r="I50" s="62">
        <f t="shared" si="2"/>
        <v>24801.09</v>
      </c>
      <c r="J50" s="62">
        <f t="shared" si="2"/>
        <v>24801.09</v>
      </c>
      <c r="K50" s="62">
        <f t="shared" si="2"/>
        <v>24801.09</v>
      </c>
      <c r="L50" s="62">
        <f t="shared" si="2"/>
        <v>24801.09</v>
      </c>
      <c r="M50" s="62">
        <f t="shared" si="2"/>
        <v>24801.09</v>
      </c>
      <c r="N50" s="62">
        <f t="shared" si="2"/>
        <v>24801.09</v>
      </c>
      <c r="O50" s="84"/>
    </row>
    <row r="51" spans="1:15" x14ac:dyDescent="0.2">
      <c r="A51" s="61" t="s">
        <v>22</v>
      </c>
      <c r="B51" s="63">
        <f>SUM(C51:N51)</f>
        <v>25447.108500000002</v>
      </c>
      <c r="C51" s="62">
        <f>SUM(C227)</f>
        <v>2120.5923750000002</v>
      </c>
      <c r="D51" s="62">
        <f t="shared" ref="D51:N51" si="3">SUM(D227)</f>
        <v>2120.5923750000002</v>
      </c>
      <c r="E51" s="62">
        <f t="shared" si="3"/>
        <v>2120.5923750000002</v>
      </c>
      <c r="F51" s="62">
        <f t="shared" si="3"/>
        <v>2120.5923750000002</v>
      </c>
      <c r="G51" s="62">
        <f t="shared" si="3"/>
        <v>2120.5923750000002</v>
      </c>
      <c r="H51" s="62">
        <f t="shared" si="3"/>
        <v>2120.5923750000002</v>
      </c>
      <c r="I51" s="62">
        <f t="shared" si="3"/>
        <v>2120.5923750000002</v>
      </c>
      <c r="J51" s="62">
        <f t="shared" si="3"/>
        <v>2120.5923750000002</v>
      </c>
      <c r="K51" s="62">
        <f t="shared" si="3"/>
        <v>2120.5923750000002</v>
      </c>
      <c r="L51" s="62">
        <f t="shared" si="3"/>
        <v>2120.5923750000002</v>
      </c>
      <c r="M51" s="62">
        <f t="shared" si="3"/>
        <v>2120.5923750000002</v>
      </c>
      <c r="N51" s="62">
        <f t="shared" si="3"/>
        <v>2120.5923750000002</v>
      </c>
      <c r="O51" s="84"/>
    </row>
    <row r="52" spans="1:15" s="12" customFormat="1" ht="13.5" thickBot="1" x14ac:dyDescent="0.25">
      <c r="A52" s="90" t="s">
        <v>23</v>
      </c>
      <c r="B52" s="63">
        <f>SUM(C52:N52)</f>
        <v>27591.673200000005</v>
      </c>
      <c r="C52" s="62">
        <f>SUM(C228)</f>
        <v>2494.5560999999998</v>
      </c>
      <c r="D52" s="62">
        <f t="shared" ref="D52:N52" si="4">SUM(D228)</f>
        <v>2281.5560999999998</v>
      </c>
      <c r="E52" s="62">
        <f t="shared" si="4"/>
        <v>2281.5560999999998</v>
      </c>
      <c r="F52" s="62">
        <f t="shared" si="4"/>
        <v>2281.5560999999998</v>
      </c>
      <c r="G52" s="62">
        <f t="shared" si="4"/>
        <v>2281.5560999999998</v>
      </c>
      <c r="H52" s="62">
        <f t="shared" si="4"/>
        <v>2281.5560999999998</v>
      </c>
      <c r="I52" s="62">
        <f t="shared" si="4"/>
        <v>2281.5560999999998</v>
      </c>
      <c r="J52" s="62">
        <f t="shared" si="4"/>
        <v>2281.5560999999998</v>
      </c>
      <c r="K52" s="62">
        <f t="shared" si="4"/>
        <v>2281.5560999999998</v>
      </c>
      <c r="L52" s="62">
        <f t="shared" si="4"/>
        <v>2281.5560999999998</v>
      </c>
      <c r="M52" s="62">
        <f t="shared" si="4"/>
        <v>2281.5560999999998</v>
      </c>
      <c r="N52" s="62">
        <f t="shared" si="4"/>
        <v>2281.5560999999998</v>
      </c>
      <c r="O52" s="101"/>
    </row>
    <row r="53" spans="1:15" x14ac:dyDescent="0.2">
      <c r="A53" s="64" t="s">
        <v>154</v>
      </c>
      <c r="B53" s="65">
        <f>SUM(B50:B52)</f>
        <v>350651.86170000007</v>
      </c>
      <c r="C53" s="65">
        <f t="shared" ref="C53:N53" si="5">SUM(C50:C52)</f>
        <v>29416.238474999998</v>
      </c>
      <c r="D53" s="65">
        <f t="shared" si="5"/>
        <v>29203.238474999998</v>
      </c>
      <c r="E53" s="65">
        <f t="shared" si="5"/>
        <v>29203.238474999998</v>
      </c>
      <c r="F53" s="65">
        <f t="shared" si="5"/>
        <v>29203.238474999998</v>
      </c>
      <c r="G53" s="65">
        <f t="shared" si="5"/>
        <v>29203.238474999998</v>
      </c>
      <c r="H53" s="65">
        <f t="shared" si="5"/>
        <v>29203.238474999998</v>
      </c>
      <c r="I53" s="65">
        <f t="shared" si="5"/>
        <v>29203.238474999998</v>
      </c>
      <c r="J53" s="65">
        <f t="shared" si="5"/>
        <v>29203.238474999998</v>
      </c>
      <c r="K53" s="65">
        <f t="shared" si="5"/>
        <v>29203.238474999998</v>
      </c>
      <c r="L53" s="65">
        <f t="shared" si="5"/>
        <v>29203.238474999998</v>
      </c>
      <c r="M53" s="65">
        <f t="shared" si="5"/>
        <v>29203.238474999998</v>
      </c>
      <c r="N53" s="65">
        <f t="shared" si="5"/>
        <v>29203.238474999998</v>
      </c>
      <c r="O53" s="140"/>
    </row>
    <row r="54" spans="1:15" x14ac:dyDescent="0.2">
      <c r="A54" s="59"/>
      <c r="B54" s="60"/>
      <c r="C54" s="60"/>
      <c r="D54" s="66"/>
      <c r="E54" s="66"/>
      <c r="F54" s="66"/>
      <c r="G54" s="66"/>
      <c r="H54" s="66"/>
      <c r="I54" s="66"/>
      <c r="J54" s="66"/>
      <c r="K54" s="66"/>
      <c r="L54" s="66"/>
      <c r="M54" s="66"/>
      <c r="N54" s="66"/>
      <c r="O54" s="84"/>
    </row>
    <row r="55" spans="1:15" s="38" customFormat="1" x14ac:dyDescent="0.2">
      <c r="A55" s="59"/>
      <c r="B55" s="247"/>
      <c r="C55" s="60"/>
      <c r="D55" s="66"/>
      <c r="E55" s="66"/>
      <c r="F55" s="66"/>
      <c r="G55" s="66"/>
      <c r="H55" s="66"/>
      <c r="I55" s="66"/>
      <c r="J55" s="66"/>
      <c r="K55" s="66"/>
      <c r="L55" s="66"/>
      <c r="M55" s="66"/>
      <c r="N55" s="66"/>
      <c r="O55" s="84"/>
    </row>
    <row r="56" spans="1:15" x14ac:dyDescent="0.2">
      <c r="A56" s="58" t="s">
        <v>155</v>
      </c>
      <c r="B56" s="60"/>
      <c r="C56" s="60"/>
      <c r="D56" s="66"/>
      <c r="E56" s="66"/>
      <c r="F56" s="66"/>
      <c r="G56" s="66"/>
      <c r="H56" s="66"/>
      <c r="I56" s="66"/>
      <c r="J56" s="66"/>
      <c r="K56" s="66"/>
      <c r="L56" s="66"/>
      <c r="M56" s="66"/>
      <c r="N56" s="66"/>
      <c r="O56" s="84"/>
    </row>
    <row r="57" spans="1:15" x14ac:dyDescent="0.2">
      <c r="A57" s="61" t="s">
        <v>156</v>
      </c>
      <c r="B57" s="63">
        <f>SUM(C57:N57)</f>
        <v>2500</v>
      </c>
      <c r="C57" s="62">
        <f>SUM(2500/12)</f>
        <v>208.33333333333334</v>
      </c>
      <c r="D57" s="62">
        <f t="shared" ref="D57:N57" si="6">SUM(2500/12)</f>
        <v>208.33333333333334</v>
      </c>
      <c r="E57" s="62">
        <f t="shared" si="6"/>
        <v>208.33333333333334</v>
      </c>
      <c r="F57" s="62">
        <f t="shared" si="6"/>
        <v>208.33333333333334</v>
      </c>
      <c r="G57" s="62">
        <f t="shared" si="6"/>
        <v>208.33333333333334</v>
      </c>
      <c r="H57" s="62">
        <f t="shared" si="6"/>
        <v>208.33333333333334</v>
      </c>
      <c r="I57" s="62">
        <f t="shared" si="6"/>
        <v>208.33333333333334</v>
      </c>
      <c r="J57" s="62">
        <f t="shared" si="6"/>
        <v>208.33333333333334</v>
      </c>
      <c r="K57" s="62">
        <f t="shared" si="6"/>
        <v>208.33333333333334</v>
      </c>
      <c r="L57" s="62">
        <f t="shared" si="6"/>
        <v>208.33333333333334</v>
      </c>
      <c r="M57" s="62">
        <f t="shared" si="6"/>
        <v>208.33333333333334</v>
      </c>
      <c r="N57" s="62">
        <f t="shared" si="6"/>
        <v>208.33333333333334</v>
      </c>
      <c r="O57" s="84"/>
    </row>
    <row r="58" spans="1:15" x14ac:dyDescent="0.2">
      <c r="A58" s="61" t="s">
        <v>157</v>
      </c>
      <c r="B58" s="419">
        <f>SUM(C58:N58)</f>
        <v>300</v>
      </c>
      <c r="C58" s="62">
        <v>25</v>
      </c>
      <c r="D58" s="62">
        <v>25</v>
      </c>
      <c r="E58" s="62">
        <v>25</v>
      </c>
      <c r="F58" s="62">
        <v>25</v>
      </c>
      <c r="G58" s="62">
        <v>25</v>
      </c>
      <c r="H58" s="62">
        <v>25</v>
      </c>
      <c r="I58" s="62">
        <v>25</v>
      </c>
      <c r="J58" s="62">
        <v>25</v>
      </c>
      <c r="K58" s="62">
        <v>25</v>
      </c>
      <c r="L58" s="62">
        <v>25</v>
      </c>
      <c r="M58" s="62">
        <v>25</v>
      </c>
      <c r="N58" s="62">
        <v>25</v>
      </c>
      <c r="O58" s="84"/>
    </row>
    <row r="59" spans="1:15" x14ac:dyDescent="0.2">
      <c r="A59" s="61" t="s">
        <v>158</v>
      </c>
      <c r="B59" s="63">
        <f>SUM(C59:N59)</f>
        <v>1200</v>
      </c>
      <c r="C59" s="62">
        <v>100</v>
      </c>
      <c r="D59" s="62">
        <v>100</v>
      </c>
      <c r="E59" s="62">
        <v>100</v>
      </c>
      <c r="F59" s="62">
        <v>100</v>
      </c>
      <c r="G59" s="62">
        <v>100</v>
      </c>
      <c r="H59" s="62">
        <v>100</v>
      </c>
      <c r="I59" s="62">
        <v>100</v>
      </c>
      <c r="J59" s="62">
        <v>100</v>
      </c>
      <c r="K59" s="62">
        <v>100</v>
      </c>
      <c r="L59" s="62">
        <v>100</v>
      </c>
      <c r="M59" s="62">
        <v>100</v>
      </c>
      <c r="N59" s="62">
        <v>100</v>
      </c>
      <c r="O59" s="84"/>
    </row>
    <row r="60" spans="1:15" x14ac:dyDescent="0.2">
      <c r="A60" s="61" t="s">
        <v>159</v>
      </c>
      <c r="B60" s="63">
        <f t="shared" ref="B60:B81" si="7">SUM(C60:N60)</f>
        <v>2280</v>
      </c>
      <c r="C60" s="261">
        <f>SUM(40+30+30+30+30+30)</f>
        <v>190</v>
      </c>
      <c r="D60" s="62">
        <v>190</v>
      </c>
      <c r="E60" s="62">
        <v>190</v>
      </c>
      <c r="F60" s="62">
        <v>190</v>
      </c>
      <c r="G60" s="62">
        <v>190</v>
      </c>
      <c r="H60" s="62">
        <v>190</v>
      </c>
      <c r="I60" s="62">
        <v>190</v>
      </c>
      <c r="J60" s="62">
        <v>190</v>
      </c>
      <c r="K60" s="62">
        <v>190</v>
      </c>
      <c r="L60" s="62">
        <v>190</v>
      </c>
      <c r="M60" s="62">
        <v>190</v>
      </c>
      <c r="N60" s="62">
        <v>190</v>
      </c>
      <c r="O60" s="84"/>
    </row>
    <row r="61" spans="1:15" x14ac:dyDescent="0.2">
      <c r="A61" s="61" t="s">
        <v>160</v>
      </c>
      <c r="B61" s="63">
        <f t="shared" si="7"/>
        <v>579</v>
      </c>
      <c r="C61" s="62"/>
      <c r="D61" s="62"/>
      <c r="E61" s="62"/>
      <c r="F61" s="62">
        <v>40</v>
      </c>
      <c r="G61" s="62">
        <v>199</v>
      </c>
      <c r="H61" s="62"/>
      <c r="I61" s="62"/>
      <c r="J61" s="62"/>
      <c r="K61" s="62">
        <v>300</v>
      </c>
      <c r="L61" s="62">
        <v>40</v>
      </c>
      <c r="M61" s="62"/>
      <c r="N61" s="62"/>
      <c r="O61" s="84"/>
    </row>
    <row r="62" spans="1:15" x14ac:dyDescent="0.2">
      <c r="A62" s="61" t="s">
        <v>161</v>
      </c>
      <c r="B62" s="63">
        <f t="shared" si="7"/>
        <v>3708</v>
      </c>
      <c r="C62" s="62">
        <v>309</v>
      </c>
      <c r="D62" s="62">
        <v>309</v>
      </c>
      <c r="E62" s="62">
        <v>309</v>
      </c>
      <c r="F62" s="62">
        <v>309</v>
      </c>
      <c r="G62" s="62">
        <v>309</v>
      </c>
      <c r="H62" s="62">
        <v>309</v>
      </c>
      <c r="I62" s="62">
        <v>309</v>
      </c>
      <c r="J62" s="62">
        <v>309</v>
      </c>
      <c r="K62" s="62">
        <v>309</v>
      </c>
      <c r="L62" s="62">
        <v>309</v>
      </c>
      <c r="M62" s="62">
        <v>309</v>
      </c>
      <c r="N62" s="62">
        <v>309</v>
      </c>
      <c r="O62" s="84"/>
    </row>
    <row r="63" spans="1:15" x14ac:dyDescent="0.2">
      <c r="A63" s="61" t="s">
        <v>162</v>
      </c>
      <c r="B63" s="63">
        <f t="shared" si="7"/>
        <v>26000</v>
      </c>
      <c r="C63" s="62">
        <f>SUM(2000)</f>
        <v>2000</v>
      </c>
      <c r="D63" s="62">
        <v>2000</v>
      </c>
      <c r="E63" s="62">
        <v>20000</v>
      </c>
      <c r="F63" s="62">
        <v>2000</v>
      </c>
      <c r="G63" s="62"/>
      <c r="H63" s="62"/>
      <c r="I63" s="62"/>
      <c r="J63" s="62"/>
      <c r="K63" s="62"/>
      <c r="L63" s="62"/>
      <c r="M63" s="62"/>
      <c r="N63" s="62"/>
      <c r="O63" s="84"/>
    </row>
    <row r="64" spans="1:15" x14ac:dyDescent="0.2">
      <c r="A64" s="61" t="s">
        <v>163</v>
      </c>
      <c r="B64" s="63">
        <f t="shared" si="7"/>
        <v>1200</v>
      </c>
      <c r="C64" s="62">
        <f>SUM(100)</f>
        <v>100</v>
      </c>
      <c r="D64" s="62">
        <f t="shared" ref="D64:N64" si="8">SUM(100)</f>
        <v>100</v>
      </c>
      <c r="E64" s="62">
        <f t="shared" si="8"/>
        <v>100</v>
      </c>
      <c r="F64" s="62">
        <f t="shared" si="8"/>
        <v>100</v>
      </c>
      <c r="G64" s="62">
        <f t="shared" si="8"/>
        <v>100</v>
      </c>
      <c r="H64" s="62">
        <f t="shared" si="8"/>
        <v>100</v>
      </c>
      <c r="I64" s="62">
        <f t="shared" si="8"/>
        <v>100</v>
      </c>
      <c r="J64" s="62">
        <f t="shared" si="8"/>
        <v>100</v>
      </c>
      <c r="K64" s="62">
        <f t="shared" si="8"/>
        <v>100</v>
      </c>
      <c r="L64" s="62">
        <f t="shared" si="8"/>
        <v>100</v>
      </c>
      <c r="M64" s="62">
        <f t="shared" si="8"/>
        <v>100</v>
      </c>
      <c r="N64" s="62">
        <f t="shared" si="8"/>
        <v>100</v>
      </c>
      <c r="O64" s="84"/>
    </row>
    <row r="65" spans="1:14" x14ac:dyDescent="0.2">
      <c r="A65" s="61" t="s">
        <v>164</v>
      </c>
      <c r="B65" s="63">
        <f t="shared" si="7"/>
        <v>33700</v>
      </c>
      <c r="C65" s="93">
        <f>SUM(12000/12)+1300+5000</f>
        <v>7300</v>
      </c>
      <c r="D65" s="93">
        <f>SUM(12000/12)+1400</f>
        <v>2400</v>
      </c>
      <c r="E65" s="93">
        <f t="shared" ref="E65:N65" si="9">SUM(12000/12)+1400</f>
        <v>2400</v>
      </c>
      <c r="F65" s="93">
        <f t="shared" si="9"/>
        <v>2400</v>
      </c>
      <c r="G65" s="93">
        <f t="shared" si="9"/>
        <v>2400</v>
      </c>
      <c r="H65" s="93">
        <f t="shared" si="9"/>
        <v>2400</v>
      </c>
      <c r="I65" s="93">
        <f t="shared" si="9"/>
        <v>2400</v>
      </c>
      <c r="J65" s="93">
        <f t="shared" si="9"/>
        <v>2400</v>
      </c>
      <c r="K65" s="93">
        <f t="shared" si="9"/>
        <v>2400</v>
      </c>
      <c r="L65" s="93">
        <f t="shared" si="9"/>
        <v>2400</v>
      </c>
      <c r="M65" s="93">
        <f t="shared" si="9"/>
        <v>2400</v>
      </c>
      <c r="N65" s="93">
        <f t="shared" si="9"/>
        <v>2400</v>
      </c>
    </row>
    <row r="66" spans="1:14" x14ac:dyDescent="0.2">
      <c r="A66" s="61" t="s">
        <v>165</v>
      </c>
      <c r="B66" s="63">
        <f t="shared" si="7"/>
        <v>60</v>
      </c>
      <c r="C66" s="62"/>
      <c r="D66" s="62"/>
      <c r="E66" s="62">
        <v>10</v>
      </c>
      <c r="F66" s="62"/>
      <c r="G66" s="62"/>
      <c r="H66" s="62"/>
      <c r="I66" s="62"/>
      <c r="J66" s="62"/>
      <c r="K66" s="62"/>
      <c r="L66" s="62">
        <v>50</v>
      </c>
      <c r="M66" s="62"/>
      <c r="N66" s="62"/>
    </row>
    <row r="67" spans="1:14" x14ac:dyDescent="0.2">
      <c r="A67" s="61" t="s">
        <v>166</v>
      </c>
      <c r="B67" s="63">
        <f t="shared" si="7"/>
        <v>2500</v>
      </c>
      <c r="C67" s="62">
        <f>SUM(2500/12)</f>
        <v>208.33333333333334</v>
      </c>
      <c r="D67" s="62">
        <f t="shared" ref="D67:N67" si="10">SUM(2500/12)</f>
        <v>208.33333333333334</v>
      </c>
      <c r="E67" s="62">
        <f t="shared" si="10"/>
        <v>208.33333333333334</v>
      </c>
      <c r="F67" s="62">
        <f t="shared" si="10"/>
        <v>208.33333333333334</v>
      </c>
      <c r="G67" s="62">
        <f t="shared" si="10"/>
        <v>208.33333333333334</v>
      </c>
      <c r="H67" s="62">
        <f t="shared" si="10"/>
        <v>208.33333333333334</v>
      </c>
      <c r="I67" s="62">
        <f t="shared" si="10"/>
        <v>208.33333333333334</v>
      </c>
      <c r="J67" s="62">
        <f t="shared" si="10"/>
        <v>208.33333333333334</v>
      </c>
      <c r="K67" s="62">
        <f t="shared" si="10"/>
        <v>208.33333333333334</v>
      </c>
      <c r="L67" s="62">
        <f t="shared" si="10"/>
        <v>208.33333333333334</v>
      </c>
      <c r="M67" s="62">
        <f t="shared" si="10"/>
        <v>208.33333333333334</v>
      </c>
      <c r="N67" s="62">
        <f t="shared" si="10"/>
        <v>208.33333333333334</v>
      </c>
    </row>
    <row r="68" spans="1:14" x14ac:dyDescent="0.2">
      <c r="A68" s="61" t="s">
        <v>167</v>
      </c>
      <c r="B68" s="63">
        <f t="shared" si="7"/>
        <v>11569.000000000002</v>
      </c>
      <c r="C68" s="62">
        <f>870+(1219/12)</f>
        <v>971.58333333333337</v>
      </c>
      <c r="D68" s="62">
        <f t="shared" ref="D68:M68" si="11">870+(1219/12)</f>
        <v>971.58333333333337</v>
      </c>
      <c r="E68" s="62">
        <f t="shared" si="11"/>
        <v>971.58333333333337</v>
      </c>
      <c r="F68" s="62">
        <f t="shared" si="11"/>
        <v>971.58333333333337</v>
      </c>
      <c r="G68" s="62">
        <f t="shared" si="11"/>
        <v>971.58333333333337</v>
      </c>
      <c r="H68" s="62">
        <f t="shared" si="11"/>
        <v>971.58333333333337</v>
      </c>
      <c r="I68" s="62">
        <f t="shared" si="11"/>
        <v>971.58333333333337</v>
      </c>
      <c r="J68" s="62">
        <f t="shared" si="11"/>
        <v>971.58333333333337</v>
      </c>
      <c r="K68" s="62">
        <f t="shared" si="11"/>
        <v>971.58333333333337</v>
      </c>
      <c r="L68" s="62">
        <f t="shared" si="11"/>
        <v>971.58333333333337</v>
      </c>
      <c r="M68" s="62">
        <f t="shared" si="11"/>
        <v>971.58333333333337</v>
      </c>
      <c r="N68" s="62">
        <f>870+(1219/12)-90</f>
        <v>881.58333333333337</v>
      </c>
    </row>
    <row r="69" spans="1:14" x14ac:dyDescent="0.2">
      <c r="A69" s="61" t="s">
        <v>168</v>
      </c>
      <c r="B69" s="63">
        <f t="shared" si="7"/>
        <v>0</v>
      </c>
      <c r="C69" s="62"/>
      <c r="D69" s="62"/>
      <c r="E69" s="62"/>
      <c r="F69" s="62"/>
      <c r="G69" s="62"/>
      <c r="H69" s="62"/>
      <c r="I69" s="62"/>
      <c r="J69" s="62"/>
      <c r="K69" s="62"/>
      <c r="L69" s="62"/>
      <c r="M69" s="62"/>
      <c r="N69" s="62"/>
    </row>
    <row r="70" spans="1:14" x14ac:dyDescent="0.2">
      <c r="A70" s="61" t="s">
        <v>169</v>
      </c>
      <c r="B70" s="63">
        <f t="shared" si="7"/>
        <v>0</v>
      </c>
      <c r="C70" s="62"/>
      <c r="D70" s="62"/>
      <c r="E70" s="62"/>
      <c r="F70" s="62"/>
      <c r="G70" s="62"/>
      <c r="H70" s="62"/>
      <c r="I70" s="62"/>
      <c r="J70" s="62"/>
      <c r="K70" s="62"/>
      <c r="L70" s="62"/>
      <c r="M70" s="62"/>
      <c r="N70" s="62"/>
    </row>
    <row r="71" spans="1:14" x14ac:dyDescent="0.2">
      <c r="A71" s="61" t="s">
        <v>170</v>
      </c>
      <c r="B71" s="63">
        <f t="shared" si="7"/>
        <v>250.00000000000003</v>
      </c>
      <c r="C71" s="62">
        <f>SUM(250/12)</f>
        <v>20.833333333333332</v>
      </c>
      <c r="D71" s="62">
        <f t="shared" ref="D71:N71" si="12">SUM(250/12)</f>
        <v>20.833333333333332</v>
      </c>
      <c r="E71" s="62">
        <f t="shared" si="12"/>
        <v>20.833333333333332</v>
      </c>
      <c r="F71" s="62">
        <f t="shared" si="12"/>
        <v>20.833333333333332</v>
      </c>
      <c r="G71" s="62">
        <f t="shared" si="12"/>
        <v>20.833333333333332</v>
      </c>
      <c r="H71" s="62">
        <f t="shared" si="12"/>
        <v>20.833333333333332</v>
      </c>
      <c r="I71" s="62">
        <f t="shared" si="12"/>
        <v>20.833333333333332</v>
      </c>
      <c r="J71" s="62">
        <f t="shared" si="12"/>
        <v>20.833333333333332</v>
      </c>
      <c r="K71" s="62">
        <f t="shared" si="12"/>
        <v>20.833333333333332</v>
      </c>
      <c r="L71" s="62">
        <f t="shared" si="12"/>
        <v>20.833333333333332</v>
      </c>
      <c r="M71" s="62">
        <f t="shared" si="12"/>
        <v>20.833333333333332</v>
      </c>
      <c r="N71" s="62">
        <f t="shared" si="12"/>
        <v>20.833333333333332</v>
      </c>
    </row>
    <row r="72" spans="1:14" x14ac:dyDescent="0.2">
      <c r="A72" s="61" t="s">
        <v>171</v>
      </c>
      <c r="B72" s="63">
        <f t="shared" si="7"/>
        <v>0</v>
      </c>
      <c r="C72" s="62"/>
      <c r="D72" s="62"/>
      <c r="E72" s="62"/>
      <c r="F72" s="62"/>
      <c r="G72" s="62"/>
      <c r="H72" s="62"/>
      <c r="I72" s="62"/>
      <c r="J72" s="62"/>
      <c r="K72" s="62"/>
      <c r="L72" s="62"/>
      <c r="M72" s="62"/>
      <c r="N72" s="62"/>
    </row>
    <row r="73" spans="1:14" x14ac:dyDescent="0.2">
      <c r="A73" s="61" t="s">
        <v>172</v>
      </c>
      <c r="B73" s="63">
        <f t="shared" si="7"/>
        <v>0</v>
      </c>
      <c r="C73" s="62"/>
      <c r="D73" s="62"/>
      <c r="E73" s="62"/>
      <c r="F73" s="62"/>
      <c r="G73" s="62"/>
      <c r="H73" s="62"/>
      <c r="I73" s="62"/>
      <c r="J73" s="62"/>
      <c r="K73" s="62"/>
      <c r="L73" s="62"/>
      <c r="M73" s="62"/>
      <c r="N73" s="62"/>
    </row>
    <row r="74" spans="1:14" s="84" customFormat="1" x14ac:dyDescent="0.2">
      <c r="A74" s="61" t="s">
        <v>173</v>
      </c>
      <c r="B74" s="63">
        <f t="shared" si="7"/>
        <v>60</v>
      </c>
      <c r="C74" s="62">
        <v>5</v>
      </c>
      <c r="D74" s="62">
        <v>5</v>
      </c>
      <c r="E74" s="62">
        <v>5</v>
      </c>
      <c r="F74" s="62">
        <v>5</v>
      </c>
      <c r="G74" s="62">
        <v>5</v>
      </c>
      <c r="H74" s="62">
        <v>5</v>
      </c>
      <c r="I74" s="62">
        <v>5</v>
      </c>
      <c r="J74" s="62">
        <v>5</v>
      </c>
      <c r="K74" s="62">
        <v>5</v>
      </c>
      <c r="L74" s="62">
        <v>5</v>
      </c>
      <c r="M74" s="62">
        <v>5</v>
      </c>
      <c r="N74" s="62">
        <v>5</v>
      </c>
    </row>
    <row r="75" spans="1:14" x14ac:dyDescent="0.2">
      <c r="A75" s="61" t="s">
        <v>174</v>
      </c>
      <c r="B75" s="63">
        <f>SUM(C75:N75)</f>
        <v>50400</v>
      </c>
      <c r="C75" s="62">
        <v>4200</v>
      </c>
      <c r="D75" s="62">
        <v>4200</v>
      </c>
      <c r="E75" s="62">
        <v>4200</v>
      </c>
      <c r="F75" s="62">
        <v>4200</v>
      </c>
      <c r="G75" s="62">
        <v>4200</v>
      </c>
      <c r="H75" s="62">
        <v>4200</v>
      </c>
      <c r="I75" s="62">
        <v>4200</v>
      </c>
      <c r="J75" s="62">
        <v>4200</v>
      </c>
      <c r="K75" s="62">
        <v>4200</v>
      </c>
      <c r="L75" s="62">
        <v>4200</v>
      </c>
      <c r="M75" s="62">
        <v>4200</v>
      </c>
      <c r="N75" s="62">
        <v>4200</v>
      </c>
    </row>
    <row r="76" spans="1:14" x14ac:dyDescent="0.2">
      <c r="A76" s="90" t="s">
        <v>175</v>
      </c>
      <c r="B76" s="63">
        <f>SUM(C76:N76)</f>
        <v>2400</v>
      </c>
      <c r="C76" s="62">
        <v>200</v>
      </c>
      <c r="D76" s="62">
        <v>200</v>
      </c>
      <c r="E76" s="62">
        <v>200</v>
      </c>
      <c r="F76" s="62">
        <v>200</v>
      </c>
      <c r="G76" s="62">
        <v>200</v>
      </c>
      <c r="H76" s="62">
        <v>200</v>
      </c>
      <c r="I76" s="62">
        <v>200</v>
      </c>
      <c r="J76" s="62">
        <v>200</v>
      </c>
      <c r="K76" s="62">
        <v>200</v>
      </c>
      <c r="L76" s="62">
        <v>200</v>
      </c>
      <c r="M76" s="62">
        <v>200</v>
      </c>
      <c r="N76" s="62">
        <v>200</v>
      </c>
    </row>
    <row r="77" spans="1:14" x14ac:dyDescent="0.2">
      <c r="A77" s="61" t="s">
        <v>176</v>
      </c>
      <c r="B77" s="63">
        <f t="shared" si="7"/>
        <v>600</v>
      </c>
      <c r="C77" s="62">
        <v>50</v>
      </c>
      <c r="D77" s="62">
        <v>50</v>
      </c>
      <c r="E77" s="62">
        <v>50</v>
      </c>
      <c r="F77" s="62">
        <v>50</v>
      </c>
      <c r="G77" s="62">
        <v>50</v>
      </c>
      <c r="H77" s="62">
        <v>50</v>
      </c>
      <c r="I77" s="62">
        <v>50</v>
      </c>
      <c r="J77" s="62">
        <v>50</v>
      </c>
      <c r="K77" s="62">
        <v>50</v>
      </c>
      <c r="L77" s="62">
        <v>50</v>
      </c>
      <c r="M77" s="62">
        <v>50</v>
      </c>
      <c r="N77" s="62">
        <v>50</v>
      </c>
    </row>
    <row r="78" spans="1:14" ht="15.75" customHeight="1" x14ac:dyDescent="0.2">
      <c r="A78" s="61" t="s">
        <v>177</v>
      </c>
      <c r="B78" s="63">
        <f t="shared" si="7"/>
        <v>0</v>
      </c>
      <c r="C78" s="62"/>
      <c r="D78" s="62"/>
      <c r="E78" s="62"/>
      <c r="F78" s="62"/>
      <c r="G78" s="62"/>
      <c r="H78" s="62"/>
      <c r="I78" s="62"/>
      <c r="J78" s="62"/>
      <c r="K78" s="62"/>
      <c r="L78" s="62"/>
      <c r="M78" s="62"/>
      <c r="N78" s="62"/>
    </row>
    <row r="79" spans="1:14" x14ac:dyDescent="0.2">
      <c r="A79" s="90" t="s">
        <v>178</v>
      </c>
      <c r="B79" s="63">
        <f t="shared" si="7"/>
        <v>42264</v>
      </c>
      <c r="C79" s="62">
        <v>3522</v>
      </c>
      <c r="D79" s="62">
        <v>3522</v>
      </c>
      <c r="E79" s="62">
        <v>3522</v>
      </c>
      <c r="F79" s="62">
        <v>3522</v>
      </c>
      <c r="G79" s="62">
        <v>3522</v>
      </c>
      <c r="H79" s="62">
        <v>3522</v>
      </c>
      <c r="I79" s="62">
        <v>3522</v>
      </c>
      <c r="J79" s="62">
        <v>3522</v>
      </c>
      <c r="K79" s="62">
        <v>3522</v>
      </c>
      <c r="L79" s="62">
        <v>3522</v>
      </c>
      <c r="M79" s="62">
        <v>3522</v>
      </c>
      <c r="N79" s="62">
        <v>3522</v>
      </c>
    </row>
    <row r="80" spans="1:14" s="12" customFormat="1" x14ac:dyDescent="0.2">
      <c r="A80" s="90" t="s">
        <v>179</v>
      </c>
      <c r="B80" s="63">
        <f>SUM(C80:N80)</f>
        <v>0</v>
      </c>
      <c r="C80" s="62"/>
      <c r="D80" s="62"/>
      <c r="E80" s="62"/>
      <c r="F80" s="62"/>
      <c r="G80" s="62"/>
      <c r="H80" s="62"/>
      <c r="I80" s="62"/>
      <c r="J80" s="62"/>
      <c r="K80" s="62"/>
      <c r="L80" s="62"/>
      <c r="M80" s="62"/>
      <c r="N80" s="62"/>
    </row>
    <row r="81" spans="1:15" x14ac:dyDescent="0.2">
      <c r="A81" s="61" t="s">
        <v>272</v>
      </c>
      <c r="B81" s="63">
        <f t="shared" si="7"/>
        <v>0</v>
      </c>
      <c r="C81" s="62"/>
      <c r="D81" s="62"/>
      <c r="E81" s="62"/>
      <c r="F81" s="62"/>
      <c r="G81" s="62"/>
      <c r="H81" s="62"/>
      <c r="I81" s="62"/>
      <c r="J81" s="62"/>
      <c r="K81" s="62"/>
      <c r="L81" s="62"/>
      <c r="M81" s="62"/>
      <c r="N81" s="62"/>
    </row>
    <row r="82" spans="1:15" ht="13.5" thickBot="1" x14ac:dyDescent="0.25">
      <c r="A82" s="61" t="s">
        <v>180</v>
      </c>
      <c r="B82" s="63">
        <f>SUM(C82:N82)</f>
        <v>0</v>
      </c>
      <c r="C82" s="62"/>
      <c r="D82" s="62"/>
      <c r="E82" s="62"/>
      <c r="F82" s="62"/>
      <c r="G82" s="62"/>
      <c r="H82" s="62"/>
      <c r="I82" s="62"/>
      <c r="J82" s="62"/>
      <c r="K82" s="62"/>
      <c r="L82" s="62"/>
      <c r="M82" s="62"/>
      <c r="N82" s="62"/>
    </row>
    <row r="83" spans="1:15" x14ac:dyDescent="0.2">
      <c r="A83" s="64" t="s">
        <v>24</v>
      </c>
      <c r="B83" s="65">
        <f>SUM(B57:B81)</f>
        <v>181570</v>
      </c>
      <c r="C83" s="65">
        <f t="shared" ref="C83:N83" si="13">SUM(C57:C81)</f>
        <v>19410.083333333336</v>
      </c>
      <c r="D83" s="65">
        <f t="shared" si="13"/>
        <v>14510.083333333332</v>
      </c>
      <c r="E83" s="65">
        <f t="shared" si="13"/>
        <v>32520.083333333328</v>
      </c>
      <c r="F83" s="65">
        <f t="shared" si="13"/>
        <v>14550.083333333332</v>
      </c>
      <c r="G83" s="65">
        <f t="shared" si="13"/>
        <v>12709.083333333332</v>
      </c>
      <c r="H83" s="65">
        <f t="shared" si="13"/>
        <v>12510.083333333332</v>
      </c>
      <c r="I83" s="65">
        <f t="shared" si="13"/>
        <v>12510.083333333332</v>
      </c>
      <c r="J83" s="65">
        <f t="shared" si="13"/>
        <v>12510.083333333332</v>
      </c>
      <c r="K83" s="65">
        <f t="shared" si="13"/>
        <v>12810.083333333332</v>
      </c>
      <c r="L83" s="65">
        <f t="shared" si="13"/>
        <v>12600.083333333332</v>
      </c>
      <c r="M83" s="65">
        <f t="shared" si="13"/>
        <v>12510.083333333332</v>
      </c>
      <c r="N83" s="65">
        <f t="shared" si="13"/>
        <v>12420.083333333332</v>
      </c>
    </row>
    <row r="84" spans="1:15" x14ac:dyDescent="0.2">
      <c r="A84" s="59"/>
      <c r="B84" s="60"/>
      <c r="C84" s="60"/>
      <c r="D84" s="66"/>
      <c r="E84" s="66"/>
      <c r="F84" s="66"/>
      <c r="G84" s="66"/>
      <c r="H84" s="66"/>
      <c r="I84" s="66"/>
      <c r="J84" s="66"/>
      <c r="K84" s="66"/>
      <c r="L84" s="66"/>
      <c r="M84" s="66"/>
      <c r="N84" s="66"/>
    </row>
    <row r="85" spans="1:15" s="38" customFormat="1" x14ac:dyDescent="0.2">
      <c r="A85" s="28"/>
      <c r="B85" s="86"/>
      <c r="C85" s="431"/>
      <c r="D85" s="86"/>
      <c r="E85" s="86"/>
      <c r="F85" s="86"/>
      <c r="G85" s="86"/>
      <c r="H85" s="86"/>
      <c r="I85" s="86"/>
      <c r="J85" s="86"/>
      <c r="K85" s="86"/>
      <c r="L85" s="86"/>
      <c r="M85" s="86"/>
      <c r="N85" s="86"/>
    </row>
    <row r="86" spans="1:15" x14ac:dyDescent="0.2">
      <c r="A86" s="58" t="s">
        <v>25</v>
      </c>
      <c r="B86" s="60"/>
      <c r="C86" s="60"/>
      <c r="D86" s="66"/>
      <c r="E86" s="66"/>
      <c r="F86" s="66"/>
      <c r="G86" s="66"/>
      <c r="H86" s="66"/>
      <c r="I86" s="66"/>
      <c r="J86" s="66"/>
      <c r="K86" s="66"/>
      <c r="L86" s="66"/>
      <c r="M86" s="66"/>
      <c r="N86" s="66"/>
    </row>
    <row r="87" spans="1:15" x14ac:dyDescent="0.2">
      <c r="A87" s="61" t="s">
        <v>181</v>
      </c>
      <c r="B87" s="63">
        <f>SUM(C87:N87)</f>
        <v>328526.86170000001</v>
      </c>
      <c r="C87" s="62">
        <f>SUM(-C46+C53+C83)-C79</f>
        <v>44943.321808333334</v>
      </c>
      <c r="D87" s="62">
        <f t="shared" ref="D87:N87" si="14">SUM(-D46+D53+D83)-D79</f>
        <v>39834.321808333334</v>
      </c>
      <c r="E87" s="62">
        <f t="shared" si="14"/>
        <v>57844.321808333327</v>
      </c>
      <c r="F87" s="62">
        <f t="shared" si="14"/>
        <v>39874.321808333334</v>
      </c>
      <c r="G87" s="62">
        <f t="shared" si="14"/>
        <v>38033.321808333334</v>
      </c>
      <c r="H87" s="62">
        <f t="shared" si="14"/>
        <v>37834.321808333334</v>
      </c>
      <c r="I87" s="62">
        <f t="shared" si="14"/>
        <v>12834.32180833333</v>
      </c>
      <c r="J87" s="62">
        <f t="shared" si="14"/>
        <v>37834.321808333334</v>
      </c>
      <c r="K87" s="62">
        <f t="shared" si="14"/>
        <v>36634.321808333334</v>
      </c>
      <c r="L87" s="62">
        <f t="shared" si="14"/>
        <v>37924.321808333334</v>
      </c>
      <c r="M87" s="62">
        <f t="shared" si="14"/>
        <v>37834.321808333334</v>
      </c>
      <c r="N87" s="62">
        <f t="shared" si="14"/>
        <v>-92898.678191666681</v>
      </c>
    </row>
    <row r="88" spans="1:15" x14ac:dyDescent="0.2">
      <c r="A88" s="61" t="s">
        <v>579</v>
      </c>
      <c r="B88" s="63">
        <f>SUM(C88:N88)</f>
        <v>42264</v>
      </c>
      <c r="C88" s="62">
        <f>SUM('1020 N State Allocations'!B43)</f>
        <v>3522</v>
      </c>
      <c r="D88" s="62">
        <f>SUM('1020 N State Allocations'!C43)</f>
        <v>3522</v>
      </c>
      <c r="E88" s="62">
        <f>SUM('1020 N State Allocations'!D43)</f>
        <v>3522</v>
      </c>
      <c r="F88" s="62">
        <f>SUM('1020 N State Allocations'!E43)</f>
        <v>3522</v>
      </c>
      <c r="G88" s="62">
        <f>SUM('1020 N State Allocations'!F43)</f>
        <v>3522</v>
      </c>
      <c r="H88" s="62">
        <f>SUM('1020 N State Allocations'!G43)</f>
        <v>3522</v>
      </c>
      <c r="I88" s="62">
        <f>SUM('1020 N State Allocations'!H43)</f>
        <v>3522</v>
      </c>
      <c r="J88" s="62">
        <f>SUM('1020 N State Allocations'!I43)</f>
        <v>3522</v>
      </c>
      <c r="K88" s="62">
        <f>SUM('1020 N State Allocations'!J43)</f>
        <v>3522</v>
      </c>
      <c r="L88" s="62">
        <f>SUM('1020 N State Allocations'!K43)</f>
        <v>3522</v>
      </c>
      <c r="M88" s="62">
        <f>SUM('1020 N State Allocations'!L43)</f>
        <v>3522</v>
      </c>
      <c r="N88" s="62">
        <f>SUM('1020 N State Allocations'!M43)</f>
        <v>3522</v>
      </c>
    </row>
    <row r="89" spans="1:15" ht="13.5" thickBot="1" x14ac:dyDescent="0.25">
      <c r="A89" s="61"/>
      <c r="B89" s="63">
        <f>SUM(C89:N89)</f>
        <v>0</v>
      </c>
      <c r="C89" s="63"/>
      <c r="D89" s="62"/>
      <c r="E89" s="62"/>
      <c r="F89" s="62"/>
      <c r="G89" s="62"/>
      <c r="H89" s="62"/>
      <c r="I89" s="62"/>
      <c r="J89" s="62"/>
      <c r="K89" s="62"/>
      <c r="L89" s="62"/>
      <c r="M89" s="62"/>
      <c r="N89" s="62"/>
    </row>
    <row r="90" spans="1:15" x14ac:dyDescent="0.2">
      <c r="A90" s="64" t="s">
        <v>26</v>
      </c>
      <c r="B90" s="65">
        <f t="shared" ref="B90:N90" si="15">SUM(B87:B89)</f>
        <v>370790.86170000001</v>
      </c>
      <c r="C90" s="65">
        <f t="shared" si="15"/>
        <v>48465.321808333334</v>
      </c>
      <c r="D90" s="65">
        <f t="shared" si="15"/>
        <v>43356.321808333334</v>
      </c>
      <c r="E90" s="65">
        <f t="shared" si="15"/>
        <v>61366.321808333327</v>
      </c>
      <c r="F90" s="65">
        <f t="shared" si="15"/>
        <v>43396.321808333334</v>
      </c>
      <c r="G90" s="65">
        <f t="shared" si="15"/>
        <v>41555.321808333334</v>
      </c>
      <c r="H90" s="65">
        <f t="shared" si="15"/>
        <v>41356.321808333334</v>
      </c>
      <c r="I90" s="65">
        <f t="shared" si="15"/>
        <v>16356.32180833333</v>
      </c>
      <c r="J90" s="65">
        <f t="shared" si="15"/>
        <v>41356.321808333334</v>
      </c>
      <c r="K90" s="65">
        <f t="shared" si="15"/>
        <v>40156.321808333334</v>
      </c>
      <c r="L90" s="65">
        <f t="shared" si="15"/>
        <v>41446.321808333334</v>
      </c>
      <c r="M90" s="65">
        <f t="shared" si="15"/>
        <v>41356.321808333334</v>
      </c>
      <c r="N90" s="65">
        <f t="shared" si="15"/>
        <v>-89376.678191666681</v>
      </c>
      <c r="O90" s="140"/>
    </row>
    <row r="91" spans="1:15" x14ac:dyDescent="0.2">
      <c r="A91" s="59"/>
      <c r="B91" s="60"/>
      <c r="C91" s="60"/>
      <c r="D91" s="60"/>
      <c r="E91" s="60"/>
      <c r="F91" s="60"/>
      <c r="G91" s="60"/>
      <c r="H91" s="60"/>
      <c r="I91" s="60"/>
      <c r="J91" s="60"/>
      <c r="K91" s="60"/>
      <c r="L91" s="60"/>
      <c r="M91" s="60"/>
      <c r="N91" s="60"/>
    </row>
    <row r="92" spans="1:15" s="84" customFormat="1" x14ac:dyDescent="0.2">
      <c r="A92" s="262" t="s">
        <v>405</v>
      </c>
      <c r="B92" s="263"/>
      <c r="C92" s="263">
        <f>SUM(C46-C53-C83-C90)</f>
        <v>-96930.643616666668</v>
      </c>
      <c r="D92" s="263">
        <f t="shared" ref="D92:N92" si="16">SUM(D46-D53-D83-D90)</f>
        <v>-86712.643616666668</v>
      </c>
      <c r="E92" s="263">
        <f t="shared" si="16"/>
        <v>-122732.64361666665</v>
      </c>
      <c r="F92" s="263">
        <f t="shared" si="16"/>
        <v>-86792.643616666668</v>
      </c>
      <c r="G92" s="263">
        <f t="shared" si="16"/>
        <v>-83110.643616666668</v>
      </c>
      <c r="H92" s="263">
        <f t="shared" si="16"/>
        <v>-82712.643616666668</v>
      </c>
      <c r="I92" s="263">
        <f t="shared" si="16"/>
        <v>-32712.643616666661</v>
      </c>
      <c r="J92" s="263">
        <f t="shared" si="16"/>
        <v>-82712.643616666668</v>
      </c>
      <c r="K92" s="263">
        <f t="shared" si="16"/>
        <v>-80312.643616666668</v>
      </c>
      <c r="L92" s="263">
        <f t="shared" si="16"/>
        <v>-82892.643616666668</v>
      </c>
      <c r="M92" s="263">
        <f t="shared" si="16"/>
        <v>-82712.643616666668</v>
      </c>
      <c r="N92" s="264">
        <f t="shared" si="16"/>
        <v>178753.35638333336</v>
      </c>
    </row>
    <row r="93" spans="1:15" s="84" customFormat="1" x14ac:dyDescent="0.2">
      <c r="A93" s="59"/>
      <c r="B93" s="60"/>
      <c r="C93" s="60"/>
      <c r="D93" s="60"/>
      <c r="E93" s="60"/>
      <c r="F93" s="60"/>
      <c r="G93" s="60"/>
      <c r="H93" s="60"/>
      <c r="I93" s="60"/>
      <c r="J93" s="60"/>
      <c r="K93" s="60"/>
      <c r="L93" s="60"/>
      <c r="M93" s="60"/>
      <c r="N93" s="60"/>
    </row>
    <row r="94" spans="1:15" x14ac:dyDescent="0.2">
      <c r="A94" s="59"/>
      <c r="B94" s="86" t="str">
        <f>B5</f>
        <v>Total</v>
      </c>
      <c r="C94" s="86"/>
      <c r="D94" s="66"/>
      <c r="E94" s="66"/>
      <c r="F94" s="66"/>
      <c r="G94" s="66"/>
      <c r="H94" s="66"/>
      <c r="I94" s="66"/>
      <c r="J94" s="66"/>
      <c r="K94" s="66"/>
      <c r="L94" s="66"/>
      <c r="M94" s="66"/>
      <c r="N94" s="66"/>
    </row>
    <row r="95" spans="1:15" x14ac:dyDescent="0.2">
      <c r="A95" s="58" t="s">
        <v>31</v>
      </c>
      <c r="B95" s="60">
        <f>SUM(B46)</f>
        <v>161431</v>
      </c>
      <c r="C95" s="81"/>
      <c r="D95" s="66"/>
      <c r="E95" s="66"/>
      <c r="F95" s="66"/>
      <c r="G95" s="66"/>
      <c r="H95" s="66"/>
      <c r="I95" s="66"/>
      <c r="J95" s="66"/>
      <c r="K95" s="66"/>
      <c r="L95" s="66"/>
      <c r="M95" s="66"/>
      <c r="N95" s="66"/>
    </row>
    <row r="96" spans="1:15" x14ac:dyDescent="0.2">
      <c r="A96" s="58" t="s">
        <v>32</v>
      </c>
      <c r="B96" s="60">
        <f>-B53</f>
        <v>-350651.86170000007</v>
      </c>
      <c r="C96" s="81"/>
      <c r="D96" s="66"/>
      <c r="E96" s="66"/>
      <c r="F96" s="66"/>
      <c r="G96" s="66"/>
      <c r="H96" s="66"/>
      <c r="I96" s="66"/>
      <c r="J96" s="66"/>
      <c r="K96" s="66"/>
      <c r="L96" s="66"/>
      <c r="M96" s="66"/>
      <c r="N96" s="66"/>
    </row>
    <row r="97" spans="1:14" x14ac:dyDescent="0.2">
      <c r="A97" s="58" t="s">
        <v>33</v>
      </c>
      <c r="B97" s="60">
        <f>SUM(-B83)</f>
        <v>-181570</v>
      </c>
      <c r="C97" s="81"/>
      <c r="D97" s="66"/>
      <c r="E97" s="66"/>
      <c r="F97" s="66"/>
      <c r="G97" s="66"/>
      <c r="H97" s="66"/>
      <c r="I97" s="66"/>
      <c r="J97" s="66"/>
      <c r="K97" s="66"/>
      <c r="L97" s="66"/>
      <c r="M97" s="66"/>
      <c r="N97" s="66"/>
    </row>
    <row r="98" spans="1:14" x14ac:dyDescent="0.2">
      <c r="A98" s="58" t="s">
        <v>182</v>
      </c>
      <c r="B98" s="60">
        <f>SUM(B90)</f>
        <v>370790.86170000001</v>
      </c>
      <c r="C98" s="81"/>
      <c r="D98" s="66"/>
      <c r="E98" s="66"/>
      <c r="F98" s="66"/>
      <c r="G98" s="66"/>
      <c r="H98" s="66"/>
      <c r="I98" s="66"/>
      <c r="J98" s="66"/>
      <c r="K98" s="66"/>
      <c r="L98" s="66"/>
      <c r="M98" s="66"/>
      <c r="N98" s="66"/>
    </row>
    <row r="99" spans="1:14" x14ac:dyDescent="0.2">
      <c r="A99" s="87" t="s">
        <v>35</v>
      </c>
      <c r="B99" s="88">
        <f>SUM(B95:B98)</f>
        <v>0</v>
      </c>
      <c r="C99" s="81"/>
      <c r="D99" s="66"/>
      <c r="E99" s="73"/>
      <c r="F99" s="66"/>
      <c r="G99" s="81"/>
      <c r="H99" s="81"/>
      <c r="I99" s="66"/>
      <c r="J99" s="66"/>
      <c r="K99" s="66"/>
      <c r="L99" s="66"/>
      <c r="M99" s="66"/>
      <c r="N99" s="66"/>
    </row>
    <row r="100" spans="1:14" x14ac:dyDescent="0.2">
      <c r="A100" s="59"/>
      <c r="B100" s="60"/>
      <c r="C100" s="81"/>
      <c r="D100" s="66"/>
      <c r="E100" s="66"/>
      <c r="F100" s="66"/>
      <c r="G100" s="66"/>
      <c r="H100" s="66"/>
      <c r="I100" s="66"/>
      <c r="J100" s="66"/>
      <c r="K100" s="66"/>
      <c r="L100" s="66"/>
      <c r="M100" s="66"/>
      <c r="N100" s="66"/>
    </row>
    <row r="101" spans="1:14" x14ac:dyDescent="0.2">
      <c r="A101" s="59"/>
      <c r="B101" s="60"/>
      <c r="C101" s="60"/>
      <c r="D101" s="66"/>
      <c r="E101" s="66"/>
      <c r="F101" s="66"/>
      <c r="G101" s="66"/>
      <c r="H101" s="66"/>
      <c r="I101" s="66"/>
      <c r="J101" s="66"/>
      <c r="K101" s="66"/>
      <c r="L101" s="66"/>
      <c r="M101" s="66"/>
      <c r="N101" s="66"/>
    </row>
    <row r="102" spans="1:14" x14ac:dyDescent="0.2">
      <c r="A102" s="58"/>
      <c r="B102" s="60" t="s">
        <v>183</v>
      </c>
      <c r="C102" s="75">
        <f t="shared" ref="C102:N102" si="17">SUM(C108+C121+C134+C147+C160+C173+C199+C212)</f>
        <v>5.5</v>
      </c>
      <c r="D102" s="75">
        <f t="shared" si="17"/>
        <v>5.5</v>
      </c>
      <c r="E102" s="75">
        <f t="shared" si="17"/>
        <v>5.5</v>
      </c>
      <c r="F102" s="75">
        <f t="shared" si="17"/>
        <v>5.5</v>
      </c>
      <c r="G102" s="75">
        <f t="shared" si="17"/>
        <v>5.5</v>
      </c>
      <c r="H102" s="75">
        <f t="shared" si="17"/>
        <v>5.5</v>
      </c>
      <c r="I102" s="75">
        <f t="shared" si="17"/>
        <v>5.5</v>
      </c>
      <c r="J102" s="75">
        <f t="shared" si="17"/>
        <v>5.5</v>
      </c>
      <c r="K102" s="75">
        <f t="shared" si="17"/>
        <v>5.5</v>
      </c>
      <c r="L102" s="75">
        <f t="shared" si="17"/>
        <v>5.5</v>
      </c>
      <c r="M102" s="75">
        <f t="shared" si="17"/>
        <v>5.5</v>
      </c>
      <c r="N102" s="75">
        <f t="shared" si="17"/>
        <v>5.5</v>
      </c>
    </row>
    <row r="103" spans="1:14" x14ac:dyDescent="0.2">
      <c r="A103" s="58"/>
      <c r="B103" s="60"/>
      <c r="C103" s="74"/>
      <c r="D103" s="66"/>
      <c r="E103" s="66"/>
      <c r="F103" s="66"/>
      <c r="G103" s="66"/>
      <c r="H103" s="66"/>
      <c r="I103" s="66"/>
      <c r="J103" s="66"/>
      <c r="K103" s="66"/>
      <c r="L103" s="66"/>
      <c r="M103" s="66"/>
      <c r="N103" s="84"/>
    </row>
    <row r="104" spans="1:14" s="38" customFormat="1" x14ac:dyDescent="0.2">
      <c r="A104" s="116" t="s">
        <v>184</v>
      </c>
      <c r="B104" s="92"/>
      <c r="C104" s="243"/>
      <c r="D104" s="91"/>
      <c r="E104" s="91"/>
      <c r="F104" s="91"/>
      <c r="G104" s="91"/>
      <c r="H104" s="91"/>
      <c r="I104" s="91"/>
      <c r="J104" s="91"/>
      <c r="K104" s="91"/>
      <c r="L104" s="91"/>
      <c r="M104" s="91"/>
      <c r="N104" s="27"/>
    </row>
    <row r="105" spans="1:14" x14ac:dyDescent="0.2">
      <c r="A105" s="59"/>
      <c r="B105" s="60"/>
      <c r="C105" s="89" t="str">
        <f t="shared" ref="C105:N105" si="18">C5</f>
        <v>January</v>
      </c>
      <c r="D105" s="89" t="str">
        <f t="shared" si="18"/>
        <v>February</v>
      </c>
      <c r="E105" s="89" t="str">
        <f t="shared" si="18"/>
        <v>March</v>
      </c>
      <c r="F105" s="89" t="str">
        <f t="shared" si="18"/>
        <v>April</v>
      </c>
      <c r="G105" s="89" t="str">
        <f t="shared" si="18"/>
        <v>May</v>
      </c>
      <c r="H105" s="89" t="str">
        <f t="shared" si="18"/>
        <v>June</v>
      </c>
      <c r="I105" s="89" t="str">
        <f t="shared" si="18"/>
        <v>July</v>
      </c>
      <c r="J105" s="89" t="str">
        <f t="shared" si="18"/>
        <v>August</v>
      </c>
      <c r="K105" s="89" t="str">
        <f t="shared" si="18"/>
        <v>September</v>
      </c>
      <c r="L105" s="89" t="str">
        <f t="shared" si="18"/>
        <v>October</v>
      </c>
      <c r="M105" s="89" t="str">
        <f t="shared" si="18"/>
        <v>November</v>
      </c>
      <c r="N105" s="89" t="str">
        <f t="shared" si="18"/>
        <v>December</v>
      </c>
    </row>
    <row r="106" spans="1:14" x14ac:dyDescent="0.2">
      <c r="A106" s="59"/>
      <c r="B106" s="60"/>
      <c r="C106" s="72">
        <v>31</v>
      </c>
      <c r="D106" s="72">
        <v>31</v>
      </c>
      <c r="E106" s="72">
        <v>30</v>
      </c>
      <c r="F106" s="72">
        <v>31</v>
      </c>
      <c r="G106" s="72">
        <v>30</v>
      </c>
      <c r="H106" s="72">
        <v>31</v>
      </c>
      <c r="I106" s="72">
        <v>31</v>
      </c>
      <c r="J106" s="72">
        <v>28</v>
      </c>
      <c r="K106" s="72">
        <v>31</v>
      </c>
      <c r="L106" s="72">
        <v>30</v>
      </c>
      <c r="M106" s="72">
        <v>31</v>
      </c>
      <c r="N106" s="71">
        <v>30</v>
      </c>
    </row>
    <row r="107" spans="1:14" x14ac:dyDescent="0.2">
      <c r="A107" s="59"/>
      <c r="B107" s="89" t="s">
        <v>185</v>
      </c>
      <c r="C107" s="78">
        <v>1</v>
      </c>
      <c r="D107" s="78">
        <v>0</v>
      </c>
      <c r="E107" s="78">
        <v>1</v>
      </c>
      <c r="F107" s="78">
        <f>F94</f>
        <v>0</v>
      </c>
      <c r="G107" s="78">
        <v>2</v>
      </c>
      <c r="H107" s="78">
        <f>H94</f>
        <v>0</v>
      </c>
      <c r="I107" s="78">
        <v>2</v>
      </c>
      <c r="J107" s="78">
        <v>1</v>
      </c>
      <c r="K107" s="78">
        <v>0</v>
      </c>
      <c r="L107" s="78">
        <v>0</v>
      </c>
      <c r="M107" s="78">
        <v>1</v>
      </c>
      <c r="N107" s="78">
        <f>N94</f>
        <v>0</v>
      </c>
    </row>
    <row r="108" spans="1:14" x14ac:dyDescent="0.2">
      <c r="A108" s="59"/>
      <c r="B108" s="89" t="s">
        <v>44</v>
      </c>
      <c r="C108" s="49">
        <v>1</v>
      </c>
      <c r="D108" s="49">
        <v>1</v>
      </c>
      <c r="E108" s="49">
        <v>1</v>
      </c>
      <c r="F108" s="49">
        <v>1</v>
      </c>
      <c r="G108" s="49">
        <v>1</v>
      </c>
      <c r="H108" s="49">
        <v>1</v>
      </c>
      <c r="I108" s="49">
        <v>1</v>
      </c>
      <c r="J108" s="49">
        <v>1</v>
      </c>
      <c r="K108" s="49">
        <v>1</v>
      </c>
      <c r="L108" s="49">
        <v>1</v>
      </c>
      <c r="M108" s="49">
        <v>1</v>
      </c>
      <c r="N108" s="49">
        <v>1</v>
      </c>
    </row>
    <row r="109" spans="1:14" x14ac:dyDescent="0.2">
      <c r="A109" s="59"/>
      <c r="B109" s="89" t="s">
        <v>186</v>
      </c>
      <c r="C109" s="53">
        <f>SUM(174*C108)</f>
        <v>174</v>
      </c>
      <c r="D109" s="53">
        <f t="shared" ref="D109:N109" si="19">SUM(174*D108)</f>
        <v>174</v>
      </c>
      <c r="E109" s="53">
        <f t="shared" si="19"/>
        <v>174</v>
      </c>
      <c r="F109" s="53">
        <f>SUM(174*F108)</f>
        <v>174</v>
      </c>
      <c r="G109" s="53">
        <f>SUM(174*G108)</f>
        <v>174</v>
      </c>
      <c r="H109" s="53">
        <f>SUM(174*H108)</f>
        <v>174</v>
      </c>
      <c r="I109" s="53">
        <f t="shared" si="19"/>
        <v>174</v>
      </c>
      <c r="J109" s="53">
        <f t="shared" si="19"/>
        <v>174</v>
      </c>
      <c r="K109" s="53">
        <f t="shared" si="19"/>
        <v>174</v>
      </c>
      <c r="L109" s="53">
        <f t="shared" si="19"/>
        <v>174</v>
      </c>
      <c r="M109" s="53">
        <f t="shared" si="19"/>
        <v>174</v>
      </c>
      <c r="N109" s="53">
        <f t="shared" si="19"/>
        <v>174</v>
      </c>
    </row>
    <row r="110" spans="1:14" x14ac:dyDescent="0.2">
      <c r="A110" s="59" t="s">
        <v>278</v>
      </c>
      <c r="B110" s="78" t="s">
        <v>269</v>
      </c>
      <c r="C110" s="66">
        <f>SUM(C109*$B$111)</f>
        <v>6970.4400000000005</v>
      </c>
      <c r="D110" s="66">
        <f t="shared" ref="D110:N110" si="20">SUM(D109*$B$111)</f>
        <v>6970.4400000000005</v>
      </c>
      <c r="E110" s="66">
        <f t="shared" si="20"/>
        <v>6970.4400000000005</v>
      </c>
      <c r="F110" s="210">
        <f>SUM(F109*$B$111)</f>
        <v>6970.4400000000005</v>
      </c>
      <c r="G110" s="66">
        <f t="shared" si="20"/>
        <v>6970.4400000000005</v>
      </c>
      <c r="H110" s="66">
        <f t="shared" si="20"/>
        <v>6970.4400000000005</v>
      </c>
      <c r="I110" s="66">
        <f t="shared" si="20"/>
        <v>6970.4400000000005</v>
      </c>
      <c r="J110" s="66">
        <f t="shared" si="20"/>
        <v>6970.4400000000005</v>
      </c>
      <c r="K110" s="66">
        <f t="shared" si="20"/>
        <v>6970.4400000000005</v>
      </c>
      <c r="L110" s="66">
        <f t="shared" si="20"/>
        <v>6970.4400000000005</v>
      </c>
      <c r="M110" s="66">
        <f t="shared" si="20"/>
        <v>6970.4400000000005</v>
      </c>
      <c r="N110" s="66">
        <f t="shared" si="20"/>
        <v>6970.4400000000005</v>
      </c>
    </row>
    <row r="111" spans="1:14" x14ac:dyDescent="0.2">
      <c r="A111" s="59" t="s">
        <v>188</v>
      </c>
      <c r="B111" s="74">
        <v>40.06</v>
      </c>
      <c r="C111" s="66">
        <f>SUM(C110)*'Data Links'!$B$15</f>
        <v>533.23865999999998</v>
      </c>
      <c r="D111" s="66">
        <f>SUM(D110)*'Data Links'!$B$15</f>
        <v>533.23865999999998</v>
      </c>
      <c r="E111" s="66">
        <f>SUM(E110)*'Data Links'!$B$15</f>
        <v>533.23865999999998</v>
      </c>
      <c r="F111" s="66">
        <f>SUM(F110)*'Data Links'!$B$15</f>
        <v>533.23865999999998</v>
      </c>
      <c r="G111" s="66">
        <f>SUM(G110)*'Data Links'!$B$15</f>
        <v>533.23865999999998</v>
      </c>
      <c r="H111" s="66">
        <f>SUM(H110)*'Data Links'!$B$15</f>
        <v>533.23865999999998</v>
      </c>
      <c r="I111" s="66">
        <f>SUM(I110)*'Data Links'!$B$15</f>
        <v>533.23865999999998</v>
      </c>
      <c r="J111" s="66">
        <f>SUM(J110)*'Data Links'!$B$15</f>
        <v>533.23865999999998</v>
      </c>
      <c r="K111" s="66">
        <f>SUM(K110)*'Data Links'!$B$15</f>
        <v>533.23865999999998</v>
      </c>
      <c r="L111" s="66">
        <f>SUM(L110)*'Data Links'!$B$15</f>
        <v>533.23865999999998</v>
      </c>
      <c r="M111" s="66">
        <f>SUM(M110)*'Data Links'!$B$15</f>
        <v>533.23865999999998</v>
      </c>
      <c r="N111" s="66">
        <f>SUM(N110)*'Data Links'!$B$15</f>
        <v>533.23865999999998</v>
      </c>
    </row>
    <row r="112" spans="1:14" x14ac:dyDescent="0.2">
      <c r="A112" s="59" t="s">
        <v>189</v>
      </c>
      <c r="B112" s="60"/>
      <c r="C112" s="66">
        <f>SUM(C110*'Data Links'!$B$13)</f>
        <v>41.822640000000007</v>
      </c>
      <c r="D112" s="66">
        <f>SUM(D110*'Data Links'!$B$13)</f>
        <v>41.822640000000007</v>
      </c>
      <c r="E112" s="66">
        <f>SUM(E110*'Data Links'!$B$13)</f>
        <v>41.822640000000007</v>
      </c>
      <c r="F112" s="66">
        <f>SUM(F110*'Data Links'!$B$13)</f>
        <v>41.822640000000007</v>
      </c>
      <c r="G112" s="66">
        <f>SUM(G110*'Data Links'!$B$13)</f>
        <v>41.822640000000007</v>
      </c>
      <c r="H112" s="66">
        <f>SUM(H110*'Data Links'!$B$13)</f>
        <v>41.822640000000007</v>
      </c>
      <c r="I112" s="66">
        <f>SUM(I110*'Data Links'!$B$13)</f>
        <v>41.822640000000007</v>
      </c>
      <c r="J112" s="66">
        <f>SUM(J110*'Data Links'!$B$13)</f>
        <v>41.822640000000007</v>
      </c>
      <c r="K112" s="66">
        <f>SUM(K110*'Data Links'!$B$13)</f>
        <v>41.822640000000007</v>
      </c>
      <c r="L112" s="66">
        <f>SUM(L110*'Data Links'!$B$13)</f>
        <v>41.822640000000007</v>
      </c>
      <c r="M112" s="66">
        <f>SUM(M110*'Data Links'!$B$13)</f>
        <v>41.822640000000007</v>
      </c>
      <c r="N112" s="66">
        <f>SUM(N110*'Data Links'!$B$13)</f>
        <v>41.822640000000007</v>
      </c>
    </row>
    <row r="113" spans="1:15" x14ac:dyDescent="0.2">
      <c r="A113" s="59" t="s">
        <v>190</v>
      </c>
      <c r="B113" s="204"/>
      <c r="C113" s="66">
        <f>SUM(C109*'Data Links'!$B$8)</f>
        <v>13.5459</v>
      </c>
      <c r="D113" s="66">
        <f>SUM(D109*'Data Links'!$B$8)</f>
        <v>13.5459</v>
      </c>
      <c r="E113" s="66">
        <f>SUM(E109*'Data Links'!$B$8)</f>
        <v>13.5459</v>
      </c>
      <c r="F113" s="66">
        <f>SUM(F109*'Data Links'!$B$8)</f>
        <v>13.5459</v>
      </c>
      <c r="G113" s="66">
        <f>SUM(G109*'Data Links'!$B$8)</f>
        <v>13.5459</v>
      </c>
      <c r="H113" s="66">
        <f>SUM(H109*'Data Links'!$B$8)</f>
        <v>13.5459</v>
      </c>
      <c r="I113" s="66">
        <f>SUM(I109*'Data Links'!$B$8)</f>
        <v>13.5459</v>
      </c>
      <c r="J113" s="66">
        <f>SUM(J109*'Data Links'!$B$8)</f>
        <v>13.5459</v>
      </c>
      <c r="K113" s="66">
        <f>SUM(K109*'Data Links'!$B$8)</f>
        <v>13.5459</v>
      </c>
      <c r="L113" s="66">
        <f>SUM(L109*'Data Links'!$B$8)</f>
        <v>13.5459</v>
      </c>
      <c r="M113" s="66">
        <f>SUM(M109*'Data Links'!$B$8)</f>
        <v>13.5459</v>
      </c>
      <c r="N113" s="66">
        <f>SUM(N109*'Data Links'!$B$8)</f>
        <v>13.5459</v>
      </c>
    </row>
    <row r="114" spans="1:15" x14ac:dyDescent="0.2">
      <c r="A114" s="59" t="s">
        <v>191</v>
      </c>
      <c r="B114" s="74"/>
      <c r="C114" s="66">
        <f>SUM('All Employees'!$P$10)</f>
        <v>396.6078</v>
      </c>
      <c r="D114" s="66">
        <f>SUM('All Employees'!$P$10)</f>
        <v>396.6078</v>
      </c>
      <c r="E114" s="66">
        <f>SUM('All Employees'!$P$10)</f>
        <v>396.6078</v>
      </c>
      <c r="F114" s="66">
        <f>SUM('All Employees'!$P$10)</f>
        <v>396.6078</v>
      </c>
      <c r="G114" s="66">
        <f>SUM('All Employees'!$P$10)</f>
        <v>396.6078</v>
      </c>
      <c r="H114" s="66">
        <f>SUM('All Employees'!$P$10)</f>
        <v>396.6078</v>
      </c>
      <c r="I114" s="66">
        <f>SUM('All Employees'!$P$10)</f>
        <v>396.6078</v>
      </c>
      <c r="J114" s="66">
        <f>SUM('All Employees'!$P$10)</f>
        <v>396.6078</v>
      </c>
      <c r="K114" s="66">
        <f>SUM('All Employees'!$P$10)</f>
        <v>396.6078</v>
      </c>
      <c r="L114" s="66">
        <f>SUM('All Employees'!$P$10)</f>
        <v>396.6078</v>
      </c>
      <c r="M114" s="66">
        <f>SUM('All Employees'!$P$10)</f>
        <v>396.6078</v>
      </c>
      <c r="N114" s="66">
        <f>SUM('All Employees'!$P$10)</f>
        <v>396.6078</v>
      </c>
    </row>
    <row r="115" spans="1:15" x14ac:dyDescent="0.2">
      <c r="A115" s="59" t="s">
        <v>192</v>
      </c>
      <c r="B115" s="60"/>
      <c r="C115" s="66">
        <f>SUM(C110*'Data Links'!$B$17)</f>
        <v>209.11320000000001</v>
      </c>
      <c r="D115" s="66">
        <f>SUM(D110*'Data Links'!$B$17)</f>
        <v>209.11320000000001</v>
      </c>
      <c r="E115" s="66">
        <f>SUM(E110*'Data Links'!$B$17)</f>
        <v>209.11320000000001</v>
      </c>
      <c r="F115" s="66">
        <f>SUM(F110*'Data Links'!$B$17)</f>
        <v>209.11320000000001</v>
      </c>
      <c r="G115" s="66">
        <f>SUM(G110*'Data Links'!$B$17)</f>
        <v>209.11320000000001</v>
      </c>
      <c r="H115" s="66">
        <f>SUM(H110*'Data Links'!$B$17)</f>
        <v>209.11320000000001</v>
      </c>
      <c r="I115" s="66">
        <f>SUM(I110*'Data Links'!$B$17)</f>
        <v>209.11320000000001</v>
      </c>
      <c r="J115" s="66">
        <f>SUM(J110*'Data Links'!$B$17)</f>
        <v>209.11320000000001</v>
      </c>
      <c r="K115" s="66">
        <f>SUM(K110*'Data Links'!$B$17)</f>
        <v>209.11320000000001</v>
      </c>
      <c r="L115" s="66">
        <f>SUM(L110*'Data Links'!$B$17)</f>
        <v>209.11320000000001</v>
      </c>
      <c r="M115" s="66">
        <f>SUM(M110*'Data Links'!$B$17)</f>
        <v>209.11320000000001</v>
      </c>
      <c r="N115" s="66">
        <f>SUM(N110*'Data Links'!$B$17)</f>
        <v>209.11320000000001</v>
      </c>
      <c r="O115" s="84"/>
    </row>
    <row r="116" spans="1:15" s="4" customFormat="1" x14ac:dyDescent="0.2">
      <c r="A116" s="58" t="s">
        <v>144</v>
      </c>
      <c r="B116" s="60"/>
      <c r="C116" s="60">
        <f t="shared" ref="C116:N116" si="21">SUM(C110:C115)</f>
        <v>8164.7682000000004</v>
      </c>
      <c r="D116" s="60">
        <f t="shared" si="21"/>
        <v>8164.7682000000004</v>
      </c>
      <c r="E116" s="60">
        <f t="shared" si="21"/>
        <v>8164.7682000000004</v>
      </c>
      <c r="F116" s="60">
        <f t="shared" si="21"/>
        <v>8164.7682000000004</v>
      </c>
      <c r="G116" s="60">
        <f t="shared" si="21"/>
        <v>8164.7682000000004</v>
      </c>
      <c r="H116" s="60">
        <f t="shared" si="21"/>
        <v>8164.7682000000004</v>
      </c>
      <c r="I116" s="60">
        <f t="shared" si="21"/>
        <v>8164.7682000000004</v>
      </c>
      <c r="J116" s="60">
        <f t="shared" si="21"/>
        <v>8164.7682000000004</v>
      </c>
      <c r="K116" s="60">
        <f t="shared" si="21"/>
        <v>8164.7682000000004</v>
      </c>
      <c r="L116" s="60">
        <f t="shared" si="21"/>
        <v>8164.7682000000004</v>
      </c>
      <c r="M116" s="60">
        <f t="shared" si="21"/>
        <v>8164.7682000000004</v>
      </c>
      <c r="N116" s="60">
        <f t="shared" si="21"/>
        <v>8164.7682000000004</v>
      </c>
      <c r="O116" s="58"/>
    </row>
    <row r="117" spans="1:15" x14ac:dyDescent="0.2">
      <c r="A117" s="59"/>
      <c r="B117" s="60"/>
      <c r="C117" s="74"/>
      <c r="D117" s="66"/>
      <c r="E117" s="66"/>
      <c r="F117" s="66"/>
      <c r="G117" s="66"/>
      <c r="H117" s="66"/>
      <c r="I117" s="66"/>
      <c r="J117" s="66"/>
      <c r="K117" s="66"/>
      <c r="L117" s="66"/>
      <c r="M117" s="66"/>
      <c r="N117" s="66"/>
      <c r="O117" s="84"/>
    </row>
    <row r="118" spans="1:15" s="38" customFormat="1" x14ac:dyDescent="0.2">
      <c r="A118" s="59"/>
      <c r="B118" s="60"/>
      <c r="C118" s="89" t="str">
        <f>C105</f>
        <v>January</v>
      </c>
      <c r="D118" s="89" t="str">
        <f t="shared" ref="D118:N118" si="22">D105</f>
        <v>February</v>
      </c>
      <c r="E118" s="89" t="str">
        <f t="shared" si="22"/>
        <v>March</v>
      </c>
      <c r="F118" s="89" t="str">
        <f t="shared" si="22"/>
        <v>April</v>
      </c>
      <c r="G118" s="89" t="str">
        <f t="shared" si="22"/>
        <v>May</v>
      </c>
      <c r="H118" s="89" t="str">
        <f t="shared" si="22"/>
        <v>June</v>
      </c>
      <c r="I118" s="89" t="str">
        <f t="shared" si="22"/>
        <v>July</v>
      </c>
      <c r="J118" s="89" t="str">
        <f t="shared" si="22"/>
        <v>August</v>
      </c>
      <c r="K118" s="89" t="str">
        <f t="shared" si="22"/>
        <v>September</v>
      </c>
      <c r="L118" s="89" t="str">
        <f t="shared" si="22"/>
        <v>October</v>
      </c>
      <c r="M118" s="89" t="str">
        <f t="shared" si="22"/>
        <v>November</v>
      </c>
      <c r="N118" s="89" t="str">
        <f t="shared" si="22"/>
        <v>December</v>
      </c>
      <c r="O118" s="84"/>
    </row>
    <row r="119" spans="1:15" s="38" customFormat="1" x14ac:dyDescent="0.2">
      <c r="A119" s="59"/>
      <c r="B119" s="60"/>
      <c r="C119" s="72">
        <v>31</v>
      </c>
      <c r="D119" s="72">
        <v>31</v>
      </c>
      <c r="E119" s="72">
        <v>30</v>
      </c>
      <c r="F119" s="72">
        <v>31</v>
      </c>
      <c r="G119" s="72">
        <v>30</v>
      </c>
      <c r="H119" s="72">
        <v>31</v>
      </c>
      <c r="I119" s="72">
        <v>31</v>
      </c>
      <c r="J119" s="72">
        <v>28</v>
      </c>
      <c r="K119" s="72">
        <v>31</v>
      </c>
      <c r="L119" s="72">
        <v>30</v>
      </c>
      <c r="M119" s="72">
        <v>31</v>
      </c>
      <c r="N119" s="71">
        <v>30</v>
      </c>
      <c r="O119" s="84"/>
    </row>
    <row r="120" spans="1:15" s="38" customFormat="1" x14ac:dyDescent="0.2">
      <c r="A120" s="59"/>
      <c r="B120" s="89" t="s">
        <v>185</v>
      </c>
      <c r="C120" s="78">
        <v>1</v>
      </c>
      <c r="D120" s="78">
        <v>0</v>
      </c>
      <c r="E120" s="78">
        <v>1</v>
      </c>
      <c r="F120" s="78">
        <f>F107</f>
        <v>0</v>
      </c>
      <c r="G120" s="78">
        <v>2</v>
      </c>
      <c r="H120" s="78">
        <f>H107</f>
        <v>0</v>
      </c>
      <c r="I120" s="78">
        <v>2</v>
      </c>
      <c r="J120" s="78">
        <v>1</v>
      </c>
      <c r="K120" s="78">
        <v>0</v>
      </c>
      <c r="L120" s="78">
        <v>0</v>
      </c>
      <c r="M120" s="78">
        <v>1</v>
      </c>
      <c r="N120" s="78">
        <f>N107</f>
        <v>0</v>
      </c>
      <c r="O120" s="84"/>
    </row>
    <row r="121" spans="1:15" s="38" customFormat="1" x14ac:dyDescent="0.2">
      <c r="A121" s="59"/>
      <c r="B121" s="89" t="s">
        <v>44</v>
      </c>
      <c r="C121" s="49">
        <v>1</v>
      </c>
      <c r="D121" s="49">
        <v>1</v>
      </c>
      <c r="E121" s="49">
        <v>1</v>
      </c>
      <c r="F121" s="49">
        <v>1</v>
      </c>
      <c r="G121" s="49">
        <v>1</v>
      </c>
      <c r="H121" s="49">
        <v>1</v>
      </c>
      <c r="I121" s="49">
        <v>1</v>
      </c>
      <c r="J121" s="49">
        <v>1</v>
      </c>
      <c r="K121" s="49">
        <v>1</v>
      </c>
      <c r="L121" s="49">
        <v>1</v>
      </c>
      <c r="M121" s="49">
        <v>1</v>
      </c>
      <c r="N121" s="49">
        <v>1</v>
      </c>
      <c r="O121" s="84"/>
    </row>
    <row r="122" spans="1:15" s="38" customFormat="1" x14ac:dyDescent="0.2">
      <c r="A122" s="59"/>
      <c r="B122" s="89" t="s">
        <v>186</v>
      </c>
      <c r="C122" s="53">
        <f t="shared" ref="C122:N122" si="23">SUM(174*C121)</f>
        <v>174</v>
      </c>
      <c r="D122" s="53">
        <f t="shared" si="23"/>
        <v>174</v>
      </c>
      <c r="E122" s="53">
        <f t="shared" si="23"/>
        <v>174</v>
      </c>
      <c r="F122" s="53">
        <f t="shared" si="23"/>
        <v>174</v>
      </c>
      <c r="G122" s="53">
        <f t="shared" si="23"/>
        <v>174</v>
      </c>
      <c r="H122" s="53">
        <f t="shared" si="23"/>
        <v>174</v>
      </c>
      <c r="I122" s="53">
        <f t="shared" si="23"/>
        <v>174</v>
      </c>
      <c r="J122" s="53">
        <f t="shared" si="23"/>
        <v>174</v>
      </c>
      <c r="K122" s="53">
        <f t="shared" si="23"/>
        <v>174</v>
      </c>
      <c r="L122" s="53">
        <f t="shared" si="23"/>
        <v>174</v>
      </c>
      <c r="M122" s="53">
        <f t="shared" si="23"/>
        <v>174</v>
      </c>
      <c r="N122" s="53">
        <f t="shared" si="23"/>
        <v>174</v>
      </c>
      <c r="O122" s="84"/>
    </row>
    <row r="123" spans="1:15" s="38" customFormat="1" x14ac:dyDescent="0.2">
      <c r="A123" s="59" t="s">
        <v>279</v>
      </c>
      <c r="B123" s="78" t="s">
        <v>268</v>
      </c>
      <c r="C123" s="66">
        <f>SUM(C122*$B$124)</f>
        <v>3132</v>
      </c>
      <c r="D123" s="66">
        <f t="shared" ref="D123:N123" si="24">SUM(D122*$B$124)</f>
        <v>3132</v>
      </c>
      <c r="E123" s="66">
        <f t="shared" si="24"/>
        <v>3132</v>
      </c>
      <c r="F123" s="66">
        <f t="shared" si="24"/>
        <v>3132</v>
      </c>
      <c r="G123" s="66">
        <f t="shared" si="24"/>
        <v>3132</v>
      </c>
      <c r="H123" s="66">
        <f t="shared" si="24"/>
        <v>3132</v>
      </c>
      <c r="I123" s="66">
        <f t="shared" si="24"/>
        <v>3132</v>
      </c>
      <c r="J123" s="66">
        <f t="shared" si="24"/>
        <v>3132</v>
      </c>
      <c r="K123" s="66">
        <f t="shared" si="24"/>
        <v>3132</v>
      </c>
      <c r="L123" s="66">
        <f t="shared" si="24"/>
        <v>3132</v>
      </c>
      <c r="M123" s="66">
        <f t="shared" si="24"/>
        <v>3132</v>
      </c>
      <c r="N123" s="66">
        <f t="shared" si="24"/>
        <v>3132</v>
      </c>
      <c r="O123" s="140"/>
    </row>
    <row r="124" spans="1:15" s="38" customFormat="1" x14ac:dyDescent="0.2">
      <c r="A124" s="59" t="s">
        <v>188</v>
      </c>
      <c r="B124" s="74">
        <v>18</v>
      </c>
      <c r="C124" s="66">
        <f>SUM(C123)*'Data Links'!$B$15</f>
        <v>239.59799999999998</v>
      </c>
      <c r="D124" s="66">
        <f>SUM(D123)*'Data Links'!$B$15</f>
        <v>239.59799999999998</v>
      </c>
      <c r="E124" s="66">
        <f>SUM(E123)*'Data Links'!$B$15</f>
        <v>239.59799999999998</v>
      </c>
      <c r="F124" s="66">
        <f>SUM(F123)*'Data Links'!$B$15</f>
        <v>239.59799999999998</v>
      </c>
      <c r="G124" s="66">
        <f>SUM(G123)*'Data Links'!$B$15</f>
        <v>239.59799999999998</v>
      </c>
      <c r="H124" s="66">
        <f>SUM(H123)*'Data Links'!$B$15</f>
        <v>239.59799999999998</v>
      </c>
      <c r="I124" s="66">
        <f>SUM(I123)*'Data Links'!$B$15</f>
        <v>239.59799999999998</v>
      </c>
      <c r="J124" s="66">
        <f>SUM(J123)*'Data Links'!$B$15</f>
        <v>239.59799999999998</v>
      </c>
      <c r="K124" s="66">
        <f>SUM(K123)*'Data Links'!$B$15</f>
        <v>239.59799999999998</v>
      </c>
      <c r="L124" s="66">
        <f>SUM(L123)*'Data Links'!$B$15</f>
        <v>239.59799999999998</v>
      </c>
      <c r="M124" s="66">
        <f>SUM(M123)*'Data Links'!$B$15</f>
        <v>239.59799999999998</v>
      </c>
      <c r="N124" s="66">
        <f>SUM(N123)*'Data Links'!$B$15</f>
        <v>239.59799999999998</v>
      </c>
      <c r="O124" s="84"/>
    </row>
    <row r="125" spans="1:15" s="38" customFormat="1" x14ac:dyDescent="0.2">
      <c r="A125" s="59" t="s">
        <v>189</v>
      </c>
      <c r="B125" s="74">
        <v>17</v>
      </c>
      <c r="C125" s="66">
        <f>SUM(C123*'Data Links'!$B$13)</f>
        <v>18.792000000000002</v>
      </c>
      <c r="D125" s="66">
        <f>SUM(D123*'Data Links'!$B$13)</f>
        <v>18.792000000000002</v>
      </c>
      <c r="E125" s="66">
        <f>SUM(E123*'Data Links'!$B$13)</f>
        <v>18.792000000000002</v>
      </c>
      <c r="F125" s="66">
        <f>SUM(F123*'Data Links'!$B$13)</f>
        <v>18.792000000000002</v>
      </c>
      <c r="G125" s="66">
        <f>SUM(G123*'Data Links'!$B$13)</f>
        <v>18.792000000000002</v>
      </c>
      <c r="H125" s="66">
        <f>SUM(H123*'Data Links'!$B$13)</f>
        <v>18.792000000000002</v>
      </c>
      <c r="I125" s="66">
        <f>SUM(I123*'Data Links'!$B$13)</f>
        <v>18.792000000000002</v>
      </c>
      <c r="J125" s="66">
        <f>SUM(J123*'Data Links'!$B$13)</f>
        <v>18.792000000000002</v>
      </c>
      <c r="K125" s="66">
        <f>SUM(K123*'Data Links'!$B$13)</f>
        <v>18.792000000000002</v>
      </c>
      <c r="L125" s="66">
        <f>SUM(L123*'Data Links'!$B$13)</f>
        <v>18.792000000000002</v>
      </c>
      <c r="M125" s="66">
        <f>SUM(M123*'Data Links'!$B$13)</f>
        <v>18.792000000000002</v>
      </c>
      <c r="N125" s="66">
        <f>SUM(N123*'Data Links'!$B$13)</f>
        <v>18.792000000000002</v>
      </c>
      <c r="O125" s="84"/>
    </row>
    <row r="126" spans="1:15" s="38" customFormat="1" x14ac:dyDescent="0.2">
      <c r="A126" s="59" t="s">
        <v>190</v>
      </c>
      <c r="B126" s="60"/>
      <c r="C126" s="66">
        <f>SUM(C122*'Data Links'!$B$8)</f>
        <v>13.5459</v>
      </c>
      <c r="D126" s="66">
        <f>SUM(D122*'Data Links'!$B$8)</f>
        <v>13.5459</v>
      </c>
      <c r="E126" s="66">
        <f>SUM(E122*'Data Links'!$B$8)</f>
        <v>13.5459</v>
      </c>
      <c r="F126" s="66">
        <f>SUM(F122*'Data Links'!$B$8)</f>
        <v>13.5459</v>
      </c>
      <c r="G126" s="66">
        <f>SUM(G122*'Data Links'!$B$8)</f>
        <v>13.5459</v>
      </c>
      <c r="H126" s="66">
        <f>SUM(H122*'Data Links'!$B$8)</f>
        <v>13.5459</v>
      </c>
      <c r="I126" s="66">
        <f>SUM(I122*'Data Links'!$B$8)</f>
        <v>13.5459</v>
      </c>
      <c r="J126" s="66">
        <f>SUM(J122*'Data Links'!$B$8)</f>
        <v>13.5459</v>
      </c>
      <c r="K126" s="66">
        <f>SUM(K122*'Data Links'!$B$8)</f>
        <v>13.5459</v>
      </c>
      <c r="L126" s="66">
        <f>SUM(L122*'Data Links'!$B$8)</f>
        <v>13.5459</v>
      </c>
      <c r="M126" s="66">
        <f>SUM(M122*'Data Links'!$B$8)</f>
        <v>13.5459</v>
      </c>
      <c r="N126" s="66">
        <f>SUM(N122*'Data Links'!$B$8)</f>
        <v>13.5459</v>
      </c>
      <c r="O126" s="84"/>
    </row>
    <row r="127" spans="1:15" s="38" customFormat="1" x14ac:dyDescent="0.2">
      <c r="A127" s="59" t="s">
        <v>191</v>
      </c>
      <c r="B127" s="60"/>
      <c r="C127" s="66">
        <f>SUM('All Employees'!$P$12)</f>
        <v>396.6078</v>
      </c>
      <c r="D127" s="66">
        <f>SUM('All Employees'!$P$12)</f>
        <v>396.6078</v>
      </c>
      <c r="E127" s="66">
        <f>SUM('All Employees'!$P$12)</f>
        <v>396.6078</v>
      </c>
      <c r="F127" s="66">
        <f>SUM('All Employees'!$P$12)</f>
        <v>396.6078</v>
      </c>
      <c r="G127" s="66">
        <f>SUM('All Employees'!$P$12)</f>
        <v>396.6078</v>
      </c>
      <c r="H127" s="66">
        <f>SUM('All Employees'!$P$12)</f>
        <v>396.6078</v>
      </c>
      <c r="I127" s="66">
        <f>SUM('All Employees'!$P$12)</f>
        <v>396.6078</v>
      </c>
      <c r="J127" s="66">
        <f>SUM('All Employees'!$P$12)</f>
        <v>396.6078</v>
      </c>
      <c r="K127" s="66">
        <f>SUM('All Employees'!$P$12)</f>
        <v>396.6078</v>
      </c>
      <c r="L127" s="66">
        <f>SUM('All Employees'!$P$12)</f>
        <v>396.6078</v>
      </c>
      <c r="M127" s="66">
        <f>SUM('All Employees'!$P$12)</f>
        <v>396.6078</v>
      </c>
      <c r="N127" s="66">
        <f>SUM('All Employees'!$P$12)</f>
        <v>396.6078</v>
      </c>
      <c r="O127" s="84"/>
    </row>
    <row r="128" spans="1:15" s="38" customFormat="1" x14ac:dyDescent="0.2">
      <c r="A128" s="59" t="s">
        <v>192</v>
      </c>
      <c r="B128" s="60"/>
      <c r="C128" s="66">
        <f>SUM(C123*'Data Links'!$B$17)</f>
        <v>93.96</v>
      </c>
      <c r="D128" s="66">
        <f>SUM(D123*'Data Links'!$B$17)</f>
        <v>93.96</v>
      </c>
      <c r="E128" s="66">
        <f>SUM(E123*'Data Links'!$B$17)</f>
        <v>93.96</v>
      </c>
      <c r="F128" s="66">
        <f>SUM(F123*'Data Links'!$B$17)</f>
        <v>93.96</v>
      </c>
      <c r="G128" s="66">
        <f>SUM(G123*'Data Links'!$B$17)</f>
        <v>93.96</v>
      </c>
      <c r="H128" s="66">
        <f>SUM(H123*'Data Links'!$B$17)</f>
        <v>93.96</v>
      </c>
      <c r="I128" s="66">
        <f>SUM(I123*'Data Links'!$B$17)</f>
        <v>93.96</v>
      </c>
      <c r="J128" s="66">
        <f>SUM(J123*'Data Links'!$B$17)</f>
        <v>93.96</v>
      </c>
      <c r="K128" s="66">
        <f>SUM(K123*'Data Links'!$B$17)</f>
        <v>93.96</v>
      </c>
      <c r="L128" s="66">
        <f>SUM(L123*'Data Links'!$B$17)</f>
        <v>93.96</v>
      </c>
      <c r="M128" s="66">
        <f>SUM(M123*'Data Links'!$B$17)</f>
        <v>93.96</v>
      </c>
      <c r="N128" s="66">
        <f>SUM(N123*'Data Links'!$B$17)</f>
        <v>93.96</v>
      </c>
      <c r="O128" s="84"/>
    </row>
    <row r="129" spans="1:15" s="29" customFormat="1" x14ac:dyDescent="0.2">
      <c r="A129" s="58" t="s">
        <v>144</v>
      </c>
      <c r="B129" s="60"/>
      <c r="C129" s="60">
        <f t="shared" ref="C129:N129" si="25">SUM(C123:C128)</f>
        <v>3894.5037000000002</v>
      </c>
      <c r="D129" s="60">
        <f t="shared" si="25"/>
        <v>3894.5037000000002</v>
      </c>
      <c r="E129" s="60">
        <f t="shared" si="25"/>
        <v>3894.5037000000002</v>
      </c>
      <c r="F129" s="60">
        <f t="shared" si="25"/>
        <v>3894.5037000000002</v>
      </c>
      <c r="G129" s="60">
        <f t="shared" si="25"/>
        <v>3894.5037000000002</v>
      </c>
      <c r="H129" s="60">
        <f t="shared" si="25"/>
        <v>3894.5037000000002</v>
      </c>
      <c r="I129" s="60">
        <f t="shared" si="25"/>
        <v>3894.5037000000002</v>
      </c>
      <c r="J129" s="60">
        <f t="shared" si="25"/>
        <v>3894.5037000000002</v>
      </c>
      <c r="K129" s="60">
        <f t="shared" si="25"/>
        <v>3894.5037000000002</v>
      </c>
      <c r="L129" s="60">
        <f t="shared" si="25"/>
        <v>3894.5037000000002</v>
      </c>
      <c r="M129" s="60">
        <f t="shared" si="25"/>
        <v>3894.5037000000002</v>
      </c>
      <c r="N129" s="60">
        <f t="shared" si="25"/>
        <v>3894.5037000000002</v>
      </c>
      <c r="O129" s="60"/>
    </row>
    <row r="130" spans="1:15" s="38" customFormat="1" x14ac:dyDescent="0.2">
      <c r="A130" s="59"/>
      <c r="B130" s="60"/>
      <c r="C130" s="60"/>
      <c r="D130" s="66"/>
      <c r="E130" s="66"/>
      <c r="F130" s="66"/>
      <c r="G130" s="66"/>
      <c r="H130" s="66"/>
      <c r="I130" s="66"/>
      <c r="J130" s="66"/>
      <c r="K130" s="66"/>
      <c r="L130" s="66"/>
      <c r="M130" s="66"/>
      <c r="N130" s="66"/>
      <c r="O130" s="84"/>
    </row>
    <row r="131" spans="1:15" s="38" customFormat="1" x14ac:dyDescent="0.2">
      <c r="A131" s="59"/>
      <c r="B131" s="60"/>
      <c r="C131" s="89" t="str">
        <f>C118</f>
        <v>January</v>
      </c>
      <c r="D131" s="89" t="str">
        <f t="shared" ref="D131:N131" si="26">D118</f>
        <v>February</v>
      </c>
      <c r="E131" s="89" t="str">
        <f t="shared" si="26"/>
        <v>March</v>
      </c>
      <c r="F131" s="89" t="str">
        <f t="shared" si="26"/>
        <v>April</v>
      </c>
      <c r="G131" s="89" t="str">
        <f t="shared" si="26"/>
        <v>May</v>
      </c>
      <c r="H131" s="89" t="str">
        <f t="shared" si="26"/>
        <v>June</v>
      </c>
      <c r="I131" s="89" t="str">
        <f t="shared" si="26"/>
        <v>July</v>
      </c>
      <c r="J131" s="89" t="str">
        <f t="shared" si="26"/>
        <v>August</v>
      </c>
      <c r="K131" s="89" t="str">
        <f t="shared" si="26"/>
        <v>September</v>
      </c>
      <c r="L131" s="89" t="str">
        <f t="shared" si="26"/>
        <v>October</v>
      </c>
      <c r="M131" s="89" t="str">
        <f t="shared" si="26"/>
        <v>November</v>
      </c>
      <c r="N131" s="89" t="str">
        <f t="shared" si="26"/>
        <v>December</v>
      </c>
    </row>
    <row r="132" spans="1:15" s="38" customFormat="1" x14ac:dyDescent="0.2">
      <c r="A132" s="59"/>
      <c r="B132" s="60"/>
      <c r="C132" s="72">
        <v>31</v>
      </c>
      <c r="D132" s="72">
        <v>31</v>
      </c>
      <c r="E132" s="72">
        <v>30</v>
      </c>
      <c r="F132" s="72">
        <v>31</v>
      </c>
      <c r="G132" s="72">
        <v>30</v>
      </c>
      <c r="H132" s="72">
        <v>31</v>
      </c>
      <c r="I132" s="72">
        <v>31</v>
      </c>
      <c r="J132" s="72">
        <v>28</v>
      </c>
      <c r="K132" s="72">
        <v>31</v>
      </c>
      <c r="L132" s="72">
        <v>30</v>
      </c>
      <c r="M132" s="72">
        <v>31</v>
      </c>
      <c r="N132" s="71">
        <v>30</v>
      </c>
    </row>
    <row r="133" spans="1:15" s="38" customFormat="1" x14ac:dyDescent="0.2">
      <c r="A133" s="59"/>
      <c r="B133" s="89" t="s">
        <v>185</v>
      </c>
      <c r="C133" s="78">
        <v>1</v>
      </c>
      <c r="D133" s="78">
        <v>0</v>
      </c>
      <c r="E133" s="78">
        <v>1</v>
      </c>
      <c r="F133" s="78">
        <f>F120</f>
        <v>0</v>
      </c>
      <c r="G133" s="78">
        <v>2</v>
      </c>
      <c r="H133" s="78">
        <f>H120</f>
        <v>0</v>
      </c>
      <c r="I133" s="78">
        <v>2</v>
      </c>
      <c r="J133" s="78">
        <v>1</v>
      </c>
      <c r="K133" s="78">
        <v>0</v>
      </c>
      <c r="L133" s="78">
        <v>0</v>
      </c>
      <c r="M133" s="78">
        <v>1</v>
      </c>
      <c r="N133" s="78">
        <f>N120</f>
        <v>0</v>
      </c>
    </row>
    <row r="134" spans="1:15" s="38" customFormat="1" x14ac:dyDescent="0.2">
      <c r="A134" s="59"/>
      <c r="B134" s="89" t="s">
        <v>44</v>
      </c>
      <c r="C134" s="49">
        <v>1</v>
      </c>
      <c r="D134" s="49">
        <v>1</v>
      </c>
      <c r="E134" s="49">
        <v>1</v>
      </c>
      <c r="F134" s="49">
        <v>1</v>
      </c>
      <c r="G134" s="49">
        <v>1</v>
      </c>
      <c r="H134" s="49">
        <v>1</v>
      </c>
      <c r="I134" s="49">
        <v>1</v>
      </c>
      <c r="J134" s="49">
        <v>1</v>
      </c>
      <c r="K134" s="49">
        <v>1</v>
      </c>
      <c r="L134" s="49">
        <v>1</v>
      </c>
      <c r="M134" s="49">
        <v>1</v>
      </c>
      <c r="N134" s="49">
        <v>1</v>
      </c>
    </row>
    <row r="135" spans="1:15" s="38" customFormat="1" x14ac:dyDescent="0.2">
      <c r="A135" s="59"/>
      <c r="B135" s="78" t="s">
        <v>186</v>
      </c>
      <c r="C135" s="53">
        <f t="shared" ref="C135:N135" si="27">SUM(174*C134)</f>
        <v>174</v>
      </c>
      <c r="D135" s="53">
        <f t="shared" si="27"/>
        <v>174</v>
      </c>
      <c r="E135" s="53">
        <f t="shared" si="27"/>
        <v>174</v>
      </c>
      <c r="F135" s="53">
        <f t="shared" si="27"/>
        <v>174</v>
      </c>
      <c r="G135" s="53">
        <f t="shared" si="27"/>
        <v>174</v>
      </c>
      <c r="H135" s="53">
        <f t="shared" si="27"/>
        <v>174</v>
      </c>
      <c r="I135" s="53">
        <f t="shared" si="27"/>
        <v>174</v>
      </c>
      <c r="J135" s="53">
        <f t="shared" si="27"/>
        <v>174</v>
      </c>
      <c r="K135" s="53">
        <f t="shared" si="27"/>
        <v>174</v>
      </c>
      <c r="L135" s="53">
        <f t="shared" si="27"/>
        <v>174</v>
      </c>
      <c r="M135" s="53">
        <f t="shared" si="27"/>
        <v>174</v>
      </c>
      <c r="N135" s="53">
        <f t="shared" si="27"/>
        <v>174</v>
      </c>
    </row>
    <row r="136" spans="1:15" s="38" customFormat="1" x14ac:dyDescent="0.2">
      <c r="A136" s="59" t="s">
        <v>546</v>
      </c>
      <c r="B136" s="78" t="s">
        <v>187</v>
      </c>
      <c r="C136" s="66">
        <f>SUM(C135*$B$137)</f>
        <v>5856.8399999999992</v>
      </c>
      <c r="D136" s="66">
        <f t="shared" ref="D136:N136" si="28">SUM(D135*$B$137)</f>
        <v>5856.8399999999992</v>
      </c>
      <c r="E136" s="66">
        <f t="shared" si="28"/>
        <v>5856.8399999999992</v>
      </c>
      <c r="F136" s="66">
        <f t="shared" si="28"/>
        <v>5856.8399999999992</v>
      </c>
      <c r="G136" s="66">
        <f t="shared" si="28"/>
        <v>5856.8399999999992</v>
      </c>
      <c r="H136" s="66">
        <f t="shared" si="28"/>
        <v>5856.8399999999992</v>
      </c>
      <c r="I136" s="66">
        <f t="shared" si="28"/>
        <v>5856.8399999999992</v>
      </c>
      <c r="J136" s="66">
        <f t="shared" si="28"/>
        <v>5856.8399999999992</v>
      </c>
      <c r="K136" s="66">
        <f t="shared" si="28"/>
        <v>5856.8399999999992</v>
      </c>
      <c r="L136" s="66">
        <f t="shared" si="28"/>
        <v>5856.8399999999992</v>
      </c>
      <c r="M136" s="66">
        <f t="shared" si="28"/>
        <v>5856.8399999999992</v>
      </c>
      <c r="N136" s="66">
        <f t="shared" si="28"/>
        <v>5856.8399999999992</v>
      </c>
    </row>
    <row r="137" spans="1:15" s="38" customFormat="1" x14ac:dyDescent="0.2">
      <c r="A137" s="59" t="s">
        <v>188</v>
      </c>
      <c r="B137" s="74">
        <v>33.659999999999997</v>
      </c>
      <c r="C137" s="66">
        <f>SUM(C136)*'Data Links'!$B$15</f>
        <v>448.04825999999991</v>
      </c>
      <c r="D137" s="66">
        <f>SUM(D136)*'Data Links'!$B$15</f>
        <v>448.04825999999991</v>
      </c>
      <c r="E137" s="66">
        <f>SUM(E136)*'Data Links'!$B$15</f>
        <v>448.04825999999991</v>
      </c>
      <c r="F137" s="66">
        <f>SUM(F136)*'Data Links'!$B$15</f>
        <v>448.04825999999991</v>
      </c>
      <c r="G137" s="66">
        <f>SUM(G136)*'Data Links'!$B$15</f>
        <v>448.04825999999991</v>
      </c>
      <c r="H137" s="66">
        <f>SUM(H136)*'Data Links'!$B$15</f>
        <v>448.04825999999991</v>
      </c>
      <c r="I137" s="66">
        <f>SUM(I136)*'Data Links'!$B$15</f>
        <v>448.04825999999991</v>
      </c>
      <c r="J137" s="66">
        <f>SUM(J136)*'Data Links'!$B$15</f>
        <v>448.04825999999991</v>
      </c>
      <c r="K137" s="66">
        <f>SUM(K136)*'Data Links'!$B$15</f>
        <v>448.04825999999991</v>
      </c>
      <c r="L137" s="66">
        <f>SUM(L136)*'Data Links'!$B$15</f>
        <v>448.04825999999991</v>
      </c>
      <c r="M137" s="66">
        <f>SUM(M136)*'Data Links'!$B$15</f>
        <v>448.04825999999991</v>
      </c>
      <c r="N137" s="66">
        <f>SUM(N136)*'Data Links'!$B$15</f>
        <v>448.04825999999991</v>
      </c>
    </row>
    <row r="138" spans="1:15" s="38" customFormat="1" x14ac:dyDescent="0.2">
      <c r="A138" s="59" t="s">
        <v>189</v>
      </c>
      <c r="B138" s="74"/>
      <c r="C138" s="66">
        <f>SUM(C136*'Data Links'!$B$13)</f>
        <v>35.141039999999997</v>
      </c>
      <c r="D138" s="66">
        <f>SUM(D136*'Data Links'!$B$13)</f>
        <v>35.141039999999997</v>
      </c>
      <c r="E138" s="66">
        <f>SUM(E136*'Data Links'!$B$13)</f>
        <v>35.141039999999997</v>
      </c>
      <c r="F138" s="66">
        <f>SUM(F136*'Data Links'!$B$13)</f>
        <v>35.141039999999997</v>
      </c>
      <c r="G138" s="66">
        <f>SUM(G136*'Data Links'!$B$13)</f>
        <v>35.141039999999997</v>
      </c>
      <c r="H138" s="66">
        <f>SUM(H136*'Data Links'!$B$13)</f>
        <v>35.141039999999997</v>
      </c>
      <c r="I138" s="66">
        <f>SUM(I136*'Data Links'!$B$13)</f>
        <v>35.141039999999997</v>
      </c>
      <c r="J138" s="66">
        <f>SUM(J136*'Data Links'!$B$13)</f>
        <v>35.141039999999997</v>
      </c>
      <c r="K138" s="66">
        <f>SUM(K136*'Data Links'!$B$13)</f>
        <v>35.141039999999997</v>
      </c>
      <c r="L138" s="66">
        <f>SUM(L136*'Data Links'!$B$13)</f>
        <v>35.141039999999997</v>
      </c>
      <c r="M138" s="66">
        <f>SUM(M136*'Data Links'!$B$13)</f>
        <v>35.141039999999997</v>
      </c>
      <c r="N138" s="66">
        <f>SUM(N136*'Data Links'!$B$13)</f>
        <v>35.141039999999997</v>
      </c>
    </row>
    <row r="139" spans="1:15" s="38" customFormat="1" x14ac:dyDescent="0.2">
      <c r="A139" s="59" t="s">
        <v>190</v>
      </c>
      <c r="B139" s="60"/>
      <c r="C139" s="66">
        <f>SUM(C135*'Data Links'!$B$8)</f>
        <v>13.5459</v>
      </c>
      <c r="D139" s="66">
        <f>SUM(D135*'Data Links'!$B$8)</f>
        <v>13.5459</v>
      </c>
      <c r="E139" s="66">
        <f>SUM(E135*'Data Links'!$B$8)</f>
        <v>13.5459</v>
      </c>
      <c r="F139" s="66">
        <f>SUM(F135*'Data Links'!$B$8)</f>
        <v>13.5459</v>
      </c>
      <c r="G139" s="66">
        <f>SUM(G135*'Data Links'!$B$8)</f>
        <v>13.5459</v>
      </c>
      <c r="H139" s="66">
        <f>SUM(H135*'Data Links'!$B$8)</f>
        <v>13.5459</v>
      </c>
      <c r="I139" s="66">
        <f>SUM(I135*'Data Links'!$B$8)</f>
        <v>13.5459</v>
      </c>
      <c r="J139" s="66">
        <f>SUM(J135*'Data Links'!$B$8)</f>
        <v>13.5459</v>
      </c>
      <c r="K139" s="66">
        <f>SUM(K135*'Data Links'!$B$8)</f>
        <v>13.5459</v>
      </c>
      <c r="L139" s="66">
        <f>SUM(L135*'Data Links'!$B$8)</f>
        <v>13.5459</v>
      </c>
      <c r="M139" s="66">
        <f>SUM(M135*'Data Links'!$B$8)</f>
        <v>13.5459</v>
      </c>
      <c r="N139" s="66">
        <f>SUM(N135*'Data Links'!$B$8)</f>
        <v>13.5459</v>
      </c>
    </row>
    <row r="140" spans="1:15" s="38" customFormat="1" x14ac:dyDescent="0.2">
      <c r="A140" s="59" t="s">
        <v>191</v>
      </c>
      <c r="B140" s="60"/>
      <c r="C140" s="66">
        <f>SUM('All Employees'!$P$8)</f>
        <v>426</v>
      </c>
      <c r="D140" s="66">
        <f>SUM('All Employees'!$P$8)</f>
        <v>426</v>
      </c>
      <c r="E140" s="66">
        <f>SUM('All Employees'!$P$8)</f>
        <v>426</v>
      </c>
      <c r="F140" s="66">
        <f>SUM('All Employees'!$P$8)</f>
        <v>426</v>
      </c>
      <c r="G140" s="66">
        <f>SUM('All Employees'!$P$8)</f>
        <v>426</v>
      </c>
      <c r="H140" s="66">
        <f>SUM('All Employees'!$P$8)</f>
        <v>426</v>
      </c>
      <c r="I140" s="66">
        <f>SUM('All Employees'!$P$8)</f>
        <v>426</v>
      </c>
      <c r="J140" s="66">
        <f>SUM('All Employees'!$P$8)</f>
        <v>426</v>
      </c>
      <c r="K140" s="66">
        <f>SUM('All Employees'!$P$8)</f>
        <v>426</v>
      </c>
      <c r="L140" s="66">
        <f>SUM('All Employees'!$P$8)</f>
        <v>426</v>
      </c>
      <c r="M140" s="66">
        <f>SUM('All Employees'!$P$8)</f>
        <v>426</v>
      </c>
      <c r="N140" s="66">
        <f>SUM('All Employees'!$P$8)</f>
        <v>426</v>
      </c>
    </row>
    <row r="141" spans="1:15" s="38" customFormat="1" x14ac:dyDescent="0.2">
      <c r="A141" s="59" t="s">
        <v>192</v>
      </c>
      <c r="B141" s="60"/>
      <c r="C141" s="66">
        <f>SUM(C136*'Data Links'!$B$17)</f>
        <v>175.70519999999996</v>
      </c>
      <c r="D141" s="66">
        <f>SUM(D136*'Data Links'!$B$17)</f>
        <v>175.70519999999996</v>
      </c>
      <c r="E141" s="66">
        <f>SUM(E136*'Data Links'!$B$17)</f>
        <v>175.70519999999996</v>
      </c>
      <c r="F141" s="66">
        <f>SUM(F136*'Data Links'!$B$17)</f>
        <v>175.70519999999996</v>
      </c>
      <c r="G141" s="66">
        <f>SUM(G136*'Data Links'!$B$17)</f>
        <v>175.70519999999996</v>
      </c>
      <c r="H141" s="66">
        <f>SUM(H136*'Data Links'!$B$17)</f>
        <v>175.70519999999996</v>
      </c>
      <c r="I141" s="66">
        <f>SUM(I136*'Data Links'!$B$17)</f>
        <v>175.70519999999996</v>
      </c>
      <c r="J141" s="66">
        <f>SUM(J136*'Data Links'!$B$17)</f>
        <v>175.70519999999996</v>
      </c>
      <c r="K141" s="66">
        <f>SUM(K136*'Data Links'!$B$17)</f>
        <v>175.70519999999996</v>
      </c>
      <c r="L141" s="66">
        <f>SUM(L136*'Data Links'!$B$17)</f>
        <v>175.70519999999996</v>
      </c>
      <c r="M141" s="66">
        <f>SUM(M136*'Data Links'!$B$17)</f>
        <v>175.70519999999996</v>
      </c>
      <c r="N141" s="66">
        <f>SUM(N136*'Data Links'!$B$17)</f>
        <v>175.70519999999996</v>
      </c>
    </row>
    <row r="142" spans="1:15" s="29" customFormat="1" x14ac:dyDescent="0.2">
      <c r="A142" s="58" t="s">
        <v>144</v>
      </c>
      <c r="B142" s="60"/>
      <c r="C142" s="60">
        <f t="shared" ref="C142:N142" si="29">SUM(C136:C141)</f>
        <v>6955.2803999999996</v>
      </c>
      <c r="D142" s="60">
        <f t="shared" si="29"/>
        <v>6955.2803999999996</v>
      </c>
      <c r="E142" s="60">
        <f t="shared" si="29"/>
        <v>6955.2803999999996</v>
      </c>
      <c r="F142" s="60">
        <f t="shared" si="29"/>
        <v>6955.2803999999996</v>
      </c>
      <c r="G142" s="60">
        <f t="shared" si="29"/>
        <v>6955.2803999999996</v>
      </c>
      <c r="H142" s="60">
        <f t="shared" si="29"/>
        <v>6955.2803999999996</v>
      </c>
      <c r="I142" s="60">
        <f t="shared" si="29"/>
        <v>6955.2803999999996</v>
      </c>
      <c r="J142" s="60">
        <f t="shared" si="29"/>
        <v>6955.2803999999996</v>
      </c>
      <c r="K142" s="60">
        <f t="shared" si="29"/>
        <v>6955.2803999999996</v>
      </c>
      <c r="L142" s="60">
        <f t="shared" si="29"/>
        <v>6955.2803999999996</v>
      </c>
      <c r="M142" s="60">
        <f t="shared" si="29"/>
        <v>6955.2803999999996</v>
      </c>
      <c r="N142" s="60">
        <f t="shared" si="29"/>
        <v>6955.2803999999996</v>
      </c>
    </row>
    <row r="143" spans="1:15" s="38" customFormat="1" x14ac:dyDescent="0.2">
      <c r="A143" s="59"/>
      <c r="B143" s="60"/>
      <c r="C143" s="60"/>
      <c r="D143" s="66"/>
      <c r="E143" s="66"/>
      <c r="F143" s="66"/>
      <c r="G143" s="66"/>
      <c r="H143" s="66"/>
      <c r="I143" s="66"/>
      <c r="J143" s="66"/>
      <c r="K143" s="66"/>
      <c r="L143" s="66"/>
      <c r="M143" s="66"/>
      <c r="N143" s="66"/>
    </row>
    <row r="144" spans="1:15" s="38" customFormat="1" hidden="1" x14ac:dyDescent="0.2">
      <c r="A144" s="59"/>
      <c r="B144" s="60"/>
      <c r="C144" s="89" t="str">
        <f>C131</f>
        <v>January</v>
      </c>
      <c r="D144" s="89" t="str">
        <f t="shared" ref="D144:N144" si="30">D131</f>
        <v>February</v>
      </c>
      <c r="E144" s="89" t="str">
        <f t="shared" si="30"/>
        <v>March</v>
      </c>
      <c r="F144" s="89" t="str">
        <f t="shared" si="30"/>
        <v>April</v>
      </c>
      <c r="G144" s="89" t="str">
        <f t="shared" si="30"/>
        <v>May</v>
      </c>
      <c r="H144" s="89" t="str">
        <f t="shared" si="30"/>
        <v>June</v>
      </c>
      <c r="I144" s="89" t="str">
        <f t="shared" si="30"/>
        <v>July</v>
      </c>
      <c r="J144" s="89" t="str">
        <f t="shared" si="30"/>
        <v>August</v>
      </c>
      <c r="K144" s="89" t="str">
        <f t="shared" si="30"/>
        <v>September</v>
      </c>
      <c r="L144" s="89" t="str">
        <f t="shared" si="30"/>
        <v>October</v>
      </c>
      <c r="M144" s="89" t="str">
        <f t="shared" si="30"/>
        <v>November</v>
      </c>
      <c r="N144" s="89" t="str">
        <f t="shared" si="30"/>
        <v>December</v>
      </c>
    </row>
    <row r="145" spans="1:14" s="38" customFormat="1" hidden="1" x14ac:dyDescent="0.2">
      <c r="A145" s="59"/>
      <c r="B145" s="60"/>
      <c r="C145" s="89">
        <f t="shared" ref="C145:N146" si="31">C132</f>
        <v>31</v>
      </c>
      <c r="D145" s="89">
        <f t="shared" si="31"/>
        <v>31</v>
      </c>
      <c r="E145" s="89">
        <f t="shared" si="31"/>
        <v>30</v>
      </c>
      <c r="F145" s="89">
        <f t="shared" si="31"/>
        <v>31</v>
      </c>
      <c r="G145" s="89">
        <f t="shared" si="31"/>
        <v>30</v>
      </c>
      <c r="H145" s="89">
        <f t="shared" si="31"/>
        <v>31</v>
      </c>
      <c r="I145" s="89">
        <f t="shared" si="31"/>
        <v>31</v>
      </c>
      <c r="J145" s="89">
        <f t="shared" si="31"/>
        <v>28</v>
      </c>
      <c r="K145" s="89">
        <f t="shared" si="31"/>
        <v>31</v>
      </c>
      <c r="L145" s="89">
        <f t="shared" si="31"/>
        <v>30</v>
      </c>
      <c r="M145" s="89">
        <f t="shared" si="31"/>
        <v>31</v>
      </c>
      <c r="N145" s="89">
        <f t="shared" si="31"/>
        <v>30</v>
      </c>
    </row>
    <row r="146" spans="1:14" s="38" customFormat="1" hidden="1" x14ac:dyDescent="0.2">
      <c r="A146" s="59"/>
      <c r="B146" s="89" t="s">
        <v>185</v>
      </c>
      <c r="C146" s="89">
        <f t="shared" si="31"/>
        <v>1</v>
      </c>
      <c r="D146" s="78">
        <f t="shared" si="31"/>
        <v>0</v>
      </c>
      <c r="E146" s="78">
        <f t="shared" si="31"/>
        <v>1</v>
      </c>
      <c r="F146" s="78">
        <f t="shared" si="31"/>
        <v>0</v>
      </c>
      <c r="G146" s="78">
        <f t="shared" si="31"/>
        <v>2</v>
      </c>
      <c r="H146" s="78">
        <f t="shared" si="31"/>
        <v>0</v>
      </c>
      <c r="I146" s="78">
        <f t="shared" si="31"/>
        <v>2</v>
      </c>
      <c r="J146" s="78">
        <f t="shared" si="31"/>
        <v>1</v>
      </c>
      <c r="K146" s="78">
        <f t="shared" si="31"/>
        <v>0</v>
      </c>
      <c r="L146" s="78">
        <f t="shared" si="31"/>
        <v>0</v>
      </c>
      <c r="M146" s="78">
        <f t="shared" si="31"/>
        <v>1</v>
      </c>
      <c r="N146" s="78">
        <f t="shared" si="31"/>
        <v>0</v>
      </c>
    </row>
    <row r="147" spans="1:14" s="38" customFormat="1" hidden="1" x14ac:dyDescent="0.2">
      <c r="A147" s="59"/>
      <c r="B147" s="89" t="s">
        <v>44</v>
      </c>
      <c r="C147" s="37"/>
      <c r="D147" s="49"/>
      <c r="E147" s="49"/>
      <c r="F147" s="49"/>
      <c r="G147" s="49"/>
      <c r="H147" s="49"/>
      <c r="I147" s="49"/>
      <c r="J147" s="49"/>
      <c r="K147" s="49"/>
      <c r="L147" s="49"/>
      <c r="M147" s="49"/>
      <c r="N147" s="49"/>
    </row>
    <row r="148" spans="1:14" s="38" customFormat="1" hidden="1" x14ac:dyDescent="0.2">
      <c r="A148" s="59"/>
      <c r="B148" s="89" t="s">
        <v>186</v>
      </c>
      <c r="C148" s="72">
        <f t="shared" ref="C148:N148" si="32">SUM(174*C147)</f>
        <v>0</v>
      </c>
      <c r="D148" s="53">
        <f t="shared" si="32"/>
        <v>0</v>
      </c>
      <c r="E148" s="53">
        <f t="shared" si="32"/>
        <v>0</v>
      </c>
      <c r="F148" s="53">
        <f t="shared" si="32"/>
        <v>0</v>
      </c>
      <c r="G148" s="53">
        <f t="shared" si="32"/>
        <v>0</v>
      </c>
      <c r="H148" s="53">
        <f t="shared" si="32"/>
        <v>0</v>
      </c>
      <c r="I148" s="53">
        <f t="shared" si="32"/>
        <v>0</v>
      </c>
      <c r="J148" s="53">
        <f t="shared" si="32"/>
        <v>0</v>
      </c>
      <c r="K148" s="53">
        <f t="shared" si="32"/>
        <v>0</v>
      </c>
      <c r="L148" s="53">
        <f t="shared" si="32"/>
        <v>0</v>
      </c>
      <c r="M148" s="53">
        <f t="shared" si="32"/>
        <v>0</v>
      </c>
      <c r="N148" s="53">
        <f t="shared" si="32"/>
        <v>0</v>
      </c>
    </row>
    <row r="149" spans="1:14" s="38" customFormat="1" hidden="1" x14ac:dyDescent="0.2">
      <c r="A149" s="59" t="s">
        <v>193</v>
      </c>
      <c r="B149" s="78" t="s">
        <v>187</v>
      </c>
      <c r="C149" s="60">
        <f>SUM(C148*$B$150)</f>
        <v>0</v>
      </c>
      <c r="D149" s="66">
        <f t="shared" ref="D149:N149" si="33">SUM(D148*$B$150)</f>
        <v>0</v>
      </c>
      <c r="E149" s="66">
        <f t="shared" si="33"/>
        <v>0</v>
      </c>
      <c r="F149" s="66">
        <f t="shared" si="33"/>
        <v>0</v>
      </c>
      <c r="G149" s="66">
        <f t="shared" si="33"/>
        <v>0</v>
      </c>
      <c r="H149" s="66">
        <f t="shared" si="33"/>
        <v>0</v>
      </c>
      <c r="I149" s="66">
        <f t="shared" si="33"/>
        <v>0</v>
      </c>
      <c r="J149" s="66">
        <f t="shared" si="33"/>
        <v>0</v>
      </c>
      <c r="K149" s="66">
        <f t="shared" si="33"/>
        <v>0</v>
      </c>
      <c r="L149" s="66">
        <f t="shared" si="33"/>
        <v>0</v>
      </c>
      <c r="M149" s="66">
        <f t="shared" si="33"/>
        <v>0</v>
      </c>
      <c r="N149" s="66">
        <f t="shared" si="33"/>
        <v>0</v>
      </c>
    </row>
    <row r="150" spans="1:14" s="38" customFormat="1" hidden="1" x14ac:dyDescent="0.2">
      <c r="A150" s="59" t="s">
        <v>188</v>
      </c>
      <c r="B150" s="74">
        <v>0</v>
      </c>
      <c r="C150" s="60">
        <f>SUM(C149)*'Data Links'!$B$15</f>
        <v>0</v>
      </c>
      <c r="D150" s="66">
        <f>SUM(D149)*'Data Links'!$B$15</f>
        <v>0</v>
      </c>
      <c r="E150" s="66">
        <f>SUM(E149)*'Data Links'!$B$15</f>
        <v>0</v>
      </c>
      <c r="F150" s="66">
        <f>SUM(F149)*'Data Links'!$B$15</f>
        <v>0</v>
      </c>
      <c r="G150" s="66">
        <f>SUM(G149)*'Data Links'!$B$15</f>
        <v>0</v>
      </c>
      <c r="H150" s="66">
        <f>SUM(H149)*'Data Links'!$B$15</f>
        <v>0</v>
      </c>
      <c r="I150" s="66">
        <f>SUM(I149)*'Data Links'!$B$15</f>
        <v>0</v>
      </c>
      <c r="J150" s="66">
        <f>SUM(J149)*'Data Links'!$B$15</f>
        <v>0</v>
      </c>
      <c r="K150" s="66">
        <f>SUM(K149)*'Data Links'!$B$15</f>
        <v>0</v>
      </c>
      <c r="L150" s="66">
        <f>SUM(L149)*'Data Links'!$B$15</f>
        <v>0</v>
      </c>
      <c r="M150" s="66">
        <f>SUM(M149)*'Data Links'!$B$15</f>
        <v>0</v>
      </c>
      <c r="N150" s="66">
        <f>SUM(N149)*'Data Links'!$B$15</f>
        <v>0</v>
      </c>
    </row>
    <row r="151" spans="1:14" s="38" customFormat="1" hidden="1" x14ac:dyDescent="0.2">
      <c r="A151" s="59" t="s">
        <v>189</v>
      </c>
      <c r="B151" s="60"/>
      <c r="C151" s="60">
        <f>SUM(C149*'Data Links'!$B$13)</f>
        <v>0</v>
      </c>
      <c r="D151" s="66">
        <f>SUM(D149*'Data Links'!$B$13)</f>
        <v>0</v>
      </c>
      <c r="E151" s="66">
        <f>SUM(E149*'Data Links'!$B$13)</f>
        <v>0</v>
      </c>
      <c r="F151" s="66">
        <f>SUM(F149*'Data Links'!$B$13)</f>
        <v>0</v>
      </c>
      <c r="G151" s="66">
        <f>SUM(G149*'Data Links'!$B$13)</f>
        <v>0</v>
      </c>
      <c r="H151" s="66">
        <f>SUM(H149*'Data Links'!$B$13)</f>
        <v>0</v>
      </c>
      <c r="I151" s="66">
        <f>SUM(I149*'Data Links'!$B$13)</f>
        <v>0</v>
      </c>
      <c r="J151" s="66">
        <f>SUM(J149*'Data Links'!$B$13)</f>
        <v>0</v>
      </c>
      <c r="K151" s="66">
        <f>SUM(K149*'Data Links'!$B$13)</f>
        <v>0</v>
      </c>
      <c r="L151" s="66">
        <f>SUM(L149*'Data Links'!$B$13)</f>
        <v>0</v>
      </c>
      <c r="M151" s="66">
        <f>SUM(M149*'Data Links'!$B$13)</f>
        <v>0</v>
      </c>
      <c r="N151" s="66">
        <f>SUM(N149*'Data Links'!$B$13)</f>
        <v>0</v>
      </c>
    </row>
    <row r="152" spans="1:14" s="38" customFormat="1" hidden="1" x14ac:dyDescent="0.2">
      <c r="A152" s="59" t="s">
        <v>190</v>
      </c>
      <c r="B152" s="60"/>
      <c r="C152" s="60">
        <f>SUM(C148*'Data Links'!$B$8)</f>
        <v>0</v>
      </c>
      <c r="D152" s="66">
        <f>SUM(D148*'Data Links'!$B$8)</f>
        <v>0</v>
      </c>
      <c r="E152" s="66">
        <f>SUM(E148*'Data Links'!$B$8)</f>
        <v>0</v>
      </c>
      <c r="F152" s="66">
        <f>SUM(F148*'Data Links'!$B$8)</f>
        <v>0</v>
      </c>
      <c r="G152" s="66">
        <f>SUM(G148*'Data Links'!$B$8)</f>
        <v>0</v>
      </c>
      <c r="H152" s="66">
        <f>SUM(H148*'Data Links'!$B$8)</f>
        <v>0</v>
      </c>
      <c r="I152" s="66">
        <f>SUM(I148*'Data Links'!$B$8)</f>
        <v>0</v>
      </c>
      <c r="J152" s="66">
        <f>SUM(J148*'Data Links'!$B$8)</f>
        <v>0</v>
      </c>
      <c r="K152" s="66">
        <f>SUM(K148*'Data Links'!$B$8)</f>
        <v>0</v>
      </c>
      <c r="L152" s="66">
        <f>SUM(L148*'Data Links'!$B$8)</f>
        <v>0</v>
      </c>
      <c r="M152" s="66">
        <f>SUM(M148*'Data Links'!$B$8)</f>
        <v>0</v>
      </c>
      <c r="N152" s="66">
        <f>SUM(N148*'Data Links'!$B$8)</f>
        <v>0</v>
      </c>
    </row>
    <row r="153" spans="1:14" s="38" customFormat="1" hidden="1" x14ac:dyDescent="0.2">
      <c r="A153" s="59" t="s">
        <v>191</v>
      </c>
      <c r="B153" s="60"/>
      <c r="C153" s="60"/>
      <c r="D153" s="66"/>
      <c r="E153" s="66"/>
      <c r="F153" s="66"/>
      <c r="G153" s="66"/>
      <c r="H153" s="66"/>
      <c r="I153" s="66"/>
      <c r="J153" s="66"/>
      <c r="K153" s="66"/>
      <c r="L153" s="66"/>
      <c r="M153" s="66"/>
      <c r="N153" s="66"/>
    </row>
    <row r="154" spans="1:14" s="38" customFormat="1" hidden="1" x14ac:dyDescent="0.2">
      <c r="A154" s="59" t="s">
        <v>192</v>
      </c>
      <c r="B154" s="60"/>
      <c r="C154" s="60"/>
      <c r="D154" s="66"/>
      <c r="E154" s="66"/>
      <c r="F154" s="66"/>
      <c r="G154" s="66"/>
      <c r="H154" s="66"/>
      <c r="I154" s="66"/>
      <c r="J154" s="66"/>
      <c r="K154" s="66"/>
      <c r="L154" s="66"/>
      <c r="M154" s="66"/>
      <c r="N154" s="66"/>
    </row>
    <row r="155" spans="1:14" s="29" customFormat="1" hidden="1" x14ac:dyDescent="0.2">
      <c r="A155" s="58" t="s">
        <v>144</v>
      </c>
      <c r="B155" s="60"/>
      <c r="C155" s="60">
        <f t="shared" ref="C155:N155" si="34">SUM(C149:C154)</f>
        <v>0</v>
      </c>
      <c r="D155" s="60">
        <f t="shared" si="34"/>
        <v>0</v>
      </c>
      <c r="E155" s="60">
        <f t="shared" si="34"/>
        <v>0</v>
      </c>
      <c r="F155" s="60">
        <f t="shared" si="34"/>
        <v>0</v>
      </c>
      <c r="G155" s="60">
        <f t="shared" si="34"/>
        <v>0</v>
      </c>
      <c r="H155" s="60">
        <f t="shared" si="34"/>
        <v>0</v>
      </c>
      <c r="I155" s="60">
        <f t="shared" si="34"/>
        <v>0</v>
      </c>
      <c r="J155" s="60">
        <f t="shared" si="34"/>
        <v>0</v>
      </c>
      <c r="K155" s="60">
        <f t="shared" si="34"/>
        <v>0</v>
      </c>
      <c r="L155" s="60">
        <f t="shared" si="34"/>
        <v>0</v>
      </c>
      <c r="M155" s="60">
        <f t="shared" si="34"/>
        <v>0</v>
      </c>
      <c r="N155" s="60">
        <f t="shared" si="34"/>
        <v>0</v>
      </c>
    </row>
    <row r="156" spans="1:14" s="38" customFormat="1" hidden="1" x14ac:dyDescent="0.2">
      <c r="A156" s="59"/>
      <c r="B156" s="60"/>
      <c r="C156" s="60"/>
      <c r="D156" s="66"/>
      <c r="E156" s="66"/>
      <c r="F156" s="66"/>
      <c r="G156" s="66"/>
      <c r="H156" s="66"/>
      <c r="I156" s="66"/>
      <c r="J156" s="66"/>
      <c r="K156" s="66"/>
      <c r="L156" s="66"/>
      <c r="M156" s="66"/>
      <c r="N156" s="66"/>
    </row>
    <row r="157" spans="1:14" s="38" customFormat="1" hidden="1" x14ac:dyDescent="0.2">
      <c r="A157" s="59"/>
      <c r="B157" s="60"/>
      <c r="C157" s="89" t="str">
        <f>C144</f>
        <v>January</v>
      </c>
      <c r="D157" s="89" t="str">
        <f t="shared" ref="D157:N157" si="35">D144</f>
        <v>February</v>
      </c>
      <c r="E157" s="89" t="str">
        <f t="shared" si="35"/>
        <v>March</v>
      </c>
      <c r="F157" s="89" t="str">
        <f t="shared" si="35"/>
        <v>April</v>
      </c>
      <c r="G157" s="89" t="str">
        <f t="shared" si="35"/>
        <v>May</v>
      </c>
      <c r="H157" s="89" t="str">
        <f t="shared" si="35"/>
        <v>June</v>
      </c>
      <c r="I157" s="89" t="str">
        <f t="shared" si="35"/>
        <v>July</v>
      </c>
      <c r="J157" s="89" t="str">
        <f t="shared" si="35"/>
        <v>August</v>
      </c>
      <c r="K157" s="89" t="str">
        <f t="shared" si="35"/>
        <v>September</v>
      </c>
      <c r="L157" s="89" t="str">
        <f t="shared" si="35"/>
        <v>October</v>
      </c>
      <c r="M157" s="89" t="str">
        <f t="shared" si="35"/>
        <v>November</v>
      </c>
      <c r="N157" s="89" t="str">
        <f t="shared" si="35"/>
        <v>December</v>
      </c>
    </row>
    <row r="158" spans="1:14" s="38" customFormat="1" hidden="1" x14ac:dyDescent="0.2">
      <c r="A158" s="59"/>
      <c r="B158" s="60"/>
      <c r="C158" s="89">
        <f t="shared" ref="C158:N159" si="36">C145</f>
        <v>31</v>
      </c>
      <c r="D158" s="89">
        <f t="shared" si="36"/>
        <v>31</v>
      </c>
      <c r="E158" s="89">
        <f t="shared" si="36"/>
        <v>30</v>
      </c>
      <c r="F158" s="89">
        <f t="shared" si="36"/>
        <v>31</v>
      </c>
      <c r="G158" s="89">
        <f t="shared" si="36"/>
        <v>30</v>
      </c>
      <c r="H158" s="89">
        <f t="shared" si="36"/>
        <v>31</v>
      </c>
      <c r="I158" s="89">
        <f t="shared" si="36"/>
        <v>31</v>
      </c>
      <c r="J158" s="89">
        <f t="shared" si="36"/>
        <v>28</v>
      </c>
      <c r="K158" s="89">
        <f t="shared" si="36"/>
        <v>31</v>
      </c>
      <c r="L158" s="89">
        <f t="shared" si="36"/>
        <v>30</v>
      </c>
      <c r="M158" s="89">
        <f t="shared" si="36"/>
        <v>31</v>
      </c>
      <c r="N158" s="89">
        <f t="shared" si="36"/>
        <v>30</v>
      </c>
    </row>
    <row r="159" spans="1:14" s="38" customFormat="1" hidden="1" x14ac:dyDescent="0.2">
      <c r="A159" s="59"/>
      <c r="B159" s="89" t="s">
        <v>185</v>
      </c>
      <c r="C159" s="89">
        <f t="shared" si="36"/>
        <v>1</v>
      </c>
      <c r="D159" s="78">
        <f t="shared" si="36"/>
        <v>0</v>
      </c>
      <c r="E159" s="78">
        <f t="shared" si="36"/>
        <v>1</v>
      </c>
      <c r="F159" s="78">
        <f t="shared" si="36"/>
        <v>0</v>
      </c>
      <c r="G159" s="78">
        <f t="shared" si="36"/>
        <v>2</v>
      </c>
      <c r="H159" s="78">
        <f t="shared" si="36"/>
        <v>0</v>
      </c>
      <c r="I159" s="78">
        <f t="shared" si="36"/>
        <v>2</v>
      </c>
      <c r="J159" s="78">
        <f t="shared" si="36"/>
        <v>1</v>
      </c>
      <c r="K159" s="78">
        <f t="shared" si="36"/>
        <v>0</v>
      </c>
      <c r="L159" s="78">
        <f t="shared" si="36"/>
        <v>0</v>
      </c>
      <c r="M159" s="78">
        <f t="shared" si="36"/>
        <v>1</v>
      </c>
      <c r="N159" s="78">
        <f t="shared" si="36"/>
        <v>0</v>
      </c>
    </row>
    <row r="160" spans="1:14" s="38" customFormat="1" hidden="1" x14ac:dyDescent="0.2">
      <c r="A160" s="59"/>
      <c r="B160" s="89" t="s">
        <v>44</v>
      </c>
      <c r="C160" s="37"/>
      <c r="D160" s="49"/>
      <c r="E160" s="49"/>
      <c r="F160" s="49"/>
      <c r="G160" s="49"/>
      <c r="H160" s="49"/>
      <c r="I160" s="49"/>
      <c r="J160" s="49"/>
      <c r="K160" s="49"/>
      <c r="L160" s="49"/>
      <c r="M160" s="49"/>
      <c r="N160" s="49"/>
    </row>
    <row r="161" spans="1:14" s="38" customFormat="1" hidden="1" x14ac:dyDescent="0.2">
      <c r="A161" s="59"/>
      <c r="B161" s="89" t="s">
        <v>186</v>
      </c>
      <c r="C161" s="72">
        <f t="shared" ref="C161:N161" si="37">SUM(174*C160)</f>
        <v>0</v>
      </c>
      <c r="D161" s="53">
        <f t="shared" si="37"/>
        <v>0</v>
      </c>
      <c r="E161" s="53">
        <f t="shared" si="37"/>
        <v>0</v>
      </c>
      <c r="F161" s="53">
        <f t="shared" si="37"/>
        <v>0</v>
      </c>
      <c r="G161" s="53">
        <f t="shared" si="37"/>
        <v>0</v>
      </c>
      <c r="H161" s="53">
        <f t="shared" si="37"/>
        <v>0</v>
      </c>
      <c r="I161" s="53">
        <f t="shared" si="37"/>
        <v>0</v>
      </c>
      <c r="J161" s="53">
        <f t="shared" si="37"/>
        <v>0</v>
      </c>
      <c r="K161" s="53">
        <f t="shared" si="37"/>
        <v>0</v>
      </c>
      <c r="L161" s="53">
        <f t="shared" si="37"/>
        <v>0</v>
      </c>
      <c r="M161" s="53">
        <f t="shared" si="37"/>
        <v>0</v>
      </c>
      <c r="N161" s="53">
        <f t="shared" si="37"/>
        <v>0</v>
      </c>
    </row>
    <row r="162" spans="1:14" s="38" customFormat="1" hidden="1" x14ac:dyDescent="0.2">
      <c r="A162" s="59" t="s">
        <v>193</v>
      </c>
      <c r="B162" s="78" t="s">
        <v>187</v>
      </c>
      <c r="C162" s="60">
        <f>SUM(C161*$B$163)</f>
        <v>0</v>
      </c>
      <c r="D162" s="66">
        <f t="shared" ref="D162:N162" si="38">SUM(D161*$B$163)</f>
        <v>0</v>
      </c>
      <c r="E162" s="66">
        <f t="shared" si="38"/>
        <v>0</v>
      </c>
      <c r="F162" s="66">
        <f t="shared" si="38"/>
        <v>0</v>
      </c>
      <c r="G162" s="66">
        <f t="shared" si="38"/>
        <v>0</v>
      </c>
      <c r="H162" s="66">
        <f t="shared" si="38"/>
        <v>0</v>
      </c>
      <c r="I162" s="66">
        <f t="shared" si="38"/>
        <v>0</v>
      </c>
      <c r="J162" s="66">
        <f t="shared" si="38"/>
        <v>0</v>
      </c>
      <c r="K162" s="66">
        <f t="shared" si="38"/>
        <v>0</v>
      </c>
      <c r="L162" s="66">
        <f t="shared" si="38"/>
        <v>0</v>
      </c>
      <c r="M162" s="66">
        <f t="shared" si="38"/>
        <v>0</v>
      </c>
      <c r="N162" s="66">
        <f t="shared" si="38"/>
        <v>0</v>
      </c>
    </row>
    <row r="163" spans="1:14" s="38" customFormat="1" hidden="1" x14ac:dyDescent="0.2">
      <c r="A163" s="59" t="s">
        <v>188</v>
      </c>
      <c r="B163" s="74">
        <v>0</v>
      </c>
      <c r="C163" s="60">
        <f>SUM(C162)*'Data Links'!$B$15</f>
        <v>0</v>
      </c>
      <c r="D163" s="66">
        <f>SUM(D162)*'Data Links'!$B$15</f>
        <v>0</v>
      </c>
      <c r="E163" s="66">
        <f>SUM(E162)*'Data Links'!$B$15</f>
        <v>0</v>
      </c>
      <c r="F163" s="66">
        <f>SUM(F162)*'Data Links'!$B$15</f>
        <v>0</v>
      </c>
      <c r="G163" s="66">
        <f>SUM(G162)*'Data Links'!$B$15</f>
        <v>0</v>
      </c>
      <c r="H163" s="66">
        <f>SUM(H162)*'Data Links'!$B$15</f>
        <v>0</v>
      </c>
      <c r="I163" s="66">
        <f>SUM(I162)*'Data Links'!$B$15</f>
        <v>0</v>
      </c>
      <c r="J163" s="66">
        <f>SUM(J162)*'Data Links'!$B$15</f>
        <v>0</v>
      </c>
      <c r="K163" s="66">
        <f>SUM(K162)*'Data Links'!$B$15</f>
        <v>0</v>
      </c>
      <c r="L163" s="66">
        <f>SUM(L162)*'Data Links'!$B$15</f>
        <v>0</v>
      </c>
      <c r="M163" s="66">
        <f>SUM(M162)*'Data Links'!$B$15</f>
        <v>0</v>
      </c>
      <c r="N163" s="66">
        <f>SUM(N162)*'Data Links'!$B$15</f>
        <v>0</v>
      </c>
    </row>
    <row r="164" spans="1:14" s="38" customFormat="1" hidden="1" x14ac:dyDescent="0.2">
      <c r="A164" s="59" t="s">
        <v>189</v>
      </c>
      <c r="B164" s="60"/>
      <c r="C164" s="60">
        <f>SUM(C162*'Data Links'!$B$13)</f>
        <v>0</v>
      </c>
      <c r="D164" s="66">
        <f>SUM(D162*'Data Links'!$B$13)</f>
        <v>0</v>
      </c>
      <c r="E164" s="66">
        <f>SUM(E162*'Data Links'!$B$13)</f>
        <v>0</v>
      </c>
      <c r="F164" s="66">
        <f>SUM(F162*'Data Links'!$B$13)</f>
        <v>0</v>
      </c>
      <c r="G164" s="66">
        <f>SUM(G162*'Data Links'!$B$13)</f>
        <v>0</v>
      </c>
      <c r="H164" s="66">
        <f>SUM(H162*'Data Links'!$B$13)</f>
        <v>0</v>
      </c>
      <c r="I164" s="66">
        <f>SUM(I162*'Data Links'!$B$13)</f>
        <v>0</v>
      </c>
      <c r="J164" s="66">
        <f>SUM(J162*'Data Links'!$B$13)</f>
        <v>0</v>
      </c>
      <c r="K164" s="66">
        <f>SUM(K162*'Data Links'!$B$13)</f>
        <v>0</v>
      </c>
      <c r="L164" s="66">
        <f>SUM(L162*'Data Links'!$B$13)</f>
        <v>0</v>
      </c>
      <c r="M164" s="66">
        <f>SUM(M162*'Data Links'!$B$13)</f>
        <v>0</v>
      </c>
      <c r="N164" s="66">
        <f>SUM(N162*'Data Links'!$B$13)</f>
        <v>0</v>
      </c>
    </row>
    <row r="165" spans="1:14" s="38" customFormat="1" hidden="1" x14ac:dyDescent="0.2">
      <c r="A165" s="59" t="s">
        <v>190</v>
      </c>
      <c r="B165" s="60"/>
      <c r="C165" s="60">
        <f>SUM(C161*'Data Links'!$B$8)</f>
        <v>0</v>
      </c>
      <c r="D165" s="66">
        <f>SUM(D161*'Data Links'!$B$8)</f>
        <v>0</v>
      </c>
      <c r="E165" s="66">
        <f>SUM(E161*'Data Links'!$B$8)</f>
        <v>0</v>
      </c>
      <c r="F165" s="66">
        <f>SUM(F161*'Data Links'!$B$8)</f>
        <v>0</v>
      </c>
      <c r="G165" s="66">
        <f>SUM(G161*'Data Links'!$B$8)</f>
        <v>0</v>
      </c>
      <c r="H165" s="66">
        <f>SUM(H161*'Data Links'!$B$8)</f>
        <v>0</v>
      </c>
      <c r="I165" s="66">
        <f>SUM(I161*'Data Links'!$B$8)</f>
        <v>0</v>
      </c>
      <c r="J165" s="66">
        <f>SUM(J161*'Data Links'!$B$8)</f>
        <v>0</v>
      </c>
      <c r="K165" s="66">
        <f>SUM(K161*'Data Links'!$B$8)</f>
        <v>0</v>
      </c>
      <c r="L165" s="66">
        <f>SUM(L161*'Data Links'!$B$8)</f>
        <v>0</v>
      </c>
      <c r="M165" s="66">
        <f>SUM(M161*'Data Links'!$B$8)</f>
        <v>0</v>
      </c>
      <c r="N165" s="66">
        <f>SUM(N161*'Data Links'!$B$8)</f>
        <v>0</v>
      </c>
    </row>
    <row r="166" spans="1:14" s="38" customFormat="1" hidden="1" x14ac:dyDescent="0.2">
      <c r="A166" s="59" t="s">
        <v>191</v>
      </c>
      <c r="B166" s="60"/>
      <c r="C166" s="60"/>
      <c r="D166" s="66"/>
      <c r="E166" s="66"/>
      <c r="F166" s="66"/>
      <c r="G166" s="66"/>
      <c r="H166" s="66"/>
      <c r="I166" s="66"/>
      <c r="J166" s="66"/>
      <c r="K166" s="66"/>
      <c r="L166" s="66"/>
      <c r="M166" s="66"/>
      <c r="N166" s="66"/>
    </row>
    <row r="167" spans="1:14" s="38" customFormat="1" hidden="1" x14ac:dyDescent="0.2">
      <c r="A167" s="59" t="s">
        <v>192</v>
      </c>
      <c r="B167" s="60"/>
      <c r="C167" s="60"/>
      <c r="D167" s="66"/>
      <c r="E167" s="66"/>
      <c r="F167" s="66"/>
      <c r="G167" s="66"/>
      <c r="H167" s="66"/>
      <c r="I167" s="66"/>
      <c r="J167" s="66"/>
      <c r="K167" s="66"/>
      <c r="L167" s="66"/>
      <c r="M167" s="66"/>
      <c r="N167" s="66"/>
    </row>
    <row r="168" spans="1:14" s="29" customFormat="1" hidden="1" x14ac:dyDescent="0.2">
      <c r="A168" s="58" t="s">
        <v>144</v>
      </c>
      <c r="B168" s="60"/>
      <c r="C168" s="60">
        <f t="shared" ref="C168:N168" si="39">SUM(C162:C167)</f>
        <v>0</v>
      </c>
      <c r="D168" s="60">
        <f t="shared" si="39"/>
        <v>0</v>
      </c>
      <c r="E168" s="60">
        <f t="shared" si="39"/>
        <v>0</v>
      </c>
      <c r="F168" s="60">
        <f t="shared" si="39"/>
        <v>0</v>
      </c>
      <c r="G168" s="60">
        <f t="shared" si="39"/>
        <v>0</v>
      </c>
      <c r="H168" s="60">
        <f t="shared" si="39"/>
        <v>0</v>
      </c>
      <c r="I168" s="60">
        <f t="shared" si="39"/>
        <v>0</v>
      </c>
      <c r="J168" s="60">
        <f t="shared" si="39"/>
        <v>0</v>
      </c>
      <c r="K168" s="60">
        <f t="shared" si="39"/>
        <v>0</v>
      </c>
      <c r="L168" s="60">
        <f t="shared" si="39"/>
        <v>0</v>
      </c>
      <c r="M168" s="60">
        <f t="shared" si="39"/>
        <v>0</v>
      </c>
      <c r="N168" s="60">
        <f t="shared" si="39"/>
        <v>0</v>
      </c>
    </row>
    <row r="169" spans="1:14" s="38" customFormat="1" x14ac:dyDescent="0.2">
      <c r="A169" s="59"/>
      <c r="B169" s="60"/>
      <c r="C169" s="60"/>
      <c r="D169" s="66"/>
      <c r="E169" s="66"/>
      <c r="F169" s="66"/>
      <c r="G169" s="66"/>
      <c r="H169" s="66"/>
      <c r="I169" s="66"/>
      <c r="J169" s="66"/>
      <c r="K169" s="66"/>
      <c r="L169" s="66"/>
      <c r="M169" s="66"/>
      <c r="N169" s="66"/>
    </row>
    <row r="170" spans="1:14" s="38" customFormat="1" x14ac:dyDescent="0.2">
      <c r="A170" s="59"/>
      <c r="B170" s="60"/>
      <c r="C170" s="89" t="str">
        <f>C157</f>
        <v>January</v>
      </c>
      <c r="D170" s="89" t="str">
        <f t="shared" ref="D170:N170" si="40">D157</f>
        <v>February</v>
      </c>
      <c r="E170" s="89" t="str">
        <f t="shared" si="40"/>
        <v>March</v>
      </c>
      <c r="F170" s="89" t="str">
        <f t="shared" si="40"/>
        <v>April</v>
      </c>
      <c r="G170" s="89" t="str">
        <f t="shared" si="40"/>
        <v>May</v>
      </c>
      <c r="H170" s="89" t="str">
        <f t="shared" si="40"/>
        <v>June</v>
      </c>
      <c r="I170" s="89" t="str">
        <f t="shared" si="40"/>
        <v>July</v>
      </c>
      <c r="J170" s="89" t="str">
        <f t="shared" si="40"/>
        <v>August</v>
      </c>
      <c r="K170" s="89" t="str">
        <f t="shared" si="40"/>
        <v>September</v>
      </c>
      <c r="L170" s="89" t="str">
        <f t="shared" si="40"/>
        <v>October</v>
      </c>
      <c r="M170" s="89" t="str">
        <f t="shared" si="40"/>
        <v>November</v>
      </c>
      <c r="N170" s="89" t="str">
        <f t="shared" si="40"/>
        <v>December</v>
      </c>
    </row>
    <row r="171" spans="1:14" s="38" customFormat="1" x14ac:dyDescent="0.2">
      <c r="A171" s="59"/>
      <c r="B171" s="60"/>
      <c r="C171" s="72">
        <v>31</v>
      </c>
      <c r="D171" s="72">
        <v>31</v>
      </c>
      <c r="E171" s="72">
        <v>30</v>
      </c>
      <c r="F171" s="72">
        <v>31</v>
      </c>
      <c r="G171" s="72">
        <v>30</v>
      </c>
      <c r="H171" s="72">
        <v>31</v>
      </c>
      <c r="I171" s="72">
        <v>31</v>
      </c>
      <c r="J171" s="72">
        <v>28</v>
      </c>
      <c r="K171" s="72">
        <v>31</v>
      </c>
      <c r="L171" s="72">
        <v>30</v>
      </c>
      <c r="M171" s="72">
        <v>31</v>
      </c>
      <c r="N171" s="71">
        <v>30</v>
      </c>
    </row>
    <row r="172" spans="1:14" s="38" customFormat="1" x14ac:dyDescent="0.2">
      <c r="A172" s="59"/>
      <c r="B172" s="89" t="s">
        <v>185</v>
      </c>
      <c r="C172" s="78">
        <v>1</v>
      </c>
      <c r="D172" s="78">
        <v>0</v>
      </c>
      <c r="E172" s="78">
        <v>1</v>
      </c>
      <c r="F172" s="78">
        <f>F159</f>
        <v>0</v>
      </c>
      <c r="G172" s="78">
        <v>2</v>
      </c>
      <c r="H172" s="78">
        <f>H159</f>
        <v>0</v>
      </c>
      <c r="I172" s="78">
        <v>2</v>
      </c>
      <c r="J172" s="78">
        <v>1</v>
      </c>
      <c r="K172" s="78">
        <v>0</v>
      </c>
      <c r="L172" s="78">
        <v>0</v>
      </c>
      <c r="M172" s="78">
        <v>1</v>
      </c>
      <c r="N172" s="78">
        <f>N159</f>
        <v>0</v>
      </c>
    </row>
    <row r="173" spans="1:14" s="38" customFormat="1" x14ac:dyDescent="0.2">
      <c r="A173" s="59"/>
      <c r="B173" s="89" t="s">
        <v>44</v>
      </c>
      <c r="C173" s="49">
        <v>1</v>
      </c>
      <c r="D173" s="49">
        <v>1</v>
      </c>
      <c r="E173" s="49">
        <v>1</v>
      </c>
      <c r="F173" s="49">
        <v>1</v>
      </c>
      <c r="G173" s="49">
        <v>1</v>
      </c>
      <c r="H173" s="49">
        <v>1</v>
      </c>
      <c r="I173" s="49">
        <v>1</v>
      </c>
      <c r="J173" s="49">
        <v>1</v>
      </c>
      <c r="K173" s="49">
        <v>1</v>
      </c>
      <c r="L173" s="49">
        <v>1</v>
      </c>
      <c r="M173" s="49">
        <v>1</v>
      </c>
      <c r="N173" s="49">
        <v>1</v>
      </c>
    </row>
    <row r="174" spans="1:14" s="38" customFormat="1" x14ac:dyDescent="0.2">
      <c r="A174" s="59"/>
      <c r="B174" s="89" t="s">
        <v>186</v>
      </c>
      <c r="C174" s="53">
        <f t="shared" ref="C174:N174" si="41">SUM(174*C173)</f>
        <v>174</v>
      </c>
      <c r="D174" s="53">
        <f t="shared" si="41"/>
        <v>174</v>
      </c>
      <c r="E174" s="53">
        <f t="shared" si="41"/>
        <v>174</v>
      </c>
      <c r="F174" s="53">
        <f t="shared" si="41"/>
        <v>174</v>
      </c>
      <c r="G174" s="53">
        <f t="shared" si="41"/>
        <v>174</v>
      </c>
      <c r="H174" s="53">
        <f t="shared" si="41"/>
        <v>174</v>
      </c>
      <c r="I174" s="53">
        <f t="shared" si="41"/>
        <v>174</v>
      </c>
      <c r="J174" s="53">
        <f t="shared" si="41"/>
        <v>174</v>
      </c>
      <c r="K174" s="53">
        <f t="shared" si="41"/>
        <v>174</v>
      </c>
      <c r="L174" s="53">
        <f t="shared" si="41"/>
        <v>174</v>
      </c>
      <c r="M174" s="53">
        <f t="shared" si="41"/>
        <v>174</v>
      </c>
      <c r="N174" s="53">
        <f t="shared" si="41"/>
        <v>174</v>
      </c>
    </row>
    <row r="175" spans="1:14" s="38" customFormat="1" x14ac:dyDescent="0.2">
      <c r="A175" s="59" t="s">
        <v>470</v>
      </c>
      <c r="B175" s="78" t="s">
        <v>199</v>
      </c>
      <c r="C175" s="66">
        <f>SUM(C174*$B$176)</f>
        <v>3749.6999999999994</v>
      </c>
      <c r="D175" s="66">
        <f t="shared" ref="D175:N175" si="42">SUM(D174*$B$176)</f>
        <v>3749.6999999999994</v>
      </c>
      <c r="E175" s="66">
        <f t="shared" si="42"/>
        <v>3749.6999999999994</v>
      </c>
      <c r="F175" s="66">
        <f t="shared" si="42"/>
        <v>3749.6999999999994</v>
      </c>
      <c r="G175" s="66">
        <f t="shared" si="42"/>
        <v>3749.6999999999994</v>
      </c>
      <c r="H175" s="66">
        <f t="shared" si="42"/>
        <v>3749.6999999999994</v>
      </c>
      <c r="I175" s="66">
        <f t="shared" si="42"/>
        <v>3749.6999999999994</v>
      </c>
      <c r="J175" s="66">
        <f t="shared" si="42"/>
        <v>3749.6999999999994</v>
      </c>
      <c r="K175" s="66">
        <f t="shared" si="42"/>
        <v>3749.6999999999994</v>
      </c>
      <c r="L175" s="66">
        <f t="shared" si="42"/>
        <v>3749.6999999999994</v>
      </c>
      <c r="M175" s="66">
        <f t="shared" si="42"/>
        <v>3749.6999999999994</v>
      </c>
      <c r="N175" s="66">
        <f t="shared" si="42"/>
        <v>3749.6999999999994</v>
      </c>
    </row>
    <row r="176" spans="1:14" s="38" customFormat="1" x14ac:dyDescent="0.2">
      <c r="A176" s="59" t="s">
        <v>188</v>
      </c>
      <c r="B176" s="241">
        <f>20.65+0.9</f>
        <v>21.549999999999997</v>
      </c>
      <c r="C176" s="66">
        <f>SUM(C175)*'Data Links'!$B$15</f>
        <v>286.85204999999996</v>
      </c>
      <c r="D176" s="66">
        <f>SUM(D175)*'Data Links'!$B$15</f>
        <v>286.85204999999996</v>
      </c>
      <c r="E176" s="66">
        <f>SUM(E175)*'Data Links'!$B$15</f>
        <v>286.85204999999996</v>
      </c>
      <c r="F176" s="66">
        <f>SUM(F175)*'Data Links'!$B$15</f>
        <v>286.85204999999996</v>
      </c>
      <c r="G176" s="66">
        <f>SUM(G175)*'Data Links'!$B$15</f>
        <v>286.85204999999996</v>
      </c>
      <c r="H176" s="66">
        <f>SUM(H175)*'Data Links'!$B$15</f>
        <v>286.85204999999996</v>
      </c>
      <c r="I176" s="66">
        <f>SUM(I175)*'Data Links'!$B$15</f>
        <v>286.85204999999996</v>
      </c>
      <c r="J176" s="66">
        <f>SUM(J175)*'Data Links'!$B$15</f>
        <v>286.85204999999996</v>
      </c>
      <c r="K176" s="66">
        <f>SUM(K175)*'Data Links'!$B$15</f>
        <v>286.85204999999996</v>
      </c>
      <c r="L176" s="66">
        <f>SUM(L175)*'Data Links'!$B$15</f>
        <v>286.85204999999996</v>
      </c>
      <c r="M176" s="66">
        <f>SUM(M175)*'Data Links'!$B$15</f>
        <v>286.85204999999996</v>
      </c>
      <c r="N176" s="66">
        <f>SUM(N175)*'Data Links'!$B$15</f>
        <v>286.85204999999996</v>
      </c>
    </row>
    <row r="177" spans="1:14" s="38" customFormat="1" x14ac:dyDescent="0.2">
      <c r="A177" s="59" t="s">
        <v>189</v>
      </c>
      <c r="B177" s="60"/>
      <c r="C177" s="66">
        <f>SUM(C175*'Data Links'!$B$13)</f>
        <v>22.498199999999997</v>
      </c>
      <c r="D177" s="66">
        <f>SUM(D175*'Data Links'!$B$13)</f>
        <v>22.498199999999997</v>
      </c>
      <c r="E177" s="66">
        <f>SUM(E175*'Data Links'!$B$13)</f>
        <v>22.498199999999997</v>
      </c>
      <c r="F177" s="66">
        <f>SUM(F175*'Data Links'!$B$13)</f>
        <v>22.498199999999997</v>
      </c>
      <c r="G177" s="66">
        <f>SUM(G175*'Data Links'!$B$13)</f>
        <v>22.498199999999997</v>
      </c>
      <c r="H177" s="66">
        <f>SUM(H175*'Data Links'!$B$13)</f>
        <v>22.498199999999997</v>
      </c>
      <c r="I177" s="66">
        <f>SUM(I175*'Data Links'!$B$13)</f>
        <v>22.498199999999997</v>
      </c>
      <c r="J177" s="66">
        <f>SUM(J175*'Data Links'!$B$13)</f>
        <v>22.498199999999997</v>
      </c>
      <c r="K177" s="66">
        <f>SUM(K175*'Data Links'!$B$13)</f>
        <v>22.498199999999997</v>
      </c>
      <c r="L177" s="66">
        <f>SUM(L175*'Data Links'!$B$13)</f>
        <v>22.498199999999997</v>
      </c>
      <c r="M177" s="66">
        <f>SUM(M175*'Data Links'!$B$13)</f>
        <v>22.498199999999997</v>
      </c>
      <c r="N177" s="66">
        <f>SUM(N175*'Data Links'!$B$13)</f>
        <v>22.498199999999997</v>
      </c>
    </row>
    <row r="178" spans="1:14" s="38" customFormat="1" x14ac:dyDescent="0.2">
      <c r="A178" s="59" t="s">
        <v>190</v>
      </c>
      <c r="B178" s="60"/>
      <c r="C178" s="66">
        <f>SUM(C174*'Data Links'!$B$8)</f>
        <v>13.5459</v>
      </c>
      <c r="D178" s="66">
        <f>SUM(D174*'Data Links'!$B$8)</f>
        <v>13.5459</v>
      </c>
      <c r="E178" s="66">
        <f>SUM(E174*'Data Links'!$B$8)</f>
        <v>13.5459</v>
      </c>
      <c r="F178" s="66">
        <f>SUM(F174*'Data Links'!$B$8)</f>
        <v>13.5459</v>
      </c>
      <c r="G178" s="66">
        <f>SUM(G174*'Data Links'!$B$8)</f>
        <v>13.5459</v>
      </c>
      <c r="H178" s="66">
        <f>SUM(H174*'Data Links'!$B$8)</f>
        <v>13.5459</v>
      </c>
      <c r="I178" s="66">
        <f>SUM(I174*'Data Links'!$B$8)</f>
        <v>13.5459</v>
      </c>
      <c r="J178" s="66">
        <f>SUM(J174*'Data Links'!$B$8)</f>
        <v>13.5459</v>
      </c>
      <c r="K178" s="66">
        <f>SUM(K174*'Data Links'!$B$8)</f>
        <v>13.5459</v>
      </c>
      <c r="L178" s="66">
        <f>SUM(L174*'Data Links'!$B$8)</f>
        <v>13.5459</v>
      </c>
      <c r="M178" s="66">
        <f>SUM(M174*'Data Links'!$B$8)</f>
        <v>13.5459</v>
      </c>
      <c r="N178" s="66">
        <f>SUM(N174*'Data Links'!$B$8)</f>
        <v>13.5459</v>
      </c>
    </row>
    <row r="179" spans="1:14" s="38" customFormat="1" x14ac:dyDescent="0.2">
      <c r="A179" s="59" t="s">
        <v>191</v>
      </c>
      <c r="B179" s="60"/>
      <c r="C179" s="66"/>
      <c r="D179" s="66"/>
      <c r="E179" s="66"/>
      <c r="F179" s="66"/>
      <c r="G179" s="66"/>
      <c r="H179" s="66"/>
      <c r="I179" s="66"/>
      <c r="J179" s="66"/>
      <c r="K179" s="66"/>
      <c r="L179" s="66"/>
      <c r="M179" s="66"/>
      <c r="N179" s="66"/>
    </row>
    <row r="180" spans="1:14" s="38" customFormat="1" x14ac:dyDescent="0.2">
      <c r="A180" s="59" t="s">
        <v>192</v>
      </c>
      <c r="B180" s="60"/>
      <c r="C180" s="66">
        <f>SUM(C175*'Data Links'!$B$17)</f>
        <v>112.49099999999997</v>
      </c>
      <c r="D180" s="66">
        <f>SUM(D175*'Data Links'!$B$17)</f>
        <v>112.49099999999997</v>
      </c>
      <c r="E180" s="66">
        <f>SUM(E175*'Data Links'!$B$17)</f>
        <v>112.49099999999997</v>
      </c>
      <c r="F180" s="66">
        <f>SUM(F175*'Data Links'!$B$17)</f>
        <v>112.49099999999997</v>
      </c>
      <c r="G180" s="66">
        <f>SUM(G175*'Data Links'!$B$17)</f>
        <v>112.49099999999997</v>
      </c>
      <c r="H180" s="66">
        <f>SUM(H175*'Data Links'!$B$17)</f>
        <v>112.49099999999997</v>
      </c>
      <c r="I180" s="66">
        <f>SUM(I175*'Data Links'!$B$17)</f>
        <v>112.49099999999997</v>
      </c>
      <c r="J180" s="66">
        <f>SUM(J175*'Data Links'!$B$17)</f>
        <v>112.49099999999997</v>
      </c>
      <c r="K180" s="66">
        <f>SUM(K175*'Data Links'!$B$17)</f>
        <v>112.49099999999997</v>
      </c>
      <c r="L180" s="66">
        <f>SUM(L175*'Data Links'!$B$17)</f>
        <v>112.49099999999997</v>
      </c>
      <c r="M180" s="66">
        <f>SUM(M175*'Data Links'!$B$17)</f>
        <v>112.49099999999997</v>
      </c>
      <c r="N180" s="66">
        <f>SUM(N175*'Data Links'!$B$17)</f>
        <v>112.49099999999997</v>
      </c>
    </row>
    <row r="181" spans="1:14" s="29" customFormat="1" x14ac:dyDescent="0.2">
      <c r="A181" s="58" t="s">
        <v>144</v>
      </c>
      <c r="B181" s="60"/>
      <c r="C181" s="60">
        <f t="shared" ref="C181:N181" si="43">SUM(C175:C180)</f>
        <v>4185.0871499999994</v>
      </c>
      <c r="D181" s="60">
        <f t="shared" si="43"/>
        <v>4185.0871499999994</v>
      </c>
      <c r="E181" s="60">
        <f t="shared" si="43"/>
        <v>4185.0871499999994</v>
      </c>
      <c r="F181" s="60">
        <f t="shared" si="43"/>
        <v>4185.0871499999994</v>
      </c>
      <c r="G181" s="60">
        <f t="shared" si="43"/>
        <v>4185.0871499999994</v>
      </c>
      <c r="H181" s="60">
        <f t="shared" si="43"/>
        <v>4185.0871499999994</v>
      </c>
      <c r="I181" s="60">
        <f t="shared" si="43"/>
        <v>4185.0871499999994</v>
      </c>
      <c r="J181" s="60">
        <f t="shared" si="43"/>
        <v>4185.0871499999994</v>
      </c>
      <c r="K181" s="60">
        <f t="shared" si="43"/>
        <v>4185.0871499999994</v>
      </c>
      <c r="L181" s="60">
        <f t="shared" si="43"/>
        <v>4185.0871499999994</v>
      </c>
      <c r="M181" s="60">
        <f t="shared" si="43"/>
        <v>4185.0871499999994</v>
      </c>
      <c r="N181" s="60">
        <f t="shared" si="43"/>
        <v>4185.0871499999994</v>
      </c>
    </row>
    <row r="182" spans="1:14" s="58" customFormat="1" x14ac:dyDescent="0.2">
      <c r="B182" s="60"/>
      <c r="C182" s="60"/>
      <c r="D182" s="60"/>
      <c r="E182" s="60"/>
      <c r="F182" s="60"/>
      <c r="G182" s="60"/>
      <c r="H182" s="60"/>
      <c r="I182" s="60"/>
      <c r="J182" s="60"/>
      <c r="K182" s="60"/>
      <c r="L182" s="60"/>
      <c r="M182" s="60"/>
      <c r="N182" s="60"/>
    </row>
    <row r="183" spans="1:14" s="58" customFormat="1" hidden="1" x14ac:dyDescent="0.2">
      <c r="A183" s="59"/>
      <c r="B183" s="60"/>
      <c r="C183" s="89" t="str">
        <f>C170</f>
        <v>January</v>
      </c>
      <c r="D183" s="89" t="str">
        <f t="shared" ref="D183:N183" si="44">D170</f>
        <v>February</v>
      </c>
      <c r="E183" s="89" t="str">
        <f t="shared" si="44"/>
        <v>March</v>
      </c>
      <c r="F183" s="89" t="str">
        <f t="shared" si="44"/>
        <v>April</v>
      </c>
      <c r="G183" s="89" t="str">
        <f t="shared" si="44"/>
        <v>May</v>
      </c>
      <c r="H183" s="89" t="str">
        <f t="shared" si="44"/>
        <v>June</v>
      </c>
      <c r="I183" s="89" t="str">
        <f t="shared" si="44"/>
        <v>July</v>
      </c>
      <c r="J183" s="89" t="str">
        <f t="shared" si="44"/>
        <v>August</v>
      </c>
      <c r="K183" s="89" t="str">
        <f t="shared" si="44"/>
        <v>September</v>
      </c>
      <c r="L183" s="89" t="str">
        <f t="shared" si="44"/>
        <v>October</v>
      </c>
      <c r="M183" s="89" t="str">
        <f t="shared" si="44"/>
        <v>November</v>
      </c>
      <c r="N183" s="89" t="str">
        <f t="shared" si="44"/>
        <v>December</v>
      </c>
    </row>
    <row r="184" spans="1:14" s="58" customFormat="1" hidden="1" x14ac:dyDescent="0.2">
      <c r="A184" s="59"/>
      <c r="B184" s="60"/>
      <c r="C184" s="72">
        <v>31</v>
      </c>
      <c r="D184" s="72">
        <v>31</v>
      </c>
      <c r="E184" s="72">
        <v>30</v>
      </c>
      <c r="F184" s="72">
        <v>31</v>
      </c>
      <c r="G184" s="72">
        <v>30</v>
      </c>
      <c r="H184" s="72">
        <v>31</v>
      </c>
      <c r="I184" s="72">
        <v>31</v>
      </c>
      <c r="J184" s="72">
        <v>28</v>
      </c>
      <c r="K184" s="72">
        <v>31</v>
      </c>
      <c r="L184" s="72">
        <v>30</v>
      </c>
      <c r="M184" s="72">
        <v>31</v>
      </c>
      <c r="N184" s="71">
        <v>30</v>
      </c>
    </row>
    <row r="185" spans="1:14" s="58" customFormat="1" hidden="1" x14ac:dyDescent="0.2">
      <c r="A185" s="59"/>
      <c r="B185" s="89" t="s">
        <v>185</v>
      </c>
      <c r="C185" s="78">
        <v>1</v>
      </c>
      <c r="D185" s="78">
        <v>0</v>
      </c>
      <c r="E185" s="78">
        <v>1</v>
      </c>
      <c r="F185" s="78">
        <f>F172</f>
        <v>0</v>
      </c>
      <c r="G185" s="78">
        <v>2</v>
      </c>
      <c r="H185" s="78">
        <f>H172</f>
        <v>0</v>
      </c>
      <c r="I185" s="78">
        <v>2</v>
      </c>
      <c r="J185" s="78">
        <v>1</v>
      </c>
      <c r="K185" s="78">
        <v>0</v>
      </c>
      <c r="L185" s="78">
        <v>0</v>
      </c>
      <c r="M185" s="78">
        <v>1</v>
      </c>
      <c r="N185" s="78">
        <f>N172</f>
        <v>0</v>
      </c>
    </row>
    <row r="186" spans="1:14" s="58" customFormat="1" hidden="1" x14ac:dyDescent="0.2">
      <c r="A186" s="59"/>
      <c r="B186" s="89" t="s">
        <v>44</v>
      </c>
      <c r="C186" s="49"/>
      <c r="D186" s="49"/>
      <c r="E186" s="49"/>
      <c r="F186" s="49"/>
      <c r="G186" s="49"/>
      <c r="H186" s="49"/>
      <c r="I186" s="49"/>
      <c r="J186" s="49"/>
      <c r="K186" s="49"/>
      <c r="L186" s="49"/>
      <c r="M186" s="49"/>
      <c r="N186" s="49"/>
    </row>
    <row r="187" spans="1:14" s="58" customFormat="1" hidden="1" x14ac:dyDescent="0.2">
      <c r="A187" s="59"/>
      <c r="B187" s="89" t="s">
        <v>186</v>
      </c>
      <c r="C187" s="53">
        <f>SUM(174*C186)</f>
        <v>0</v>
      </c>
      <c r="D187" s="53">
        <f t="shared" ref="D187:N187" si="45">SUM(174*D186)</f>
        <v>0</v>
      </c>
      <c r="E187" s="53">
        <f t="shared" si="45"/>
        <v>0</v>
      </c>
      <c r="F187" s="53">
        <f t="shared" si="45"/>
        <v>0</v>
      </c>
      <c r="G187" s="53">
        <f t="shared" si="45"/>
        <v>0</v>
      </c>
      <c r="H187" s="53">
        <f t="shared" si="45"/>
        <v>0</v>
      </c>
      <c r="I187" s="53">
        <f t="shared" si="45"/>
        <v>0</v>
      </c>
      <c r="J187" s="53">
        <f t="shared" si="45"/>
        <v>0</v>
      </c>
      <c r="K187" s="53">
        <f t="shared" si="45"/>
        <v>0</v>
      </c>
      <c r="L187" s="53">
        <f t="shared" si="45"/>
        <v>0</v>
      </c>
      <c r="M187" s="53">
        <f t="shared" si="45"/>
        <v>0</v>
      </c>
      <c r="N187" s="53">
        <f t="shared" si="45"/>
        <v>0</v>
      </c>
    </row>
    <row r="188" spans="1:14" s="58" customFormat="1" hidden="1" x14ac:dyDescent="0.2">
      <c r="A188" s="59" t="s">
        <v>193</v>
      </c>
      <c r="B188" s="78" t="s">
        <v>187</v>
      </c>
      <c r="C188" s="66">
        <f>SUM(C187*$B$176)</f>
        <v>0</v>
      </c>
      <c r="D188" s="66">
        <f t="shared" ref="D188:N188" si="46">SUM(D187*$B$176)</f>
        <v>0</v>
      </c>
      <c r="E188" s="66">
        <f t="shared" si="46"/>
        <v>0</v>
      </c>
      <c r="F188" s="66">
        <f t="shared" si="46"/>
        <v>0</v>
      </c>
      <c r="G188" s="66">
        <f t="shared" si="46"/>
        <v>0</v>
      </c>
      <c r="H188" s="66">
        <f t="shared" si="46"/>
        <v>0</v>
      </c>
      <c r="I188" s="66">
        <f t="shared" si="46"/>
        <v>0</v>
      </c>
      <c r="J188" s="66">
        <f t="shared" si="46"/>
        <v>0</v>
      </c>
      <c r="K188" s="66">
        <f t="shared" si="46"/>
        <v>0</v>
      </c>
      <c r="L188" s="66">
        <f t="shared" si="46"/>
        <v>0</v>
      </c>
      <c r="M188" s="66">
        <f t="shared" si="46"/>
        <v>0</v>
      </c>
      <c r="N188" s="66">
        <f t="shared" si="46"/>
        <v>0</v>
      </c>
    </row>
    <row r="189" spans="1:14" s="58" customFormat="1" hidden="1" x14ac:dyDescent="0.2">
      <c r="A189" s="59" t="s">
        <v>188</v>
      </c>
      <c r="B189" s="367">
        <v>0</v>
      </c>
      <c r="C189" s="66">
        <f>SUM(C188)*'Data Links'!$B$15</f>
        <v>0</v>
      </c>
      <c r="D189" s="66">
        <f>SUM(D188)*'Data Links'!$B$15</f>
        <v>0</v>
      </c>
      <c r="E189" s="66">
        <f>SUM(E188)*'Data Links'!$B$15</f>
        <v>0</v>
      </c>
      <c r="F189" s="66">
        <f>SUM(F188)*'Data Links'!$B$15</f>
        <v>0</v>
      </c>
      <c r="G189" s="66">
        <f>SUM(G188)*'Data Links'!$B$15</f>
        <v>0</v>
      </c>
      <c r="H189" s="66">
        <f>SUM(H188)*'Data Links'!$B$15</f>
        <v>0</v>
      </c>
      <c r="I189" s="66">
        <f>SUM(I188)*'Data Links'!$B$15</f>
        <v>0</v>
      </c>
      <c r="J189" s="66">
        <f>SUM(J188)*'Data Links'!$B$15</f>
        <v>0</v>
      </c>
      <c r="K189" s="66">
        <f>SUM(K188)*'Data Links'!$B$15</f>
        <v>0</v>
      </c>
      <c r="L189" s="66">
        <f>SUM(L188)*'Data Links'!$B$15</f>
        <v>0</v>
      </c>
      <c r="M189" s="66">
        <f>SUM(M188)*'Data Links'!$B$15</f>
        <v>0</v>
      </c>
      <c r="N189" s="66">
        <f>SUM(N188)*'Data Links'!$B$15</f>
        <v>0</v>
      </c>
    </row>
    <row r="190" spans="1:14" s="58" customFormat="1" hidden="1" x14ac:dyDescent="0.2">
      <c r="A190" s="59" t="s">
        <v>189</v>
      </c>
      <c r="B190" s="60"/>
      <c r="C190" s="66">
        <f>SUM(C188*'Data Links'!$B$13)</f>
        <v>0</v>
      </c>
      <c r="D190" s="66">
        <f>SUM(D188*'Data Links'!$B$13)</f>
        <v>0</v>
      </c>
      <c r="E190" s="66">
        <f>SUM(E188*'Data Links'!$B$13)</f>
        <v>0</v>
      </c>
      <c r="F190" s="66">
        <f>SUM(F188*'Data Links'!$B$13)</f>
        <v>0</v>
      </c>
      <c r="G190" s="66">
        <f>SUM(G188*'Data Links'!$B$13)</f>
        <v>0</v>
      </c>
      <c r="H190" s="66">
        <f>SUM(H188*'Data Links'!$B$13)</f>
        <v>0</v>
      </c>
      <c r="I190" s="66">
        <f>SUM(I188*'Data Links'!$B$13)</f>
        <v>0</v>
      </c>
      <c r="J190" s="66">
        <f>SUM(J188*'Data Links'!$B$13)</f>
        <v>0</v>
      </c>
      <c r="K190" s="66">
        <f>SUM(K188*'Data Links'!$B$13)</f>
        <v>0</v>
      </c>
      <c r="L190" s="66">
        <f>SUM(L188*'Data Links'!$B$13)</f>
        <v>0</v>
      </c>
      <c r="M190" s="66">
        <f>SUM(M188*'Data Links'!$B$13)</f>
        <v>0</v>
      </c>
      <c r="N190" s="66">
        <f>SUM(N188*'Data Links'!$B$13)</f>
        <v>0</v>
      </c>
    </row>
    <row r="191" spans="1:14" s="58" customFormat="1" hidden="1" x14ac:dyDescent="0.2">
      <c r="A191" s="59" t="s">
        <v>190</v>
      </c>
      <c r="B191" s="60"/>
      <c r="C191" s="66">
        <f>SUM(C187*'Data Links'!$B$8)</f>
        <v>0</v>
      </c>
      <c r="D191" s="66">
        <f>SUM(D187*'Data Links'!$B$8)</f>
        <v>0</v>
      </c>
      <c r="E191" s="66">
        <f>SUM(E187*'Data Links'!$B$8)</f>
        <v>0</v>
      </c>
      <c r="F191" s="66">
        <f>SUM(F187*'Data Links'!$B$8)</f>
        <v>0</v>
      </c>
      <c r="G191" s="66">
        <f>SUM(G187*'Data Links'!$B$8)</f>
        <v>0</v>
      </c>
      <c r="H191" s="66">
        <f>SUM(H187*'Data Links'!$B$8)</f>
        <v>0</v>
      </c>
      <c r="I191" s="66">
        <f>SUM(I187*'Data Links'!$B$8)</f>
        <v>0</v>
      </c>
      <c r="J191" s="66">
        <f>SUM(J187*'Data Links'!$B$8)</f>
        <v>0</v>
      </c>
      <c r="K191" s="66">
        <f>SUM(K187*'Data Links'!$B$8)</f>
        <v>0</v>
      </c>
      <c r="L191" s="66">
        <f>SUM(L187*'Data Links'!$B$8)</f>
        <v>0</v>
      </c>
      <c r="M191" s="66">
        <f>SUM(M187*'Data Links'!$B$8)</f>
        <v>0</v>
      </c>
      <c r="N191" s="66">
        <f>SUM(N187*'Data Links'!$B$8)</f>
        <v>0</v>
      </c>
    </row>
    <row r="192" spans="1:14" s="58" customFormat="1" hidden="1" x14ac:dyDescent="0.2">
      <c r="A192" s="59" t="s">
        <v>191</v>
      </c>
      <c r="B192" s="60"/>
      <c r="C192" s="66">
        <f>SUM('Data Links'!$B$25*CMS!C186)</f>
        <v>0</v>
      </c>
      <c r="D192" s="66">
        <f>SUM('Data Links'!$B$25*CMS!D186)</f>
        <v>0</v>
      </c>
      <c r="E192" s="66">
        <f>SUM('Data Links'!$B$25*CMS!E186)</f>
        <v>0</v>
      </c>
      <c r="F192" s="66">
        <f>SUM('Data Links'!$B$25*CMS!F186)</f>
        <v>0</v>
      </c>
      <c r="G192" s="66">
        <f>SUM('Data Links'!$B$25*CMS!G186)</f>
        <v>0</v>
      </c>
      <c r="H192" s="66">
        <f>SUM('Data Links'!$B$25*CMS!H186)</f>
        <v>0</v>
      </c>
      <c r="I192" s="66">
        <f>SUM('Data Links'!$B$25*CMS!I186)</f>
        <v>0</v>
      </c>
      <c r="J192" s="66">
        <f>SUM('Data Links'!$B$25*CMS!J186)</f>
        <v>0</v>
      </c>
      <c r="K192" s="66">
        <f>SUM('Data Links'!$B$25*CMS!K186)</f>
        <v>0</v>
      </c>
      <c r="L192" s="66">
        <f>SUM('Data Links'!$B$25*CMS!L186)</f>
        <v>0</v>
      </c>
      <c r="M192" s="66">
        <f>SUM('Data Links'!$B$25*CMS!M186)</f>
        <v>0</v>
      </c>
      <c r="N192" s="66">
        <f>SUM('Data Links'!$B$25*CMS!N186)</f>
        <v>0</v>
      </c>
    </row>
    <row r="193" spans="1:15" s="58" customFormat="1" hidden="1" x14ac:dyDescent="0.2">
      <c r="A193" s="59" t="s">
        <v>192</v>
      </c>
      <c r="B193" s="60"/>
      <c r="C193" s="66"/>
      <c r="D193" s="66"/>
      <c r="E193" s="66"/>
      <c r="F193" s="66"/>
      <c r="G193" s="66"/>
      <c r="H193" s="66"/>
      <c r="I193" s="66"/>
      <c r="J193" s="66"/>
      <c r="K193" s="66">
        <f>SUM(K188*'Data Links'!$B$17)</f>
        <v>0</v>
      </c>
      <c r="L193" s="66">
        <f>SUM(L188*'Data Links'!$B$17)</f>
        <v>0</v>
      </c>
      <c r="M193" s="66">
        <f>SUM(M188*'Data Links'!$B$17)</f>
        <v>0</v>
      </c>
      <c r="N193" s="66">
        <f>SUM(N188*'Data Links'!$B$17)</f>
        <v>0</v>
      </c>
    </row>
    <row r="194" spans="1:15" s="58" customFormat="1" hidden="1" x14ac:dyDescent="0.2">
      <c r="A194" s="58" t="s">
        <v>144</v>
      </c>
      <c r="B194" s="60"/>
      <c r="C194" s="60">
        <f t="shared" ref="C194:N194" si="47">SUM(C188:C193)</f>
        <v>0</v>
      </c>
      <c r="D194" s="60">
        <f t="shared" si="47"/>
        <v>0</v>
      </c>
      <c r="E194" s="60">
        <f t="shared" si="47"/>
        <v>0</v>
      </c>
      <c r="F194" s="60">
        <f t="shared" si="47"/>
        <v>0</v>
      </c>
      <c r="G194" s="60">
        <f t="shared" si="47"/>
        <v>0</v>
      </c>
      <c r="H194" s="60">
        <f t="shared" si="47"/>
        <v>0</v>
      </c>
      <c r="I194" s="60">
        <f t="shared" si="47"/>
        <v>0</v>
      </c>
      <c r="J194" s="60">
        <f t="shared" si="47"/>
        <v>0</v>
      </c>
      <c r="K194" s="60">
        <f t="shared" si="47"/>
        <v>0</v>
      </c>
      <c r="L194" s="60">
        <f t="shared" si="47"/>
        <v>0</v>
      </c>
      <c r="M194" s="60">
        <f t="shared" si="47"/>
        <v>0</v>
      </c>
      <c r="N194" s="60">
        <f t="shared" si="47"/>
        <v>0</v>
      </c>
    </row>
    <row r="195" spans="1:15" s="58" customFormat="1" x14ac:dyDescent="0.2">
      <c r="B195" s="60"/>
      <c r="C195" s="60"/>
      <c r="D195" s="60"/>
      <c r="E195" s="60"/>
      <c r="F195" s="60"/>
      <c r="G195" s="60"/>
      <c r="H195" s="60"/>
      <c r="I195" s="60"/>
      <c r="J195" s="60"/>
      <c r="K195" s="60"/>
      <c r="L195" s="60"/>
      <c r="M195" s="60"/>
      <c r="N195" s="60"/>
    </row>
    <row r="196" spans="1:15" s="38" customFormat="1" x14ac:dyDescent="0.2">
      <c r="A196" s="59"/>
      <c r="B196" s="60"/>
      <c r="C196" s="89" t="str">
        <f t="shared" ref="C196:N196" si="48">C170</f>
        <v>January</v>
      </c>
      <c r="D196" s="89" t="str">
        <f t="shared" si="48"/>
        <v>February</v>
      </c>
      <c r="E196" s="89" t="str">
        <f t="shared" si="48"/>
        <v>March</v>
      </c>
      <c r="F196" s="89" t="str">
        <f t="shared" si="48"/>
        <v>April</v>
      </c>
      <c r="G196" s="89" t="str">
        <f t="shared" si="48"/>
        <v>May</v>
      </c>
      <c r="H196" s="89" t="str">
        <f t="shared" si="48"/>
        <v>June</v>
      </c>
      <c r="I196" s="89" t="str">
        <f t="shared" si="48"/>
        <v>July</v>
      </c>
      <c r="J196" s="89" t="str">
        <f t="shared" si="48"/>
        <v>August</v>
      </c>
      <c r="K196" s="89" t="str">
        <f t="shared" si="48"/>
        <v>September</v>
      </c>
      <c r="L196" s="89" t="str">
        <f t="shared" si="48"/>
        <v>October</v>
      </c>
      <c r="M196" s="89" t="str">
        <f t="shared" si="48"/>
        <v>November</v>
      </c>
      <c r="N196" s="89" t="str">
        <f t="shared" si="48"/>
        <v>December</v>
      </c>
    </row>
    <row r="197" spans="1:15" s="38" customFormat="1" x14ac:dyDescent="0.2">
      <c r="A197" s="59"/>
      <c r="B197" s="60"/>
      <c r="C197" s="72">
        <v>31</v>
      </c>
      <c r="D197" s="72">
        <v>31</v>
      </c>
      <c r="E197" s="72">
        <v>30</v>
      </c>
      <c r="F197" s="72">
        <v>31</v>
      </c>
      <c r="G197" s="72">
        <v>30</v>
      </c>
      <c r="H197" s="72">
        <v>31</v>
      </c>
      <c r="I197" s="72">
        <v>31</v>
      </c>
      <c r="J197" s="72">
        <v>28</v>
      </c>
      <c r="K197" s="72">
        <v>31</v>
      </c>
      <c r="L197" s="72">
        <v>30</v>
      </c>
      <c r="M197" s="72">
        <v>31</v>
      </c>
      <c r="N197" s="71">
        <v>30</v>
      </c>
    </row>
    <row r="198" spans="1:15" s="38" customFormat="1" x14ac:dyDescent="0.2">
      <c r="A198" s="59"/>
      <c r="B198" s="78" t="s">
        <v>185</v>
      </c>
      <c r="C198" s="89">
        <f t="shared" ref="C198:N198" si="49">C172</f>
        <v>1</v>
      </c>
      <c r="D198" s="78">
        <f t="shared" si="49"/>
        <v>0</v>
      </c>
      <c r="E198" s="78">
        <f t="shared" si="49"/>
        <v>1</v>
      </c>
      <c r="F198" s="78">
        <f t="shared" si="49"/>
        <v>0</v>
      </c>
      <c r="G198" s="78">
        <f t="shared" si="49"/>
        <v>2</v>
      </c>
      <c r="H198" s="78">
        <f t="shared" si="49"/>
        <v>0</v>
      </c>
      <c r="I198" s="78">
        <f t="shared" si="49"/>
        <v>2</v>
      </c>
      <c r="J198" s="78">
        <f t="shared" si="49"/>
        <v>1</v>
      </c>
      <c r="K198" s="78">
        <f t="shared" si="49"/>
        <v>0</v>
      </c>
      <c r="L198" s="78">
        <f t="shared" si="49"/>
        <v>0</v>
      </c>
      <c r="M198" s="78">
        <f t="shared" si="49"/>
        <v>1</v>
      </c>
      <c r="N198" s="78">
        <f t="shared" si="49"/>
        <v>0</v>
      </c>
    </row>
    <row r="199" spans="1:15" s="38" customFormat="1" x14ac:dyDescent="0.2">
      <c r="A199" s="59"/>
      <c r="B199" s="78" t="s">
        <v>44</v>
      </c>
      <c r="C199" s="49">
        <v>1</v>
      </c>
      <c r="D199" s="49">
        <v>1</v>
      </c>
      <c r="E199" s="49">
        <v>1</v>
      </c>
      <c r="F199" s="49">
        <v>1</v>
      </c>
      <c r="G199" s="49">
        <v>1</v>
      </c>
      <c r="H199" s="49">
        <v>1</v>
      </c>
      <c r="I199" s="49">
        <v>1</v>
      </c>
      <c r="J199" s="49">
        <v>1</v>
      </c>
      <c r="K199" s="49">
        <v>1</v>
      </c>
      <c r="L199" s="49">
        <v>1</v>
      </c>
      <c r="M199" s="49">
        <v>1</v>
      </c>
      <c r="N199" s="49">
        <v>1</v>
      </c>
    </row>
    <row r="200" spans="1:15" s="38" customFormat="1" x14ac:dyDescent="0.2">
      <c r="A200" s="59"/>
      <c r="B200" s="78" t="s">
        <v>186</v>
      </c>
      <c r="C200" s="53">
        <f t="shared" ref="C200:N200" si="50">SUM(174*C199)</f>
        <v>174</v>
      </c>
      <c r="D200" s="53">
        <f t="shared" si="50"/>
        <v>174</v>
      </c>
      <c r="E200" s="53">
        <f t="shared" si="50"/>
        <v>174</v>
      </c>
      <c r="F200" s="53">
        <f t="shared" si="50"/>
        <v>174</v>
      </c>
      <c r="G200" s="53">
        <f t="shared" si="50"/>
        <v>174</v>
      </c>
      <c r="H200" s="53">
        <f t="shared" si="50"/>
        <v>174</v>
      </c>
      <c r="I200" s="53">
        <f t="shared" si="50"/>
        <v>174</v>
      </c>
      <c r="J200" s="53">
        <f t="shared" si="50"/>
        <v>174</v>
      </c>
      <c r="K200" s="53">
        <f t="shared" si="50"/>
        <v>174</v>
      </c>
      <c r="L200" s="53">
        <f t="shared" si="50"/>
        <v>174</v>
      </c>
      <c r="M200" s="53">
        <f t="shared" si="50"/>
        <v>174</v>
      </c>
      <c r="N200" s="53">
        <f t="shared" si="50"/>
        <v>174</v>
      </c>
    </row>
    <row r="201" spans="1:15" s="38" customFormat="1" x14ac:dyDescent="0.2">
      <c r="A201" s="59" t="s">
        <v>649</v>
      </c>
      <c r="B201" s="78" t="s">
        <v>187</v>
      </c>
      <c r="C201" s="66">
        <f>SUM(C200*$B$202)</f>
        <v>2610</v>
      </c>
      <c r="D201" s="66">
        <f t="shared" ref="D201:N201" si="51">SUM(D200*$B$202)</f>
        <v>2610</v>
      </c>
      <c r="E201" s="66">
        <f t="shared" si="51"/>
        <v>2610</v>
      </c>
      <c r="F201" s="66">
        <f t="shared" si="51"/>
        <v>2610</v>
      </c>
      <c r="G201" s="66">
        <f t="shared" si="51"/>
        <v>2610</v>
      </c>
      <c r="H201" s="66">
        <f t="shared" si="51"/>
        <v>2610</v>
      </c>
      <c r="I201" s="66">
        <f t="shared" si="51"/>
        <v>2610</v>
      </c>
      <c r="J201" s="66">
        <f t="shared" si="51"/>
        <v>2610</v>
      </c>
      <c r="K201" s="66">
        <f t="shared" si="51"/>
        <v>2610</v>
      </c>
      <c r="L201" s="66">
        <f t="shared" si="51"/>
        <v>2610</v>
      </c>
      <c r="M201" s="66">
        <f t="shared" si="51"/>
        <v>2610</v>
      </c>
      <c r="N201" s="66">
        <f t="shared" si="51"/>
        <v>2610</v>
      </c>
    </row>
    <row r="202" spans="1:15" s="38" customFormat="1" x14ac:dyDescent="0.2">
      <c r="A202" s="59" t="s">
        <v>188</v>
      </c>
      <c r="B202" s="367">
        <v>15</v>
      </c>
      <c r="C202" s="66">
        <f>SUM(C201)*'Data Links'!$B$15</f>
        <v>199.66499999999999</v>
      </c>
      <c r="D202" s="66">
        <f>SUM(D201)*'Data Links'!$B$15</f>
        <v>199.66499999999999</v>
      </c>
      <c r="E202" s="66">
        <f>SUM(E201)*'Data Links'!$B$15</f>
        <v>199.66499999999999</v>
      </c>
      <c r="F202" s="66">
        <f>SUM(F201)*'Data Links'!$B$15</f>
        <v>199.66499999999999</v>
      </c>
      <c r="G202" s="66">
        <f>SUM(G201)*'Data Links'!$B$15</f>
        <v>199.66499999999999</v>
      </c>
      <c r="H202" s="66">
        <f>SUM(H201)*'Data Links'!$B$15</f>
        <v>199.66499999999999</v>
      </c>
      <c r="I202" s="66">
        <f>SUM(I201)*'Data Links'!$B$15</f>
        <v>199.66499999999999</v>
      </c>
      <c r="J202" s="66">
        <f>SUM(J201)*'Data Links'!$B$15</f>
        <v>199.66499999999999</v>
      </c>
      <c r="K202" s="66">
        <f>SUM(K201)*'Data Links'!$B$15</f>
        <v>199.66499999999999</v>
      </c>
      <c r="L202" s="66">
        <f>SUM(L201)*'Data Links'!$B$15</f>
        <v>199.66499999999999</v>
      </c>
      <c r="M202" s="66">
        <f>SUM(M201)*'Data Links'!$B$15</f>
        <v>199.66499999999999</v>
      </c>
      <c r="N202" s="66">
        <f>SUM(N201)*'Data Links'!$B$15</f>
        <v>199.66499999999999</v>
      </c>
    </row>
    <row r="203" spans="1:15" s="38" customFormat="1" x14ac:dyDescent="0.2">
      <c r="A203" s="59" t="s">
        <v>189</v>
      </c>
      <c r="B203" s="74">
        <v>14.66</v>
      </c>
      <c r="C203" s="66">
        <f>SUM(C201*'Data Links'!$B$13)</f>
        <v>15.66</v>
      </c>
      <c r="D203" s="66">
        <f>SUM(D201*'Data Links'!$B$13)</f>
        <v>15.66</v>
      </c>
      <c r="E203" s="66">
        <f>SUM(E201*'Data Links'!$B$13)</f>
        <v>15.66</v>
      </c>
      <c r="F203" s="66">
        <f>SUM(F201*'Data Links'!$B$13)</f>
        <v>15.66</v>
      </c>
      <c r="G203" s="66">
        <f>SUM(G201*'Data Links'!$B$13)</f>
        <v>15.66</v>
      </c>
      <c r="H203" s="66">
        <f>SUM(H201*'Data Links'!$B$13)</f>
        <v>15.66</v>
      </c>
      <c r="I203" s="66">
        <f>SUM(I201*'Data Links'!$B$13)</f>
        <v>15.66</v>
      </c>
      <c r="J203" s="66">
        <f>SUM(J201*'Data Links'!$B$13)</f>
        <v>15.66</v>
      </c>
      <c r="K203" s="66">
        <f>SUM(K201*'Data Links'!$B$13)</f>
        <v>15.66</v>
      </c>
      <c r="L203" s="66">
        <f>SUM(L201*'Data Links'!$B$13)</f>
        <v>15.66</v>
      </c>
      <c r="M203" s="66">
        <f>SUM(M201*'Data Links'!$B$13)</f>
        <v>15.66</v>
      </c>
      <c r="N203" s="66">
        <f>SUM(N201*'Data Links'!$B$13)</f>
        <v>15.66</v>
      </c>
    </row>
    <row r="204" spans="1:15" s="38" customFormat="1" x14ac:dyDescent="0.2">
      <c r="A204" s="59" t="s">
        <v>190</v>
      </c>
      <c r="B204" s="60"/>
      <c r="C204" s="66">
        <f>SUM(C200*'Data Links'!$B$8)</f>
        <v>13.5459</v>
      </c>
      <c r="D204" s="66">
        <f>SUM(D200*'Data Links'!$B$8)</f>
        <v>13.5459</v>
      </c>
      <c r="E204" s="66">
        <f>SUM(E200*'Data Links'!$B$8)</f>
        <v>13.5459</v>
      </c>
      <c r="F204" s="66">
        <f>SUM(F200*'Data Links'!$B$8)</f>
        <v>13.5459</v>
      </c>
      <c r="G204" s="66">
        <f>SUM(G200*'Data Links'!$B$8)</f>
        <v>13.5459</v>
      </c>
      <c r="H204" s="66">
        <f>SUM(H200*'Data Links'!$B$8)</f>
        <v>13.5459</v>
      </c>
      <c r="I204" s="66">
        <f>SUM(I200*'Data Links'!$B$8)</f>
        <v>13.5459</v>
      </c>
      <c r="J204" s="66">
        <f>SUM(J200*'Data Links'!$B$8)</f>
        <v>13.5459</v>
      </c>
      <c r="K204" s="66">
        <f>SUM(K200*'Data Links'!$B$8)</f>
        <v>13.5459</v>
      </c>
      <c r="L204" s="66">
        <f>SUM(L200*'Data Links'!$B$8)</f>
        <v>13.5459</v>
      </c>
      <c r="M204" s="66">
        <f>SUM(M200*'Data Links'!$B$8)</f>
        <v>13.5459</v>
      </c>
      <c r="N204" s="66">
        <f>SUM(N200*'Data Links'!$B$8)</f>
        <v>13.5459</v>
      </c>
    </row>
    <row r="205" spans="1:15" s="38" customFormat="1" x14ac:dyDescent="0.2">
      <c r="A205" s="59" t="s">
        <v>191</v>
      </c>
      <c r="B205" s="60"/>
      <c r="C205" s="66">
        <f>SUM('All Employees'!$P$14)</f>
        <v>396.6078</v>
      </c>
      <c r="D205" s="66">
        <f>SUM('All Employees'!$P$14)</f>
        <v>396.6078</v>
      </c>
      <c r="E205" s="66">
        <f>SUM('All Employees'!$P$14)</f>
        <v>396.6078</v>
      </c>
      <c r="F205" s="66">
        <f>SUM('All Employees'!$P$14)</f>
        <v>396.6078</v>
      </c>
      <c r="G205" s="66">
        <f>SUM('All Employees'!$P$14)</f>
        <v>396.6078</v>
      </c>
      <c r="H205" s="66">
        <f>SUM('All Employees'!$P$14)</f>
        <v>396.6078</v>
      </c>
      <c r="I205" s="66">
        <f>SUM('All Employees'!$P$14)</f>
        <v>396.6078</v>
      </c>
      <c r="J205" s="66">
        <f>SUM('All Employees'!$P$14)</f>
        <v>396.6078</v>
      </c>
      <c r="K205" s="66">
        <f>SUM('All Employees'!$P$14)</f>
        <v>396.6078</v>
      </c>
      <c r="L205" s="66">
        <f>SUM('All Employees'!$P$14)</f>
        <v>396.6078</v>
      </c>
      <c r="M205" s="66">
        <f>SUM('All Employees'!$P$14)</f>
        <v>396.6078</v>
      </c>
      <c r="N205" s="66">
        <f>SUM('All Employees'!$P$14)</f>
        <v>396.6078</v>
      </c>
      <c r="O205" s="66"/>
    </row>
    <row r="206" spans="1:15" s="38" customFormat="1" x14ac:dyDescent="0.2">
      <c r="A206" s="59" t="s">
        <v>192</v>
      </c>
      <c r="B206" s="60"/>
      <c r="C206" s="66"/>
      <c r="D206" s="66"/>
      <c r="E206" s="66"/>
      <c r="F206" s="66"/>
      <c r="G206" s="66"/>
      <c r="H206" s="66"/>
      <c r="I206" s="66"/>
      <c r="J206" s="66"/>
      <c r="K206" s="66"/>
      <c r="L206" s="66"/>
      <c r="M206" s="66"/>
      <c r="N206" s="66"/>
      <c r="O206" s="66"/>
    </row>
    <row r="207" spans="1:15" s="29" customFormat="1" x14ac:dyDescent="0.2">
      <c r="A207" s="58" t="s">
        <v>144</v>
      </c>
      <c r="B207" s="60"/>
      <c r="C207" s="60">
        <f t="shared" ref="C207:N207" si="52">SUM(C201:C206)</f>
        <v>3235.4786999999997</v>
      </c>
      <c r="D207" s="60">
        <f t="shared" si="52"/>
        <v>3235.4786999999997</v>
      </c>
      <c r="E207" s="60">
        <f t="shared" si="52"/>
        <v>3235.4786999999997</v>
      </c>
      <c r="F207" s="60">
        <f t="shared" si="52"/>
        <v>3235.4786999999997</v>
      </c>
      <c r="G207" s="60">
        <f t="shared" si="52"/>
        <v>3235.4786999999997</v>
      </c>
      <c r="H207" s="60">
        <f t="shared" si="52"/>
        <v>3235.4786999999997</v>
      </c>
      <c r="I207" s="60">
        <f t="shared" si="52"/>
        <v>3235.4786999999997</v>
      </c>
      <c r="J207" s="60">
        <f t="shared" si="52"/>
        <v>3235.4786999999997</v>
      </c>
      <c r="K207" s="60">
        <f t="shared" si="52"/>
        <v>3235.4786999999997</v>
      </c>
      <c r="L207" s="60">
        <f t="shared" si="52"/>
        <v>3235.4786999999997</v>
      </c>
      <c r="M207" s="60">
        <f t="shared" si="52"/>
        <v>3235.4786999999997</v>
      </c>
      <c r="N207" s="60">
        <f t="shared" si="52"/>
        <v>3235.4786999999997</v>
      </c>
    </row>
    <row r="208" spans="1:15" s="38" customFormat="1" x14ac:dyDescent="0.2">
      <c r="A208" s="59"/>
      <c r="B208" s="60"/>
      <c r="C208" s="60"/>
      <c r="D208" s="66"/>
      <c r="E208" s="66"/>
      <c r="F208" s="66"/>
      <c r="G208" s="66"/>
      <c r="H208" s="66"/>
      <c r="I208" s="66"/>
      <c r="J208" s="66"/>
      <c r="K208" s="66"/>
      <c r="L208" s="66"/>
      <c r="M208" s="66"/>
      <c r="N208" s="66"/>
    </row>
    <row r="209" spans="1:14" s="38" customFormat="1" x14ac:dyDescent="0.2">
      <c r="A209" s="59"/>
      <c r="B209" s="60"/>
      <c r="C209" s="89" t="str">
        <f t="shared" ref="C209:N209" si="53">C196</f>
        <v>January</v>
      </c>
      <c r="D209" s="89" t="str">
        <f t="shared" si="53"/>
        <v>February</v>
      </c>
      <c r="E209" s="89" t="str">
        <f t="shared" si="53"/>
        <v>March</v>
      </c>
      <c r="F209" s="89" t="str">
        <f t="shared" si="53"/>
        <v>April</v>
      </c>
      <c r="G209" s="89" t="str">
        <f t="shared" si="53"/>
        <v>May</v>
      </c>
      <c r="H209" s="89" t="str">
        <f t="shared" si="53"/>
        <v>June</v>
      </c>
      <c r="I209" s="89" t="str">
        <f t="shared" si="53"/>
        <v>July</v>
      </c>
      <c r="J209" s="89" t="str">
        <f t="shared" si="53"/>
        <v>August</v>
      </c>
      <c r="K209" s="89" t="str">
        <f t="shared" si="53"/>
        <v>September</v>
      </c>
      <c r="L209" s="89" t="str">
        <f t="shared" si="53"/>
        <v>October</v>
      </c>
      <c r="M209" s="89" t="str">
        <f t="shared" si="53"/>
        <v>November</v>
      </c>
      <c r="N209" s="89" t="str">
        <f t="shared" si="53"/>
        <v>December</v>
      </c>
    </row>
    <row r="210" spans="1:14" s="38" customFormat="1" x14ac:dyDescent="0.2">
      <c r="A210" s="59"/>
      <c r="B210" s="60"/>
      <c r="C210" s="72">
        <v>31</v>
      </c>
      <c r="D210" s="72">
        <v>31</v>
      </c>
      <c r="E210" s="72">
        <v>30</v>
      </c>
      <c r="F210" s="72">
        <v>31</v>
      </c>
      <c r="G210" s="72">
        <v>30</v>
      </c>
      <c r="H210" s="72">
        <v>31</v>
      </c>
      <c r="I210" s="72">
        <v>31</v>
      </c>
      <c r="J210" s="72">
        <v>28</v>
      </c>
      <c r="K210" s="72">
        <v>31</v>
      </c>
      <c r="L210" s="72">
        <v>30</v>
      </c>
      <c r="M210" s="72">
        <v>31</v>
      </c>
      <c r="N210" s="71">
        <v>30</v>
      </c>
    </row>
    <row r="211" spans="1:14" s="38" customFormat="1" x14ac:dyDescent="0.2">
      <c r="A211" s="59"/>
      <c r="B211" s="89" t="s">
        <v>185</v>
      </c>
      <c r="C211" s="89">
        <f t="shared" ref="C211:N211" si="54">C198</f>
        <v>1</v>
      </c>
      <c r="D211" s="78">
        <f t="shared" si="54"/>
        <v>0</v>
      </c>
      <c r="E211" s="78">
        <f t="shared" si="54"/>
        <v>1</v>
      </c>
      <c r="F211" s="78">
        <f t="shared" si="54"/>
        <v>0</v>
      </c>
      <c r="G211" s="78">
        <f t="shared" si="54"/>
        <v>2</v>
      </c>
      <c r="H211" s="78">
        <f t="shared" si="54"/>
        <v>0</v>
      </c>
      <c r="I211" s="78">
        <f t="shared" si="54"/>
        <v>2</v>
      </c>
      <c r="J211" s="78">
        <f t="shared" si="54"/>
        <v>1</v>
      </c>
      <c r="K211" s="78">
        <f t="shared" si="54"/>
        <v>0</v>
      </c>
      <c r="L211" s="78">
        <f t="shared" si="54"/>
        <v>0</v>
      </c>
      <c r="M211" s="78">
        <f t="shared" si="54"/>
        <v>1</v>
      </c>
      <c r="N211" s="78">
        <f t="shared" si="54"/>
        <v>0</v>
      </c>
    </row>
    <row r="212" spans="1:14" s="38" customFormat="1" x14ac:dyDescent="0.2">
      <c r="A212" s="59"/>
      <c r="B212" s="89" t="s">
        <v>44</v>
      </c>
      <c r="C212" s="49">
        <v>0.5</v>
      </c>
      <c r="D212" s="49">
        <v>0.5</v>
      </c>
      <c r="E212" s="49">
        <v>0.5</v>
      </c>
      <c r="F212" s="49">
        <v>0.5</v>
      </c>
      <c r="G212" s="49">
        <v>0.5</v>
      </c>
      <c r="H212" s="49">
        <v>0.5</v>
      </c>
      <c r="I212" s="49">
        <v>0.5</v>
      </c>
      <c r="J212" s="49">
        <v>0.5</v>
      </c>
      <c r="K212" s="49">
        <v>0.5</v>
      </c>
      <c r="L212" s="49">
        <v>0.5</v>
      </c>
      <c r="M212" s="49">
        <v>0.5</v>
      </c>
      <c r="N212" s="49">
        <v>0.5</v>
      </c>
    </row>
    <row r="213" spans="1:14" s="38" customFormat="1" x14ac:dyDescent="0.2">
      <c r="A213" s="59"/>
      <c r="B213" s="89" t="s">
        <v>186</v>
      </c>
      <c r="C213" s="53">
        <f t="shared" ref="C213:N213" si="55">SUM(174*C212)</f>
        <v>87</v>
      </c>
      <c r="D213" s="53">
        <f t="shared" si="55"/>
        <v>87</v>
      </c>
      <c r="E213" s="53">
        <f t="shared" si="55"/>
        <v>87</v>
      </c>
      <c r="F213" s="53">
        <f t="shared" si="55"/>
        <v>87</v>
      </c>
      <c r="G213" s="53">
        <f t="shared" si="55"/>
        <v>87</v>
      </c>
      <c r="H213" s="53">
        <f t="shared" si="55"/>
        <v>87</v>
      </c>
      <c r="I213" s="53">
        <f t="shared" si="55"/>
        <v>87</v>
      </c>
      <c r="J213" s="53">
        <f t="shared" si="55"/>
        <v>87</v>
      </c>
      <c r="K213" s="53">
        <f t="shared" si="55"/>
        <v>87</v>
      </c>
      <c r="L213" s="53">
        <f t="shared" si="55"/>
        <v>87</v>
      </c>
      <c r="M213" s="53">
        <f t="shared" si="55"/>
        <v>87</v>
      </c>
      <c r="N213" s="53">
        <f t="shared" si="55"/>
        <v>87</v>
      </c>
    </row>
    <row r="214" spans="1:14" s="38" customFormat="1" x14ac:dyDescent="0.2">
      <c r="A214" s="59" t="s">
        <v>588</v>
      </c>
      <c r="B214" s="78" t="s">
        <v>187</v>
      </c>
      <c r="C214" s="66">
        <f>SUM(C213*$B$215)</f>
        <v>2482.11</v>
      </c>
      <c r="D214" s="66">
        <f t="shared" ref="D214:N214" si="56">SUM(D213*$B$215)</f>
        <v>2482.11</v>
      </c>
      <c r="E214" s="66">
        <f t="shared" si="56"/>
        <v>2482.11</v>
      </c>
      <c r="F214" s="66">
        <f t="shared" si="56"/>
        <v>2482.11</v>
      </c>
      <c r="G214" s="66">
        <f t="shared" si="56"/>
        <v>2482.11</v>
      </c>
      <c r="H214" s="66">
        <f t="shared" si="56"/>
        <v>2482.11</v>
      </c>
      <c r="I214" s="66">
        <f t="shared" si="56"/>
        <v>2482.11</v>
      </c>
      <c r="J214" s="66">
        <f t="shared" si="56"/>
        <v>2482.11</v>
      </c>
      <c r="K214" s="66">
        <f t="shared" si="56"/>
        <v>2482.11</v>
      </c>
      <c r="L214" s="66">
        <f t="shared" si="56"/>
        <v>2482.11</v>
      </c>
      <c r="M214" s="66">
        <f t="shared" si="56"/>
        <v>2482.11</v>
      </c>
      <c r="N214" s="66">
        <f t="shared" si="56"/>
        <v>2482.11</v>
      </c>
    </row>
    <row r="215" spans="1:14" s="38" customFormat="1" x14ac:dyDescent="0.2">
      <c r="A215" s="59" t="s">
        <v>188</v>
      </c>
      <c r="B215" s="74">
        <v>28.53</v>
      </c>
      <c r="C215" s="66">
        <f>SUM(C214)*'Data Links'!$B$15</f>
        <v>189.881415</v>
      </c>
      <c r="D215" s="66">
        <f>SUM(D214)*'Data Links'!$B$15</f>
        <v>189.881415</v>
      </c>
      <c r="E215" s="66">
        <f>SUM(E214)*'Data Links'!$B$15</f>
        <v>189.881415</v>
      </c>
      <c r="F215" s="66">
        <f>SUM(F214)*'Data Links'!$B$15</f>
        <v>189.881415</v>
      </c>
      <c r="G215" s="66">
        <f>SUM(G214)*'Data Links'!$B$15</f>
        <v>189.881415</v>
      </c>
      <c r="H215" s="66">
        <f>SUM(H214)*'Data Links'!$B$15</f>
        <v>189.881415</v>
      </c>
      <c r="I215" s="66">
        <f>SUM(I214)*'Data Links'!$B$15</f>
        <v>189.881415</v>
      </c>
      <c r="J215" s="66">
        <f>SUM(J214)*'Data Links'!$B$15</f>
        <v>189.881415</v>
      </c>
      <c r="K215" s="66">
        <f>SUM(K214)*'Data Links'!$B$15</f>
        <v>189.881415</v>
      </c>
      <c r="L215" s="66">
        <f>SUM(L214)*'Data Links'!$B$15</f>
        <v>189.881415</v>
      </c>
      <c r="M215" s="66">
        <f>SUM(M214)*'Data Links'!$B$15</f>
        <v>189.881415</v>
      </c>
      <c r="N215" s="66">
        <f>SUM(N214)*'Data Links'!$B$15</f>
        <v>189.881415</v>
      </c>
    </row>
    <row r="216" spans="1:14" s="38" customFormat="1" x14ac:dyDescent="0.2">
      <c r="A216" s="59" t="s">
        <v>189</v>
      </c>
      <c r="B216" s="60"/>
      <c r="C216" s="66">
        <f>SUM(C214*'Data Links'!$B$13)</f>
        <v>14.892660000000001</v>
      </c>
      <c r="D216" s="66">
        <f>SUM(D214*'Data Links'!$B$13)</f>
        <v>14.892660000000001</v>
      </c>
      <c r="E216" s="66">
        <f>SUM(E214*'Data Links'!$B$13)</f>
        <v>14.892660000000001</v>
      </c>
      <c r="F216" s="66">
        <f>SUM(F214*'Data Links'!$B$13)</f>
        <v>14.892660000000001</v>
      </c>
      <c r="G216" s="66">
        <f>SUM(G214*'Data Links'!$B$13)</f>
        <v>14.892660000000001</v>
      </c>
      <c r="H216" s="66">
        <f>SUM(H214*'Data Links'!$B$13)</f>
        <v>14.892660000000001</v>
      </c>
      <c r="I216" s="66">
        <f>SUM(I214*'Data Links'!$B$13)</f>
        <v>14.892660000000001</v>
      </c>
      <c r="J216" s="66">
        <f>SUM(J214*'Data Links'!$B$13)</f>
        <v>14.892660000000001</v>
      </c>
      <c r="K216" s="66">
        <f>SUM(K214*'Data Links'!$B$13)</f>
        <v>14.892660000000001</v>
      </c>
      <c r="L216" s="66">
        <f>SUM(L214*'Data Links'!$B$13)</f>
        <v>14.892660000000001</v>
      </c>
      <c r="M216" s="66">
        <f>SUM(M214*'Data Links'!$B$13)</f>
        <v>14.892660000000001</v>
      </c>
      <c r="N216" s="66">
        <f>SUM(N214*'Data Links'!$B$13)</f>
        <v>14.892660000000001</v>
      </c>
    </row>
    <row r="217" spans="1:14" s="38" customFormat="1" x14ac:dyDescent="0.2">
      <c r="A217" s="59" t="s">
        <v>190</v>
      </c>
      <c r="B217" s="60"/>
      <c r="C217" s="66">
        <f>SUM(C213*'Data Links'!$B$8)</f>
        <v>6.7729499999999998</v>
      </c>
      <c r="D217" s="66">
        <f>SUM(D213*'Data Links'!$B$8)</f>
        <v>6.7729499999999998</v>
      </c>
      <c r="E217" s="66">
        <f>SUM(E213*'Data Links'!$B$8)</f>
        <v>6.7729499999999998</v>
      </c>
      <c r="F217" s="66">
        <f>SUM(F213*'Data Links'!$B$8)</f>
        <v>6.7729499999999998</v>
      </c>
      <c r="G217" s="66">
        <f>SUM(G213*'Data Links'!$B$8)</f>
        <v>6.7729499999999998</v>
      </c>
      <c r="H217" s="66">
        <f>SUM(H213*'Data Links'!$B$8)</f>
        <v>6.7729499999999998</v>
      </c>
      <c r="I217" s="66">
        <f>SUM(I213*'Data Links'!$B$8)</f>
        <v>6.7729499999999998</v>
      </c>
      <c r="J217" s="66">
        <f>SUM(J213*'Data Links'!$B$8)</f>
        <v>6.7729499999999998</v>
      </c>
      <c r="K217" s="66">
        <f>SUM(K213*'Data Links'!$B$8)</f>
        <v>6.7729499999999998</v>
      </c>
      <c r="L217" s="66">
        <f>SUM(L213*'Data Links'!$B$8)</f>
        <v>6.7729499999999998</v>
      </c>
      <c r="M217" s="66">
        <f>SUM(M213*'Data Links'!$B$8)</f>
        <v>6.7729499999999998</v>
      </c>
      <c r="N217" s="66">
        <f>SUM(N213*'Data Links'!$B$8)</f>
        <v>6.7729499999999998</v>
      </c>
    </row>
    <row r="218" spans="1:14" s="38" customFormat="1" x14ac:dyDescent="0.2">
      <c r="A218" s="59" t="s">
        <v>191</v>
      </c>
      <c r="B218" s="60"/>
      <c r="C218" s="66">
        <f>SUM('All Employees'!$P$49*CMS!C212)</f>
        <v>213</v>
      </c>
      <c r="D218" s="66">
        <f>SUM('All Employees'!$P$67*CMS!D212)</f>
        <v>0</v>
      </c>
      <c r="E218" s="66">
        <f>SUM('All Employees'!$P$67*CMS!E212)</f>
        <v>0</v>
      </c>
      <c r="F218" s="66">
        <f>SUM('All Employees'!$P$67*CMS!F212)</f>
        <v>0</v>
      </c>
      <c r="G218" s="66">
        <f>SUM('All Employees'!$P$67*CMS!G212)</f>
        <v>0</v>
      </c>
      <c r="H218" s="66">
        <f>SUM('All Employees'!$P$67*CMS!H212)</f>
        <v>0</v>
      </c>
      <c r="I218" s="66">
        <f>SUM('All Employees'!$P$67*CMS!I212)</f>
        <v>0</v>
      </c>
      <c r="J218" s="66">
        <f>SUM('All Employees'!$P$67*CMS!J212)</f>
        <v>0</v>
      </c>
      <c r="K218" s="66">
        <f>SUM('All Employees'!$P$67*CMS!K212)</f>
        <v>0</v>
      </c>
      <c r="L218" s="66">
        <f>SUM('All Employees'!$P$67*CMS!L212)</f>
        <v>0</v>
      </c>
      <c r="M218" s="66">
        <f>SUM('All Employees'!$P$67*CMS!M212)</f>
        <v>0</v>
      </c>
      <c r="N218" s="66">
        <f>SUM('All Employees'!$P$67*CMS!N212)</f>
        <v>0</v>
      </c>
    </row>
    <row r="219" spans="1:14" s="38" customFormat="1" x14ac:dyDescent="0.2">
      <c r="A219" s="59" t="s">
        <v>192</v>
      </c>
      <c r="B219" s="60"/>
      <c r="C219" s="66">
        <f>SUM(C214*'Data Links'!$B$17)</f>
        <v>74.463300000000004</v>
      </c>
      <c r="D219" s="66">
        <f>SUM(D214*'Data Links'!$B$17)</f>
        <v>74.463300000000004</v>
      </c>
      <c r="E219" s="66">
        <f>SUM(E214*'Data Links'!$B$17)</f>
        <v>74.463300000000004</v>
      </c>
      <c r="F219" s="66">
        <f>SUM(F214*'Data Links'!$B$17)</f>
        <v>74.463300000000004</v>
      </c>
      <c r="G219" s="66">
        <f>SUM(G214*'Data Links'!$B$17)</f>
        <v>74.463300000000004</v>
      </c>
      <c r="H219" s="66">
        <f>SUM(H214*'Data Links'!$B$17)</f>
        <v>74.463300000000004</v>
      </c>
      <c r="I219" s="66">
        <f>SUM(I214*'Data Links'!$B$17)</f>
        <v>74.463300000000004</v>
      </c>
      <c r="J219" s="66">
        <f>SUM(J214*'Data Links'!$B$17)</f>
        <v>74.463300000000004</v>
      </c>
      <c r="K219" s="66">
        <f>SUM(K214*'Data Links'!$B$17)</f>
        <v>74.463300000000004</v>
      </c>
      <c r="L219" s="66">
        <f>SUM(L214*'Data Links'!$B$17)</f>
        <v>74.463300000000004</v>
      </c>
      <c r="M219" s="66">
        <f>SUM(M214*'Data Links'!$B$17)</f>
        <v>74.463300000000004</v>
      </c>
      <c r="N219" s="66">
        <f>SUM(N214*'Data Links'!$B$17)</f>
        <v>74.463300000000004</v>
      </c>
    </row>
    <row r="220" spans="1:14" s="29" customFormat="1" x14ac:dyDescent="0.2">
      <c r="A220" s="58" t="s">
        <v>144</v>
      </c>
      <c r="B220" s="60"/>
      <c r="C220" s="60">
        <f t="shared" ref="C220:N220" si="57">SUM(C214:C219)</f>
        <v>2981.1203249999999</v>
      </c>
      <c r="D220" s="60">
        <f t="shared" si="57"/>
        <v>2768.1203249999999</v>
      </c>
      <c r="E220" s="60">
        <f t="shared" si="57"/>
        <v>2768.1203249999999</v>
      </c>
      <c r="F220" s="60">
        <f t="shared" si="57"/>
        <v>2768.1203249999999</v>
      </c>
      <c r="G220" s="60">
        <f t="shared" si="57"/>
        <v>2768.1203249999999</v>
      </c>
      <c r="H220" s="60">
        <f t="shared" si="57"/>
        <v>2768.1203249999999</v>
      </c>
      <c r="I220" s="60">
        <f t="shared" si="57"/>
        <v>2768.1203249999999</v>
      </c>
      <c r="J220" s="60">
        <f t="shared" si="57"/>
        <v>2768.1203249999999</v>
      </c>
      <c r="K220" s="60">
        <f t="shared" si="57"/>
        <v>2768.1203249999999</v>
      </c>
      <c r="L220" s="60">
        <f t="shared" si="57"/>
        <v>2768.1203249999999</v>
      </c>
      <c r="M220" s="60">
        <f t="shared" si="57"/>
        <v>2768.1203249999999</v>
      </c>
      <c r="N220" s="60">
        <f t="shared" si="57"/>
        <v>2768.1203249999999</v>
      </c>
    </row>
    <row r="221" spans="1:14" s="38" customFormat="1" x14ac:dyDescent="0.2">
      <c r="A221" s="59"/>
      <c r="B221" s="60"/>
      <c r="C221" s="60"/>
      <c r="D221" s="66"/>
      <c r="E221" s="66"/>
      <c r="F221" s="66"/>
      <c r="G221" s="66"/>
      <c r="H221" s="66"/>
      <c r="I221" s="66"/>
      <c r="J221" s="66"/>
      <c r="K221" s="66"/>
      <c r="L221" s="66"/>
      <c r="M221" s="66"/>
      <c r="N221" s="66"/>
    </row>
    <row r="222" spans="1:14" s="38" customFormat="1" x14ac:dyDescent="0.2">
      <c r="A222" s="59"/>
      <c r="B222" s="60"/>
      <c r="C222" s="60"/>
      <c r="D222" s="66"/>
      <c r="E222" s="66"/>
      <c r="F222" s="66"/>
      <c r="G222" s="66"/>
      <c r="H222" s="66"/>
      <c r="I222" s="66"/>
      <c r="J222" s="66"/>
      <c r="K222" s="66"/>
      <c r="L222" s="66"/>
      <c r="M222" s="66"/>
      <c r="N222" s="66"/>
    </row>
    <row r="223" spans="1:14" s="38" customFormat="1" x14ac:dyDescent="0.2">
      <c r="A223" s="59"/>
      <c r="B223" s="60"/>
      <c r="C223" s="60"/>
      <c r="D223" s="66"/>
      <c r="E223" s="66"/>
      <c r="F223" s="66"/>
      <c r="G223" s="66"/>
      <c r="H223" s="66"/>
      <c r="I223" s="66"/>
      <c r="J223" s="66"/>
      <c r="K223" s="66"/>
      <c r="L223" s="66"/>
      <c r="M223" s="66"/>
      <c r="N223" s="66"/>
    </row>
    <row r="224" spans="1:14" x14ac:dyDescent="0.2">
      <c r="A224" s="59"/>
      <c r="B224" s="60"/>
      <c r="C224" s="60"/>
      <c r="D224" s="66"/>
      <c r="E224" s="66"/>
      <c r="F224" s="66"/>
      <c r="G224" s="66"/>
      <c r="H224" s="66"/>
      <c r="I224" s="66"/>
      <c r="J224" s="66"/>
      <c r="K224" s="66"/>
      <c r="L224" s="66"/>
      <c r="M224" s="66"/>
      <c r="N224" s="66"/>
    </row>
    <row r="225" spans="1:14" x14ac:dyDescent="0.2">
      <c r="A225" s="58" t="s">
        <v>194</v>
      </c>
      <c r="B225" s="60"/>
      <c r="C225" s="60"/>
      <c r="D225" s="66"/>
      <c r="E225" s="66"/>
      <c r="F225" s="66"/>
      <c r="G225" s="66"/>
      <c r="H225" s="66"/>
      <c r="I225" s="66"/>
      <c r="J225" s="66"/>
      <c r="K225" s="66"/>
      <c r="L225" s="66"/>
      <c r="M225" s="66"/>
      <c r="N225" s="66"/>
    </row>
    <row r="226" spans="1:14" x14ac:dyDescent="0.2">
      <c r="A226" s="59" t="s">
        <v>195</v>
      </c>
      <c r="B226" s="60"/>
      <c r="C226" s="66">
        <f>SUM(C110+C123+C136+C149+C162+C175+C201+C214+C186)</f>
        <v>24801.09</v>
      </c>
      <c r="D226" s="66">
        <f t="shared" ref="D226:N226" si="58">SUM(D110+D123+D136+D149+D162+D175+D201+D214)</f>
        <v>24801.09</v>
      </c>
      <c r="E226" s="66">
        <f t="shared" si="58"/>
        <v>24801.09</v>
      </c>
      <c r="F226" s="66">
        <f t="shared" si="58"/>
        <v>24801.09</v>
      </c>
      <c r="G226" s="66">
        <f t="shared" si="58"/>
        <v>24801.09</v>
      </c>
      <c r="H226" s="66">
        <f t="shared" si="58"/>
        <v>24801.09</v>
      </c>
      <c r="I226" s="66">
        <f t="shared" si="58"/>
        <v>24801.09</v>
      </c>
      <c r="J226" s="66">
        <f t="shared" si="58"/>
        <v>24801.09</v>
      </c>
      <c r="K226" s="66">
        <f t="shared" si="58"/>
        <v>24801.09</v>
      </c>
      <c r="L226" s="66">
        <f t="shared" si="58"/>
        <v>24801.09</v>
      </c>
      <c r="M226" s="66">
        <f t="shared" si="58"/>
        <v>24801.09</v>
      </c>
      <c r="N226" s="66">
        <f t="shared" si="58"/>
        <v>24801.09</v>
      </c>
    </row>
    <row r="227" spans="1:14" x14ac:dyDescent="0.2">
      <c r="A227" s="59" t="s">
        <v>22</v>
      </c>
      <c r="B227" s="60"/>
      <c r="C227" s="66">
        <f t="shared" ref="C227:N227" si="59">SUM(C111+C112+C113+C124+C125+C126+C137+C138+C139+C150+C151+C152+C163+C164+C165+C176+C177+C178+C202+C203+C204+C215+C216+C217)</f>
        <v>2120.5923750000002</v>
      </c>
      <c r="D227" s="66">
        <f t="shared" si="59"/>
        <v>2120.5923750000002</v>
      </c>
      <c r="E227" s="66">
        <f t="shared" si="59"/>
        <v>2120.5923750000002</v>
      </c>
      <c r="F227" s="66">
        <f t="shared" si="59"/>
        <v>2120.5923750000002</v>
      </c>
      <c r="G227" s="66">
        <f t="shared" si="59"/>
        <v>2120.5923750000002</v>
      </c>
      <c r="H227" s="66">
        <f t="shared" si="59"/>
        <v>2120.5923750000002</v>
      </c>
      <c r="I227" s="66">
        <f t="shared" si="59"/>
        <v>2120.5923750000002</v>
      </c>
      <c r="J227" s="66">
        <f t="shared" si="59"/>
        <v>2120.5923750000002</v>
      </c>
      <c r="K227" s="66">
        <f t="shared" si="59"/>
        <v>2120.5923750000002</v>
      </c>
      <c r="L227" s="66">
        <f t="shared" si="59"/>
        <v>2120.5923750000002</v>
      </c>
      <c r="M227" s="66">
        <f t="shared" si="59"/>
        <v>2120.5923750000002</v>
      </c>
      <c r="N227" s="66">
        <f t="shared" si="59"/>
        <v>2120.5923750000002</v>
      </c>
    </row>
    <row r="228" spans="1:14" x14ac:dyDescent="0.2">
      <c r="A228" s="59" t="s">
        <v>23</v>
      </c>
      <c r="B228" s="60"/>
      <c r="C228" s="66">
        <f t="shared" ref="C228:N228" si="60">SUM(C114+C115+C127+C128+C140+C141+C153+C154+C167+C166+C179+C180+C205+C206+C218+C219)</f>
        <v>2494.5560999999998</v>
      </c>
      <c r="D228" s="66">
        <f t="shared" si="60"/>
        <v>2281.5560999999998</v>
      </c>
      <c r="E228" s="66">
        <f t="shared" si="60"/>
        <v>2281.5560999999998</v>
      </c>
      <c r="F228" s="66">
        <f t="shared" si="60"/>
        <v>2281.5560999999998</v>
      </c>
      <c r="G228" s="66">
        <f t="shared" si="60"/>
        <v>2281.5560999999998</v>
      </c>
      <c r="H228" s="66">
        <f t="shared" si="60"/>
        <v>2281.5560999999998</v>
      </c>
      <c r="I228" s="66">
        <f t="shared" si="60"/>
        <v>2281.5560999999998</v>
      </c>
      <c r="J228" s="66">
        <f t="shared" si="60"/>
        <v>2281.5560999999998</v>
      </c>
      <c r="K228" s="66">
        <f t="shared" si="60"/>
        <v>2281.5560999999998</v>
      </c>
      <c r="L228" s="66">
        <f t="shared" si="60"/>
        <v>2281.5560999999998</v>
      </c>
      <c r="M228" s="66">
        <f t="shared" si="60"/>
        <v>2281.5560999999998</v>
      </c>
      <c r="N228" s="66">
        <f t="shared" si="60"/>
        <v>2281.5560999999998</v>
      </c>
    </row>
    <row r="229" spans="1:14" s="4" customFormat="1" x14ac:dyDescent="0.2">
      <c r="A229" s="58" t="s">
        <v>196</v>
      </c>
      <c r="B229" s="60"/>
      <c r="C229" s="60">
        <f>SUM(C226:C228)</f>
        <v>29416.238474999998</v>
      </c>
      <c r="D229" s="60">
        <f t="shared" ref="D229:N229" si="61">SUM(D226:D228)</f>
        <v>29203.238474999998</v>
      </c>
      <c r="E229" s="60">
        <f t="shared" si="61"/>
        <v>29203.238474999998</v>
      </c>
      <c r="F229" s="60">
        <f t="shared" si="61"/>
        <v>29203.238474999998</v>
      </c>
      <c r="G229" s="60">
        <f t="shared" si="61"/>
        <v>29203.238474999998</v>
      </c>
      <c r="H229" s="60">
        <f t="shared" si="61"/>
        <v>29203.238474999998</v>
      </c>
      <c r="I229" s="60">
        <f t="shared" si="61"/>
        <v>29203.238474999998</v>
      </c>
      <c r="J229" s="60">
        <f t="shared" si="61"/>
        <v>29203.238474999998</v>
      </c>
      <c r="K229" s="60">
        <f t="shared" si="61"/>
        <v>29203.238474999998</v>
      </c>
      <c r="L229" s="60">
        <f t="shared" si="61"/>
        <v>29203.238474999998</v>
      </c>
      <c r="M229" s="60">
        <f t="shared" si="61"/>
        <v>29203.238474999998</v>
      </c>
      <c r="N229" s="60">
        <f t="shared" si="61"/>
        <v>29203.238474999998</v>
      </c>
    </row>
    <row r="230" spans="1:14" x14ac:dyDescent="0.2">
      <c r="A230" s="59"/>
      <c r="B230" s="60"/>
      <c r="C230" s="60"/>
      <c r="D230" s="66"/>
      <c r="E230" s="66"/>
      <c r="F230" s="66"/>
      <c r="G230" s="66"/>
      <c r="H230" s="66"/>
      <c r="I230" s="66"/>
      <c r="J230" s="66"/>
      <c r="K230" s="66"/>
      <c r="L230" s="66"/>
      <c r="M230" s="66"/>
      <c r="N230" s="66"/>
    </row>
    <row r="231" spans="1:14" x14ac:dyDescent="0.2">
      <c r="A231" s="59"/>
      <c r="B231" s="60"/>
      <c r="C231" s="60"/>
      <c r="D231" s="66"/>
      <c r="E231" s="66"/>
      <c r="F231" s="66"/>
      <c r="G231" s="66"/>
      <c r="H231" s="66"/>
      <c r="I231" s="66"/>
      <c r="J231" s="66"/>
      <c r="K231" s="66"/>
      <c r="L231" s="66"/>
      <c r="M231" s="66"/>
      <c r="N231" s="66"/>
    </row>
    <row r="232" spans="1:14" x14ac:dyDescent="0.2">
      <c r="A232" s="59"/>
      <c r="B232" s="60"/>
      <c r="C232" s="60"/>
      <c r="D232" s="66"/>
      <c r="E232" s="66"/>
      <c r="F232" s="66"/>
      <c r="G232" s="66"/>
      <c r="H232" s="66"/>
      <c r="I232" s="66"/>
      <c r="J232" s="66"/>
      <c r="K232" s="66"/>
      <c r="L232" s="66"/>
      <c r="M232" s="66"/>
      <c r="N232" s="66"/>
    </row>
    <row r="233" spans="1:14" x14ac:dyDescent="0.2">
      <c r="A233" s="59"/>
      <c r="B233" s="60"/>
      <c r="C233" s="60"/>
      <c r="D233" s="66"/>
      <c r="E233" s="66"/>
      <c r="F233" s="66"/>
      <c r="G233" s="66"/>
      <c r="H233" s="66"/>
      <c r="I233" s="66"/>
      <c r="J233" s="66"/>
      <c r="K233" s="66"/>
      <c r="L233" s="66"/>
      <c r="M233" s="66"/>
      <c r="N233" s="66"/>
    </row>
    <row r="234" spans="1:14" x14ac:dyDescent="0.2">
      <c r="A234" s="84"/>
      <c r="B234" s="84"/>
      <c r="C234" s="60"/>
      <c r="D234" s="66"/>
      <c r="E234" s="66"/>
      <c r="F234" s="66"/>
      <c r="G234" s="66"/>
      <c r="H234" s="66"/>
      <c r="I234" s="66"/>
      <c r="J234" s="66"/>
      <c r="K234" s="66"/>
      <c r="L234" s="66"/>
      <c r="M234" s="66"/>
      <c r="N234" s="66"/>
    </row>
    <row r="235" spans="1:14" x14ac:dyDescent="0.2">
      <c r="A235" s="84"/>
      <c r="B235" s="84"/>
      <c r="C235" s="60"/>
      <c r="D235" s="66"/>
      <c r="E235" s="66"/>
      <c r="F235" s="66"/>
      <c r="G235" s="66"/>
      <c r="H235" s="66"/>
      <c r="I235" s="66"/>
      <c r="J235" s="66"/>
      <c r="K235" s="66"/>
      <c r="L235" s="66"/>
      <c r="M235" s="66"/>
      <c r="N235" s="66"/>
    </row>
    <row r="236" spans="1:14" x14ac:dyDescent="0.2">
      <c r="A236" s="84"/>
      <c r="B236" s="84"/>
      <c r="C236" s="60"/>
      <c r="D236" s="66"/>
      <c r="E236" s="66"/>
      <c r="F236" s="66"/>
      <c r="G236" s="66"/>
      <c r="H236" s="66"/>
      <c r="I236" s="66"/>
      <c r="J236" s="66"/>
      <c r="K236" s="66"/>
      <c r="L236" s="66"/>
      <c r="M236" s="66"/>
      <c r="N236" s="66"/>
    </row>
    <row r="237" spans="1:14" x14ac:dyDescent="0.2">
      <c r="A237" s="84"/>
      <c r="B237" s="84"/>
      <c r="C237" s="60"/>
      <c r="D237" s="66"/>
      <c r="E237" s="66"/>
      <c r="F237" s="66"/>
      <c r="G237" s="66"/>
      <c r="H237" s="66"/>
      <c r="I237" s="66"/>
      <c r="J237" s="66"/>
      <c r="K237" s="66"/>
      <c r="L237" s="66"/>
      <c r="M237" s="66"/>
      <c r="N237" s="66"/>
    </row>
    <row r="238" spans="1:14" x14ac:dyDescent="0.2">
      <c r="A238" s="84"/>
      <c r="B238" s="84"/>
      <c r="C238" s="60"/>
      <c r="D238" s="66"/>
      <c r="E238" s="66"/>
      <c r="F238" s="66"/>
      <c r="G238" s="66"/>
      <c r="H238" s="66"/>
      <c r="I238" s="66"/>
      <c r="J238" s="66"/>
      <c r="K238" s="66"/>
      <c r="L238" s="66"/>
      <c r="M238" s="66"/>
      <c r="N238" s="66"/>
    </row>
    <row r="239" spans="1:14" x14ac:dyDescent="0.2">
      <c r="A239" s="84"/>
      <c r="B239" s="84"/>
      <c r="C239" s="60"/>
      <c r="D239" s="66"/>
      <c r="E239" s="66"/>
      <c r="F239" s="66"/>
      <c r="G239" s="66"/>
      <c r="H239" s="66"/>
      <c r="I239" s="66"/>
      <c r="J239" s="66"/>
      <c r="K239" s="66"/>
      <c r="L239" s="66"/>
      <c r="M239" s="66"/>
      <c r="N239" s="66"/>
    </row>
    <row r="240" spans="1:14" x14ac:dyDescent="0.2">
      <c r="A240" s="84"/>
      <c r="B240" s="84"/>
      <c r="C240" s="60"/>
      <c r="D240" s="66"/>
      <c r="E240" s="66"/>
      <c r="F240" s="66"/>
      <c r="G240" s="66"/>
      <c r="H240" s="66"/>
      <c r="I240" s="66"/>
      <c r="J240" s="66"/>
      <c r="K240" s="66"/>
      <c r="L240" s="66"/>
      <c r="M240" s="66"/>
      <c r="N240" s="66"/>
    </row>
    <row r="241" spans="1:14" x14ac:dyDescent="0.2">
      <c r="A241" s="84"/>
      <c r="B241" s="84"/>
      <c r="C241" s="60"/>
      <c r="D241" s="66"/>
      <c r="E241" s="66"/>
      <c r="F241" s="66"/>
      <c r="G241" s="66"/>
      <c r="H241" s="66"/>
      <c r="I241" s="66"/>
      <c r="J241" s="66"/>
      <c r="K241" s="66"/>
      <c r="L241" s="66"/>
      <c r="M241" s="66"/>
      <c r="N241" s="66"/>
    </row>
    <row r="242" spans="1:14" x14ac:dyDescent="0.2">
      <c r="A242" s="84"/>
      <c r="B242" s="84"/>
      <c r="C242" s="60"/>
      <c r="D242" s="66"/>
      <c r="E242" s="66"/>
      <c r="F242" s="66"/>
      <c r="G242" s="66"/>
      <c r="H242" s="66"/>
      <c r="I242" s="66"/>
      <c r="J242" s="66"/>
      <c r="K242" s="66"/>
      <c r="L242" s="66"/>
      <c r="M242" s="66"/>
      <c r="N242" s="66"/>
    </row>
    <row r="243" spans="1:14" x14ac:dyDescent="0.2">
      <c r="A243" s="84"/>
      <c r="B243" s="84"/>
      <c r="C243" s="60"/>
      <c r="D243" s="66"/>
      <c r="E243" s="66"/>
      <c r="F243" s="66"/>
      <c r="G243" s="66"/>
      <c r="H243" s="66"/>
      <c r="I243" s="66"/>
      <c r="J243" s="66"/>
      <c r="K243" s="66"/>
      <c r="L243" s="66"/>
      <c r="M243" s="66"/>
      <c r="N243" s="66"/>
    </row>
    <row r="244" spans="1:14" x14ac:dyDescent="0.2">
      <c r="A244" s="84"/>
      <c r="B244" s="84"/>
      <c r="C244" s="60"/>
      <c r="D244" s="66"/>
      <c r="E244" s="66"/>
      <c r="F244" s="66"/>
      <c r="G244" s="66"/>
      <c r="H244" s="66"/>
      <c r="I244" s="66"/>
      <c r="J244" s="66"/>
      <c r="K244" s="66"/>
      <c r="L244" s="66"/>
      <c r="M244" s="66"/>
      <c r="N244" s="66"/>
    </row>
    <row r="245" spans="1:14" x14ac:dyDescent="0.2">
      <c r="A245" s="84"/>
      <c r="B245" s="84"/>
      <c r="C245" s="60"/>
      <c r="D245" s="66"/>
      <c r="E245" s="66"/>
      <c r="F245" s="66"/>
      <c r="G245" s="66"/>
      <c r="H245" s="66"/>
      <c r="I245" s="66"/>
      <c r="J245" s="66"/>
      <c r="K245" s="66"/>
      <c r="L245" s="66"/>
      <c r="M245" s="66"/>
      <c r="N245" s="66"/>
    </row>
    <row r="246" spans="1:14" x14ac:dyDescent="0.2">
      <c r="A246" s="84"/>
      <c r="B246" s="84"/>
      <c r="C246" s="60"/>
      <c r="D246" s="66"/>
      <c r="E246" s="66"/>
      <c r="F246" s="66"/>
      <c r="G246" s="66"/>
      <c r="H246" s="66"/>
      <c r="I246" s="66"/>
      <c r="J246" s="66"/>
      <c r="K246" s="66"/>
      <c r="L246" s="66"/>
      <c r="M246" s="66"/>
      <c r="N246" s="66"/>
    </row>
    <row r="247" spans="1:14" x14ac:dyDescent="0.2">
      <c r="A247" s="84"/>
      <c r="B247" s="84"/>
      <c r="C247" s="60"/>
      <c r="D247" s="66"/>
      <c r="E247" s="66"/>
      <c r="F247" s="66"/>
      <c r="G247" s="66"/>
      <c r="H247" s="66"/>
      <c r="I247" s="66"/>
      <c r="J247" s="66"/>
      <c r="K247" s="66"/>
      <c r="L247" s="66"/>
      <c r="M247" s="66"/>
      <c r="N247" s="66"/>
    </row>
    <row r="248" spans="1:14" x14ac:dyDescent="0.2">
      <c r="A248" s="84"/>
      <c r="B248" s="84"/>
      <c r="C248" s="60"/>
      <c r="D248" s="66"/>
      <c r="E248" s="66"/>
      <c r="F248" s="66"/>
      <c r="G248" s="66"/>
      <c r="H248" s="66"/>
      <c r="I248" s="66"/>
      <c r="J248" s="66"/>
      <c r="K248" s="66"/>
      <c r="L248" s="66"/>
      <c r="M248" s="66"/>
      <c r="N248" s="66"/>
    </row>
    <row r="249" spans="1:14" x14ac:dyDescent="0.2">
      <c r="A249" s="84"/>
      <c r="B249" s="84"/>
      <c r="C249" s="60"/>
      <c r="D249" s="66"/>
      <c r="E249" s="66"/>
      <c r="F249" s="66"/>
      <c r="G249" s="66"/>
      <c r="H249" s="66"/>
      <c r="I249" s="66"/>
      <c r="J249" s="66"/>
      <c r="K249" s="66"/>
      <c r="L249" s="66"/>
      <c r="M249" s="66"/>
      <c r="N249" s="66"/>
    </row>
    <row r="250" spans="1:14" x14ac:dyDescent="0.2">
      <c r="A250" s="84"/>
      <c r="B250" s="84"/>
      <c r="C250" s="60"/>
      <c r="D250" s="66"/>
      <c r="E250" s="66"/>
      <c r="F250" s="66"/>
      <c r="G250" s="66"/>
      <c r="H250" s="66"/>
      <c r="I250" s="66"/>
      <c r="J250" s="66"/>
      <c r="K250" s="66"/>
      <c r="L250" s="66"/>
      <c r="M250" s="66"/>
      <c r="N250" s="66"/>
    </row>
    <row r="251" spans="1:14" x14ac:dyDescent="0.2">
      <c r="A251" s="84"/>
      <c r="B251" s="84"/>
      <c r="C251" s="60"/>
      <c r="D251" s="66"/>
      <c r="E251" s="66"/>
      <c r="F251" s="66"/>
      <c r="G251" s="66"/>
      <c r="H251" s="66"/>
      <c r="I251" s="66"/>
      <c r="J251" s="66"/>
      <c r="K251" s="66"/>
      <c r="L251" s="66"/>
      <c r="M251" s="66"/>
      <c r="N251" s="66"/>
    </row>
    <row r="252" spans="1:14" x14ac:dyDescent="0.2">
      <c r="A252" s="84"/>
      <c r="B252" s="84"/>
      <c r="C252" s="60"/>
      <c r="D252" s="66"/>
      <c r="E252" s="66"/>
      <c r="F252" s="66"/>
      <c r="G252" s="66"/>
      <c r="H252" s="66"/>
      <c r="I252" s="66"/>
      <c r="J252" s="66"/>
      <c r="K252" s="66"/>
      <c r="L252" s="66"/>
      <c r="M252" s="66"/>
      <c r="N252" s="66"/>
    </row>
    <row r="253" spans="1:14" x14ac:dyDescent="0.2">
      <c r="A253" s="84"/>
      <c r="B253" s="84"/>
      <c r="C253" s="60"/>
      <c r="D253" s="66"/>
      <c r="E253" s="66"/>
      <c r="F253" s="66"/>
      <c r="G253" s="66"/>
      <c r="H253" s="66"/>
      <c r="I253" s="66"/>
      <c r="J253" s="66"/>
      <c r="K253" s="66"/>
      <c r="L253" s="66"/>
      <c r="M253" s="66"/>
      <c r="N253" s="66"/>
    </row>
    <row r="254" spans="1:14" x14ac:dyDescent="0.2">
      <c r="A254" s="84"/>
      <c r="B254" s="84"/>
      <c r="C254" s="60"/>
      <c r="D254" s="66"/>
      <c r="E254" s="66"/>
      <c r="F254" s="66"/>
      <c r="G254" s="66"/>
      <c r="H254" s="66"/>
      <c r="I254" s="66"/>
      <c r="J254" s="66"/>
      <c r="K254" s="66"/>
      <c r="L254" s="66"/>
      <c r="M254" s="66"/>
      <c r="N254" s="66"/>
    </row>
    <row r="255" spans="1:14" x14ac:dyDescent="0.2">
      <c r="A255" s="84"/>
      <c r="B255" s="84"/>
      <c r="C255" s="60"/>
      <c r="D255" s="66"/>
      <c r="E255" s="66"/>
      <c r="F255" s="66"/>
      <c r="G255" s="66"/>
      <c r="H255" s="66"/>
      <c r="I255" s="66"/>
      <c r="J255" s="66"/>
      <c r="K255" s="66"/>
      <c r="L255" s="66"/>
      <c r="M255" s="66"/>
      <c r="N255" s="66"/>
    </row>
    <row r="256" spans="1:14" x14ac:dyDescent="0.2">
      <c r="A256" s="84"/>
      <c r="B256" s="84"/>
      <c r="C256" s="60"/>
      <c r="D256" s="66"/>
      <c r="E256" s="66"/>
      <c r="F256" s="66"/>
      <c r="G256" s="66"/>
      <c r="H256" s="66"/>
      <c r="I256" s="66"/>
      <c r="J256" s="66"/>
      <c r="K256" s="66"/>
      <c r="L256" s="66"/>
      <c r="M256" s="66"/>
      <c r="N256" s="66"/>
    </row>
    <row r="257" spans="1:14" x14ac:dyDescent="0.2">
      <c r="A257" s="84"/>
      <c r="B257" s="84"/>
      <c r="C257" s="60"/>
      <c r="D257" s="66"/>
      <c r="E257" s="66"/>
      <c r="F257" s="66"/>
      <c r="G257" s="66"/>
      <c r="H257" s="66"/>
      <c r="I257" s="66"/>
      <c r="J257" s="66"/>
      <c r="K257" s="66"/>
      <c r="L257" s="66"/>
      <c r="M257" s="66"/>
      <c r="N257" s="66"/>
    </row>
    <row r="258" spans="1:14" x14ac:dyDescent="0.2">
      <c r="A258" s="84"/>
      <c r="B258" s="84"/>
      <c r="C258" s="60"/>
      <c r="D258" s="66"/>
      <c r="E258" s="66"/>
      <c r="F258" s="66"/>
      <c r="G258" s="66"/>
      <c r="H258" s="66"/>
      <c r="I258" s="66"/>
      <c r="J258" s="66"/>
      <c r="K258" s="66"/>
      <c r="L258" s="66"/>
      <c r="M258" s="66"/>
      <c r="N258" s="66"/>
    </row>
    <row r="259" spans="1:14" x14ac:dyDescent="0.2">
      <c r="A259" s="84"/>
      <c r="B259" s="84"/>
      <c r="C259" s="60"/>
      <c r="D259" s="66"/>
      <c r="E259" s="66"/>
      <c r="F259" s="66"/>
      <c r="G259" s="66"/>
      <c r="H259" s="66"/>
      <c r="I259" s="66"/>
      <c r="J259" s="66"/>
      <c r="K259" s="66"/>
      <c r="L259" s="66"/>
      <c r="M259" s="66"/>
      <c r="N259" s="66"/>
    </row>
    <row r="260" spans="1:14" x14ac:dyDescent="0.2">
      <c r="A260" s="84"/>
      <c r="B260" s="84"/>
      <c r="C260" s="60"/>
      <c r="D260" s="66"/>
      <c r="E260" s="66"/>
      <c r="F260" s="66"/>
      <c r="G260" s="66"/>
      <c r="H260" s="66"/>
      <c r="I260" s="66"/>
      <c r="J260" s="66"/>
      <c r="K260" s="66"/>
      <c r="L260" s="66"/>
      <c r="M260" s="66"/>
      <c r="N260" s="66"/>
    </row>
    <row r="261" spans="1:14" x14ac:dyDescent="0.2">
      <c r="A261" s="84"/>
      <c r="B261" s="84"/>
      <c r="C261" s="60"/>
      <c r="D261" s="66"/>
      <c r="E261" s="66"/>
      <c r="F261" s="66"/>
      <c r="G261" s="66"/>
      <c r="H261" s="66"/>
      <c r="I261" s="66"/>
      <c r="J261" s="66"/>
      <c r="K261" s="66"/>
      <c r="L261" s="66"/>
      <c r="M261" s="66"/>
      <c r="N261" s="66"/>
    </row>
    <row r="262" spans="1:14" x14ac:dyDescent="0.2">
      <c r="A262" s="84"/>
      <c r="B262" s="84"/>
      <c r="C262" s="60"/>
      <c r="D262" s="66"/>
      <c r="E262" s="66"/>
      <c r="F262" s="66"/>
      <c r="G262" s="66"/>
      <c r="H262" s="66"/>
      <c r="I262" s="66"/>
      <c r="J262" s="66"/>
      <c r="K262" s="66"/>
      <c r="L262" s="66"/>
      <c r="M262" s="66"/>
      <c r="N262" s="66"/>
    </row>
    <row r="263" spans="1:14" x14ac:dyDescent="0.2">
      <c r="A263" s="84"/>
      <c r="B263" s="84"/>
      <c r="C263" s="60"/>
      <c r="D263" s="66"/>
      <c r="E263" s="66"/>
      <c r="F263" s="66"/>
      <c r="G263" s="66"/>
      <c r="H263" s="66"/>
      <c r="I263" s="66"/>
      <c r="J263" s="66"/>
      <c r="K263" s="66"/>
      <c r="L263" s="66"/>
      <c r="M263" s="66"/>
      <c r="N263" s="66"/>
    </row>
    <row r="264" spans="1:14" x14ac:dyDescent="0.2">
      <c r="A264" s="84"/>
      <c r="B264" s="84"/>
      <c r="C264" s="60"/>
      <c r="D264" s="66"/>
      <c r="E264" s="66"/>
      <c r="F264" s="66"/>
      <c r="G264" s="66"/>
      <c r="H264" s="66"/>
      <c r="I264" s="66"/>
      <c r="J264" s="66"/>
      <c r="K264" s="66"/>
      <c r="L264" s="66"/>
      <c r="M264" s="66"/>
      <c r="N264" s="66"/>
    </row>
    <row r="265" spans="1:14" x14ac:dyDescent="0.2">
      <c r="A265" s="84"/>
      <c r="B265" s="84"/>
      <c r="C265" s="60"/>
      <c r="D265" s="66"/>
      <c r="E265" s="66"/>
      <c r="F265" s="66"/>
      <c r="G265" s="66"/>
      <c r="H265" s="66"/>
      <c r="I265" s="66"/>
      <c r="J265" s="66"/>
      <c r="K265" s="66"/>
      <c r="L265" s="66"/>
      <c r="M265" s="66"/>
      <c r="N265" s="66"/>
    </row>
    <row r="266" spans="1:14" x14ac:dyDescent="0.2">
      <c r="A266" s="84"/>
      <c r="B266" s="84"/>
      <c r="C266" s="60"/>
      <c r="D266" s="66"/>
      <c r="E266" s="66"/>
      <c r="F266" s="66"/>
      <c r="G266" s="66"/>
      <c r="H266" s="66"/>
      <c r="I266" s="66"/>
      <c r="J266" s="66"/>
      <c r="K266" s="66"/>
      <c r="L266" s="66"/>
      <c r="M266" s="66"/>
      <c r="N266" s="66"/>
    </row>
    <row r="267" spans="1:14" x14ac:dyDescent="0.2">
      <c r="A267" s="84"/>
      <c r="B267" s="84"/>
      <c r="C267" s="60"/>
      <c r="D267" s="66"/>
      <c r="E267" s="66"/>
      <c r="F267" s="66"/>
      <c r="G267" s="66"/>
      <c r="H267" s="66"/>
      <c r="I267" s="66"/>
      <c r="J267" s="66"/>
      <c r="K267" s="66"/>
      <c r="L267" s="66"/>
      <c r="M267" s="66"/>
      <c r="N267" s="66"/>
    </row>
    <row r="268" spans="1:14" x14ac:dyDescent="0.2">
      <c r="A268" s="84"/>
      <c r="B268" s="84"/>
      <c r="C268" s="60"/>
      <c r="D268" s="66"/>
      <c r="E268" s="66"/>
      <c r="F268" s="66"/>
      <c r="G268" s="66"/>
      <c r="H268" s="66"/>
      <c r="I268" s="66"/>
      <c r="J268" s="66"/>
      <c r="K268" s="66"/>
      <c r="L268" s="66"/>
      <c r="M268" s="66"/>
      <c r="N268" s="66"/>
    </row>
    <row r="269" spans="1:14" x14ac:dyDescent="0.2">
      <c r="A269" s="84"/>
      <c r="B269" s="84"/>
      <c r="C269" s="60"/>
      <c r="D269" s="66"/>
      <c r="E269" s="66"/>
      <c r="F269" s="66"/>
      <c r="G269" s="66"/>
      <c r="H269" s="66"/>
      <c r="I269" s="66"/>
      <c r="J269" s="66"/>
      <c r="K269" s="66"/>
      <c r="L269" s="66"/>
      <c r="M269" s="66"/>
      <c r="N269" s="66"/>
    </row>
    <row r="270" spans="1:14" x14ac:dyDescent="0.2">
      <c r="A270" s="84"/>
      <c r="B270" s="84"/>
      <c r="C270" s="60"/>
      <c r="D270" s="66"/>
      <c r="E270" s="66"/>
      <c r="F270" s="66"/>
      <c r="G270" s="66"/>
      <c r="H270" s="66"/>
      <c r="I270" s="66"/>
      <c r="J270" s="66"/>
      <c r="K270" s="66"/>
      <c r="L270" s="66"/>
      <c r="M270" s="66"/>
      <c r="N270" s="66"/>
    </row>
    <row r="271" spans="1:14" x14ac:dyDescent="0.2">
      <c r="A271" s="84"/>
      <c r="B271" s="84"/>
      <c r="C271" s="60"/>
      <c r="D271" s="66"/>
      <c r="E271" s="66"/>
      <c r="F271" s="66"/>
      <c r="G271" s="66"/>
      <c r="H271" s="66"/>
      <c r="I271" s="66"/>
      <c r="J271" s="66"/>
      <c r="K271" s="66"/>
      <c r="L271" s="66"/>
      <c r="M271" s="66"/>
      <c r="N271" s="66"/>
    </row>
    <row r="272" spans="1:14" x14ac:dyDescent="0.2">
      <c r="A272" s="84"/>
      <c r="B272" s="84"/>
      <c r="C272" s="60"/>
      <c r="D272" s="66"/>
      <c r="E272" s="66"/>
      <c r="F272" s="66"/>
      <c r="G272" s="66"/>
      <c r="H272" s="66"/>
      <c r="I272" s="66"/>
      <c r="J272" s="66"/>
      <c r="K272" s="66"/>
      <c r="L272" s="66"/>
      <c r="M272" s="66"/>
      <c r="N272" s="66"/>
    </row>
    <row r="273" spans="1:14" x14ac:dyDescent="0.2">
      <c r="A273" s="84"/>
      <c r="B273" s="84"/>
      <c r="C273" s="60"/>
      <c r="D273" s="66"/>
      <c r="E273" s="66"/>
      <c r="F273" s="66"/>
      <c r="G273" s="66"/>
      <c r="H273" s="66"/>
      <c r="I273" s="66"/>
      <c r="J273" s="66"/>
      <c r="K273" s="66"/>
      <c r="L273" s="66"/>
      <c r="M273" s="66"/>
      <c r="N273" s="66"/>
    </row>
    <row r="274" spans="1:14" x14ac:dyDescent="0.2">
      <c r="A274" s="84"/>
      <c r="B274" s="84"/>
      <c r="C274" s="60"/>
      <c r="D274" s="66"/>
      <c r="E274" s="66"/>
      <c r="F274" s="66"/>
      <c r="G274" s="66"/>
      <c r="H274" s="66"/>
      <c r="I274" s="66"/>
      <c r="J274" s="66"/>
      <c r="K274" s="66"/>
      <c r="L274" s="66"/>
      <c r="M274" s="66"/>
      <c r="N274" s="66"/>
    </row>
    <row r="275" spans="1:14" x14ac:dyDescent="0.2">
      <c r="A275" s="84"/>
      <c r="B275" s="84"/>
      <c r="C275" s="60"/>
      <c r="D275" s="66"/>
      <c r="E275" s="66"/>
      <c r="F275" s="66"/>
      <c r="G275" s="66"/>
      <c r="H275" s="66"/>
      <c r="I275" s="66"/>
      <c r="J275" s="66"/>
      <c r="K275" s="66"/>
      <c r="L275" s="66"/>
      <c r="M275" s="66"/>
      <c r="N275" s="66"/>
    </row>
    <row r="276" spans="1:14" x14ac:dyDescent="0.2">
      <c r="A276" s="84"/>
      <c r="B276" s="84"/>
      <c r="C276" s="60"/>
      <c r="D276" s="66"/>
      <c r="E276" s="66"/>
      <c r="F276" s="66"/>
      <c r="G276" s="66"/>
      <c r="H276" s="66"/>
      <c r="I276" s="66"/>
      <c r="J276" s="66"/>
      <c r="K276" s="66"/>
      <c r="L276" s="66"/>
      <c r="M276" s="66"/>
      <c r="N276" s="66"/>
    </row>
    <row r="277" spans="1:14" x14ac:dyDescent="0.2">
      <c r="A277" s="84"/>
      <c r="B277" s="84"/>
      <c r="C277" s="60"/>
      <c r="D277" s="66"/>
      <c r="E277" s="66"/>
      <c r="F277" s="66"/>
      <c r="G277" s="66"/>
      <c r="H277" s="66"/>
      <c r="I277" s="66"/>
      <c r="J277" s="66"/>
      <c r="K277" s="66"/>
      <c r="L277" s="66"/>
      <c r="M277" s="66"/>
      <c r="N277" s="66"/>
    </row>
    <row r="278" spans="1:14" x14ac:dyDescent="0.2">
      <c r="A278" s="84"/>
      <c r="B278" s="84"/>
      <c r="C278" s="60"/>
      <c r="D278" s="66"/>
      <c r="E278" s="66"/>
      <c r="F278" s="66"/>
      <c r="G278" s="66"/>
      <c r="H278" s="66"/>
      <c r="I278" s="66"/>
      <c r="J278" s="66"/>
      <c r="K278" s="66"/>
      <c r="L278" s="66"/>
      <c r="M278" s="66"/>
      <c r="N278" s="66"/>
    </row>
    <row r="279" spans="1:14" x14ac:dyDescent="0.2">
      <c r="A279" s="84"/>
      <c r="B279" s="84"/>
      <c r="C279" s="60"/>
      <c r="D279" s="66"/>
      <c r="E279" s="66"/>
      <c r="F279" s="66"/>
      <c r="G279" s="66"/>
      <c r="H279" s="66"/>
      <c r="I279" s="66"/>
      <c r="J279" s="66"/>
      <c r="K279" s="66"/>
      <c r="L279" s="66"/>
      <c r="M279" s="66"/>
      <c r="N279" s="66"/>
    </row>
    <row r="280" spans="1:14" x14ac:dyDescent="0.2">
      <c r="A280" s="84"/>
      <c r="B280" s="84"/>
      <c r="C280" s="60"/>
      <c r="D280" s="66"/>
      <c r="E280" s="66"/>
      <c r="F280" s="66"/>
      <c r="G280" s="66"/>
      <c r="H280" s="66"/>
      <c r="I280" s="66"/>
      <c r="J280" s="66"/>
      <c r="K280" s="66"/>
      <c r="L280" s="66"/>
      <c r="M280" s="66"/>
      <c r="N280" s="66"/>
    </row>
    <row r="281" spans="1:14" x14ac:dyDescent="0.2">
      <c r="A281" s="84"/>
      <c r="B281" s="84"/>
      <c r="C281" s="60"/>
      <c r="D281" s="66"/>
      <c r="E281" s="66"/>
      <c r="F281" s="66"/>
      <c r="G281" s="66"/>
      <c r="H281" s="66"/>
      <c r="I281" s="66"/>
      <c r="J281" s="66"/>
      <c r="K281" s="66"/>
      <c r="L281" s="66"/>
      <c r="M281" s="66"/>
      <c r="N281" s="66"/>
    </row>
    <row r="282" spans="1:14" x14ac:dyDescent="0.2">
      <c r="A282" s="84"/>
      <c r="B282" s="84"/>
      <c r="C282" s="60"/>
      <c r="D282" s="66"/>
      <c r="E282" s="66"/>
      <c r="F282" s="66"/>
      <c r="G282" s="66"/>
      <c r="H282" s="66"/>
      <c r="I282" s="66"/>
      <c r="J282" s="66"/>
      <c r="K282" s="66"/>
      <c r="L282" s="66"/>
      <c r="M282" s="66"/>
      <c r="N282" s="66"/>
    </row>
    <row r="283" spans="1:14" x14ac:dyDescent="0.2">
      <c r="A283" s="84"/>
      <c r="B283" s="84"/>
      <c r="C283" s="60"/>
      <c r="D283" s="66"/>
      <c r="E283" s="66"/>
      <c r="F283" s="66"/>
      <c r="G283" s="66"/>
      <c r="H283" s="66"/>
      <c r="I283" s="66"/>
      <c r="J283" s="66"/>
      <c r="K283" s="66"/>
      <c r="L283" s="66"/>
      <c r="M283" s="66"/>
      <c r="N283" s="66"/>
    </row>
    <row r="284" spans="1:14" x14ac:dyDescent="0.2">
      <c r="A284" s="84"/>
      <c r="B284" s="84"/>
      <c r="C284" s="60"/>
      <c r="D284" s="66"/>
      <c r="E284" s="66"/>
      <c r="F284" s="66"/>
      <c r="G284" s="66"/>
      <c r="H284" s="66"/>
      <c r="I284" s="66"/>
      <c r="J284" s="66"/>
      <c r="K284" s="66"/>
      <c r="L284" s="66"/>
      <c r="M284" s="66"/>
      <c r="N284" s="66"/>
    </row>
    <row r="285" spans="1:14" x14ac:dyDescent="0.2">
      <c r="A285" s="84"/>
      <c r="B285" s="84"/>
      <c r="C285" s="60"/>
      <c r="D285" s="66"/>
      <c r="E285" s="66"/>
      <c r="F285" s="66"/>
      <c r="G285" s="66"/>
      <c r="H285" s="66"/>
      <c r="I285" s="66"/>
      <c r="J285" s="66"/>
      <c r="K285" s="66"/>
      <c r="L285" s="66"/>
      <c r="M285" s="66"/>
      <c r="N285" s="66"/>
    </row>
    <row r="286" spans="1:14" x14ac:dyDescent="0.2">
      <c r="A286" s="84"/>
      <c r="B286" s="84"/>
      <c r="C286" s="60"/>
      <c r="D286" s="66"/>
      <c r="E286" s="66"/>
      <c r="F286" s="66"/>
      <c r="G286" s="66"/>
      <c r="H286" s="66"/>
      <c r="I286" s="66"/>
      <c r="J286" s="66"/>
      <c r="K286" s="66"/>
      <c r="L286" s="66"/>
      <c r="M286" s="66"/>
      <c r="N286" s="66"/>
    </row>
    <row r="287" spans="1:14" x14ac:dyDescent="0.2">
      <c r="A287" s="84"/>
      <c r="B287" s="84"/>
      <c r="C287" s="60"/>
      <c r="D287" s="66"/>
      <c r="E287" s="66"/>
      <c r="F287" s="66"/>
      <c r="G287" s="66"/>
      <c r="H287" s="66"/>
      <c r="I287" s="66"/>
      <c r="J287" s="66"/>
      <c r="K287" s="66"/>
      <c r="L287" s="66"/>
      <c r="M287" s="66"/>
      <c r="N287" s="66"/>
    </row>
    <row r="288" spans="1:14" x14ac:dyDescent="0.2">
      <c r="A288" s="84"/>
      <c r="B288" s="84"/>
      <c r="C288" s="60"/>
      <c r="D288" s="66"/>
      <c r="E288" s="66"/>
      <c r="F288" s="66"/>
      <c r="G288" s="66"/>
      <c r="H288" s="66"/>
      <c r="I288" s="66"/>
      <c r="J288" s="66"/>
      <c r="K288" s="66"/>
      <c r="L288" s="66"/>
      <c r="M288" s="66"/>
      <c r="N288" s="66"/>
    </row>
    <row r="289" spans="1:14" x14ac:dyDescent="0.2">
      <c r="A289" s="84"/>
      <c r="B289" s="84"/>
      <c r="C289" s="60"/>
      <c r="D289" s="66"/>
      <c r="E289" s="66"/>
      <c r="F289" s="66"/>
      <c r="G289" s="66"/>
      <c r="H289" s="66"/>
      <c r="I289" s="66"/>
      <c r="J289" s="66"/>
      <c r="K289" s="66"/>
      <c r="L289" s="66"/>
      <c r="M289" s="66"/>
      <c r="N289" s="66"/>
    </row>
    <row r="290" spans="1:14" x14ac:dyDescent="0.2">
      <c r="A290" s="84"/>
      <c r="B290" s="84"/>
      <c r="C290" s="60"/>
      <c r="D290" s="66"/>
      <c r="E290" s="66"/>
      <c r="F290" s="66"/>
      <c r="G290" s="66"/>
      <c r="H290" s="66"/>
      <c r="I290" s="66"/>
      <c r="J290" s="66"/>
      <c r="K290" s="66"/>
      <c r="L290" s="66"/>
      <c r="M290" s="66"/>
      <c r="N290" s="66"/>
    </row>
    <row r="291" spans="1:14" x14ac:dyDescent="0.2">
      <c r="A291" s="84"/>
      <c r="B291" s="84"/>
      <c r="C291" s="60"/>
      <c r="D291" s="66"/>
      <c r="E291" s="66"/>
      <c r="F291" s="66"/>
      <c r="G291" s="66"/>
      <c r="H291" s="66"/>
      <c r="I291" s="66"/>
      <c r="J291" s="66"/>
      <c r="K291" s="66"/>
      <c r="L291" s="66"/>
      <c r="M291" s="66"/>
      <c r="N291" s="66"/>
    </row>
    <row r="292" spans="1:14" x14ac:dyDescent="0.2">
      <c r="A292" s="84"/>
      <c r="B292" s="84"/>
      <c r="C292" s="60"/>
      <c r="D292" s="66"/>
      <c r="E292" s="66"/>
      <c r="F292" s="66"/>
      <c r="G292" s="66"/>
      <c r="H292" s="66"/>
      <c r="I292" s="66"/>
      <c r="J292" s="66"/>
      <c r="K292" s="66"/>
      <c r="L292" s="66"/>
      <c r="M292" s="66"/>
      <c r="N292" s="66"/>
    </row>
    <row r="293" spans="1:14" x14ac:dyDescent="0.2">
      <c r="A293" s="84"/>
      <c r="B293" s="84"/>
      <c r="C293" s="60"/>
      <c r="D293" s="66"/>
      <c r="E293" s="66"/>
      <c r="F293" s="66"/>
      <c r="G293" s="66"/>
      <c r="H293" s="66"/>
      <c r="I293" s="66"/>
      <c r="J293" s="66"/>
      <c r="K293" s="66"/>
      <c r="L293" s="66"/>
      <c r="M293" s="66"/>
      <c r="N293" s="66"/>
    </row>
    <row r="294" spans="1:14" x14ac:dyDescent="0.2">
      <c r="A294" s="84"/>
      <c r="B294" s="84"/>
      <c r="C294" s="60"/>
      <c r="D294" s="66"/>
      <c r="E294" s="66"/>
      <c r="F294" s="66"/>
      <c r="G294" s="66"/>
      <c r="H294" s="66"/>
      <c r="I294" s="66"/>
      <c r="J294" s="66"/>
      <c r="K294" s="66"/>
      <c r="L294" s="66"/>
      <c r="M294" s="66"/>
      <c r="N294" s="66"/>
    </row>
    <row r="295" spans="1:14" x14ac:dyDescent="0.2">
      <c r="A295" s="84"/>
      <c r="B295" s="84"/>
      <c r="C295" s="60"/>
      <c r="D295" s="66"/>
      <c r="E295" s="66"/>
      <c r="F295" s="66"/>
      <c r="G295" s="66"/>
      <c r="H295" s="66"/>
      <c r="I295" s="66"/>
      <c r="J295" s="66"/>
      <c r="K295" s="66"/>
      <c r="L295" s="66"/>
      <c r="M295" s="66"/>
      <c r="N295" s="66"/>
    </row>
    <row r="296" spans="1:14" x14ac:dyDescent="0.2">
      <c r="A296" s="84"/>
      <c r="B296" s="84"/>
      <c r="C296" s="60"/>
      <c r="D296" s="66"/>
      <c r="E296" s="66"/>
      <c r="F296" s="66"/>
      <c r="G296" s="66"/>
      <c r="H296" s="66"/>
      <c r="I296" s="66"/>
      <c r="J296" s="66"/>
      <c r="K296" s="66"/>
      <c r="L296" s="66"/>
      <c r="M296" s="66"/>
      <c r="N296" s="66"/>
    </row>
    <row r="297" spans="1:14" x14ac:dyDescent="0.2">
      <c r="A297" s="84"/>
      <c r="B297" s="84"/>
      <c r="C297" s="60"/>
      <c r="D297" s="66"/>
      <c r="E297" s="66"/>
      <c r="F297" s="66"/>
      <c r="G297" s="66"/>
      <c r="H297" s="66"/>
      <c r="I297" s="66"/>
      <c r="J297" s="66"/>
      <c r="K297" s="66"/>
      <c r="L297" s="66"/>
      <c r="M297" s="66"/>
      <c r="N297" s="66"/>
    </row>
    <row r="298" spans="1:14" x14ac:dyDescent="0.2">
      <c r="A298" s="84"/>
      <c r="B298" s="84"/>
      <c r="C298" s="60"/>
      <c r="D298" s="66"/>
      <c r="E298" s="66"/>
      <c r="F298" s="66"/>
      <c r="G298" s="66"/>
      <c r="H298" s="66"/>
      <c r="I298" s="66"/>
      <c r="J298" s="66"/>
      <c r="K298" s="66"/>
      <c r="L298" s="66"/>
      <c r="M298" s="66"/>
      <c r="N298" s="66"/>
    </row>
    <row r="299" spans="1:14" x14ac:dyDescent="0.2">
      <c r="A299" s="84"/>
      <c r="B299" s="84"/>
      <c r="C299" s="60"/>
      <c r="D299" s="66"/>
      <c r="E299" s="66"/>
      <c r="F299" s="66"/>
      <c r="G299" s="66"/>
      <c r="H299" s="66"/>
      <c r="I299" s="66"/>
      <c r="J299" s="66"/>
      <c r="K299" s="66"/>
      <c r="L299" s="66"/>
      <c r="M299" s="66"/>
      <c r="N299" s="66"/>
    </row>
    <row r="300" spans="1:14" x14ac:dyDescent="0.2">
      <c r="A300" s="84"/>
      <c r="B300" s="84"/>
      <c r="C300" s="60"/>
      <c r="D300" s="66"/>
      <c r="E300" s="66"/>
      <c r="F300" s="66"/>
      <c r="G300" s="66"/>
      <c r="H300" s="66"/>
      <c r="I300" s="66"/>
      <c r="J300" s="66"/>
      <c r="K300" s="66"/>
      <c r="L300" s="66"/>
      <c r="M300" s="66"/>
      <c r="N300" s="66"/>
    </row>
    <row r="301" spans="1:14" x14ac:dyDescent="0.2">
      <c r="A301" s="84"/>
      <c r="B301" s="84"/>
      <c r="C301" s="60"/>
      <c r="D301" s="66"/>
      <c r="E301" s="66"/>
      <c r="F301" s="66"/>
      <c r="G301" s="66"/>
      <c r="H301" s="66"/>
      <c r="I301" s="66"/>
      <c r="J301" s="66"/>
      <c r="K301" s="66"/>
      <c r="L301" s="66"/>
      <c r="M301" s="66"/>
      <c r="N301" s="66"/>
    </row>
    <row r="302" spans="1:14" x14ac:dyDescent="0.2">
      <c r="A302" s="84"/>
      <c r="B302" s="84"/>
      <c r="C302" s="60"/>
      <c r="D302" s="66"/>
      <c r="E302" s="66"/>
      <c r="F302" s="66"/>
      <c r="G302" s="66"/>
      <c r="H302" s="66"/>
      <c r="I302" s="66"/>
      <c r="J302" s="66"/>
      <c r="K302" s="66"/>
      <c r="L302" s="66"/>
      <c r="M302" s="66"/>
      <c r="N302" s="66"/>
    </row>
    <row r="303" spans="1:14" x14ac:dyDescent="0.2">
      <c r="A303" s="84"/>
      <c r="B303" s="84"/>
      <c r="C303" s="60"/>
      <c r="D303" s="66"/>
      <c r="E303" s="66"/>
      <c r="F303" s="66"/>
      <c r="G303" s="66"/>
      <c r="H303" s="66"/>
      <c r="I303" s="66"/>
      <c r="J303" s="66"/>
      <c r="K303" s="66"/>
      <c r="L303" s="66"/>
      <c r="M303" s="66"/>
      <c r="N303" s="66"/>
    </row>
    <row r="304" spans="1:14" x14ac:dyDescent="0.2">
      <c r="A304" s="84"/>
      <c r="B304" s="84"/>
      <c r="C304" s="60"/>
      <c r="D304" s="66"/>
      <c r="E304" s="66"/>
      <c r="F304" s="66"/>
      <c r="G304" s="66"/>
      <c r="H304" s="66"/>
      <c r="I304" s="66"/>
      <c r="J304" s="66"/>
      <c r="K304" s="66"/>
      <c r="L304" s="66"/>
      <c r="M304" s="66"/>
      <c r="N304" s="66"/>
    </row>
    <row r="305" spans="1:14" x14ac:dyDescent="0.2">
      <c r="A305" s="84"/>
      <c r="B305" s="84"/>
      <c r="C305" s="60"/>
      <c r="D305" s="66"/>
      <c r="E305" s="66"/>
      <c r="F305" s="66"/>
      <c r="G305" s="66"/>
      <c r="H305" s="66"/>
      <c r="I305" s="66"/>
      <c r="J305" s="66"/>
      <c r="K305" s="66"/>
      <c r="L305" s="66"/>
      <c r="M305" s="66"/>
      <c r="N305" s="66"/>
    </row>
    <row r="306" spans="1:14" x14ac:dyDescent="0.2">
      <c r="A306" s="84"/>
      <c r="B306" s="84"/>
      <c r="C306" s="60"/>
      <c r="D306" s="66"/>
      <c r="E306" s="66"/>
      <c r="F306" s="66"/>
      <c r="G306" s="66"/>
      <c r="H306" s="66"/>
      <c r="I306" s="66"/>
      <c r="J306" s="66"/>
      <c r="K306" s="66"/>
      <c r="L306" s="66"/>
      <c r="M306" s="66"/>
      <c r="N306" s="66"/>
    </row>
    <row r="307" spans="1:14" x14ac:dyDescent="0.2">
      <c r="A307" s="84"/>
      <c r="B307" s="84"/>
      <c r="C307" s="60"/>
      <c r="D307" s="66"/>
      <c r="E307" s="66"/>
      <c r="F307" s="66"/>
      <c r="G307" s="66"/>
      <c r="H307" s="66"/>
      <c r="I307" s="66"/>
      <c r="J307" s="66"/>
      <c r="K307" s="66"/>
      <c r="L307" s="66"/>
      <c r="M307" s="66"/>
      <c r="N307" s="66"/>
    </row>
    <row r="308" spans="1:14" x14ac:dyDescent="0.2">
      <c r="A308" s="84"/>
      <c r="B308" s="84"/>
      <c r="C308" s="60"/>
      <c r="D308" s="66"/>
      <c r="E308" s="66"/>
      <c r="F308" s="66"/>
      <c r="G308" s="66"/>
      <c r="H308" s="66"/>
      <c r="I308" s="66"/>
      <c r="J308" s="66"/>
      <c r="K308" s="66"/>
      <c r="L308" s="66"/>
      <c r="M308" s="66"/>
      <c r="N308" s="66"/>
    </row>
    <row r="309" spans="1:14" x14ac:dyDescent="0.2">
      <c r="A309" s="84"/>
      <c r="B309" s="84"/>
      <c r="C309" s="60"/>
      <c r="D309" s="66"/>
      <c r="E309" s="66"/>
      <c r="F309" s="66"/>
      <c r="G309" s="66"/>
      <c r="H309" s="66"/>
      <c r="I309" s="66"/>
      <c r="J309" s="66"/>
      <c r="K309" s="66"/>
      <c r="L309" s="66"/>
      <c r="M309" s="66"/>
      <c r="N309" s="66"/>
    </row>
    <row r="310" spans="1:14" x14ac:dyDescent="0.2">
      <c r="A310" s="84"/>
      <c r="B310" s="84"/>
      <c r="C310" s="60"/>
      <c r="D310" s="66"/>
      <c r="E310" s="66"/>
      <c r="F310" s="66"/>
      <c r="G310" s="66"/>
      <c r="H310" s="66"/>
      <c r="I310" s="66"/>
      <c r="J310" s="66"/>
      <c r="K310" s="66"/>
      <c r="L310" s="66"/>
      <c r="M310" s="66"/>
      <c r="N310" s="66"/>
    </row>
    <row r="311" spans="1:14" x14ac:dyDescent="0.2">
      <c r="A311" s="84"/>
      <c r="B311" s="84"/>
      <c r="C311" s="60"/>
      <c r="D311" s="66"/>
      <c r="E311" s="66"/>
      <c r="F311" s="66"/>
      <c r="G311" s="66"/>
      <c r="H311" s="66"/>
      <c r="I311" s="66"/>
      <c r="J311" s="66"/>
      <c r="K311" s="66"/>
      <c r="L311" s="66"/>
      <c r="M311" s="66"/>
      <c r="N311" s="66"/>
    </row>
    <row r="312" spans="1:14" x14ac:dyDescent="0.2">
      <c r="A312" s="84"/>
      <c r="B312" s="84"/>
      <c r="C312" s="60"/>
      <c r="D312" s="66"/>
      <c r="E312" s="66"/>
      <c r="F312" s="66"/>
      <c r="G312" s="66"/>
      <c r="H312" s="66"/>
      <c r="I312" s="66"/>
      <c r="J312" s="66"/>
      <c r="K312" s="66"/>
      <c r="L312" s="66"/>
      <c r="M312" s="66"/>
      <c r="N312" s="66"/>
    </row>
    <row r="313" spans="1:14" x14ac:dyDescent="0.2">
      <c r="A313" s="84"/>
      <c r="B313" s="84"/>
      <c r="C313" s="60"/>
      <c r="D313" s="66"/>
      <c r="E313" s="66"/>
      <c r="F313" s="66"/>
      <c r="G313" s="66"/>
      <c r="H313" s="66"/>
      <c r="I313" s="66"/>
      <c r="J313" s="66"/>
      <c r="K313" s="66"/>
      <c r="L313" s="66"/>
      <c r="M313" s="66"/>
      <c r="N313" s="66"/>
    </row>
    <row r="314" spans="1:14" x14ac:dyDescent="0.2">
      <c r="A314" s="84"/>
      <c r="B314" s="84"/>
      <c r="C314" s="60"/>
      <c r="D314" s="66"/>
      <c r="E314" s="66"/>
      <c r="F314" s="66"/>
      <c r="G314" s="66"/>
      <c r="H314" s="66"/>
      <c r="I314" s="66"/>
      <c r="J314" s="66"/>
      <c r="K314" s="66"/>
      <c r="L314" s="66"/>
      <c r="M314" s="66"/>
      <c r="N314" s="66"/>
    </row>
    <row r="315" spans="1:14" x14ac:dyDescent="0.2">
      <c r="A315" s="84"/>
      <c r="B315" s="84"/>
      <c r="C315" s="60"/>
      <c r="D315" s="66"/>
      <c r="E315" s="66"/>
      <c r="F315" s="66"/>
      <c r="G315" s="66"/>
      <c r="H315" s="66"/>
      <c r="I315" s="66"/>
      <c r="J315" s="66"/>
      <c r="K315" s="66"/>
      <c r="L315" s="66"/>
      <c r="M315" s="66"/>
      <c r="N315" s="66"/>
    </row>
    <row r="316" spans="1:14" x14ac:dyDescent="0.2">
      <c r="A316" s="84"/>
      <c r="B316" s="84"/>
      <c r="C316" s="60"/>
      <c r="D316" s="66"/>
      <c r="E316" s="66"/>
      <c r="F316" s="66"/>
      <c r="G316" s="66"/>
      <c r="H316" s="66"/>
      <c r="I316" s="66"/>
      <c r="J316" s="66"/>
      <c r="K316" s="66"/>
      <c r="L316" s="66"/>
      <c r="M316" s="66"/>
      <c r="N316" s="66"/>
    </row>
    <row r="317" spans="1:14" x14ac:dyDescent="0.2">
      <c r="A317" s="84"/>
      <c r="B317" s="84"/>
      <c r="C317" s="60"/>
      <c r="D317" s="66"/>
      <c r="E317" s="66"/>
      <c r="F317" s="66"/>
      <c r="G317" s="66"/>
      <c r="H317" s="66"/>
      <c r="I317" s="66"/>
      <c r="J317" s="66"/>
      <c r="K317" s="66"/>
      <c r="L317" s="66"/>
      <c r="M317" s="66"/>
      <c r="N317" s="66"/>
    </row>
    <row r="318" spans="1:14" x14ac:dyDescent="0.2">
      <c r="A318" s="84"/>
      <c r="B318" s="84"/>
      <c r="C318" s="60"/>
      <c r="D318" s="66"/>
      <c r="E318" s="66"/>
      <c r="F318" s="66"/>
      <c r="G318" s="66"/>
      <c r="H318" s="66"/>
      <c r="I318" s="66"/>
      <c r="J318" s="66"/>
      <c r="K318" s="66"/>
      <c r="L318" s="66"/>
      <c r="M318" s="66"/>
      <c r="N318" s="66"/>
    </row>
    <row r="319" spans="1:14" x14ac:dyDescent="0.2">
      <c r="A319" s="84"/>
      <c r="B319" s="84"/>
      <c r="C319" s="60"/>
      <c r="D319" s="66"/>
      <c r="E319" s="66"/>
      <c r="F319" s="66"/>
      <c r="G319" s="66"/>
      <c r="H319" s="66"/>
      <c r="I319" s="66"/>
      <c r="J319" s="66"/>
      <c r="K319" s="66"/>
      <c r="L319" s="66"/>
      <c r="M319" s="66"/>
      <c r="N319" s="66"/>
    </row>
    <row r="320" spans="1:14" x14ac:dyDescent="0.2">
      <c r="A320" s="84"/>
      <c r="B320" s="84"/>
      <c r="C320" s="60"/>
      <c r="D320" s="66"/>
      <c r="E320" s="66"/>
      <c r="F320" s="66"/>
      <c r="G320" s="66"/>
      <c r="H320" s="66"/>
      <c r="I320" s="66"/>
      <c r="J320" s="66"/>
      <c r="K320" s="66"/>
      <c r="L320" s="66"/>
      <c r="M320" s="66"/>
      <c r="N320" s="66"/>
    </row>
    <row r="321" spans="1:14" x14ac:dyDescent="0.2">
      <c r="A321" s="84"/>
      <c r="B321" s="84"/>
      <c r="C321" s="60"/>
      <c r="D321" s="66"/>
      <c r="E321" s="66"/>
      <c r="F321" s="66"/>
      <c r="G321" s="66"/>
      <c r="H321" s="66"/>
      <c r="I321" s="66"/>
      <c r="J321" s="66"/>
      <c r="K321" s="66"/>
      <c r="L321" s="66"/>
      <c r="M321" s="66"/>
      <c r="N321" s="66"/>
    </row>
    <row r="322" spans="1:14" x14ac:dyDescent="0.2">
      <c r="A322" s="84"/>
      <c r="B322" s="84"/>
      <c r="C322" s="60"/>
      <c r="D322" s="66"/>
      <c r="E322" s="66"/>
      <c r="F322" s="66"/>
      <c r="G322" s="66"/>
      <c r="H322" s="66"/>
      <c r="I322" s="66"/>
      <c r="J322" s="66"/>
      <c r="K322" s="66"/>
      <c r="L322" s="66"/>
      <c r="M322" s="66"/>
      <c r="N322" s="66"/>
    </row>
    <row r="323" spans="1:14" x14ac:dyDescent="0.2">
      <c r="A323" s="84"/>
      <c r="B323" s="84"/>
      <c r="C323" s="60"/>
      <c r="D323" s="66"/>
      <c r="E323" s="66"/>
      <c r="F323" s="66"/>
      <c r="G323" s="66"/>
      <c r="H323" s="66"/>
      <c r="I323" s="66"/>
      <c r="J323" s="66"/>
      <c r="K323" s="66"/>
      <c r="L323" s="66"/>
      <c r="M323" s="66"/>
      <c r="N323" s="66"/>
    </row>
    <row r="324" spans="1:14" x14ac:dyDescent="0.2">
      <c r="A324" s="84"/>
      <c r="B324" s="84"/>
      <c r="C324" s="60"/>
      <c r="D324" s="66"/>
      <c r="E324" s="66"/>
      <c r="F324" s="66"/>
      <c r="G324" s="66"/>
      <c r="H324" s="66"/>
      <c r="I324" s="66"/>
      <c r="J324" s="66"/>
      <c r="K324" s="66"/>
      <c r="L324" s="66"/>
      <c r="M324" s="66"/>
      <c r="N324" s="66"/>
    </row>
    <row r="325" spans="1:14" x14ac:dyDescent="0.2">
      <c r="A325" s="84"/>
      <c r="B325" s="84"/>
      <c r="C325" s="60"/>
      <c r="D325" s="66"/>
      <c r="E325" s="66"/>
      <c r="F325" s="66"/>
      <c r="G325" s="66"/>
      <c r="H325" s="66"/>
      <c r="I325" s="66"/>
      <c r="J325" s="66"/>
      <c r="K325" s="66"/>
      <c r="L325" s="66"/>
      <c r="M325" s="66"/>
      <c r="N325" s="66"/>
    </row>
    <row r="326" spans="1:14" x14ac:dyDescent="0.2">
      <c r="A326" s="84"/>
      <c r="B326" s="84"/>
      <c r="C326" s="60"/>
      <c r="D326" s="66"/>
      <c r="E326" s="66"/>
      <c r="F326" s="66"/>
      <c r="G326" s="66"/>
      <c r="H326" s="66"/>
      <c r="I326" s="66"/>
      <c r="J326" s="66"/>
      <c r="K326" s="66"/>
      <c r="L326" s="66"/>
      <c r="M326" s="66"/>
      <c r="N326" s="66"/>
    </row>
    <row r="327" spans="1:14" x14ac:dyDescent="0.2">
      <c r="A327" s="84"/>
      <c r="B327" s="84"/>
      <c r="C327" s="60"/>
      <c r="D327" s="66"/>
      <c r="E327" s="66"/>
      <c r="F327" s="66"/>
      <c r="G327" s="66"/>
      <c r="H327" s="66"/>
      <c r="I327" s="66"/>
      <c r="J327" s="66"/>
      <c r="K327" s="66"/>
      <c r="L327" s="66"/>
      <c r="M327" s="66"/>
      <c r="N327" s="66"/>
    </row>
    <row r="328" spans="1:14" x14ac:dyDescent="0.2">
      <c r="A328" s="84"/>
      <c r="B328" s="84"/>
      <c r="C328" s="60"/>
      <c r="D328" s="66"/>
      <c r="E328" s="66"/>
      <c r="F328" s="66"/>
      <c r="G328" s="66"/>
      <c r="H328" s="66"/>
      <c r="I328" s="66"/>
      <c r="J328" s="66"/>
      <c r="K328" s="66"/>
      <c r="L328" s="66"/>
      <c r="M328" s="66"/>
      <c r="N328" s="66"/>
    </row>
    <row r="329" spans="1:14" x14ac:dyDescent="0.2">
      <c r="A329" s="84"/>
      <c r="B329" s="84"/>
      <c r="C329" s="60"/>
      <c r="D329" s="66"/>
      <c r="E329" s="66"/>
      <c r="F329" s="66"/>
      <c r="G329" s="66"/>
      <c r="H329" s="66"/>
      <c r="I329" s="66"/>
      <c r="J329" s="66"/>
      <c r="K329" s="66"/>
      <c r="L329" s="66"/>
      <c r="M329" s="66"/>
      <c r="N329" s="66"/>
    </row>
    <row r="330" spans="1:14" x14ac:dyDescent="0.2">
      <c r="A330" s="84"/>
      <c r="B330" s="84"/>
      <c r="C330" s="60"/>
      <c r="D330" s="66"/>
      <c r="E330" s="66"/>
      <c r="F330" s="66"/>
      <c r="G330" s="66"/>
      <c r="H330" s="66"/>
      <c r="I330" s="66"/>
      <c r="J330" s="66"/>
      <c r="K330" s="66"/>
      <c r="L330" s="66"/>
      <c r="M330" s="66"/>
      <c r="N330" s="66"/>
    </row>
    <row r="331" spans="1:14" x14ac:dyDescent="0.2">
      <c r="A331" s="84"/>
      <c r="B331" s="84"/>
      <c r="C331" s="60"/>
      <c r="D331" s="66"/>
      <c r="E331" s="66"/>
      <c r="F331" s="66"/>
      <c r="G331" s="66"/>
      <c r="H331" s="66"/>
      <c r="I331" s="66"/>
      <c r="J331" s="66"/>
      <c r="K331" s="66"/>
      <c r="L331" s="66"/>
      <c r="M331" s="66"/>
      <c r="N331" s="66"/>
    </row>
    <row r="332" spans="1:14" x14ac:dyDescent="0.2">
      <c r="A332" s="84"/>
      <c r="B332" s="84"/>
      <c r="C332" s="60"/>
      <c r="D332" s="66"/>
      <c r="E332" s="66"/>
      <c r="F332" s="66"/>
      <c r="G332" s="66"/>
      <c r="H332" s="66"/>
      <c r="I332" s="66"/>
      <c r="J332" s="66"/>
      <c r="K332" s="66"/>
      <c r="L332" s="66"/>
      <c r="M332" s="66"/>
      <c r="N332" s="66"/>
    </row>
    <row r="333" spans="1:14" x14ac:dyDescent="0.2">
      <c r="A333" s="84"/>
      <c r="B333" s="84"/>
      <c r="C333" s="60"/>
      <c r="D333" s="66"/>
      <c r="E333" s="66"/>
      <c r="F333" s="66"/>
      <c r="G333" s="66"/>
      <c r="H333" s="66"/>
      <c r="I333" s="66"/>
      <c r="J333" s="66"/>
      <c r="K333" s="66"/>
      <c r="L333" s="66"/>
      <c r="M333" s="66"/>
      <c r="N333" s="66"/>
    </row>
    <row r="334" spans="1:14" x14ac:dyDescent="0.2">
      <c r="A334" s="84"/>
      <c r="B334" s="84"/>
      <c r="C334" s="60"/>
      <c r="D334" s="66"/>
      <c r="E334" s="66"/>
      <c r="F334" s="66"/>
      <c r="G334" s="66"/>
      <c r="H334" s="66"/>
      <c r="I334" s="66"/>
      <c r="J334" s="66"/>
      <c r="K334" s="66"/>
      <c r="L334" s="66"/>
      <c r="M334" s="66"/>
      <c r="N334" s="66"/>
    </row>
    <row r="335" spans="1:14" x14ac:dyDescent="0.2">
      <c r="A335" s="84"/>
      <c r="B335" s="84"/>
      <c r="C335" s="60"/>
      <c r="D335" s="66"/>
      <c r="E335" s="66"/>
      <c r="F335" s="66"/>
      <c r="G335" s="66"/>
      <c r="H335" s="66"/>
      <c r="I335" s="66"/>
      <c r="J335" s="66"/>
      <c r="K335" s="66"/>
      <c r="L335" s="66"/>
      <c r="M335" s="66"/>
      <c r="N335" s="66"/>
    </row>
    <row r="336" spans="1:14" x14ac:dyDescent="0.2">
      <c r="A336" s="84"/>
      <c r="B336" s="84"/>
      <c r="C336" s="60"/>
      <c r="D336" s="66"/>
      <c r="E336" s="66"/>
      <c r="F336" s="66"/>
      <c r="G336" s="66"/>
      <c r="H336" s="66"/>
      <c r="I336" s="66"/>
      <c r="J336" s="66"/>
      <c r="K336" s="66"/>
      <c r="L336" s="66"/>
      <c r="M336" s="66"/>
      <c r="N336" s="66"/>
    </row>
    <row r="337" spans="1:14" x14ac:dyDescent="0.2">
      <c r="A337" s="84"/>
      <c r="B337" s="84"/>
      <c r="C337" s="60"/>
      <c r="D337" s="66"/>
      <c r="E337" s="66"/>
      <c r="F337" s="66"/>
      <c r="G337" s="66"/>
      <c r="H337" s="66"/>
      <c r="I337" s="66"/>
      <c r="J337" s="66"/>
      <c r="K337" s="66"/>
      <c r="L337" s="66"/>
      <c r="M337" s="66"/>
      <c r="N337" s="66"/>
    </row>
    <row r="338" spans="1:14" x14ac:dyDescent="0.2">
      <c r="A338" s="84"/>
      <c r="B338" s="84"/>
      <c r="C338" s="60"/>
      <c r="D338" s="66"/>
      <c r="E338" s="66"/>
      <c r="F338" s="66"/>
      <c r="G338" s="66"/>
      <c r="H338" s="66"/>
      <c r="I338" s="66"/>
      <c r="J338" s="66"/>
      <c r="K338" s="66"/>
      <c r="L338" s="66"/>
      <c r="M338" s="66"/>
      <c r="N338" s="66"/>
    </row>
    <row r="339" spans="1:14" x14ac:dyDescent="0.2">
      <c r="A339" s="84"/>
      <c r="B339" s="84"/>
      <c r="C339" s="60"/>
      <c r="D339" s="66"/>
      <c r="E339" s="66"/>
      <c r="F339" s="66"/>
      <c r="G339" s="66"/>
      <c r="H339" s="66"/>
      <c r="I339" s="66"/>
      <c r="J339" s="66"/>
      <c r="K339" s="66"/>
      <c r="L339" s="66"/>
      <c r="M339" s="66"/>
      <c r="N339" s="66"/>
    </row>
    <row r="340" spans="1:14" x14ac:dyDescent="0.2">
      <c r="A340" s="84"/>
      <c r="B340" s="84"/>
      <c r="C340" s="60"/>
      <c r="D340" s="66"/>
      <c r="E340" s="66"/>
      <c r="F340" s="66"/>
      <c r="G340" s="66"/>
      <c r="H340" s="66"/>
      <c r="I340" s="66"/>
      <c r="J340" s="66"/>
      <c r="K340" s="66"/>
      <c r="L340" s="66"/>
      <c r="M340" s="66"/>
      <c r="N340" s="66"/>
    </row>
    <row r="341" spans="1:14" x14ac:dyDescent="0.2">
      <c r="A341" s="84"/>
      <c r="B341" s="84"/>
      <c r="C341" s="60"/>
      <c r="D341" s="66"/>
      <c r="E341" s="66"/>
      <c r="F341" s="66"/>
      <c r="G341" s="66"/>
      <c r="H341" s="66"/>
      <c r="I341" s="66"/>
      <c r="J341" s="66"/>
      <c r="K341" s="66"/>
      <c r="L341" s="66"/>
      <c r="M341" s="66"/>
      <c r="N341" s="66"/>
    </row>
    <row r="342" spans="1:14" x14ac:dyDescent="0.2">
      <c r="A342" s="84"/>
      <c r="B342" s="84"/>
      <c r="C342" s="60"/>
      <c r="D342" s="66"/>
      <c r="E342" s="66"/>
      <c r="F342" s="66"/>
      <c r="G342" s="66"/>
      <c r="H342" s="66"/>
      <c r="I342" s="66"/>
      <c r="J342" s="66"/>
      <c r="K342" s="66"/>
      <c r="L342" s="66"/>
      <c r="M342" s="66"/>
      <c r="N342" s="66"/>
    </row>
    <row r="343" spans="1:14" x14ac:dyDescent="0.2">
      <c r="A343" s="84"/>
      <c r="B343" s="84"/>
      <c r="C343" s="60"/>
      <c r="D343" s="66"/>
      <c r="E343" s="66"/>
      <c r="F343" s="66"/>
      <c r="G343" s="66"/>
      <c r="H343" s="66"/>
      <c r="I343" s="66"/>
      <c r="J343" s="66"/>
      <c r="K343" s="66"/>
      <c r="L343" s="66"/>
      <c r="M343" s="66"/>
      <c r="N343" s="66"/>
    </row>
    <row r="344" spans="1:14" x14ac:dyDescent="0.2">
      <c r="A344" s="84"/>
      <c r="B344" s="84"/>
      <c r="C344" s="60"/>
      <c r="D344" s="66"/>
      <c r="E344" s="66"/>
      <c r="F344" s="66"/>
      <c r="G344" s="66"/>
      <c r="H344" s="66"/>
      <c r="I344" s="66"/>
      <c r="J344" s="66"/>
      <c r="K344" s="66"/>
      <c r="L344" s="66"/>
      <c r="M344" s="66"/>
      <c r="N344" s="66"/>
    </row>
    <row r="345" spans="1:14" x14ac:dyDescent="0.2">
      <c r="A345" s="84"/>
      <c r="B345" s="84"/>
      <c r="C345" s="60"/>
      <c r="D345" s="66"/>
      <c r="E345" s="66"/>
      <c r="F345" s="66"/>
      <c r="G345" s="66"/>
      <c r="H345" s="66"/>
      <c r="I345" s="66"/>
      <c r="J345" s="66"/>
      <c r="K345" s="66"/>
      <c r="L345" s="66"/>
      <c r="M345" s="66"/>
      <c r="N345" s="66"/>
    </row>
    <row r="346" spans="1:14" x14ac:dyDescent="0.2">
      <c r="A346" s="84"/>
      <c r="B346" s="84"/>
      <c r="C346" s="60"/>
      <c r="D346" s="66"/>
      <c r="E346" s="66"/>
      <c r="F346" s="66"/>
      <c r="G346" s="66"/>
      <c r="H346" s="66"/>
      <c r="I346" s="66"/>
      <c r="J346" s="66"/>
      <c r="K346" s="66"/>
      <c r="L346" s="66"/>
      <c r="M346" s="66"/>
      <c r="N346" s="66"/>
    </row>
    <row r="347" spans="1:14" x14ac:dyDescent="0.2">
      <c r="A347" s="84"/>
      <c r="B347" s="84"/>
      <c r="C347" s="60"/>
      <c r="D347" s="66"/>
      <c r="E347" s="66"/>
      <c r="F347" s="66"/>
      <c r="G347" s="66"/>
      <c r="H347" s="66"/>
      <c r="I347" s="66"/>
      <c r="J347" s="66"/>
      <c r="K347" s="66"/>
      <c r="L347" s="66"/>
      <c r="M347" s="66"/>
      <c r="N347" s="66"/>
    </row>
    <row r="348" spans="1:14" x14ac:dyDescent="0.2">
      <c r="A348" s="84"/>
      <c r="B348" s="84"/>
      <c r="C348" s="60"/>
      <c r="D348" s="66"/>
      <c r="E348" s="66"/>
      <c r="F348" s="66"/>
      <c r="G348" s="66"/>
      <c r="H348" s="66"/>
      <c r="I348" s="66"/>
      <c r="J348" s="66"/>
      <c r="K348" s="66"/>
      <c r="L348" s="66"/>
      <c r="M348" s="66"/>
      <c r="N348" s="66"/>
    </row>
    <row r="349" spans="1:14" x14ac:dyDescent="0.2">
      <c r="A349" s="84"/>
      <c r="B349" s="84"/>
      <c r="C349" s="60"/>
      <c r="D349" s="66"/>
      <c r="E349" s="66"/>
      <c r="F349" s="66"/>
      <c r="G349" s="66"/>
      <c r="H349" s="66"/>
      <c r="I349" s="66"/>
      <c r="J349" s="66"/>
      <c r="K349" s="66"/>
      <c r="L349" s="66"/>
      <c r="M349" s="66"/>
      <c r="N349" s="66"/>
    </row>
    <row r="350" spans="1:14" x14ac:dyDescent="0.2">
      <c r="A350" s="84"/>
      <c r="B350" s="84"/>
      <c r="C350" s="60"/>
      <c r="D350" s="66"/>
      <c r="E350" s="66"/>
      <c r="F350" s="66"/>
      <c r="G350" s="66"/>
      <c r="H350" s="66"/>
      <c r="I350" s="66"/>
      <c r="J350" s="66"/>
      <c r="K350" s="66"/>
      <c r="L350" s="66"/>
      <c r="M350" s="66"/>
      <c r="N350" s="66"/>
    </row>
    <row r="351" spans="1:14" x14ac:dyDescent="0.2">
      <c r="A351" s="84"/>
      <c r="B351" s="84"/>
      <c r="C351" s="60"/>
      <c r="D351" s="66"/>
      <c r="E351" s="66"/>
      <c r="F351" s="66"/>
      <c r="G351" s="66"/>
      <c r="H351" s="66"/>
      <c r="I351" s="66"/>
      <c r="J351" s="66"/>
      <c r="K351" s="66"/>
      <c r="L351" s="66"/>
      <c r="M351" s="66"/>
      <c r="N351" s="66"/>
    </row>
    <row r="352" spans="1:14" x14ac:dyDescent="0.2">
      <c r="A352" s="84"/>
      <c r="B352" s="84"/>
      <c r="C352" s="60"/>
      <c r="D352" s="66"/>
      <c r="E352" s="66"/>
      <c r="F352" s="66"/>
      <c r="G352" s="66"/>
      <c r="H352" s="66"/>
      <c r="I352" s="66"/>
      <c r="J352" s="66"/>
      <c r="K352" s="66"/>
      <c r="L352" s="66"/>
      <c r="M352" s="66"/>
      <c r="N352" s="66"/>
    </row>
    <row r="353" spans="1:14" x14ac:dyDescent="0.2">
      <c r="A353" s="84"/>
      <c r="B353" s="84"/>
      <c r="C353" s="60"/>
      <c r="D353" s="66"/>
      <c r="E353" s="66"/>
      <c r="F353" s="66"/>
      <c r="G353" s="66"/>
      <c r="H353" s="66"/>
      <c r="I353" s="66"/>
      <c r="J353" s="66"/>
      <c r="K353" s="66"/>
      <c r="L353" s="66"/>
      <c r="M353" s="66"/>
      <c r="N353" s="66"/>
    </row>
    <row r="354" spans="1:14" x14ac:dyDescent="0.2">
      <c r="A354" s="84"/>
      <c r="B354" s="84"/>
      <c r="C354" s="60"/>
      <c r="D354" s="66"/>
      <c r="E354" s="66"/>
      <c r="F354" s="66"/>
      <c r="G354" s="66"/>
      <c r="H354" s="66"/>
      <c r="I354" s="66"/>
      <c r="J354" s="66"/>
      <c r="K354" s="66"/>
      <c r="L354" s="66"/>
      <c r="M354" s="66"/>
      <c r="N354" s="66"/>
    </row>
    <row r="355" spans="1:14" x14ac:dyDescent="0.2">
      <c r="A355" s="84"/>
      <c r="B355" s="84"/>
      <c r="C355" s="60"/>
      <c r="D355" s="66"/>
      <c r="E355" s="66"/>
      <c r="F355" s="66"/>
      <c r="G355" s="66"/>
      <c r="H355" s="66"/>
      <c r="I355" s="66"/>
      <c r="J355" s="66"/>
      <c r="K355" s="66"/>
      <c r="L355" s="66"/>
      <c r="M355" s="66"/>
      <c r="N355" s="66"/>
    </row>
    <row r="356" spans="1:14" x14ac:dyDescent="0.2">
      <c r="A356" s="84"/>
      <c r="B356" s="84"/>
      <c r="C356" s="60"/>
      <c r="D356" s="66"/>
      <c r="E356" s="66"/>
      <c r="F356" s="66"/>
      <c r="G356" s="66"/>
      <c r="H356" s="66"/>
      <c r="I356" s="66"/>
      <c r="J356" s="66"/>
      <c r="K356" s="66"/>
      <c r="L356" s="66"/>
      <c r="M356" s="66"/>
      <c r="N356" s="66"/>
    </row>
    <row r="357" spans="1:14" x14ac:dyDescent="0.2">
      <c r="A357" s="84"/>
      <c r="B357" s="84"/>
      <c r="C357" s="60"/>
      <c r="D357" s="66"/>
      <c r="E357" s="66"/>
      <c r="F357" s="66"/>
      <c r="G357" s="66"/>
      <c r="H357" s="66"/>
      <c r="I357" s="66"/>
      <c r="J357" s="66"/>
      <c r="K357" s="66"/>
      <c r="L357" s="66"/>
      <c r="M357" s="66"/>
      <c r="N357" s="66"/>
    </row>
    <row r="358" spans="1:14" x14ac:dyDescent="0.2">
      <c r="A358" s="84"/>
      <c r="B358" s="84"/>
      <c r="C358" s="60"/>
      <c r="D358" s="66"/>
      <c r="E358" s="66"/>
      <c r="F358" s="66"/>
      <c r="G358" s="66"/>
      <c r="H358" s="66"/>
      <c r="I358" s="66"/>
      <c r="J358" s="66"/>
      <c r="K358" s="66"/>
      <c r="L358" s="66"/>
      <c r="M358" s="66"/>
      <c r="N358" s="66"/>
    </row>
    <row r="359" spans="1:14" x14ac:dyDescent="0.2">
      <c r="A359" s="84"/>
      <c r="B359" s="84"/>
      <c r="C359" s="60"/>
      <c r="D359" s="66"/>
      <c r="E359" s="66"/>
      <c r="F359" s="66"/>
      <c r="G359" s="66"/>
      <c r="H359" s="66"/>
      <c r="I359" s="66"/>
      <c r="J359" s="66"/>
      <c r="K359" s="66"/>
      <c r="L359" s="66"/>
      <c r="M359" s="66"/>
      <c r="N359" s="66"/>
    </row>
    <row r="360" spans="1:14" x14ac:dyDescent="0.2">
      <c r="A360" s="84"/>
      <c r="B360" s="84"/>
      <c r="C360" s="60"/>
      <c r="D360" s="66"/>
      <c r="E360" s="66"/>
      <c r="F360" s="66"/>
      <c r="G360" s="66"/>
      <c r="H360" s="66"/>
      <c r="I360" s="66"/>
      <c r="J360" s="66"/>
      <c r="K360" s="66"/>
      <c r="L360" s="66"/>
      <c r="M360" s="66"/>
      <c r="N360" s="66"/>
    </row>
    <row r="361" spans="1:14" x14ac:dyDescent="0.2">
      <c r="A361" s="84"/>
      <c r="B361" s="84"/>
      <c r="C361" s="60"/>
      <c r="D361" s="66"/>
      <c r="E361" s="66"/>
      <c r="F361" s="66"/>
      <c r="G361" s="66"/>
      <c r="H361" s="66"/>
      <c r="I361" s="66"/>
      <c r="J361" s="66"/>
      <c r="K361" s="66"/>
      <c r="L361" s="66"/>
      <c r="M361" s="66"/>
      <c r="N361" s="66"/>
    </row>
    <row r="362" spans="1:14" x14ac:dyDescent="0.2">
      <c r="A362" s="84"/>
      <c r="B362" s="84"/>
      <c r="C362" s="60"/>
      <c r="D362" s="66"/>
      <c r="E362" s="66"/>
      <c r="F362" s="66"/>
      <c r="G362" s="66"/>
      <c r="H362" s="66"/>
      <c r="I362" s="66"/>
      <c r="J362" s="66"/>
      <c r="K362" s="66"/>
      <c r="L362" s="66"/>
      <c r="M362" s="66"/>
      <c r="N362" s="66"/>
    </row>
    <row r="363" spans="1:14" x14ac:dyDescent="0.2">
      <c r="A363" s="84"/>
      <c r="B363" s="84"/>
      <c r="C363" s="60"/>
      <c r="D363" s="66"/>
      <c r="E363" s="66"/>
      <c r="F363" s="66"/>
      <c r="G363" s="66"/>
      <c r="H363" s="66"/>
      <c r="I363" s="66"/>
      <c r="J363" s="66"/>
      <c r="K363" s="66"/>
      <c r="L363" s="66"/>
      <c r="M363" s="66"/>
      <c r="N363" s="66"/>
    </row>
    <row r="364" spans="1:14" x14ac:dyDescent="0.2">
      <c r="A364" s="84"/>
      <c r="B364" s="84"/>
      <c r="C364" s="60"/>
      <c r="D364" s="66"/>
      <c r="E364" s="66"/>
      <c r="F364" s="66"/>
      <c r="G364" s="66"/>
      <c r="H364" s="66"/>
      <c r="I364" s="66"/>
      <c r="J364" s="66"/>
      <c r="K364" s="66"/>
      <c r="L364" s="66"/>
      <c r="M364" s="66"/>
      <c r="N364" s="66"/>
    </row>
    <row r="365" spans="1:14" x14ac:dyDescent="0.2">
      <c r="A365" s="84"/>
      <c r="B365" s="84"/>
      <c r="C365" s="60"/>
      <c r="D365" s="66"/>
      <c r="E365" s="66"/>
      <c r="F365" s="66"/>
      <c r="G365" s="66"/>
      <c r="H365" s="66"/>
      <c r="I365" s="66"/>
      <c r="J365" s="66"/>
      <c r="K365" s="66"/>
      <c r="L365" s="66"/>
      <c r="M365" s="66"/>
      <c r="N365" s="66"/>
    </row>
    <row r="366" spans="1:14" x14ac:dyDescent="0.2">
      <c r="A366" s="84"/>
      <c r="B366" s="84"/>
      <c r="C366" s="60"/>
      <c r="D366" s="66"/>
      <c r="E366" s="66"/>
      <c r="F366" s="66"/>
      <c r="G366" s="66"/>
      <c r="H366" s="66"/>
      <c r="I366" s="66"/>
      <c r="J366" s="66"/>
      <c r="K366" s="66"/>
      <c r="L366" s="66"/>
      <c r="M366" s="66"/>
      <c r="N366" s="66"/>
    </row>
    <row r="367" spans="1:14" x14ac:dyDescent="0.2">
      <c r="A367" s="84"/>
      <c r="B367" s="84"/>
      <c r="C367" s="60"/>
      <c r="D367" s="66"/>
      <c r="E367" s="66"/>
      <c r="F367" s="66"/>
      <c r="G367" s="66"/>
      <c r="H367" s="66"/>
      <c r="I367" s="66"/>
      <c r="J367" s="66"/>
      <c r="K367" s="66"/>
      <c r="L367" s="66"/>
      <c r="M367" s="66"/>
      <c r="N367" s="66"/>
    </row>
    <row r="368" spans="1:14" x14ac:dyDescent="0.2">
      <c r="A368" s="84"/>
      <c r="B368" s="84"/>
      <c r="C368" s="60"/>
      <c r="D368" s="66"/>
      <c r="E368" s="66"/>
      <c r="F368" s="66"/>
      <c r="G368" s="66"/>
      <c r="H368" s="66"/>
      <c r="I368" s="66"/>
      <c r="J368" s="66"/>
      <c r="K368" s="66"/>
      <c r="L368" s="66"/>
      <c r="M368" s="66"/>
      <c r="N368" s="66"/>
    </row>
    <row r="369" spans="1:14" x14ac:dyDescent="0.2">
      <c r="A369" s="84"/>
      <c r="B369" s="84"/>
      <c r="C369" s="60"/>
      <c r="D369" s="66"/>
      <c r="E369" s="66"/>
      <c r="F369" s="66"/>
      <c r="G369" s="66"/>
      <c r="H369" s="66"/>
      <c r="I369" s="66"/>
      <c r="J369" s="66"/>
      <c r="K369" s="66"/>
      <c r="L369" s="66"/>
      <c r="M369" s="66"/>
      <c r="N369" s="66"/>
    </row>
    <row r="370" spans="1:14" x14ac:dyDescent="0.2">
      <c r="A370" s="84"/>
      <c r="B370" s="84"/>
      <c r="C370" s="60"/>
      <c r="D370" s="66"/>
      <c r="E370" s="66"/>
      <c r="F370" s="66"/>
      <c r="G370" s="66"/>
      <c r="H370" s="66"/>
      <c r="I370" s="66"/>
      <c r="J370" s="66"/>
      <c r="K370" s="66"/>
      <c r="L370" s="66"/>
      <c r="M370" s="66"/>
      <c r="N370" s="66"/>
    </row>
    <row r="371" spans="1:14" x14ac:dyDescent="0.2">
      <c r="A371" s="84"/>
      <c r="B371" s="84"/>
      <c r="C371" s="60"/>
      <c r="D371" s="66"/>
      <c r="E371" s="66"/>
      <c r="F371" s="66"/>
      <c r="G371" s="66"/>
      <c r="H371" s="66"/>
      <c r="I371" s="66"/>
      <c r="J371" s="66"/>
      <c r="K371" s="66"/>
      <c r="L371" s="66"/>
      <c r="M371" s="66"/>
      <c r="N371" s="66"/>
    </row>
    <row r="372" spans="1:14" x14ac:dyDescent="0.2">
      <c r="A372" s="84"/>
      <c r="B372" s="84"/>
      <c r="C372" s="60"/>
      <c r="D372" s="66"/>
      <c r="E372" s="66"/>
      <c r="F372" s="66"/>
      <c r="G372" s="66"/>
      <c r="H372" s="66"/>
      <c r="I372" s="66"/>
      <c r="J372" s="66"/>
      <c r="K372" s="66"/>
      <c r="L372" s="66"/>
      <c r="M372" s="66"/>
      <c r="N372" s="66"/>
    </row>
    <row r="373" spans="1:14" x14ac:dyDescent="0.2">
      <c r="A373" s="84"/>
      <c r="B373" s="84"/>
      <c r="C373" s="60"/>
      <c r="D373" s="66"/>
      <c r="E373" s="66"/>
      <c r="F373" s="66"/>
      <c r="G373" s="66"/>
      <c r="H373" s="66"/>
      <c r="I373" s="66"/>
      <c r="J373" s="66"/>
      <c r="K373" s="66"/>
      <c r="L373" s="66"/>
      <c r="M373" s="66"/>
      <c r="N373" s="66"/>
    </row>
    <row r="374" spans="1:14" x14ac:dyDescent="0.2">
      <c r="A374" s="84"/>
      <c r="B374" s="84"/>
      <c r="C374" s="60"/>
      <c r="D374" s="66"/>
      <c r="E374" s="66"/>
      <c r="F374" s="66"/>
      <c r="G374" s="66"/>
      <c r="H374" s="66"/>
      <c r="I374" s="66"/>
      <c r="J374" s="66"/>
      <c r="K374" s="66"/>
      <c r="L374" s="66"/>
      <c r="M374" s="66"/>
      <c r="N374" s="66"/>
    </row>
    <row r="375" spans="1:14" x14ac:dyDescent="0.2">
      <c r="A375" s="84"/>
      <c r="B375" s="84"/>
      <c r="C375" s="60"/>
      <c r="D375" s="66"/>
      <c r="E375" s="66"/>
      <c r="F375" s="66"/>
      <c r="G375" s="66"/>
      <c r="H375" s="66"/>
      <c r="I375" s="66"/>
      <c r="J375" s="66"/>
      <c r="K375" s="66"/>
      <c r="L375" s="66"/>
      <c r="M375" s="66"/>
      <c r="N375" s="66"/>
    </row>
    <row r="376" spans="1:14" x14ac:dyDescent="0.2">
      <c r="A376" s="84"/>
      <c r="B376" s="84"/>
      <c r="C376" s="60"/>
      <c r="D376" s="66"/>
      <c r="E376" s="66"/>
      <c r="F376" s="66"/>
      <c r="G376" s="66"/>
      <c r="H376" s="66"/>
      <c r="I376" s="66"/>
      <c r="J376" s="66"/>
      <c r="K376" s="66"/>
      <c r="L376" s="66"/>
      <c r="M376" s="66"/>
      <c r="N376" s="66"/>
    </row>
    <row r="377" spans="1:14" x14ac:dyDescent="0.2">
      <c r="A377" s="84"/>
      <c r="B377" s="84"/>
      <c r="C377" s="60"/>
      <c r="D377" s="66"/>
      <c r="E377" s="66"/>
      <c r="F377" s="66"/>
      <c r="G377" s="66"/>
      <c r="H377" s="66"/>
      <c r="I377" s="66"/>
      <c r="J377" s="66"/>
      <c r="K377" s="66"/>
      <c r="L377" s="66"/>
      <c r="M377" s="66"/>
      <c r="N377" s="66"/>
    </row>
    <row r="378" spans="1:14" x14ac:dyDescent="0.2">
      <c r="A378" s="84"/>
      <c r="B378" s="84"/>
      <c r="C378" s="60"/>
      <c r="D378" s="66"/>
      <c r="E378" s="66"/>
      <c r="F378" s="66"/>
      <c r="G378" s="66"/>
      <c r="H378" s="66"/>
      <c r="I378" s="66"/>
      <c r="J378" s="66"/>
      <c r="K378" s="66"/>
      <c r="L378" s="66"/>
      <c r="M378" s="66"/>
      <c r="N378" s="66"/>
    </row>
    <row r="379" spans="1:14" x14ac:dyDescent="0.2">
      <c r="A379" s="84"/>
      <c r="B379" s="84"/>
      <c r="C379" s="60"/>
      <c r="D379" s="66"/>
      <c r="E379" s="66"/>
      <c r="F379" s="66"/>
      <c r="G379" s="66"/>
      <c r="H379" s="66"/>
      <c r="I379" s="66"/>
      <c r="J379" s="66"/>
      <c r="K379" s="66"/>
      <c r="L379" s="66"/>
      <c r="M379" s="66"/>
      <c r="N379" s="66"/>
    </row>
    <row r="380" spans="1:14" x14ac:dyDescent="0.2">
      <c r="A380" s="84"/>
      <c r="B380" s="84"/>
      <c r="C380" s="60"/>
      <c r="D380" s="66"/>
      <c r="E380" s="66"/>
      <c r="F380" s="66"/>
      <c r="G380" s="66"/>
      <c r="H380" s="66"/>
      <c r="I380" s="66"/>
      <c r="J380" s="66"/>
      <c r="K380" s="66"/>
      <c r="L380" s="66"/>
      <c r="M380" s="66"/>
      <c r="N380" s="66"/>
    </row>
    <row r="381" spans="1:14" x14ac:dyDescent="0.2">
      <c r="A381" s="84"/>
      <c r="B381" s="84"/>
      <c r="C381" s="60"/>
      <c r="D381" s="66"/>
      <c r="E381" s="66"/>
      <c r="F381" s="66"/>
      <c r="G381" s="66"/>
      <c r="H381" s="66"/>
      <c r="I381" s="66"/>
      <c r="J381" s="66"/>
      <c r="K381" s="66"/>
      <c r="L381" s="66"/>
      <c r="M381" s="66"/>
      <c r="N381" s="66"/>
    </row>
    <row r="382" spans="1:14" x14ac:dyDescent="0.2">
      <c r="A382" s="84"/>
      <c r="B382" s="84"/>
      <c r="C382" s="60"/>
      <c r="D382" s="66"/>
      <c r="E382" s="66"/>
      <c r="F382" s="66"/>
      <c r="G382" s="66"/>
      <c r="H382" s="66"/>
      <c r="I382" s="66"/>
      <c r="J382" s="66"/>
      <c r="K382" s="66"/>
      <c r="L382" s="66"/>
      <c r="M382" s="66"/>
      <c r="N382" s="66"/>
    </row>
    <row r="383" spans="1:14" x14ac:dyDescent="0.2">
      <c r="A383" s="84"/>
      <c r="B383" s="84"/>
      <c r="C383" s="60"/>
      <c r="D383" s="66"/>
      <c r="E383" s="66"/>
      <c r="F383" s="66"/>
      <c r="G383" s="66"/>
      <c r="H383" s="66"/>
      <c r="I383" s="66"/>
      <c r="J383" s="66"/>
      <c r="K383" s="66"/>
      <c r="L383" s="66"/>
      <c r="M383" s="66"/>
      <c r="N383" s="66"/>
    </row>
    <row r="384" spans="1:14" x14ac:dyDescent="0.2">
      <c r="A384" s="84"/>
      <c r="B384" s="84"/>
      <c r="C384" s="60"/>
      <c r="D384" s="66"/>
      <c r="E384" s="66"/>
      <c r="F384" s="66"/>
      <c r="G384" s="66"/>
      <c r="H384" s="66"/>
      <c r="I384" s="66"/>
      <c r="J384" s="66"/>
      <c r="K384" s="66"/>
      <c r="L384" s="66"/>
      <c r="M384" s="66"/>
      <c r="N384" s="66"/>
    </row>
    <row r="385" spans="1:14" x14ac:dyDescent="0.2">
      <c r="A385" s="84"/>
      <c r="B385" s="84"/>
      <c r="C385" s="60"/>
      <c r="D385" s="66"/>
      <c r="E385" s="66"/>
      <c r="F385" s="66"/>
      <c r="G385" s="66"/>
      <c r="H385" s="66"/>
      <c r="I385" s="66"/>
      <c r="J385" s="66"/>
      <c r="K385" s="66"/>
      <c r="L385" s="66"/>
      <c r="M385" s="66"/>
      <c r="N385" s="66"/>
    </row>
    <row r="386" spans="1:14" x14ac:dyDescent="0.2">
      <c r="A386" s="84"/>
      <c r="B386" s="84"/>
      <c r="C386" s="60"/>
      <c r="D386" s="66"/>
      <c r="E386" s="66"/>
      <c r="F386" s="66"/>
      <c r="G386" s="66"/>
      <c r="H386" s="66"/>
      <c r="I386" s="66"/>
      <c r="J386" s="66"/>
      <c r="K386" s="66"/>
      <c r="L386" s="66"/>
      <c r="M386" s="66"/>
      <c r="N386" s="66"/>
    </row>
    <row r="387" spans="1:14" x14ac:dyDescent="0.2">
      <c r="A387" s="84"/>
      <c r="B387" s="84"/>
      <c r="C387" s="60"/>
      <c r="D387" s="66"/>
      <c r="E387" s="66"/>
      <c r="F387" s="66"/>
      <c r="G387" s="66"/>
      <c r="H387" s="66"/>
      <c r="I387" s="66"/>
      <c r="J387" s="66"/>
      <c r="K387" s="66"/>
      <c r="L387" s="66"/>
      <c r="M387" s="66"/>
      <c r="N387" s="66"/>
    </row>
    <row r="388" spans="1:14" x14ac:dyDescent="0.2">
      <c r="A388" s="84"/>
      <c r="B388" s="84"/>
      <c r="C388" s="60"/>
      <c r="D388" s="66"/>
      <c r="E388" s="66"/>
      <c r="F388" s="66"/>
      <c r="G388" s="66"/>
      <c r="H388" s="66"/>
      <c r="I388" s="66"/>
      <c r="J388" s="66"/>
      <c r="K388" s="66"/>
      <c r="L388" s="66"/>
      <c r="M388" s="66"/>
      <c r="N388" s="66"/>
    </row>
    <row r="389" spans="1:14" x14ac:dyDescent="0.2">
      <c r="A389" s="84"/>
      <c r="B389" s="84"/>
      <c r="C389" s="60"/>
      <c r="D389" s="66"/>
      <c r="E389" s="66"/>
      <c r="F389" s="66"/>
      <c r="G389" s="66"/>
      <c r="H389" s="66"/>
      <c r="I389" s="66"/>
      <c r="J389" s="66"/>
      <c r="K389" s="66"/>
      <c r="L389" s="66"/>
      <c r="M389" s="66"/>
      <c r="N389" s="66"/>
    </row>
    <row r="390" spans="1:14" x14ac:dyDescent="0.2">
      <c r="A390" s="84"/>
      <c r="B390" s="84"/>
      <c r="C390" s="60"/>
      <c r="D390" s="66"/>
      <c r="E390" s="66"/>
      <c r="F390" s="66"/>
      <c r="G390" s="66"/>
      <c r="H390" s="66"/>
      <c r="I390" s="66"/>
      <c r="J390" s="66"/>
      <c r="K390" s="66"/>
      <c r="L390" s="66"/>
      <c r="M390" s="66"/>
      <c r="N390" s="66"/>
    </row>
    <row r="391" spans="1:14" x14ac:dyDescent="0.2">
      <c r="A391" s="84"/>
      <c r="B391" s="84"/>
      <c r="C391" s="60"/>
      <c r="D391" s="66"/>
      <c r="E391" s="66"/>
      <c r="F391" s="66"/>
      <c r="G391" s="66"/>
      <c r="H391" s="66"/>
      <c r="I391" s="66"/>
      <c r="J391" s="66"/>
      <c r="K391" s="66"/>
      <c r="L391" s="66"/>
      <c r="M391" s="66"/>
      <c r="N391" s="66"/>
    </row>
    <row r="392" spans="1:14" x14ac:dyDescent="0.2">
      <c r="A392" s="84"/>
      <c r="B392" s="84"/>
      <c r="C392" s="60"/>
      <c r="D392" s="66"/>
      <c r="E392" s="66"/>
      <c r="F392" s="66"/>
      <c r="G392" s="66"/>
      <c r="H392" s="66"/>
      <c r="I392" s="66"/>
      <c r="J392" s="66"/>
      <c r="K392" s="66"/>
      <c r="L392" s="66"/>
      <c r="M392" s="66"/>
      <c r="N392" s="66"/>
    </row>
    <row r="393" spans="1:14" x14ac:dyDescent="0.2">
      <c r="A393" s="84"/>
      <c r="B393" s="84"/>
      <c r="C393" s="60"/>
      <c r="D393" s="66"/>
      <c r="E393" s="66"/>
      <c r="F393" s="66"/>
      <c r="G393" s="66"/>
      <c r="H393" s="66"/>
      <c r="I393" s="66"/>
      <c r="J393" s="66"/>
      <c r="K393" s="66"/>
      <c r="L393" s="66"/>
      <c r="M393" s="66"/>
      <c r="N393" s="66"/>
    </row>
    <row r="394" spans="1:14" x14ac:dyDescent="0.2">
      <c r="A394" s="84"/>
      <c r="B394" s="84"/>
      <c r="C394" s="60"/>
      <c r="D394" s="66"/>
      <c r="E394" s="66"/>
      <c r="F394" s="66"/>
      <c r="G394" s="66"/>
      <c r="H394" s="66"/>
      <c r="I394" s="66"/>
      <c r="J394" s="66"/>
      <c r="K394" s="66"/>
      <c r="L394" s="66"/>
      <c r="M394" s="66"/>
      <c r="N394" s="66"/>
    </row>
    <row r="395" spans="1:14" x14ac:dyDescent="0.2">
      <c r="A395" s="84"/>
      <c r="B395" s="84"/>
      <c r="C395" s="60"/>
      <c r="D395" s="66"/>
      <c r="E395" s="66"/>
      <c r="F395" s="66"/>
      <c r="G395" s="66"/>
      <c r="H395" s="66"/>
      <c r="I395" s="66"/>
      <c r="J395" s="66"/>
      <c r="K395" s="66"/>
      <c r="L395" s="66"/>
      <c r="M395" s="66"/>
      <c r="N395" s="66"/>
    </row>
    <row r="396" spans="1:14" x14ac:dyDescent="0.2">
      <c r="A396" s="84"/>
      <c r="B396" s="84"/>
      <c r="C396" s="60"/>
      <c r="D396" s="66"/>
      <c r="E396" s="66"/>
      <c r="F396" s="66"/>
      <c r="G396" s="66"/>
      <c r="H396" s="66"/>
      <c r="I396" s="66"/>
      <c r="J396" s="66"/>
      <c r="K396" s="66"/>
      <c r="L396" s="66"/>
      <c r="M396" s="66"/>
      <c r="N396" s="66"/>
    </row>
    <row r="397" spans="1:14" x14ac:dyDescent="0.2">
      <c r="A397" s="84"/>
      <c r="B397" s="84"/>
      <c r="C397" s="60"/>
      <c r="D397" s="66"/>
      <c r="E397" s="66"/>
      <c r="F397" s="66"/>
      <c r="G397" s="66"/>
      <c r="H397" s="66"/>
      <c r="I397" s="66"/>
      <c r="J397" s="66"/>
      <c r="K397" s="66"/>
      <c r="L397" s="66"/>
      <c r="M397" s="66"/>
      <c r="N397" s="66"/>
    </row>
    <row r="398" spans="1:14" x14ac:dyDescent="0.2">
      <c r="A398" s="84"/>
      <c r="B398" s="84"/>
      <c r="C398" s="60"/>
      <c r="D398" s="66"/>
      <c r="E398" s="66"/>
      <c r="F398" s="66"/>
      <c r="G398" s="66"/>
      <c r="H398" s="66"/>
      <c r="I398" s="66"/>
      <c r="J398" s="66"/>
      <c r="K398" s="66"/>
      <c r="L398" s="66"/>
      <c r="M398" s="66"/>
      <c r="N398" s="66"/>
    </row>
    <row r="399" spans="1:14" x14ac:dyDescent="0.2">
      <c r="A399" s="84"/>
      <c r="B399" s="84"/>
      <c r="C399" s="60"/>
      <c r="D399" s="66"/>
      <c r="E399" s="66"/>
      <c r="F399" s="66"/>
      <c r="G399" s="66"/>
      <c r="H399" s="66"/>
      <c r="I399" s="66"/>
      <c r="J399" s="66"/>
      <c r="K399" s="66"/>
      <c r="L399" s="66"/>
      <c r="M399" s="66"/>
      <c r="N399" s="66"/>
    </row>
    <row r="400" spans="1:14" x14ac:dyDescent="0.2">
      <c r="A400" s="84"/>
      <c r="B400" s="84"/>
      <c r="C400" s="60"/>
      <c r="D400" s="66"/>
      <c r="E400" s="66"/>
      <c r="F400" s="66"/>
      <c r="G400" s="66"/>
      <c r="H400" s="66"/>
      <c r="I400" s="66"/>
      <c r="J400" s="66"/>
      <c r="K400" s="66"/>
      <c r="L400" s="66"/>
      <c r="M400" s="66"/>
      <c r="N400" s="66"/>
    </row>
    <row r="401" spans="1:14" x14ac:dyDescent="0.2">
      <c r="A401" s="84"/>
      <c r="B401" s="84"/>
      <c r="C401" s="60"/>
      <c r="D401" s="66"/>
      <c r="E401" s="66"/>
      <c r="F401" s="66"/>
      <c r="G401" s="66"/>
      <c r="H401" s="66"/>
      <c r="I401" s="66"/>
      <c r="J401" s="66"/>
      <c r="K401" s="66"/>
      <c r="L401" s="66"/>
      <c r="M401" s="66"/>
      <c r="N401" s="66"/>
    </row>
    <row r="402" spans="1:14" x14ac:dyDescent="0.2">
      <c r="A402" s="84"/>
      <c r="B402" s="84"/>
      <c r="C402" s="60"/>
      <c r="D402" s="66"/>
      <c r="E402" s="66"/>
      <c r="F402" s="66"/>
      <c r="G402" s="66"/>
      <c r="H402" s="66"/>
      <c r="I402" s="66"/>
      <c r="J402" s="66"/>
      <c r="K402" s="66"/>
      <c r="L402" s="66"/>
      <c r="M402" s="66"/>
      <c r="N402" s="66"/>
    </row>
    <row r="403" spans="1:14" x14ac:dyDescent="0.2">
      <c r="A403" s="84"/>
      <c r="B403" s="84"/>
      <c r="C403" s="60"/>
      <c r="D403" s="66"/>
      <c r="E403" s="66"/>
      <c r="F403" s="66"/>
      <c r="G403" s="66"/>
      <c r="H403" s="66"/>
      <c r="I403" s="66"/>
      <c r="J403" s="66"/>
      <c r="K403" s="66"/>
      <c r="L403" s="66"/>
      <c r="M403" s="66"/>
      <c r="N403" s="66"/>
    </row>
    <row r="404" spans="1:14" x14ac:dyDescent="0.2">
      <c r="A404" s="84"/>
      <c r="B404" s="84"/>
      <c r="C404" s="60"/>
      <c r="D404" s="66"/>
      <c r="E404" s="66"/>
      <c r="F404" s="66"/>
      <c r="G404" s="66"/>
      <c r="H404" s="66"/>
      <c r="I404" s="66"/>
      <c r="J404" s="66"/>
      <c r="K404" s="66"/>
      <c r="L404" s="66"/>
      <c r="M404" s="66"/>
      <c r="N404" s="66"/>
    </row>
    <row r="405" spans="1:14" x14ac:dyDescent="0.2">
      <c r="A405" s="84"/>
      <c r="B405" s="84"/>
      <c r="C405" s="60"/>
      <c r="D405" s="66"/>
      <c r="E405" s="66"/>
      <c r="F405" s="66"/>
      <c r="G405" s="66"/>
      <c r="H405" s="66"/>
      <c r="I405" s="66"/>
      <c r="J405" s="66"/>
      <c r="K405" s="66"/>
      <c r="L405" s="66"/>
      <c r="M405" s="66"/>
      <c r="N405" s="66"/>
    </row>
    <row r="406" spans="1:14" x14ac:dyDescent="0.2">
      <c r="A406" s="84"/>
      <c r="B406" s="84"/>
      <c r="C406" s="60"/>
      <c r="D406" s="66"/>
      <c r="E406" s="66"/>
      <c r="F406" s="66"/>
      <c r="G406" s="66"/>
      <c r="H406" s="66"/>
      <c r="I406" s="66"/>
      <c r="J406" s="66"/>
      <c r="K406" s="66"/>
      <c r="L406" s="66"/>
      <c r="M406" s="66"/>
      <c r="N406" s="66"/>
    </row>
    <row r="407" spans="1:14" x14ac:dyDescent="0.2">
      <c r="A407" s="84"/>
      <c r="B407" s="84"/>
      <c r="C407" s="60"/>
      <c r="D407" s="66"/>
      <c r="E407" s="66"/>
      <c r="F407" s="66"/>
      <c r="G407" s="66"/>
      <c r="H407" s="66"/>
      <c r="I407" s="66"/>
      <c r="J407" s="66"/>
      <c r="K407" s="66"/>
      <c r="L407" s="66"/>
      <c r="M407" s="66"/>
      <c r="N407" s="66"/>
    </row>
    <row r="408" spans="1:14" x14ac:dyDescent="0.2">
      <c r="A408" s="84"/>
      <c r="B408" s="84"/>
      <c r="C408" s="60"/>
      <c r="D408" s="66"/>
      <c r="E408" s="66"/>
      <c r="F408" s="66"/>
      <c r="G408" s="66"/>
      <c r="H408" s="66"/>
      <c r="I408" s="66"/>
      <c r="J408" s="66"/>
      <c r="K408" s="66"/>
      <c r="L408" s="66"/>
      <c r="M408" s="66"/>
      <c r="N408" s="66"/>
    </row>
    <row r="409" spans="1:14" x14ac:dyDescent="0.2">
      <c r="A409" s="84"/>
      <c r="B409" s="84"/>
      <c r="C409" s="60"/>
      <c r="D409" s="66"/>
      <c r="E409" s="66"/>
      <c r="F409" s="66"/>
      <c r="G409" s="66"/>
      <c r="H409" s="66"/>
      <c r="I409" s="66"/>
      <c r="J409" s="66"/>
      <c r="K409" s="66"/>
      <c r="L409" s="66"/>
      <c r="M409" s="66"/>
      <c r="N409" s="66"/>
    </row>
    <row r="410" spans="1:14" x14ac:dyDescent="0.2">
      <c r="A410" s="84"/>
      <c r="B410" s="84"/>
      <c r="C410" s="60"/>
      <c r="D410" s="66"/>
      <c r="E410" s="66"/>
      <c r="F410" s="66"/>
      <c r="G410" s="66"/>
      <c r="H410" s="66"/>
      <c r="I410" s="66"/>
      <c r="J410" s="66"/>
      <c r="K410" s="66"/>
      <c r="L410" s="66"/>
      <c r="M410" s="66"/>
      <c r="N410" s="66"/>
    </row>
    <row r="411" spans="1:14" x14ac:dyDescent="0.2">
      <c r="A411" s="84"/>
      <c r="B411" s="84"/>
      <c r="C411" s="60"/>
      <c r="D411" s="66"/>
      <c r="E411" s="66"/>
      <c r="F411" s="66"/>
      <c r="G411" s="66"/>
      <c r="H411" s="66"/>
      <c r="I411" s="66"/>
      <c r="J411" s="66"/>
      <c r="K411" s="66"/>
      <c r="L411" s="66"/>
      <c r="M411" s="66"/>
      <c r="N411" s="66"/>
    </row>
    <row r="412" spans="1:14" x14ac:dyDescent="0.2">
      <c r="A412" s="84"/>
      <c r="B412" s="84"/>
      <c r="C412" s="60"/>
      <c r="D412" s="66"/>
      <c r="E412" s="66"/>
      <c r="F412" s="66"/>
      <c r="G412" s="66"/>
      <c r="H412" s="66"/>
      <c r="I412" s="66"/>
      <c r="J412" s="66"/>
      <c r="K412" s="66"/>
      <c r="L412" s="66"/>
      <c r="M412" s="66"/>
      <c r="N412" s="66"/>
    </row>
    <row r="413" spans="1:14" x14ac:dyDescent="0.2">
      <c r="A413" s="84"/>
      <c r="B413" s="84"/>
      <c r="C413" s="60"/>
      <c r="D413" s="66"/>
      <c r="E413" s="66"/>
      <c r="F413" s="66"/>
      <c r="G413" s="66"/>
      <c r="H413" s="66"/>
      <c r="I413" s="66"/>
      <c r="J413" s="66"/>
      <c r="K413" s="66"/>
      <c r="L413" s="66"/>
      <c r="M413" s="66"/>
      <c r="N413" s="66"/>
    </row>
    <row r="414" spans="1:14" x14ac:dyDescent="0.2">
      <c r="A414" s="84"/>
      <c r="B414" s="84"/>
      <c r="C414" s="60"/>
      <c r="D414" s="66"/>
      <c r="E414" s="66"/>
      <c r="F414" s="66"/>
      <c r="G414" s="66"/>
      <c r="H414" s="66"/>
      <c r="I414" s="66"/>
      <c r="J414" s="66"/>
      <c r="K414" s="66"/>
      <c r="L414" s="66"/>
      <c r="M414" s="66"/>
      <c r="N414" s="66"/>
    </row>
    <row r="415" spans="1:14" x14ac:dyDescent="0.2">
      <c r="A415" s="84"/>
      <c r="B415" s="84"/>
      <c r="C415" s="60"/>
      <c r="D415" s="66"/>
      <c r="E415" s="66"/>
      <c r="F415" s="66"/>
      <c r="G415" s="66"/>
      <c r="H415" s="66"/>
      <c r="I415" s="66"/>
      <c r="J415" s="66"/>
      <c r="K415" s="66"/>
      <c r="L415" s="66"/>
      <c r="M415" s="66"/>
      <c r="N415" s="66"/>
    </row>
    <row r="416" spans="1:14" x14ac:dyDescent="0.2">
      <c r="A416" s="84"/>
      <c r="B416" s="84"/>
      <c r="C416" s="60"/>
      <c r="D416" s="66"/>
      <c r="E416" s="66"/>
      <c r="F416" s="66"/>
      <c r="G416" s="66"/>
      <c r="H416" s="66"/>
      <c r="I416" s="66"/>
      <c r="J416" s="66"/>
      <c r="K416" s="66"/>
      <c r="L416" s="66"/>
      <c r="M416" s="66"/>
      <c r="N416" s="66"/>
    </row>
    <row r="417" spans="1:14" x14ac:dyDescent="0.2">
      <c r="A417" s="84"/>
      <c r="B417" s="84"/>
      <c r="C417" s="60"/>
      <c r="D417" s="66"/>
      <c r="E417" s="66"/>
      <c r="F417" s="66"/>
      <c r="G417" s="66"/>
      <c r="H417" s="66"/>
      <c r="I417" s="66"/>
      <c r="J417" s="66"/>
      <c r="K417" s="66"/>
      <c r="L417" s="66"/>
      <c r="M417" s="66"/>
      <c r="N417" s="66"/>
    </row>
    <row r="418" spans="1:14" x14ac:dyDescent="0.2">
      <c r="A418" s="84"/>
      <c r="B418" s="84"/>
      <c r="C418" s="60"/>
      <c r="D418" s="66"/>
      <c r="E418" s="66"/>
      <c r="F418" s="66"/>
      <c r="G418" s="66"/>
      <c r="H418" s="66"/>
      <c r="I418" s="66"/>
      <c r="J418" s="66"/>
      <c r="K418" s="66"/>
      <c r="L418" s="66"/>
      <c r="M418" s="66"/>
      <c r="N418" s="66"/>
    </row>
    <row r="419" spans="1:14" x14ac:dyDescent="0.2">
      <c r="A419" s="84"/>
      <c r="B419" s="84"/>
      <c r="C419" s="60"/>
      <c r="D419" s="66"/>
      <c r="E419" s="66"/>
      <c r="F419" s="66"/>
      <c r="G419" s="66"/>
      <c r="H419" s="66"/>
      <c r="I419" s="66"/>
      <c r="J419" s="66"/>
      <c r="K419" s="66"/>
      <c r="L419" s="66"/>
      <c r="M419" s="66"/>
      <c r="N419" s="66"/>
    </row>
    <row r="420" spans="1:14" x14ac:dyDescent="0.2">
      <c r="A420" s="84"/>
      <c r="B420" s="84"/>
      <c r="C420" s="60"/>
      <c r="D420" s="66"/>
      <c r="E420" s="66"/>
      <c r="F420" s="66"/>
      <c r="G420" s="66"/>
      <c r="H420" s="66"/>
      <c r="I420" s="66"/>
      <c r="J420" s="66"/>
      <c r="K420" s="66"/>
      <c r="L420" s="66"/>
      <c r="M420" s="66"/>
      <c r="N420" s="66"/>
    </row>
    <row r="421" spans="1:14" x14ac:dyDescent="0.2">
      <c r="A421" s="84"/>
      <c r="B421" s="84"/>
      <c r="C421" s="60"/>
      <c r="D421" s="66"/>
      <c r="E421" s="66"/>
      <c r="F421" s="66"/>
      <c r="G421" s="66"/>
      <c r="H421" s="66"/>
      <c r="I421" s="66"/>
      <c r="J421" s="66"/>
      <c r="K421" s="66"/>
      <c r="L421" s="66"/>
      <c r="M421" s="66"/>
      <c r="N421" s="66"/>
    </row>
    <row r="422" spans="1:14" x14ac:dyDescent="0.2">
      <c r="A422" s="84"/>
      <c r="B422" s="84"/>
      <c r="C422" s="60"/>
      <c r="D422" s="66"/>
      <c r="E422" s="66"/>
      <c r="F422" s="66"/>
      <c r="G422" s="66"/>
      <c r="H422" s="66"/>
      <c r="I422" s="66"/>
      <c r="J422" s="66"/>
      <c r="K422" s="66"/>
      <c r="L422" s="66"/>
      <c r="M422" s="66"/>
      <c r="N422" s="66"/>
    </row>
    <row r="423" spans="1:14" x14ac:dyDescent="0.2">
      <c r="A423" s="84"/>
      <c r="B423" s="84"/>
      <c r="C423" s="60"/>
      <c r="D423" s="66"/>
      <c r="E423" s="66"/>
      <c r="F423" s="66"/>
      <c r="G423" s="66"/>
      <c r="H423" s="66"/>
      <c r="I423" s="66"/>
      <c r="J423" s="66"/>
      <c r="K423" s="66"/>
      <c r="L423" s="66"/>
      <c r="M423" s="66"/>
      <c r="N423" s="66"/>
    </row>
    <row r="424" spans="1:14" x14ac:dyDescent="0.2">
      <c r="A424" s="84"/>
      <c r="B424" s="84"/>
      <c r="C424" s="60"/>
      <c r="D424" s="66"/>
      <c r="E424" s="66"/>
      <c r="F424" s="66"/>
      <c r="G424" s="66"/>
      <c r="H424" s="66"/>
      <c r="I424" s="66"/>
      <c r="J424" s="66"/>
      <c r="K424" s="66"/>
      <c r="L424" s="66"/>
      <c r="M424" s="66"/>
      <c r="N424" s="66"/>
    </row>
    <row r="425" spans="1:14" x14ac:dyDescent="0.2">
      <c r="A425" s="84"/>
      <c r="B425" s="84"/>
      <c r="C425" s="60"/>
      <c r="D425" s="66"/>
      <c r="E425" s="66"/>
      <c r="F425" s="66"/>
      <c r="G425" s="66"/>
      <c r="H425" s="66"/>
      <c r="I425" s="66"/>
      <c r="J425" s="66"/>
      <c r="K425" s="66"/>
      <c r="L425" s="66"/>
      <c r="M425" s="66"/>
      <c r="N425" s="66"/>
    </row>
    <row r="426" spans="1:14" x14ac:dyDescent="0.2">
      <c r="A426" s="84"/>
      <c r="B426" s="84"/>
      <c r="C426" s="60"/>
      <c r="D426" s="66"/>
      <c r="E426" s="66"/>
      <c r="F426" s="66"/>
      <c r="G426" s="66"/>
      <c r="H426" s="66"/>
      <c r="I426" s="66"/>
      <c r="J426" s="66"/>
      <c r="K426" s="66"/>
      <c r="L426" s="66"/>
      <c r="M426" s="66"/>
      <c r="N426" s="66"/>
    </row>
    <row r="427" spans="1:14" x14ac:dyDescent="0.2">
      <c r="A427" s="84"/>
      <c r="B427" s="84"/>
      <c r="C427" s="60"/>
      <c r="D427" s="66"/>
      <c r="E427" s="66"/>
      <c r="F427" s="66"/>
      <c r="G427" s="66"/>
      <c r="H427" s="66"/>
      <c r="I427" s="66"/>
      <c r="J427" s="66"/>
      <c r="K427" s="66"/>
      <c r="L427" s="66"/>
      <c r="M427" s="66"/>
      <c r="N427" s="66"/>
    </row>
    <row r="428" spans="1:14" x14ac:dyDescent="0.2">
      <c r="A428" s="84"/>
      <c r="B428" s="84"/>
      <c r="C428" s="60"/>
      <c r="D428" s="66"/>
      <c r="E428" s="66"/>
      <c r="F428" s="66"/>
      <c r="G428" s="66"/>
      <c r="H428" s="66"/>
      <c r="I428" s="66"/>
      <c r="J428" s="66"/>
      <c r="K428" s="66"/>
      <c r="L428" s="66"/>
      <c r="M428" s="66"/>
      <c r="N428" s="66"/>
    </row>
    <row r="429" spans="1:14" x14ac:dyDescent="0.2">
      <c r="A429" s="84"/>
      <c r="B429" s="84"/>
      <c r="C429" s="60"/>
      <c r="D429" s="66"/>
      <c r="E429" s="66"/>
      <c r="F429" s="66"/>
      <c r="G429" s="66"/>
      <c r="H429" s="66"/>
      <c r="I429" s="66"/>
      <c r="J429" s="66"/>
      <c r="K429" s="66"/>
      <c r="L429" s="66"/>
      <c r="M429" s="66"/>
      <c r="N429" s="66"/>
    </row>
    <row r="430" spans="1:14" x14ac:dyDescent="0.2">
      <c r="A430" s="84"/>
      <c r="B430" s="84"/>
      <c r="C430" s="60"/>
      <c r="D430" s="66"/>
      <c r="E430" s="66"/>
      <c r="F430" s="66"/>
      <c r="G430" s="66"/>
      <c r="H430" s="66"/>
      <c r="I430" s="66"/>
      <c r="J430" s="66"/>
      <c r="K430" s="66"/>
      <c r="L430" s="66"/>
      <c r="M430" s="66"/>
      <c r="N430" s="66"/>
    </row>
    <row r="431" spans="1:14" x14ac:dyDescent="0.2">
      <c r="A431" s="84"/>
      <c r="B431" s="84"/>
      <c r="C431" s="60"/>
      <c r="D431" s="66"/>
      <c r="E431" s="66"/>
      <c r="F431" s="66"/>
      <c r="G431" s="66"/>
      <c r="H431" s="66"/>
      <c r="I431" s="66"/>
      <c r="J431" s="66"/>
      <c r="K431" s="66"/>
      <c r="L431" s="66"/>
      <c r="M431" s="66"/>
      <c r="N431" s="66"/>
    </row>
    <row r="432" spans="1:14" x14ac:dyDescent="0.2">
      <c r="A432" s="84"/>
      <c r="B432" s="84"/>
      <c r="C432" s="60"/>
      <c r="D432" s="66"/>
      <c r="E432" s="66"/>
      <c r="F432" s="66"/>
      <c r="G432" s="66"/>
      <c r="H432" s="66"/>
      <c r="I432" s="66"/>
      <c r="J432" s="66"/>
      <c r="K432" s="66"/>
      <c r="L432" s="66"/>
      <c r="M432" s="66"/>
      <c r="N432" s="66"/>
    </row>
    <row r="433" spans="1:14" x14ac:dyDescent="0.2">
      <c r="A433" s="84"/>
      <c r="B433" s="84"/>
      <c r="C433" s="60"/>
      <c r="D433" s="66"/>
      <c r="E433" s="66"/>
      <c r="F433" s="66"/>
      <c r="G433" s="66"/>
      <c r="H433" s="66"/>
      <c r="I433" s="66"/>
      <c r="J433" s="66"/>
      <c r="K433" s="66"/>
      <c r="L433" s="66"/>
      <c r="M433" s="66"/>
      <c r="N433" s="66"/>
    </row>
    <row r="434" spans="1:14" x14ac:dyDescent="0.2">
      <c r="A434" s="84"/>
      <c r="B434" s="84"/>
      <c r="C434" s="60"/>
      <c r="D434" s="66"/>
      <c r="E434" s="66"/>
      <c r="F434" s="66"/>
      <c r="G434" s="66"/>
      <c r="H434" s="66"/>
      <c r="I434" s="66"/>
      <c r="J434" s="66"/>
      <c r="K434" s="66"/>
      <c r="L434" s="66"/>
      <c r="M434" s="66"/>
      <c r="N434" s="66"/>
    </row>
    <row r="435" spans="1:14" x14ac:dyDescent="0.2">
      <c r="A435" s="84"/>
      <c r="B435" s="84"/>
      <c r="C435" s="60"/>
      <c r="D435" s="66"/>
      <c r="E435" s="66"/>
      <c r="F435" s="66"/>
      <c r="G435" s="66"/>
      <c r="H435" s="66"/>
      <c r="I435" s="66"/>
      <c r="J435" s="66"/>
      <c r="K435" s="66"/>
      <c r="L435" s="66"/>
      <c r="M435" s="66"/>
      <c r="N435" s="66"/>
    </row>
    <row r="436" spans="1:14" x14ac:dyDescent="0.2">
      <c r="A436" s="84"/>
      <c r="B436" s="84"/>
      <c r="C436" s="60"/>
      <c r="D436" s="66"/>
      <c r="E436" s="66"/>
      <c r="F436" s="66"/>
      <c r="G436" s="66"/>
      <c r="H436" s="66"/>
      <c r="I436" s="66"/>
      <c r="J436" s="66"/>
      <c r="K436" s="66"/>
      <c r="L436" s="66"/>
      <c r="M436" s="66"/>
      <c r="N436" s="66"/>
    </row>
    <row r="437" spans="1:14" x14ac:dyDescent="0.2">
      <c r="A437" s="84"/>
      <c r="B437" s="84"/>
      <c r="C437" s="60"/>
      <c r="D437" s="66"/>
      <c r="E437" s="66"/>
      <c r="F437" s="66"/>
      <c r="G437" s="66"/>
      <c r="H437" s="66"/>
      <c r="I437" s="66"/>
      <c r="J437" s="66"/>
      <c r="K437" s="66"/>
      <c r="L437" s="66"/>
      <c r="M437" s="66"/>
      <c r="N437" s="66"/>
    </row>
    <row r="438" spans="1:14" x14ac:dyDescent="0.2">
      <c r="A438" s="84"/>
      <c r="B438" s="84"/>
      <c r="C438" s="60"/>
      <c r="D438" s="66"/>
      <c r="E438" s="66"/>
      <c r="F438" s="66"/>
      <c r="G438" s="66"/>
      <c r="H438" s="66"/>
      <c r="I438" s="66"/>
      <c r="J438" s="66"/>
      <c r="K438" s="66"/>
      <c r="L438" s="66"/>
      <c r="M438" s="66"/>
      <c r="N438" s="66"/>
    </row>
    <row r="439" spans="1:14" x14ac:dyDescent="0.2">
      <c r="A439" s="84"/>
      <c r="B439" s="84"/>
      <c r="C439" s="60"/>
      <c r="D439" s="66"/>
      <c r="E439" s="66"/>
      <c r="F439" s="66"/>
      <c r="G439" s="66"/>
      <c r="H439" s="66"/>
      <c r="I439" s="66"/>
      <c r="J439" s="66"/>
      <c r="K439" s="66"/>
      <c r="L439" s="66"/>
      <c r="M439" s="66"/>
      <c r="N439" s="66"/>
    </row>
    <row r="440" spans="1:14" x14ac:dyDescent="0.2">
      <c r="A440" s="84"/>
      <c r="B440" s="84"/>
      <c r="C440" s="60"/>
      <c r="D440" s="66"/>
      <c r="E440" s="66"/>
      <c r="F440" s="66"/>
      <c r="G440" s="66"/>
      <c r="H440" s="66"/>
      <c r="I440" s="66"/>
      <c r="J440" s="66"/>
      <c r="K440" s="66"/>
      <c r="L440" s="66"/>
      <c r="M440" s="66"/>
      <c r="N440" s="66"/>
    </row>
    <row r="441" spans="1:14" x14ac:dyDescent="0.2">
      <c r="A441" s="84"/>
      <c r="B441" s="84"/>
      <c r="C441" s="60"/>
      <c r="D441" s="66"/>
      <c r="E441" s="66"/>
      <c r="F441" s="66"/>
      <c r="G441" s="66"/>
      <c r="H441" s="66"/>
      <c r="I441" s="66"/>
      <c r="J441" s="66"/>
      <c r="K441" s="66"/>
      <c r="L441" s="66"/>
      <c r="M441" s="66"/>
      <c r="N441" s="66"/>
    </row>
    <row r="442" spans="1:14" x14ac:dyDescent="0.2">
      <c r="A442" s="84"/>
      <c r="B442" s="84"/>
      <c r="C442" s="60"/>
      <c r="D442" s="66"/>
      <c r="E442" s="66"/>
      <c r="F442" s="66"/>
      <c r="G442" s="66"/>
      <c r="H442" s="66"/>
      <c r="I442" s="66"/>
      <c r="J442" s="66"/>
      <c r="K442" s="66"/>
      <c r="L442" s="66"/>
      <c r="M442" s="66"/>
      <c r="N442" s="66"/>
    </row>
    <row r="443" spans="1:14" x14ac:dyDescent="0.2">
      <c r="A443" s="84"/>
      <c r="B443" s="84"/>
      <c r="C443" s="60"/>
      <c r="D443" s="66"/>
      <c r="E443" s="66"/>
      <c r="F443" s="66"/>
      <c r="G443" s="66"/>
      <c r="H443" s="66"/>
      <c r="I443" s="66"/>
      <c r="J443" s="66"/>
      <c r="K443" s="66"/>
      <c r="L443" s="66"/>
      <c r="M443" s="66"/>
      <c r="N443" s="66"/>
    </row>
    <row r="444" spans="1:14" x14ac:dyDescent="0.2">
      <c r="A444" s="84"/>
      <c r="B444" s="84"/>
      <c r="C444" s="60"/>
      <c r="D444" s="66"/>
      <c r="E444" s="66"/>
      <c r="F444" s="66"/>
      <c r="G444" s="66"/>
      <c r="H444" s="66"/>
      <c r="I444" s="66"/>
      <c r="J444" s="66"/>
      <c r="K444" s="66"/>
      <c r="L444" s="66"/>
      <c r="M444" s="66"/>
      <c r="N444" s="66"/>
    </row>
    <row r="445" spans="1:14" x14ac:dyDescent="0.2">
      <c r="A445" s="84"/>
      <c r="B445" s="84"/>
      <c r="C445" s="60"/>
      <c r="D445" s="66"/>
      <c r="E445" s="66"/>
      <c r="F445" s="66"/>
      <c r="G445" s="66"/>
      <c r="H445" s="66"/>
      <c r="I445" s="66"/>
      <c r="J445" s="66"/>
      <c r="K445" s="66"/>
      <c r="L445" s="66"/>
      <c r="M445" s="66"/>
      <c r="N445" s="66"/>
    </row>
    <row r="446" spans="1:14" x14ac:dyDescent="0.2">
      <c r="A446" s="84"/>
      <c r="B446" s="84"/>
      <c r="C446" s="60"/>
      <c r="D446" s="66"/>
      <c r="E446" s="66"/>
      <c r="F446" s="66"/>
      <c r="G446" s="66"/>
      <c r="H446" s="66"/>
      <c r="I446" s="66"/>
      <c r="J446" s="66"/>
      <c r="K446" s="66"/>
      <c r="L446" s="66"/>
      <c r="M446" s="66"/>
      <c r="N446" s="66"/>
    </row>
    <row r="447" spans="1:14" x14ac:dyDescent="0.2">
      <c r="A447" s="84"/>
      <c r="B447" s="84"/>
      <c r="C447" s="60"/>
      <c r="D447" s="66"/>
      <c r="E447" s="66"/>
      <c r="F447" s="66"/>
      <c r="G447" s="66"/>
      <c r="H447" s="66"/>
      <c r="I447" s="66"/>
      <c r="J447" s="66"/>
      <c r="K447" s="66"/>
      <c r="L447" s="66"/>
      <c r="M447" s="66"/>
      <c r="N447" s="66"/>
    </row>
    <row r="448" spans="1:14" x14ac:dyDescent="0.2">
      <c r="A448" s="84"/>
      <c r="B448" s="84"/>
      <c r="C448" s="60"/>
      <c r="D448" s="66"/>
      <c r="E448" s="66"/>
      <c r="F448" s="66"/>
      <c r="G448" s="66"/>
      <c r="H448" s="66"/>
      <c r="I448" s="66"/>
      <c r="J448" s="66"/>
      <c r="K448" s="66"/>
      <c r="L448" s="66"/>
      <c r="M448" s="66"/>
      <c r="N448" s="66"/>
    </row>
    <row r="449" spans="1:14" x14ac:dyDescent="0.2">
      <c r="A449" s="84"/>
      <c r="B449" s="84"/>
      <c r="C449" s="60"/>
      <c r="D449" s="66"/>
      <c r="E449" s="66"/>
      <c r="F449" s="66"/>
      <c r="G449" s="66"/>
      <c r="H449" s="66"/>
      <c r="I449" s="66"/>
      <c r="J449" s="66"/>
      <c r="K449" s="66"/>
      <c r="L449" s="66"/>
      <c r="M449" s="66"/>
      <c r="N449" s="66"/>
    </row>
    <row r="450" spans="1:14" x14ac:dyDescent="0.2">
      <c r="A450" s="84"/>
      <c r="B450" s="84"/>
      <c r="C450" s="60"/>
      <c r="D450" s="66"/>
      <c r="E450" s="66"/>
      <c r="F450" s="66"/>
      <c r="G450" s="66"/>
      <c r="H450" s="66"/>
      <c r="I450" s="66"/>
      <c r="J450" s="66"/>
      <c r="K450" s="66"/>
      <c r="L450" s="66"/>
      <c r="M450" s="66"/>
      <c r="N450" s="66"/>
    </row>
    <row r="451" spans="1:14" x14ac:dyDescent="0.2">
      <c r="A451" s="84"/>
      <c r="B451" s="84"/>
      <c r="C451" s="60"/>
      <c r="D451" s="66"/>
      <c r="E451" s="66"/>
      <c r="F451" s="66"/>
      <c r="G451" s="66"/>
      <c r="H451" s="66"/>
      <c r="I451" s="66"/>
      <c r="J451" s="66"/>
      <c r="K451" s="66"/>
      <c r="L451" s="66"/>
      <c r="M451" s="66"/>
      <c r="N451" s="66"/>
    </row>
    <row r="452" spans="1:14" x14ac:dyDescent="0.2">
      <c r="A452" s="84"/>
      <c r="B452" s="84"/>
      <c r="C452" s="60"/>
      <c r="D452" s="66"/>
      <c r="E452" s="66"/>
      <c r="F452" s="66"/>
      <c r="G452" s="66"/>
      <c r="H452" s="66"/>
      <c r="I452" s="66"/>
      <c r="J452" s="66"/>
      <c r="K452" s="66"/>
      <c r="L452" s="66"/>
      <c r="M452" s="66"/>
      <c r="N452" s="66"/>
    </row>
    <row r="453" spans="1:14" x14ac:dyDescent="0.2">
      <c r="A453" s="84"/>
      <c r="B453" s="84"/>
      <c r="C453" s="60"/>
      <c r="D453" s="66"/>
      <c r="E453" s="66"/>
      <c r="F453" s="66"/>
      <c r="G453" s="66"/>
      <c r="H453" s="66"/>
      <c r="I453" s="66"/>
      <c r="J453" s="66"/>
      <c r="K453" s="66"/>
      <c r="L453" s="66"/>
      <c r="M453" s="66"/>
      <c r="N453" s="66"/>
    </row>
    <row r="454" spans="1:14" x14ac:dyDescent="0.2">
      <c r="A454" s="84"/>
      <c r="B454" s="84"/>
      <c r="C454" s="60"/>
      <c r="D454" s="66"/>
      <c r="E454" s="66"/>
      <c r="F454" s="66"/>
      <c r="G454" s="66"/>
      <c r="H454" s="66"/>
      <c r="I454" s="66"/>
      <c r="J454" s="66"/>
      <c r="K454" s="66"/>
      <c r="L454" s="66"/>
      <c r="M454" s="66"/>
      <c r="N454" s="66"/>
    </row>
    <row r="455" spans="1:14" x14ac:dyDescent="0.2">
      <c r="A455" s="84"/>
      <c r="B455" s="84"/>
      <c r="C455" s="60"/>
      <c r="D455" s="66"/>
      <c r="E455" s="66"/>
      <c r="F455" s="66"/>
      <c r="G455" s="66"/>
      <c r="H455" s="66"/>
      <c r="I455" s="66"/>
      <c r="J455" s="66"/>
      <c r="K455" s="66"/>
      <c r="L455" s="66"/>
      <c r="M455" s="66"/>
      <c r="N455" s="66"/>
    </row>
    <row r="456" spans="1:14" x14ac:dyDescent="0.2">
      <c r="A456" s="84"/>
      <c r="B456" s="84"/>
      <c r="C456" s="60"/>
      <c r="D456" s="66"/>
      <c r="E456" s="66"/>
      <c r="F456" s="66"/>
      <c r="G456" s="66"/>
      <c r="H456" s="66"/>
      <c r="I456" s="66"/>
      <c r="J456" s="66"/>
      <c r="K456" s="66"/>
      <c r="L456" s="66"/>
      <c r="M456" s="66"/>
      <c r="N456" s="66"/>
    </row>
    <row r="457" spans="1:14" x14ac:dyDescent="0.2">
      <c r="A457" s="84"/>
      <c r="B457" s="84"/>
      <c r="C457" s="60"/>
      <c r="D457" s="66"/>
      <c r="E457" s="66"/>
      <c r="F457" s="66"/>
      <c r="G457" s="66"/>
      <c r="H457" s="66"/>
      <c r="I457" s="66"/>
      <c r="J457" s="66"/>
      <c r="K457" s="66"/>
      <c r="L457" s="66"/>
      <c r="M457" s="66"/>
      <c r="N457" s="66"/>
    </row>
    <row r="458" spans="1:14" x14ac:dyDescent="0.2">
      <c r="A458" s="84"/>
      <c r="B458" s="84"/>
      <c r="C458" s="60"/>
      <c r="D458" s="66"/>
      <c r="E458" s="66"/>
      <c r="F458" s="66"/>
      <c r="G458" s="66"/>
      <c r="H458" s="66"/>
      <c r="I458" s="66"/>
      <c r="J458" s="66"/>
      <c r="K458" s="66"/>
      <c r="L458" s="66"/>
      <c r="M458" s="66"/>
      <c r="N458" s="66"/>
    </row>
    <row r="459" spans="1:14" x14ac:dyDescent="0.2">
      <c r="A459" s="84"/>
      <c r="B459" s="84"/>
      <c r="C459" s="60"/>
      <c r="D459" s="66"/>
      <c r="E459" s="66"/>
      <c r="F459" s="66"/>
      <c r="G459" s="66"/>
      <c r="H459" s="66"/>
      <c r="I459" s="66"/>
      <c r="J459" s="66"/>
      <c r="K459" s="66"/>
      <c r="L459" s="66"/>
      <c r="M459" s="66"/>
      <c r="N459" s="66"/>
    </row>
    <row r="460" spans="1:14" x14ac:dyDescent="0.2">
      <c r="A460" s="84"/>
      <c r="B460" s="84"/>
      <c r="C460" s="60"/>
      <c r="D460" s="66"/>
      <c r="E460" s="66"/>
      <c r="F460" s="66"/>
      <c r="G460" s="66"/>
      <c r="H460" s="66"/>
      <c r="I460" s="66"/>
      <c r="J460" s="66"/>
      <c r="K460" s="66"/>
      <c r="L460" s="66"/>
      <c r="M460" s="66"/>
      <c r="N460" s="66"/>
    </row>
    <row r="461" spans="1:14" x14ac:dyDescent="0.2">
      <c r="A461" s="84"/>
      <c r="B461" s="84"/>
      <c r="C461" s="60"/>
      <c r="D461" s="66"/>
      <c r="E461" s="66"/>
      <c r="F461" s="66"/>
      <c r="G461" s="66"/>
      <c r="H461" s="66"/>
      <c r="I461" s="66"/>
      <c r="J461" s="66"/>
      <c r="K461" s="66"/>
      <c r="L461" s="66"/>
      <c r="M461" s="66"/>
      <c r="N461" s="66"/>
    </row>
    <row r="462" spans="1:14" x14ac:dyDescent="0.2">
      <c r="A462" s="84"/>
      <c r="B462" s="84"/>
      <c r="C462" s="60"/>
      <c r="D462" s="66"/>
      <c r="E462" s="66"/>
      <c r="F462" s="66"/>
      <c r="G462" s="66"/>
      <c r="H462" s="66"/>
      <c r="I462" s="66"/>
      <c r="J462" s="66"/>
      <c r="K462" s="66"/>
      <c r="L462" s="66"/>
      <c r="M462" s="66"/>
      <c r="N462" s="66"/>
    </row>
    <row r="463" spans="1:14" x14ac:dyDescent="0.2">
      <c r="A463" s="84"/>
      <c r="B463" s="84"/>
      <c r="C463" s="60"/>
      <c r="D463" s="66"/>
      <c r="E463" s="66"/>
      <c r="F463" s="66"/>
      <c r="G463" s="66"/>
      <c r="H463" s="66"/>
      <c r="I463" s="66"/>
      <c r="J463" s="66"/>
      <c r="K463" s="66"/>
      <c r="L463" s="66"/>
      <c r="M463" s="66"/>
      <c r="N463" s="66"/>
    </row>
    <row r="464" spans="1:14" x14ac:dyDescent="0.2">
      <c r="A464" s="84"/>
      <c r="B464" s="84"/>
      <c r="C464" s="60"/>
      <c r="D464" s="66"/>
      <c r="E464" s="66"/>
      <c r="F464" s="66"/>
      <c r="G464" s="66"/>
      <c r="H464" s="66"/>
      <c r="I464" s="66"/>
      <c r="J464" s="66"/>
      <c r="K464" s="66"/>
      <c r="L464" s="66"/>
      <c r="M464" s="66"/>
      <c r="N464" s="66"/>
    </row>
    <row r="465" spans="1:14" x14ac:dyDescent="0.2">
      <c r="A465" s="84"/>
      <c r="B465" s="84"/>
      <c r="C465" s="60"/>
      <c r="D465" s="66"/>
      <c r="E465" s="66"/>
      <c r="F465" s="66"/>
      <c r="G465" s="66"/>
      <c r="H465" s="66"/>
      <c r="I465" s="66"/>
      <c r="J465" s="66"/>
      <c r="K465" s="66"/>
      <c r="L465" s="66"/>
      <c r="M465" s="66"/>
      <c r="N465" s="66"/>
    </row>
    <row r="466" spans="1:14" x14ac:dyDescent="0.2">
      <c r="A466" s="84"/>
      <c r="B466" s="84"/>
      <c r="C466" s="60"/>
      <c r="D466" s="66"/>
      <c r="E466" s="66"/>
      <c r="F466" s="66"/>
      <c r="G466" s="66"/>
      <c r="H466" s="66"/>
      <c r="I466" s="66"/>
      <c r="J466" s="66"/>
      <c r="K466" s="66"/>
      <c r="L466" s="66"/>
      <c r="M466" s="66"/>
      <c r="N466" s="66"/>
    </row>
    <row r="467" spans="1:14" x14ac:dyDescent="0.2">
      <c r="A467" s="84"/>
      <c r="B467" s="84"/>
      <c r="C467" s="60"/>
      <c r="D467" s="66"/>
      <c r="E467" s="66"/>
      <c r="F467" s="66"/>
      <c r="G467" s="66"/>
      <c r="H467" s="66"/>
      <c r="I467" s="66"/>
      <c r="J467" s="66"/>
      <c r="K467" s="66"/>
      <c r="L467" s="66"/>
      <c r="M467" s="66"/>
      <c r="N467" s="66"/>
    </row>
    <row r="468" spans="1:14" x14ac:dyDescent="0.2">
      <c r="A468" s="84"/>
      <c r="B468" s="84"/>
      <c r="C468" s="60"/>
      <c r="D468" s="66"/>
      <c r="E468" s="66"/>
      <c r="F468" s="66"/>
      <c r="G468" s="66"/>
      <c r="H468" s="66"/>
      <c r="I468" s="66"/>
      <c r="J468" s="66"/>
      <c r="K468" s="66"/>
      <c r="L468" s="66"/>
      <c r="M468" s="66"/>
      <c r="N468" s="66"/>
    </row>
    <row r="469" spans="1:14" x14ac:dyDescent="0.2">
      <c r="A469" s="84"/>
      <c r="B469" s="84"/>
      <c r="C469" s="60"/>
      <c r="D469" s="66"/>
      <c r="E469" s="66"/>
      <c r="F469" s="66"/>
      <c r="G469" s="66"/>
      <c r="H469" s="66"/>
      <c r="I469" s="66"/>
      <c r="J469" s="66"/>
      <c r="K469" s="66"/>
      <c r="L469" s="66"/>
      <c r="M469" s="66"/>
      <c r="N469" s="66"/>
    </row>
    <row r="470" spans="1:14" x14ac:dyDescent="0.2">
      <c r="A470" s="84"/>
      <c r="B470" s="84"/>
      <c r="C470" s="60"/>
      <c r="D470" s="66"/>
      <c r="E470" s="66"/>
      <c r="F470" s="66"/>
      <c r="G470" s="66"/>
      <c r="H470" s="66"/>
      <c r="I470" s="66"/>
      <c r="J470" s="66"/>
      <c r="K470" s="66"/>
      <c r="L470" s="66"/>
      <c r="M470" s="66"/>
      <c r="N470" s="66"/>
    </row>
    <row r="471" spans="1:14" x14ac:dyDescent="0.2">
      <c r="A471" s="84"/>
      <c r="B471" s="84"/>
      <c r="C471" s="60"/>
      <c r="D471" s="66"/>
      <c r="E471" s="66"/>
      <c r="F471" s="66"/>
      <c r="G471" s="66"/>
      <c r="H471" s="66"/>
      <c r="I471" s="66"/>
      <c r="J471" s="66"/>
      <c r="K471" s="66"/>
      <c r="L471" s="66"/>
      <c r="M471" s="66"/>
      <c r="N471" s="66"/>
    </row>
    <row r="472" spans="1:14" x14ac:dyDescent="0.2">
      <c r="A472" s="84"/>
      <c r="B472" s="84"/>
      <c r="C472" s="60"/>
      <c r="D472" s="66"/>
      <c r="E472" s="66"/>
      <c r="F472" s="66"/>
      <c r="G472" s="66"/>
      <c r="H472" s="66"/>
      <c r="I472" s="66"/>
      <c r="J472" s="66"/>
      <c r="K472" s="66"/>
      <c r="L472" s="66"/>
      <c r="M472" s="66"/>
      <c r="N472" s="66"/>
    </row>
    <row r="473" spans="1:14" x14ac:dyDescent="0.2">
      <c r="A473" s="84"/>
      <c r="B473" s="84"/>
      <c r="C473" s="60"/>
      <c r="D473" s="66"/>
      <c r="E473" s="66"/>
      <c r="F473" s="66"/>
      <c r="G473" s="66"/>
      <c r="H473" s="66"/>
      <c r="I473" s="66"/>
      <c r="J473" s="66"/>
      <c r="K473" s="66"/>
      <c r="L473" s="66"/>
      <c r="M473" s="66"/>
      <c r="N473" s="66"/>
    </row>
    <row r="474" spans="1:14" x14ac:dyDescent="0.2">
      <c r="A474" s="84"/>
      <c r="B474" s="84"/>
      <c r="C474" s="60"/>
      <c r="D474" s="66"/>
      <c r="E474" s="66"/>
      <c r="F474" s="66"/>
      <c r="G474" s="66"/>
      <c r="H474" s="66"/>
      <c r="I474" s="66"/>
      <c r="J474" s="66"/>
      <c r="K474" s="66"/>
      <c r="L474" s="66"/>
      <c r="M474" s="66"/>
      <c r="N474" s="66"/>
    </row>
    <row r="475" spans="1:14" x14ac:dyDescent="0.2">
      <c r="A475" s="84"/>
      <c r="B475" s="84"/>
      <c r="C475" s="60"/>
      <c r="D475" s="66"/>
      <c r="E475" s="66"/>
      <c r="F475" s="66"/>
      <c r="G475" s="66"/>
      <c r="H475" s="66"/>
      <c r="I475" s="66"/>
      <c r="J475" s="66"/>
      <c r="K475" s="66"/>
      <c r="L475" s="66"/>
      <c r="M475" s="66"/>
      <c r="N475" s="66"/>
    </row>
    <row r="476" spans="1:14" x14ac:dyDescent="0.2">
      <c r="A476" s="84"/>
      <c r="B476" s="84"/>
      <c r="C476" s="60"/>
      <c r="D476" s="66"/>
      <c r="E476" s="66"/>
      <c r="F476" s="66"/>
      <c r="G476" s="66"/>
      <c r="H476" s="66"/>
      <c r="I476" s="66"/>
      <c r="J476" s="66"/>
      <c r="K476" s="66"/>
      <c r="L476" s="66"/>
      <c r="M476" s="66"/>
      <c r="N476" s="66"/>
    </row>
    <row r="477" spans="1:14" x14ac:dyDescent="0.2">
      <c r="A477" s="84"/>
      <c r="B477" s="84"/>
      <c r="C477" s="60"/>
      <c r="D477" s="66"/>
      <c r="E477" s="66"/>
      <c r="F477" s="66"/>
      <c r="G477" s="66"/>
      <c r="H477" s="66"/>
      <c r="I477" s="66"/>
      <c r="J477" s="66"/>
      <c r="K477" s="66"/>
      <c r="L477" s="66"/>
      <c r="M477" s="66"/>
      <c r="N477" s="66"/>
    </row>
    <row r="478" spans="1:14" x14ac:dyDescent="0.2">
      <c r="A478" s="84"/>
      <c r="B478" s="84"/>
      <c r="C478" s="60"/>
      <c r="D478" s="66"/>
      <c r="E478" s="66"/>
      <c r="F478" s="66"/>
      <c r="G478" s="66"/>
      <c r="H478" s="66"/>
      <c r="I478" s="66"/>
      <c r="J478" s="66"/>
      <c r="K478" s="66"/>
      <c r="L478" s="66"/>
      <c r="M478" s="66"/>
      <c r="N478" s="66"/>
    </row>
    <row r="479" spans="1:14" x14ac:dyDescent="0.2">
      <c r="A479" s="84"/>
      <c r="B479" s="84"/>
      <c r="C479" s="60"/>
      <c r="D479" s="66"/>
      <c r="E479" s="66"/>
      <c r="F479" s="66"/>
      <c r="G479" s="66"/>
      <c r="H479" s="66"/>
      <c r="I479" s="66"/>
      <c r="J479" s="66"/>
      <c r="K479" s="66"/>
      <c r="L479" s="66"/>
      <c r="M479" s="66"/>
      <c r="N479" s="66"/>
    </row>
    <row r="480" spans="1:14" x14ac:dyDescent="0.2">
      <c r="A480" s="84"/>
      <c r="B480" s="84"/>
      <c r="C480" s="60"/>
      <c r="D480" s="66"/>
      <c r="E480" s="66"/>
      <c r="F480" s="66"/>
      <c r="G480" s="66"/>
      <c r="H480" s="66"/>
      <c r="I480" s="66"/>
      <c r="J480" s="66"/>
      <c r="K480" s="66"/>
      <c r="L480" s="66"/>
      <c r="M480" s="66"/>
      <c r="N480" s="66"/>
    </row>
    <row r="481" spans="1:14" x14ac:dyDescent="0.2">
      <c r="A481" s="84"/>
      <c r="B481" s="84"/>
      <c r="C481" s="60"/>
      <c r="D481" s="66"/>
      <c r="E481" s="66"/>
      <c r="F481" s="66"/>
      <c r="G481" s="66"/>
      <c r="H481" s="66"/>
      <c r="I481" s="66"/>
      <c r="J481" s="66"/>
      <c r="K481" s="66"/>
      <c r="L481" s="66"/>
      <c r="M481" s="66"/>
      <c r="N481" s="66"/>
    </row>
    <row r="482" spans="1:14" x14ac:dyDescent="0.2">
      <c r="A482" s="84"/>
      <c r="B482" s="84"/>
      <c r="C482" s="60"/>
      <c r="D482" s="66"/>
      <c r="E482" s="66"/>
      <c r="F482" s="66"/>
      <c r="G482" s="66"/>
      <c r="H482" s="66"/>
      <c r="I482" s="66"/>
      <c r="J482" s="66"/>
      <c r="K482" s="66"/>
      <c r="L482" s="66"/>
      <c r="M482" s="66"/>
      <c r="N482" s="66"/>
    </row>
    <row r="483" spans="1:14" x14ac:dyDescent="0.2">
      <c r="A483" s="84"/>
      <c r="B483" s="84"/>
      <c r="C483" s="60"/>
      <c r="D483" s="66"/>
      <c r="E483" s="66"/>
      <c r="F483" s="66"/>
      <c r="G483" s="66"/>
      <c r="H483" s="66"/>
      <c r="I483" s="66"/>
      <c r="J483" s="66"/>
      <c r="K483" s="66"/>
      <c r="L483" s="66"/>
      <c r="M483" s="66"/>
      <c r="N483" s="66"/>
    </row>
    <row r="484" spans="1:14" x14ac:dyDescent="0.2">
      <c r="A484" s="84"/>
      <c r="B484" s="84"/>
      <c r="C484" s="60"/>
      <c r="D484" s="66"/>
      <c r="E484" s="66"/>
      <c r="F484" s="66"/>
      <c r="G484" s="66"/>
      <c r="H484" s="66"/>
      <c r="I484" s="66"/>
      <c r="J484" s="66"/>
      <c r="K484" s="66"/>
      <c r="L484" s="66"/>
      <c r="M484" s="66"/>
      <c r="N484" s="66"/>
    </row>
    <row r="485" spans="1:14" x14ac:dyDescent="0.2">
      <c r="A485" s="84"/>
      <c r="B485" s="84"/>
      <c r="C485" s="60"/>
      <c r="D485" s="66"/>
      <c r="E485" s="66"/>
      <c r="F485" s="66"/>
      <c r="G485" s="66"/>
      <c r="H485" s="66"/>
      <c r="I485" s="66"/>
      <c r="J485" s="66"/>
      <c r="K485" s="66"/>
      <c r="L485" s="66"/>
      <c r="M485" s="66"/>
      <c r="N485" s="66"/>
    </row>
    <row r="486" spans="1:14" x14ac:dyDescent="0.2">
      <c r="A486" s="84"/>
      <c r="B486" s="84"/>
      <c r="C486" s="60"/>
      <c r="D486" s="66"/>
      <c r="E486" s="66"/>
      <c r="F486" s="66"/>
      <c r="G486" s="66"/>
      <c r="H486" s="66"/>
      <c r="I486" s="66"/>
      <c r="J486" s="66"/>
      <c r="K486" s="66"/>
      <c r="L486" s="66"/>
      <c r="M486" s="66"/>
      <c r="N486" s="66"/>
    </row>
    <row r="487" spans="1:14" x14ac:dyDescent="0.2">
      <c r="A487" s="84"/>
      <c r="B487" s="84"/>
      <c r="C487" s="60"/>
      <c r="D487" s="66"/>
      <c r="E487" s="66"/>
      <c r="F487" s="66"/>
      <c r="G487" s="66"/>
      <c r="H487" s="66"/>
      <c r="I487" s="66"/>
      <c r="J487" s="66"/>
      <c r="K487" s="66"/>
      <c r="L487" s="66"/>
      <c r="M487" s="66"/>
      <c r="N487" s="66"/>
    </row>
    <row r="488" spans="1:14" x14ac:dyDescent="0.2">
      <c r="A488" s="84"/>
      <c r="B488" s="84"/>
      <c r="C488" s="60"/>
      <c r="D488" s="66"/>
      <c r="E488" s="66"/>
      <c r="F488" s="66"/>
      <c r="G488" s="66"/>
      <c r="H488" s="66"/>
      <c r="I488" s="66"/>
      <c r="J488" s="66"/>
      <c r="K488" s="66"/>
      <c r="L488" s="66"/>
      <c r="M488" s="66"/>
      <c r="N488" s="66"/>
    </row>
    <row r="489" spans="1:14" x14ac:dyDescent="0.2">
      <c r="A489" s="84"/>
      <c r="B489" s="84"/>
      <c r="C489" s="60"/>
      <c r="D489" s="66"/>
      <c r="E489" s="66"/>
      <c r="F489" s="66"/>
      <c r="G489" s="66"/>
      <c r="H489" s="66"/>
      <c r="I489" s="66"/>
      <c r="J489" s="66"/>
      <c r="K489" s="66"/>
      <c r="L489" s="66"/>
      <c r="M489" s="66"/>
      <c r="N489" s="66"/>
    </row>
    <row r="490" spans="1:14" x14ac:dyDescent="0.2">
      <c r="A490" s="84"/>
      <c r="B490" s="84"/>
      <c r="C490" s="60"/>
      <c r="D490" s="66"/>
      <c r="E490" s="66"/>
      <c r="F490" s="66"/>
      <c r="G490" s="66"/>
      <c r="H490" s="66"/>
      <c r="I490" s="66"/>
      <c r="J490" s="66"/>
      <c r="K490" s="66"/>
      <c r="L490" s="66"/>
      <c r="M490" s="66"/>
      <c r="N490" s="66"/>
    </row>
    <row r="491" spans="1:14" x14ac:dyDescent="0.2">
      <c r="A491" s="84"/>
      <c r="B491" s="84"/>
      <c r="C491" s="60"/>
      <c r="D491" s="66"/>
      <c r="E491" s="66"/>
      <c r="F491" s="66"/>
      <c r="G491" s="66"/>
      <c r="H491" s="66"/>
      <c r="I491" s="66"/>
      <c r="J491" s="66"/>
      <c r="K491" s="66"/>
      <c r="L491" s="66"/>
      <c r="M491" s="66"/>
      <c r="N491" s="66"/>
    </row>
    <row r="492" spans="1:14" x14ac:dyDescent="0.2">
      <c r="A492" s="84"/>
      <c r="B492" s="84"/>
      <c r="C492" s="60"/>
      <c r="D492" s="66"/>
      <c r="E492" s="66"/>
      <c r="F492" s="66"/>
      <c r="G492" s="66"/>
      <c r="H492" s="66"/>
      <c r="I492" s="66"/>
      <c r="J492" s="66"/>
      <c r="K492" s="66"/>
      <c r="L492" s="66"/>
      <c r="M492" s="66"/>
      <c r="N492" s="66"/>
    </row>
    <row r="493" spans="1:14" x14ac:dyDescent="0.2">
      <c r="A493" s="84"/>
      <c r="B493" s="84"/>
      <c r="C493" s="60"/>
      <c r="D493" s="66"/>
      <c r="E493" s="66"/>
      <c r="F493" s="66"/>
      <c r="G493" s="66"/>
      <c r="H493" s="66"/>
      <c r="I493" s="66"/>
      <c r="J493" s="66"/>
      <c r="K493" s="66"/>
      <c r="L493" s="66"/>
      <c r="M493" s="66"/>
      <c r="N493" s="66"/>
    </row>
    <row r="494" spans="1:14" x14ac:dyDescent="0.2">
      <c r="A494" s="84"/>
      <c r="B494" s="84"/>
      <c r="C494" s="60"/>
      <c r="D494" s="66"/>
      <c r="E494" s="66"/>
      <c r="F494" s="66"/>
      <c r="G494" s="66"/>
      <c r="H494" s="66"/>
      <c r="I494" s="66"/>
      <c r="J494" s="66"/>
      <c r="K494" s="66"/>
      <c r="L494" s="66"/>
      <c r="M494" s="66"/>
      <c r="N494" s="66"/>
    </row>
    <row r="495" spans="1:14" x14ac:dyDescent="0.2">
      <c r="A495" s="84"/>
      <c r="B495" s="84"/>
      <c r="C495" s="60"/>
      <c r="D495" s="66"/>
      <c r="E495" s="66"/>
      <c r="F495" s="66"/>
      <c r="G495" s="66"/>
      <c r="H495" s="66"/>
      <c r="I495" s="66"/>
      <c r="J495" s="66"/>
      <c r="K495" s="66"/>
      <c r="L495" s="66"/>
      <c r="M495" s="66"/>
      <c r="N495" s="66"/>
    </row>
    <row r="496" spans="1:14" x14ac:dyDescent="0.2">
      <c r="A496" s="84"/>
      <c r="B496" s="84"/>
      <c r="C496" s="60"/>
      <c r="D496" s="66"/>
      <c r="E496" s="66"/>
      <c r="F496" s="66"/>
      <c r="G496" s="66"/>
      <c r="H496" s="66"/>
      <c r="I496" s="66"/>
      <c r="J496" s="66"/>
      <c r="K496" s="66"/>
      <c r="L496" s="66"/>
      <c r="M496" s="66"/>
      <c r="N496" s="66"/>
    </row>
    <row r="497" spans="1:14" x14ac:dyDescent="0.2">
      <c r="A497" s="84"/>
      <c r="B497" s="84"/>
      <c r="C497" s="60"/>
      <c r="D497" s="66"/>
      <c r="E497" s="66"/>
      <c r="F497" s="66"/>
      <c r="G497" s="66"/>
      <c r="H497" s="66"/>
      <c r="I497" s="66"/>
      <c r="J497" s="66"/>
      <c r="K497" s="66"/>
      <c r="L497" s="66"/>
      <c r="M497" s="66"/>
      <c r="N497" s="66"/>
    </row>
    <row r="498" spans="1:14" x14ac:dyDescent="0.2">
      <c r="A498" s="84"/>
      <c r="B498" s="84"/>
      <c r="C498" s="60"/>
      <c r="D498" s="66"/>
      <c r="E498" s="66"/>
      <c r="F498" s="66"/>
      <c r="G498" s="66"/>
      <c r="H498" s="66"/>
      <c r="I498" s="66"/>
      <c r="J498" s="66"/>
      <c r="K498" s="66"/>
      <c r="L498" s="66"/>
      <c r="M498" s="66"/>
      <c r="N498" s="66"/>
    </row>
    <row r="499" spans="1:14" x14ac:dyDescent="0.2">
      <c r="A499" s="84"/>
      <c r="B499" s="84"/>
      <c r="C499" s="60"/>
      <c r="D499" s="66"/>
      <c r="E499" s="66"/>
      <c r="F499" s="66"/>
      <c r="G499" s="66"/>
      <c r="H499" s="66"/>
      <c r="I499" s="66"/>
      <c r="J499" s="66"/>
      <c r="K499" s="66"/>
      <c r="L499" s="66"/>
      <c r="M499" s="66"/>
      <c r="N499" s="66"/>
    </row>
    <row r="500" spans="1:14" x14ac:dyDescent="0.2">
      <c r="A500" s="84"/>
      <c r="B500" s="84"/>
      <c r="C500" s="60"/>
      <c r="D500" s="66"/>
      <c r="E500" s="66"/>
      <c r="F500" s="66"/>
      <c r="G500" s="66"/>
      <c r="H500" s="66"/>
      <c r="I500" s="66"/>
      <c r="J500" s="66"/>
      <c r="K500" s="66"/>
      <c r="L500" s="66"/>
      <c r="M500" s="66"/>
      <c r="N500" s="66"/>
    </row>
    <row r="501" spans="1:14" x14ac:dyDescent="0.2">
      <c r="A501" s="84"/>
      <c r="B501" s="84"/>
      <c r="C501" s="60"/>
      <c r="D501" s="66"/>
      <c r="E501" s="66"/>
      <c r="F501" s="66"/>
      <c r="G501" s="66"/>
      <c r="H501" s="66"/>
      <c r="I501" s="66"/>
      <c r="J501" s="66"/>
      <c r="K501" s="66"/>
      <c r="L501" s="66"/>
      <c r="M501" s="66"/>
      <c r="N501" s="66"/>
    </row>
    <row r="502" spans="1:14" x14ac:dyDescent="0.2">
      <c r="A502" s="84"/>
      <c r="B502" s="84"/>
      <c r="C502" s="60"/>
      <c r="D502" s="66"/>
      <c r="E502" s="66"/>
      <c r="F502" s="66"/>
      <c r="G502" s="66"/>
      <c r="H502" s="66"/>
      <c r="I502" s="66"/>
      <c r="J502" s="66"/>
      <c r="K502" s="66"/>
      <c r="L502" s="66"/>
      <c r="M502" s="66"/>
      <c r="N502" s="66"/>
    </row>
    <row r="503" spans="1:14" x14ac:dyDescent="0.2">
      <c r="A503" s="84"/>
      <c r="B503" s="84"/>
      <c r="C503" s="60"/>
      <c r="D503" s="66"/>
      <c r="E503" s="66"/>
      <c r="F503" s="66"/>
      <c r="G503" s="66"/>
      <c r="H503" s="66"/>
      <c r="I503" s="66"/>
      <c r="J503" s="66"/>
      <c r="K503" s="66"/>
      <c r="L503" s="66"/>
      <c r="M503" s="66"/>
      <c r="N503" s="66"/>
    </row>
    <row r="504" spans="1:14" x14ac:dyDescent="0.2">
      <c r="A504" s="84"/>
      <c r="B504" s="84"/>
      <c r="C504" s="60"/>
      <c r="D504" s="66"/>
      <c r="E504" s="66"/>
      <c r="F504" s="66"/>
      <c r="G504" s="66"/>
      <c r="H504" s="66"/>
      <c r="I504" s="66"/>
      <c r="J504" s="66"/>
      <c r="K504" s="66"/>
      <c r="L504" s="66"/>
      <c r="M504" s="66"/>
      <c r="N504" s="66"/>
    </row>
    <row r="505" spans="1:14" x14ac:dyDescent="0.2">
      <c r="A505" s="84"/>
      <c r="B505" s="84"/>
      <c r="C505" s="60"/>
      <c r="D505" s="66"/>
      <c r="E505" s="66"/>
      <c r="F505" s="66"/>
      <c r="G505" s="66"/>
      <c r="H505" s="66"/>
      <c r="I505" s="66"/>
      <c r="J505" s="66"/>
      <c r="K505" s="66"/>
      <c r="L505" s="66"/>
      <c r="M505" s="66"/>
      <c r="N505" s="66"/>
    </row>
    <row r="506" spans="1:14" x14ac:dyDescent="0.2">
      <c r="A506" s="84"/>
      <c r="B506" s="84"/>
      <c r="C506" s="60"/>
      <c r="D506" s="66"/>
      <c r="E506" s="66"/>
      <c r="F506" s="66"/>
      <c r="G506" s="66"/>
      <c r="H506" s="66"/>
      <c r="I506" s="66"/>
      <c r="J506" s="66"/>
      <c r="K506" s="66"/>
      <c r="L506" s="66"/>
      <c r="M506" s="66"/>
      <c r="N506" s="66"/>
    </row>
    <row r="507" spans="1:14" x14ac:dyDescent="0.2">
      <c r="A507" s="84"/>
      <c r="B507" s="84"/>
      <c r="C507" s="60"/>
      <c r="D507" s="66"/>
      <c r="E507" s="66"/>
      <c r="F507" s="66"/>
      <c r="G507" s="66"/>
      <c r="H507" s="66"/>
      <c r="I507" s="66"/>
      <c r="J507" s="66"/>
      <c r="K507" s="66"/>
      <c r="L507" s="66"/>
      <c r="M507" s="66"/>
      <c r="N507" s="66"/>
    </row>
    <row r="508" spans="1:14" x14ac:dyDescent="0.2">
      <c r="A508" s="84"/>
      <c r="B508" s="84"/>
      <c r="C508" s="60"/>
      <c r="D508" s="66"/>
      <c r="E508" s="66"/>
      <c r="F508" s="66"/>
      <c r="G508" s="66"/>
      <c r="H508" s="66"/>
      <c r="I508" s="66"/>
      <c r="J508" s="66"/>
      <c r="K508" s="66"/>
      <c r="L508" s="66"/>
      <c r="M508" s="66"/>
      <c r="N508" s="66"/>
    </row>
    <row r="509" spans="1:14" x14ac:dyDescent="0.2">
      <c r="A509" s="84"/>
      <c r="B509" s="84"/>
      <c r="C509" s="60"/>
      <c r="D509" s="66"/>
      <c r="E509" s="66"/>
      <c r="F509" s="66"/>
      <c r="G509" s="66"/>
      <c r="H509" s="66"/>
      <c r="I509" s="66"/>
      <c r="J509" s="66"/>
      <c r="K509" s="66"/>
      <c r="L509" s="66"/>
      <c r="M509" s="66"/>
      <c r="N509" s="66"/>
    </row>
    <row r="510" spans="1:14" x14ac:dyDescent="0.2">
      <c r="A510" s="84"/>
      <c r="B510" s="84"/>
      <c r="C510" s="60"/>
      <c r="D510" s="66"/>
      <c r="E510" s="66"/>
      <c r="F510" s="66"/>
      <c r="G510" s="66"/>
      <c r="H510" s="66"/>
      <c r="I510" s="66"/>
      <c r="J510" s="66"/>
      <c r="K510" s="66"/>
      <c r="L510" s="66"/>
      <c r="M510" s="66"/>
      <c r="N510" s="66"/>
    </row>
    <row r="511" spans="1:14" x14ac:dyDescent="0.2">
      <c r="A511" s="84"/>
      <c r="B511" s="84"/>
      <c r="C511" s="60"/>
      <c r="D511" s="66"/>
      <c r="E511" s="66"/>
      <c r="F511" s="66"/>
      <c r="G511" s="66"/>
      <c r="H511" s="66"/>
      <c r="I511" s="66"/>
      <c r="J511" s="66"/>
      <c r="K511" s="66"/>
      <c r="L511" s="66"/>
      <c r="M511" s="66"/>
      <c r="N511" s="66"/>
    </row>
    <row r="512" spans="1:14" x14ac:dyDescent="0.2">
      <c r="A512" s="84"/>
      <c r="B512" s="84"/>
      <c r="C512" s="60"/>
      <c r="D512" s="66"/>
      <c r="E512" s="66"/>
      <c r="F512" s="66"/>
      <c r="G512" s="66"/>
      <c r="H512" s="66"/>
      <c r="I512" s="66"/>
      <c r="J512" s="66"/>
      <c r="K512" s="66"/>
      <c r="L512" s="66"/>
      <c r="M512" s="66"/>
      <c r="N512" s="66"/>
    </row>
    <row r="513" spans="1:14" x14ac:dyDescent="0.2">
      <c r="A513" s="84"/>
      <c r="B513" s="84"/>
      <c r="C513" s="60"/>
      <c r="D513" s="66"/>
      <c r="E513" s="66"/>
      <c r="F513" s="66"/>
      <c r="G513" s="66"/>
      <c r="H513" s="66"/>
      <c r="I513" s="66"/>
      <c r="J513" s="66"/>
      <c r="K513" s="66"/>
      <c r="L513" s="66"/>
      <c r="M513" s="66"/>
      <c r="N513" s="66"/>
    </row>
    <row r="514" spans="1:14" x14ac:dyDescent="0.2">
      <c r="A514" s="84"/>
      <c r="B514" s="84"/>
      <c r="C514" s="60"/>
      <c r="D514" s="66"/>
      <c r="E514" s="66"/>
      <c r="F514" s="66"/>
      <c r="G514" s="66"/>
      <c r="H514" s="66"/>
      <c r="I514" s="66"/>
      <c r="J514" s="66"/>
      <c r="K514" s="66"/>
      <c r="L514" s="66"/>
      <c r="M514" s="66"/>
      <c r="N514" s="66"/>
    </row>
    <row r="515" spans="1:14" x14ac:dyDescent="0.2">
      <c r="A515" s="84"/>
      <c r="B515" s="84"/>
      <c r="C515" s="60"/>
      <c r="D515" s="66"/>
      <c r="E515" s="66"/>
      <c r="F515" s="66"/>
      <c r="G515" s="66"/>
      <c r="H515" s="66"/>
      <c r="I515" s="66"/>
      <c r="J515" s="66"/>
      <c r="K515" s="66"/>
      <c r="L515" s="66"/>
      <c r="M515" s="66"/>
      <c r="N515" s="66"/>
    </row>
    <row r="516" spans="1:14" x14ac:dyDescent="0.2">
      <c r="A516" s="84"/>
      <c r="B516" s="84"/>
      <c r="C516" s="60"/>
      <c r="D516" s="66"/>
      <c r="E516" s="66"/>
      <c r="F516" s="66"/>
      <c r="G516" s="66"/>
      <c r="H516" s="66"/>
      <c r="I516" s="66"/>
      <c r="J516" s="66"/>
      <c r="K516" s="66"/>
      <c r="L516" s="66"/>
      <c r="M516" s="66"/>
      <c r="N516" s="66"/>
    </row>
    <row r="517" spans="1:14" x14ac:dyDescent="0.2">
      <c r="A517" s="84"/>
      <c r="B517" s="84"/>
      <c r="C517" s="60"/>
      <c r="D517" s="66"/>
      <c r="E517" s="66"/>
      <c r="F517" s="66"/>
      <c r="G517" s="66"/>
      <c r="H517" s="66"/>
      <c r="I517" s="66"/>
      <c r="J517" s="66"/>
      <c r="K517" s="66"/>
      <c r="L517" s="66"/>
      <c r="M517" s="66"/>
      <c r="N517" s="66"/>
    </row>
    <row r="518" spans="1:14" x14ac:dyDescent="0.2">
      <c r="A518" s="84"/>
      <c r="B518" s="84"/>
      <c r="C518" s="60"/>
      <c r="D518" s="66"/>
      <c r="E518" s="66"/>
      <c r="F518" s="66"/>
      <c r="G518" s="66"/>
      <c r="H518" s="66"/>
      <c r="I518" s="66"/>
      <c r="J518" s="66"/>
      <c r="K518" s="66"/>
      <c r="L518" s="66"/>
      <c r="M518" s="66"/>
      <c r="N518" s="66"/>
    </row>
    <row r="519" spans="1:14" x14ac:dyDescent="0.2">
      <c r="A519" s="84"/>
      <c r="B519" s="84"/>
      <c r="C519" s="60"/>
      <c r="D519" s="66"/>
      <c r="E519" s="66"/>
      <c r="F519" s="66"/>
      <c r="G519" s="66"/>
      <c r="H519" s="66"/>
      <c r="I519" s="66"/>
      <c r="J519" s="66"/>
      <c r="K519" s="66"/>
      <c r="L519" s="66"/>
      <c r="M519" s="66"/>
      <c r="N519" s="66"/>
    </row>
    <row r="520" spans="1:14" x14ac:dyDescent="0.2">
      <c r="A520" s="84"/>
      <c r="B520" s="84"/>
      <c r="C520" s="60"/>
      <c r="D520" s="66"/>
      <c r="E520" s="66"/>
      <c r="F520" s="66"/>
      <c r="G520" s="66"/>
      <c r="H520" s="66"/>
      <c r="I520" s="66"/>
      <c r="J520" s="66"/>
      <c r="K520" s="66"/>
      <c r="L520" s="66"/>
      <c r="M520" s="66"/>
      <c r="N520" s="66"/>
    </row>
    <row r="521" spans="1:14" x14ac:dyDescent="0.2">
      <c r="A521" s="84"/>
      <c r="B521" s="84"/>
      <c r="C521" s="60"/>
      <c r="D521" s="66"/>
      <c r="E521" s="66"/>
      <c r="F521" s="66"/>
      <c r="G521" s="66"/>
      <c r="H521" s="66"/>
      <c r="I521" s="66"/>
      <c r="J521" s="66"/>
      <c r="K521" s="66"/>
      <c r="L521" s="66"/>
      <c r="M521" s="66"/>
      <c r="N521" s="66"/>
    </row>
    <row r="522" spans="1:14" x14ac:dyDescent="0.2">
      <c r="A522" s="84"/>
      <c r="B522" s="84"/>
      <c r="C522" s="60"/>
      <c r="D522" s="66"/>
      <c r="E522" s="66"/>
      <c r="F522" s="66"/>
      <c r="G522" s="66"/>
      <c r="H522" s="66"/>
      <c r="I522" s="66"/>
      <c r="J522" s="66"/>
      <c r="K522" s="66"/>
      <c r="L522" s="66"/>
      <c r="M522" s="66"/>
      <c r="N522" s="66"/>
    </row>
    <row r="523" spans="1:14" x14ac:dyDescent="0.2">
      <c r="A523" s="84"/>
      <c r="B523" s="84"/>
      <c r="C523" s="60"/>
      <c r="D523" s="66"/>
      <c r="E523" s="66"/>
      <c r="F523" s="66"/>
      <c r="G523" s="66"/>
      <c r="H523" s="66"/>
      <c r="I523" s="66"/>
      <c r="J523" s="66"/>
      <c r="K523" s="66"/>
      <c r="L523" s="66"/>
      <c r="M523" s="66"/>
      <c r="N523" s="66"/>
    </row>
    <row r="524" spans="1:14" x14ac:dyDescent="0.2">
      <c r="A524" s="84"/>
      <c r="B524" s="84"/>
      <c r="C524" s="60"/>
      <c r="D524" s="66"/>
      <c r="E524" s="66"/>
      <c r="F524" s="66"/>
      <c r="G524" s="66"/>
      <c r="H524" s="66"/>
      <c r="I524" s="66"/>
      <c r="J524" s="66"/>
      <c r="K524" s="66"/>
      <c r="L524" s="66"/>
      <c r="M524" s="66"/>
      <c r="N524" s="66"/>
    </row>
    <row r="525" spans="1:14" x14ac:dyDescent="0.2">
      <c r="A525" s="84"/>
      <c r="B525" s="84"/>
      <c r="C525" s="60"/>
      <c r="D525" s="66"/>
      <c r="E525" s="66"/>
      <c r="F525" s="66"/>
      <c r="G525" s="66"/>
      <c r="H525" s="66"/>
      <c r="I525" s="66"/>
      <c r="J525" s="66"/>
      <c r="K525" s="66"/>
      <c r="L525" s="66"/>
      <c r="M525" s="66"/>
      <c r="N525" s="66"/>
    </row>
    <row r="526" spans="1:14" x14ac:dyDescent="0.2">
      <c r="A526" s="84"/>
      <c r="B526" s="84"/>
      <c r="C526" s="60"/>
      <c r="D526" s="66"/>
      <c r="E526" s="66"/>
      <c r="F526" s="66"/>
      <c r="G526" s="66"/>
      <c r="H526" s="66"/>
      <c r="I526" s="66"/>
      <c r="J526" s="66"/>
      <c r="K526" s="66"/>
      <c r="L526" s="66"/>
      <c r="M526" s="66"/>
      <c r="N526" s="66"/>
    </row>
    <row r="527" spans="1:14" x14ac:dyDescent="0.2">
      <c r="A527" s="84"/>
      <c r="B527" s="84"/>
      <c r="C527" s="60"/>
      <c r="D527" s="66"/>
      <c r="E527" s="66"/>
      <c r="F527" s="66"/>
      <c r="G527" s="66"/>
      <c r="H527" s="66"/>
      <c r="I527" s="66"/>
      <c r="J527" s="66"/>
      <c r="K527" s="66"/>
      <c r="L527" s="66"/>
      <c r="M527" s="66"/>
      <c r="N527" s="66"/>
    </row>
    <row r="528" spans="1:14" x14ac:dyDescent="0.2">
      <c r="A528" s="84"/>
      <c r="B528" s="84"/>
      <c r="C528" s="60"/>
      <c r="D528" s="66"/>
      <c r="E528" s="66"/>
      <c r="F528" s="66"/>
      <c r="G528" s="66"/>
      <c r="H528" s="66"/>
      <c r="I528" s="66"/>
      <c r="J528" s="66"/>
      <c r="K528" s="66"/>
      <c r="L528" s="66"/>
      <c r="M528" s="66"/>
      <c r="N528" s="66"/>
    </row>
    <row r="529" spans="1:14" x14ac:dyDescent="0.2">
      <c r="A529" s="84"/>
      <c r="B529" s="84"/>
      <c r="C529" s="60"/>
      <c r="D529" s="66"/>
      <c r="E529" s="66"/>
      <c r="F529" s="66"/>
      <c r="G529" s="66"/>
      <c r="H529" s="66"/>
      <c r="I529" s="66"/>
      <c r="J529" s="66"/>
      <c r="K529" s="66"/>
      <c r="L529" s="66"/>
      <c r="M529" s="66"/>
      <c r="N529" s="66"/>
    </row>
    <row r="530" spans="1:14" x14ac:dyDescent="0.2">
      <c r="A530" s="84"/>
      <c r="B530" s="84"/>
      <c r="C530" s="60"/>
      <c r="D530" s="66"/>
      <c r="E530" s="66"/>
      <c r="F530" s="66"/>
      <c r="G530" s="66"/>
      <c r="H530" s="66"/>
      <c r="I530" s="66"/>
      <c r="J530" s="66"/>
      <c r="K530" s="66"/>
      <c r="L530" s="66"/>
      <c r="M530" s="66"/>
      <c r="N530" s="66"/>
    </row>
    <row r="531" spans="1:14" x14ac:dyDescent="0.2">
      <c r="A531" s="84"/>
      <c r="B531" s="84"/>
      <c r="C531" s="60"/>
      <c r="D531" s="66"/>
      <c r="E531" s="66"/>
      <c r="F531" s="66"/>
      <c r="G531" s="66"/>
      <c r="H531" s="66"/>
      <c r="I531" s="66"/>
      <c r="J531" s="66"/>
      <c r="K531" s="66"/>
      <c r="L531" s="66"/>
      <c r="M531" s="66"/>
      <c r="N531" s="66"/>
    </row>
    <row r="532" spans="1:14" x14ac:dyDescent="0.2">
      <c r="A532" s="84"/>
      <c r="B532" s="84"/>
      <c r="C532" s="60"/>
      <c r="D532" s="66"/>
      <c r="E532" s="66"/>
      <c r="F532" s="66"/>
      <c r="G532" s="66"/>
      <c r="H532" s="66"/>
      <c r="I532" s="66"/>
      <c r="J532" s="66"/>
      <c r="K532" s="66"/>
      <c r="L532" s="66"/>
      <c r="M532" s="66"/>
      <c r="N532" s="66"/>
    </row>
    <row r="533" spans="1:14" x14ac:dyDescent="0.2">
      <c r="A533" s="84"/>
      <c r="B533" s="84"/>
      <c r="C533" s="60"/>
      <c r="D533" s="66"/>
      <c r="E533" s="66"/>
      <c r="F533" s="66"/>
      <c r="G533" s="66"/>
      <c r="H533" s="66"/>
      <c r="I533" s="66"/>
      <c r="J533" s="66"/>
      <c r="K533" s="66"/>
      <c r="L533" s="66"/>
      <c r="M533" s="66"/>
      <c r="N533" s="66"/>
    </row>
    <row r="534" spans="1:14" x14ac:dyDescent="0.2">
      <c r="A534" s="84"/>
      <c r="B534" s="84"/>
      <c r="C534" s="60"/>
      <c r="D534" s="66"/>
      <c r="E534" s="66"/>
      <c r="F534" s="66"/>
      <c r="G534" s="66"/>
      <c r="H534" s="66"/>
      <c r="I534" s="66"/>
      <c r="J534" s="66"/>
      <c r="K534" s="66"/>
      <c r="L534" s="66"/>
      <c r="M534" s="66"/>
      <c r="N534" s="66"/>
    </row>
    <row r="535" spans="1:14" x14ac:dyDescent="0.2">
      <c r="A535" s="84"/>
      <c r="B535" s="84"/>
      <c r="C535" s="60"/>
      <c r="D535" s="66"/>
      <c r="E535" s="66"/>
      <c r="F535" s="66"/>
      <c r="G535" s="66"/>
      <c r="H535" s="66"/>
      <c r="I535" s="66"/>
      <c r="J535" s="66"/>
      <c r="K535" s="66"/>
      <c r="L535" s="66"/>
      <c r="M535" s="66"/>
      <c r="N535" s="66"/>
    </row>
    <row r="536" spans="1:14" x14ac:dyDescent="0.2">
      <c r="A536" s="84"/>
      <c r="B536" s="84"/>
      <c r="C536" s="60"/>
      <c r="D536" s="66"/>
      <c r="E536" s="66"/>
      <c r="F536" s="66"/>
      <c r="G536" s="66"/>
      <c r="H536" s="66"/>
      <c r="I536" s="66"/>
      <c r="J536" s="66"/>
      <c r="K536" s="66"/>
      <c r="L536" s="66"/>
      <c r="M536" s="66"/>
      <c r="N536" s="66"/>
    </row>
    <row r="537" spans="1:14" x14ac:dyDescent="0.2">
      <c r="A537" s="84"/>
      <c r="B537" s="84"/>
      <c r="C537" s="60"/>
      <c r="D537" s="66"/>
      <c r="E537" s="66"/>
      <c r="F537" s="66"/>
      <c r="G537" s="66"/>
      <c r="H537" s="66"/>
      <c r="I537" s="66"/>
      <c r="J537" s="66"/>
      <c r="K537" s="66"/>
      <c r="L537" s="66"/>
      <c r="M537" s="66"/>
      <c r="N537" s="66"/>
    </row>
    <row r="538" spans="1:14" x14ac:dyDescent="0.2">
      <c r="A538" s="84"/>
      <c r="B538" s="84"/>
      <c r="C538" s="60"/>
      <c r="D538" s="66"/>
      <c r="E538" s="66"/>
      <c r="F538" s="66"/>
      <c r="G538" s="66"/>
      <c r="H538" s="66"/>
      <c r="I538" s="66"/>
      <c r="J538" s="66"/>
      <c r="K538" s="66"/>
      <c r="L538" s="66"/>
      <c r="M538" s="66"/>
      <c r="N538" s="66"/>
    </row>
    <row r="539" spans="1:14" x14ac:dyDescent="0.2">
      <c r="A539" s="84"/>
      <c r="B539" s="84"/>
      <c r="C539" s="60"/>
      <c r="D539" s="66"/>
      <c r="E539" s="66"/>
      <c r="F539" s="66"/>
      <c r="G539" s="66"/>
      <c r="H539" s="66"/>
      <c r="I539" s="66"/>
      <c r="J539" s="66"/>
      <c r="K539" s="66"/>
      <c r="L539" s="66"/>
      <c r="M539" s="66"/>
      <c r="N539" s="66"/>
    </row>
    <row r="540" spans="1:14" x14ac:dyDescent="0.2">
      <c r="A540" s="84"/>
      <c r="B540" s="84"/>
      <c r="C540" s="60"/>
      <c r="D540" s="66"/>
      <c r="E540" s="66"/>
      <c r="F540" s="66"/>
      <c r="G540" s="66"/>
      <c r="H540" s="66"/>
      <c r="I540" s="66"/>
      <c r="J540" s="66"/>
      <c r="K540" s="66"/>
      <c r="L540" s="66"/>
      <c r="M540" s="66"/>
      <c r="N540" s="66"/>
    </row>
    <row r="541" spans="1:14" x14ac:dyDescent="0.2">
      <c r="A541" s="84"/>
      <c r="B541" s="84"/>
      <c r="C541" s="60"/>
      <c r="D541" s="66"/>
      <c r="E541" s="66"/>
      <c r="F541" s="66"/>
      <c r="G541" s="66"/>
      <c r="H541" s="66"/>
      <c r="I541" s="66"/>
      <c r="J541" s="66"/>
      <c r="K541" s="66"/>
      <c r="L541" s="66"/>
      <c r="M541" s="66"/>
      <c r="N541" s="66"/>
    </row>
    <row r="542" spans="1:14" x14ac:dyDescent="0.2">
      <c r="A542" s="84"/>
      <c r="B542" s="84"/>
      <c r="C542" s="60"/>
      <c r="D542" s="66"/>
      <c r="E542" s="66"/>
      <c r="F542" s="66"/>
      <c r="G542" s="66"/>
      <c r="H542" s="66"/>
      <c r="I542" s="66"/>
      <c r="J542" s="66"/>
      <c r="K542" s="66"/>
      <c r="L542" s="66"/>
      <c r="M542" s="66"/>
      <c r="N542" s="66"/>
    </row>
    <row r="543" spans="1:14" x14ac:dyDescent="0.2">
      <c r="A543" s="84"/>
      <c r="B543" s="84"/>
      <c r="C543" s="60"/>
      <c r="D543" s="66"/>
      <c r="E543" s="66"/>
      <c r="F543" s="66"/>
      <c r="G543" s="66"/>
      <c r="H543" s="66"/>
      <c r="I543" s="66"/>
      <c r="J543" s="66"/>
      <c r="K543" s="66"/>
      <c r="L543" s="66"/>
      <c r="M543" s="66"/>
      <c r="N543" s="66"/>
    </row>
    <row r="544" spans="1:14" x14ac:dyDescent="0.2">
      <c r="A544" s="84"/>
      <c r="B544" s="84"/>
      <c r="C544" s="60"/>
      <c r="D544" s="66"/>
      <c r="E544" s="66"/>
      <c r="F544" s="66"/>
      <c r="G544" s="66"/>
      <c r="H544" s="66"/>
      <c r="I544" s="66"/>
      <c r="J544" s="66"/>
      <c r="K544" s="66"/>
      <c r="L544" s="66"/>
      <c r="M544" s="66"/>
      <c r="N544" s="66"/>
    </row>
    <row r="545" spans="1:14" x14ac:dyDescent="0.2">
      <c r="A545" s="84"/>
      <c r="B545" s="84"/>
      <c r="C545" s="60"/>
      <c r="D545" s="66"/>
      <c r="E545" s="66"/>
      <c r="F545" s="66"/>
      <c r="G545" s="66"/>
      <c r="H545" s="66"/>
      <c r="I545" s="66"/>
      <c r="J545" s="66"/>
      <c r="K545" s="66"/>
      <c r="L545" s="66"/>
      <c r="M545" s="66"/>
      <c r="N545" s="66"/>
    </row>
    <row r="546" spans="1:14" x14ac:dyDescent="0.2">
      <c r="A546" s="84"/>
      <c r="B546" s="84"/>
      <c r="C546" s="60"/>
      <c r="D546" s="66"/>
      <c r="E546" s="66"/>
      <c r="F546" s="66"/>
      <c r="G546" s="66"/>
      <c r="H546" s="66"/>
      <c r="I546" s="66"/>
      <c r="J546" s="66"/>
      <c r="K546" s="66"/>
      <c r="L546" s="66"/>
      <c r="M546" s="66"/>
      <c r="N546" s="66"/>
    </row>
    <row r="547" spans="1:14" x14ac:dyDescent="0.2">
      <c r="A547" s="84"/>
      <c r="B547" s="84"/>
      <c r="C547" s="60"/>
      <c r="D547" s="66"/>
      <c r="E547" s="66"/>
      <c r="F547" s="66"/>
      <c r="G547" s="66"/>
      <c r="H547" s="66"/>
      <c r="I547" s="66"/>
      <c r="J547" s="66"/>
      <c r="K547" s="66"/>
      <c r="L547" s="66"/>
      <c r="M547" s="66"/>
      <c r="N547" s="66"/>
    </row>
    <row r="548" spans="1:14" x14ac:dyDescent="0.2">
      <c r="A548" s="84"/>
      <c r="B548" s="84"/>
      <c r="C548" s="60"/>
      <c r="D548" s="66"/>
      <c r="E548" s="66"/>
      <c r="F548" s="66"/>
      <c r="G548" s="66"/>
      <c r="H548" s="66"/>
      <c r="I548" s="66"/>
      <c r="J548" s="66"/>
      <c r="K548" s="66"/>
      <c r="L548" s="66"/>
      <c r="M548" s="66"/>
      <c r="N548" s="66"/>
    </row>
    <row r="549" spans="1:14" x14ac:dyDescent="0.2">
      <c r="A549" s="84"/>
      <c r="B549" s="84"/>
      <c r="C549" s="60"/>
      <c r="D549" s="66"/>
      <c r="E549" s="66"/>
      <c r="F549" s="66"/>
      <c r="G549" s="66"/>
      <c r="H549" s="66"/>
      <c r="I549" s="66"/>
      <c r="J549" s="66"/>
      <c r="K549" s="66"/>
      <c r="L549" s="66"/>
      <c r="M549" s="66"/>
      <c r="N549" s="66"/>
    </row>
    <row r="550" spans="1:14" x14ac:dyDescent="0.2">
      <c r="A550" s="84"/>
      <c r="B550" s="84"/>
      <c r="C550" s="60"/>
      <c r="D550" s="66"/>
      <c r="E550" s="66"/>
      <c r="F550" s="66"/>
      <c r="G550" s="66"/>
      <c r="H550" s="66"/>
      <c r="I550" s="66"/>
      <c r="J550" s="66"/>
      <c r="K550" s="66"/>
      <c r="L550" s="66"/>
      <c r="M550" s="66"/>
      <c r="N550" s="66"/>
    </row>
    <row r="551" spans="1:14" x14ac:dyDescent="0.2">
      <c r="A551" s="84"/>
      <c r="B551" s="84"/>
      <c r="C551" s="60"/>
      <c r="D551" s="66"/>
      <c r="E551" s="66"/>
      <c r="F551" s="66"/>
      <c r="G551" s="66"/>
      <c r="H551" s="66"/>
      <c r="I551" s="66"/>
      <c r="J551" s="66"/>
      <c r="K551" s="66"/>
      <c r="L551" s="66"/>
      <c r="M551" s="66"/>
      <c r="N551" s="66"/>
    </row>
    <row r="552" spans="1:14" x14ac:dyDescent="0.2">
      <c r="A552" s="84"/>
      <c r="B552" s="84"/>
      <c r="C552" s="60"/>
      <c r="D552" s="66"/>
      <c r="E552" s="66"/>
      <c r="F552" s="66"/>
      <c r="G552" s="66"/>
      <c r="H552" s="66"/>
      <c r="I552" s="66"/>
      <c r="J552" s="66"/>
      <c r="K552" s="66"/>
      <c r="L552" s="66"/>
      <c r="M552" s="66"/>
      <c r="N552" s="66"/>
    </row>
    <row r="553" spans="1:14" x14ac:dyDescent="0.2">
      <c r="A553" s="84"/>
      <c r="B553" s="84"/>
      <c r="C553" s="60"/>
      <c r="D553" s="66"/>
      <c r="E553" s="66"/>
      <c r="F553" s="66"/>
      <c r="G553" s="66"/>
      <c r="H553" s="66"/>
      <c r="I553" s="66"/>
      <c r="J553" s="66"/>
      <c r="K553" s="66"/>
      <c r="L553" s="66"/>
      <c r="M553" s="66"/>
      <c r="N553" s="66"/>
    </row>
    <row r="554" spans="1:14" x14ac:dyDescent="0.2">
      <c r="A554" s="84"/>
      <c r="B554" s="84"/>
      <c r="C554" s="60"/>
      <c r="D554" s="66"/>
      <c r="E554" s="66"/>
      <c r="F554" s="66"/>
      <c r="G554" s="66"/>
      <c r="H554" s="66"/>
      <c r="I554" s="66"/>
      <c r="J554" s="66"/>
      <c r="K554" s="66"/>
      <c r="L554" s="66"/>
      <c r="M554" s="66"/>
      <c r="N554" s="66"/>
    </row>
    <row r="555" spans="1:14" x14ac:dyDescent="0.2">
      <c r="A555" s="84"/>
      <c r="B555" s="84"/>
      <c r="C555" s="60"/>
      <c r="D555" s="66"/>
      <c r="E555" s="66"/>
      <c r="F555" s="66"/>
      <c r="G555" s="66"/>
      <c r="H555" s="66"/>
      <c r="I555" s="66"/>
      <c r="J555" s="66"/>
      <c r="K555" s="66"/>
      <c r="L555" s="66"/>
      <c r="M555" s="66"/>
      <c r="N555" s="66"/>
    </row>
    <row r="556" spans="1:14" x14ac:dyDescent="0.2">
      <c r="A556" s="84"/>
      <c r="B556" s="84"/>
      <c r="C556" s="60"/>
      <c r="D556" s="66"/>
      <c r="E556" s="66"/>
      <c r="F556" s="66"/>
      <c r="G556" s="66"/>
      <c r="H556" s="66"/>
      <c r="I556" s="66"/>
      <c r="J556" s="66"/>
      <c r="K556" s="66"/>
      <c r="L556" s="66"/>
      <c r="M556" s="66"/>
      <c r="N556" s="66"/>
    </row>
    <row r="557" spans="1:14" x14ac:dyDescent="0.2">
      <c r="A557" s="84"/>
      <c r="B557" s="84"/>
      <c r="C557" s="60"/>
      <c r="D557" s="66"/>
      <c r="E557" s="66"/>
      <c r="F557" s="66"/>
      <c r="G557" s="66"/>
      <c r="H557" s="66"/>
      <c r="I557" s="66"/>
      <c r="J557" s="66"/>
      <c r="K557" s="66"/>
      <c r="L557" s="66"/>
      <c r="M557" s="66"/>
      <c r="N557" s="66"/>
    </row>
    <row r="558" spans="1:14" x14ac:dyDescent="0.2">
      <c r="A558" s="84"/>
      <c r="B558" s="84"/>
      <c r="C558" s="60"/>
      <c r="D558" s="66"/>
      <c r="E558" s="66"/>
      <c r="F558" s="66"/>
      <c r="G558" s="66"/>
      <c r="H558" s="66"/>
      <c r="I558" s="66"/>
      <c r="J558" s="66"/>
      <c r="K558" s="66"/>
      <c r="L558" s="66"/>
      <c r="M558" s="66"/>
      <c r="N558" s="66"/>
    </row>
    <row r="559" spans="1:14" x14ac:dyDescent="0.2">
      <c r="A559" s="84"/>
      <c r="B559" s="84"/>
      <c r="C559" s="60"/>
      <c r="D559" s="66"/>
      <c r="E559" s="66"/>
      <c r="F559" s="66"/>
      <c r="G559" s="66"/>
      <c r="H559" s="66"/>
      <c r="I559" s="66"/>
      <c r="J559" s="66"/>
      <c r="K559" s="66"/>
      <c r="L559" s="66"/>
      <c r="M559" s="66"/>
      <c r="N559" s="66"/>
    </row>
    <row r="560" spans="1:14" x14ac:dyDescent="0.2">
      <c r="A560" s="84"/>
      <c r="B560" s="84"/>
      <c r="C560" s="60"/>
      <c r="D560" s="66"/>
      <c r="E560" s="66"/>
      <c r="F560" s="66"/>
      <c r="G560" s="66"/>
      <c r="H560" s="66"/>
      <c r="I560" s="66"/>
      <c r="J560" s="66"/>
      <c r="K560" s="66"/>
      <c r="L560" s="66"/>
      <c r="M560" s="66"/>
      <c r="N560" s="66"/>
    </row>
    <row r="561" spans="1:14" x14ac:dyDescent="0.2">
      <c r="A561" s="84"/>
      <c r="B561" s="84"/>
      <c r="C561" s="60"/>
      <c r="D561" s="66"/>
      <c r="E561" s="66"/>
      <c r="F561" s="66"/>
      <c r="G561" s="66"/>
      <c r="H561" s="66"/>
      <c r="I561" s="66"/>
      <c r="J561" s="66"/>
      <c r="K561" s="66"/>
      <c r="L561" s="66"/>
      <c r="M561" s="66"/>
      <c r="N561" s="66"/>
    </row>
    <row r="562" spans="1:14" x14ac:dyDescent="0.2">
      <c r="A562" s="84"/>
      <c r="B562" s="84"/>
      <c r="C562" s="60"/>
      <c r="D562" s="66"/>
      <c r="E562" s="66"/>
      <c r="F562" s="66"/>
      <c r="G562" s="66"/>
      <c r="H562" s="66"/>
      <c r="I562" s="66"/>
      <c r="J562" s="66"/>
      <c r="K562" s="66"/>
      <c r="L562" s="66"/>
      <c r="M562" s="66"/>
      <c r="N562" s="66"/>
    </row>
    <row r="563" spans="1:14" x14ac:dyDescent="0.2">
      <c r="A563" s="84"/>
      <c r="B563" s="84"/>
      <c r="C563" s="60"/>
      <c r="D563" s="66"/>
      <c r="E563" s="66"/>
      <c r="F563" s="66"/>
      <c r="G563" s="66"/>
      <c r="H563" s="66"/>
      <c r="I563" s="66"/>
      <c r="J563" s="66"/>
      <c r="K563" s="66"/>
      <c r="L563" s="66"/>
      <c r="M563" s="66"/>
      <c r="N563" s="66"/>
    </row>
    <row r="564" spans="1:14" x14ac:dyDescent="0.2">
      <c r="A564" s="84"/>
      <c r="B564" s="84"/>
      <c r="C564" s="60"/>
      <c r="D564" s="66"/>
      <c r="E564" s="66"/>
      <c r="F564" s="66"/>
      <c r="G564" s="66"/>
      <c r="H564" s="66"/>
      <c r="I564" s="66"/>
      <c r="J564" s="66"/>
      <c r="K564" s="66"/>
      <c r="L564" s="66"/>
      <c r="M564" s="66"/>
      <c r="N564" s="66"/>
    </row>
    <row r="565" spans="1:14" x14ac:dyDescent="0.2">
      <c r="A565" s="84"/>
      <c r="B565" s="84"/>
      <c r="C565" s="60"/>
      <c r="D565" s="66"/>
      <c r="E565" s="66"/>
      <c r="F565" s="66"/>
      <c r="G565" s="66"/>
      <c r="H565" s="66"/>
      <c r="I565" s="66"/>
      <c r="J565" s="66"/>
      <c r="K565" s="66"/>
      <c r="L565" s="66"/>
      <c r="M565" s="66"/>
      <c r="N565" s="66"/>
    </row>
    <row r="566" spans="1:14" x14ac:dyDescent="0.2">
      <c r="A566" s="84"/>
      <c r="B566" s="84"/>
      <c r="C566" s="60"/>
      <c r="D566" s="66"/>
      <c r="E566" s="66"/>
      <c r="F566" s="66"/>
      <c r="G566" s="66"/>
      <c r="H566" s="66"/>
      <c r="I566" s="66"/>
      <c r="J566" s="66"/>
      <c r="K566" s="66"/>
      <c r="L566" s="66"/>
      <c r="M566" s="66"/>
      <c r="N566" s="66"/>
    </row>
    <row r="567" spans="1:14" x14ac:dyDescent="0.2">
      <c r="A567" s="84"/>
      <c r="B567" s="84"/>
      <c r="C567" s="60"/>
      <c r="D567" s="66"/>
      <c r="E567" s="66"/>
      <c r="F567" s="66"/>
      <c r="G567" s="66"/>
      <c r="H567" s="66"/>
      <c r="I567" s="66"/>
      <c r="J567" s="66"/>
      <c r="K567" s="66"/>
      <c r="L567" s="66"/>
      <c r="M567" s="66"/>
      <c r="N567" s="66"/>
    </row>
    <row r="568" spans="1:14" x14ac:dyDescent="0.2">
      <c r="A568" s="84"/>
      <c r="B568" s="84"/>
      <c r="C568" s="60"/>
      <c r="D568" s="66"/>
      <c r="E568" s="66"/>
      <c r="F568" s="66"/>
      <c r="G568" s="66"/>
      <c r="H568" s="66"/>
      <c r="I568" s="66"/>
      <c r="J568" s="66"/>
      <c r="K568" s="66"/>
      <c r="L568" s="66"/>
      <c r="M568" s="66"/>
      <c r="N568" s="66"/>
    </row>
    <row r="569" spans="1:14" x14ac:dyDescent="0.2">
      <c r="A569" s="84"/>
      <c r="B569" s="84"/>
      <c r="C569" s="60"/>
      <c r="D569" s="66"/>
      <c r="E569" s="66"/>
      <c r="F569" s="66"/>
      <c r="G569" s="66"/>
      <c r="H569" s="66"/>
      <c r="I569" s="66"/>
      <c r="J569" s="66"/>
      <c r="K569" s="66"/>
      <c r="L569" s="66"/>
      <c r="M569" s="66"/>
      <c r="N569" s="66"/>
    </row>
    <row r="570" spans="1:14" x14ac:dyDescent="0.2">
      <c r="A570" s="84"/>
      <c r="B570" s="84"/>
      <c r="C570" s="60"/>
      <c r="D570" s="66"/>
      <c r="E570" s="66"/>
      <c r="F570" s="66"/>
      <c r="G570" s="66"/>
      <c r="H570" s="66"/>
      <c r="I570" s="66"/>
      <c r="J570" s="66"/>
      <c r="K570" s="66"/>
      <c r="L570" s="66"/>
      <c r="M570" s="66"/>
      <c r="N570" s="66"/>
    </row>
    <row r="571" spans="1:14" x14ac:dyDescent="0.2">
      <c r="A571" s="84"/>
      <c r="B571" s="84"/>
      <c r="C571" s="60"/>
      <c r="D571" s="66"/>
      <c r="E571" s="66"/>
      <c r="F571" s="66"/>
      <c r="G571" s="66"/>
      <c r="H571" s="66"/>
      <c r="I571" s="66"/>
      <c r="J571" s="66"/>
      <c r="K571" s="66"/>
      <c r="L571" s="66"/>
      <c r="M571" s="66"/>
      <c r="N571" s="66"/>
    </row>
    <row r="572" spans="1:14" x14ac:dyDescent="0.2">
      <c r="A572" s="84"/>
      <c r="B572" s="84"/>
      <c r="C572" s="60"/>
      <c r="D572" s="66"/>
      <c r="E572" s="66"/>
      <c r="F572" s="66"/>
      <c r="G572" s="66"/>
      <c r="H572" s="66"/>
      <c r="I572" s="66"/>
      <c r="J572" s="66"/>
      <c r="K572" s="66"/>
      <c r="L572" s="66"/>
      <c r="M572" s="66"/>
      <c r="N572" s="66"/>
    </row>
    <row r="573" spans="1:14" x14ac:dyDescent="0.2">
      <c r="A573" s="84"/>
      <c r="B573" s="84"/>
      <c r="C573" s="60"/>
      <c r="D573" s="66"/>
      <c r="E573" s="66"/>
      <c r="F573" s="66"/>
      <c r="G573" s="66"/>
      <c r="H573" s="66"/>
      <c r="I573" s="66"/>
      <c r="J573" s="66"/>
      <c r="K573" s="66"/>
      <c r="L573" s="66"/>
      <c r="M573" s="66"/>
      <c r="N573" s="66"/>
    </row>
    <row r="574" spans="1:14" x14ac:dyDescent="0.2">
      <c r="A574" s="84"/>
      <c r="B574" s="84"/>
      <c r="C574" s="60"/>
      <c r="D574" s="66"/>
      <c r="E574" s="66"/>
      <c r="F574" s="66"/>
      <c r="G574" s="66"/>
      <c r="H574" s="66"/>
      <c r="I574" s="66"/>
      <c r="J574" s="66"/>
      <c r="K574" s="66"/>
      <c r="L574" s="66"/>
      <c r="M574" s="66"/>
      <c r="N574" s="66"/>
    </row>
    <row r="575" spans="1:14" x14ac:dyDescent="0.2">
      <c r="A575" s="84"/>
      <c r="B575" s="84"/>
      <c r="C575" s="60"/>
      <c r="D575" s="66"/>
      <c r="E575" s="66"/>
      <c r="F575" s="66"/>
      <c r="G575" s="66"/>
      <c r="H575" s="66"/>
      <c r="I575" s="66"/>
      <c r="J575" s="66"/>
      <c r="K575" s="66"/>
      <c r="L575" s="66"/>
      <c r="M575" s="66"/>
      <c r="N575" s="66"/>
    </row>
    <row r="576" spans="1:14" x14ac:dyDescent="0.2">
      <c r="A576" s="84"/>
      <c r="B576" s="84"/>
      <c r="C576" s="60"/>
      <c r="D576" s="66"/>
      <c r="E576" s="66"/>
      <c r="F576" s="66"/>
      <c r="G576" s="66"/>
      <c r="H576" s="66"/>
      <c r="I576" s="66"/>
      <c r="J576" s="66"/>
      <c r="K576" s="66"/>
      <c r="L576" s="66"/>
      <c r="M576" s="66"/>
      <c r="N576" s="66"/>
    </row>
    <row r="577" spans="1:14" x14ac:dyDescent="0.2">
      <c r="A577" s="84"/>
      <c r="B577" s="84"/>
      <c r="C577" s="60"/>
      <c r="D577" s="66"/>
      <c r="E577" s="66"/>
      <c r="F577" s="66"/>
      <c r="G577" s="66"/>
      <c r="H577" s="66"/>
      <c r="I577" s="66"/>
      <c r="J577" s="66"/>
      <c r="K577" s="66"/>
      <c r="L577" s="66"/>
      <c r="M577" s="66"/>
      <c r="N577" s="66"/>
    </row>
    <row r="578" spans="1:14" x14ac:dyDescent="0.2">
      <c r="A578" s="84"/>
      <c r="B578" s="84"/>
      <c r="C578" s="60"/>
      <c r="D578" s="66"/>
      <c r="E578" s="66"/>
      <c r="F578" s="66"/>
      <c r="G578" s="66"/>
      <c r="H578" s="66"/>
      <c r="I578" s="66"/>
      <c r="J578" s="66"/>
      <c r="K578" s="66"/>
      <c r="L578" s="66"/>
      <c r="M578" s="66"/>
      <c r="N578" s="66"/>
    </row>
    <row r="579" spans="1:14" x14ac:dyDescent="0.2">
      <c r="A579" s="84"/>
      <c r="B579" s="84"/>
      <c r="C579" s="60"/>
      <c r="D579" s="66"/>
      <c r="E579" s="66"/>
      <c r="F579" s="66"/>
      <c r="G579" s="66"/>
      <c r="H579" s="66"/>
      <c r="I579" s="66"/>
      <c r="J579" s="66"/>
      <c r="K579" s="66"/>
      <c r="L579" s="66"/>
      <c r="M579" s="66"/>
      <c r="N579" s="66"/>
    </row>
    <row r="580" spans="1:14" x14ac:dyDescent="0.2">
      <c r="A580" s="84"/>
      <c r="B580" s="84"/>
      <c r="C580" s="60"/>
      <c r="D580" s="66"/>
      <c r="E580" s="66"/>
      <c r="F580" s="66"/>
      <c r="G580" s="66"/>
      <c r="H580" s="66"/>
      <c r="I580" s="66"/>
      <c r="J580" s="66"/>
      <c r="K580" s="66"/>
      <c r="L580" s="66"/>
      <c r="M580" s="66"/>
      <c r="N580" s="66"/>
    </row>
    <row r="581" spans="1:14" x14ac:dyDescent="0.2">
      <c r="A581" s="84"/>
      <c r="B581" s="84"/>
      <c r="C581" s="60"/>
      <c r="D581" s="66"/>
      <c r="E581" s="66"/>
      <c r="F581" s="66"/>
      <c r="G581" s="66"/>
      <c r="H581" s="66"/>
      <c r="I581" s="66"/>
      <c r="J581" s="66"/>
      <c r="K581" s="66"/>
      <c r="L581" s="66"/>
      <c r="M581" s="66"/>
      <c r="N581" s="66"/>
    </row>
    <row r="582" spans="1:14" x14ac:dyDescent="0.2">
      <c r="A582" s="84"/>
      <c r="B582" s="84"/>
      <c r="C582" s="60"/>
      <c r="D582" s="66"/>
      <c r="E582" s="66"/>
      <c r="F582" s="66"/>
      <c r="G582" s="66"/>
      <c r="H582" s="66"/>
      <c r="I582" s="66"/>
      <c r="J582" s="66"/>
      <c r="K582" s="66"/>
      <c r="L582" s="66"/>
      <c r="M582" s="66"/>
      <c r="N582" s="66"/>
    </row>
    <row r="583" spans="1:14" x14ac:dyDescent="0.2">
      <c r="A583" s="84"/>
      <c r="B583" s="84"/>
      <c r="C583" s="60"/>
      <c r="D583" s="66"/>
      <c r="E583" s="66"/>
      <c r="F583" s="66"/>
      <c r="G583" s="66"/>
      <c r="H583" s="66"/>
      <c r="I583" s="66"/>
      <c r="J583" s="66"/>
      <c r="K583" s="66"/>
      <c r="L583" s="66"/>
      <c r="M583" s="66"/>
      <c r="N583" s="66"/>
    </row>
    <row r="584" spans="1:14" x14ac:dyDescent="0.2">
      <c r="A584" s="84"/>
      <c r="B584" s="84"/>
      <c r="C584" s="60"/>
      <c r="D584" s="66"/>
      <c r="E584" s="66"/>
      <c r="F584" s="66"/>
      <c r="G584" s="66"/>
      <c r="H584" s="66"/>
      <c r="I584" s="66"/>
      <c r="J584" s="66"/>
      <c r="K584" s="66"/>
      <c r="L584" s="66"/>
      <c r="M584" s="66"/>
      <c r="N584" s="66"/>
    </row>
    <row r="585" spans="1:14" x14ac:dyDescent="0.2">
      <c r="A585" s="84"/>
      <c r="B585" s="84"/>
      <c r="C585" s="60"/>
      <c r="D585" s="66"/>
      <c r="E585" s="66"/>
      <c r="F585" s="66"/>
      <c r="G585" s="66"/>
      <c r="H585" s="66"/>
      <c r="I585" s="66"/>
      <c r="J585" s="66"/>
      <c r="K585" s="66"/>
      <c r="L585" s="66"/>
      <c r="M585" s="66"/>
      <c r="N585" s="66"/>
    </row>
    <row r="586" spans="1:14" x14ac:dyDescent="0.2">
      <c r="A586" s="84"/>
      <c r="B586" s="84"/>
      <c r="C586" s="60"/>
      <c r="D586" s="66"/>
      <c r="E586" s="66"/>
      <c r="F586" s="66"/>
      <c r="G586" s="66"/>
      <c r="H586" s="66"/>
      <c r="I586" s="66"/>
      <c r="J586" s="66"/>
      <c r="K586" s="66"/>
      <c r="L586" s="66"/>
      <c r="M586" s="66"/>
      <c r="N586" s="66"/>
    </row>
    <row r="587" spans="1:14" x14ac:dyDescent="0.2">
      <c r="A587" s="84"/>
      <c r="B587" s="84"/>
      <c r="C587" s="60"/>
      <c r="D587" s="66"/>
      <c r="E587" s="66"/>
      <c r="F587" s="66"/>
      <c r="G587" s="66"/>
      <c r="H587" s="66"/>
      <c r="I587" s="66"/>
      <c r="J587" s="66"/>
      <c r="K587" s="66"/>
      <c r="L587" s="66"/>
      <c r="M587" s="66"/>
      <c r="N587" s="66"/>
    </row>
    <row r="588" spans="1:14" x14ac:dyDescent="0.2">
      <c r="A588" s="84"/>
      <c r="B588" s="84"/>
      <c r="C588" s="60"/>
      <c r="D588" s="66"/>
      <c r="E588" s="66"/>
      <c r="F588" s="66"/>
      <c r="G588" s="66"/>
      <c r="H588" s="66"/>
      <c r="I588" s="66"/>
      <c r="J588" s="66"/>
      <c r="K588" s="66"/>
      <c r="L588" s="66"/>
      <c r="M588" s="66"/>
      <c r="N588" s="66"/>
    </row>
    <row r="589" spans="1:14" x14ac:dyDescent="0.2">
      <c r="A589" s="84"/>
      <c r="B589" s="84"/>
      <c r="C589" s="60"/>
      <c r="D589" s="66"/>
      <c r="E589" s="66"/>
      <c r="F589" s="66"/>
      <c r="G589" s="66"/>
      <c r="H589" s="66"/>
      <c r="I589" s="66"/>
      <c r="J589" s="66"/>
      <c r="K589" s="66"/>
      <c r="L589" s="66"/>
      <c r="M589" s="66"/>
      <c r="N589" s="66"/>
    </row>
    <row r="590" spans="1:14" x14ac:dyDescent="0.2">
      <c r="A590" s="84"/>
      <c r="B590" s="84"/>
      <c r="C590" s="60"/>
      <c r="D590" s="66"/>
      <c r="E590" s="66"/>
      <c r="F590" s="66"/>
      <c r="G590" s="66"/>
      <c r="H590" s="66"/>
      <c r="I590" s="66"/>
      <c r="J590" s="66"/>
      <c r="K590" s="66"/>
      <c r="L590" s="66"/>
      <c r="M590" s="66"/>
      <c r="N590" s="66"/>
    </row>
    <row r="591" spans="1:14" x14ac:dyDescent="0.2">
      <c r="A591" s="84"/>
      <c r="B591" s="84"/>
      <c r="C591" s="60"/>
      <c r="D591" s="66"/>
      <c r="E591" s="66"/>
      <c r="F591" s="66"/>
      <c r="G591" s="66"/>
      <c r="H591" s="66"/>
      <c r="I591" s="66"/>
      <c r="J591" s="66"/>
      <c r="K591" s="66"/>
      <c r="L591" s="66"/>
      <c r="M591" s="66"/>
      <c r="N591" s="66"/>
    </row>
    <row r="592" spans="1:14" x14ac:dyDescent="0.2">
      <c r="A592" s="84"/>
      <c r="B592" s="84"/>
      <c r="C592" s="60"/>
      <c r="D592" s="66"/>
      <c r="E592" s="66"/>
      <c r="F592" s="66"/>
      <c r="G592" s="66"/>
      <c r="H592" s="66"/>
      <c r="I592" s="66"/>
      <c r="J592" s="66"/>
      <c r="K592" s="66"/>
      <c r="L592" s="66"/>
      <c r="M592" s="66"/>
      <c r="N592" s="66"/>
    </row>
    <row r="593" spans="1:14" x14ac:dyDescent="0.2">
      <c r="A593" s="84"/>
      <c r="B593" s="84"/>
      <c r="C593" s="60"/>
      <c r="D593" s="66"/>
      <c r="E593" s="66"/>
      <c r="F593" s="66"/>
      <c r="G593" s="66"/>
      <c r="H593" s="66"/>
      <c r="I593" s="66"/>
      <c r="J593" s="66"/>
      <c r="K593" s="66"/>
      <c r="L593" s="66"/>
      <c r="M593" s="66"/>
      <c r="N593" s="66"/>
    </row>
    <row r="594" spans="1:14" x14ac:dyDescent="0.2">
      <c r="A594" s="84"/>
      <c r="B594" s="84"/>
      <c r="C594" s="60"/>
      <c r="D594" s="66"/>
      <c r="E594" s="66"/>
      <c r="F594" s="66"/>
      <c r="G594" s="66"/>
      <c r="H594" s="66"/>
      <c r="I594" s="66"/>
      <c r="J594" s="66"/>
      <c r="K594" s="66"/>
      <c r="L594" s="66"/>
      <c r="M594" s="66"/>
      <c r="N594" s="66"/>
    </row>
    <row r="595" spans="1:14" x14ac:dyDescent="0.2">
      <c r="A595" s="84"/>
      <c r="B595" s="84"/>
      <c r="C595" s="60"/>
      <c r="D595" s="66"/>
      <c r="E595" s="66"/>
      <c r="F595" s="66"/>
      <c r="G595" s="66"/>
      <c r="H595" s="66"/>
      <c r="I595" s="66"/>
      <c r="J595" s="66"/>
      <c r="K595" s="66"/>
      <c r="L595" s="66"/>
      <c r="M595" s="66"/>
      <c r="N595" s="66"/>
    </row>
    <row r="596" spans="1:14" x14ac:dyDescent="0.2">
      <c r="A596" s="84"/>
      <c r="B596" s="84"/>
      <c r="C596" s="60"/>
      <c r="D596" s="66"/>
      <c r="E596" s="66"/>
      <c r="F596" s="66"/>
      <c r="G596" s="66"/>
      <c r="H596" s="66"/>
      <c r="I596" s="66"/>
      <c r="J596" s="66"/>
      <c r="K596" s="66"/>
      <c r="L596" s="66"/>
      <c r="M596" s="66"/>
      <c r="N596" s="66"/>
    </row>
    <row r="597" spans="1:14" x14ac:dyDescent="0.2">
      <c r="A597" s="84"/>
      <c r="B597" s="84"/>
      <c r="C597" s="60"/>
      <c r="D597" s="66"/>
      <c r="E597" s="66"/>
      <c r="F597" s="66"/>
      <c r="G597" s="66"/>
      <c r="H597" s="66"/>
      <c r="I597" s="66"/>
      <c r="J597" s="66"/>
      <c r="K597" s="66"/>
      <c r="L597" s="66"/>
      <c r="M597" s="66"/>
      <c r="N597" s="66"/>
    </row>
    <row r="598" spans="1:14" x14ac:dyDescent="0.2">
      <c r="A598" s="84"/>
      <c r="B598" s="84"/>
      <c r="C598" s="60"/>
      <c r="D598" s="66"/>
      <c r="E598" s="66"/>
      <c r="F598" s="66"/>
      <c r="G598" s="66"/>
      <c r="H598" s="66"/>
      <c r="I598" s="66"/>
      <c r="J598" s="66"/>
      <c r="K598" s="66"/>
      <c r="L598" s="66"/>
      <c r="M598" s="66"/>
      <c r="N598" s="66"/>
    </row>
    <row r="599" spans="1:14" x14ac:dyDescent="0.2">
      <c r="A599" s="84"/>
      <c r="B599" s="84"/>
      <c r="C599" s="60"/>
      <c r="D599" s="66"/>
      <c r="E599" s="66"/>
      <c r="F599" s="66"/>
      <c r="G599" s="66"/>
      <c r="H599" s="66"/>
      <c r="I599" s="66"/>
      <c r="J599" s="66"/>
      <c r="K599" s="66"/>
      <c r="L599" s="66"/>
      <c r="M599" s="66"/>
      <c r="N599" s="66"/>
    </row>
    <row r="600" spans="1:14" x14ac:dyDescent="0.2">
      <c r="A600" s="84"/>
      <c r="B600" s="84"/>
      <c r="C600" s="60"/>
      <c r="D600" s="66"/>
      <c r="E600" s="66"/>
      <c r="F600" s="66"/>
      <c r="G600" s="66"/>
      <c r="H600" s="66"/>
      <c r="I600" s="66"/>
      <c r="J600" s="66"/>
      <c r="K600" s="66"/>
      <c r="L600" s="66"/>
      <c r="M600" s="66"/>
      <c r="N600" s="66"/>
    </row>
    <row r="601" spans="1:14" x14ac:dyDescent="0.2">
      <c r="A601" s="84"/>
      <c r="B601" s="84"/>
      <c r="C601" s="60"/>
      <c r="D601" s="66"/>
      <c r="E601" s="66"/>
      <c r="F601" s="66"/>
      <c r="G601" s="66"/>
      <c r="H601" s="66"/>
      <c r="I601" s="66"/>
      <c r="J601" s="66"/>
      <c r="K601" s="66"/>
      <c r="L601" s="66"/>
      <c r="M601" s="66"/>
      <c r="N601" s="66"/>
    </row>
    <row r="602" spans="1:14" x14ac:dyDescent="0.2">
      <c r="A602" s="84"/>
      <c r="B602" s="84"/>
      <c r="C602" s="60"/>
      <c r="D602" s="66"/>
      <c r="E602" s="66"/>
      <c r="F602" s="66"/>
      <c r="G602" s="66"/>
      <c r="H602" s="66"/>
      <c r="I602" s="66"/>
      <c r="J602" s="66"/>
      <c r="K602" s="66"/>
      <c r="L602" s="66"/>
      <c r="M602" s="66"/>
      <c r="N602" s="66"/>
    </row>
    <row r="603" spans="1:14" x14ac:dyDescent="0.2">
      <c r="A603" s="84"/>
      <c r="B603" s="84"/>
      <c r="C603" s="60"/>
      <c r="D603" s="66"/>
      <c r="E603" s="66"/>
      <c r="F603" s="66"/>
      <c r="G603" s="66"/>
      <c r="H603" s="66"/>
      <c r="I603" s="66"/>
      <c r="J603" s="66"/>
      <c r="K603" s="66"/>
      <c r="L603" s="66"/>
      <c r="M603" s="66"/>
      <c r="N603" s="66"/>
    </row>
    <row r="604" spans="1:14" x14ac:dyDescent="0.2">
      <c r="A604" s="84"/>
      <c r="B604" s="84"/>
      <c r="C604" s="60"/>
      <c r="D604" s="66"/>
      <c r="E604" s="66"/>
      <c r="F604" s="66"/>
      <c r="G604" s="66"/>
      <c r="H604" s="66"/>
      <c r="I604" s="66"/>
      <c r="J604" s="66"/>
      <c r="K604" s="66"/>
      <c r="L604" s="66"/>
      <c r="M604" s="66"/>
      <c r="N604" s="66"/>
    </row>
    <row r="605" spans="1:14" x14ac:dyDescent="0.2">
      <c r="A605" s="84"/>
      <c r="B605" s="84"/>
      <c r="C605" s="60"/>
      <c r="D605" s="66"/>
      <c r="E605" s="66"/>
      <c r="F605" s="66"/>
      <c r="G605" s="66"/>
      <c r="H605" s="66"/>
      <c r="I605" s="66"/>
      <c r="J605" s="66"/>
      <c r="K605" s="66"/>
      <c r="L605" s="66"/>
      <c r="M605" s="66"/>
      <c r="N605" s="66"/>
    </row>
    <row r="606" spans="1:14" x14ac:dyDescent="0.2">
      <c r="A606" s="84"/>
      <c r="B606" s="84"/>
      <c r="C606" s="60"/>
      <c r="D606" s="66"/>
      <c r="E606" s="66"/>
      <c r="F606" s="66"/>
      <c r="G606" s="66"/>
      <c r="H606" s="66"/>
      <c r="I606" s="66"/>
      <c r="J606" s="66"/>
      <c r="K606" s="66"/>
      <c r="L606" s="66"/>
      <c r="M606" s="66"/>
      <c r="N606" s="66"/>
    </row>
    <row r="607" spans="1:14" x14ac:dyDescent="0.2">
      <c r="A607" s="84"/>
      <c r="B607" s="84"/>
      <c r="C607" s="60"/>
      <c r="D607" s="66"/>
      <c r="E607" s="66"/>
      <c r="F607" s="66"/>
      <c r="G607" s="66"/>
      <c r="H607" s="66"/>
      <c r="I607" s="66"/>
      <c r="J607" s="66"/>
      <c r="K607" s="66"/>
      <c r="L607" s="66"/>
      <c r="M607" s="66"/>
      <c r="N607" s="66"/>
    </row>
    <row r="608" spans="1:14" x14ac:dyDescent="0.2">
      <c r="A608" s="84"/>
      <c r="B608" s="84"/>
      <c r="C608" s="60"/>
      <c r="D608" s="66"/>
      <c r="E608" s="66"/>
      <c r="F608" s="66"/>
      <c r="G608" s="66"/>
      <c r="H608" s="66"/>
      <c r="I608" s="66"/>
      <c r="J608" s="66"/>
      <c r="K608" s="66"/>
      <c r="L608" s="66"/>
      <c r="M608" s="66"/>
      <c r="N608" s="66"/>
    </row>
    <row r="609" spans="1:14" x14ac:dyDescent="0.2">
      <c r="A609" s="84"/>
      <c r="B609" s="84"/>
      <c r="C609" s="60"/>
      <c r="D609" s="66"/>
      <c r="E609" s="66"/>
      <c r="F609" s="66"/>
      <c r="G609" s="66"/>
      <c r="H609" s="66"/>
      <c r="I609" s="66"/>
      <c r="J609" s="66"/>
      <c r="K609" s="66"/>
      <c r="L609" s="66"/>
      <c r="M609" s="66"/>
      <c r="N609" s="66"/>
    </row>
    <row r="610" spans="1:14" x14ac:dyDescent="0.2">
      <c r="A610" s="84"/>
      <c r="B610" s="84"/>
      <c r="C610" s="60"/>
      <c r="D610" s="66"/>
      <c r="E610" s="66"/>
      <c r="F610" s="66"/>
      <c r="G610" s="66"/>
      <c r="H610" s="66"/>
      <c r="I610" s="66"/>
      <c r="J610" s="66"/>
      <c r="K610" s="66"/>
      <c r="L610" s="66"/>
      <c r="M610" s="66"/>
      <c r="N610" s="66"/>
    </row>
    <row r="611" spans="1:14" x14ac:dyDescent="0.2">
      <c r="A611" s="84"/>
      <c r="B611" s="84"/>
      <c r="C611" s="60"/>
      <c r="D611" s="66"/>
      <c r="E611" s="66"/>
      <c r="F611" s="66"/>
      <c r="G611" s="66"/>
      <c r="H611" s="66"/>
      <c r="I611" s="66"/>
      <c r="J611" s="66"/>
      <c r="K611" s="66"/>
      <c r="L611" s="66"/>
      <c r="M611" s="66"/>
      <c r="N611" s="66"/>
    </row>
    <row r="612" spans="1:14" x14ac:dyDescent="0.2">
      <c r="A612" s="84"/>
      <c r="B612" s="84"/>
      <c r="C612" s="60"/>
      <c r="D612" s="66"/>
      <c r="E612" s="66"/>
      <c r="F612" s="66"/>
      <c r="G612" s="66"/>
      <c r="H612" s="66"/>
      <c r="I612" s="66"/>
      <c r="J612" s="66"/>
      <c r="K612" s="66"/>
      <c r="L612" s="66"/>
      <c r="M612" s="66"/>
      <c r="N612" s="66"/>
    </row>
    <row r="613" spans="1:14" x14ac:dyDescent="0.2">
      <c r="A613" s="84"/>
      <c r="B613" s="84"/>
      <c r="C613" s="60"/>
      <c r="D613" s="66"/>
      <c r="E613" s="66"/>
      <c r="F613" s="66"/>
      <c r="G613" s="66"/>
      <c r="H613" s="66"/>
      <c r="I613" s="66"/>
      <c r="J613" s="66"/>
      <c r="K613" s="66"/>
      <c r="L613" s="66"/>
      <c r="M613" s="66"/>
      <c r="N613" s="66"/>
    </row>
    <row r="614" spans="1:14" x14ac:dyDescent="0.2">
      <c r="A614" s="84"/>
      <c r="B614" s="84"/>
      <c r="C614" s="60"/>
      <c r="D614" s="66"/>
      <c r="E614" s="66"/>
      <c r="F614" s="66"/>
      <c r="G614" s="66"/>
      <c r="H614" s="66"/>
      <c r="I614" s="66"/>
      <c r="J614" s="66"/>
      <c r="K614" s="66"/>
      <c r="L614" s="66"/>
      <c r="M614" s="66"/>
      <c r="N614" s="66"/>
    </row>
    <row r="615" spans="1:14" x14ac:dyDescent="0.2">
      <c r="A615" s="84"/>
      <c r="B615" s="84"/>
      <c r="C615" s="60"/>
      <c r="D615" s="66"/>
      <c r="E615" s="66"/>
      <c r="F615" s="66"/>
      <c r="G615" s="66"/>
      <c r="H615" s="66"/>
      <c r="I615" s="66"/>
      <c r="J615" s="66"/>
      <c r="K615" s="66"/>
      <c r="L615" s="66"/>
      <c r="M615" s="66"/>
      <c r="N615" s="66"/>
    </row>
    <row r="616" spans="1:14" x14ac:dyDescent="0.2">
      <c r="A616" s="84"/>
      <c r="B616" s="84"/>
      <c r="C616" s="60"/>
      <c r="D616" s="66"/>
      <c r="E616" s="66"/>
      <c r="F616" s="66"/>
      <c r="G616" s="66"/>
      <c r="H616" s="66"/>
      <c r="I616" s="66"/>
      <c r="J616" s="66"/>
      <c r="K616" s="66"/>
      <c r="L616" s="66"/>
      <c r="M616" s="66"/>
      <c r="N616" s="66"/>
    </row>
    <row r="617" spans="1:14" x14ac:dyDescent="0.2">
      <c r="A617" s="84"/>
      <c r="B617" s="84"/>
      <c r="C617" s="60"/>
      <c r="D617" s="66"/>
      <c r="E617" s="66"/>
      <c r="F617" s="66"/>
      <c r="G617" s="66"/>
      <c r="H617" s="66"/>
      <c r="I617" s="66"/>
      <c r="J617" s="66"/>
      <c r="K617" s="66"/>
      <c r="L617" s="66"/>
      <c r="M617" s="66"/>
      <c r="N617" s="66"/>
    </row>
    <row r="618" spans="1:14" x14ac:dyDescent="0.2">
      <c r="A618" s="84"/>
      <c r="B618" s="84"/>
      <c r="C618" s="60"/>
      <c r="D618" s="66"/>
      <c r="E618" s="66"/>
      <c r="F618" s="66"/>
      <c r="G618" s="66"/>
      <c r="H618" s="66"/>
      <c r="I618" s="66"/>
      <c r="J618" s="66"/>
      <c r="K618" s="66"/>
      <c r="L618" s="66"/>
      <c r="M618" s="66"/>
      <c r="N618" s="66"/>
    </row>
    <row r="619" spans="1:14" x14ac:dyDescent="0.2">
      <c r="A619" s="84"/>
      <c r="B619" s="84"/>
      <c r="C619" s="60"/>
      <c r="D619" s="66"/>
      <c r="E619" s="66"/>
      <c r="F619" s="66"/>
      <c r="G619" s="66"/>
      <c r="H619" s="66"/>
      <c r="I619" s="66"/>
      <c r="J619" s="66"/>
      <c r="K619" s="66"/>
      <c r="L619" s="66"/>
      <c r="M619" s="66"/>
      <c r="N619" s="66"/>
    </row>
    <row r="620" spans="1:14" x14ac:dyDescent="0.2">
      <c r="A620" s="84"/>
      <c r="B620" s="84"/>
      <c r="C620" s="60"/>
      <c r="D620" s="66"/>
      <c r="E620" s="66"/>
      <c r="F620" s="66"/>
      <c r="G620" s="66"/>
      <c r="H620" s="66"/>
      <c r="I620" s="66"/>
      <c r="J620" s="66"/>
      <c r="K620" s="66"/>
      <c r="L620" s="66"/>
      <c r="M620" s="66"/>
      <c r="N620" s="66"/>
    </row>
    <row r="621" spans="1:14" x14ac:dyDescent="0.2">
      <c r="A621" s="84"/>
      <c r="B621" s="84"/>
      <c r="C621" s="60"/>
      <c r="D621" s="66"/>
      <c r="E621" s="66"/>
      <c r="F621" s="66"/>
      <c r="G621" s="66"/>
      <c r="H621" s="66"/>
      <c r="I621" s="66"/>
      <c r="J621" s="66"/>
      <c r="K621" s="66"/>
      <c r="L621" s="66"/>
      <c r="M621" s="66"/>
      <c r="N621" s="66"/>
    </row>
    <row r="622" spans="1:14" x14ac:dyDescent="0.2">
      <c r="A622" s="84"/>
      <c r="B622" s="84"/>
      <c r="C622" s="60"/>
      <c r="D622" s="66"/>
      <c r="E622" s="66"/>
      <c r="F622" s="66"/>
      <c r="G622" s="66"/>
      <c r="H622" s="66"/>
      <c r="I622" s="66"/>
      <c r="J622" s="66"/>
      <c r="K622" s="66"/>
      <c r="L622" s="66"/>
      <c r="M622" s="66"/>
      <c r="N622" s="66"/>
    </row>
    <row r="623" spans="1:14" x14ac:dyDescent="0.2">
      <c r="A623" s="84"/>
      <c r="B623" s="84"/>
      <c r="C623" s="60"/>
      <c r="D623" s="66"/>
      <c r="E623" s="66"/>
      <c r="F623" s="66"/>
      <c r="G623" s="66"/>
      <c r="H623" s="66"/>
      <c r="I623" s="66"/>
      <c r="J623" s="66"/>
      <c r="K623" s="66"/>
      <c r="L623" s="66"/>
      <c r="M623" s="66"/>
      <c r="N623" s="66"/>
    </row>
    <row r="624" spans="1:14" x14ac:dyDescent="0.2">
      <c r="A624" s="84"/>
      <c r="B624" s="84"/>
      <c r="C624" s="60"/>
      <c r="D624" s="66"/>
      <c r="E624" s="66"/>
      <c r="F624" s="66"/>
      <c r="G624" s="66"/>
      <c r="H624" s="66"/>
      <c r="I624" s="66"/>
      <c r="J624" s="66"/>
      <c r="K624" s="66"/>
      <c r="L624" s="66"/>
      <c r="M624" s="66"/>
      <c r="N624" s="66"/>
    </row>
    <row r="625" spans="1:14" x14ac:dyDescent="0.2">
      <c r="A625" s="84"/>
      <c r="B625" s="84"/>
      <c r="C625" s="60"/>
      <c r="D625" s="66"/>
      <c r="E625" s="66"/>
      <c r="F625" s="66"/>
      <c r="G625" s="66"/>
      <c r="H625" s="66"/>
      <c r="I625" s="66"/>
      <c r="J625" s="66"/>
      <c r="K625" s="66"/>
      <c r="L625" s="66"/>
      <c r="M625" s="66"/>
      <c r="N625" s="66"/>
    </row>
    <row r="626" spans="1:14" x14ac:dyDescent="0.2">
      <c r="A626" s="84"/>
      <c r="B626" s="84"/>
      <c r="C626" s="60"/>
      <c r="D626" s="66"/>
      <c r="E626" s="66"/>
      <c r="F626" s="66"/>
      <c r="G626" s="66"/>
      <c r="H626" s="66"/>
      <c r="I626" s="66"/>
      <c r="J626" s="66"/>
      <c r="K626" s="66"/>
      <c r="L626" s="66"/>
      <c r="M626" s="66"/>
      <c r="N626" s="66"/>
    </row>
    <row r="627" spans="1:14" x14ac:dyDescent="0.2">
      <c r="A627" s="84"/>
      <c r="B627" s="84"/>
      <c r="C627" s="60"/>
      <c r="D627" s="66"/>
      <c r="E627" s="66"/>
      <c r="F627" s="66"/>
      <c r="G627" s="66"/>
      <c r="H627" s="66"/>
      <c r="I627" s="66"/>
      <c r="J627" s="66"/>
      <c r="K627" s="66"/>
      <c r="L627" s="66"/>
      <c r="M627" s="66"/>
      <c r="N627" s="66"/>
    </row>
    <row r="628" spans="1:14" x14ac:dyDescent="0.2">
      <c r="A628" s="84"/>
      <c r="B628" s="84"/>
      <c r="C628" s="60"/>
      <c r="D628" s="66"/>
      <c r="E628" s="66"/>
      <c r="F628" s="66"/>
      <c r="G628" s="66"/>
      <c r="H628" s="66"/>
      <c r="I628" s="66"/>
      <c r="J628" s="66"/>
      <c r="K628" s="66"/>
      <c r="L628" s="66"/>
      <c r="M628" s="66"/>
      <c r="N628" s="66"/>
    </row>
    <row r="629" spans="1:14" x14ac:dyDescent="0.2">
      <c r="A629" s="84"/>
      <c r="B629" s="84"/>
      <c r="C629" s="60"/>
      <c r="D629" s="66"/>
      <c r="E629" s="66"/>
      <c r="F629" s="66"/>
      <c r="G629" s="66"/>
      <c r="H629" s="66"/>
      <c r="I629" s="66"/>
      <c r="J629" s="66"/>
      <c r="K629" s="66"/>
      <c r="L629" s="66"/>
      <c r="M629" s="66"/>
      <c r="N629" s="66"/>
    </row>
    <row r="630" spans="1:14" x14ac:dyDescent="0.2">
      <c r="A630" s="84"/>
      <c r="B630" s="84"/>
      <c r="C630" s="60"/>
      <c r="D630" s="66"/>
      <c r="E630" s="66"/>
      <c r="F630" s="66"/>
      <c r="G630" s="66"/>
      <c r="H630" s="66"/>
      <c r="I630" s="66"/>
      <c r="J630" s="66"/>
      <c r="K630" s="66"/>
      <c r="L630" s="66"/>
      <c r="M630" s="66"/>
      <c r="N630" s="66"/>
    </row>
    <row r="631" spans="1:14" x14ac:dyDescent="0.2">
      <c r="A631" s="84"/>
      <c r="B631" s="84"/>
      <c r="C631" s="60"/>
      <c r="D631" s="66"/>
      <c r="E631" s="66"/>
      <c r="F631" s="66"/>
      <c r="G631" s="66"/>
      <c r="H631" s="66"/>
      <c r="I631" s="66"/>
      <c r="J631" s="66"/>
      <c r="K631" s="66"/>
      <c r="L631" s="66"/>
      <c r="M631" s="66"/>
      <c r="N631" s="66"/>
    </row>
    <row r="632" spans="1:14" x14ac:dyDescent="0.2">
      <c r="A632" s="84"/>
      <c r="B632" s="84"/>
      <c r="C632" s="60"/>
      <c r="D632" s="66"/>
      <c r="E632" s="66"/>
      <c r="F632" s="66"/>
      <c r="G632" s="66"/>
      <c r="H632" s="66"/>
      <c r="I632" s="66"/>
      <c r="J632" s="66"/>
      <c r="K632" s="66"/>
      <c r="L632" s="66"/>
      <c r="M632" s="66"/>
      <c r="N632" s="66"/>
    </row>
    <row r="633" spans="1:14" x14ac:dyDescent="0.2">
      <c r="A633" s="84"/>
      <c r="B633" s="84"/>
      <c r="C633" s="60"/>
      <c r="D633" s="66"/>
      <c r="E633" s="66"/>
      <c r="F633" s="66"/>
      <c r="G633" s="66"/>
      <c r="H633" s="66"/>
      <c r="I633" s="66"/>
      <c r="J633" s="66"/>
      <c r="K633" s="66"/>
      <c r="L633" s="66"/>
      <c r="M633" s="66"/>
      <c r="N633" s="66"/>
    </row>
    <row r="634" spans="1:14" x14ac:dyDescent="0.2">
      <c r="A634" s="84"/>
      <c r="B634" s="84"/>
      <c r="C634" s="60"/>
      <c r="D634" s="66"/>
      <c r="E634" s="66"/>
      <c r="F634" s="66"/>
      <c r="G634" s="66"/>
      <c r="H634" s="66"/>
      <c r="I634" s="66"/>
      <c r="J634" s="66"/>
      <c r="K634" s="66"/>
      <c r="L634" s="66"/>
      <c r="M634" s="66"/>
      <c r="N634" s="66"/>
    </row>
    <row r="635" spans="1:14" x14ac:dyDescent="0.2">
      <c r="A635" s="84"/>
      <c r="B635" s="84"/>
      <c r="C635" s="60"/>
      <c r="D635" s="66"/>
      <c r="E635" s="66"/>
      <c r="F635" s="66"/>
      <c r="G635" s="66"/>
      <c r="H635" s="66"/>
      <c r="I635" s="66"/>
      <c r="J635" s="66"/>
      <c r="K635" s="66"/>
      <c r="L635" s="66"/>
      <c r="M635" s="66"/>
      <c r="N635" s="66"/>
    </row>
    <row r="636" spans="1:14" x14ac:dyDescent="0.2">
      <c r="A636" s="84"/>
      <c r="B636" s="84"/>
      <c r="C636" s="60"/>
      <c r="D636" s="66"/>
      <c r="E636" s="66"/>
      <c r="F636" s="66"/>
      <c r="G636" s="66"/>
      <c r="H636" s="66"/>
      <c r="I636" s="66"/>
      <c r="J636" s="66"/>
      <c r="K636" s="66"/>
      <c r="L636" s="66"/>
      <c r="M636" s="66"/>
      <c r="N636" s="66"/>
    </row>
    <row r="637" spans="1:14" x14ac:dyDescent="0.2">
      <c r="A637" s="84"/>
      <c r="B637" s="84"/>
      <c r="C637" s="60"/>
      <c r="D637" s="66"/>
      <c r="E637" s="66"/>
      <c r="F637" s="66"/>
      <c r="G637" s="66"/>
      <c r="H637" s="66"/>
      <c r="I637" s="66"/>
      <c r="J637" s="66"/>
      <c r="K637" s="66"/>
      <c r="L637" s="66"/>
      <c r="M637" s="66"/>
      <c r="N637" s="66"/>
    </row>
    <row r="638" spans="1:14" x14ac:dyDescent="0.2">
      <c r="A638" s="84"/>
      <c r="B638" s="84"/>
      <c r="C638" s="60"/>
      <c r="D638" s="66"/>
      <c r="E638" s="66"/>
      <c r="F638" s="66"/>
      <c r="G638" s="66"/>
      <c r="H638" s="66"/>
      <c r="I638" s="66"/>
      <c r="J638" s="66"/>
      <c r="K638" s="66"/>
      <c r="L638" s="66"/>
      <c r="M638" s="66"/>
      <c r="N638" s="66"/>
    </row>
    <row r="639" spans="1:14" x14ac:dyDescent="0.2">
      <c r="A639" s="84"/>
      <c r="B639" s="84"/>
      <c r="C639" s="60"/>
      <c r="D639" s="66"/>
      <c r="E639" s="66"/>
      <c r="F639" s="66"/>
      <c r="G639" s="66"/>
      <c r="H639" s="66"/>
      <c r="I639" s="66"/>
      <c r="J639" s="66"/>
      <c r="K639" s="66"/>
      <c r="L639" s="66"/>
      <c r="M639" s="66"/>
      <c r="N639" s="66"/>
    </row>
    <row r="640" spans="1:14" x14ac:dyDescent="0.2">
      <c r="A640" s="84"/>
      <c r="B640" s="84"/>
      <c r="C640" s="60"/>
      <c r="D640" s="66"/>
      <c r="E640" s="66"/>
      <c r="F640" s="66"/>
      <c r="G640" s="66"/>
      <c r="H640" s="66"/>
      <c r="I640" s="66"/>
      <c r="J640" s="66"/>
      <c r="K640" s="66"/>
      <c r="L640" s="66"/>
      <c r="M640" s="66"/>
      <c r="N640" s="66"/>
    </row>
    <row r="641" spans="1:14" x14ac:dyDescent="0.2">
      <c r="A641" s="84"/>
      <c r="B641" s="84"/>
      <c r="C641" s="60"/>
      <c r="D641" s="66"/>
      <c r="E641" s="66"/>
      <c r="F641" s="66"/>
      <c r="G641" s="66"/>
      <c r="H641" s="66"/>
      <c r="I641" s="66"/>
      <c r="J641" s="66"/>
      <c r="K641" s="66"/>
      <c r="L641" s="66"/>
      <c r="M641" s="66"/>
      <c r="N641" s="66"/>
    </row>
    <row r="642" spans="1:14" x14ac:dyDescent="0.2">
      <c r="A642" s="84"/>
      <c r="B642" s="84"/>
      <c r="C642" s="60"/>
      <c r="D642" s="66"/>
      <c r="E642" s="66"/>
      <c r="F642" s="66"/>
      <c r="G642" s="66"/>
      <c r="H642" s="66"/>
      <c r="I642" s="66"/>
      <c r="J642" s="66"/>
      <c r="K642" s="66"/>
      <c r="L642" s="66"/>
      <c r="M642" s="66"/>
      <c r="N642" s="66"/>
    </row>
    <row r="643" spans="1:14" x14ac:dyDescent="0.2">
      <c r="A643" s="84"/>
      <c r="B643" s="84"/>
      <c r="C643" s="60"/>
      <c r="D643" s="66"/>
      <c r="E643" s="66"/>
      <c r="F643" s="66"/>
      <c r="G643" s="66"/>
      <c r="H643" s="66"/>
      <c r="I643" s="66"/>
      <c r="J643" s="66"/>
      <c r="K643" s="66"/>
      <c r="L643" s="66"/>
      <c r="M643" s="66"/>
      <c r="N643" s="66"/>
    </row>
    <row r="644" spans="1:14" x14ac:dyDescent="0.2">
      <c r="A644" s="84"/>
      <c r="B644" s="84"/>
      <c r="C644" s="60"/>
      <c r="D644" s="66"/>
      <c r="E644" s="66"/>
      <c r="F644" s="66"/>
      <c r="G644" s="66"/>
      <c r="H644" s="66"/>
      <c r="I644" s="66"/>
      <c r="J644" s="66"/>
      <c r="K644" s="66"/>
      <c r="L644" s="66"/>
      <c r="M644" s="66"/>
      <c r="N644" s="66"/>
    </row>
    <row r="645" spans="1:14" x14ac:dyDescent="0.2">
      <c r="A645" s="84"/>
      <c r="B645" s="84"/>
      <c r="C645" s="60"/>
      <c r="D645" s="66"/>
      <c r="E645" s="66"/>
      <c r="F645" s="66"/>
      <c r="G645" s="66"/>
      <c r="H645" s="66"/>
      <c r="I645" s="66"/>
      <c r="J645" s="66"/>
      <c r="K645" s="66"/>
      <c r="L645" s="66"/>
      <c r="M645" s="66"/>
      <c r="N645" s="66"/>
    </row>
    <row r="646" spans="1:14" x14ac:dyDescent="0.2">
      <c r="A646" s="84"/>
      <c r="B646" s="84"/>
      <c r="C646" s="60"/>
      <c r="D646" s="66"/>
      <c r="E646" s="66"/>
      <c r="F646" s="66"/>
      <c r="G646" s="66"/>
      <c r="H646" s="66"/>
      <c r="I646" s="66"/>
      <c r="J646" s="66"/>
      <c r="K646" s="66"/>
      <c r="L646" s="66"/>
      <c r="M646" s="66"/>
      <c r="N646" s="66"/>
    </row>
    <row r="647" spans="1:14" x14ac:dyDescent="0.2">
      <c r="A647" s="84"/>
      <c r="B647" s="84"/>
      <c r="C647" s="60"/>
      <c r="D647" s="66"/>
      <c r="E647" s="66"/>
      <c r="F647" s="66"/>
      <c r="G647" s="66"/>
      <c r="H647" s="66"/>
      <c r="I647" s="66"/>
      <c r="J647" s="66"/>
      <c r="K647" s="66"/>
      <c r="L647" s="66"/>
      <c r="M647" s="66"/>
      <c r="N647" s="66"/>
    </row>
    <row r="648" spans="1:14" x14ac:dyDescent="0.2">
      <c r="A648" s="84"/>
      <c r="B648" s="84"/>
      <c r="C648" s="60"/>
      <c r="D648" s="66"/>
      <c r="E648" s="66"/>
      <c r="F648" s="66"/>
      <c r="G648" s="66"/>
      <c r="H648" s="66"/>
      <c r="I648" s="66"/>
      <c r="J648" s="66"/>
      <c r="K648" s="66"/>
      <c r="L648" s="66"/>
      <c r="M648" s="66"/>
      <c r="N648" s="66"/>
    </row>
    <row r="649" spans="1:14" x14ac:dyDescent="0.2">
      <c r="A649" s="84"/>
      <c r="B649" s="84"/>
      <c r="C649" s="60"/>
      <c r="D649" s="66"/>
      <c r="E649" s="66"/>
      <c r="F649" s="66"/>
      <c r="G649" s="66"/>
      <c r="H649" s="66"/>
      <c r="I649" s="66"/>
      <c r="J649" s="66"/>
      <c r="K649" s="66"/>
      <c r="L649" s="66"/>
      <c r="M649" s="66"/>
      <c r="N649" s="66"/>
    </row>
    <row r="650" spans="1:14" x14ac:dyDescent="0.2">
      <c r="A650" s="84"/>
      <c r="B650" s="84"/>
      <c r="C650" s="60"/>
      <c r="D650" s="66"/>
      <c r="E650" s="66"/>
      <c r="F650" s="66"/>
      <c r="G650" s="66"/>
      <c r="H650" s="66"/>
      <c r="I650" s="66"/>
      <c r="J650" s="66"/>
      <c r="K650" s="66"/>
      <c r="L650" s="66"/>
      <c r="M650" s="66"/>
      <c r="N650" s="66"/>
    </row>
    <row r="651" spans="1:14" x14ac:dyDescent="0.2">
      <c r="A651" s="84"/>
      <c r="B651" s="84"/>
      <c r="C651" s="60"/>
      <c r="D651" s="66"/>
      <c r="E651" s="66"/>
      <c r="F651" s="66"/>
      <c r="G651" s="66"/>
      <c r="H651" s="66"/>
      <c r="I651" s="66"/>
      <c r="J651" s="66"/>
      <c r="K651" s="66"/>
      <c r="L651" s="66"/>
      <c r="M651" s="66"/>
      <c r="N651" s="66"/>
    </row>
    <row r="652" spans="1:14" x14ac:dyDescent="0.2">
      <c r="A652" s="84"/>
      <c r="B652" s="84"/>
      <c r="C652" s="60"/>
      <c r="D652" s="66"/>
      <c r="E652" s="66"/>
      <c r="F652" s="66"/>
      <c r="G652" s="66"/>
      <c r="H652" s="66"/>
      <c r="I652" s="66"/>
      <c r="J652" s="66"/>
      <c r="K652" s="66"/>
      <c r="L652" s="66"/>
      <c r="M652" s="66"/>
      <c r="N652" s="66"/>
    </row>
    <row r="653" spans="1:14" x14ac:dyDescent="0.2">
      <c r="A653" s="84"/>
      <c r="B653" s="84"/>
      <c r="C653" s="60"/>
      <c r="D653" s="66"/>
      <c r="E653" s="66"/>
      <c r="F653" s="66"/>
      <c r="G653" s="66"/>
      <c r="H653" s="66"/>
      <c r="I653" s="66"/>
      <c r="J653" s="66"/>
      <c r="K653" s="66"/>
      <c r="L653" s="66"/>
      <c r="M653" s="66"/>
      <c r="N653" s="66"/>
    </row>
    <row r="654" spans="1:14" x14ac:dyDescent="0.2">
      <c r="A654" s="84"/>
      <c r="B654" s="84"/>
      <c r="C654" s="60"/>
      <c r="D654" s="66"/>
      <c r="E654" s="66"/>
      <c r="F654" s="66"/>
      <c r="G654" s="66"/>
      <c r="H654" s="66"/>
      <c r="I654" s="66"/>
      <c r="J654" s="66"/>
      <c r="K654" s="66"/>
      <c r="L654" s="66"/>
      <c r="M654" s="66"/>
      <c r="N654" s="66"/>
    </row>
    <row r="655" spans="1:14" x14ac:dyDescent="0.2">
      <c r="A655" s="84"/>
      <c r="B655" s="84"/>
      <c r="C655" s="60"/>
      <c r="D655" s="66"/>
      <c r="E655" s="66"/>
      <c r="F655" s="66"/>
      <c r="G655" s="66"/>
      <c r="H655" s="66"/>
      <c r="I655" s="66"/>
      <c r="J655" s="66"/>
      <c r="K655" s="66"/>
      <c r="L655" s="66"/>
      <c r="M655" s="66"/>
      <c r="N655" s="66"/>
    </row>
    <row r="656" spans="1:14" x14ac:dyDescent="0.2">
      <c r="A656" s="84"/>
      <c r="B656" s="84"/>
      <c r="C656" s="60"/>
      <c r="D656" s="66"/>
      <c r="E656" s="66"/>
      <c r="F656" s="66"/>
      <c r="G656" s="66"/>
      <c r="H656" s="66"/>
      <c r="I656" s="66"/>
      <c r="J656" s="66"/>
      <c r="K656" s="66"/>
      <c r="L656" s="66"/>
      <c r="M656" s="66"/>
      <c r="N656" s="66"/>
    </row>
    <row r="657" spans="1:14" x14ac:dyDescent="0.2">
      <c r="A657" s="84"/>
      <c r="B657" s="84"/>
      <c r="C657" s="60"/>
      <c r="D657" s="66"/>
      <c r="E657" s="66"/>
      <c r="F657" s="66"/>
      <c r="G657" s="66"/>
      <c r="H657" s="66"/>
      <c r="I657" s="66"/>
      <c r="J657" s="66"/>
      <c r="K657" s="66"/>
      <c r="L657" s="66"/>
      <c r="M657" s="66"/>
      <c r="N657" s="66"/>
    </row>
    <row r="658" spans="1:14" x14ac:dyDescent="0.2">
      <c r="A658" s="84"/>
      <c r="B658" s="84"/>
      <c r="C658" s="60"/>
      <c r="D658" s="66"/>
      <c r="E658" s="66"/>
      <c r="F658" s="66"/>
      <c r="G658" s="66"/>
      <c r="H658" s="66"/>
      <c r="I658" s="66"/>
      <c r="J658" s="66"/>
      <c r="K658" s="66"/>
      <c r="L658" s="66"/>
      <c r="M658" s="66"/>
      <c r="N658" s="66"/>
    </row>
    <row r="659" spans="1:14" x14ac:dyDescent="0.2">
      <c r="A659" s="84"/>
      <c r="B659" s="84"/>
      <c r="C659" s="60"/>
      <c r="D659" s="66"/>
      <c r="E659" s="66"/>
      <c r="F659" s="66"/>
      <c r="G659" s="66"/>
      <c r="H659" s="66"/>
      <c r="I659" s="66"/>
      <c r="J659" s="66"/>
      <c r="K659" s="66"/>
      <c r="L659" s="66"/>
      <c r="M659" s="66"/>
      <c r="N659" s="66"/>
    </row>
    <row r="660" spans="1:14" x14ac:dyDescent="0.2">
      <c r="A660" s="84"/>
      <c r="B660" s="84"/>
      <c r="C660" s="60"/>
      <c r="D660" s="66"/>
      <c r="E660" s="66"/>
      <c r="F660" s="66"/>
      <c r="G660" s="66"/>
      <c r="H660" s="66"/>
      <c r="I660" s="66"/>
      <c r="J660" s="66"/>
      <c r="K660" s="66"/>
      <c r="L660" s="66"/>
      <c r="M660" s="66"/>
      <c r="N660" s="66"/>
    </row>
    <row r="661" spans="1:14" x14ac:dyDescent="0.2">
      <c r="A661" s="84"/>
      <c r="B661" s="84"/>
      <c r="C661" s="60"/>
      <c r="D661" s="66"/>
      <c r="E661" s="66"/>
      <c r="F661" s="66"/>
      <c r="G661" s="66"/>
      <c r="H661" s="66"/>
      <c r="I661" s="66"/>
      <c r="J661" s="66"/>
      <c r="K661" s="66"/>
      <c r="L661" s="66"/>
      <c r="M661" s="66"/>
      <c r="N661" s="66"/>
    </row>
    <row r="662" spans="1:14" x14ac:dyDescent="0.2">
      <c r="A662" s="84"/>
      <c r="B662" s="84"/>
      <c r="C662" s="60"/>
      <c r="D662" s="66"/>
      <c r="E662" s="66"/>
      <c r="F662" s="66"/>
      <c r="G662" s="66"/>
      <c r="H662" s="66"/>
      <c r="I662" s="66"/>
      <c r="J662" s="66"/>
      <c r="K662" s="66"/>
      <c r="L662" s="66"/>
      <c r="M662" s="66"/>
      <c r="N662" s="66"/>
    </row>
    <row r="663" spans="1:14" x14ac:dyDescent="0.2">
      <c r="A663" s="84"/>
      <c r="B663" s="84"/>
      <c r="C663" s="60"/>
      <c r="D663" s="66"/>
      <c r="E663" s="66"/>
      <c r="F663" s="66"/>
      <c r="G663" s="66"/>
      <c r="H663" s="66"/>
      <c r="I663" s="66"/>
      <c r="J663" s="66"/>
      <c r="K663" s="66"/>
      <c r="L663" s="66"/>
      <c r="M663" s="66"/>
      <c r="N663" s="66"/>
    </row>
    <row r="664" spans="1:14" x14ac:dyDescent="0.2">
      <c r="A664" s="84"/>
      <c r="B664" s="84"/>
      <c r="C664" s="60"/>
      <c r="D664" s="66"/>
      <c r="E664" s="66"/>
      <c r="F664" s="66"/>
      <c r="G664" s="66"/>
      <c r="H664" s="66"/>
      <c r="I664" s="66"/>
      <c r="J664" s="66"/>
      <c r="K664" s="66"/>
      <c r="L664" s="66"/>
      <c r="M664" s="66"/>
      <c r="N664" s="66"/>
    </row>
    <row r="665" spans="1:14" x14ac:dyDescent="0.2">
      <c r="A665" s="84"/>
      <c r="B665" s="84"/>
      <c r="C665" s="60"/>
      <c r="D665" s="66"/>
      <c r="E665" s="66"/>
      <c r="F665" s="66"/>
      <c r="G665" s="66"/>
      <c r="H665" s="66"/>
      <c r="I665" s="66"/>
      <c r="J665" s="66"/>
      <c r="K665" s="66"/>
      <c r="L665" s="66"/>
      <c r="M665" s="66"/>
      <c r="N665" s="66"/>
    </row>
    <row r="666" spans="1:14" x14ac:dyDescent="0.2">
      <c r="A666" s="84"/>
      <c r="B666" s="84"/>
      <c r="C666" s="60"/>
      <c r="D666" s="66"/>
      <c r="E666" s="66"/>
      <c r="F666" s="66"/>
      <c r="G666" s="66"/>
      <c r="H666" s="66"/>
      <c r="I666" s="66"/>
      <c r="J666" s="66"/>
      <c r="K666" s="66"/>
      <c r="L666" s="66"/>
      <c r="M666" s="66"/>
      <c r="N666" s="66"/>
    </row>
    <row r="667" spans="1:14" x14ac:dyDescent="0.2">
      <c r="A667" s="84"/>
      <c r="B667" s="84"/>
      <c r="C667" s="60"/>
      <c r="D667" s="66"/>
      <c r="E667" s="66"/>
      <c r="F667" s="66"/>
      <c r="G667" s="66"/>
      <c r="H667" s="66"/>
      <c r="I667" s="66"/>
      <c r="J667" s="66"/>
      <c r="K667" s="66"/>
      <c r="L667" s="66"/>
      <c r="M667" s="66"/>
      <c r="N667" s="66"/>
    </row>
    <row r="668" spans="1:14" x14ac:dyDescent="0.2">
      <c r="A668" s="84"/>
      <c r="B668" s="84"/>
      <c r="C668" s="60"/>
      <c r="D668" s="66"/>
      <c r="E668" s="66"/>
      <c r="F668" s="66"/>
      <c r="G668" s="66"/>
      <c r="H668" s="66"/>
      <c r="I668" s="66"/>
      <c r="J668" s="66"/>
      <c r="K668" s="66"/>
      <c r="L668" s="66"/>
      <c r="M668" s="66"/>
      <c r="N668" s="66"/>
    </row>
    <row r="669" spans="1:14" x14ac:dyDescent="0.2">
      <c r="A669" s="84"/>
      <c r="B669" s="84"/>
      <c r="C669" s="60"/>
      <c r="D669" s="66"/>
      <c r="E669" s="66"/>
      <c r="F669" s="66"/>
      <c r="G669" s="66"/>
      <c r="H669" s="66"/>
      <c r="I669" s="66"/>
      <c r="J669" s="66"/>
      <c r="K669" s="66"/>
      <c r="L669" s="66"/>
      <c r="M669" s="66"/>
      <c r="N669" s="66"/>
    </row>
    <row r="670" spans="1:14" x14ac:dyDescent="0.2">
      <c r="A670" s="84"/>
      <c r="B670" s="84"/>
      <c r="C670" s="60"/>
      <c r="D670" s="66"/>
      <c r="E670" s="66"/>
      <c r="F670" s="66"/>
      <c r="G670" s="66"/>
      <c r="H670" s="66"/>
      <c r="I670" s="66"/>
      <c r="J670" s="66"/>
      <c r="K670" s="66"/>
      <c r="L670" s="66"/>
      <c r="M670" s="66"/>
      <c r="N670" s="66"/>
    </row>
    <row r="671" spans="1:14" x14ac:dyDescent="0.2">
      <c r="A671" s="84"/>
      <c r="B671" s="84"/>
      <c r="C671" s="60"/>
      <c r="D671" s="66"/>
      <c r="E671" s="66"/>
      <c r="F671" s="66"/>
      <c r="G671" s="66"/>
      <c r="H671" s="66"/>
      <c r="I671" s="66"/>
      <c r="J671" s="66"/>
      <c r="K671" s="66"/>
      <c r="L671" s="66"/>
      <c r="M671" s="66"/>
      <c r="N671" s="66"/>
    </row>
    <row r="672" spans="1:14" x14ac:dyDescent="0.2">
      <c r="A672" s="84"/>
      <c r="B672" s="84"/>
      <c r="C672" s="60"/>
      <c r="D672" s="66"/>
      <c r="E672" s="66"/>
      <c r="F672" s="66"/>
      <c r="G672" s="66"/>
      <c r="H672" s="66"/>
      <c r="I672" s="66"/>
      <c r="J672" s="66"/>
      <c r="K672" s="66"/>
      <c r="L672" s="66"/>
      <c r="M672" s="66"/>
      <c r="N672" s="66"/>
    </row>
    <row r="673" spans="1:14" x14ac:dyDescent="0.2">
      <c r="A673" s="84"/>
      <c r="B673" s="84"/>
      <c r="C673" s="60"/>
      <c r="D673" s="66"/>
      <c r="E673" s="66"/>
      <c r="F673" s="66"/>
      <c r="G673" s="66"/>
      <c r="H673" s="66"/>
      <c r="I673" s="66"/>
      <c r="J673" s="66"/>
      <c r="K673" s="66"/>
      <c r="L673" s="66"/>
      <c r="M673" s="66"/>
      <c r="N673" s="66"/>
    </row>
    <row r="674" spans="1:14" x14ac:dyDescent="0.2">
      <c r="A674" s="84"/>
      <c r="B674" s="84"/>
      <c r="C674" s="60"/>
      <c r="D674" s="66"/>
      <c r="E674" s="66"/>
      <c r="F674" s="66"/>
      <c r="G674" s="66"/>
      <c r="H674" s="66"/>
      <c r="I674" s="66"/>
      <c r="J674" s="66"/>
      <c r="K674" s="66"/>
      <c r="L674" s="66"/>
      <c r="M674" s="66"/>
      <c r="N674" s="66"/>
    </row>
    <row r="675" spans="1:14" x14ac:dyDescent="0.2">
      <c r="A675" s="84"/>
      <c r="B675" s="84"/>
      <c r="C675" s="60"/>
      <c r="D675" s="66"/>
      <c r="E675" s="66"/>
      <c r="F675" s="66"/>
      <c r="G675" s="66"/>
      <c r="H675" s="66"/>
      <c r="I675" s="66"/>
      <c r="J675" s="66"/>
      <c r="K675" s="66"/>
      <c r="L675" s="66"/>
      <c r="M675" s="66"/>
      <c r="N675" s="66"/>
    </row>
    <row r="676" spans="1:14" x14ac:dyDescent="0.2">
      <c r="A676" s="84"/>
      <c r="B676" s="84"/>
      <c r="C676" s="60"/>
      <c r="D676" s="66"/>
      <c r="E676" s="66"/>
      <c r="F676" s="66"/>
      <c r="G676" s="66"/>
      <c r="H676" s="66"/>
      <c r="I676" s="66"/>
      <c r="J676" s="66"/>
      <c r="K676" s="66"/>
      <c r="L676" s="66"/>
      <c r="M676" s="66"/>
      <c r="N676" s="66"/>
    </row>
    <row r="677" spans="1:14" x14ac:dyDescent="0.2">
      <c r="A677" s="84"/>
      <c r="B677" s="84"/>
      <c r="C677" s="60"/>
      <c r="D677" s="66"/>
      <c r="E677" s="66"/>
      <c r="F677" s="66"/>
      <c r="G677" s="66"/>
      <c r="H677" s="66"/>
      <c r="I677" s="66"/>
      <c r="J677" s="66"/>
      <c r="K677" s="66"/>
      <c r="L677" s="66"/>
      <c r="M677" s="66"/>
      <c r="N677" s="66"/>
    </row>
    <row r="678" spans="1:14" x14ac:dyDescent="0.2">
      <c r="A678" s="84"/>
      <c r="B678" s="84"/>
      <c r="C678" s="60"/>
      <c r="D678" s="66"/>
      <c r="E678" s="66"/>
      <c r="F678" s="66"/>
      <c r="G678" s="66"/>
      <c r="H678" s="66"/>
      <c r="I678" s="66"/>
      <c r="J678" s="66"/>
      <c r="K678" s="66"/>
      <c r="L678" s="66"/>
      <c r="M678" s="66"/>
      <c r="N678" s="66"/>
    </row>
    <row r="679" spans="1:14" x14ac:dyDescent="0.2">
      <c r="A679" s="84"/>
      <c r="B679" s="84"/>
      <c r="C679" s="60"/>
      <c r="D679" s="66"/>
      <c r="E679" s="66"/>
      <c r="F679" s="66"/>
      <c r="G679" s="66"/>
      <c r="H679" s="66"/>
      <c r="I679" s="66"/>
      <c r="J679" s="66"/>
      <c r="K679" s="66"/>
      <c r="L679" s="66"/>
      <c r="M679" s="66"/>
      <c r="N679" s="66"/>
    </row>
    <row r="680" spans="1:14" x14ac:dyDescent="0.2">
      <c r="A680" s="84"/>
      <c r="B680" s="84"/>
      <c r="C680" s="60"/>
      <c r="D680" s="66"/>
      <c r="E680" s="66"/>
      <c r="F680" s="66"/>
      <c r="G680" s="66"/>
      <c r="H680" s="66"/>
      <c r="I680" s="66"/>
      <c r="J680" s="66"/>
      <c r="K680" s="66"/>
      <c r="L680" s="66"/>
      <c r="M680" s="66"/>
      <c r="N680" s="66"/>
    </row>
    <row r="681" spans="1:14" x14ac:dyDescent="0.2">
      <c r="A681" s="84"/>
      <c r="B681" s="84"/>
      <c r="C681" s="60"/>
      <c r="D681" s="66"/>
      <c r="E681" s="66"/>
      <c r="F681" s="66"/>
      <c r="G681" s="66"/>
      <c r="H681" s="66"/>
      <c r="I681" s="66"/>
      <c r="J681" s="66"/>
      <c r="K681" s="66"/>
      <c r="L681" s="66"/>
      <c r="M681" s="66"/>
      <c r="N681" s="66"/>
    </row>
    <row r="682" spans="1:14" x14ac:dyDescent="0.2">
      <c r="A682" s="84"/>
      <c r="B682" s="84"/>
      <c r="C682" s="60"/>
      <c r="D682" s="66"/>
      <c r="E682" s="66"/>
      <c r="F682" s="66"/>
      <c r="G682" s="66"/>
      <c r="H682" s="66"/>
      <c r="I682" s="66"/>
      <c r="J682" s="66"/>
      <c r="K682" s="66"/>
      <c r="L682" s="66"/>
      <c r="M682" s="66"/>
      <c r="N682" s="66"/>
    </row>
    <row r="683" spans="1:14" x14ac:dyDescent="0.2">
      <c r="A683" s="84"/>
      <c r="B683" s="84"/>
      <c r="C683" s="60"/>
      <c r="D683" s="66"/>
      <c r="E683" s="66"/>
      <c r="F683" s="66"/>
      <c r="G683" s="66"/>
      <c r="H683" s="66"/>
      <c r="I683" s="66"/>
      <c r="J683" s="66"/>
      <c r="K683" s="66"/>
      <c r="L683" s="66"/>
      <c r="M683" s="66"/>
      <c r="N683" s="66"/>
    </row>
    <row r="684" spans="1:14" x14ac:dyDescent="0.2">
      <c r="A684" s="84"/>
      <c r="B684" s="84"/>
      <c r="C684" s="60"/>
      <c r="D684" s="66"/>
      <c r="E684" s="66"/>
      <c r="F684" s="66"/>
      <c r="G684" s="66"/>
      <c r="H684" s="66"/>
      <c r="I684" s="66"/>
      <c r="J684" s="66"/>
      <c r="K684" s="66"/>
      <c r="L684" s="66"/>
      <c r="M684" s="66"/>
      <c r="N684" s="66"/>
    </row>
    <row r="685" spans="1:14" x14ac:dyDescent="0.2">
      <c r="A685" s="84"/>
      <c r="B685" s="84"/>
      <c r="C685" s="60"/>
      <c r="D685" s="66"/>
      <c r="E685" s="66"/>
      <c r="F685" s="66"/>
      <c r="G685" s="66"/>
      <c r="H685" s="66"/>
      <c r="I685" s="66"/>
      <c r="J685" s="66"/>
      <c r="K685" s="66"/>
      <c r="L685" s="66"/>
      <c r="M685" s="66"/>
      <c r="N685" s="66"/>
    </row>
    <row r="686" spans="1:14" x14ac:dyDescent="0.2">
      <c r="A686" s="84"/>
      <c r="B686" s="84"/>
      <c r="C686" s="60"/>
      <c r="D686" s="66"/>
      <c r="E686" s="66"/>
      <c r="F686" s="66"/>
      <c r="G686" s="66"/>
      <c r="H686" s="66"/>
      <c r="I686" s="66"/>
      <c r="J686" s="66"/>
      <c r="K686" s="66"/>
      <c r="L686" s="66"/>
      <c r="M686" s="66"/>
      <c r="N686" s="66"/>
    </row>
    <row r="687" spans="1:14" x14ac:dyDescent="0.2">
      <c r="A687" s="84"/>
      <c r="B687" s="84"/>
      <c r="C687" s="60"/>
      <c r="D687" s="66"/>
      <c r="E687" s="66"/>
      <c r="F687" s="66"/>
      <c r="G687" s="66"/>
      <c r="H687" s="66"/>
      <c r="I687" s="66"/>
      <c r="J687" s="66"/>
      <c r="K687" s="66"/>
      <c r="L687" s="66"/>
      <c r="M687" s="66"/>
      <c r="N687" s="66"/>
    </row>
    <row r="688" spans="1:14" x14ac:dyDescent="0.2">
      <c r="A688" s="84"/>
      <c r="B688" s="84"/>
      <c r="C688" s="60"/>
      <c r="D688" s="66"/>
      <c r="E688" s="66"/>
      <c r="F688" s="66"/>
      <c r="G688" s="66"/>
      <c r="H688" s="66"/>
      <c r="I688" s="66"/>
      <c r="J688" s="66"/>
      <c r="K688" s="66"/>
      <c r="L688" s="66"/>
      <c r="M688" s="66"/>
      <c r="N688" s="66"/>
    </row>
    <row r="689" spans="1:14" x14ac:dyDescent="0.2">
      <c r="A689" s="84"/>
      <c r="B689" s="84"/>
      <c r="C689" s="60"/>
      <c r="D689" s="66"/>
      <c r="E689" s="66"/>
      <c r="F689" s="66"/>
      <c r="G689" s="66"/>
      <c r="H689" s="66"/>
      <c r="I689" s="66"/>
      <c r="J689" s="66"/>
      <c r="K689" s="66"/>
      <c r="L689" s="66"/>
      <c r="M689" s="66"/>
      <c r="N689" s="66"/>
    </row>
    <row r="690" spans="1:14" x14ac:dyDescent="0.2">
      <c r="A690" s="84"/>
      <c r="B690" s="84"/>
      <c r="C690" s="60"/>
      <c r="D690" s="66"/>
      <c r="E690" s="66"/>
      <c r="F690" s="66"/>
      <c r="G690" s="66"/>
      <c r="H690" s="66"/>
      <c r="I690" s="66"/>
      <c r="J690" s="66"/>
      <c r="K690" s="66"/>
      <c r="L690" s="66"/>
      <c r="M690" s="66"/>
      <c r="N690" s="66"/>
    </row>
    <row r="691" spans="1:14" x14ac:dyDescent="0.2">
      <c r="A691" s="84"/>
      <c r="B691" s="84"/>
      <c r="C691" s="60"/>
      <c r="D691" s="66"/>
      <c r="E691" s="66"/>
      <c r="F691" s="66"/>
      <c r="G691" s="66"/>
      <c r="H691" s="66"/>
      <c r="I691" s="66"/>
      <c r="J691" s="66"/>
      <c r="K691" s="66"/>
      <c r="L691" s="66"/>
      <c r="M691" s="66"/>
      <c r="N691" s="66"/>
    </row>
    <row r="692" spans="1:14" x14ac:dyDescent="0.2">
      <c r="A692" s="84"/>
      <c r="B692" s="84"/>
      <c r="C692" s="60"/>
      <c r="D692" s="66"/>
      <c r="E692" s="66"/>
      <c r="F692" s="66"/>
      <c r="G692" s="66"/>
      <c r="H692" s="66"/>
      <c r="I692" s="66"/>
      <c r="J692" s="66"/>
      <c r="K692" s="66"/>
      <c r="L692" s="66"/>
      <c r="M692" s="66"/>
      <c r="N692" s="66"/>
    </row>
    <row r="693" spans="1:14" x14ac:dyDescent="0.2">
      <c r="A693" s="84"/>
      <c r="B693" s="84"/>
      <c r="C693" s="60"/>
      <c r="D693" s="66"/>
      <c r="E693" s="66"/>
      <c r="F693" s="66"/>
      <c r="G693" s="66"/>
      <c r="H693" s="66"/>
      <c r="I693" s="66"/>
      <c r="J693" s="66"/>
      <c r="K693" s="66"/>
      <c r="L693" s="66"/>
      <c r="M693" s="66"/>
      <c r="N693" s="66"/>
    </row>
    <row r="694" spans="1:14" x14ac:dyDescent="0.2">
      <c r="A694" s="84"/>
      <c r="B694" s="84"/>
      <c r="C694" s="60"/>
      <c r="D694" s="66"/>
      <c r="E694" s="66"/>
      <c r="F694" s="66"/>
      <c r="G694" s="66"/>
      <c r="H694" s="66"/>
      <c r="I694" s="66"/>
      <c r="J694" s="66"/>
      <c r="K694" s="66"/>
      <c r="L694" s="66"/>
      <c r="M694" s="66"/>
      <c r="N694" s="66"/>
    </row>
    <row r="695" spans="1:14" x14ac:dyDescent="0.2">
      <c r="A695" s="84"/>
      <c r="B695" s="84"/>
      <c r="C695" s="60"/>
      <c r="D695" s="66"/>
      <c r="E695" s="66"/>
      <c r="F695" s="66"/>
      <c r="G695" s="66"/>
      <c r="H695" s="66"/>
      <c r="I695" s="66"/>
      <c r="J695" s="66"/>
      <c r="K695" s="66"/>
      <c r="L695" s="66"/>
      <c r="M695" s="66"/>
      <c r="N695" s="66"/>
    </row>
    <row r="696" spans="1:14" x14ac:dyDescent="0.2">
      <c r="A696" s="84"/>
      <c r="B696" s="84"/>
      <c r="C696" s="60"/>
      <c r="D696" s="66"/>
      <c r="E696" s="66"/>
      <c r="F696" s="66"/>
      <c r="G696" s="66"/>
      <c r="H696" s="66"/>
      <c r="I696" s="66"/>
      <c r="J696" s="66"/>
      <c r="K696" s="66"/>
      <c r="L696" s="66"/>
      <c r="M696" s="66"/>
      <c r="N696" s="66"/>
    </row>
    <row r="697" spans="1:14" x14ac:dyDescent="0.2">
      <c r="A697" s="84"/>
      <c r="B697" s="84"/>
      <c r="C697" s="60"/>
      <c r="D697" s="66"/>
      <c r="E697" s="66"/>
      <c r="F697" s="66"/>
      <c r="G697" s="66"/>
      <c r="H697" s="66"/>
      <c r="I697" s="66"/>
      <c r="J697" s="66"/>
      <c r="K697" s="66"/>
      <c r="L697" s="66"/>
      <c r="M697" s="66"/>
      <c r="N697" s="66"/>
    </row>
    <row r="698" spans="1:14" x14ac:dyDescent="0.2">
      <c r="A698" s="84"/>
      <c r="B698" s="84"/>
      <c r="C698" s="60"/>
      <c r="D698" s="66"/>
      <c r="E698" s="66"/>
      <c r="F698" s="66"/>
      <c r="G698" s="66"/>
      <c r="H698" s="66"/>
      <c r="I698" s="66"/>
      <c r="J698" s="66"/>
      <c r="K698" s="66"/>
      <c r="L698" s="66"/>
      <c r="M698" s="66"/>
      <c r="N698" s="66"/>
    </row>
    <row r="699" spans="1:14" x14ac:dyDescent="0.2">
      <c r="A699" s="84"/>
      <c r="B699" s="84"/>
      <c r="C699" s="60"/>
      <c r="D699" s="66"/>
      <c r="E699" s="66"/>
      <c r="F699" s="66"/>
      <c r="G699" s="66"/>
      <c r="H699" s="66"/>
      <c r="I699" s="66"/>
      <c r="J699" s="66"/>
      <c r="K699" s="66"/>
      <c r="L699" s="66"/>
      <c r="M699" s="66"/>
      <c r="N699" s="66"/>
    </row>
    <row r="700" spans="1:14" x14ac:dyDescent="0.2">
      <c r="A700" s="84"/>
      <c r="B700" s="84"/>
      <c r="C700" s="60"/>
      <c r="D700" s="66"/>
      <c r="E700" s="66"/>
      <c r="F700" s="66"/>
      <c r="G700" s="66"/>
      <c r="H700" s="66"/>
      <c r="I700" s="66"/>
      <c r="J700" s="66"/>
      <c r="K700" s="66"/>
      <c r="L700" s="66"/>
      <c r="M700" s="66"/>
      <c r="N700" s="66"/>
    </row>
    <row r="701" spans="1:14" x14ac:dyDescent="0.2">
      <c r="A701" s="84"/>
      <c r="B701" s="84"/>
      <c r="C701" s="60"/>
      <c r="D701" s="66"/>
      <c r="E701" s="66"/>
      <c r="F701" s="66"/>
      <c r="G701" s="66"/>
      <c r="H701" s="66"/>
      <c r="I701" s="66"/>
      <c r="J701" s="66"/>
      <c r="K701" s="66"/>
      <c r="L701" s="66"/>
      <c r="M701" s="66"/>
      <c r="N701" s="66"/>
    </row>
    <row r="702" spans="1:14" x14ac:dyDescent="0.2">
      <c r="A702" s="84"/>
      <c r="B702" s="84"/>
      <c r="C702" s="60"/>
      <c r="D702" s="66"/>
      <c r="E702" s="66"/>
      <c r="F702" s="66"/>
      <c r="G702" s="66"/>
      <c r="H702" s="66"/>
      <c r="I702" s="66"/>
      <c r="J702" s="66"/>
      <c r="K702" s="66"/>
      <c r="L702" s="66"/>
      <c r="M702" s="66"/>
      <c r="N702" s="66"/>
    </row>
    <row r="703" spans="1:14" x14ac:dyDescent="0.2">
      <c r="A703" s="84"/>
      <c r="B703" s="84"/>
      <c r="C703" s="60"/>
      <c r="D703" s="66"/>
      <c r="E703" s="66"/>
      <c r="F703" s="66"/>
      <c r="G703" s="66"/>
      <c r="H703" s="66"/>
      <c r="I703" s="66"/>
      <c r="J703" s="66"/>
      <c r="K703" s="66"/>
      <c r="L703" s="66"/>
      <c r="M703" s="66"/>
      <c r="N703" s="66"/>
    </row>
    <row r="704" spans="1:14" x14ac:dyDescent="0.2">
      <c r="A704" s="84"/>
      <c r="B704" s="84"/>
      <c r="C704" s="60"/>
      <c r="D704" s="66"/>
      <c r="E704" s="66"/>
      <c r="F704" s="66"/>
      <c r="G704" s="66"/>
      <c r="H704" s="66"/>
      <c r="I704" s="66"/>
      <c r="J704" s="66"/>
      <c r="K704" s="66"/>
      <c r="L704" s="66"/>
      <c r="M704" s="66"/>
      <c r="N704" s="66"/>
    </row>
    <row r="705" spans="1:14" x14ac:dyDescent="0.2">
      <c r="A705" s="84"/>
      <c r="B705" s="84"/>
      <c r="C705" s="60"/>
      <c r="D705" s="66"/>
      <c r="E705" s="66"/>
      <c r="F705" s="66"/>
      <c r="G705" s="66"/>
      <c r="H705" s="66"/>
      <c r="I705" s="66"/>
      <c r="J705" s="66"/>
      <c r="K705" s="66"/>
      <c r="L705" s="66"/>
      <c r="M705" s="66"/>
      <c r="N705" s="66"/>
    </row>
    <row r="706" spans="1:14" x14ac:dyDescent="0.2">
      <c r="A706" s="84"/>
      <c r="B706" s="84"/>
      <c r="C706" s="60"/>
      <c r="D706" s="66"/>
      <c r="E706" s="66"/>
      <c r="F706" s="66"/>
      <c r="G706" s="66"/>
      <c r="H706" s="66"/>
      <c r="I706" s="66"/>
      <c r="J706" s="66"/>
      <c r="K706" s="66"/>
      <c r="L706" s="66"/>
      <c r="M706" s="66"/>
      <c r="N706" s="66"/>
    </row>
    <row r="707" spans="1:14" x14ac:dyDescent="0.2">
      <c r="A707" s="84"/>
      <c r="B707" s="84"/>
      <c r="C707" s="60"/>
      <c r="D707" s="66"/>
      <c r="E707" s="66"/>
      <c r="F707" s="66"/>
      <c r="G707" s="66"/>
      <c r="H707" s="66"/>
      <c r="I707" s="66"/>
      <c r="J707" s="66"/>
      <c r="K707" s="66"/>
      <c r="L707" s="66"/>
      <c r="M707" s="66"/>
      <c r="N707" s="66"/>
    </row>
    <row r="708" spans="1:14" x14ac:dyDescent="0.2">
      <c r="A708" s="84"/>
      <c r="B708" s="84"/>
      <c r="C708" s="60"/>
      <c r="D708" s="66"/>
      <c r="E708" s="66"/>
      <c r="F708" s="66"/>
      <c r="G708" s="66"/>
      <c r="H708" s="66"/>
      <c r="I708" s="66"/>
      <c r="J708" s="66"/>
      <c r="K708" s="66"/>
      <c r="L708" s="66"/>
      <c r="M708" s="66"/>
      <c r="N708" s="66"/>
    </row>
    <row r="709" spans="1:14" x14ac:dyDescent="0.2">
      <c r="A709" s="84"/>
      <c r="B709" s="84"/>
      <c r="C709" s="60"/>
      <c r="D709" s="66"/>
      <c r="E709" s="66"/>
      <c r="F709" s="66"/>
      <c r="G709" s="66"/>
      <c r="H709" s="66"/>
      <c r="I709" s="66"/>
      <c r="J709" s="66"/>
      <c r="K709" s="66"/>
      <c r="L709" s="66"/>
      <c r="M709" s="66"/>
      <c r="N709" s="66"/>
    </row>
    <row r="710" spans="1:14" x14ac:dyDescent="0.2">
      <c r="A710" s="84"/>
      <c r="B710" s="84"/>
      <c r="C710" s="60"/>
      <c r="D710" s="66"/>
      <c r="E710" s="66"/>
      <c r="F710" s="66"/>
      <c r="G710" s="66"/>
      <c r="H710" s="66"/>
      <c r="I710" s="66"/>
      <c r="J710" s="66"/>
      <c r="K710" s="66"/>
      <c r="L710" s="66"/>
      <c r="M710" s="66"/>
      <c r="N710" s="66"/>
    </row>
    <row r="711" spans="1:14" x14ac:dyDescent="0.2">
      <c r="A711" s="84"/>
      <c r="B711" s="84"/>
      <c r="C711" s="60"/>
      <c r="D711" s="66"/>
      <c r="E711" s="66"/>
      <c r="F711" s="66"/>
      <c r="G711" s="66"/>
      <c r="H711" s="66"/>
      <c r="I711" s="66"/>
      <c r="J711" s="66"/>
      <c r="K711" s="66"/>
      <c r="L711" s="66"/>
      <c r="M711" s="66"/>
      <c r="N711" s="66"/>
    </row>
    <row r="712" spans="1:14" x14ac:dyDescent="0.2">
      <c r="A712" s="84"/>
      <c r="B712" s="84"/>
      <c r="C712" s="60"/>
      <c r="D712" s="66"/>
      <c r="E712" s="66"/>
      <c r="F712" s="66"/>
      <c r="G712" s="66"/>
      <c r="H712" s="66"/>
      <c r="I712" s="66"/>
      <c r="J712" s="66"/>
      <c r="K712" s="66"/>
      <c r="L712" s="66"/>
      <c r="M712" s="66"/>
      <c r="N712" s="66"/>
    </row>
    <row r="713" spans="1:14" x14ac:dyDescent="0.2">
      <c r="A713" s="84"/>
      <c r="B713" s="84"/>
      <c r="C713" s="60"/>
      <c r="D713" s="66"/>
      <c r="E713" s="66"/>
      <c r="F713" s="66"/>
      <c r="G713" s="66"/>
      <c r="H713" s="66"/>
      <c r="I713" s="66"/>
      <c r="J713" s="66"/>
      <c r="K713" s="66"/>
      <c r="L713" s="66"/>
      <c r="M713" s="66"/>
      <c r="N713" s="66"/>
    </row>
    <row r="714" spans="1:14" x14ac:dyDescent="0.2">
      <c r="A714" s="84"/>
      <c r="B714" s="84"/>
      <c r="C714" s="60"/>
      <c r="D714" s="66"/>
      <c r="E714" s="66"/>
      <c r="F714" s="66"/>
      <c r="G714" s="66"/>
      <c r="H714" s="66"/>
      <c r="I714" s="66"/>
      <c r="J714" s="66"/>
      <c r="K714" s="66"/>
      <c r="L714" s="66"/>
      <c r="M714" s="66"/>
      <c r="N714" s="66"/>
    </row>
    <row r="715" spans="1:14" x14ac:dyDescent="0.2">
      <c r="A715" s="84"/>
      <c r="B715" s="84"/>
      <c r="C715" s="60"/>
      <c r="D715" s="66"/>
      <c r="E715" s="66"/>
      <c r="F715" s="66"/>
      <c r="G715" s="66"/>
      <c r="H715" s="66"/>
      <c r="I715" s="66"/>
      <c r="J715" s="66"/>
      <c r="K715" s="66"/>
      <c r="L715" s="66"/>
      <c r="M715" s="66"/>
      <c r="N715" s="66"/>
    </row>
    <row r="716" spans="1:14" x14ac:dyDescent="0.2">
      <c r="A716" s="84"/>
      <c r="B716" s="84"/>
      <c r="C716" s="60"/>
      <c r="D716" s="66"/>
      <c r="E716" s="66"/>
      <c r="F716" s="66"/>
      <c r="G716" s="66"/>
      <c r="H716" s="66"/>
      <c r="I716" s="66"/>
      <c r="J716" s="66"/>
      <c r="K716" s="66"/>
      <c r="L716" s="66"/>
      <c r="M716" s="66"/>
      <c r="N716" s="66"/>
    </row>
    <row r="717" spans="1:14" x14ac:dyDescent="0.2">
      <c r="A717" s="84"/>
      <c r="B717" s="84"/>
      <c r="C717" s="60"/>
      <c r="D717" s="66"/>
      <c r="E717" s="66"/>
      <c r="F717" s="66"/>
      <c r="G717" s="66"/>
      <c r="H717" s="66"/>
      <c r="I717" s="66"/>
      <c r="J717" s="66"/>
      <c r="K717" s="66"/>
      <c r="L717" s="66"/>
      <c r="M717" s="66"/>
      <c r="N717" s="66"/>
    </row>
    <row r="718" spans="1:14" x14ac:dyDescent="0.2">
      <c r="A718" s="84"/>
      <c r="B718" s="84"/>
      <c r="C718" s="60"/>
      <c r="D718" s="66"/>
      <c r="E718" s="66"/>
      <c r="F718" s="66"/>
      <c r="G718" s="66"/>
      <c r="H718" s="66"/>
      <c r="I718" s="66"/>
      <c r="J718" s="66"/>
      <c r="K718" s="66"/>
      <c r="L718" s="66"/>
      <c r="M718" s="66"/>
      <c r="N718" s="66"/>
    </row>
    <row r="719" spans="1:14" x14ac:dyDescent="0.2">
      <c r="A719" s="84"/>
      <c r="B719" s="84"/>
      <c r="C719" s="60"/>
      <c r="D719" s="66"/>
      <c r="E719" s="66"/>
      <c r="F719" s="66"/>
      <c r="G719" s="66"/>
      <c r="H719" s="66"/>
      <c r="I719" s="66"/>
      <c r="J719" s="66"/>
      <c r="K719" s="66"/>
      <c r="L719" s="66"/>
      <c r="M719" s="66"/>
      <c r="N719" s="66"/>
    </row>
    <row r="720" spans="1:14" x14ac:dyDescent="0.2">
      <c r="A720" s="84"/>
      <c r="B720" s="84"/>
      <c r="C720" s="60"/>
      <c r="D720" s="66"/>
      <c r="E720" s="66"/>
      <c r="F720" s="66"/>
      <c r="G720" s="66"/>
      <c r="H720" s="66"/>
      <c r="I720" s="66"/>
      <c r="J720" s="66"/>
      <c r="K720" s="66"/>
      <c r="L720" s="66"/>
      <c r="M720" s="66"/>
      <c r="N720" s="66"/>
    </row>
    <row r="721" spans="1:14" x14ac:dyDescent="0.2">
      <c r="A721" s="84"/>
      <c r="B721" s="84"/>
      <c r="C721" s="60"/>
      <c r="D721" s="66"/>
      <c r="E721" s="66"/>
      <c r="F721" s="66"/>
      <c r="G721" s="66"/>
      <c r="H721" s="66"/>
      <c r="I721" s="66"/>
      <c r="J721" s="66"/>
      <c r="K721" s="66"/>
      <c r="L721" s="66"/>
      <c r="M721" s="66"/>
      <c r="N721" s="66"/>
    </row>
    <row r="722" spans="1:14" x14ac:dyDescent="0.2">
      <c r="A722" s="84"/>
      <c r="B722" s="84"/>
      <c r="C722" s="60"/>
      <c r="D722" s="66"/>
      <c r="E722" s="66"/>
      <c r="F722" s="66"/>
      <c r="G722" s="66"/>
      <c r="H722" s="66"/>
      <c r="I722" s="66"/>
      <c r="J722" s="66"/>
      <c r="K722" s="66"/>
      <c r="L722" s="66"/>
      <c r="M722" s="66"/>
      <c r="N722" s="66"/>
    </row>
    <row r="723" spans="1:14" x14ac:dyDescent="0.2">
      <c r="A723" s="84"/>
      <c r="B723" s="84"/>
      <c r="C723" s="60"/>
      <c r="D723" s="66"/>
      <c r="E723" s="66"/>
      <c r="F723" s="66"/>
      <c r="G723" s="66"/>
      <c r="H723" s="66"/>
      <c r="I723" s="66"/>
      <c r="J723" s="66"/>
      <c r="K723" s="66"/>
      <c r="L723" s="66"/>
      <c r="M723" s="66"/>
      <c r="N723" s="66"/>
    </row>
    <row r="724" spans="1:14" x14ac:dyDescent="0.2">
      <c r="A724" s="84"/>
      <c r="B724" s="84"/>
      <c r="C724" s="60"/>
      <c r="D724" s="66"/>
      <c r="E724" s="66"/>
      <c r="F724" s="66"/>
      <c r="G724" s="66"/>
      <c r="H724" s="66"/>
      <c r="I724" s="66"/>
      <c r="J724" s="66"/>
      <c r="K724" s="66"/>
      <c r="L724" s="66"/>
      <c r="M724" s="66"/>
      <c r="N724" s="66"/>
    </row>
    <row r="725" spans="1:14" x14ac:dyDescent="0.2">
      <c r="A725" s="84"/>
      <c r="B725" s="84"/>
      <c r="C725" s="60"/>
      <c r="D725" s="66"/>
      <c r="E725" s="66"/>
      <c r="F725" s="66"/>
      <c r="G725" s="66"/>
      <c r="H725" s="66"/>
      <c r="I725" s="66"/>
      <c r="J725" s="66"/>
      <c r="K725" s="66"/>
      <c r="L725" s="66"/>
      <c r="M725" s="66"/>
      <c r="N725" s="66"/>
    </row>
    <row r="726" spans="1:14" x14ac:dyDescent="0.2">
      <c r="A726" s="84"/>
      <c r="B726" s="84"/>
      <c r="C726" s="60"/>
      <c r="D726" s="66"/>
      <c r="E726" s="66"/>
      <c r="F726" s="66"/>
      <c r="G726" s="66"/>
      <c r="H726" s="66"/>
      <c r="I726" s="66"/>
      <c r="J726" s="66"/>
      <c r="K726" s="66"/>
      <c r="L726" s="66"/>
      <c r="M726" s="66"/>
      <c r="N726" s="66"/>
    </row>
    <row r="727" spans="1:14" x14ac:dyDescent="0.2">
      <c r="A727" s="84"/>
      <c r="B727" s="84"/>
      <c r="C727" s="60"/>
      <c r="D727" s="66"/>
      <c r="E727" s="66"/>
      <c r="F727" s="66"/>
      <c r="G727" s="66"/>
      <c r="H727" s="66"/>
      <c r="I727" s="66"/>
      <c r="J727" s="66"/>
      <c r="K727" s="66"/>
      <c r="L727" s="66"/>
      <c r="M727" s="66"/>
      <c r="N727" s="66"/>
    </row>
    <row r="728" spans="1:14" x14ac:dyDescent="0.2">
      <c r="A728" s="84"/>
      <c r="B728" s="84"/>
      <c r="C728" s="60"/>
      <c r="D728" s="66"/>
      <c r="E728" s="66"/>
      <c r="F728" s="66"/>
      <c r="G728" s="66"/>
      <c r="H728" s="66"/>
      <c r="I728" s="66"/>
      <c r="J728" s="66"/>
      <c r="K728" s="66"/>
      <c r="L728" s="66"/>
      <c r="M728" s="66"/>
      <c r="N728" s="66"/>
    </row>
    <row r="729" spans="1:14" x14ac:dyDescent="0.2">
      <c r="A729" s="84"/>
      <c r="B729" s="84"/>
      <c r="C729" s="60"/>
      <c r="D729" s="66"/>
      <c r="E729" s="66"/>
      <c r="F729" s="66"/>
      <c r="G729" s="66"/>
      <c r="H729" s="66"/>
      <c r="I729" s="66"/>
      <c r="J729" s="66"/>
      <c r="K729" s="66"/>
      <c r="L729" s="66"/>
      <c r="M729" s="66"/>
      <c r="N729" s="66"/>
    </row>
    <row r="730" spans="1:14" x14ac:dyDescent="0.2">
      <c r="A730" s="84"/>
      <c r="B730" s="84"/>
      <c r="C730" s="60"/>
      <c r="D730" s="66"/>
      <c r="E730" s="66"/>
      <c r="F730" s="66"/>
      <c r="G730" s="66"/>
      <c r="H730" s="66"/>
      <c r="I730" s="66"/>
      <c r="J730" s="66"/>
      <c r="K730" s="66"/>
      <c r="L730" s="66"/>
      <c r="M730" s="66"/>
      <c r="N730" s="66"/>
    </row>
    <row r="731" spans="1:14" x14ac:dyDescent="0.2">
      <c r="A731" s="84"/>
      <c r="B731" s="84"/>
      <c r="C731" s="60"/>
      <c r="D731" s="66"/>
      <c r="E731" s="66"/>
      <c r="F731" s="66"/>
      <c r="G731" s="66"/>
      <c r="H731" s="66"/>
      <c r="I731" s="66"/>
      <c r="J731" s="66"/>
      <c r="K731" s="66"/>
      <c r="L731" s="66"/>
      <c r="M731" s="66"/>
      <c r="N731" s="66"/>
    </row>
    <row r="732" spans="1:14" x14ac:dyDescent="0.2">
      <c r="A732" s="84"/>
      <c r="B732" s="84"/>
      <c r="C732" s="60"/>
      <c r="D732" s="66"/>
      <c r="E732" s="66"/>
      <c r="F732" s="66"/>
      <c r="G732" s="66"/>
      <c r="H732" s="66"/>
      <c r="I732" s="66"/>
      <c r="J732" s="66"/>
      <c r="K732" s="66"/>
      <c r="L732" s="66"/>
      <c r="M732" s="66"/>
      <c r="N732" s="66"/>
    </row>
    <row r="733" spans="1:14" x14ac:dyDescent="0.2">
      <c r="A733" s="84"/>
      <c r="B733" s="84"/>
      <c r="C733" s="60"/>
      <c r="D733" s="66"/>
      <c r="E733" s="66"/>
      <c r="F733" s="66"/>
      <c r="G733" s="66"/>
      <c r="H733" s="66"/>
      <c r="I733" s="66"/>
      <c r="J733" s="66"/>
      <c r="K733" s="66"/>
      <c r="L733" s="66"/>
      <c r="M733" s="66"/>
      <c r="N733" s="66"/>
    </row>
    <row r="734" spans="1:14" x14ac:dyDescent="0.2">
      <c r="A734" s="84"/>
      <c r="B734" s="84"/>
      <c r="C734" s="60"/>
      <c r="D734" s="66"/>
      <c r="E734" s="66"/>
      <c r="F734" s="66"/>
      <c r="G734" s="66"/>
      <c r="H734" s="66"/>
      <c r="I734" s="66"/>
      <c r="J734" s="66"/>
      <c r="K734" s="66"/>
      <c r="L734" s="66"/>
      <c r="M734" s="66"/>
      <c r="N734" s="66"/>
    </row>
    <row r="735" spans="1:14" x14ac:dyDescent="0.2">
      <c r="A735" s="84"/>
      <c r="B735" s="84"/>
      <c r="C735" s="60"/>
      <c r="D735" s="66"/>
      <c r="E735" s="66"/>
      <c r="F735" s="66"/>
      <c r="G735" s="66"/>
      <c r="H735" s="66"/>
      <c r="I735" s="66"/>
      <c r="J735" s="66"/>
      <c r="K735" s="66"/>
      <c r="L735" s="66"/>
      <c r="M735" s="66"/>
      <c r="N735" s="66"/>
    </row>
    <row r="736" spans="1:14" x14ac:dyDescent="0.2">
      <c r="A736" s="84"/>
      <c r="B736" s="84"/>
      <c r="C736" s="60"/>
      <c r="D736" s="66"/>
      <c r="E736" s="66"/>
      <c r="F736" s="66"/>
      <c r="G736" s="66"/>
      <c r="H736" s="66"/>
      <c r="I736" s="66"/>
      <c r="J736" s="66"/>
      <c r="K736" s="66"/>
      <c r="L736" s="66"/>
      <c r="M736" s="66"/>
      <c r="N736" s="66"/>
    </row>
    <row r="737" spans="1:14" x14ac:dyDescent="0.2">
      <c r="A737" s="84"/>
      <c r="B737" s="84"/>
      <c r="C737" s="60"/>
      <c r="D737" s="66"/>
      <c r="E737" s="66"/>
      <c r="F737" s="66"/>
      <c r="G737" s="66"/>
      <c r="H737" s="66"/>
      <c r="I737" s="66"/>
      <c r="J737" s="66"/>
      <c r="K737" s="66"/>
      <c r="L737" s="66"/>
      <c r="M737" s="66"/>
      <c r="N737" s="66"/>
    </row>
    <row r="738" spans="1:14" x14ac:dyDescent="0.2">
      <c r="A738" s="84"/>
      <c r="B738" s="84"/>
      <c r="C738" s="60"/>
      <c r="D738" s="66"/>
      <c r="E738" s="66"/>
      <c r="F738" s="66"/>
      <c r="G738" s="66"/>
      <c r="H738" s="66"/>
      <c r="I738" s="66"/>
      <c r="J738" s="66"/>
      <c r="K738" s="66"/>
      <c r="L738" s="66"/>
      <c r="M738" s="66"/>
      <c r="N738" s="66"/>
    </row>
    <row r="739" spans="1:14" x14ac:dyDescent="0.2">
      <c r="A739" s="84"/>
      <c r="B739" s="84"/>
      <c r="C739" s="60"/>
      <c r="D739" s="66"/>
      <c r="E739" s="66"/>
      <c r="F739" s="66"/>
      <c r="G739" s="66"/>
      <c r="H739" s="66"/>
      <c r="I739" s="66"/>
      <c r="J739" s="66"/>
      <c r="K739" s="66"/>
      <c r="L739" s="66"/>
      <c r="M739" s="66"/>
      <c r="N739" s="66"/>
    </row>
    <row r="740" spans="1:14" x14ac:dyDescent="0.2">
      <c r="A740" s="84"/>
      <c r="B740" s="84"/>
      <c r="C740" s="60"/>
      <c r="D740" s="66"/>
      <c r="E740" s="66"/>
      <c r="F740" s="66"/>
      <c r="G740" s="66"/>
      <c r="H740" s="66"/>
      <c r="I740" s="66"/>
      <c r="J740" s="66"/>
      <c r="K740" s="66"/>
      <c r="L740" s="66"/>
      <c r="M740" s="66"/>
      <c r="N740" s="66"/>
    </row>
    <row r="741" spans="1:14" x14ac:dyDescent="0.2">
      <c r="A741" s="84"/>
      <c r="B741" s="84"/>
      <c r="C741" s="60"/>
      <c r="D741" s="66"/>
      <c r="E741" s="66"/>
      <c r="F741" s="66"/>
      <c r="G741" s="66"/>
      <c r="H741" s="66"/>
      <c r="I741" s="66"/>
      <c r="J741" s="66"/>
      <c r="K741" s="66"/>
      <c r="L741" s="66"/>
      <c r="M741" s="66"/>
      <c r="N741" s="66"/>
    </row>
    <row r="742" spans="1:14" x14ac:dyDescent="0.2">
      <c r="A742" s="84"/>
      <c r="B742" s="84"/>
      <c r="C742" s="60"/>
      <c r="D742" s="66"/>
      <c r="E742" s="66"/>
      <c r="F742" s="66"/>
      <c r="G742" s="66"/>
      <c r="H742" s="66"/>
      <c r="I742" s="66"/>
      <c r="J742" s="66"/>
      <c r="K742" s="66"/>
      <c r="L742" s="66"/>
      <c r="M742" s="66"/>
      <c r="N742" s="66"/>
    </row>
    <row r="743" spans="1:14" x14ac:dyDescent="0.2">
      <c r="A743" s="84"/>
      <c r="B743" s="84"/>
      <c r="C743" s="60"/>
      <c r="D743" s="66"/>
      <c r="E743" s="66"/>
      <c r="F743" s="66"/>
      <c r="G743" s="66"/>
      <c r="H743" s="66"/>
      <c r="I743" s="66"/>
      <c r="J743" s="66"/>
      <c r="K743" s="66"/>
      <c r="L743" s="66"/>
      <c r="M743" s="66"/>
      <c r="N743" s="66"/>
    </row>
    <row r="744" spans="1:14" x14ac:dyDescent="0.2">
      <c r="A744" s="84"/>
      <c r="B744" s="84"/>
      <c r="C744" s="60"/>
      <c r="D744" s="66"/>
      <c r="E744" s="66"/>
      <c r="F744" s="66"/>
      <c r="G744" s="66"/>
      <c r="H744" s="66"/>
      <c r="I744" s="66"/>
      <c r="J744" s="66"/>
      <c r="K744" s="66"/>
      <c r="L744" s="66"/>
      <c r="M744" s="66"/>
      <c r="N744" s="66"/>
    </row>
    <row r="745" spans="1:14" x14ac:dyDescent="0.2">
      <c r="A745" s="84"/>
      <c r="B745" s="84"/>
      <c r="C745" s="60"/>
      <c r="D745" s="66"/>
      <c r="E745" s="66"/>
      <c r="F745" s="66"/>
      <c r="G745" s="66"/>
      <c r="H745" s="66"/>
      <c r="I745" s="66"/>
      <c r="J745" s="66"/>
      <c r="K745" s="66"/>
      <c r="L745" s="66"/>
      <c r="M745" s="66"/>
      <c r="N745" s="66"/>
    </row>
    <row r="746" spans="1:14" x14ac:dyDescent="0.2">
      <c r="A746" s="84"/>
      <c r="B746" s="84"/>
      <c r="C746" s="60"/>
      <c r="D746" s="66"/>
      <c r="E746" s="66"/>
      <c r="F746" s="66"/>
      <c r="G746" s="66"/>
      <c r="H746" s="66"/>
      <c r="I746" s="66"/>
      <c r="J746" s="66"/>
      <c r="K746" s="66"/>
      <c r="L746" s="66"/>
      <c r="M746" s="66"/>
      <c r="N746" s="66"/>
    </row>
    <row r="747" spans="1:14" x14ac:dyDescent="0.2">
      <c r="A747" s="84"/>
      <c r="B747" s="84"/>
      <c r="C747" s="60"/>
      <c r="D747" s="66"/>
      <c r="E747" s="66"/>
      <c r="F747" s="66"/>
      <c r="G747" s="66"/>
      <c r="H747" s="66"/>
      <c r="I747" s="66"/>
      <c r="J747" s="66"/>
      <c r="K747" s="66"/>
      <c r="L747" s="66"/>
      <c r="M747" s="66"/>
      <c r="N747" s="66"/>
    </row>
    <row r="748" spans="1:14" x14ac:dyDescent="0.2">
      <c r="A748" s="84"/>
      <c r="B748" s="84"/>
      <c r="C748" s="60"/>
      <c r="D748" s="66"/>
      <c r="E748" s="66"/>
      <c r="F748" s="66"/>
      <c r="G748" s="66"/>
      <c r="H748" s="66"/>
      <c r="I748" s="66"/>
      <c r="J748" s="66"/>
      <c r="K748" s="66"/>
      <c r="L748" s="66"/>
      <c r="M748" s="66"/>
      <c r="N748" s="66"/>
    </row>
    <row r="749" spans="1:14" x14ac:dyDescent="0.2">
      <c r="A749" s="84"/>
      <c r="B749" s="84"/>
      <c r="C749" s="60"/>
      <c r="D749" s="66"/>
      <c r="E749" s="66"/>
      <c r="F749" s="66"/>
      <c r="G749" s="66"/>
      <c r="H749" s="66"/>
      <c r="I749" s="66"/>
      <c r="J749" s="66"/>
      <c r="K749" s="66"/>
      <c r="L749" s="66"/>
      <c r="M749" s="66"/>
      <c r="N749" s="66"/>
    </row>
    <row r="750" spans="1:14" x14ac:dyDescent="0.2">
      <c r="A750" s="84"/>
      <c r="B750" s="84"/>
      <c r="C750" s="60"/>
      <c r="D750" s="66"/>
      <c r="E750" s="66"/>
      <c r="F750" s="66"/>
      <c r="G750" s="66"/>
      <c r="H750" s="66"/>
      <c r="I750" s="66"/>
      <c r="J750" s="66"/>
      <c r="K750" s="66"/>
      <c r="L750" s="66"/>
      <c r="M750" s="66"/>
      <c r="N750" s="66"/>
    </row>
    <row r="751" spans="1:14" x14ac:dyDescent="0.2">
      <c r="A751" s="84"/>
      <c r="B751" s="84"/>
      <c r="C751" s="60"/>
      <c r="D751" s="66"/>
      <c r="E751" s="66"/>
      <c r="F751" s="66"/>
      <c r="G751" s="66"/>
      <c r="H751" s="66"/>
      <c r="I751" s="66"/>
      <c r="J751" s="66"/>
      <c r="K751" s="66"/>
      <c r="L751" s="66"/>
      <c r="M751" s="66"/>
      <c r="N751" s="66"/>
    </row>
    <row r="752" spans="1:14" x14ac:dyDescent="0.2">
      <c r="A752" s="84"/>
      <c r="B752" s="84"/>
      <c r="C752" s="60"/>
      <c r="D752" s="66"/>
      <c r="E752" s="66"/>
      <c r="F752" s="66"/>
      <c r="G752" s="66"/>
      <c r="H752" s="66"/>
      <c r="I752" s="66"/>
      <c r="J752" s="66"/>
      <c r="K752" s="66"/>
      <c r="L752" s="66"/>
      <c r="M752" s="66"/>
      <c r="N752" s="66"/>
    </row>
    <row r="753" spans="1:14" x14ac:dyDescent="0.2">
      <c r="A753" s="84"/>
      <c r="B753" s="84"/>
      <c r="C753" s="60"/>
      <c r="D753" s="66"/>
      <c r="E753" s="66"/>
      <c r="F753" s="66"/>
      <c r="G753" s="66"/>
      <c r="H753" s="66"/>
      <c r="I753" s="66"/>
      <c r="J753" s="66"/>
      <c r="K753" s="66"/>
      <c r="L753" s="66"/>
      <c r="M753" s="66"/>
      <c r="N753" s="66"/>
    </row>
    <row r="754" spans="1:14" x14ac:dyDescent="0.2">
      <c r="A754" s="84"/>
      <c r="B754" s="84"/>
      <c r="C754" s="60"/>
      <c r="D754" s="66"/>
      <c r="E754" s="66"/>
      <c r="F754" s="66"/>
      <c r="G754" s="66"/>
      <c r="H754" s="66"/>
      <c r="I754" s="66"/>
      <c r="J754" s="66"/>
      <c r="K754" s="66"/>
      <c r="L754" s="66"/>
      <c r="M754" s="66"/>
      <c r="N754" s="66"/>
    </row>
    <row r="755" spans="1:14" x14ac:dyDescent="0.2">
      <c r="A755" s="84"/>
      <c r="B755" s="84"/>
      <c r="C755" s="60"/>
      <c r="D755" s="66"/>
      <c r="E755" s="66"/>
      <c r="F755" s="66"/>
      <c r="G755" s="66"/>
      <c r="H755" s="66"/>
      <c r="I755" s="66"/>
      <c r="J755" s="66"/>
      <c r="K755" s="66"/>
      <c r="L755" s="66"/>
      <c r="M755" s="66"/>
      <c r="N755" s="66"/>
    </row>
    <row r="756" spans="1:14" x14ac:dyDescent="0.2">
      <c r="A756" s="84"/>
      <c r="B756" s="84"/>
      <c r="C756" s="60"/>
      <c r="D756" s="66"/>
      <c r="E756" s="66"/>
      <c r="F756" s="66"/>
      <c r="G756" s="66"/>
      <c r="H756" s="66"/>
      <c r="I756" s="66"/>
      <c r="J756" s="66"/>
      <c r="K756" s="66"/>
      <c r="L756" s="66"/>
      <c r="M756" s="66"/>
      <c r="N756" s="66"/>
    </row>
    <row r="757" spans="1:14" x14ac:dyDescent="0.2">
      <c r="A757" s="84"/>
      <c r="B757" s="84"/>
      <c r="C757" s="60"/>
      <c r="D757" s="66"/>
      <c r="E757" s="66"/>
      <c r="F757" s="66"/>
      <c r="G757" s="66"/>
      <c r="H757" s="66"/>
      <c r="I757" s="66"/>
      <c r="J757" s="66"/>
      <c r="K757" s="66"/>
      <c r="L757" s="66"/>
      <c r="M757" s="66"/>
      <c r="N757" s="66"/>
    </row>
    <row r="758" spans="1:14" x14ac:dyDescent="0.2">
      <c r="A758" s="84"/>
      <c r="B758" s="84"/>
      <c r="C758" s="60"/>
      <c r="D758" s="66"/>
      <c r="E758" s="66"/>
      <c r="F758" s="66"/>
      <c r="G758" s="66"/>
      <c r="H758" s="66"/>
      <c r="I758" s="66"/>
      <c r="J758" s="66"/>
      <c r="K758" s="66"/>
      <c r="L758" s="66"/>
      <c r="M758" s="66"/>
      <c r="N758" s="66"/>
    </row>
    <row r="759" spans="1:14" x14ac:dyDescent="0.2">
      <c r="A759" s="84"/>
      <c r="B759" s="84"/>
      <c r="C759" s="60"/>
      <c r="D759" s="66"/>
      <c r="E759" s="66"/>
      <c r="F759" s="66"/>
      <c r="G759" s="66"/>
      <c r="H759" s="66"/>
      <c r="I759" s="66"/>
      <c r="J759" s="66"/>
      <c r="K759" s="66"/>
      <c r="L759" s="66"/>
      <c r="M759" s="66"/>
      <c r="N759" s="66"/>
    </row>
    <row r="760" spans="1:14" x14ac:dyDescent="0.2">
      <c r="A760" s="84"/>
      <c r="B760" s="84"/>
      <c r="C760" s="60"/>
      <c r="D760" s="66"/>
      <c r="E760" s="66"/>
      <c r="F760" s="66"/>
      <c r="G760" s="66"/>
      <c r="H760" s="66"/>
      <c r="I760" s="66"/>
      <c r="J760" s="66"/>
      <c r="K760" s="66"/>
      <c r="L760" s="66"/>
      <c r="M760" s="66"/>
      <c r="N760" s="66"/>
    </row>
    <row r="761" spans="1:14" x14ac:dyDescent="0.2">
      <c r="A761" s="84"/>
      <c r="B761" s="84"/>
      <c r="C761" s="60"/>
      <c r="D761" s="66"/>
      <c r="E761" s="66"/>
      <c r="F761" s="66"/>
      <c r="G761" s="66"/>
      <c r="H761" s="66"/>
      <c r="I761" s="66"/>
      <c r="J761" s="66"/>
      <c r="K761" s="66"/>
      <c r="L761" s="66"/>
      <c r="M761" s="66"/>
      <c r="N761" s="66"/>
    </row>
    <row r="762" spans="1:14" x14ac:dyDescent="0.2">
      <c r="A762" s="84"/>
      <c r="B762" s="84"/>
      <c r="C762" s="60"/>
      <c r="D762" s="66"/>
      <c r="E762" s="66"/>
      <c r="F762" s="66"/>
      <c r="G762" s="66"/>
      <c r="H762" s="66"/>
      <c r="I762" s="66"/>
      <c r="J762" s="66"/>
      <c r="K762" s="66"/>
      <c r="L762" s="66"/>
      <c r="M762" s="66"/>
      <c r="N762" s="66"/>
    </row>
    <row r="763" spans="1:14" x14ac:dyDescent="0.2">
      <c r="A763" s="84"/>
      <c r="B763" s="84"/>
      <c r="C763" s="60"/>
      <c r="D763" s="66"/>
      <c r="E763" s="66"/>
      <c r="F763" s="66"/>
      <c r="G763" s="66"/>
      <c r="H763" s="66"/>
      <c r="I763" s="66"/>
      <c r="J763" s="66"/>
      <c r="K763" s="66"/>
      <c r="L763" s="66"/>
      <c r="M763" s="66"/>
      <c r="N763" s="66"/>
    </row>
    <row r="764" spans="1:14" x14ac:dyDescent="0.2">
      <c r="A764" s="84"/>
      <c r="B764" s="84"/>
      <c r="C764" s="60"/>
      <c r="D764" s="66"/>
      <c r="E764" s="66"/>
      <c r="F764" s="66"/>
      <c r="G764" s="66"/>
      <c r="H764" s="66"/>
      <c r="I764" s="66"/>
      <c r="J764" s="66"/>
      <c r="K764" s="66"/>
      <c r="L764" s="66"/>
      <c r="M764" s="66"/>
      <c r="N764" s="66"/>
    </row>
    <row r="765" spans="1:14" x14ac:dyDescent="0.2">
      <c r="A765" s="84"/>
      <c r="B765" s="84"/>
      <c r="C765" s="60"/>
      <c r="D765" s="66"/>
      <c r="E765" s="66"/>
      <c r="F765" s="66"/>
      <c r="G765" s="66"/>
      <c r="H765" s="66"/>
      <c r="I765" s="66"/>
      <c r="J765" s="66"/>
      <c r="K765" s="66"/>
      <c r="L765" s="66"/>
      <c r="M765" s="66"/>
      <c r="N765" s="66"/>
    </row>
    <row r="766" spans="1:14" x14ac:dyDescent="0.2">
      <c r="A766" s="84"/>
      <c r="B766" s="84"/>
      <c r="C766" s="60"/>
      <c r="D766" s="66"/>
      <c r="E766" s="66"/>
      <c r="F766" s="66"/>
      <c r="G766" s="66"/>
      <c r="H766" s="66"/>
      <c r="I766" s="66"/>
      <c r="J766" s="66"/>
      <c r="K766" s="66"/>
      <c r="L766" s="66"/>
      <c r="M766" s="66"/>
      <c r="N766" s="66"/>
    </row>
    <row r="767" spans="1:14" x14ac:dyDescent="0.2">
      <c r="A767" s="84"/>
      <c r="B767" s="84"/>
      <c r="C767" s="60"/>
      <c r="D767" s="66"/>
      <c r="E767" s="66"/>
      <c r="F767" s="66"/>
      <c r="G767" s="66"/>
      <c r="H767" s="66"/>
      <c r="I767" s="66"/>
      <c r="J767" s="66"/>
      <c r="K767" s="66"/>
      <c r="L767" s="66"/>
      <c r="M767" s="66"/>
      <c r="N767" s="66"/>
    </row>
    <row r="768" spans="1:14" x14ac:dyDescent="0.2">
      <c r="A768" s="84"/>
      <c r="B768" s="84"/>
      <c r="C768" s="60"/>
      <c r="D768" s="66"/>
      <c r="E768" s="66"/>
      <c r="F768" s="66"/>
      <c r="G768" s="66"/>
      <c r="H768" s="66"/>
      <c r="I768" s="66"/>
      <c r="J768" s="66"/>
      <c r="K768" s="66"/>
      <c r="L768" s="66"/>
      <c r="M768" s="66"/>
      <c r="N768" s="66"/>
    </row>
    <row r="769" spans="1:14" x14ac:dyDescent="0.2">
      <c r="A769" s="84"/>
      <c r="B769" s="84"/>
      <c r="C769" s="60"/>
      <c r="D769" s="66"/>
      <c r="E769" s="66"/>
      <c r="F769" s="66"/>
      <c r="G769" s="66"/>
      <c r="H769" s="66"/>
      <c r="I769" s="66"/>
      <c r="J769" s="66"/>
      <c r="K769" s="66"/>
      <c r="L769" s="66"/>
      <c r="M769" s="66"/>
      <c r="N769" s="66"/>
    </row>
    <row r="770" spans="1:14" x14ac:dyDescent="0.2">
      <c r="A770" s="84"/>
      <c r="B770" s="84"/>
      <c r="C770" s="60"/>
      <c r="D770" s="66"/>
      <c r="E770" s="66"/>
      <c r="F770" s="66"/>
      <c r="G770" s="66"/>
      <c r="H770" s="66"/>
      <c r="I770" s="66"/>
      <c r="J770" s="66"/>
      <c r="K770" s="66"/>
      <c r="L770" s="66"/>
      <c r="M770" s="66"/>
      <c r="N770" s="66"/>
    </row>
    <row r="771" spans="1:14" x14ac:dyDescent="0.2">
      <c r="A771" s="84"/>
      <c r="B771" s="84"/>
      <c r="C771" s="60"/>
      <c r="D771" s="66"/>
      <c r="E771" s="66"/>
      <c r="F771" s="66"/>
      <c r="G771" s="66"/>
      <c r="H771" s="66"/>
      <c r="I771" s="66"/>
      <c r="J771" s="66"/>
      <c r="K771" s="66"/>
      <c r="L771" s="66"/>
      <c r="M771" s="66"/>
      <c r="N771" s="66"/>
    </row>
    <row r="772" spans="1:14" x14ac:dyDescent="0.2">
      <c r="A772" s="84"/>
      <c r="B772" s="84"/>
      <c r="C772" s="60"/>
      <c r="D772" s="66"/>
      <c r="E772" s="66"/>
      <c r="F772" s="66"/>
      <c r="G772" s="66"/>
      <c r="H772" s="66"/>
      <c r="I772" s="66"/>
      <c r="J772" s="66"/>
      <c r="K772" s="66"/>
      <c r="L772" s="66"/>
      <c r="M772" s="66"/>
      <c r="N772" s="66"/>
    </row>
    <row r="773" spans="1:14" x14ac:dyDescent="0.2">
      <c r="A773" s="84"/>
      <c r="B773" s="84"/>
      <c r="C773" s="60"/>
      <c r="D773" s="66"/>
      <c r="E773" s="66"/>
      <c r="F773" s="66"/>
      <c r="G773" s="66"/>
      <c r="H773" s="66"/>
      <c r="I773" s="66"/>
      <c r="J773" s="66"/>
      <c r="K773" s="66"/>
      <c r="L773" s="66"/>
      <c r="M773" s="66"/>
      <c r="N773" s="66"/>
    </row>
    <row r="774" spans="1:14" x14ac:dyDescent="0.2">
      <c r="A774" s="84"/>
      <c r="B774" s="84"/>
      <c r="C774" s="60"/>
      <c r="D774" s="66"/>
      <c r="E774" s="66"/>
      <c r="F774" s="66"/>
      <c r="G774" s="66"/>
      <c r="H774" s="66"/>
      <c r="I774" s="66"/>
      <c r="J774" s="66"/>
      <c r="K774" s="66"/>
      <c r="L774" s="66"/>
      <c r="M774" s="66"/>
      <c r="N774" s="66"/>
    </row>
    <row r="775" spans="1:14" x14ac:dyDescent="0.2">
      <c r="A775" s="84"/>
      <c r="B775" s="84"/>
      <c r="C775" s="60"/>
      <c r="D775" s="66"/>
      <c r="E775" s="66"/>
      <c r="F775" s="66"/>
      <c r="G775" s="66"/>
      <c r="H775" s="66"/>
      <c r="I775" s="66"/>
      <c r="J775" s="66"/>
      <c r="K775" s="66"/>
      <c r="L775" s="66"/>
      <c r="M775" s="66"/>
      <c r="N775" s="66"/>
    </row>
    <row r="776" spans="1:14" x14ac:dyDescent="0.2">
      <c r="A776" s="84"/>
      <c r="B776" s="84"/>
      <c r="C776" s="60"/>
      <c r="D776" s="66"/>
      <c r="E776" s="66"/>
      <c r="F776" s="66"/>
      <c r="G776" s="66"/>
      <c r="H776" s="66"/>
      <c r="I776" s="66"/>
      <c r="J776" s="66"/>
      <c r="K776" s="66"/>
      <c r="L776" s="66"/>
      <c r="M776" s="66"/>
      <c r="N776" s="66"/>
    </row>
    <row r="777" spans="1:14" x14ac:dyDescent="0.2">
      <c r="A777" s="84"/>
      <c r="B777" s="84"/>
      <c r="C777" s="60"/>
      <c r="D777" s="66"/>
      <c r="E777" s="66"/>
      <c r="F777" s="66"/>
      <c r="G777" s="66"/>
      <c r="H777" s="66"/>
      <c r="I777" s="66"/>
      <c r="J777" s="66"/>
      <c r="K777" s="66"/>
      <c r="L777" s="66"/>
      <c r="M777" s="66"/>
      <c r="N777" s="66"/>
    </row>
    <row r="778" spans="1:14" x14ac:dyDescent="0.2">
      <c r="A778" s="84"/>
      <c r="B778" s="84"/>
      <c r="C778" s="60"/>
      <c r="D778" s="66"/>
      <c r="E778" s="66"/>
      <c r="F778" s="66"/>
      <c r="G778" s="66"/>
      <c r="H778" s="66"/>
      <c r="I778" s="66"/>
      <c r="J778" s="66"/>
      <c r="K778" s="66"/>
      <c r="L778" s="66"/>
      <c r="M778" s="66"/>
      <c r="N778" s="66"/>
    </row>
    <row r="779" spans="1:14" x14ac:dyDescent="0.2">
      <c r="A779" s="84"/>
      <c r="B779" s="84"/>
      <c r="C779" s="60"/>
      <c r="D779" s="66"/>
      <c r="E779" s="66"/>
      <c r="F779" s="66"/>
      <c r="G779" s="66"/>
      <c r="H779" s="66"/>
      <c r="I779" s="66"/>
      <c r="J779" s="66"/>
      <c r="K779" s="66"/>
      <c r="L779" s="66"/>
      <c r="M779" s="66"/>
      <c r="N779" s="66"/>
    </row>
    <row r="780" spans="1:14" x14ac:dyDescent="0.2">
      <c r="A780" s="84"/>
      <c r="B780" s="84"/>
      <c r="C780" s="60"/>
      <c r="D780" s="66"/>
      <c r="E780" s="66"/>
      <c r="F780" s="66"/>
      <c r="G780" s="66"/>
      <c r="H780" s="66"/>
      <c r="I780" s="66"/>
      <c r="J780" s="66"/>
      <c r="K780" s="66"/>
      <c r="L780" s="66"/>
      <c r="M780" s="66"/>
      <c r="N780" s="66"/>
    </row>
    <row r="781" spans="1:14" x14ac:dyDescent="0.2">
      <c r="A781" s="84"/>
      <c r="B781" s="84"/>
      <c r="C781" s="60"/>
      <c r="D781" s="66"/>
      <c r="E781" s="66"/>
      <c r="F781" s="66"/>
      <c r="G781" s="66"/>
      <c r="H781" s="66"/>
      <c r="I781" s="66"/>
      <c r="J781" s="66"/>
      <c r="K781" s="66"/>
      <c r="L781" s="66"/>
      <c r="M781" s="66"/>
      <c r="N781" s="66"/>
    </row>
    <row r="782" spans="1:14" x14ac:dyDescent="0.2">
      <c r="A782" s="84"/>
      <c r="B782" s="84"/>
      <c r="C782" s="60"/>
      <c r="D782" s="66"/>
      <c r="E782" s="66"/>
      <c r="F782" s="66"/>
      <c r="G782" s="66"/>
      <c r="H782" s="66"/>
      <c r="I782" s="66"/>
      <c r="J782" s="66"/>
      <c r="K782" s="66"/>
      <c r="L782" s="66"/>
      <c r="M782" s="66"/>
      <c r="N782" s="66"/>
    </row>
    <row r="783" spans="1:14" x14ac:dyDescent="0.2">
      <c r="A783" s="84"/>
      <c r="B783" s="84"/>
      <c r="C783" s="60"/>
      <c r="D783" s="66"/>
      <c r="E783" s="66"/>
      <c r="F783" s="66"/>
      <c r="G783" s="66"/>
      <c r="H783" s="66"/>
      <c r="I783" s="66"/>
      <c r="J783" s="66"/>
      <c r="K783" s="66"/>
      <c r="L783" s="66"/>
      <c r="M783" s="66"/>
      <c r="N783" s="66"/>
    </row>
    <row r="784" spans="1:14" x14ac:dyDescent="0.2">
      <c r="A784" s="84"/>
      <c r="B784" s="84"/>
      <c r="C784" s="60"/>
      <c r="D784" s="66"/>
      <c r="E784" s="66"/>
      <c r="F784" s="66"/>
      <c r="G784" s="66"/>
      <c r="H784" s="66"/>
      <c r="I784" s="66"/>
      <c r="J784" s="66"/>
      <c r="K784" s="66"/>
      <c r="L784" s="66"/>
      <c r="M784" s="66"/>
      <c r="N784" s="66"/>
    </row>
    <row r="785" spans="1:14" x14ac:dyDescent="0.2">
      <c r="A785" s="84"/>
      <c r="B785" s="84"/>
      <c r="C785" s="60"/>
      <c r="D785" s="66"/>
      <c r="E785" s="66"/>
      <c r="F785" s="66"/>
      <c r="G785" s="66"/>
      <c r="H785" s="66"/>
      <c r="I785" s="66"/>
      <c r="J785" s="66"/>
      <c r="K785" s="66"/>
      <c r="L785" s="66"/>
      <c r="M785" s="66"/>
      <c r="N785" s="66"/>
    </row>
    <row r="786" spans="1:14" x14ac:dyDescent="0.2">
      <c r="A786" s="84"/>
      <c r="B786" s="84"/>
      <c r="C786" s="60"/>
      <c r="D786" s="66"/>
      <c r="E786" s="66"/>
      <c r="F786" s="66"/>
      <c r="G786" s="66"/>
      <c r="H786" s="66"/>
      <c r="I786" s="66"/>
      <c r="J786" s="66"/>
      <c r="K786" s="66"/>
      <c r="L786" s="66"/>
      <c r="M786" s="66"/>
      <c r="N786" s="66"/>
    </row>
    <row r="787" spans="1:14" x14ac:dyDescent="0.2">
      <c r="A787" s="84"/>
      <c r="B787" s="84"/>
      <c r="C787" s="60"/>
      <c r="D787" s="66"/>
      <c r="E787" s="66"/>
      <c r="F787" s="66"/>
      <c r="G787" s="66"/>
      <c r="H787" s="66"/>
      <c r="I787" s="66"/>
      <c r="J787" s="66"/>
      <c r="K787" s="66"/>
      <c r="L787" s="66"/>
      <c r="M787" s="66"/>
      <c r="N787" s="66"/>
    </row>
    <row r="788" spans="1:14" x14ac:dyDescent="0.2">
      <c r="A788" s="84"/>
      <c r="B788" s="84"/>
      <c r="C788" s="60"/>
      <c r="D788" s="66"/>
      <c r="E788" s="66"/>
      <c r="F788" s="66"/>
      <c r="G788" s="66"/>
      <c r="H788" s="66"/>
      <c r="I788" s="66"/>
      <c r="J788" s="66"/>
      <c r="K788" s="66"/>
      <c r="L788" s="66"/>
      <c r="M788" s="66"/>
      <c r="N788" s="66"/>
    </row>
    <row r="789" spans="1:14" x14ac:dyDescent="0.2">
      <c r="A789" s="84"/>
      <c r="B789" s="84"/>
      <c r="C789" s="60"/>
      <c r="D789" s="66"/>
      <c r="E789" s="66"/>
      <c r="F789" s="66"/>
      <c r="G789" s="66"/>
      <c r="H789" s="66"/>
      <c r="I789" s="66"/>
      <c r="J789" s="66"/>
      <c r="K789" s="66"/>
      <c r="L789" s="66"/>
      <c r="M789" s="66"/>
      <c r="N789" s="66"/>
    </row>
    <row r="790" spans="1:14" x14ac:dyDescent="0.2">
      <c r="A790" s="84"/>
      <c r="B790" s="84"/>
      <c r="C790" s="60"/>
      <c r="D790" s="66"/>
      <c r="E790" s="66"/>
      <c r="F790" s="66"/>
      <c r="G790" s="66"/>
      <c r="H790" s="66"/>
      <c r="I790" s="66"/>
      <c r="J790" s="66"/>
      <c r="K790" s="66"/>
      <c r="L790" s="66"/>
      <c r="M790" s="66"/>
      <c r="N790" s="66"/>
    </row>
    <row r="791" spans="1:14" x14ac:dyDescent="0.2">
      <c r="A791" s="84"/>
      <c r="B791" s="84"/>
      <c r="C791" s="60"/>
      <c r="D791" s="66"/>
      <c r="E791" s="66"/>
      <c r="F791" s="66"/>
      <c r="G791" s="66"/>
      <c r="H791" s="66"/>
      <c r="I791" s="66"/>
      <c r="J791" s="66"/>
      <c r="K791" s="66"/>
      <c r="L791" s="66"/>
      <c r="M791" s="66"/>
      <c r="N791" s="66"/>
    </row>
    <row r="792" spans="1:14" x14ac:dyDescent="0.2">
      <c r="A792" s="84"/>
      <c r="B792" s="84"/>
      <c r="C792" s="60"/>
      <c r="D792" s="66"/>
      <c r="E792" s="66"/>
      <c r="F792" s="66"/>
      <c r="G792" s="66"/>
      <c r="H792" s="66"/>
      <c r="I792" s="66"/>
      <c r="J792" s="66"/>
      <c r="K792" s="66"/>
      <c r="L792" s="66"/>
      <c r="M792" s="66"/>
      <c r="N792" s="66"/>
    </row>
    <row r="793" spans="1:14" x14ac:dyDescent="0.2">
      <c r="A793" s="84"/>
      <c r="B793" s="84"/>
      <c r="C793" s="60"/>
      <c r="D793" s="66"/>
      <c r="E793" s="66"/>
      <c r="F793" s="66"/>
      <c r="G793" s="66"/>
      <c r="H793" s="66"/>
      <c r="I793" s="66"/>
      <c r="J793" s="66"/>
      <c r="K793" s="66"/>
      <c r="L793" s="66"/>
      <c r="M793" s="66"/>
      <c r="N793" s="66"/>
    </row>
    <row r="794" spans="1:14" x14ac:dyDescent="0.2">
      <c r="A794" s="84"/>
      <c r="B794" s="84"/>
      <c r="C794" s="60"/>
      <c r="D794" s="66"/>
      <c r="E794" s="66"/>
      <c r="F794" s="66"/>
      <c r="G794" s="66"/>
      <c r="H794" s="66"/>
      <c r="I794" s="66"/>
      <c r="J794" s="66"/>
      <c r="K794" s="66"/>
      <c r="L794" s="66"/>
      <c r="M794" s="66"/>
      <c r="N794" s="66"/>
    </row>
    <row r="795" spans="1:14" x14ac:dyDescent="0.2">
      <c r="A795" s="84"/>
      <c r="B795" s="84"/>
      <c r="C795" s="60"/>
      <c r="D795" s="66"/>
      <c r="E795" s="66"/>
      <c r="F795" s="66"/>
      <c r="G795" s="66"/>
      <c r="H795" s="66"/>
      <c r="I795" s="66"/>
      <c r="J795" s="66"/>
      <c r="K795" s="66"/>
      <c r="L795" s="66"/>
      <c r="M795" s="66"/>
      <c r="N795" s="66"/>
    </row>
    <row r="796" spans="1:14" x14ac:dyDescent="0.2">
      <c r="A796" s="84"/>
      <c r="B796" s="84"/>
      <c r="C796" s="60"/>
      <c r="D796" s="66"/>
      <c r="E796" s="66"/>
      <c r="F796" s="66"/>
      <c r="G796" s="66"/>
      <c r="H796" s="66"/>
      <c r="I796" s="66"/>
      <c r="J796" s="66"/>
      <c r="K796" s="66"/>
      <c r="L796" s="66"/>
      <c r="M796" s="66"/>
      <c r="N796" s="66"/>
    </row>
    <row r="797" spans="1:14" x14ac:dyDescent="0.2">
      <c r="A797" s="84"/>
      <c r="B797" s="84"/>
      <c r="C797" s="60"/>
      <c r="D797" s="66"/>
      <c r="E797" s="66"/>
      <c r="F797" s="66"/>
      <c r="G797" s="66"/>
      <c r="H797" s="66"/>
      <c r="I797" s="66"/>
      <c r="J797" s="66"/>
      <c r="K797" s="66"/>
      <c r="L797" s="66"/>
      <c r="M797" s="66"/>
      <c r="N797" s="66"/>
    </row>
    <row r="798" spans="1:14" x14ac:dyDescent="0.2">
      <c r="A798" s="84"/>
      <c r="B798" s="84"/>
      <c r="C798" s="60"/>
      <c r="D798" s="66"/>
      <c r="E798" s="66"/>
      <c r="F798" s="66"/>
      <c r="G798" s="66"/>
      <c r="H798" s="66"/>
      <c r="I798" s="66"/>
      <c r="J798" s="66"/>
      <c r="K798" s="66"/>
      <c r="L798" s="66"/>
      <c r="M798" s="66"/>
      <c r="N798" s="66"/>
    </row>
    <row r="799" spans="1:14" x14ac:dyDescent="0.2">
      <c r="A799" s="84"/>
      <c r="B799" s="84"/>
      <c r="C799" s="60"/>
      <c r="D799" s="66"/>
      <c r="E799" s="66"/>
      <c r="F799" s="66"/>
      <c r="G799" s="66"/>
      <c r="H799" s="66"/>
      <c r="I799" s="66"/>
      <c r="J799" s="66"/>
      <c r="K799" s="66"/>
      <c r="L799" s="66"/>
      <c r="M799" s="66"/>
      <c r="N799" s="66"/>
    </row>
    <row r="800" spans="1:14" x14ac:dyDescent="0.2">
      <c r="A800" s="84"/>
      <c r="B800" s="84"/>
      <c r="C800" s="60"/>
      <c r="D800" s="66"/>
      <c r="E800" s="66"/>
      <c r="F800" s="66"/>
      <c r="G800" s="66"/>
      <c r="H800" s="66"/>
      <c r="I800" s="66"/>
      <c r="J800" s="66"/>
      <c r="K800" s="66"/>
      <c r="L800" s="66"/>
      <c r="M800" s="66"/>
      <c r="N800" s="66"/>
    </row>
    <row r="801" spans="1:14" x14ac:dyDescent="0.2">
      <c r="A801" s="84"/>
      <c r="B801" s="84"/>
      <c r="C801" s="60"/>
      <c r="D801" s="66"/>
      <c r="E801" s="66"/>
      <c r="F801" s="66"/>
      <c r="G801" s="66"/>
      <c r="H801" s="66"/>
      <c r="I801" s="66"/>
      <c r="J801" s="66"/>
      <c r="K801" s="66"/>
      <c r="L801" s="66"/>
      <c r="M801" s="66"/>
      <c r="N801" s="66"/>
    </row>
    <row r="802" spans="1:14" x14ac:dyDescent="0.2">
      <c r="A802" s="84"/>
      <c r="B802" s="84"/>
      <c r="C802" s="60"/>
      <c r="D802" s="66"/>
      <c r="E802" s="66"/>
      <c r="F802" s="66"/>
      <c r="G802" s="66"/>
      <c r="H802" s="66"/>
      <c r="I802" s="66"/>
      <c r="J802" s="66"/>
      <c r="K802" s="66"/>
      <c r="L802" s="66"/>
      <c r="M802" s="66"/>
      <c r="N802" s="66"/>
    </row>
    <row r="803" spans="1:14" x14ac:dyDescent="0.2">
      <c r="A803" s="84"/>
      <c r="B803" s="84"/>
      <c r="C803" s="60"/>
      <c r="D803" s="66"/>
      <c r="E803" s="66"/>
      <c r="F803" s="66"/>
      <c r="G803" s="66"/>
      <c r="H803" s="66"/>
      <c r="I803" s="66"/>
      <c r="J803" s="66"/>
      <c r="K803" s="66"/>
      <c r="L803" s="66"/>
      <c r="M803" s="66"/>
      <c r="N803" s="66"/>
    </row>
    <row r="804" spans="1:14" x14ac:dyDescent="0.2">
      <c r="A804" s="84"/>
      <c r="B804" s="84"/>
      <c r="C804" s="60"/>
      <c r="D804" s="66"/>
      <c r="E804" s="66"/>
      <c r="F804" s="66"/>
      <c r="G804" s="66"/>
      <c r="H804" s="66"/>
      <c r="I804" s="66"/>
      <c r="J804" s="66"/>
      <c r="K804" s="66"/>
      <c r="L804" s="66"/>
      <c r="M804" s="66"/>
      <c r="N804" s="66"/>
    </row>
    <row r="805" spans="1:14" x14ac:dyDescent="0.2">
      <c r="A805" s="84"/>
      <c r="B805" s="84"/>
      <c r="C805" s="60"/>
      <c r="D805" s="66"/>
      <c r="E805" s="66"/>
      <c r="F805" s="66"/>
      <c r="G805" s="66"/>
      <c r="H805" s="66"/>
      <c r="I805" s="66"/>
      <c r="J805" s="66"/>
      <c r="K805" s="66"/>
      <c r="L805" s="66"/>
      <c r="M805" s="66"/>
      <c r="N805" s="66"/>
    </row>
    <row r="806" spans="1:14" x14ac:dyDescent="0.2">
      <c r="A806" s="84"/>
      <c r="B806" s="84"/>
      <c r="C806" s="60"/>
      <c r="D806" s="66"/>
      <c r="E806" s="66"/>
      <c r="F806" s="66"/>
      <c r="G806" s="66"/>
      <c r="H806" s="66"/>
      <c r="I806" s="66"/>
      <c r="J806" s="66"/>
      <c r="K806" s="66"/>
      <c r="L806" s="66"/>
      <c r="M806" s="66"/>
      <c r="N806" s="66"/>
    </row>
    <row r="807" spans="1:14" x14ac:dyDescent="0.2">
      <c r="A807" s="84"/>
      <c r="B807" s="84"/>
      <c r="C807" s="60"/>
      <c r="D807" s="66"/>
      <c r="E807" s="66"/>
      <c r="F807" s="66"/>
      <c r="G807" s="66"/>
      <c r="H807" s="66"/>
      <c r="I807" s="66"/>
      <c r="J807" s="66"/>
      <c r="K807" s="66"/>
      <c r="L807" s="66"/>
      <c r="M807" s="66"/>
      <c r="N807" s="66"/>
    </row>
    <row r="808" spans="1:14" x14ac:dyDescent="0.2">
      <c r="A808" s="84"/>
      <c r="B808" s="84"/>
      <c r="C808" s="60"/>
      <c r="D808" s="66"/>
      <c r="E808" s="66"/>
      <c r="F808" s="66"/>
      <c r="G808" s="66"/>
      <c r="H808" s="66"/>
      <c r="I808" s="66"/>
      <c r="J808" s="66"/>
      <c r="K808" s="66"/>
      <c r="L808" s="66"/>
      <c r="M808" s="66"/>
      <c r="N808" s="66"/>
    </row>
    <row r="809" spans="1:14" x14ac:dyDescent="0.2">
      <c r="A809" s="84"/>
      <c r="B809" s="84"/>
      <c r="C809" s="60"/>
      <c r="D809" s="66"/>
      <c r="E809" s="66"/>
      <c r="F809" s="66"/>
      <c r="G809" s="66"/>
      <c r="H809" s="66"/>
      <c r="I809" s="66"/>
      <c r="J809" s="66"/>
      <c r="K809" s="66"/>
      <c r="L809" s="66"/>
      <c r="M809" s="66"/>
      <c r="N809" s="66"/>
    </row>
    <row r="810" spans="1:14" x14ac:dyDescent="0.2">
      <c r="A810" s="84"/>
      <c r="B810" s="84"/>
      <c r="C810" s="60"/>
      <c r="D810" s="66"/>
      <c r="E810" s="66"/>
      <c r="F810" s="66"/>
      <c r="G810" s="66"/>
      <c r="H810" s="66"/>
      <c r="I810" s="66"/>
      <c r="J810" s="66"/>
      <c r="K810" s="66"/>
      <c r="L810" s="66"/>
      <c r="M810" s="66"/>
      <c r="N810" s="66"/>
    </row>
    <row r="811" spans="1:14" x14ac:dyDescent="0.2">
      <c r="A811" s="84"/>
      <c r="B811" s="84"/>
      <c r="C811" s="60"/>
      <c r="D811" s="66"/>
      <c r="E811" s="66"/>
      <c r="F811" s="66"/>
      <c r="G811" s="66"/>
      <c r="H811" s="66"/>
      <c r="I811" s="66"/>
      <c r="J811" s="66"/>
      <c r="K811" s="66"/>
      <c r="L811" s="66"/>
      <c r="M811" s="66"/>
      <c r="N811" s="66"/>
    </row>
    <row r="812" spans="1:14" x14ac:dyDescent="0.2">
      <c r="A812" s="84"/>
      <c r="B812" s="84"/>
      <c r="C812" s="60"/>
      <c r="D812" s="66"/>
      <c r="E812" s="66"/>
      <c r="F812" s="66"/>
      <c r="G812" s="66"/>
      <c r="H812" s="66"/>
      <c r="I812" s="66"/>
      <c r="J812" s="66"/>
      <c r="K812" s="66"/>
      <c r="L812" s="66"/>
      <c r="M812" s="66"/>
      <c r="N812" s="66"/>
    </row>
    <row r="813" spans="1:14" x14ac:dyDescent="0.2">
      <c r="A813" s="84"/>
      <c r="B813" s="84"/>
      <c r="C813" s="60"/>
      <c r="D813" s="66"/>
      <c r="E813" s="66"/>
      <c r="F813" s="66"/>
      <c r="G813" s="66"/>
      <c r="H813" s="66"/>
      <c r="I813" s="66"/>
      <c r="J813" s="66"/>
      <c r="K813" s="66"/>
      <c r="L813" s="66"/>
      <c r="M813" s="66"/>
      <c r="N813" s="66"/>
    </row>
    <row r="814" spans="1:14" x14ac:dyDescent="0.2">
      <c r="A814" s="84"/>
      <c r="B814" s="84"/>
      <c r="C814" s="60"/>
      <c r="D814" s="66"/>
      <c r="E814" s="66"/>
      <c r="F814" s="66"/>
      <c r="G814" s="66"/>
      <c r="H814" s="66"/>
      <c r="I814" s="66"/>
      <c r="J814" s="66"/>
      <c r="K814" s="66"/>
      <c r="L814" s="66"/>
      <c r="M814" s="66"/>
      <c r="N814" s="66"/>
    </row>
    <row r="815" spans="1:14" x14ac:dyDescent="0.2">
      <c r="A815" s="84"/>
      <c r="B815" s="84"/>
      <c r="C815" s="60"/>
      <c r="D815" s="66"/>
      <c r="E815" s="66"/>
      <c r="F815" s="66"/>
      <c r="G815" s="66"/>
      <c r="H815" s="66"/>
      <c r="I815" s="66"/>
      <c r="J815" s="66"/>
      <c r="K815" s="66"/>
      <c r="L815" s="66"/>
      <c r="M815" s="66"/>
      <c r="N815" s="66"/>
    </row>
    <row r="816" spans="1:14" x14ac:dyDescent="0.2">
      <c r="A816" s="84"/>
      <c r="B816" s="84"/>
      <c r="C816" s="60"/>
      <c r="D816" s="66"/>
      <c r="E816" s="66"/>
      <c r="F816" s="66"/>
      <c r="G816" s="66"/>
      <c r="H816" s="66"/>
      <c r="I816" s="66"/>
      <c r="J816" s="66"/>
      <c r="K816" s="66"/>
      <c r="L816" s="66"/>
      <c r="M816" s="66"/>
      <c r="N816" s="66"/>
    </row>
    <row r="817" spans="1:14" x14ac:dyDescent="0.2">
      <c r="A817" s="84"/>
      <c r="B817" s="84"/>
      <c r="C817" s="60"/>
      <c r="D817" s="66"/>
      <c r="E817" s="66"/>
      <c r="F817" s="66"/>
      <c r="G817" s="66"/>
      <c r="H817" s="66"/>
      <c r="I817" s="66"/>
      <c r="J817" s="66"/>
      <c r="K817" s="66"/>
      <c r="L817" s="66"/>
      <c r="M817" s="66"/>
      <c r="N817" s="66"/>
    </row>
    <row r="818" spans="1:14" x14ac:dyDescent="0.2">
      <c r="A818" s="84"/>
      <c r="B818" s="84"/>
      <c r="C818" s="60"/>
      <c r="D818" s="66"/>
      <c r="E818" s="66"/>
      <c r="F818" s="66"/>
      <c r="G818" s="66"/>
      <c r="H818" s="66"/>
      <c r="I818" s="66"/>
      <c r="J818" s="66"/>
      <c r="K818" s="66"/>
      <c r="L818" s="66"/>
      <c r="M818" s="66"/>
      <c r="N818" s="66"/>
    </row>
    <row r="819" spans="1:14" x14ac:dyDescent="0.2">
      <c r="A819" s="84"/>
      <c r="B819" s="84"/>
      <c r="C819" s="60"/>
      <c r="D819" s="66"/>
      <c r="E819" s="66"/>
      <c r="F819" s="66"/>
      <c r="G819" s="66"/>
      <c r="H819" s="66"/>
      <c r="I819" s="66"/>
      <c r="J819" s="66"/>
      <c r="K819" s="66"/>
      <c r="L819" s="66"/>
      <c r="M819" s="66"/>
      <c r="N819" s="66"/>
    </row>
    <row r="820" spans="1:14" x14ac:dyDescent="0.2">
      <c r="A820" s="84"/>
      <c r="B820" s="84"/>
      <c r="C820" s="60"/>
      <c r="D820" s="66"/>
      <c r="E820" s="66"/>
      <c r="F820" s="66"/>
      <c r="G820" s="66"/>
      <c r="H820" s="66"/>
      <c r="I820" s="66"/>
      <c r="J820" s="66"/>
      <c r="K820" s="66"/>
      <c r="L820" s="66"/>
      <c r="M820" s="66"/>
      <c r="N820" s="66"/>
    </row>
    <row r="821" spans="1:14" x14ac:dyDescent="0.2">
      <c r="A821" s="84"/>
      <c r="B821" s="84"/>
      <c r="C821" s="60"/>
      <c r="D821" s="66"/>
      <c r="E821" s="66"/>
      <c r="F821" s="66"/>
      <c r="G821" s="66"/>
      <c r="H821" s="66"/>
      <c r="I821" s="66"/>
      <c r="J821" s="66"/>
      <c r="K821" s="66"/>
      <c r="L821" s="66"/>
      <c r="M821" s="66"/>
      <c r="N821" s="66"/>
    </row>
    <row r="822" spans="1:14" x14ac:dyDescent="0.2">
      <c r="A822" s="84"/>
      <c r="B822" s="84"/>
      <c r="C822" s="60"/>
      <c r="D822" s="66"/>
      <c r="E822" s="66"/>
      <c r="F822" s="66"/>
      <c r="G822" s="66"/>
      <c r="H822" s="66"/>
      <c r="I822" s="66"/>
      <c r="J822" s="66"/>
      <c r="K822" s="66"/>
      <c r="L822" s="66"/>
      <c r="M822" s="66"/>
      <c r="N822" s="66"/>
    </row>
    <row r="823" spans="1:14" x14ac:dyDescent="0.2">
      <c r="A823" s="84"/>
      <c r="B823" s="84"/>
      <c r="C823" s="60"/>
      <c r="D823" s="66"/>
      <c r="E823" s="66"/>
      <c r="F823" s="66"/>
      <c r="G823" s="66"/>
      <c r="H823" s="66"/>
      <c r="I823" s="66"/>
      <c r="J823" s="66"/>
      <c r="K823" s="66"/>
      <c r="L823" s="66"/>
      <c r="M823" s="66"/>
      <c r="N823" s="66"/>
    </row>
    <row r="824" spans="1:14" x14ac:dyDescent="0.2">
      <c r="A824" s="84"/>
      <c r="B824" s="84"/>
      <c r="C824" s="60"/>
      <c r="D824" s="66"/>
      <c r="E824" s="66"/>
      <c r="F824" s="66"/>
      <c r="G824" s="66"/>
      <c r="H824" s="66"/>
      <c r="I824" s="66"/>
      <c r="J824" s="66"/>
      <c r="K824" s="66"/>
      <c r="L824" s="66"/>
      <c r="M824" s="66"/>
      <c r="N824" s="66"/>
    </row>
    <row r="825" spans="1:14" x14ac:dyDescent="0.2">
      <c r="A825" s="84"/>
      <c r="B825" s="84"/>
      <c r="C825" s="60"/>
      <c r="D825" s="66"/>
      <c r="E825" s="66"/>
      <c r="F825" s="66"/>
      <c r="G825" s="66"/>
      <c r="H825" s="66"/>
      <c r="I825" s="66"/>
      <c r="J825" s="66"/>
      <c r="K825" s="66"/>
      <c r="L825" s="66"/>
      <c r="M825" s="66"/>
      <c r="N825" s="66"/>
    </row>
    <row r="826" spans="1:14" x14ac:dyDescent="0.2">
      <c r="A826" s="84"/>
      <c r="B826" s="84"/>
      <c r="C826" s="60"/>
      <c r="D826" s="66"/>
      <c r="E826" s="66"/>
      <c r="F826" s="66"/>
      <c r="G826" s="66"/>
      <c r="H826" s="66"/>
      <c r="I826" s="66"/>
      <c r="J826" s="66"/>
      <c r="K826" s="66"/>
      <c r="L826" s="66"/>
      <c r="M826" s="66"/>
      <c r="N826" s="66"/>
    </row>
    <row r="827" spans="1:14" x14ac:dyDescent="0.2">
      <c r="A827" s="84"/>
      <c r="B827" s="84"/>
      <c r="C827" s="60"/>
      <c r="D827" s="66"/>
      <c r="E827" s="66"/>
      <c r="F827" s="66"/>
      <c r="G827" s="66"/>
      <c r="H827" s="66"/>
      <c r="I827" s="66"/>
      <c r="J827" s="66"/>
      <c r="K827" s="66"/>
      <c r="L827" s="66"/>
      <c r="M827" s="66"/>
      <c r="N827" s="66"/>
    </row>
    <row r="828" spans="1:14" x14ac:dyDescent="0.2">
      <c r="A828" s="84"/>
      <c r="B828" s="84"/>
      <c r="C828" s="60"/>
      <c r="D828" s="66"/>
      <c r="E828" s="66"/>
      <c r="F828" s="66"/>
      <c r="G828" s="66"/>
      <c r="H828" s="66"/>
      <c r="I828" s="66"/>
      <c r="J828" s="66"/>
      <c r="K828" s="66"/>
      <c r="L828" s="66"/>
      <c r="M828" s="66"/>
      <c r="N828" s="66"/>
    </row>
    <row r="829" spans="1:14" x14ac:dyDescent="0.2">
      <c r="A829" s="84"/>
      <c r="B829" s="84"/>
      <c r="C829" s="60"/>
      <c r="D829" s="66"/>
      <c r="E829" s="66"/>
      <c r="F829" s="66"/>
      <c r="G829" s="66"/>
      <c r="H829" s="66"/>
      <c r="I829" s="66"/>
      <c r="J829" s="66"/>
      <c r="K829" s="66"/>
      <c r="L829" s="66"/>
      <c r="M829" s="66"/>
      <c r="N829" s="66"/>
    </row>
    <row r="830" spans="1:14" x14ac:dyDescent="0.2">
      <c r="A830" s="84"/>
      <c r="B830" s="84"/>
      <c r="C830" s="60"/>
      <c r="D830" s="66"/>
      <c r="E830" s="66"/>
      <c r="F830" s="66"/>
      <c r="G830" s="66"/>
      <c r="H830" s="66"/>
      <c r="I830" s="66"/>
      <c r="J830" s="66"/>
      <c r="K830" s="66"/>
      <c r="L830" s="66"/>
      <c r="M830" s="66"/>
      <c r="N830" s="66"/>
    </row>
    <row r="831" spans="1:14" x14ac:dyDescent="0.2">
      <c r="A831" s="84"/>
      <c r="B831" s="84"/>
      <c r="C831" s="60"/>
      <c r="D831" s="66"/>
      <c r="E831" s="66"/>
      <c r="F831" s="66"/>
      <c r="G831" s="66"/>
      <c r="H831" s="66"/>
      <c r="I831" s="66"/>
      <c r="J831" s="66"/>
      <c r="K831" s="66"/>
      <c r="L831" s="66"/>
      <c r="M831" s="66"/>
      <c r="N831" s="66"/>
    </row>
    <row r="832" spans="1:14" x14ac:dyDescent="0.2">
      <c r="A832" s="84"/>
      <c r="B832" s="84"/>
      <c r="C832" s="60"/>
      <c r="D832" s="66"/>
      <c r="E832" s="66"/>
      <c r="F832" s="66"/>
      <c r="G832" s="66"/>
      <c r="H832" s="66"/>
      <c r="I832" s="66"/>
      <c r="J832" s="66"/>
      <c r="K832" s="66"/>
      <c r="L832" s="66"/>
      <c r="M832" s="66"/>
      <c r="N832" s="66"/>
    </row>
    <row r="833" spans="1:14" x14ac:dyDescent="0.2">
      <c r="A833" s="84"/>
      <c r="B833" s="84"/>
      <c r="C833" s="60"/>
      <c r="D833" s="66"/>
      <c r="E833" s="66"/>
      <c r="F833" s="66"/>
      <c r="G833" s="66"/>
      <c r="H833" s="66"/>
      <c r="I833" s="66"/>
      <c r="J833" s="66"/>
      <c r="K833" s="66"/>
      <c r="L833" s="66"/>
      <c r="M833" s="66"/>
      <c r="N833" s="66"/>
    </row>
    <row r="834" spans="1:14" x14ac:dyDescent="0.2">
      <c r="A834" s="84"/>
      <c r="B834" s="84"/>
      <c r="C834" s="60"/>
      <c r="D834" s="66"/>
      <c r="E834" s="66"/>
      <c r="F834" s="66"/>
      <c r="G834" s="66"/>
      <c r="H834" s="66"/>
      <c r="I834" s="66"/>
      <c r="J834" s="66"/>
      <c r="K834" s="66"/>
      <c r="L834" s="66"/>
      <c r="M834" s="66"/>
      <c r="N834" s="66"/>
    </row>
    <row r="835" spans="1:14" x14ac:dyDescent="0.2">
      <c r="A835" s="84"/>
      <c r="B835" s="84"/>
      <c r="C835" s="60"/>
      <c r="D835" s="66"/>
      <c r="E835" s="66"/>
      <c r="F835" s="66"/>
      <c r="G835" s="66"/>
      <c r="H835" s="66"/>
      <c r="I835" s="66"/>
      <c r="J835" s="66"/>
      <c r="K835" s="66"/>
      <c r="L835" s="66"/>
      <c r="M835" s="66"/>
      <c r="N835" s="66"/>
    </row>
    <row r="836" spans="1:14" x14ac:dyDescent="0.2">
      <c r="A836" s="84"/>
      <c r="B836" s="84"/>
      <c r="C836" s="60"/>
      <c r="D836" s="66"/>
      <c r="E836" s="66"/>
      <c r="F836" s="66"/>
      <c r="G836" s="66"/>
      <c r="H836" s="66"/>
      <c r="I836" s="66"/>
      <c r="J836" s="66"/>
      <c r="K836" s="66"/>
      <c r="L836" s="66"/>
      <c r="M836" s="66"/>
      <c r="N836" s="66"/>
    </row>
    <row r="837" spans="1:14" x14ac:dyDescent="0.2">
      <c r="A837" s="84"/>
      <c r="B837" s="84"/>
      <c r="C837" s="60"/>
      <c r="D837" s="66"/>
      <c r="E837" s="66"/>
      <c r="F837" s="66"/>
      <c r="G837" s="66"/>
      <c r="H837" s="66"/>
      <c r="I837" s="66"/>
      <c r="J837" s="66"/>
      <c r="K837" s="66"/>
      <c r="L837" s="66"/>
      <c r="M837" s="66"/>
      <c r="N837" s="66"/>
    </row>
    <row r="838" spans="1:14" x14ac:dyDescent="0.2">
      <c r="A838" s="84"/>
      <c r="B838" s="84"/>
      <c r="C838" s="60"/>
      <c r="D838" s="66"/>
      <c r="E838" s="66"/>
      <c r="F838" s="66"/>
      <c r="G838" s="66"/>
      <c r="H838" s="66"/>
      <c r="I838" s="66"/>
      <c r="J838" s="66"/>
      <c r="K838" s="66"/>
      <c r="L838" s="66"/>
      <c r="M838" s="66"/>
      <c r="N838" s="66"/>
    </row>
    <row r="839" spans="1:14" x14ac:dyDescent="0.2">
      <c r="A839" s="84"/>
      <c r="B839" s="84"/>
      <c r="C839" s="60"/>
      <c r="D839" s="66"/>
      <c r="E839" s="66"/>
      <c r="F839" s="66"/>
      <c r="G839" s="66"/>
      <c r="H839" s="66"/>
      <c r="I839" s="66"/>
      <c r="J839" s="66"/>
      <c r="K839" s="66"/>
      <c r="L839" s="66"/>
      <c r="M839" s="66"/>
      <c r="N839" s="66"/>
    </row>
    <row r="840" spans="1:14" x14ac:dyDescent="0.2">
      <c r="A840" s="84"/>
      <c r="B840" s="84"/>
      <c r="C840" s="60"/>
      <c r="D840" s="66"/>
      <c r="E840" s="66"/>
      <c r="F840" s="66"/>
      <c r="G840" s="66"/>
      <c r="H840" s="66"/>
      <c r="I840" s="66"/>
      <c r="J840" s="66"/>
      <c r="K840" s="66"/>
      <c r="L840" s="66"/>
      <c r="M840" s="66"/>
      <c r="N840" s="66"/>
    </row>
    <row r="841" spans="1:14" x14ac:dyDescent="0.2">
      <c r="A841" s="84"/>
      <c r="B841" s="84"/>
      <c r="C841" s="60"/>
      <c r="D841" s="66"/>
      <c r="E841" s="66"/>
      <c r="F841" s="66"/>
      <c r="G841" s="66"/>
      <c r="H841" s="66"/>
      <c r="I841" s="66"/>
      <c r="J841" s="66"/>
      <c r="K841" s="66"/>
      <c r="L841" s="66"/>
      <c r="M841" s="66"/>
      <c r="N841" s="66"/>
    </row>
    <row r="842" spans="1:14" x14ac:dyDescent="0.2">
      <c r="A842" s="84"/>
      <c r="B842" s="84"/>
      <c r="C842" s="60"/>
      <c r="D842" s="66"/>
      <c r="E842" s="66"/>
      <c r="F842" s="66"/>
      <c r="G842" s="66"/>
      <c r="H842" s="66"/>
      <c r="I842" s="66"/>
      <c r="J842" s="66"/>
      <c r="K842" s="66"/>
      <c r="L842" s="66"/>
      <c r="M842" s="66"/>
      <c r="N842" s="66"/>
    </row>
    <row r="843" spans="1:14" x14ac:dyDescent="0.2">
      <c r="A843" s="84"/>
      <c r="B843" s="84"/>
      <c r="C843" s="60"/>
      <c r="D843" s="66"/>
      <c r="E843" s="66"/>
      <c r="F843" s="66"/>
      <c r="G843" s="66"/>
      <c r="H843" s="66"/>
      <c r="I843" s="66"/>
      <c r="J843" s="66"/>
      <c r="K843" s="66"/>
      <c r="L843" s="66"/>
      <c r="M843" s="66"/>
      <c r="N843" s="66"/>
    </row>
    <row r="844" spans="1:14" x14ac:dyDescent="0.2">
      <c r="A844" s="84"/>
      <c r="B844" s="84"/>
      <c r="C844" s="60"/>
      <c r="D844" s="66"/>
      <c r="E844" s="66"/>
      <c r="F844" s="66"/>
      <c r="G844" s="66"/>
      <c r="H844" s="66"/>
      <c r="I844" s="66"/>
      <c r="J844" s="66"/>
      <c r="K844" s="66"/>
      <c r="L844" s="66"/>
      <c r="M844" s="66"/>
      <c r="N844" s="66"/>
    </row>
    <row r="845" spans="1:14" x14ac:dyDescent="0.2">
      <c r="A845" s="84"/>
      <c r="B845" s="84"/>
      <c r="C845" s="60"/>
      <c r="D845" s="66"/>
      <c r="E845" s="66"/>
      <c r="F845" s="66"/>
      <c r="G845" s="66"/>
      <c r="H845" s="66"/>
      <c r="I845" s="66"/>
      <c r="J845" s="66"/>
      <c r="K845" s="66"/>
      <c r="L845" s="66"/>
      <c r="M845" s="66"/>
      <c r="N845" s="66"/>
    </row>
    <row r="846" spans="1:14" x14ac:dyDescent="0.2">
      <c r="A846" s="84"/>
      <c r="B846" s="84"/>
      <c r="C846" s="60"/>
      <c r="D846" s="66"/>
      <c r="E846" s="66"/>
      <c r="F846" s="66"/>
      <c r="G846" s="66"/>
      <c r="H846" s="66"/>
      <c r="I846" s="66"/>
      <c r="J846" s="66"/>
      <c r="K846" s="66"/>
      <c r="L846" s="66"/>
      <c r="M846" s="66"/>
      <c r="N846" s="66"/>
    </row>
    <row r="847" spans="1:14" x14ac:dyDescent="0.2">
      <c r="A847" s="84"/>
      <c r="B847" s="84"/>
      <c r="C847" s="60"/>
      <c r="D847" s="66"/>
      <c r="E847" s="66"/>
      <c r="F847" s="66"/>
      <c r="G847" s="66"/>
      <c r="H847" s="66"/>
      <c r="I847" s="66"/>
      <c r="J847" s="66"/>
      <c r="K847" s="66"/>
      <c r="L847" s="66"/>
      <c r="M847" s="66"/>
      <c r="N847" s="66"/>
    </row>
    <row r="848" spans="1:14" x14ac:dyDescent="0.2">
      <c r="A848" s="84"/>
      <c r="B848" s="84"/>
      <c r="C848" s="60"/>
      <c r="D848" s="66"/>
      <c r="E848" s="66"/>
      <c r="F848" s="66"/>
      <c r="G848" s="66"/>
      <c r="H848" s="66"/>
      <c r="I848" s="66"/>
      <c r="J848" s="66"/>
      <c r="K848" s="66"/>
      <c r="L848" s="66"/>
      <c r="M848" s="66"/>
      <c r="N848" s="66"/>
    </row>
    <row r="849" spans="1:14" x14ac:dyDescent="0.2">
      <c r="A849" s="84"/>
      <c r="B849" s="84"/>
      <c r="C849" s="60"/>
      <c r="D849" s="66"/>
      <c r="E849" s="66"/>
      <c r="F849" s="66"/>
      <c r="G849" s="66"/>
      <c r="H849" s="66"/>
      <c r="I849" s="66"/>
      <c r="J849" s="66"/>
      <c r="K849" s="66"/>
      <c r="L849" s="66"/>
      <c r="M849" s="66"/>
      <c r="N849" s="66"/>
    </row>
    <row r="850" spans="1:14" x14ac:dyDescent="0.2">
      <c r="A850" s="84"/>
      <c r="B850" s="84"/>
      <c r="C850" s="60"/>
      <c r="D850" s="66"/>
      <c r="E850" s="66"/>
      <c r="F850" s="66"/>
      <c r="G850" s="66"/>
      <c r="H850" s="66"/>
      <c r="I850" s="66"/>
      <c r="J850" s="66"/>
      <c r="K850" s="66"/>
      <c r="L850" s="66"/>
      <c r="M850" s="66"/>
      <c r="N850" s="66"/>
    </row>
    <row r="851" spans="1:14" x14ac:dyDescent="0.2">
      <c r="A851" s="84"/>
      <c r="B851" s="84"/>
      <c r="C851" s="60"/>
      <c r="D851" s="66"/>
      <c r="E851" s="66"/>
      <c r="F851" s="66"/>
      <c r="G851" s="66"/>
      <c r="H851" s="66"/>
      <c r="I851" s="66"/>
      <c r="J851" s="66"/>
      <c r="K851" s="66"/>
      <c r="L851" s="66"/>
      <c r="M851" s="66"/>
      <c r="N851" s="66"/>
    </row>
    <row r="852" spans="1:14" x14ac:dyDescent="0.2">
      <c r="A852" s="84"/>
      <c r="B852" s="84"/>
      <c r="C852" s="60"/>
      <c r="D852" s="66"/>
      <c r="E852" s="66"/>
      <c r="F852" s="66"/>
      <c r="G852" s="66"/>
      <c r="H852" s="66"/>
      <c r="I852" s="66"/>
      <c r="J852" s="66"/>
      <c r="K852" s="66"/>
      <c r="L852" s="66"/>
      <c r="M852" s="66"/>
      <c r="N852" s="66"/>
    </row>
    <row r="853" spans="1:14" x14ac:dyDescent="0.2">
      <c r="A853" s="84"/>
      <c r="B853" s="84"/>
      <c r="C853" s="60"/>
      <c r="D853" s="66"/>
      <c r="E853" s="66"/>
      <c r="F853" s="66"/>
      <c r="G853" s="66"/>
      <c r="H853" s="66"/>
      <c r="I853" s="66"/>
      <c r="J853" s="66"/>
      <c r="K853" s="66"/>
      <c r="L853" s="66"/>
      <c r="M853" s="66"/>
      <c r="N853" s="66"/>
    </row>
    <row r="854" spans="1:14" x14ac:dyDescent="0.2">
      <c r="A854" s="84"/>
      <c r="B854" s="84"/>
      <c r="C854" s="60"/>
      <c r="D854" s="66"/>
      <c r="E854" s="66"/>
      <c r="F854" s="66"/>
      <c r="G854" s="66"/>
      <c r="H854" s="66"/>
      <c r="I854" s="66"/>
      <c r="J854" s="66"/>
      <c r="K854" s="66"/>
      <c r="L854" s="66"/>
      <c r="M854" s="66"/>
      <c r="N854" s="66"/>
    </row>
    <row r="855" spans="1:14" x14ac:dyDescent="0.2">
      <c r="A855" s="84"/>
      <c r="B855" s="84"/>
      <c r="C855" s="60"/>
      <c r="D855" s="66"/>
      <c r="E855" s="66"/>
      <c r="F855" s="66"/>
      <c r="G855" s="66"/>
      <c r="H855" s="66"/>
      <c r="I855" s="66"/>
      <c r="J855" s="66"/>
      <c r="K855" s="66"/>
      <c r="L855" s="66"/>
      <c r="M855" s="66"/>
      <c r="N855" s="66"/>
    </row>
    <row r="856" spans="1:14" x14ac:dyDescent="0.2">
      <c r="A856" s="84"/>
      <c r="B856" s="84"/>
      <c r="C856" s="60"/>
      <c r="D856" s="66"/>
      <c r="E856" s="66"/>
      <c r="F856" s="66"/>
      <c r="G856" s="66"/>
      <c r="H856" s="66"/>
      <c r="I856" s="66"/>
      <c r="J856" s="66"/>
      <c r="K856" s="66"/>
      <c r="L856" s="66"/>
      <c r="M856" s="66"/>
      <c r="N856" s="66"/>
    </row>
    <row r="857" spans="1:14" x14ac:dyDescent="0.2">
      <c r="A857" s="84"/>
      <c r="B857" s="84"/>
      <c r="C857" s="60"/>
      <c r="D857" s="66"/>
      <c r="E857" s="66"/>
      <c r="F857" s="66"/>
      <c r="G857" s="66"/>
      <c r="H857" s="66"/>
      <c r="I857" s="66"/>
      <c r="J857" s="66"/>
      <c r="K857" s="66"/>
      <c r="L857" s="66"/>
      <c r="M857" s="66"/>
      <c r="N857" s="66"/>
    </row>
    <row r="858" spans="1:14" x14ac:dyDescent="0.2">
      <c r="A858" s="84"/>
      <c r="B858" s="84"/>
      <c r="C858" s="60"/>
      <c r="D858" s="66"/>
      <c r="E858" s="66"/>
      <c r="F858" s="66"/>
      <c r="G858" s="66"/>
      <c r="H858" s="66"/>
      <c r="I858" s="66"/>
      <c r="J858" s="66"/>
      <c r="K858" s="66"/>
      <c r="L858" s="66"/>
      <c r="M858" s="66"/>
      <c r="N858" s="66"/>
    </row>
    <row r="859" spans="1:14" x14ac:dyDescent="0.2">
      <c r="A859" s="84"/>
      <c r="B859" s="84"/>
      <c r="C859" s="60"/>
      <c r="D859" s="66"/>
      <c r="E859" s="66"/>
      <c r="F859" s="66"/>
      <c r="G859" s="66"/>
      <c r="H859" s="66"/>
      <c r="I859" s="66"/>
      <c r="J859" s="66"/>
      <c r="K859" s="66"/>
      <c r="L859" s="66"/>
      <c r="M859" s="66"/>
      <c r="N859" s="66"/>
    </row>
    <row r="860" spans="1:14" x14ac:dyDescent="0.2">
      <c r="A860" s="84"/>
      <c r="B860" s="84"/>
      <c r="C860" s="60"/>
      <c r="D860" s="66"/>
      <c r="E860" s="66"/>
      <c r="F860" s="66"/>
      <c r="G860" s="66"/>
      <c r="H860" s="66"/>
      <c r="I860" s="66"/>
      <c r="J860" s="66"/>
      <c r="K860" s="66"/>
      <c r="L860" s="66"/>
      <c r="M860" s="66"/>
      <c r="N860" s="66"/>
    </row>
    <row r="861" spans="1:14" x14ac:dyDescent="0.2">
      <c r="A861" s="84"/>
      <c r="B861" s="84"/>
      <c r="C861" s="60"/>
      <c r="D861" s="66"/>
      <c r="E861" s="66"/>
      <c r="F861" s="66"/>
      <c r="G861" s="66"/>
      <c r="H861" s="66"/>
      <c r="I861" s="66"/>
      <c r="J861" s="66"/>
      <c r="K861" s="66"/>
      <c r="L861" s="66"/>
      <c r="M861" s="66"/>
      <c r="N861" s="66"/>
    </row>
    <row r="862" spans="1:14" x14ac:dyDescent="0.2">
      <c r="A862" s="84"/>
      <c r="B862" s="84"/>
      <c r="C862" s="60"/>
      <c r="D862" s="66"/>
      <c r="E862" s="66"/>
      <c r="F862" s="66"/>
      <c r="G862" s="66"/>
      <c r="H862" s="66"/>
      <c r="I862" s="66"/>
      <c r="J862" s="66"/>
      <c r="K862" s="66"/>
      <c r="L862" s="66"/>
      <c r="M862" s="66"/>
      <c r="N862" s="66"/>
    </row>
    <row r="863" spans="1:14" x14ac:dyDescent="0.2">
      <c r="A863" s="84"/>
      <c r="B863" s="84"/>
      <c r="C863" s="60"/>
      <c r="D863" s="66"/>
      <c r="E863" s="66"/>
      <c r="F863" s="66"/>
      <c r="G863" s="66"/>
      <c r="H863" s="66"/>
      <c r="I863" s="66"/>
      <c r="J863" s="66"/>
      <c r="K863" s="66"/>
      <c r="L863" s="66"/>
      <c r="M863" s="66"/>
      <c r="N863" s="66"/>
    </row>
    <row r="864" spans="1:14" x14ac:dyDescent="0.2">
      <c r="A864" s="84"/>
      <c r="B864" s="84"/>
      <c r="C864" s="60"/>
      <c r="D864" s="66"/>
      <c r="E864" s="66"/>
      <c r="F864" s="66"/>
      <c r="G864" s="66"/>
      <c r="H864" s="66"/>
      <c r="I864" s="66"/>
      <c r="J864" s="66"/>
      <c r="K864" s="66"/>
      <c r="L864" s="66"/>
      <c r="M864" s="66"/>
      <c r="N864" s="66"/>
    </row>
    <row r="865" spans="1:14" x14ac:dyDescent="0.2">
      <c r="A865" s="84"/>
      <c r="B865" s="84"/>
      <c r="C865" s="60"/>
      <c r="D865" s="66"/>
      <c r="E865" s="66"/>
      <c r="F865" s="66"/>
      <c r="G865" s="66"/>
      <c r="H865" s="66"/>
      <c r="I865" s="66"/>
      <c r="J865" s="66"/>
      <c r="K865" s="66"/>
      <c r="L865" s="66"/>
      <c r="M865" s="66"/>
      <c r="N865" s="66"/>
    </row>
    <row r="866" spans="1:14" x14ac:dyDescent="0.2">
      <c r="A866" s="84"/>
      <c r="B866" s="84"/>
      <c r="C866" s="60"/>
      <c r="D866" s="66"/>
      <c r="E866" s="66"/>
      <c r="F866" s="66"/>
      <c r="G866" s="66"/>
      <c r="H866" s="66"/>
      <c r="I866" s="66"/>
      <c r="J866" s="66"/>
      <c r="K866" s="66"/>
      <c r="L866" s="66"/>
      <c r="M866" s="66"/>
      <c r="N866" s="66"/>
    </row>
    <row r="867" spans="1:14" x14ac:dyDescent="0.2">
      <c r="A867" s="84"/>
      <c r="B867" s="84"/>
      <c r="C867" s="60"/>
      <c r="D867" s="66"/>
      <c r="E867" s="66"/>
      <c r="F867" s="66"/>
      <c r="G867" s="66"/>
      <c r="H867" s="66"/>
      <c r="I867" s="66"/>
      <c r="J867" s="66"/>
      <c r="K867" s="66"/>
      <c r="L867" s="66"/>
      <c r="M867" s="66"/>
      <c r="N867" s="66"/>
    </row>
    <row r="868" spans="1:14" x14ac:dyDescent="0.2">
      <c r="A868" s="84"/>
      <c r="B868" s="84"/>
      <c r="C868" s="60"/>
      <c r="D868" s="66"/>
      <c r="E868" s="66"/>
      <c r="F868" s="66"/>
      <c r="G868" s="66"/>
      <c r="H868" s="66"/>
      <c r="I868" s="66"/>
      <c r="J868" s="66"/>
      <c r="K868" s="66"/>
      <c r="L868" s="66"/>
      <c r="M868" s="66"/>
      <c r="N868" s="66"/>
    </row>
    <row r="869" spans="1:14" x14ac:dyDescent="0.2">
      <c r="A869" s="84"/>
      <c r="B869" s="84"/>
      <c r="C869" s="60"/>
      <c r="D869" s="66"/>
      <c r="E869" s="66"/>
      <c r="F869" s="66"/>
      <c r="G869" s="66"/>
      <c r="H869" s="66"/>
      <c r="I869" s="66"/>
      <c r="J869" s="66"/>
      <c r="K869" s="66"/>
      <c r="L869" s="66"/>
      <c r="M869" s="66"/>
      <c r="N869" s="66"/>
    </row>
    <row r="870" spans="1:14" x14ac:dyDescent="0.2">
      <c r="A870" s="84"/>
      <c r="B870" s="84"/>
      <c r="C870" s="60"/>
      <c r="D870" s="66"/>
      <c r="E870" s="66"/>
      <c r="F870" s="66"/>
      <c r="G870" s="66"/>
      <c r="H870" s="66"/>
      <c r="I870" s="66"/>
      <c r="J870" s="66"/>
      <c r="K870" s="66"/>
      <c r="L870" s="66"/>
      <c r="M870" s="66"/>
      <c r="N870" s="66"/>
    </row>
    <row r="871" spans="1:14" x14ac:dyDescent="0.2">
      <c r="A871" s="84"/>
      <c r="B871" s="84"/>
      <c r="C871" s="60"/>
      <c r="D871" s="66"/>
      <c r="E871" s="66"/>
      <c r="F871" s="66"/>
      <c r="G871" s="66"/>
      <c r="H871" s="66"/>
      <c r="I871" s="66"/>
      <c r="J871" s="66"/>
      <c r="K871" s="66"/>
      <c r="L871" s="66"/>
      <c r="M871" s="66"/>
      <c r="N871" s="66"/>
    </row>
    <row r="872" spans="1:14" x14ac:dyDescent="0.2">
      <c r="A872" s="84"/>
      <c r="B872" s="84"/>
      <c r="C872" s="60"/>
      <c r="D872" s="66"/>
      <c r="E872" s="66"/>
      <c r="F872" s="66"/>
      <c r="G872" s="66"/>
      <c r="H872" s="66"/>
      <c r="I872" s="66"/>
      <c r="J872" s="66"/>
      <c r="K872" s="66"/>
      <c r="L872" s="66"/>
      <c r="M872" s="66"/>
      <c r="N872" s="66"/>
    </row>
    <row r="873" spans="1:14" x14ac:dyDescent="0.2">
      <c r="A873" s="84"/>
      <c r="B873" s="84"/>
      <c r="C873" s="60"/>
      <c r="D873" s="66"/>
      <c r="E873" s="66"/>
      <c r="F873" s="66"/>
      <c r="G873" s="66"/>
      <c r="H873" s="66"/>
      <c r="I873" s="66"/>
      <c r="J873" s="66"/>
      <c r="K873" s="66"/>
      <c r="L873" s="66"/>
      <c r="M873" s="66"/>
      <c r="N873" s="66"/>
    </row>
    <row r="874" spans="1:14" x14ac:dyDescent="0.2">
      <c r="A874" s="84"/>
      <c r="B874" s="84"/>
      <c r="C874" s="60"/>
      <c r="D874" s="66"/>
      <c r="E874" s="66"/>
      <c r="F874" s="66"/>
      <c r="G874" s="66"/>
      <c r="H874" s="66"/>
      <c r="I874" s="66"/>
      <c r="J874" s="66"/>
      <c r="K874" s="66"/>
      <c r="L874" s="66"/>
      <c r="M874" s="66"/>
      <c r="N874" s="66"/>
    </row>
    <row r="875" spans="1:14" x14ac:dyDescent="0.2">
      <c r="A875" s="84"/>
      <c r="B875" s="84"/>
      <c r="C875" s="60"/>
      <c r="D875" s="66"/>
      <c r="E875" s="66"/>
      <c r="F875" s="66"/>
      <c r="G875" s="66"/>
      <c r="H875" s="66"/>
      <c r="I875" s="66"/>
      <c r="J875" s="66"/>
      <c r="K875" s="66"/>
      <c r="L875" s="66"/>
      <c r="M875" s="66"/>
      <c r="N875" s="66"/>
    </row>
    <row r="876" spans="1:14" x14ac:dyDescent="0.2">
      <c r="A876" s="84"/>
      <c r="B876" s="84"/>
      <c r="C876" s="60"/>
      <c r="D876" s="66"/>
      <c r="E876" s="66"/>
      <c r="F876" s="66"/>
      <c r="G876" s="66"/>
      <c r="H876" s="66"/>
      <c r="I876" s="66"/>
      <c r="J876" s="66"/>
      <c r="K876" s="66"/>
      <c r="L876" s="66"/>
      <c r="M876" s="66"/>
      <c r="N876" s="66"/>
    </row>
    <row r="877" spans="1:14" x14ac:dyDescent="0.2">
      <c r="A877" s="84"/>
      <c r="B877" s="84"/>
      <c r="C877" s="60"/>
      <c r="D877" s="66"/>
      <c r="E877" s="66"/>
      <c r="F877" s="66"/>
      <c r="G877" s="66"/>
      <c r="H877" s="66"/>
      <c r="I877" s="66"/>
      <c r="J877" s="66"/>
      <c r="K877" s="66"/>
      <c r="L877" s="66"/>
      <c r="M877" s="66"/>
      <c r="N877" s="66"/>
    </row>
    <row r="878" spans="1:14" x14ac:dyDescent="0.2">
      <c r="A878" s="84"/>
      <c r="B878" s="84"/>
      <c r="C878" s="60"/>
      <c r="D878" s="66"/>
      <c r="E878" s="66"/>
      <c r="F878" s="66"/>
      <c r="G878" s="66"/>
      <c r="H878" s="66"/>
      <c r="I878" s="66"/>
      <c r="J878" s="66"/>
      <c r="K878" s="66"/>
      <c r="L878" s="66"/>
      <c r="M878" s="66"/>
      <c r="N878" s="66"/>
    </row>
    <row r="879" spans="1:14" x14ac:dyDescent="0.2">
      <c r="A879" s="84"/>
      <c r="B879" s="84"/>
      <c r="C879" s="60"/>
      <c r="D879" s="66"/>
      <c r="E879" s="66"/>
      <c r="F879" s="66"/>
      <c r="G879" s="66"/>
      <c r="H879" s="66"/>
      <c r="I879" s="66"/>
      <c r="J879" s="66"/>
      <c r="K879" s="66"/>
      <c r="L879" s="66"/>
      <c r="M879" s="66"/>
      <c r="N879" s="66"/>
    </row>
    <row r="880" spans="1:14" x14ac:dyDescent="0.2">
      <c r="A880" s="84"/>
      <c r="B880" s="84"/>
      <c r="C880" s="60"/>
      <c r="D880" s="66"/>
      <c r="E880" s="66"/>
      <c r="F880" s="66"/>
      <c r="G880" s="66"/>
      <c r="H880" s="66"/>
      <c r="I880" s="66"/>
      <c r="J880" s="66"/>
      <c r="K880" s="66"/>
      <c r="L880" s="66"/>
      <c r="M880" s="66"/>
      <c r="N880" s="66"/>
    </row>
    <row r="881" spans="1:14" x14ac:dyDescent="0.2">
      <c r="A881" s="84"/>
      <c r="B881" s="84"/>
      <c r="C881" s="60"/>
      <c r="D881" s="66"/>
      <c r="E881" s="66"/>
      <c r="F881" s="66"/>
      <c r="G881" s="66"/>
      <c r="H881" s="66"/>
      <c r="I881" s="66"/>
      <c r="J881" s="66"/>
      <c r="K881" s="66"/>
      <c r="L881" s="66"/>
      <c r="M881" s="66"/>
      <c r="N881" s="66"/>
    </row>
    <row r="882" spans="1:14" x14ac:dyDescent="0.2">
      <c r="A882" s="84"/>
      <c r="B882" s="84"/>
      <c r="C882" s="60"/>
      <c r="D882" s="66"/>
      <c r="E882" s="66"/>
      <c r="F882" s="66"/>
      <c r="G882" s="66"/>
      <c r="H882" s="66"/>
      <c r="I882" s="66"/>
      <c r="J882" s="66"/>
      <c r="K882" s="66"/>
      <c r="L882" s="66"/>
      <c r="M882" s="66"/>
      <c r="N882" s="66"/>
    </row>
    <row r="883" spans="1:14" x14ac:dyDescent="0.2">
      <c r="A883" s="84"/>
      <c r="B883" s="84"/>
      <c r="C883" s="60"/>
      <c r="D883" s="66"/>
      <c r="E883" s="66"/>
      <c r="F883" s="66"/>
      <c r="G883" s="66"/>
      <c r="H883" s="66"/>
      <c r="I883" s="66"/>
      <c r="J883" s="66"/>
      <c r="K883" s="66"/>
      <c r="L883" s="66"/>
      <c r="M883" s="66"/>
      <c r="N883" s="66"/>
    </row>
    <row r="884" spans="1:14" x14ac:dyDescent="0.2">
      <c r="A884" s="84"/>
      <c r="B884" s="84"/>
      <c r="C884" s="60"/>
      <c r="D884" s="66"/>
      <c r="E884" s="66"/>
      <c r="F884" s="66"/>
      <c r="G884" s="66"/>
      <c r="H884" s="66"/>
      <c r="I884" s="66"/>
      <c r="J884" s="66"/>
      <c r="K884" s="66"/>
      <c r="L884" s="66"/>
      <c r="M884" s="66"/>
      <c r="N884" s="66"/>
    </row>
    <row r="885" spans="1:14" x14ac:dyDescent="0.2">
      <c r="A885" s="84"/>
      <c r="B885" s="84"/>
      <c r="C885" s="60"/>
      <c r="D885" s="66"/>
      <c r="E885" s="66"/>
      <c r="F885" s="66"/>
      <c r="G885" s="66"/>
      <c r="H885" s="66"/>
      <c r="I885" s="66"/>
      <c r="J885" s="66"/>
      <c r="K885" s="66"/>
      <c r="L885" s="66"/>
      <c r="M885" s="66"/>
      <c r="N885" s="66"/>
    </row>
    <row r="886" spans="1:14" x14ac:dyDescent="0.2">
      <c r="A886" s="84"/>
      <c r="B886" s="84"/>
      <c r="C886" s="60"/>
      <c r="D886" s="66"/>
      <c r="E886" s="66"/>
      <c r="F886" s="66"/>
      <c r="G886" s="66"/>
      <c r="H886" s="66"/>
      <c r="I886" s="66"/>
      <c r="J886" s="66"/>
      <c r="K886" s="66"/>
      <c r="L886" s="66"/>
      <c r="M886" s="66"/>
      <c r="N886" s="66"/>
    </row>
    <row r="887" spans="1:14" x14ac:dyDescent="0.2">
      <c r="A887" s="84"/>
      <c r="B887" s="84"/>
      <c r="C887" s="60"/>
      <c r="D887" s="66"/>
      <c r="E887" s="66"/>
      <c r="F887" s="66"/>
      <c r="G887" s="66"/>
      <c r="H887" s="66"/>
      <c r="I887" s="66"/>
      <c r="J887" s="66"/>
      <c r="K887" s="66"/>
      <c r="L887" s="66"/>
      <c r="M887" s="66"/>
      <c r="N887" s="66"/>
    </row>
    <row r="888" spans="1:14" x14ac:dyDescent="0.2">
      <c r="A888" s="84"/>
      <c r="B888" s="84"/>
      <c r="C888" s="60"/>
      <c r="D888" s="66"/>
      <c r="E888" s="66"/>
      <c r="F888" s="66"/>
      <c r="G888" s="66"/>
      <c r="H888" s="66"/>
      <c r="I888" s="66"/>
      <c r="J888" s="66"/>
      <c r="K888" s="66"/>
      <c r="L888" s="66"/>
      <c r="M888" s="66"/>
      <c r="N888" s="66"/>
    </row>
    <row r="889" spans="1:14" x14ac:dyDescent="0.2">
      <c r="A889" s="84"/>
      <c r="B889" s="84"/>
      <c r="C889" s="60"/>
      <c r="D889" s="66"/>
      <c r="E889" s="66"/>
      <c r="F889" s="66"/>
      <c r="G889" s="66"/>
      <c r="H889" s="66"/>
      <c r="I889" s="66"/>
      <c r="J889" s="66"/>
      <c r="K889" s="66"/>
      <c r="L889" s="66"/>
      <c r="M889" s="66"/>
      <c r="N889" s="66"/>
    </row>
    <row r="890" spans="1:14" x14ac:dyDescent="0.2">
      <c r="A890" s="84"/>
      <c r="B890" s="84"/>
      <c r="C890" s="60"/>
      <c r="D890" s="66"/>
      <c r="E890" s="66"/>
      <c r="F890" s="66"/>
      <c r="G890" s="66"/>
      <c r="H890" s="66"/>
      <c r="I890" s="66"/>
      <c r="J890" s="66"/>
      <c r="K890" s="66"/>
      <c r="L890" s="66"/>
      <c r="M890" s="66"/>
      <c r="N890" s="66"/>
    </row>
    <row r="891" spans="1:14" x14ac:dyDescent="0.2">
      <c r="A891" s="84"/>
      <c r="B891" s="84"/>
      <c r="C891" s="60"/>
      <c r="D891" s="66"/>
      <c r="E891" s="66"/>
      <c r="F891" s="66"/>
      <c r="G891" s="66"/>
      <c r="H891" s="66"/>
      <c r="I891" s="66"/>
      <c r="J891" s="66"/>
      <c r="K891" s="66"/>
      <c r="L891" s="66"/>
      <c r="M891" s="66"/>
      <c r="N891" s="66"/>
    </row>
    <row r="892" spans="1:14" x14ac:dyDescent="0.2">
      <c r="A892" s="84"/>
      <c r="B892" s="84"/>
      <c r="C892" s="60"/>
      <c r="D892" s="66"/>
      <c r="E892" s="66"/>
      <c r="F892" s="66"/>
      <c r="G892" s="66"/>
      <c r="H892" s="66"/>
      <c r="I892" s="66"/>
      <c r="J892" s="66"/>
      <c r="K892" s="66"/>
      <c r="L892" s="66"/>
      <c r="M892" s="66"/>
      <c r="N892" s="66"/>
    </row>
    <row r="893" spans="1:14" x14ac:dyDescent="0.2">
      <c r="A893" s="84"/>
      <c r="B893" s="84"/>
      <c r="C893" s="60"/>
      <c r="D893" s="66"/>
      <c r="E893" s="66"/>
      <c r="F893" s="66"/>
      <c r="G893" s="66"/>
      <c r="H893" s="66"/>
      <c r="I893" s="66"/>
      <c r="J893" s="66"/>
      <c r="K893" s="66"/>
      <c r="L893" s="66"/>
      <c r="M893" s="66"/>
      <c r="N893" s="66"/>
    </row>
    <row r="894" spans="1:14" x14ac:dyDescent="0.2">
      <c r="A894" s="84"/>
      <c r="B894" s="84"/>
      <c r="C894" s="60"/>
      <c r="D894" s="66"/>
      <c r="E894" s="66"/>
      <c r="F894" s="66"/>
      <c r="G894" s="66"/>
      <c r="H894" s="66"/>
      <c r="I894" s="66"/>
      <c r="J894" s="66"/>
      <c r="K894" s="66"/>
      <c r="L894" s="66"/>
      <c r="M894" s="66"/>
      <c r="N894" s="66"/>
    </row>
    <row r="895" spans="1:14" x14ac:dyDescent="0.2">
      <c r="A895" s="84"/>
      <c r="B895" s="84"/>
      <c r="C895" s="60"/>
      <c r="D895" s="66"/>
      <c r="E895" s="66"/>
      <c r="F895" s="66"/>
      <c r="G895" s="66"/>
      <c r="H895" s="66"/>
      <c r="I895" s="66"/>
      <c r="J895" s="66"/>
      <c r="K895" s="66"/>
      <c r="L895" s="66"/>
      <c r="M895" s="66"/>
      <c r="N895" s="66"/>
    </row>
    <row r="896" spans="1:14" x14ac:dyDescent="0.2">
      <c r="A896" s="84"/>
      <c r="B896" s="84"/>
      <c r="C896" s="60"/>
      <c r="D896" s="66"/>
      <c r="E896" s="66"/>
      <c r="F896" s="66"/>
      <c r="G896" s="66"/>
      <c r="H896" s="66"/>
      <c r="I896" s="66"/>
      <c r="J896" s="66"/>
      <c r="K896" s="66"/>
      <c r="L896" s="66"/>
      <c r="M896" s="66"/>
      <c r="N896" s="66"/>
    </row>
    <row r="897" spans="1:14" x14ac:dyDescent="0.2">
      <c r="A897" s="84"/>
      <c r="B897" s="84"/>
      <c r="C897" s="60"/>
      <c r="D897" s="66"/>
      <c r="E897" s="66"/>
      <c r="F897" s="66"/>
      <c r="G897" s="66"/>
      <c r="H897" s="66"/>
      <c r="I897" s="66"/>
      <c r="J897" s="66"/>
      <c r="K897" s="66"/>
      <c r="L897" s="66"/>
      <c r="M897" s="66"/>
      <c r="N897" s="66"/>
    </row>
    <row r="898" spans="1:14" x14ac:dyDescent="0.2">
      <c r="A898" s="84"/>
      <c r="B898" s="84"/>
      <c r="C898" s="60"/>
      <c r="D898" s="66"/>
      <c r="E898" s="66"/>
      <c r="F898" s="66"/>
      <c r="G898" s="66"/>
      <c r="H898" s="66"/>
      <c r="I898" s="66"/>
      <c r="J898" s="66"/>
      <c r="K898" s="66"/>
      <c r="L898" s="66"/>
      <c r="M898" s="66"/>
      <c r="N898" s="66"/>
    </row>
    <row r="899" spans="1:14" x14ac:dyDescent="0.2">
      <c r="A899" s="84"/>
      <c r="B899" s="84"/>
      <c r="C899" s="60"/>
      <c r="D899" s="66"/>
      <c r="E899" s="66"/>
      <c r="F899" s="66"/>
      <c r="G899" s="66"/>
      <c r="H899" s="66"/>
      <c r="I899" s="66"/>
      <c r="J899" s="66"/>
      <c r="K899" s="66"/>
      <c r="L899" s="66"/>
      <c r="M899" s="66"/>
      <c r="N899" s="66"/>
    </row>
    <row r="900" spans="1:14" x14ac:dyDescent="0.2">
      <c r="A900" s="84"/>
      <c r="B900" s="84"/>
      <c r="C900" s="60"/>
      <c r="D900" s="66"/>
      <c r="E900" s="66"/>
      <c r="F900" s="66"/>
      <c r="G900" s="66"/>
      <c r="H900" s="66"/>
      <c r="I900" s="66"/>
      <c r="J900" s="66"/>
      <c r="K900" s="66"/>
      <c r="L900" s="66"/>
      <c r="M900" s="66"/>
      <c r="N900" s="66"/>
    </row>
    <row r="901" spans="1:14" x14ac:dyDescent="0.2">
      <c r="A901" s="84"/>
      <c r="B901" s="84"/>
      <c r="C901" s="60"/>
      <c r="D901" s="66"/>
      <c r="E901" s="66"/>
      <c r="F901" s="66"/>
      <c r="G901" s="66"/>
      <c r="H901" s="66"/>
      <c r="I901" s="66"/>
      <c r="J901" s="66"/>
      <c r="K901" s="66"/>
      <c r="L901" s="66"/>
      <c r="M901" s="66"/>
      <c r="N901" s="66"/>
    </row>
    <row r="902" spans="1:14" x14ac:dyDescent="0.2">
      <c r="A902" s="84"/>
      <c r="B902" s="84"/>
      <c r="C902" s="60"/>
      <c r="D902" s="66"/>
      <c r="E902" s="66"/>
      <c r="F902" s="66"/>
      <c r="G902" s="66"/>
      <c r="H902" s="66"/>
      <c r="I902" s="66"/>
      <c r="J902" s="66"/>
      <c r="K902" s="66"/>
      <c r="L902" s="66"/>
      <c r="M902" s="66"/>
      <c r="N902" s="66"/>
    </row>
    <row r="903" spans="1:14" x14ac:dyDescent="0.2">
      <c r="A903" s="84"/>
      <c r="B903" s="84"/>
      <c r="C903" s="60"/>
      <c r="D903" s="66"/>
      <c r="E903" s="66"/>
      <c r="F903" s="66"/>
      <c r="G903" s="66"/>
      <c r="H903" s="66"/>
      <c r="I903" s="66"/>
      <c r="J903" s="66"/>
      <c r="K903" s="66"/>
      <c r="L903" s="66"/>
      <c r="M903" s="66"/>
      <c r="N903" s="66"/>
    </row>
    <row r="904" spans="1:14" x14ac:dyDescent="0.2">
      <c r="A904" s="84"/>
      <c r="B904" s="84"/>
      <c r="C904" s="60"/>
      <c r="D904" s="66"/>
      <c r="E904" s="66"/>
      <c r="F904" s="66"/>
      <c r="G904" s="66"/>
      <c r="H904" s="66"/>
      <c r="I904" s="66"/>
      <c r="J904" s="66"/>
      <c r="K904" s="66"/>
      <c r="L904" s="66"/>
      <c r="M904" s="66"/>
      <c r="N904" s="66"/>
    </row>
    <row r="905" spans="1:14" x14ac:dyDescent="0.2">
      <c r="A905" s="84"/>
      <c r="B905" s="84"/>
      <c r="C905" s="60"/>
      <c r="D905" s="66"/>
      <c r="E905" s="66"/>
      <c r="F905" s="66"/>
      <c r="G905" s="66"/>
      <c r="H905" s="66"/>
      <c r="I905" s="66"/>
      <c r="J905" s="66"/>
      <c r="K905" s="66"/>
      <c r="L905" s="66"/>
      <c r="M905" s="66"/>
      <c r="N905" s="66"/>
    </row>
    <row r="906" spans="1:14" x14ac:dyDescent="0.2">
      <c r="A906" s="84"/>
      <c r="B906" s="84"/>
      <c r="C906" s="60"/>
      <c r="D906" s="66"/>
      <c r="E906" s="66"/>
      <c r="F906" s="66"/>
      <c r="G906" s="66"/>
      <c r="H906" s="66"/>
      <c r="I906" s="66"/>
      <c r="J906" s="66"/>
      <c r="K906" s="66"/>
      <c r="L906" s="66"/>
      <c r="M906" s="66"/>
      <c r="N906" s="66"/>
    </row>
    <row r="907" spans="1:14" x14ac:dyDescent="0.2">
      <c r="A907" s="84"/>
      <c r="B907" s="84"/>
      <c r="C907" s="60"/>
      <c r="D907" s="66"/>
      <c r="E907" s="66"/>
      <c r="F907" s="66"/>
      <c r="G907" s="66"/>
      <c r="H907" s="66"/>
      <c r="I907" s="66"/>
      <c r="J907" s="66"/>
      <c r="K907" s="66"/>
      <c r="L907" s="66"/>
      <c r="M907" s="66"/>
      <c r="N907" s="66"/>
    </row>
    <row r="908" spans="1:14" x14ac:dyDescent="0.2">
      <c r="A908" s="84"/>
      <c r="B908" s="84"/>
      <c r="C908" s="60"/>
      <c r="D908" s="66"/>
      <c r="E908" s="66"/>
      <c r="F908" s="66"/>
      <c r="G908" s="66"/>
      <c r="H908" s="66"/>
      <c r="I908" s="66"/>
      <c r="J908" s="66"/>
      <c r="K908" s="66"/>
      <c r="L908" s="66"/>
      <c r="M908" s="66"/>
      <c r="N908" s="66"/>
    </row>
    <row r="909" spans="1:14" x14ac:dyDescent="0.2">
      <c r="A909" s="84"/>
      <c r="B909" s="84"/>
      <c r="C909" s="60"/>
      <c r="D909" s="66"/>
      <c r="E909" s="66"/>
      <c r="F909" s="66"/>
      <c r="G909" s="66"/>
      <c r="H909" s="66"/>
      <c r="I909" s="66"/>
      <c r="J909" s="66"/>
      <c r="K909" s="66"/>
      <c r="L909" s="66"/>
      <c r="M909" s="66"/>
      <c r="N909" s="66"/>
    </row>
    <row r="910" spans="1:14" x14ac:dyDescent="0.2">
      <c r="A910" s="84"/>
      <c r="B910" s="84"/>
      <c r="C910" s="60"/>
      <c r="D910" s="66"/>
      <c r="E910" s="66"/>
      <c r="F910" s="66"/>
      <c r="G910" s="66"/>
      <c r="H910" s="66"/>
      <c r="I910" s="66"/>
      <c r="J910" s="66"/>
      <c r="K910" s="66"/>
      <c r="L910" s="66"/>
      <c r="M910" s="66"/>
      <c r="N910" s="66"/>
    </row>
    <row r="911" spans="1:14" x14ac:dyDescent="0.2">
      <c r="A911" s="84"/>
      <c r="B911" s="84"/>
      <c r="C911" s="60"/>
      <c r="D911" s="66"/>
      <c r="E911" s="66"/>
      <c r="F911" s="66"/>
      <c r="G911" s="66"/>
      <c r="H911" s="66"/>
      <c r="I911" s="66"/>
      <c r="J911" s="66"/>
      <c r="K911" s="66"/>
      <c r="L911" s="66"/>
      <c r="M911" s="66"/>
      <c r="N911" s="66"/>
    </row>
    <row r="912" spans="1:14" x14ac:dyDescent="0.2">
      <c r="A912" s="84"/>
      <c r="B912" s="84"/>
      <c r="C912" s="60"/>
      <c r="D912" s="66"/>
      <c r="E912" s="66"/>
      <c r="F912" s="66"/>
      <c r="G912" s="66"/>
      <c r="H912" s="66"/>
      <c r="I912" s="66"/>
      <c r="J912" s="66"/>
      <c r="K912" s="66"/>
      <c r="L912" s="66"/>
      <c r="M912" s="66"/>
      <c r="N912" s="66"/>
    </row>
    <row r="913" spans="1:14" x14ac:dyDescent="0.2">
      <c r="A913" s="84"/>
      <c r="B913" s="84"/>
      <c r="C913" s="60"/>
      <c r="D913" s="66"/>
      <c r="E913" s="66"/>
      <c r="F913" s="66"/>
      <c r="G913" s="66"/>
      <c r="H913" s="66"/>
      <c r="I913" s="66"/>
      <c r="J913" s="66"/>
      <c r="K913" s="66"/>
      <c r="L913" s="66"/>
      <c r="M913" s="66"/>
      <c r="N913" s="66"/>
    </row>
    <row r="914" spans="1:14" x14ac:dyDescent="0.2">
      <c r="A914" s="84"/>
      <c r="B914" s="84"/>
      <c r="C914" s="60"/>
      <c r="D914" s="66"/>
      <c r="E914" s="66"/>
      <c r="F914" s="66"/>
      <c r="G914" s="66"/>
      <c r="H914" s="66"/>
      <c r="I914" s="66"/>
      <c r="J914" s="66"/>
      <c r="K914" s="66"/>
      <c r="L914" s="66"/>
      <c r="M914" s="66"/>
      <c r="N914" s="66"/>
    </row>
    <row r="915" spans="1:14" x14ac:dyDescent="0.2">
      <c r="A915" s="84"/>
      <c r="B915" s="84"/>
      <c r="C915" s="60"/>
      <c r="D915" s="66"/>
      <c r="E915" s="66"/>
      <c r="F915" s="66"/>
      <c r="G915" s="66"/>
      <c r="H915" s="66"/>
      <c r="I915" s="66"/>
      <c r="J915" s="66"/>
      <c r="K915" s="66"/>
      <c r="L915" s="66"/>
      <c r="M915" s="66"/>
      <c r="N915" s="66"/>
    </row>
    <row r="916" spans="1:14" x14ac:dyDescent="0.2">
      <c r="A916" s="84"/>
      <c r="B916" s="84"/>
      <c r="C916" s="60"/>
      <c r="D916" s="66"/>
      <c r="E916" s="66"/>
      <c r="F916" s="66"/>
      <c r="G916" s="66"/>
      <c r="H916" s="66"/>
      <c r="I916" s="66"/>
      <c r="J916" s="66"/>
      <c r="K916" s="66"/>
      <c r="L916" s="66"/>
      <c r="M916" s="66"/>
      <c r="N916" s="66"/>
    </row>
    <row r="917" spans="1:14" x14ac:dyDescent="0.2">
      <c r="A917" s="84"/>
      <c r="B917" s="84"/>
      <c r="C917" s="60"/>
      <c r="D917" s="66"/>
      <c r="E917" s="66"/>
      <c r="F917" s="66"/>
      <c r="G917" s="66"/>
      <c r="H917" s="66"/>
      <c r="I917" s="66"/>
      <c r="J917" s="66"/>
      <c r="K917" s="66"/>
      <c r="L917" s="66"/>
      <c r="M917" s="66"/>
      <c r="N917" s="66"/>
    </row>
    <row r="918" spans="1:14" x14ac:dyDescent="0.2">
      <c r="A918" s="84"/>
      <c r="B918" s="84"/>
      <c r="C918" s="60"/>
      <c r="D918" s="66"/>
      <c r="E918" s="66"/>
      <c r="F918" s="66"/>
      <c r="G918" s="66"/>
      <c r="H918" s="66"/>
      <c r="I918" s="66"/>
      <c r="J918" s="66"/>
      <c r="K918" s="66"/>
      <c r="L918" s="66"/>
      <c r="M918" s="66"/>
      <c r="N918" s="66"/>
    </row>
    <row r="919" spans="1:14" x14ac:dyDescent="0.2">
      <c r="A919" s="84"/>
      <c r="B919" s="84"/>
      <c r="C919" s="60"/>
      <c r="D919" s="66"/>
      <c r="E919" s="66"/>
      <c r="F919" s="66"/>
      <c r="G919" s="66"/>
      <c r="H919" s="66"/>
      <c r="I919" s="66"/>
      <c r="J919" s="66"/>
      <c r="K919" s="66"/>
      <c r="L919" s="66"/>
      <c r="M919" s="66"/>
      <c r="N919" s="66"/>
    </row>
    <row r="920" spans="1:14" x14ac:dyDescent="0.2">
      <c r="A920" s="84"/>
      <c r="B920" s="84"/>
      <c r="C920" s="60"/>
      <c r="D920" s="66"/>
      <c r="E920" s="66"/>
      <c r="F920" s="66"/>
      <c r="G920" s="66"/>
      <c r="H920" s="66"/>
      <c r="I920" s="66"/>
      <c r="J920" s="66"/>
      <c r="K920" s="66"/>
      <c r="L920" s="66"/>
      <c r="M920" s="66"/>
      <c r="N920" s="66"/>
    </row>
    <row r="921" spans="1:14" x14ac:dyDescent="0.2">
      <c r="A921" s="84"/>
      <c r="B921" s="84"/>
      <c r="C921" s="60"/>
      <c r="D921" s="66"/>
      <c r="E921" s="66"/>
      <c r="F921" s="66"/>
      <c r="G921" s="66"/>
      <c r="H921" s="66"/>
      <c r="I921" s="66"/>
      <c r="J921" s="66"/>
      <c r="K921" s="66"/>
      <c r="L921" s="66"/>
      <c r="M921" s="66"/>
      <c r="N921" s="66"/>
    </row>
    <row r="922" spans="1:14" x14ac:dyDescent="0.2">
      <c r="A922" s="84"/>
      <c r="B922" s="84"/>
      <c r="C922" s="60"/>
      <c r="D922" s="66"/>
      <c r="E922" s="66"/>
      <c r="F922" s="66"/>
      <c r="G922" s="66"/>
      <c r="H922" s="66"/>
      <c r="I922" s="66"/>
      <c r="J922" s="66"/>
      <c r="K922" s="66"/>
      <c r="L922" s="66"/>
      <c r="M922" s="66"/>
      <c r="N922" s="66"/>
    </row>
    <row r="923" spans="1:14" x14ac:dyDescent="0.2">
      <c r="A923" s="84"/>
      <c r="B923" s="84"/>
      <c r="C923" s="60"/>
      <c r="D923" s="66"/>
      <c r="E923" s="66"/>
      <c r="F923" s="66"/>
      <c r="G923" s="66"/>
      <c r="H923" s="66"/>
      <c r="I923" s="66"/>
      <c r="J923" s="66"/>
      <c r="K923" s="66"/>
      <c r="L923" s="66"/>
      <c r="M923" s="66"/>
      <c r="N923" s="66"/>
    </row>
    <row r="924" spans="1:14" x14ac:dyDescent="0.2">
      <c r="A924" s="84"/>
      <c r="B924" s="84"/>
      <c r="C924" s="60"/>
      <c r="D924" s="66"/>
      <c r="E924" s="66"/>
      <c r="F924" s="66"/>
      <c r="G924" s="66"/>
      <c r="H924" s="66"/>
      <c r="I924" s="66"/>
      <c r="J924" s="66"/>
      <c r="K924" s="66"/>
      <c r="L924" s="66"/>
      <c r="M924" s="66"/>
      <c r="N924" s="66"/>
    </row>
    <row r="925" spans="1:14" x14ac:dyDescent="0.2">
      <c r="A925" s="84"/>
      <c r="B925" s="84"/>
      <c r="C925" s="60"/>
      <c r="D925" s="66"/>
      <c r="E925" s="66"/>
      <c r="F925" s="66"/>
      <c r="G925" s="66"/>
      <c r="H925" s="66"/>
      <c r="I925" s="66"/>
      <c r="J925" s="66"/>
      <c r="K925" s="66"/>
      <c r="L925" s="66"/>
      <c r="M925" s="66"/>
      <c r="N925" s="66"/>
    </row>
    <row r="926" spans="1:14" x14ac:dyDescent="0.2">
      <c r="A926" s="84"/>
      <c r="B926" s="84"/>
      <c r="C926" s="60"/>
      <c r="D926" s="66"/>
      <c r="E926" s="66"/>
      <c r="F926" s="66"/>
      <c r="G926" s="66"/>
      <c r="H926" s="66"/>
      <c r="I926" s="66"/>
      <c r="J926" s="66"/>
      <c r="K926" s="66"/>
      <c r="L926" s="66"/>
      <c r="M926" s="66"/>
      <c r="N926" s="66"/>
    </row>
    <row r="927" spans="1:14" x14ac:dyDescent="0.2">
      <c r="A927" s="84"/>
      <c r="B927" s="84"/>
      <c r="C927" s="60"/>
      <c r="D927" s="66"/>
      <c r="E927" s="66"/>
      <c r="F927" s="66"/>
      <c r="G927" s="66"/>
      <c r="H927" s="66"/>
      <c r="I927" s="66"/>
      <c r="J927" s="66"/>
      <c r="K927" s="66"/>
      <c r="L927" s="66"/>
      <c r="M927" s="66"/>
      <c r="N927" s="66"/>
    </row>
    <row r="928" spans="1:14" x14ac:dyDescent="0.2">
      <c r="A928" s="84"/>
      <c r="B928" s="84"/>
      <c r="C928" s="60"/>
      <c r="D928" s="66"/>
      <c r="E928" s="66"/>
      <c r="F928" s="66"/>
      <c r="G928" s="66"/>
      <c r="H928" s="66"/>
      <c r="I928" s="66"/>
      <c r="J928" s="66"/>
      <c r="K928" s="66"/>
      <c r="L928" s="66"/>
      <c r="M928" s="66"/>
      <c r="N928" s="66"/>
    </row>
    <row r="929" spans="1:14" x14ac:dyDescent="0.2">
      <c r="A929" s="84"/>
      <c r="B929" s="84"/>
      <c r="C929" s="60"/>
      <c r="D929" s="66"/>
      <c r="E929" s="66"/>
      <c r="F929" s="66"/>
      <c r="G929" s="66"/>
      <c r="H929" s="66"/>
      <c r="I929" s="66"/>
      <c r="J929" s="66"/>
      <c r="K929" s="66"/>
      <c r="L929" s="66"/>
      <c r="M929" s="66"/>
      <c r="N929" s="66"/>
    </row>
    <row r="930" spans="1:14" x14ac:dyDescent="0.2">
      <c r="A930" s="84"/>
      <c r="B930" s="84"/>
      <c r="C930" s="60"/>
      <c r="D930" s="66"/>
      <c r="E930" s="66"/>
      <c r="F930" s="66"/>
      <c r="G930" s="66"/>
      <c r="H930" s="66"/>
      <c r="I930" s="66"/>
      <c r="J930" s="66"/>
      <c r="K930" s="66"/>
      <c r="L930" s="66"/>
      <c r="M930" s="66"/>
      <c r="N930" s="66"/>
    </row>
    <row r="931" spans="1:14" x14ac:dyDescent="0.2">
      <c r="A931" s="84"/>
      <c r="B931" s="84"/>
      <c r="C931" s="60"/>
      <c r="D931" s="66"/>
      <c r="E931" s="66"/>
      <c r="F931" s="66"/>
      <c r="G931" s="66"/>
      <c r="H931" s="66"/>
      <c r="I931" s="66"/>
      <c r="J931" s="66"/>
      <c r="K931" s="66"/>
      <c r="L931" s="66"/>
      <c r="M931" s="66"/>
      <c r="N931" s="66"/>
    </row>
    <row r="932" spans="1:14" x14ac:dyDescent="0.2">
      <c r="A932" s="84"/>
      <c r="B932" s="84"/>
      <c r="C932" s="60"/>
      <c r="D932" s="66"/>
      <c r="E932" s="66"/>
      <c r="F932" s="66"/>
      <c r="G932" s="66"/>
      <c r="H932" s="66"/>
      <c r="I932" s="66"/>
      <c r="J932" s="66"/>
      <c r="K932" s="66"/>
      <c r="L932" s="66"/>
      <c r="M932" s="66"/>
      <c r="N932" s="66"/>
    </row>
    <row r="933" spans="1:14" x14ac:dyDescent="0.2">
      <c r="A933" s="84"/>
      <c r="B933" s="84"/>
      <c r="C933" s="60"/>
      <c r="D933" s="66"/>
      <c r="E933" s="66"/>
      <c r="F933" s="66"/>
      <c r="G933" s="66"/>
      <c r="H933" s="66"/>
      <c r="I933" s="66"/>
      <c r="J933" s="66"/>
      <c r="K933" s="66"/>
      <c r="L933" s="66"/>
      <c r="M933" s="66"/>
      <c r="N933" s="66"/>
    </row>
    <row r="934" spans="1:14" x14ac:dyDescent="0.2">
      <c r="A934" s="84"/>
      <c r="B934" s="84"/>
      <c r="C934" s="60"/>
      <c r="D934" s="66"/>
      <c r="E934" s="66"/>
      <c r="F934" s="66"/>
      <c r="G934" s="66"/>
      <c r="H934" s="66"/>
      <c r="I934" s="66"/>
      <c r="J934" s="66"/>
      <c r="K934" s="66"/>
      <c r="L934" s="66"/>
      <c r="M934" s="66"/>
      <c r="N934" s="66"/>
    </row>
    <row r="935" spans="1:14" x14ac:dyDescent="0.2">
      <c r="A935" s="84"/>
      <c r="B935" s="84"/>
      <c r="C935" s="60"/>
      <c r="D935" s="66"/>
      <c r="E935" s="66"/>
      <c r="F935" s="66"/>
      <c r="G935" s="66"/>
      <c r="H935" s="66"/>
      <c r="I935" s="66"/>
      <c r="J935" s="66"/>
      <c r="K935" s="66"/>
      <c r="L935" s="66"/>
      <c r="M935" s="66"/>
      <c r="N935" s="66"/>
    </row>
    <row r="936" spans="1:14" x14ac:dyDescent="0.2">
      <c r="A936" s="84"/>
      <c r="B936" s="84"/>
      <c r="C936" s="60"/>
      <c r="D936" s="66"/>
      <c r="E936" s="66"/>
      <c r="F936" s="66"/>
      <c r="G936" s="66"/>
      <c r="H936" s="66"/>
      <c r="I936" s="66"/>
      <c r="J936" s="66"/>
      <c r="K936" s="66"/>
      <c r="L936" s="66"/>
      <c r="M936" s="66"/>
      <c r="N936" s="66"/>
    </row>
    <row r="937" spans="1:14" x14ac:dyDescent="0.2">
      <c r="A937" s="84"/>
      <c r="B937" s="84"/>
      <c r="C937" s="60"/>
      <c r="D937" s="66"/>
      <c r="E937" s="66"/>
      <c r="F937" s="66"/>
      <c r="G937" s="66"/>
      <c r="H937" s="66"/>
      <c r="I937" s="66"/>
      <c r="J937" s="66"/>
      <c r="K937" s="66"/>
      <c r="L937" s="66"/>
      <c r="M937" s="66"/>
      <c r="N937" s="66"/>
    </row>
    <row r="938" spans="1:14" x14ac:dyDescent="0.2">
      <c r="A938" s="84"/>
      <c r="B938" s="84"/>
      <c r="C938" s="60"/>
      <c r="D938" s="66"/>
      <c r="E938" s="66"/>
      <c r="F938" s="66"/>
      <c r="G938" s="66"/>
      <c r="H938" s="66"/>
      <c r="I938" s="66"/>
      <c r="J938" s="66"/>
      <c r="K938" s="66"/>
      <c r="L938" s="66"/>
      <c r="M938" s="66"/>
      <c r="N938" s="66"/>
    </row>
    <row r="939" spans="1:14" x14ac:dyDescent="0.2">
      <c r="A939" s="84"/>
      <c r="B939" s="84"/>
      <c r="C939" s="60"/>
      <c r="D939" s="66"/>
      <c r="E939" s="66"/>
      <c r="F939" s="66"/>
      <c r="G939" s="66"/>
      <c r="H939" s="66"/>
      <c r="I939" s="66"/>
      <c r="J939" s="66"/>
      <c r="K939" s="66"/>
      <c r="L939" s="66"/>
      <c r="M939" s="66"/>
      <c r="N939" s="66"/>
    </row>
    <row r="940" spans="1:14" x14ac:dyDescent="0.2">
      <c r="A940" s="84"/>
      <c r="B940" s="84"/>
      <c r="C940" s="60"/>
      <c r="D940" s="66"/>
      <c r="E940" s="66"/>
      <c r="F940" s="66"/>
      <c r="G940" s="66"/>
      <c r="H940" s="66"/>
      <c r="I940" s="66"/>
      <c r="J940" s="66"/>
      <c r="K940" s="66"/>
      <c r="L940" s="66"/>
      <c r="M940" s="66"/>
      <c r="N940" s="66"/>
    </row>
    <row r="941" spans="1:14" x14ac:dyDescent="0.2">
      <c r="A941" s="84"/>
      <c r="B941" s="84"/>
      <c r="C941" s="60"/>
      <c r="D941" s="66"/>
      <c r="E941" s="66"/>
      <c r="F941" s="66"/>
      <c r="G941" s="66"/>
      <c r="H941" s="66"/>
      <c r="I941" s="66"/>
      <c r="J941" s="66"/>
      <c r="K941" s="66"/>
      <c r="L941" s="66"/>
      <c r="M941" s="66"/>
      <c r="N941" s="66"/>
    </row>
    <row r="942" spans="1:14" x14ac:dyDescent="0.2">
      <c r="A942" s="84"/>
      <c r="B942" s="84"/>
      <c r="C942" s="60"/>
      <c r="D942" s="66"/>
      <c r="E942" s="66"/>
      <c r="F942" s="66"/>
      <c r="G942" s="66"/>
      <c r="H942" s="66"/>
      <c r="I942" s="66"/>
      <c r="J942" s="66"/>
      <c r="K942" s="66"/>
      <c r="L942" s="66"/>
      <c r="M942" s="66"/>
      <c r="N942" s="66"/>
    </row>
    <row r="943" spans="1:14" x14ac:dyDescent="0.2">
      <c r="A943" s="84"/>
      <c r="B943" s="84"/>
      <c r="C943" s="60"/>
      <c r="D943" s="66"/>
      <c r="E943" s="66"/>
      <c r="F943" s="66"/>
      <c r="G943" s="66"/>
      <c r="H943" s="66"/>
      <c r="I943" s="66"/>
      <c r="J943" s="66"/>
      <c r="K943" s="66"/>
      <c r="L943" s="66"/>
      <c r="M943" s="66"/>
      <c r="N943" s="66"/>
    </row>
    <row r="944" spans="1:14" x14ac:dyDescent="0.2">
      <c r="A944" s="84"/>
      <c r="B944" s="84"/>
      <c r="C944" s="60"/>
      <c r="D944" s="66"/>
      <c r="E944" s="66"/>
      <c r="F944" s="66"/>
      <c r="G944" s="66"/>
      <c r="H944" s="66"/>
      <c r="I944" s="66"/>
      <c r="J944" s="66"/>
      <c r="K944" s="66"/>
      <c r="L944" s="66"/>
      <c r="M944" s="66"/>
      <c r="N944" s="66"/>
    </row>
    <row r="945" spans="1:14" x14ac:dyDescent="0.2">
      <c r="A945" s="84"/>
      <c r="B945" s="84"/>
      <c r="C945" s="60"/>
      <c r="D945" s="66"/>
      <c r="E945" s="66"/>
      <c r="F945" s="66"/>
      <c r="G945" s="66"/>
      <c r="H945" s="66"/>
      <c r="I945" s="66"/>
      <c r="J945" s="66"/>
      <c r="K945" s="66"/>
      <c r="L945" s="66"/>
      <c r="M945" s="66"/>
      <c r="N945" s="66"/>
    </row>
    <row r="946" spans="1:14" x14ac:dyDescent="0.2">
      <c r="A946" s="84"/>
      <c r="B946" s="84"/>
      <c r="C946" s="60"/>
      <c r="D946" s="66"/>
      <c r="E946" s="66"/>
      <c r="F946" s="66"/>
      <c r="G946" s="66"/>
      <c r="H946" s="66"/>
      <c r="I946" s="66"/>
      <c r="J946" s="66"/>
      <c r="K946" s="66"/>
      <c r="L946" s="66"/>
      <c r="M946" s="66"/>
      <c r="N946" s="66"/>
    </row>
    <row r="947" spans="1:14" x14ac:dyDescent="0.2">
      <c r="A947" s="84"/>
      <c r="B947" s="84"/>
      <c r="C947" s="60"/>
      <c r="D947" s="66"/>
      <c r="E947" s="66"/>
      <c r="F947" s="66"/>
      <c r="G947" s="66"/>
      <c r="H947" s="66"/>
      <c r="I947" s="66"/>
      <c r="J947" s="66"/>
      <c r="K947" s="66"/>
      <c r="L947" s="66"/>
      <c r="M947" s="66"/>
      <c r="N947" s="66"/>
    </row>
    <row r="948" spans="1:14" x14ac:dyDescent="0.2">
      <c r="A948" s="84"/>
      <c r="B948" s="84"/>
      <c r="C948" s="60"/>
      <c r="D948" s="66"/>
      <c r="E948" s="66"/>
      <c r="F948" s="66"/>
      <c r="G948" s="66"/>
      <c r="H948" s="66"/>
      <c r="I948" s="66"/>
      <c r="J948" s="66"/>
      <c r="K948" s="66"/>
      <c r="L948" s="66"/>
      <c r="M948" s="66"/>
      <c r="N948" s="66"/>
    </row>
    <row r="949" spans="1:14" x14ac:dyDescent="0.2">
      <c r="A949" s="84"/>
      <c r="B949" s="84"/>
      <c r="C949" s="60"/>
      <c r="D949" s="66"/>
      <c r="E949" s="66"/>
      <c r="F949" s="66"/>
      <c r="G949" s="66"/>
      <c r="H949" s="66"/>
      <c r="I949" s="66"/>
      <c r="J949" s="66"/>
      <c r="K949" s="66"/>
      <c r="L949" s="66"/>
      <c r="M949" s="66"/>
      <c r="N949" s="66"/>
    </row>
    <row r="950" spans="1:14" x14ac:dyDescent="0.2">
      <c r="A950" s="84"/>
      <c r="B950" s="84"/>
      <c r="C950" s="60"/>
      <c r="D950" s="66"/>
      <c r="E950" s="66"/>
      <c r="F950" s="66"/>
      <c r="G950" s="66"/>
      <c r="H950" s="66"/>
      <c r="I950" s="66"/>
      <c r="J950" s="66"/>
      <c r="K950" s="66"/>
      <c r="L950" s="66"/>
      <c r="M950" s="66"/>
      <c r="N950" s="66"/>
    </row>
    <row r="951" spans="1:14" x14ac:dyDescent="0.2">
      <c r="A951" s="84"/>
      <c r="B951" s="84"/>
      <c r="C951" s="60"/>
      <c r="D951" s="66"/>
      <c r="E951" s="66"/>
      <c r="F951" s="66"/>
      <c r="G951" s="66"/>
      <c r="H951" s="66"/>
      <c r="I951" s="66"/>
      <c r="J951" s="66"/>
      <c r="K951" s="66"/>
      <c r="L951" s="66"/>
      <c r="M951" s="66"/>
      <c r="N951" s="66"/>
    </row>
    <row r="952" spans="1:14" x14ac:dyDescent="0.2">
      <c r="A952" s="84"/>
      <c r="B952" s="84"/>
      <c r="C952" s="60"/>
      <c r="D952" s="66"/>
      <c r="E952" s="66"/>
      <c r="F952" s="66"/>
      <c r="G952" s="66"/>
      <c r="H952" s="66"/>
      <c r="I952" s="66"/>
      <c r="J952" s="66"/>
      <c r="K952" s="66"/>
      <c r="L952" s="66"/>
      <c r="M952" s="66"/>
      <c r="N952" s="66"/>
    </row>
    <row r="953" spans="1:14" x14ac:dyDescent="0.2">
      <c r="A953" s="84"/>
      <c r="B953" s="84"/>
      <c r="C953" s="60"/>
      <c r="D953" s="66"/>
      <c r="E953" s="66"/>
      <c r="F953" s="66"/>
      <c r="G953" s="66"/>
      <c r="H953" s="66"/>
      <c r="I953" s="66"/>
      <c r="J953" s="66"/>
      <c r="K953" s="66"/>
      <c r="L953" s="66"/>
      <c r="M953" s="66"/>
      <c r="N953" s="66"/>
    </row>
    <row r="954" spans="1:14" x14ac:dyDescent="0.2">
      <c r="A954" s="84"/>
      <c r="B954" s="84"/>
      <c r="C954" s="60"/>
      <c r="D954" s="66"/>
      <c r="E954" s="66"/>
      <c r="F954" s="66"/>
      <c r="G954" s="66"/>
      <c r="H954" s="66"/>
      <c r="I954" s="66"/>
      <c r="J954" s="66"/>
      <c r="K954" s="66"/>
      <c r="L954" s="66"/>
      <c r="M954" s="66"/>
      <c r="N954" s="66"/>
    </row>
    <row r="955" spans="1:14" x14ac:dyDescent="0.2">
      <c r="A955" s="84"/>
      <c r="B955" s="84"/>
      <c r="C955" s="60"/>
      <c r="D955" s="66"/>
      <c r="E955" s="66"/>
      <c r="F955" s="66"/>
      <c r="G955" s="66"/>
      <c r="H955" s="66"/>
      <c r="I955" s="66"/>
      <c r="J955" s="66"/>
      <c r="K955" s="66"/>
      <c r="L955" s="66"/>
      <c r="M955" s="66"/>
      <c r="N955" s="66"/>
    </row>
    <row r="956" spans="1:14" x14ac:dyDescent="0.2">
      <c r="A956" s="84"/>
      <c r="B956" s="84"/>
      <c r="C956" s="60"/>
      <c r="D956" s="66"/>
      <c r="E956" s="66"/>
      <c r="F956" s="66"/>
      <c r="G956" s="66"/>
      <c r="H956" s="66"/>
      <c r="I956" s="66"/>
      <c r="J956" s="66"/>
      <c r="K956" s="66"/>
      <c r="L956" s="66"/>
      <c r="M956" s="66"/>
      <c r="N956" s="66"/>
    </row>
    <row r="957" spans="1:14" x14ac:dyDescent="0.2">
      <c r="A957" s="84"/>
      <c r="B957" s="84"/>
      <c r="C957" s="60"/>
      <c r="D957" s="66"/>
      <c r="E957" s="66"/>
      <c r="F957" s="66"/>
      <c r="G957" s="66"/>
      <c r="H957" s="66"/>
      <c r="I957" s="66"/>
      <c r="J957" s="66"/>
      <c r="K957" s="66"/>
      <c r="L957" s="66"/>
      <c r="M957" s="66"/>
      <c r="N957" s="66"/>
    </row>
    <row r="958" spans="1:14" x14ac:dyDescent="0.2">
      <c r="A958" s="84"/>
      <c r="B958" s="84"/>
      <c r="C958" s="60"/>
      <c r="D958" s="66"/>
      <c r="E958" s="66"/>
      <c r="F958" s="66"/>
      <c r="G958" s="66"/>
      <c r="H958" s="66"/>
      <c r="I958" s="66"/>
      <c r="J958" s="66"/>
      <c r="K958" s="66"/>
      <c r="L958" s="66"/>
      <c r="M958" s="66"/>
      <c r="N958" s="66"/>
    </row>
    <row r="959" spans="1:14" x14ac:dyDescent="0.2">
      <c r="A959" s="84"/>
      <c r="B959" s="84"/>
      <c r="C959" s="60"/>
      <c r="D959" s="66"/>
      <c r="E959" s="66"/>
      <c r="F959" s="66"/>
      <c r="G959" s="66"/>
      <c r="H959" s="66"/>
      <c r="I959" s="66"/>
      <c r="J959" s="66"/>
      <c r="K959" s="66"/>
      <c r="L959" s="66"/>
      <c r="M959" s="66"/>
      <c r="N959" s="66"/>
    </row>
    <row r="960" spans="1:14" x14ac:dyDescent="0.2">
      <c r="A960" s="84"/>
      <c r="B960" s="84"/>
      <c r="C960" s="60"/>
      <c r="D960" s="66"/>
      <c r="E960" s="66"/>
      <c r="F960" s="66"/>
      <c r="G960" s="66"/>
      <c r="H960" s="66"/>
      <c r="I960" s="66"/>
      <c r="J960" s="66"/>
      <c r="K960" s="66"/>
      <c r="L960" s="66"/>
      <c r="M960" s="66"/>
      <c r="N960" s="66"/>
    </row>
    <row r="961" spans="1:14" x14ac:dyDescent="0.2">
      <c r="A961" s="84"/>
      <c r="B961" s="84"/>
      <c r="C961" s="60"/>
      <c r="D961" s="66"/>
      <c r="E961" s="66"/>
      <c r="F961" s="66"/>
      <c r="G961" s="66"/>
      <c r="H961" s="66"/>
      <c r="I961" s="66"/>
      <c r="J961" s="66"/>
      <c r="K961" s="66"/>
      <c r="L961" s="66"/>
      <c r="M961" s="66"/>
      <c r="N961" s="66"/>
    </row>
    <row r="962" spans="1:14" x14ac:dyDescent="0.2">
      <c r="A962" s="84"/>
      <c r="B962" s="84"/>
      <c r="C962" s="60"/>
      <c r="D962" s="66"/>
      <c r="E962" s="66"/>
      <c r="F962" s="66"/>
      <c r="G962" s="66"/>
      <c r="H962" s="66"/>
      <c r="I962" s="66"/>
      <c r="J962" s="66"/>
      <c r="K962" s="66"/>
      <c r="L962" s="66"/>
      <c r="M962" s="66"/>
      <c r="N962" s="66"/>
    </row>
    <row r="963" spans="1:14" x14ac:dyDescent="0.2">
      <c r="A963" s="84"/>
      <c r="B963" s="84"/>
      <c r="C963" s="60"/>
      <c r="D963" s="66"/>
      <c r="E963" s="66"/>
      <c r="F963" s="66"/>
      <c r="G963" s="66"/>
      <c r="H963" s="66"/>
      <c r="I963" s="66"/>
      <c r="J963" s="66"/>
      <c r="K963" s="66"/>
      <c r="L963" s="66"/>
      <c r="M963" s="66"/>
      <c r="N963" s="66"/>
    </row>
    <row r="964" spans="1:14" x14ac:dyDescent="0.2">
      <c r="A964" s="84"/>
      <c r="B964" s="84"/>
      <c r="C964" s="60"/>
      <c r="D964" s="66"/>
      <c r="E964" s="66"/>
      <c r="F964" s="66"/>
      <c r="G964" s="66"/>
      <c r="H964" s="66"/>
      <c r="I964" s="66"/>
      <c r="J964" s="66"/>
      <c r="K964" s="66"/>
      <c r="L964" s="66"/>
      <c r="M964" s="66"/>
      <c r="N964" s="66"/>
    </row>
    <row r="965" spans="1:14" x14ac:dyDescent="0.2">
      <c r="A965" s="84"/>
      <c r="B965" s="84"/>
      <c r="C965" s="60"/>
      <c r="D965" s="66"/>
      <c r="E965" s="66"/>
      <c r="F965" s="66"/>
      <c r="G965" s="66"/>
      <c r="H965" s="66"/>
      <c r="I965" s="66"/>
      <c r="J965" s="66"/>
      <c r="K965" s="66"/>
      <c r="L965" s="66"/>
      <c r="M965" s="66"/>
      <c r="N965" s="66"/>
    </row>
    <row r="966" spans="1:14" x14ac:dyDescent="0.2">
      <c r="A966" s="84"/>
      <c r="B966" s="84"/>
      <c r="C966" s="60"/>
      <c r="D966" s="66"/>
      <c r="E966" s="66"/>
      <c r="F966" s="66"/>
      <c r="G966" s="66"/>
      <c r="H966" s="66"/>
      <c r="I966" s="66"/>
      <c r="J966" s="66"/>
      <c r="K966" s="66"/>
      <c r="L966" s="66"/>
      <c r="M966" s="66"/>
      <c r="N966" s="66"/>
    </row>
    <row r="967" spans="1:14" x14ac:dyDescent="0.2">
      <c r="A967" s="84"/>
      <c r="B967" s="84"/>
      <c r="C967" s="60"/>
      <c r="D967" s="66"/>
      <c r="E967" s="66"/>
      <c r="F967" s="66"/>
      <c r="G967" s="66"/>
      <c r="H967" s="66"/>
      <c r="I967" s="66"/>
      <c r="J967" s="66"/>
      <c r="K967" s="66"/>
      <c r="L967" s="66"/>
      <c r="M967" s="66"/>
      <c r="N967" s="66"/>
    </row>
    <row r="968" spans="1:14" x14ac:dyDescent="0.2">
      <c r="A968" s="84"/>
      <c r="B968" s="84"/>
      <c r="C968" s="60"/>
      <c r="D968" s="66"/>
      <c r="E968" s="66"/>
      <c r="F968" s="66"/>
      <c r="G968" s="66"/>
      <c r="H968" s="66"/>
      <c r="I968" s="66"/>
      <c r="J968" s="66"/>
      <c r="K968" s="66"/>
      <c r="L968" s="66"/>
      <c r="M968" s="66"/>
      <c r="N968" s="66"/>
    </row>
    <row r="969" spans="1:14" x14ac:dyDescent="0.2">
      <c r="A969" s="84"/>
      <c r="B969" s="84"/>
      <c r="C969" s="60"/>
      <c r="D969" s="66"/>
      <c r="E969" s="66"/>
      <c r="F969" s="66"/>
      <c r="G969" s="66"/>
      <c r="H969" s="66"/>
      <c r="I969" s="66"/>
      <c r="J969" s="66"/>
      <c r="K969" s="66"/>
      <c r="L969" s="66"/>
      <c r="M969" s="66"/>
      <c r="N969" s="66"/>
    </row>
    <row r="970" spans="1:14" x14ac:dyDescent="0.2">
      <c r="A970" s="84"/>
      <c r="B970" s="84"/>
      <c r="C970" s="60"/>
      <c r="D970" s="66"/>
      <c r="E970" s="66"/>
      <c r="F970" s="66"/>
      <c r="G970" s="66"/>
      <c r="H970" s="66"/>
      <c r="I970" s="66"/>
      <c r="J970" s="66"/>
      <c r="K970" s="66"/>
      <c r="L970" s="66"/>
      <c r="M970" s="66"/>
      <c r="N970" s="66"/>
    </row>
    <row r="971" spans="1:14" x14ac:dyDescent="0.2">
      <c r="A971" s="84"/>
      <c r="B971" s="84"/>
      <c r="C971" s="60"/>
      <c r="D971" s="66"/>
      <c r="E971" s="66"/>
      <c r="F971" s="66"/>
      <c r="G971" s="66"/>
      <c r="H971" s="66"/>
      <c r="I971" s="66"/>
      <c r="J971" s="66"/>
      <c r="K971" s="66"/>
      <c r="L971" s="66"/>
      <c r="M971" s="66"/>
      <c r="N971" s="66"/>
    </row>
    <row r="972" spans="1:14" x14ac:dyDescent="0.2">
      <c r="A972" s="84"/>
      <c r="B972" s="84"/>
      <c r="C972" s="60"/>
      <c r="D972" s="66"/>
      <c r="E972" s="66"/>
      <c r="F972" s="66"/>
      <c r="G972" s="66"/>
      <c r="H972" s="66"/>
      <c r="I972" s="66"/>
      <c r="J972" s="66"/>
      <c r="K972" s="66"/>
      <c r="L972" s="66"/>
      <c r="M972" s="66"/>
      <c r="N972" s="66"/>
    </row>
    <row r="973" spans="1:14" x14ac:dyDescent="0.2">
      <c r="A973" s="84"/>
      <c r="B973" s="84"/>
      <c r="C973" s="60"/>
      <c r="D973" s="66"/>
      <c r="E973" s="66"/>
      <c r="F973" s="66"/>
      <c r="G973" s="66"/>
      <c r="H973" s="66"/>
      <c r="I973" s="66"/>
      <c r="J973" s="66"/>
      <c r="K973" s="66"/>
      <c r="L973" s="66"/>
      <c r="M973" s="66"/>
      <c r="N973" s="66"/>
    </row>
    <row r="974" spans="1:14" x14ac:dyDescent="0.2">
      <c r="A974" s="84"/>
      <c r="B974" s="84"/>
      <c r="C974" s="60"/>
      <c r="D974" s="66"/>
      <c r="E974" s="66"/>
      <c r="F974" s="66"/>
      <c r="G974" s="66"/>
      <c r="H974" s="66"/>
      <c r="I974" s="66"/>
      <c r="J974" s="66"/>
      <c r="K974" s="66"/>
      <c r="L974" s="66"/>
      <c r="M974" s="66"/>
      <c r="N974" s="66"/>
    </row>
    <row r="975" spans="1:14" x14ac:dyDescent="0.2">
      <c r="A975" s="84"/>
      <c r="B975" s="84"/>
      <c r="C975" s="60"/>
      <c r="D975" s="66"/>
      <c r="E975" s="66"/>
      <c r="F975" s="66"/>
      <c r="G975" s="66"/>
      <c r="H975" s="66"/>
      <c r="I975" s="66"/>
      <c r="J975" s="66"/>
      <c r="K975" s="66"/>
      <c r="L975" s="66"/>
      <c r="M975" s="66"/>
      <c r="N975" s="66"/>
    </row>
    <row r="976" spans="1:14" x14ac:dyDescent="0.2">
      <c r="A976" s="84"/>
      <c r="B976" s="84"/>
      <c r="C976" s="60"/>
      <c r="D976" s="66"/>
      <c r="E976" s="66"/>
      <c r="F976" s="66"/>
      <c r="G976" s="66"/>
      <c r="H976" s="66"/>
      <c r="I976" s="66"/>
      <c r="J976" s="66"/>
      <c r="K976" s="66"/>
      <c r="L976" s="66"/>
      <c r="M976" s="66"/>
      <c r="N976" s="66"/>
    </row>
    <row r="977" spans="1:14" x14ac:dyDescent="0.2">
      <c r="A977" s="84"/>
      <c r="B977" s="84"/>
      <c r="C977" s="60"/>
      <c r="D977" s="66"/>
      <c r="E977" s="66"/>
      <c r="F977" s="66"/>
      <c r="G977" s="66"/>
      <c r="H977" s="66"/>
      <c r="I977" s="66"/>
      <c r="J977" s="66"/>
      <c r="K977" s="66"/>
      <c r="L977" s="66"/>
      <c r="M977" s="66"/>
      <c r="N977" s="66"/>
    </row>
    <row r="978" spans="1:14" x14ac:dyDescent="0.2">
      <c r="A978" s="84"/>
      <c r="B978" s="84"/>
      <c r="C978" s="60"/>
      <c r="D978" s="66"/>
      <c r="E978" s="66"/>
      <c r="F978" s="66"/>
      <c r="G978" s="66"/>
      <c r="H978" s="66"/>
      <c r="I978" s="66"/>
      <c r="J978" s="66"/>
      <c r="K978" s="66"/>
      <c r="L978" s="66"/>
      <c r="M978" s="66"/>
      <c r="N978" s="66"/>
    </row>
    <row r="979" spans="1:14" x14ac:dyDescent="0.2">
      <c r="A979" s="84"/>
      <c r="B979" s="84"/>
      <c r="C979" s="60"/>
      <c r="D979" s="66"/>
      <c r="E979" s="66"/>
      <c r="F979" s="66"/>
      <c r="G979" s="66"/>
      <c r="H979" s="66"/>
      <c r="I979" s="66"/>
      <c r="J979" s="66"/>
      <c r="K979" s="66"/>
      <c r="L979" s="66"/>
      <c r="M979" s="66"/>
      <c r="N979" s="66"/>
    </row>
    <row r="980" spans="1:14" x14ac:dyDescent="0.2">
      <c r="A980" s="84"/>
      <c r="B980" s="84"/>
      <c r="C980" s="60"/>
      <c r="D980" s="66"/>
      <c r="E980" s="66"/>
      <c r="F980" s="66"/>
      <c r="G980" s="66"/>
      <c r="H980" s="66"/>
      <c r="I980" s="66"/>
      <c r="J980" s="66"/>
      <c r="K980" s="66"/>
      <c r="L980" s="66"/>
      <c r="M980" s="66"/>
      <c r="N980" s="66"/>
    </row>
    <row r="981" spans="1:14" x14ac:dyDescent="0.2">
      <c r="A981" s="84"/>
      <c r="B981" s="84"/>
      <c r="C981" s="60"/>
      <c r="D981" s="66"/>
      <c r="E981" s="66"/>
      <c r="F981" s="66"/>
      <c r="G981" s="66"/>
      <c r="H981" s="66"/>
      <c r="I981" s="66"/>
      <c r="J981" s="66"/>
      <c r="K981" s="66"/>
      <c r="L981" s="66"/>
      <c r="M981" s="66"/>
      <c r="N981" s="66"/>
    </row>
    <row r="982" spans="1:14" x14ac:dyDescent="0.2">
      <c r="A982" s="84"/>
      <c r="B982" s="84"/>
      <c r="C982" s="60"/>
      <c r="D982" s="66"/>
      <c r="E982" s="66"/>
      <c r="F982" s="66"/>
      <c r="G982" s="66"/>
      <c r="H982" s="66"/>
      <c r="I982" s="66"/>
      <c r="J982" s="66"/>
      <c r="K982" s="66"/>
      <c r="L982" s="66"/>
      <c r="M982" s="66"/>
      <c r="N982" s="66"/>
    </row>
    <row r="983" spans="1:14" x14ac:dyDescent="0.2">
      <c r="A983" s="84"/>
      <c r="B983" s="84"/>
      <c r="C983" s="60"/>
      <c r="D983" s="66"/>
      <c r="E983" s="66"/>
      <c r="F983" s="66"/>
      <c r="G983" s="66"/>
      <c r="H983" s="66"/>
      <c r="I983" s="66"/>
      <c r="J983" s="66"/>
      <c r="K983" s="66"/>
      <c r="L983" s="66"/>
      <c r="M983" s="66"/>
      <c r="N983" s="66"/>
    </row>
    <row r="984" spans="1:14" x14ac:dyDescent="0.2">
      <c r="A984" s="84"/>
      <c r="B984" s="84"/>
      <c r="C984" s="60"/>
      <c r="D984" s="66"/>
      <c r="E984" s="66"/>
      <c r="F984" s="66"/>
      <c r="G984" s="66"/>
      <c r="H984" s="66"/>
      <c r="I984" s="66"/>
      <c r="J984" s="66"/>
      <c r="K984" s="66"/>
      <c r="L984" s="66"/>
      <c r="M984" s="66"/>
      <c r="N984" s="66"/>
    </row>
    <row r="985" spans="1:14" x14ac:dyDescent="0.2">
      <c r="A985" s="84"/>
      <c r="B985" s="84"/>
      <c r="C985" s="60"/>
      <c r="D985" s="66"/>
      <c r="E985" s="66"/>
      <c r="F985" s="66"/>
      <c r="G985" s="66"/>
      <c r="H985" s="66"/>
      <c r="I985" s="66"/>
      <c r="J985" s="66"/>
      <c r="K985" s="66"/>
      <c r="L985" s="66"/>
      <c r="M985" s="66"/>
      <c r="N985" s="66"/>
    </row>
    <row r="986" spans="1:14" x14ac:dyDescent="0.2">
      <c r="A986" s="84"/>
      <c r="B986" s="84"/>
      <c r="C986" s="60"/>
      <c r="D986" s="66"/>
      <c r="E986" s="66"/>
      <c r="F986" s="66"/>
      <c r="G986" s="66"/>
      <c r="H986" s="66"/>
      <c r="I986" s="66"/>
      <c r="J986" s="66"/>
      <c r="K986" s="66"/>
      <c r="L986" s="66"/>
      <c r="M986" s="66"/>
      <c r="N986" s="66"/>
    </row>
    <row r="987" spans="1:14" x14ac:dyDescent="0.2">
      <c r="A987" s="84"/>
      <c r="B987" s="84"/>
      <c r="C987" s="60"/>
      <c r="D987" s="66"/>
      <c r="E987" s="66"/>
      <c r="F987" s="66"/>
      <c r="G987" s="66"/>
      <c r="H987" s="66"/>
      <c r="I987" s="66"/>
      <c r="J987" s="66"/>
      <c r="K987" s="66"/>
      <c r="L987" s="66"/>
      <c r="M987" s="66"/>
      <c r="N987" s="66"/>
    </row>
    <row r="988" spans="1:14" x14ac:dyDescent="0.2">
      <c r="A988" s="84"/>
      <c r="B988" s="84"/>
      <c r="C988" s="60"/>
      <c r="D988" s="66"/>
      <c r="E988" s="66"/>
      <c r="F988" s="66"/>
      <c r="G988" s="66"/>
      <c r="H988" s="66"/>
      <c r="I988" s="66"/>
      <c r="J988" s="66"/>
      <c r="K988" s="66"/>
      <c r="L988" s="66"/>
      <c r="M988" s="66"/>
      <c r="N988" s="66"/>
    </row>
    <row r="989" spans="1:14" x14ac:dyDescent="0.2">
      <c r="A989" s="84"/>
      <c r="B989" s="84"/>
      <c r="C989" s="60"/>
      <c r="D989" s="66"/>
      <c r="E989" s="66"/>
      <c r="F989" s="66"/>
      <c r="G989" s="66"/>
      <c r="H989" s="66"/>
      <c r="I989" s="66"/>
      <c r="J989" s="66"/>
      <c r="K989" s="66"/>
      <c r="L989" s="66"/>
      <c r="M989" s="66"/>
      <c r="N989" s="66"/>
    </row>
    <row r="990" spans="1:14" x14ac:dyDescent="0.2">
      <c r="A990" s="84"/>
      <c r="B990" s="84"/>
      <c r="C990" s="60"/>
      <c r="D990" s="66"/>
      <c r="E990" s="66"/>
      <c r="F990" s="66"/>
      <c r="G990" s="66"/>
      <c r="H990" s="66"/>
      <c r="I990" s="66"/>
      <c r="J990" s="66"/>
      <c r="K990" s="66"/>
      <c r="L990" s="66"/>
      <c r="M990" s="66"/>
      <c r="N990" s="66"/>
    </row>
    <row r="991" spans="1:14" x14ac:dyDescent="0.2">
      <c r="A991" s="84"/>
      <c r="B991" s="84"/>
      <c r="C991" s="60"/>
      <c r="D991" s="66"/>
      <c r="E991" s="66"/>
      <c r="F991" s="66"/>
      <c r="G991" s="66"/>
      <c r="H991" s="66"/>
      <c r="I991" s="66"/>
      <c r="J991" s="66"/>
      <c r="K991" s="66"/>
      <c r="L991" s="66"/>
      <c r="M991" s="66"/>
      <c r="N991" s="66"/>
    </row>
    <row r="992" spans="1:14" x14ac:dyDescent="0.2">
      <c r="A992" s="84"/>
      <c r="B992" s="84"/>
      <c r="C992" s="60"/>
      <c r="D992" s="66"/>
      <c r="E992" s="66"/>
      <c r="F992" s="66"/>
      <c r="G992" s="66"/>
      <c r="H992" s="66"/>
      <c r="I992" s="66"/>
      <c r="J992" s="66"/>
      <c r="K992" s="66"/>
      <c r="L992" s="66"/>
      <c r="M992" s="66"/>
      <c r="N992" s="66"/>
    </row>
    <row r="993" spans="1:14" x14ac:dyDescent="0.2">
      <c r="A993" s="84"/>
      <c r="B993" s="84"/>
      <c r="C993" s="60"/>
      <c r="D993" s="66"/>
      <c r="E993" s="66"/>
      <c r="F993" s="66"/>
      <c r="G993" s="66"/>
      <c r="H993" s="66"/>
      <c r="I993" s="66"/>
      <c r="J993" s="66"/>
      <c r="K993" s="66"/>
      <c r="L993" s="66"/>
      <c r="M993" s="66"/>
      <c r="N993" s="66"/>
    </row>
    <row r="994" spans="1:14" x14ac:dyDescent="0.2">
      <c r="A994" s="84"/>
      <c r="B994" s="84"/>
      <c r="C994" s="60"/>
      <c r="D994" s="66"/>
      <c r="E994" s="66"/>
      <c r="F994" s="66"/>
      <c r="G994" s="66"/>
      <c r="H994" s="66"/>
      <c r="I994" s="66"/>
      <c r="J994" s="66"/>
      <c r="K994" s="66"/>
      <c r="L994" s="66"/>
      <c r="M994" s="66"/>
      <c r="N994" s="66"/>
    </row>
    <row r="995" spans="1:14" x14ac:dyDescent="0.2">
      <c r="A995" s="84"/>
      <c r="B995" s="84"/>
      <c r="C995" s="60"/>
      <c r="D995" s="66"/>
      <c r="E995" s="66"/>
      <c r="F995" s="66"/>
      <c r="G995" s="66"/>
      <c r="H995" s="66"/>
      <c r="I995" s="66"/>
      <c r="J995" s="66"/>
      <c r="K995" s="66"/>
      <c r="L995" s="66"/>
      <c r="M995" s="66"/>
      <c r="N995" s="66"/>
    </row>
    <row r="996" spans="1:14" x14ac:dyDescent="0.2">
      <c r="A996" s="84"/>
      <c r="B996" s="84"/>
      <c r="C996" s="60"/>
      <c r="D996" s="66"/>
      <c r="E996" s="66"/>
      <c r="F996" s="66"/>
      <c r="G996" s="66"/>
      <c r="H996" s="66"/>
      <c r="I996" s="66"/>
      <c r="J996" s="66"/>
      <c r="K996" s="66"/>
      <c r="L996" s="66"/>
      <c r="M996" s="66"/>
      <c r="N996" s="66"/>
    </row>
    <row r="997" spans="1:14" x14ac:dyDescent="0.2">
      <c r="A997" s="84"/>
      <c r="B997" s="84"/>
      <c r="C997" s="60"/>
      <c r="D997" s="66"/>
      <c r="E997" s="66"/>
      <c r="F997" s="66"/>
      <c r="G997" s="66"/>
      <c r="H997" s="66"/>
      <c r="I997" s="66"/>
      <c r="J997" s="66"/>
      <c r="K997" s="66"/>
      <c r="L997" s="66"/>
      <c r="M997" s="66"/>
      <c r="N997" s="66"/>
    </row>
    <row r="998" spans="1:14" x14ac:dyDescent="0.2">
      <c r="A998" s="84"/>
      <c r="B998" s="84"/>
      <c r="C998" s="60"/>
      <c r="D998" s="66"/>
      <c r="E998" s="66"/>
      <c r="F998" s="66"/>
      <c r="G998" s="66"/>
      <c r="H998" s="66"/>
      <c r="I998" s="66"/>
      <c r="J998" s="66"/>
      <c r="K998" s="66"/>
      <c r="L998" s="66"/>
      <c r="M998" s="66"/>
      <c r="N998" s="66"/>
    </row>
    <row r="999" spans="1:14" x14ac:dyDescent="0.2">
      <c r="A999" s="84"/>
      <c r="B999" s="84"/>
      <c r="C999" s="60"/>
      <c r="D999" s="66"/>
      <c r="E999" s="66"/>
      <c r="F999" s="66"/>
      <c r="G999" s="66"/>
      <c r="H999" s="66"/>
      <c r="I999" s="66"/>
      <c r="J999" s="66"/>
      <c r="K999" s="66"/>
      <c r="L999" s="66"/>
      <c r="M999" s="66"/>
      <c r="N999" s="66"/>
    </row>
    <row r="1000" spans="1:14" x14ac:dyDescent="0.2">
      <c r="A1000" s="84"/>
      <c r="B1000" s="84"/>
      <c r="C1000" s="60"/>
      <c r="D1000" s="66"/>
      <c r="E1000" s="66"/>
      <c r="F1000" s="66"/>
      <c r="G1000" s="66"/>
      <c r="H1000" s="66"/>
      <c r="I1000" s="66"/>
      <c r="J1000" s="66"/>
      <c r="K1000" s="66"/>
      <c r="L1000" s="66"/>
      <c r="M1000" s="66"/>
      <c r="N1000" s="66"/>
    </row>
    <row r="1001" spans="1:14" x14ac:dyDescent="0.2">
      <c r="A1001" s="84"/>
      <c r="B1001" s="84"/>
      <c r="C1001" s="60"/>
      <c r="D1001" s="66"/>
      <c r="E1001" s="66"/>
      <c r="F1001" s="66"/>
      <c r="G1001" s="66"/>
      <c r="H1001" s="66"/>
      <c r="I1001" s="66"/>
      <c r="J1001" s="66"/>
      <c r="K1001" s="66"/>
      <c r="L1001" s="66"/>
      <c r="M1001" s="66"/>
      <c r="N1001" s="66"/>
    </row>
    <row r="1002" spans="1:14" x14ac:dyDescent="0.2">
      <c r="A1002" s="84"/>
      <c r="B1002" s="84"/>
      <c r="C1002" s="60"/>
      <c r="D1002" s="66"/>
      <c r="E1002" s="66"/>
      <c r="F1002" s="66"/>
      <c r="G1002" s="66"/>
      <c r="H1002" s="66"/>
      <c r="I1002" s="66"/>
      <c r="J1002" s="66"/>
      <c r="K1002" s="66"/>
      <c r="L1002" s="66"/>
      <c r="M1002" s="66"/>
      <c r="N1002" s="66"/>
    </row>
    <row r="1003" spans="1:14" x14ac:dyDescent="0.2">
      <c r="A1003" s="84"/>
      <c r="B1003" s="84"/>
      <c r="C1003" s="60"/>
      <c r="D1003" s="66"/>
      <c r="E1003" s="66"/>
      <c r="F1003" s="66"/>
      <c r="G1003" s="66"/>
      <c r="H1003" s="66"/>
      <c r="I1003" s="66"/>
      <c r="J1003" s="66"/>
      <c r="K1003" s="66"/>
      <c r="L1003" s="66"/>
      <c r="M1003" s="66"/>
      <c r="N1003" s="66"/>
    </row>
    <row r="1004" spans="1:14" x14ac:dyDescent="0.2">
      <c r="A1004" s="84"/>
      <c r="B1004" s="84"/>
      <c r="C1004" s="60"/>
      <c r="D1004" s="66"/>
      <c r="E1004" s="66"/>
      <c r="F1004" s="66"/>
      <c r="G1004" s="66"/>
      <c r="H1004" s="66"/>
      <c r="I1004" s="66"/>
      <c r="J1004" s="66"/>
      <c r="K1004" s="66"/>
      <c r="L1004" s="66"/>
      <c r="M1004" s="66"/>
      <c r="N1004" s="66"/>
    </row>
    <row r="1005" spans="1:14" x14ac:dyDescent="0.2">
      <c r="A1005" s="84"/>
      <c r="B1005" s="84"/>
      <c r="C1005" s="60"/>
      <c r="D1005" s="66"/>
      <c r="E1005" s="66"/>
      <c r="F1005" s="66"/>
      <c r="G1005" s="66"/>
      <c r="H1005" s="66"/>
      <c r="I1005" s="66"/>
      <c r="J1005" s="66"/>
      <c r="K1005" s="66"/>
      <c r="L1005" s="66"/>
      <c r="M1005" s="66"/>
      <c r="N1005" s="66"/>
    </row>
    <row r="1006" spans="1:14" x14ac:dyDescent="0.2">
      <c r="A1006" s="84"/>
      <c r="B1006" s="84"/>
      <c r="C1006" s="60"/>
      <c r="D1006" s="66"/>
      <c r="E1006" s="66"/>
      <c r="F1006" s="66"/>
      <c r="G1006" s="66"/>
      <c r="H1006" s="66"/>
      <c r="I1006" s="66"/>
      <c r="J1006" s="66"/>
      <c r="K1006" s="66"/>
      <c r="L1006" s="66"/>
      <c r="M1006" s="66"/>
      <c r="N1006" s="66"/>
    </row>
    <row r="1007" spans="1:14" x14ac:dyDescent="0.2">
      <c r="A1007" s="84"/>
      <c r="B1007" s="84"/>
      <c r="C1007" s="60"/>
      <c r="D1007" s="66"/>
      <c r="E1007" s="66"/>
      <c r="F1007" s="66"/>
      <c r="G1007" s="66"/>
      <c r="H1007" s="66"/>
      <c r="I1007" s="66"/>
      <c r="J1007" s="66"/>
      <c r="K1007" s="66"/>
      <c r="L1007" s="66"/>
      <c r="M1007" s="66"/>
      <c r="N1007" s="66"/>
    </row>
    <row r="1008" spans="1:14" x14ac:dyDescent="0.2">
      <c r="A1008" s="84"/>
      <c r="B1008" s="84"/>
      <c r="C1008" s="60"/>
      <c r="D1008" s="66"/>
      <c r="E1008" s="66"/>
      <c r="F1008" s="66"/>
      <c r="G1008" s="66"/>
      <c r="H1008" s="66"/>
      <c r="I1008" s="66"/>
      <c r="J1008" s="66"/>
      <c r="K1008" s="66"/>
      <c r="L1008" s="66"/>
      <c r="M1008" s="66"/>
      <c r="N1008" s="66"/>
    </row>
    <row r="1009" spans="1:14" x14ac:dyDescent="0.2">
      <c r="A1009" s="84"/>
      <c r="B1009" s="84"/>
      <c r="C1009" s="60"/>
      <c r="D1009" s="66"/>
      <c r="E1009" s="66"/>
      <c r="F1009" s="66"/>
      <c r="G1009" s="66"/>
      <c r="H1009" s="66"/>
      <c r="I1009" s="66"/>
      <c r="J1009" s="66"/>
      <c r="K1009" s="66"/>
      <c r="L1009" s="66"/>
      <c r="M1009" s="66"/>
      <c r="N1009" s="66"/>
    </row>
    <row r="1010" spans="1:14" x14ac:dyDescent="0.2">
      <c r="A1010" s="84"/>
      <c r="B1010" s="84"/>
      <c r="C1010" s="60"/>
      <c r="D1010" s="66"/>
      <c r="E1010" s="66"/>
      <c r="F1010" s="66"/>
      <c r="G1010" s="66"/>
      <c r="H1010" s="66"/>
      <c r="I1010" s="66"/>
      <c r="J1010" s="66"/>
      <c r="K1010" s="66"/>
      <c r="L1010" s="66"/>
      <c r="M1010" s="66"/>
      <c r="N1010" s="66"/>
    </row>
    <row r="1011" spans="1:14" x14ac:dyDescent="0.2">
      <c r="A1011" s="84"/>
      <c r="B1011" s="84"/>
      <c r="C1011" s="60"/>
      <c r="D1011" s="66"/>
      <c r="E1011" s="66"/>
      <c r="F1011" s="66"/>
      <c r="G1011" s="66"/>
      <c r="H1011" s="66"/>
      <c r="I1011" s="66"/>
      <c r="J1011" s="66"/>
      <c r="K1011" s="66"/>
      <c r="L1011" s="66"/>
      <c r="M1011" s="66"/>
      <c r="N1011" s="66"/>
    </row>
    <row r="1012" spans="1:14" x14ac:dyDescent="0.2">
      <c r="A1012" s="84"/>
      <c r="B1012" s="84"/>
      <c r="C1012" s="60"/>
      <c r="D1012" s="66"/>
      <c r="E1012" s="66"/>
      <c r="F1012" s="66"/>
      <c r="G1012" s="66"/>
      <c r="H1012" s="66"/>
      <c r="I1012" s="66"/>
      <c r="J1012" s="66"/>
      <c r="K1012" s="66"/>
      <c r="L1012" s="66"/>
      <c r="M1012" s="66"/>
      <c r="N1012" s="66"/>
    </row>
    <row r="1013" spans="1:14" x14ac:dyDescent="0.2">
      <c r="A1013" s="84"/>
      <c r="B1013" s="84"/>
      <c r="C1013" s="60"/>
      <c r="D1013" s="66"/>
      <c r="E1013" s="66"/>
      <c r="F1013" s="66"/>
      <c r="G1013" s="66"/>
      <c r="H1013" s="66"/>
      <c r="I1013" s="66"/>
      <c r="J1013" s="66"/>
      <c r="K1013" s="66"/>
      <c r="L1013" s="66"/>
      <c r="M1013" s="66"/>
      <c r="N1013" s="66"/>
    </row>
    <row r="1014" spans="1:14" x14ac:dyDescent="0.2">
      <c r="A1014" s="84"/>
      <c r="B1014" s="84"/>
      <c r="C1014" s="60"/>
      <c r="D1014" s="66"/>
      <c r="E1014" s="66"/>
      <c r="F1014" s="66"/>
      <c r="G1014" s="66"/>
      <c r="H1014" s="66"/>
      <c r="I1014" s="66"/>
      <c r="J1014" s="66"/>
      <c r="K1014" s="66"/>
      <c r="L1014" s="66"/>
      <c r="M1014" s="66"/>
      <c r="N1014" s="66"/>
    </row>
    <row r="1015" spans="1:14" x14ac:dyDescent="0.2">
      <c r="A1015" s="84"/>
      <c r="B1015" s="84"/>
      <c r="C1015" s="60"/>
      <c r="D1015" s="66"/>
      <c r="E1015" s="66"/>
      <c r="F1015" s="66"/>
      <c r="G1015" s="66"/>
      <c r="H1015" s="66"/>
      <c r="I1015" s="66"/>
      <c r="J1015" s="66"/>
      <c r="K1015" s="66"/>
      <c r="L1015" s="66"/>
      <c r="M1015" s="66"/>
      <c r="N1015" s="66"/>
    </row>
    <row r="1016" spans="1:14" x14ac:dyDescent="0.2">
      <c r="A1016" s="84"/>
      <c r="B1016" s="84"/>
      <c r="C1016" s="60"/>
      <c r="D1016" s="66"/>
      <c r="E1016" s="66"/>
      <c r="F1016" s="66"/>
      <c r="G1016" s="66"/>
      <c r="H1016" s="66"/>
      <c r="I1016" s="66"/>
      <c r="J1016" s="66"/>
      <c r="K1016" s="66"/>
      <c r="L1016" s="66"/>
      <c r="M1016" s="66"/>
      <c r="N1016" s="66"/>
    </row>
    <row r="1017" spans="1:14" x14ac:dyDescent="0.2">
      <c r="A1017" s="84"/>
      <c r="B1017" s="84"/>
      <c r="C1017" s="60"/>
      <c r="D1017" s="66"/>
      <c r="E1017" s="66"/>
      <c r="F1017" s="66"/>
      <c r="G1017" s="66"/>
      <c r="H1017" s="66"/>
      <c r="I1017" s="66"/>
      <c r="J1017" s="66"/>
      <c r="K1017" s="66"/>
      <c r="L1017" s="66"/>
      <c r="M1017" s="66"/>
      <c r="N1017" s="66"/>
    </row>
    <row r="1018" spans="1:14" x14ac:dyDescent="0.2">
      <c r="A1018" s="84"/>
      <c r="B1018" s="84"/>
      <c r="C1018" s="60"/>
      <c r="D1018" s="66"/>
      <c r="E1018" s="66"/>
      <c r="F1018" s="66"/>
      <c r="G1018" s="66"/>
      <c r="H1018" s="66"/>
      <c r="I1018" s="66"/>
      <c r="J1018" s="66"/>
      <c r="K1018" s="66"/>
      <c r="L1018" s="66"/>
      <c r="M1018" s="66"/>
      <c r="N1018" s="66"/>
    </row>
    <row r="1019" spans="1:14" x14ac:dyDescent="0.2">
      <c r="A1019" s="84"/>
      <c r="B1019" s="84"/>
      <c r="C1019" s="60"/>
      <c r="D1019" s="66"/>
      <c r="E1019" s="66"/>
      <c r="F1019" s="66"/>
      <c r="G1019" s="66"/>
      <c r="H1019" s="66"/>
      <c r="I1019" s="66"/>
      <c r="J1019" s="66"/>
      <c r="K1019" s="66"/>
      <c r="L1019" s="66"/>
      <c r="M1019" s="66"/>
      <c r="N1019" s="66"/>
    </row>
    <row r="1020" spans="1:14" x14ac:dyDescent="0.2">
      <c r="A1020" s="84"/>
      <c r="B1020" s="84"/>
      <c r="C1020" s="60"/>
      <c r="D1020" s="66"/>
      <c r="E1020" s="66"/>
      <c r="F1020" s="66"/>
      <c r="G1020" s="66"/>
      <c r="H1020" s="66"/>
      <c r="I1020" s="66"/>
      <c r="J1020" s="66"/>
      <c r="K1020" s="66"/>
      <c r="L1020" s="66"/>
      <c r="M1020" s="66"/>
      <c r="N1020" s="66"/>
    </row>
    <row r="1021" spans="1:14" x14ac:dyDescent="0.2">
      <c r="A1021" s="84"/>
      <c r="B1021" s="84"/>
      <c r="C1021" s="60"/>
      <c r="D1021" s="66"/>
      <c r="E1021" s="66"/>
      <c r="F1021" s="66"/>
      <c r="G1021" s="66"/>
      <c r="H1021" s="66"/>
      <c r="I1021" s="66"/>
      <c r="J1021" s="66"/>
      <c r="K1021" s="66"/>
      <c r="L1021" s="66"/>
      <c r="M1021" s="66"/>
      <c r="N1021" s="66"/>
    </row>
    <row r="1022" spans="1:14" x14ac:dyDescent="0.2">
      <c r="A1022" s="84"/>
      <c r="B1022" s="84"/>
      <c r="C1022" s="60"/>
      <c r="D1022" s="66"/>
      <c r="E1022" s="66"/>
      <c r="F1022" s="66"/>
      <c r="G1022" s="66"/>
      <c r="H1022" s="66"/>
      <c r="I1022" s="66"/>
      <c r="J1022" s="66"/>
      <c r="K1022" s="66"/>
      <c r="L1022" s="66"/>
      <c r="M1022" s="66"/>
      <c r="N1022" s="66"/>
    </row>
    <row r="1023" spans="1:14" x14ac:dyDescent="0.2">
      <c r="A1023" s="84"/>
      <c r="B1023" s="84"/>
      <c r="C1023" s="60"/>
      <c r="D1023" s="66"/>
      <c r="E1023" s="66"/>
      <c r="F1023" s="66"/>
      <c r="G1023" s="66"/>
      <c r="H1023" s="66"/>
      <c r="I1023" s="66"/>
      <c r="J1023" s="66"/>
      <c r="K1023" s="66"/>
      <c r="L1023" s="66"/>
      <c r="M1023" s="66"/>
      <c r="N1023" s="66"/>
    </row>
    <row r="1024" spans="1:14" x14ac:dyDescent="0.2">
      <c r="A1024" s="84"/>
      <c r="B1024" s="84"/>
      <c r="C1024" s="60"/>
      <c r="D1024" s="66"/>
      <c r="E1024" s="66"/>
      <c r="F1024" s="66"/>
      <c r="G1024" s="66"/>
      <c r="H1024" s="66"/>
      <c r="I1024" s="66"/>
      <c r="J1024" s="66"/>
      <c r="K1024" s="66"/>
      <c r="L1024" s="66"/>
      <c r="M1024" s="66"/>
      <c r="N1024" s="66"/>
    </row>
    <row r="1025" spans="1:14" x14ac:dyDescent="0.2">
      <c r="A1025" s="84"/>
      <c r="B1025" s="84"/>
      <c r="C1025" s="60"/>
      <c r="D1025" s="66"/>
      <c r="E1025" s="66"/>
      <c r="F1025" s="66"/>
      <c r="G1025" s="66"/>
      <c r="H1025" s="66"/>
      <c r="I1025" s="66"/>
      <c r="J1025" s="66"/>
      <c r="K1025" s="66"/>
      <c r="L1025" s="66"/>
      <c r="M1025" s="66"/>
      <c r="N1025" s="66"/>
    </row>
    <row r="1026" spans="1:14" x14ac:dyDescent="0.2">
      <c r="A1026" s="84"/>
      <c r="B1026" s="84"/>
      <c r="C1026" s="60"/>
      <c r="D1026" s="66"/>
      <c r="E1026" s="66"/>
      <c r="F1026" s="66"/>
      <c r="G1026" s="66"/>
      <c r="H1026" s="66"/>
      <c r="I1026" s="66"/>
      <c r="J1026" s="66"/>
      <c r="K1026" s="66"/>
      <c r="L1026" s="66"/>
      <c r="M1026" s="66"/>
      <c r="N1026" s="66"/>
    </row>
    <row r="1027" spans="1:14" x14ac:dyDescent="0.2">
      <c r="A1027" s="84"/>
      <c r="B1027" s="84"/>
      <c r="C1027" s="60"/>
      <c r="D1027" s="66"/>
      <c r="E1027" s="66"/>
      <c r="F1027" s="66"/>
      <c r="G1027" s="66"/>
      <c r="H1027" s="66"/>
      <c r="I1027" s="66"/>
      <c r="J1027" s="66"/>
      <c r="K1027" s="66"/>
      <c r="L1027" s="66"/>
      <c r="M1027" s="66"/>
      <c r="N1027" s="66"/>
    </row>
    <row r="1028" spans="1:14" x14ac:dyDescent="0.2">
      <c r="A1028" s="84"/>
      <c r="B1028" s="84"/>
      <c r="C1028" s="60"/>
      <c r="D1028" s="66"/>
      <c r="E1028" s="66"/>
      <c r="F1028" s="66"/>
      <c r="G1028" s="66"/>
      <c r="H1028" s="66"/>
      <c r="I1028" s="66"/>
      <c r="J1028" s="66"/>
      <c r="K1028" s="66"/>
      <c r="L1028" s="66"/>
      <c r="M1028" s="66"/>
      <c r="N1028" s="66"/>
    </row>
    <row r="1029" spans="1:14" x14ac:dyDescent="0.2">
      <c r="A1029" s="84"/>
      <c r="B1029" s="84"/>
      <c r="C1029" s="60"/>
      <c r="D1029" s="66"/>
      <c r="E1029" s="66"/>
      <c r="F1029" s="66"/>
      <c r="G1029" s="66"/>
      <c r="H1029" s="66"/>
      <c r="I1029" s="66"/>
      <c r="J1029" s="66"/>
      <c r="K1029" s="66"/>
      <c r="L1029" s="66"/>
      <c r="M1029" s="66"/>
      <c r="N1029" s="66"/>
    </row>
    <row r="1030" spans="1:14" x14ac:dyDescent="0.2">
      <c r="A1030" s="84"/>
      <c r="B1030" s="84"/>
      <c r="C1030" s="60"/>
      <c r="D1030" s="66"/>
      <c r="E1030" s="66"/>
      <c r="F1030" s="66"/>
      <c r="G1030" s="66"/>
      <c r="H1030" s="66"/>
      <c r="I1030" s="66"/>
      <c r="J1030" s="66"/>
      <c r="K1030" s="66"/>
      <c r="L1030" s="66"/>
      <c r="M1030" s="66"/>
      <c r="N1030" s="66"/>
    </row>
    <row r="1031" spans="1:14" x14ac:dyDescent="0.2">
      <c r="A1031" s="84"/>
      <c r="B1031" s="84"/>
      <c r="C1031" s="60"/>
      <c r="D1031" s="66"/>
      <c r="E1031" s="66"/>
      <c r="F1031" s="66"/>
      <c r="G1031" s="66"/>
      <c r="H1031" s="66"/>
      <c r="I1031" s="66"/>
      <c r="J1031" s="66"/>
      <c r="K1031" s="66"/>
      <c r="L1031" s="66"/>
      <c r="M1031" s="66"/>
      <c r="N1031" s="66"/>
    </row>
    <row r="1032" spans="1:14" x14ac:dyDescent="0.2">
      <c r="A1032" s="84"/>
      <c r="B1032" s="84"/>
      <c r="C1032" s="60"/>
      <c r="D1032" s="66"/>
      <c r="E1032" s="66"/>
      <c r="F1032" s="66"/>
      <c r="G1032" s="66"/>
      <c r="H1032" s="66"/>
      <c r="I1032" s="66"/>
      <c r="J1032" s="66"/>
      <c r="K1032" s="66"/>
      <c r="L1032" s="66"/>
      <c r="M1032" s="66"/>
      <c r="N1032" s="66"/>
    </row>
    <row r="1033" spans="1:14" x14ac:dyDescent="0.2">
      <c r="A1033" s="84"/>
      <c r="B1033" s="84"/>
      <c r="C1033" s="60"/>
      <c r="D1033" s="66"/>
      <c r="E1033" s="66"/>
      <c r="F1033" s="66"/>
      <c r="G1033" s="66"/>
      <c r="H1033" s="66"/>
      <c r="I1033" s="66"/>
      <c r="J1033" s="66"/>
      <c r="K1033" s="66"/>
      <c r="L1033" s="66"/>
      <c r="M1033" s="66"/>
      <c r="N1033" s="66"/>
    </row>
    <row r="1034" spans="1:14" x14ac:dyDescent="0.2">
      <c r="A1034" s="84"/>
      <c r="B1034" s="84"/>
      <c r="C1034" s="60"/>
      <c r="D1034" s="66"/>
      <c r="E1034" s="66"/>
      <c r="F1034" s="66"/>
      <c r="G1034" s="66"/>
      <c r="H1034" s="66"/>
      <c r="I1034" s="66"/>
      <c r="J1034" s="66"/>
      <c r="K1034" s="66"/>
      <c r="L1034" s="66"/>
      <c r="M1034" s="66"/>
      <c r="N1034" s="66"/>
    </row>
    <row r="1035" spans="1:14" x14ac:dyDescent="0.2">
      <c r="A1035" s="84"/>
      <c r="B1035" s="84"/>
      <c r="C1035" s="60"/>
      <c r="D1035" s="66"/>
      <c r="E1035" s="66"/>
      <c r="F1035" s="66"/>
      <c r="G1035" s="66"/>
      <c r="H1035" s="66"/>
      <c r="I1035" s="66"/>
      <c r="J1035" s="66"/>
      <c r="K1035" s="66"/>
      <c r="L1035" s="66"/>
      <c r="M1035" s="66"/>
      <c r="N1035" s="66"/>
    </row>
    <row r="1036" spans="1:14" x14ac:dyDescent="0.2">
      <c r="A1036" s="84"/>
      <c r="B1036" s="84"/>
      <c r="C1036" s="60"/>
      <c r="D1036" s="66"/>
      <c r="E1036" s="66"/>
      <c r="F1036" s="66"/>
      <c r="G1036" s="66"/>
      <c r="H1036" s="66"/>
      <c r="I1036" s="66"/>
      <c r="J1036" s="66"/>
      <c r="K1036" s="66"/>
      <c r="L1036" s="66"/>
      <c r="M1036" s="66"/>
      <c r="N1036" s="66"/>
    </row>
    <row r="1037" spans="1:14" x14ac:dyDescent="0.2">
      <c r="A1037" s="84"/>
      <c r="B1037" s="84"/>
      <c r="C1037" s="60"/>
      <c r="D1037" s="66"/>
      <c r="E1037" s="66"/>
      <c r="F1037" s="66"/>
      <c r="G1037" s="66"/>
      <c r="H1037" s="66"/>
      <c r="I1037" s="66"/>
      <c r="J1037" s="66"/>
      <c r="K1037" s="66"/>
      <c r="L1037" s="66"/>
      <c r="M1037" s="66"/>
      <c r="N1037" s="66"/>
    </row>
    <row r="1038" spans="1:14" x14ac:dyDescent="0.2">
      <c r="A1038" s="84"/>
      <c r="B1038" s="84"/>
      <c r="C1038" s="60"/>
      <c r="D1038" s="66"/>
      <c r="E1038" s="66"/>
      <c r="F1038" s="66"/>
      <c r="G1038" s="66"/>
      <c r="H1038" s="66"/>
      <c r="I1038" s="66"/>
      <c r="J1038" s="66"/>
      <c r="K1038" s="66"/>
      <c r="L1038" s="66"/>
      <c r="M1038" s="66"/>
      <c r="N1038" s="66"/>
    </row>
    <row r="1039" spans="1:14" x14ac:dyDescent="0.2">
      <c r="A1039" s="84"/>
      <c r="B1039" s="84"/>
      <c r="C1039" s="60"/>
      <c r="D1039" s="66"/>
      <c r="E1039" s="66"/>
      <c r="F1039" s="66"/>
      <c r="G1039" s="66"/>
      <c r="H1039" s="66"/>
      <c r="I1039" s="66"/>
      <c r="J1039" s="66"/>
      <c r="K1039" s="66"/>
      <c r="L1039" s="66"/>
      <c r="M1039" s="66"/>
      <c r="N1039" s="66"/>
    </row>
    <row r="1040" spans="1:14" x14ac:dyDescent="0.2">
      <c r="A1040" s="84"/>
      <c r="B1040" s="84"/>
      <c r="C1040" s="60"/>
      <c r="D1040" s="66"/>
      <c r="E1040" s="66"/>
      <c r="F1040" s="66"/>
      <c r="G1040" s="66"/>
      <c r="H1040" s="66"/>
      <c r="I1040" s="66"/>
      <c r="J1040" s="66"/>
      <c r="K1040" s="66"/>
      <c r="L1040" s="66"/>
      <c r="M1040" s="66"/>
      <c r="N1040" s="66"/>
    </row>
    <row r="1041" spans="1:14" x14ac:dyDescent="0.2">
      <c r="A1041" s="84"/>
      <c r="B1041" s="84"/>
      <c r="C1041" s="60"/>
      <c r="D1041" s="66"/>
      <c r="E1041" s="66"/>
      <c r="F1041" s="66"/>
      <c r="G1041" s="66"/>
      <c r="H1041" s="66"/>
      <c r="I1041" s="66"/>
      <c r="J1041" s="66"/>
      <c r="K1041" s="66"/>
      <c r="L1041" s="66"/>
      <c r="M1041" s="66"/>
      <c r="N1041" s="66"/>
    </row>
    <row r="1042" spans="1:14" x14ac:dyDescent="0.2">
      <c r="A1042" s="84"/>
      <c r="B1042" s="84"/>
      <c r="C1042" s="60"/>
      <c r="D1042" s="66"/>
      <c r="E1042" s="66"/>
      <c r="F1042" s="66"/>
      <c r="G1042" s="66"/>
      <c r="H1042" s="66"/>
      <c r="I1042" s="66"/>
      <c r="J1042" s="66"/>
      <c r="K1042" s="66"/>
      <c r="L1042" s="66"/>
      <c r="M1042" s="66"/>
      <c r="N1042" s="66"/>
    </row>
    <row r="1043" spans="1:14" x14ac:dyDescent="0.2">
      <c r="A1043" s="84"/>
      <c r="B1043" s="84"/>
      <c r="C1043" s="60"/>
      <c r="D1043" s="66"/>
      <c r="E1043" s="66"/>
      <c r="F1043" s="66"/>
      <c r="G1043" s="66"/>
      <c r="H1043" s="66"/>
      <c r="I1043" s="66"/>
      <c r="J1043" s="66"/>
      <c r="K1043" s="66"/>
      <c r="L1043" s="66"/>
      <c r="M1043" s="66"/>
      <c r="N1043" s="66"/>
    </row>
    <row r="1044" spans="1:14" x14ac:dyDescent="0.2">
      <c r="A1044" s="84"/>
      <c r="B1044" s="84"/>
      <c r="C1044" s="60"/>
      <c r="D1044" s="66"/>
      <c r="E1044" s="66"/>
      <c r="F1044" s="66"/>
      <c r="G1044" s="66"/>
      <c r="H1044" s="66"/>
      <c r="I1044" s="66"/>
      <c r="J1044" s="66"/>
      <c r="K1044" s="66"/>
      <c r="L1044" s="66"/>
      <c r="M1044" s="66"/>
      <c r="N1044" s="66"/>
    </row>
    <row r="1045" spans="1:14" x14ac:dyDescent="0.2">
      <c r="A1045" s="84"/>
      <c r="B1045" s="84"/>
      <c r="C1045" s="60"/>
      <c r="D1045" s="66"/>
      <c r="E1045" s="66"/>
      <c r="F1045" s="66"/>
      <c r="G1045" s="66"/>
      <c r="H1045" s="66"/>
      <c r="I1045" s="66"/>
      <c r="J1045" s="66"/>
      <c r="K1045" s="66"/>
      <c r="L1045" s="66"/>
      <c r="M1045" s="66"/>
      <c r="N1045" s="66"/>
    </row>
    <row r="1046" spans="1:14" x14ac:dyDescent="0.2">
      <c r="A1046" s="84"/>
      <c r="B1046" s="84"/>
      <c r="C1046" s="60"/>
      <c r="D1046" s="66"/>
      <c r="E1046" s="66"/>
      <c r="F1046" s="66"/>
      <c r="G1046" s="66"/>
      <c r="H1046" s="66"/>
      <c r="I1046" s="66"/>
      <c r="J1046" s="66"/>
      <c r="K1046" s="66"/>
      <c r="L1046" s="66"/>
      <c r="M1046" s="66"/>
      <c r="N1046" s="66"/>
    </row>
    <row r="1047" spans="1:14" x14ac:dyDescent="0.2">
      <c r="A1047" s="84"/>
      <c r="B1047" s="84"/>
      <c r="C1047" s="60"/>
      <c r="D1047" s="66"/>
      <c r="E1047" s="66"/>
      <c r="F1047" s="66"/>
      <c r="G1047" s="66"/>
      <c r="H1047" s="66"/>
      <c r="I1047" s="66"/>
      <c r="J1047" s="66"/>
      <c r="K1047" s="66"/>
      <c r="L1047" s="66"/>
      <c r="M1047" s="66"/>
      <c r="N1047" s="66"/>
    </row>
    <row r="1048" spans="1:14" x14ac:dyDescent="0.2">
      <c r="A1048" s="84"/>
      <c r="B1048" s="84"/>
      <c r="C1048" s="60"/>
      <c r="D1048" s="66"/>
      <c r="E1048" s="66"/>
      <c r="F1048" s="66"/>
      <c r="G1048" s="66"/>
      <c r="H1048" s="66"/>
      <c r="I1048" s="66"/>
      <c r="J1048" s="66"/>
      <c r="K1048" s="66"/>
      <c r="L1048" s="66"/>
      <c r="M1048" s="66"/>
      <c r="N1048" s="66"/>
    </row>
    <row r="1049" spans="1:14" x14ac:dyDescent="0.2">
      <c r="A1049" s="84"/>
      <c r="B1049" s="84"/>
      <c r="C1049" s="60"/>
      <c r="D1049" s="66"/>
      <c r="E1049" s="66"/>
      <c r="F1049" s="66"/>
      <c r="G1049" s="66"/>
      <c r="H1049" s="66"/>
      <c r="I1049" s="66"/>
      <c r="J1049" s="66"/>
      <c r="K1049" s="66"/>
      <c r="L1049" s="66"/>
      <c r="M1049" s="66"/>
      <c r="N1049" s="66"/>
    </row>
    <row r="1050" spans="1:14" x14ac:dyDescent="0.2">
      <c r="A1050" s="84"/>
      <c r="B1050" s="84"/>
      <c r="C1050" s="60"/>
      <c r="D1050" s="66"/>
      <c r="E1050" s="66"/>
      <c r="F1050" s="66"/>
      <c r="G1050" s="66"/>
      <c r="H1050" s="66"/>
      <c r="I1050" s="66"/>
      <c r="J1050" s="66"/>
      <c r="K1050" s="66"/>
      <c r="L1050" s="66"/>
      <c r="M1050" s="66"/>
      <c r="N1050" s="66"/>
    </row>
    <row r="1051" spans="1:14" x14ac:dyDescent="0.2">
      <c r="A1051" s="84"/>
      <c r="B1051" s="84"/>
      <c r="C1051" s="60"/>
      <c r="D1051" s="66"/>
      <c r="E1051" s="66"/>
      <c r="F1051" s="66"/>
      <c r="G1051" s="66"/>
      <c r="H1051" s="66"/>
      <c r="I1051" s="66"/>
      <c r="J1051" s="66"/>
      <c r="K1051" s="66"/>
      <c r="L1051" s="66"/>
      <c r="M1051" s="66"/>
      <c r="N1051" s="66"/>
    </row>
    <row r="1052" spans="1:14" x14ac:dyDescent="0.2">
      <c r="A1052" s="84"/>
      <c r="B1052" s="84"/>
      <c r="C1052" s="60"/>
      <c r="D1052" s="66"/>
      <c r="E1052" s="66"/>
      <c r="F1052" s="66"/>
      <c r="G1052" s="66"/>
      <c r="H1052" s="66"/>
      <c r="I1052" s="66"/>
      <c r="J1052" s="66"/>
      <c r="K1052" s="66"/>
      <c r="L1052" s="66"/>
      <c r="M1052" s="66"/>
      <c r="N1052" s="66"/>
    </row>
    <row r="1053" spans="1:14" x14ac:dyDescent="0.2">
      <c r="A1053" s="84"/>
      <c r="B1053" s="84"/>
      <c r="C1053" s="60"/>
      <c r="D1053" s="66"/>
      <c r="E1053" s="66"/>
      <c r="F1053" s="66"/>
      <c r="G1053" s="66"/>
      <c r="H1053" s="66"/>
      <c r="I1053" s="66"/>
      <c r="J1053" s="66"/>
      <c r="K1053" s="66"/>
      <c r="L1053" s="66"/>
      <c r="M1053" s="66"/>
      <c r="N1053" s="66"/>
    </row>
    <row r="1054" spans="1:14" x14ac:dyDescent="0.2">
      <c r="A1054" s="84"/>
      <c r="B1054" s="84"/>
      <c r="C1054" s="60"/>
      <c r="D1054" s="66"/>
      <c r="E1054" s="66"/>
      <c r="F1054" s="66"/>
      <c r="G1054" s="66"/>
      <c r="H1054" s="66"/>
      <c r="I1054" s="66"/>
      <c r="J1054" s="66"/>
      <c r="K1054" s="66"/>
      <c r="L1054" s="66"/>
      <c r="M1054" s="66"/>
      <c r="N1054" s="66"/>
    </row>
    <row r="1055" spans="1:14" x14ac:dyDescent="0.2">
      <c r="A1055" s="84"/>
      <c r="B1055" s="84"/>
      <c r="C1055" s="60"/>
      <c r="D1055" s="66"/>
      <c r="E1055" s="66"/>
      <c r="F1055" s="66"/>
      <c r="G1055" s="66"/>
      <c r="H1055" s="66"/>
      <c r="I1055" s="66"/>
      <c r="J1055" s="66"/>
      <c r="K1055" s="66"/>
      <c r="L1055" s="66"/>
      <c r="M1055" s="66"/>
      <c r="N1055" s="66"/>
    </row>
    <row r="1056" spans="1:14" x14ac:dyDescent="0.2">
      <c r="A1056" s="84"/>
      <c r="B1056" s="84"/>
      <c r="C1056" s="60"/>
      <c r="D1056" s="66"/>
      <c r="E1056" s="66"/>
      <c r="F1056" s="66"/>
      <c r="G1056" s="66"/>
      <c r="H1056" s="66"/>
      <c r="I1056" s="66"/>
      <c r="J1056" s="66"/>
      <c r="K1056" s="66"/>
      <c r="L1056" s="66"/>
      <c r="M1056" s="66"/>
      <c r="N1056" s="66"/>
    </row>
    <row r="1057" spans="1:14" x14ac:dyDescent="0.2">
      <c r="A1057" s="84"/>
      <c r="B1057" s="84"/>
      <c r="C1057" s="60"/>
      <c r="D1057" s="66"/>
      <c r="E1057" s="66"/>
      <c r="F1057" s="66"/>
      <c r="G1057" s="66"/>
      <c r="H1057" s="66"/>
      <c r="I1057" s="66"/>
      <c r="J1057" s="66"/>
      <c r="K1057" s="66"/>
      <c r="L1057" s="66"/>
      <c r="M1057" s="66"/>
      <c r="N1057" s="66"/>
    </row>
    <row r="1058" spans="1:14" x14ac:dyDescent="0.2">
      <c r="A1058" s="84"/>
      <c r="B1058" s="84"/>
      <c r="C1058" s="60"/>
      <c r="D1058" s="66"/>
      <c r="E1058" s="66"/>
      <c r="F1058" s="66"/>
      <c r="G1058" s="66"/>
      <c r="H1058" s="66"/>
      <c r="I1058" s="66"/>
      <c r="J1058" s="66"/>
      <c r="K1058" s="66"/>
      <c r="L1058" s="66"/>
      <c r="M1058" s="66"/>
      <c r="N1058" s="66"/>
    </row>
    <row r="1059" spans="1:14" x14ac:dyDescent="0.2">
      <c r="A1059" s="84"/>
      <c r="B1059" s="84"/>
      <c r="C1059" s="60"/>
      <c r="D1059" s="66"/>
      <c r="E1059" s="66"/>
      <c r="F1059" s="66"/>
      <c r="G1059" s="66"/>
      <c r="H1059" s="66"/>
      <c r="I1059" s="66"/>
      <c r="J1059" s="66"/>
      <c r="K1059" s="66"/>
      <c r="L1059" s="66"/>
      <c r="M1059" s="66"/>
      <c r="N1059" s="66"/>
    </row>
    <row r="1060" spans="1:14" x14ac:dyDescent="0.2">
      <c r="A1060" s="84"/>
      <c r="B1060" s="84"/>
      <c r="C1060" s="60"/>
      <c r="D1060" s="66"/>
      <c r="E1060" s="66"/>
      <c r="F1060" s="66"/>
      <c r="G1060" s="66"/>
      <c r="H1060" s="66"/>
      <c r="I1060" s="66"/>
      <c r="J1060" s="66"/>
      <c r="K1060" s="66"/>
      <c r="L1060" s="66"/>
      <c r="M1060" s="66"/>
      <c r="N1060" s="66"/>
    </row>
    <row r="1061" spans="1:14" x14ac:dyDescent="0.2">
      <c r="A1061" s="84"/>
      <c r="B1061" s="84"/>
      <c r="C1061" s="60"/>
      <c r="D1061" s="66"/>
      <c r="E1061" s="66"/>
      <c r="F1061" s="66"/>
      <c r="G1061" s="66"/>
      <c r="H1061" s="66"/>
      <c r="I1061" s="66"/>
      <c r="J1061" s="66"/>
      <c r="K1061" s="66"/>
      <c r="L1061" s="66"/>
      <c r="M1061" s="66"/>
      <c r="N1061" s="66"/>
    </row>
    <row r="1062" spans="1:14" x14ac:dyDescent="0.2">
      <c r="A1062" s="84"/>
      <c r="B1062" s="84"/>
      <c r="C1062" s="60"/>
      <c r="D1062" s="66"/>
      <c r="E1062" s="66"/>
      <c r="F1062" s="66"/>
      <c r="G1062" s="66"/>
      <c r="H1062" s="66"/>
      <c r="I1062" s="66"/>
      <c r="J1062" s="66"/>
      <c r="K1062" s="66"/>
      <c r="L1062" s="66"/>
      <c r="M1062" s="66"/>
      <c r="N1062" s="66"/>
    </row>
    <row r="1063" spans="1:14" x14ac:dyDescent="0.2">
      <c r="A1063" s="84"/>
      <c r="B1063" s="84"/>
      <c r="C1063" s="60"/>
      <c r="D1063" s="66"/>
      <c r="E1063" s="66"/>
      <c r="F1063" s="66"/>
      <c r="G1063" s="66"/>
      <c r="H1063" s="66"/>
      <c r="I1063" s="66"/>
      <c r="J1063" s="66"/>
      <c r="K1063" s="66"/>
      <c r="L1063" s="66"/>
      <c r="M1063" s="66"/>
      <c r="N1063" s="66"/>
    </row>
    <row r="1064" spans="1:14" x14ac:dyDescent="0.2">
      <c r="A1064" s="84"/>
      <c r="B1064" s="84"/>
      <c r="C1064" s="60"/>
      <c r="D1064" s="66"/>
      <c r="E1064" s="66"/>
      <c r="F1064" s="66"/>
      <c r="G1064" s="66"/>
      <c r="H1064" s="66"/>
      <c r="I1064" s="66"/>
      <c r="J1064" s="66"/>
      <c r="K1064" s="66"/>
      <c r="L1064" s="66"/>
      <c r="M1064" s="66"/>
      <c r="N1064" s="66"/>
    </row>
    <row r="1065" spans="1:14" x14ac:dyDescent="0.2">
      <c r="A1065" s="84"/>
      <c r="B1065" s="84"/>
      <c r="C1065" s="60"/>
      <c r="D1065" s="66"/>
      <c r="E1065" s="66"/>
      <c r="F1065" s="66"/>
      <c r="G1065" s="66"/>
      <c r="H1065" s="66"/>
      <c r="I1065" s="66"/>
      <c r="J1065" s="66"/>
      <c r="K1065" s="66"/>
      <c r="L1065" s="66"/>
      <c r="M1065" s="66"/>
      <c r="N1065" s="66"/>
    </row>
    <row r="1066" spans="1:14" x14ac:dyDescent="0.2">
      <c r="A1066" s="84"/>
      <c r="B1066" s="84"/>
      <c r="C1066" s="60"/>
      <c r="D1066" s="66"/>
      <c r="E1066" s="66"/>
      <c r="F1066" s="66"/>
      <c r="G1066" s="66"/>
      <c r="H1066" s="66"/>
      <c r="I1066" s="66"/>
      <c r="J1066" s="66"/>
      <c r="K1066" s="66"/>
      <c r="L1066" s="66"/>
      <c r="M1066" s="66"/>
      <c r="N1066" s="66"/>
    </row>
    <row r="1067" spans="1:14" x14ac:dyDescent="0.2">
      <c r="A1067" s="84"/>
      <c r="B1067" s="84"/>
      <c r="C1067" s="60"/>
      <c r="D1067" s="66"/>
      <c r="E1067" s="66"/>
      <c r="F1067" s="66"/>
      <c r="G1067" s="66"/>
      <c r="H1067" s="66"/>
      <c r="I1067" s="66"/>
      <c r="J1067" s="66"/>
      <c r="K1067" s="66"/>
      <c r="L1067" s="66"/>
      <c r="M1067" s="66"/>
      <c r="N1067" s="66"/>
    </row>
    <row r="1068" spans="1:14" x14ac:dyDescent="0.2">
      <c r="A1068" s="84"/>
      <c r="B1068" s="84"/>
      <c r="C1068" s="60"/>
      <c r="D1068" s="66"/>
      <c r="E1068" s="66"/>
      <c r="F1068" s="66"/>
      <c r="G1068" s="66"/>
      <c r="H1068" s="66"/>
      <c r="I1068" s="66"/>
      <c r="J1068" s="66"/>
      <c r="K1068" s="66"/>
      <c r="L1068" s="66"/>
      <c r="M1068" s="66"/>
      <c r="N1068" s="66"/>
    </row>
    <row r="1069" spans="1:14" x14ac:dyDescent="0.2">
      <c r="A1069" s="84"/>
      <c r="B1069" s="84"/>
      <c r="C1069" s="60"/>
      <c r="D1069" s="66"/>
      <c r="E1069" s="66"/>
      <c r="F1069" s="66"/>
      <c r="G1069" s="66"/>
      <c r="H1069" s="66"/>
      <c r="I1069" s="66"/>
      <c r="J1069" s="66"/>
      <c r="K1069" s="66"/>
      <c r="L1069" s="66"/>
      <c r="M1069" s="66"/>
      <c r="N1069" s="66"/>
    </row>
    <row r="1070" spans="1:14" x14ac:dyDescent="0.2">
      <c r="A1070" s="84"/>
      <c r="B1070" s="84"/>
      <c r="C1070" s="60"/>
      <c r="D1070" s="66"/>
      <c r="E1070" s="66"/>
      <c r="F1070" s="66"/>
      <c r="G1070" s="66"/>
      <c r="H1070" s="66"/>
      <c r="I1070" s="66"/>
      <c r="J1070" s="66"/>
      <c r="K1070" s="66"/>
      <c r="L1070" s="66"/>
      <c r="M1070" s="66"/>
      <c r="N1070" s="66"/>
    </row>
    <row r="1071" spans="1:14" x14ac:dyDescent="0.2">
      <c r="A1071" s="84"/>
      <c r="B1071" s="84"/>
      <c r="C1071" s="60"/>
      <c r="D1071" s="66"/>
      <c r="E1071" s="66"/>
      <c r="F1071" s="66"/>
      <c r="G1071" s="66"/>
      <c r="H1071" s="66"/>
      <c r="I1071" s="66"/>
      <c r="J1071" s="66"/>
      <c r="K1071" s="66"/>
      <c r="L1071" s="66"/>
      <c r="M1071" s="66"/>
      <c r="N1071" s="66"/>
    </row>
    <row r="1072" spans="1:14" x14ac:dyDescent="0.2">
      <c r="A1072" s="84"/>
      <c r="B1072" s="84"/>
      <c r="C1072" s="60"/>
      <c r="D1072" s="66"/>
      <c r="E1072" s="66"/>
      <c r="F1072" s="66"/>
      <c r="G1072" s="66"/>
      <c r="H1072" s="66"/>
      <c r="I1072" s="66"/>
      <c r="J1072" s="66"/>
      <c r="K1072" s="66"/>
      <c r="L1072" s="66"/>
      <c r="M1072" s="66"/>
      <c r="N1072" s="66"/>
    </row>
    <row r="1073" spans="1:14" x14ac:dyDescent="0.2">
      <c r="A1073" s="84"/>
      <c r="B1073" s="84"/>
      <c r="C1073" s="60"/>
      <c r="D1073" s="66"/>
      <c r="E1073" s="66"/>
      <c r="F1073" s="66"/>
      <c r="G1073" s="66"/>
      <c r="H1073" s="66"/>
      <c r="I1073" s="66"/>
      <c r="J1073" s="66"/>
      <c r="K1073" s="66"/>
      <c r="L1073" s="66"/>
      <c r="M1073" s="66"/>
      <c r="N1073" s="66"/>
    </row>
    <row r="1074" spans="1:14" x14ac:dyDescent="0.2">
      <c r="A1074" s="84"/>
      <c r="B1074" s="84"/>
      <c r="C1074" s="60"/>
      <c r="D1074" s="66"/>
      <c r="E1074" s="66"/>
      <c r="F1074" s="66"/>
      <c r="G1074" s="66"/>
      <c r="H1074" s="66"/>
      <c r="I1074" s="66"/>
      <c r="J1074" s="66"/>
      <c r="K1074" s="66"/>
      <c r="L1074" s="66"/>
      <c r="M1074" s="66"/>
      <c r="N1074" s="66"/>
    </row>
    <row r="1075" spans="1:14" x14ac:dyDescent="0.2">
      <c r="A1075" s="84"/>
      <c r="B1075" s="84"/>
      <c r="C1075" s="60"/>
      <c r="D1075" s="66"/>
      <c r="E1075" s="66"/>
      <c r="F1075" s="66"/>
      <c r="G1075" s="66"/>
      <c r="H1075" s="66"/>
      <c r="I1075" s="66"/>
      <c r="J1075" s="66"/>
      <c r="K1075" s="66"/>
      <c r="L1075" s="66"/>
      <c r="M1075" s="66"/>
      <c r="N1075" s="66"/>
    </row>
    <row r="1076" spans="1:14" x14ac:dyDescent="0.2">
      <c r="A1076" s="84"/>
      <c r="B1076" s="84"/>
      <c r="C1076" s="60"/>
      <c r="D1076" s="66"/>
      <c r="E1076" s="66"/>
      <c r="F1076" s="66"/>
      <c r="G1076" s="66"/>
      <c r="H1076" s="66"/>
      <c r="I1076" s="66"/>
      <c r="J1076" s="66"/>
      <c r="K1076" s="66"/>
      <c r="L1076" s="66"/>
      <c r="M1076" s="66"/>
      <c r="N1076" s="66"/>
    </row>
    <row r="1077" spans="1:14" x14ac:dyDescent="0.2">
      <c r="A1077" s="84"/>
      <c r="B1077" s="84"/>
      <c r="C1077" s="60"/>
      <c r="D1077" s="66"/>
      <c r="E1077" s="66"/>
      <c r="F1077" s="66"/>
      <c r="G1077" s="66"/>
      <c r="H1077" s="66"/>
      <c r="I1077" s="66"/>
      <c r="J1077" s="66"/>
      <c r="K1077" s="66"/>
      <c r="L1077" s="66"/>
      <c r="M1077" s="66"/>
      <c r="N1077" s="66"/>
    </row>
    <row r="1078" spans="1:14" x14ac:dyDescent="0.2">
      <c r="A1078" s="84"/>
      <c r="B1078" s="84"/>
      <c r="C1078" s="60"/>
      <c r="D1078" s="66"/>
      <c r="E1078" s="66"/>
      <c r="F1078" s="66"/>
      <c r="G1078" s="66"/>
      <c r="H1078" s="66"/>
      <c r="I1078" s="66"/>
      <c r="J1078" s="66"/>
      <c r="K1078" s="66"/>
      <c r="L1078" s="66"/>
      <c r="M1078" s="66"/>
      <c r="N1078" s="66"/>
    </row>
    <row r="1079" spans="1:14" x14ac:dyDescent="0.2">
      <c r="A1079" s="84"/>
      <c r="B1079" s="84"/>
      <c r="C1079" s="60"/>
      <c r="D1079" s="66"/>
      <c r="E1079" s="66"/>
      <c r="F1079" s="66"/>
      <c r="G1079" s="66"/>
      <c r="H1079" s="66"/>
      <c r="I1079" s="66"/>
      <c r="J1079" s="66"/>
      <c r="K1079" s="66"/>
      <c r="L1079" s="66"/>
      <c r="M1079" s="66"/>
      <c r="N1079" s="66"/>
    </row>
    <row r="1080" spans="1:14" x14ac:dyDescent="0.2">
      <c r="A1080" s="84"/>
      <c r="B1080" s="84"/>
      <c r="C1080" s="60"/>
      <c r="D1080" s="66"/>
      <c r="E1080" s="66"/>
      <c r="F1080" s="66"/>
      <c r="G1080" s="66"/>
      <c r="H1080" s="66"/>
      <c r="I1080" s="66"/>
      <c r="J1080" s="66"/>
      <c r="K1080" s="66"/>
      <c r="L1080" s="66"/>
      <c r="M1080" s="66"/>
      <c r="N1080" s="66"/>
    </row>
    <row r="1081" spans="1:14" x14ac:dyDescent="0.2">
      <c r="A1081" s="84"/>
      <c r="B1081" s="84"/>
      <c r="C1081" s="60"/>
      <c r="D1081" s="66"/>
      <c r="E1081" s="66"/>
      <c r="F1081" s="66"/>
      <c r="G1081" s="66"/>
      <c r="H1081" s="66"/>
      <c r="I1081" s="66"/>
      <c r="J1081" s="66"/>
      <c r="K1081" s="66"/>
      <c r="L1081" s="66"/>
      <c r="M1081" s="66"/>
      <c r="N1081" s="66"/>
    </row>
    <row r="1082" spans="1:14" x14ac:dyDescent="0.2">
      <c r="A1082" s="84"/>
      <c r="B1082" s="84"/>
      <c r="C1082" s="60"/>
      <c r="D1082" s="66"/>
      <c r="E1082" s="66"/>
      <c r="F1082" s="66"/>
      <c r="G1082" s="66"/>
      <c r="H1082" s="66"/>
      <c r="I1082" s="66"/>
      <c r="J1082" s="66"/>
      <c r="K1082" s="66"/>
      <c r="L1082" s="66"/>
      <c r="M1082" s="66"/>
      <c r="N1082" s="66"/>
    </row>
    <row r="1083" spans="1:14" x14ac:dyDescent="0.2">
      <c r="A1083" s="84"/>
      <c r="B1083" s="84"/>
      <c r="C1083" s="60"/>
      <c r="D1083" s="66"/>
      <c r="E1083" s="66"/>
      <c r="F1083" s="66"/>
      <c r="G1083" s="66"/>
      <c r="H1083" s="66"/>
      <c r="I1083" s="66"/>
      <c r="J1083" s="66"/>
      <c r="K1083" s="66"/>
      <c r="L1083" s="66"/>
      <c r="M1083" s="66"/>
      <c r="N1083" s="66"/>
    </row>
    <row r="1084" spans="1:14" x14ac:dyDescent="0.2">
      <c r="A1084" s="84"/>
      <c r="B1084" s="84"/>
      <c r="C1084" s="60"/>
      <c r="D1084" s="66"/>
      <c r="E1084" s="66"/>
      <c r="F1084" s="66"/>
      <c r="G1084" s="66"/>
      <c r="H1084" s="66"/>
      <c r="I1084" s="66"/>
      <c r="J1084" s="66"/>
      <c r="K1084" s="66"/>
      <c r="L1084" s="66"/>
      <c r="M1084" s="66"/>
      <c r="N1084" s="66"/>
    </row>
    <row r="1085" spans="1:14" x14ac:dyDescent="0.2">
      <c r="A1085" s="84"/>
      <c r="B1085" s="84"/>
      <c r="C1085" s="60"/>
      <c r="D1085" s="66"/>
      <c r="E1085" s="66"/>
      <c r="F1085" s="66"/>
      <c r="G1085" s="66"/>
      <c r="H1085" s="66"/>
      <c r="I1085" s="66"/>
      <c r="J1085" s="66"/>
      <c r="K1085" s="66"/>
      <c r="L1085" s="66"/>
      <c r="M1085" s="66"/>
      <c r="N1085" s="66"/>
    </row>
    <row r="1086" spans="1:14" x14ac:dyDescent="0.2">
      <c r="A1086" s="84"/>
      <c r="B1086" s="84"/>
      <c r="C1086" s="60"/>
      <c r="D1086" s="66"/>
      <c r="E1086" s="66"/>
      <c r="F1086" s="66"/>
      <c r="G1086" s="66"/>
      <c r="H1086" s="66"/>
      <c r="I1086" s="66"/>
      <c r="J1086" s="66"/>
      <c r="K1086" s="66"/>
      <c r="L1086" s="66"/>
      <c r="M1086" s="66"/>
      <c r="N1086" s="66"/>
    </row>
    <row r="1087" spans="1:14" x14ac:dyDescent="0.2">
      <c r="A1087" s="84"/>
      <c r="B1087" s="84"/>
      <c r="C1087" s="60"/>
      <c r="D1087" s="66"/>
      <c r="E1087" s="66"/>
      <c r="F1087" s="66"/>
      <c r="G1087" s="66"/>
      <c r="H1087" s="66"/>
      <c r="I1087" s="66"/>
      <c r="J1087" s="66"/>
      <c r="K1087" s="66"/>
      <c r="L1087" s="66"/>
      <c r="M1087" s="66"/>
      <c r="N1087" s="66"/>
    </row>
    <row r="1088" spans="1:14" x14ac:dyDescent="0.2">
      <c r="A1088" s="84"/>
      <c r="B1088" s="84"/>
      <c r="C1088" s="60"/>
      <c r="D1088" s="66"/>
      <c r="E1088" s="66"/>
      <c r="F1088" s="66"/>
      <c r="G1088" s="66"/>
      <c r="H1088" s="66"/>
      <c r="I1088" s="66"/>
      <c r="J1088" s="66"/>
      <c r="K1088" s="66"/>
      <c r="L1088" s="66"/>
      <c r="M1088" s="66"/>
      <c r="N1088" s="66"/>
    </row>
    <row r="1089" spans="1:14" x14ac:dyDescent="0.2">
      <c r="A1089" s="84"/>
      <c r="B1089" s="84"/>
      <c r="C1089" s="60"/>
      <c r="D1089" s="66"/>
      <c r="E1089" s="66"/>
      <c r="F1089" s="66"/>
      <c r="G1089" s="66"/>
      <c r="H1089" s="66"/>
      <c r="I1089" s="66"/>
      <c r="J1089" s="66"/>
      <c r="K1089" s="66"/>
      <c r="L1089" s="66"/>
      <c r="M1089" s="66"/>
      <c r="N1089" s="66"/>
    </row>
    <row r="1090" spans="1:14" x14ac:dyDescent="0.2">
      <c r="A1090" s="84"/>
      <c r="B1090" s="84"/>
      <c r="C1090" s="60"/>
      <c r="D1090" s="66"/>
      <c r="E1090" s="66"/>
      <c r="F1090" s="66"/>
      <c r="G1090" s="66"/>
      <c r="H1090" s="66"/>
      <c r="I1090" s="66"/>
      <c r="J1090" s="66"/>
      <c r="K1090" s="66"/>
      <c r="L1090" s="66"/>
      <c r="M1090" s="66"/>
      <c r="N1090" s="66"/>
    </row>
    <row r="1091" spans="1:14" x14ac:dyDescent="0.2">
      <c r="A1091" s="84"/>
      <c r="B1091" s="84"/>
      <c r="C1091" s="60"/>
      <c r="D1091" s="66"/>
      <c r="E1091" s="66"/>
      <c r="F1091" s="66"/>
      <c r="G1091" s="66"/>
      <c r="H1091" s="66"/>
      <c r="I1091" s="66"/>
      <c r="J1091" s="66"/>
      <c r="K1091" s="66"/>
      <c r="L1091" s="66"/>
      <c r="M1091" s="66"/>
      <c r="N1091" s="66"/>
    </row>
    <row r="1092" spans="1:14" x14ac:dyDescent="0.2">
      <c r="A1092" s="84"/>
      <c r="B1092" s="84"/>
      <c r="C1092" s="60"/>
      <c r="D1092" s="66"/>
      <c r="E1092" s="66"/>
      <c r="F1092" s="66"/>
      <c r="G1092" s="66"/>
      <c r="H1092" s="66"/>
      <c r="I1092" s="66"/>
      <c r="J1092" s="66"/>
      <c r="K1092" s="66"/>
      <c r="L1092" s="66"/>
      <c r="M1092" s="66"/>
      <c r="N1092" s="66"/>
    </row>
    <row r="1093" spans="1:14" x14ac:dyDescent="0.2">
      <c r="A1093" s="84"/>
      <c r="B1093" s="84"/>
      <c r="C1093" s="60"/>
      <c r="D1093" s="66"/>
      <c r="E1093" s="66"/>
      <c r="F1093" s="66"/>
      <c r="G1093" s="66"/>
      <c r="H1093" s="66"/>
      <c r="I1093" s="66"/>
      <c r="J1093" s="66"/>
      <c r="K1093" s="66"/>
      <c r="L1093" s="66"/>
      <c r="M1093" s="66"/>
      <c r="N1093" s="66"/>
    </row>
    <row r="1094" spans="1:14" x14ac:dyDescent="0.2">
      <c r="A1094" s="84"/>
      <c r="B1094" s="84"/>
      <c r="C1094" s="60"/>
      <c r="D1094" s="66"/>
      <c r="E1094" s="66"/>
      <c r="F1094" s="66"/>
      <c r="G1094" s="66"/>
      <c r="H1094" s="66"/>
      <c r="I1094" s="66"/>
      <c r="J1094" s="66"/>
      <c r="K1094" s="66"/>
      <c r="L1094" s="66"/>
      <c r="M1094" s="66"/>
      <c r="N1094" s="66"/>
    </row>
    <row r="1095" spans="1:14" x14ac:dyDescent="0.2">
      <c r="A1095" s="84"/>
      <c r="B1095" s="84"/>
      <c r="C1095" s="60"/>
      <c r="D1095" s="66"/>
      <c r="E1095" s="66"/>
      <c r="F1095" s="66"/>
      <c r="G1095" s="66"/>
      <c r="H1095" s="66"/>
      <c r="I1095" s="66"/>
      <c r="J1095" s="66"/>
      <c r="K1095" s="66"/>
      <c r="L1095" s="66"/>
      <c r="M1095" s="66"/>
      <c r="N1095" s="66"/>
    </row>
    <row r="1096" spans="1:14" x14ac:dyDescent="0.2">
      <c r="A1096" s="84"/>
      <c r="B1096" s="84"/>
      <c r="C1096" s="60"/>
      <c r="D1096" s="66"/>
      <c r="E1096" s="66"/>
      <c r="F1096" s="66"/>
      <c r="G1096" s="66"/>
      <c r="H1096" s="66"/>
      <c r="I1096" s="66"/>
      <c r="J1096" s="66"/>
      <c r="K1096" s="66"/>
      <c r="L1096" s="66"/>
      <c r="M1096" s="66"/>
      <c r="N1096" s="66"/>
    </row>
    <row r="1097" spans="1:14" x14ac:dyDescent="0.2">
      <c r="A1097" s="84"/>
      <c r="B1097" s="84"/>
      <c r="C1097" s="60"/>
      <c r="D1097" s="66"/>
      <c r="E1097" s="66"/>
      <c r="F1097" s="66"/>
      <c r="G1097" s="66"/>
      <c r="H1097" s="66"/>
      <c r="I1097" s="66"/>
      <c r="J1097" s="66"/>
      <c r="K1097" s="66"/>
      <c r="L1097" s="66"/>
      <c r="M1097" s="66"/>
      <c r="N1097" s="66"/>
    </row>
    <row r="1098" spans="1:14" x14ac:dyDescent="0.2">
      <c r="A1098" s="84"/>
      <c r="B1098" s="84"/>
      <c r="C1098" s="60"/>
      <c r="D1098" s="66"/>
      <c r="E1098" s="66"/>
      <c r="F1098" s="66"/>
      <c r="G1098" s="66"/>
      <c r="H1098" s="66"/>
      <c r="I1098" s="66"/>
      <c r="J1098" s="66"/>
      <c r="K1098" s="66"/>
      <c r="L1098" s="66"/>
      <c r="M1098" s="66"/>
      <c r="N1098" s="66"/>
    </row>
    <row r="1099" spans="1:14" x14ac:dyDescent="0.2">
      <c r="A1099" s="84"/>
      <c r="B1099" s="84"/>
      <c r="C1099" s="60"/>
      <c r="D1099" s="66"/>
      <c r="E1099" s="66"/>
      <c r="F1099" s="66"/>
      <c r="G1099" s="66"/>
      <c r="H1099" s="66"/>
      <c r="I1099" s="66"/>
      <c r="J1099" s="66"/>
      <c r="K1099" s="66"/>
      <c r="L1099" s="66"/>
      <c r="M1099" s="66"/>
      <c r="N1099" s="66"/>
    </row>
    <row r="1100" spans="1:14" x14ac:dyDescent="0.2">
      <c r="A1100" s="84"/>
      <c r="B1100" s="84"/>
      <c r="C1100" s="60"/>
      <c r="D1100" s="66"/>
      <c r="E1100" s="66"/>
      <c r="F1100" s="66"/>
      <c r="G1100" s="66"/>
      <c r="H1100" s="66"/>
      <c r="I1100" s="66"/>
      <c r="J1100" s="66"/>
      <c r="K1100" s="66"/>
      <c r="L1100" s="66"/>
      <c r="M1100" s="66"/>
      <c r="N1100" s="66"/>
    </row>
    <row r="1101" spans="1:14" x14ac:dyDescent="0.2">
      <c r="A1101" s="84"/>
      <c r="B1101" s="84"/>
      <c r="C1101" s="60"/>
      <c r="D1101" s="66"/>
      <c r="E1101" s="66"/>
      <c r="F1101" s="66"/>
      <c r="G1101" s="66"/>
      <c r="H1101" s="66"/>
      <c r="I1101" s="66"/>
      <c r="J1101" s="66"/>
      <c r="K1101" s="66"/>
      <c r="L1101" s="66"/>
      <c r="M1101" s="66"/>
      <c r="N1101" s="66"/>
    </row>
    <row r="1102" spans="1:14" x14ac:dyDescent="0.2">
      <c r="A1102" s="84"/>
      <c r="B1102" s="84"/>
      <c r="C1102" s="60"/>
      <c r="D1102" s="66"/>
      <c r="E1102" s="66"/>
      <c r="F1102" s="66"/>
      <c r="G1102" s="66"/>
      <c r="H1102" s="66"/>
      <c r="I1102" s="66"/>
      <c r="J1102" s="66"/>
      <c r="K1102" s="66"/>
      <c r="L1102" s="66"/>
      <c r="M1102" s="66"/>
      <c r="N1102" s="66"/>
    </row>
    <row r="1103" spans="1:14" x14ac:dyDescent="0.2">
      <c r="A1103" s="84"/>
      <c r="B1103" s="84"/>
      <c r="C1103" s="60"/>
      <c r="D1103" s="66"/>
      <c r="E1103" s="66"/>
      <c r="F1103" s="66"/>
      <c r="G1103" s="66"/>
      <c r="H1103" s="66"/>
      <c r="I1103" s="66"/>
      <c r="J1103" s="66"/>
      <c r="K1103" s="66"/>
      <c r="L1103" s="66"/>
      <c r="M1103" s="66"/>
      <c r="N1103" s="66"/>
    </row>
    <row r="1104" spans="1:14" x14ac:dyDescent="0.2">
      <c r="A1104" s="84"/>
      <c r="B1104" s="84"/>
      <c r="C1104" s="60"/>
      <c r="D1104" s="66"/>
      <c r="E1104" s="66"/>
      <c r="F1104" s="66"/>
      <c r="G1104" s="66"/>
      <c r="H1104" s="66"/>
      <c r="I1104" s="66"/>
      <c r="J1104" s="66"/>
      <c r="K1104" s="66"/>
      <c r="L1104" s="66"/>
      <c r="M1104" s="66"/>
      <c r="N1104" s="66"/>
    </row>
    <row r="1105" spans="1:14" x14ac:dyDescent="0.2">
      <c r="A1105" s="84"/>
      <c r="B1105" s="84"/>
      <c r="C1105" s="60"/>
      <c r="D1105" s="66"/>
      <c r="E1105" s="66"/>
      <c r="F1105" s="66"/>
      <c r="G1105" s="66"/>
      <c r="H1105" s="66"/>
      <c r="I1105" s="66"/>
      <c r="J1105" s="66"/>
      <c r="K1105" s="66"/>
      <c r="L1105" s="66"/>
      <c r="M1105" s="66"/>
      <c r="N1105" s="66"/>
    </row>
    <row r="1106" spans="1:14" x14ac:dyDescent="0.2">
      <c r="A1106" s="84"/>
      <c r="B1106" s="84"/>
      <c r="C1106" s="60"/>
      <c r="D1106" s="66"/>
      <c r="E1106" s="66"/>
      <c r="F1106" s="66"/>
      <c r="G1106" s="66"/>
      <c r="H1106" s="66"/>
      <c r="I1106" s="66"/>
      <c r="J1106" s="66"/>
      <c r="K1106" s="66"/>
      <c r="L1106" s="66"/>
      <c r="M1106" s="66"/>
      <c r="N1106" s="66"/>
    </row>
    <row r="1107" spans="1:14" x14ac:dyDescent="0.2">
      <c r="A1107" s="84"/>
      <c r="B1107" s="84"/>
      <c r="C1107" s="60"/>
      <c r="D1107" s="66"/>
      <c r="E1107" s="66"/>
      <c r="F1107" s="66"/>
      <c r="G1107" s="66"/>
      <c r="H1107" s="66"/>
      <c r="I1107" s="66"/>
      <c r="J1107" s="66"/>
      <c r="K1107" s="66"/>
      <c r="L1107" s="66"/>
      <c r="M1107" s="66"/>
      <c r="N1107" s="66"/>
    </row>
    <row r="1108" spans="1:14" x14ac:dyDescent="0.2">
      <c r="A1108" s="84"/>
      <c r="B1108" s="84"/>
      <c r="C1108" s="60"/>
      <c r="D1108" s="66"/>
      <c r="E1108" s="66"/>
      <c r="F1108" s="66"/>
      <c r="G1108" s="66"/>
      <c r="H1108" s="66"/>
      <c r="I1108" s="66"/>
      <c r="J1108" s="66"/>
      <c r="K1108" s="66"/>
      <c r="L1108" s="66"/>
      <c r="M1108" s="66"/>
      <c r="N1108" s="66"/>
    </row>
    <row r="1109" spans="1:14" x14ac:dyDescent="0.2">
      <c r="A1109" s="84"/>
      <c r="B1109" s="84"/>
      <c r="C1109" s="60"/>
      <c r="D1109" s="66"/>
      <c r="E1109" s="66"/>
      <c r="F1109" s="66"/>
      <c r="G1109" s="66"/>
      <c r="H1109" s="66"/>
      <c r="I1109" s="66"/>
      <c r="J1109" s="66"/>
      <c r="K1109" s="66"/>
      <c r="L1109" s="66"/>
      <c r="M1109" s="66"/>
      <c r="N1109" s="66"/>
    </row>
    <row r="1110" spans="1:14" x14ac:dyDescent="0.2">
      <c r="A1110" s="84"/>
      <c r="B1110" s="84"/>
      <c r="C1110" s="60"/>
      <c r="D1110" s="66"/>
      <c r="E1110" s="66"/>
      <c r="F1110" s="66"/>
      <c r="G1110" s="66"/>
      <c r="H1110" s="66"/>
      <c r="I1110" s="66"/>
      <c r="J1110" s="66"/>
      <c r="K1110" s="66"/>
      <c r="L1110" s="66"/>
      <c r="M1110" s="66"/>
      <c r="N1110" s="66"/>
    </row>
    <row r="1111" spans="1:14" x14ac:dyDescent="0.2">
      <c r="A1111" s="84"/>
      <c r="B1111" s="84"/>
      <c r="C1111" s="60"/>
      <c r="D1111" s="66"/>
      <c r="E1111" s="66"/>
      <c r="F1111" s="66"/>
      <c r="G1111" s="66"/>
      <c r="H1111" s="66"/>
      <c r="I1111" s="66"/>
      <c r="J1111" s="66"/>
      <c r="K1111" s="66"/>
      <c r="L1111" s="66"/>
      <c r="M1111" s="66"/>
      <c r="N1111" s="66"/>
    </row>
    <row r="1112" spans="1:14" x14ac:dyDescent="0.2">
      <c r="A1112" s="84"/>
      <c r="B1112" s="84"/>
      <c r="C1112" s="60"/>
      <c r="D1112" s="66"/>
      <c r="E1112" s="66"/>
      <c r="F1112" s="66"/>
      <c r="G1112" s="66"/>
      <c r="H1112" s="66"/>
      <c r="I1112" s="66"/>
      <c r="J1112" s="66"/>
      <c r="K1112" s="66"/>
      <c r="L1112" s="66"/>
      <c r="M1112" s="66"/>
      <c r="N1112" s="66"/>
    </row>
    <row r="1113" spans="1:14" x14ac:dyDescent="0.2">
      <c r="A1113" s="84"/>
      <c r="B1113" s="84"/>
      <c r="C1113" s="60"/>
      <c r="D1113" s="66"/>
      <c r="E1113" s="66"/>
      <c r="F1113" s="66"/>
      <c r="G1113" s="66"/>
      <c r="H1113" s="66"/>
      <c r="I1113" s="66"/>
      <c r="J1113" s="66"/>
      <c r="K1113" s="66"/>
      <c r="L1113" s="66"/>
      <c r="M1113" s="66"/>
      <c r="N1113" s="66"/>
    </row>
    <row r="1114" spans="1:14" x14ac:dyDescent="0.2">
      <c r="A1114" s="84"/>
      <c r="B1114" s="84"/>
      <c r="C1114" s="60"/>
      <c r="D1114" s="66"/>
      <c r="E1114" s="66"/>
      <c r="F1114" s="66"/>
      <c r="G1114" s="66"/>
      <c r="H1114" s="66"/>
      <c r="I1114" s="66"/>
      <c r="J1114" s="66"/>
      <c r="K1114" s="66"/>
      <c r="L1114" s="66"/>
      <c r="M1114" s="66"/>
      <c r="N1114" s="66"/>
    </row>
    <row r="1115" spans="1:14" x14ac:dyDescent="0.2">
      <c r="A1115" s="84"/>
      <c r="B1115" s="84"/>
      <c r="C1115" s="60"/>
      <c r="D1115" s="66"/>
      <c r="E1115" s="66"/>
      <c r="F1115" s="66"/>
      <c r="G1115" s="66"/>
      <c r="H1115" s="66"/>
      <c r="I1115" s="66"/>
      <c r="J1115" s="66"/>
      <c r="K1115" s="66"/>
      <c r="L1115" s="66"/>
      <c r="M1115" s="66"/>
      <c r="N1115" s="66"/>
    </row>
    <row r="1116" spans="1:14" x14ac:dyDescent="0.2">
      <c r="A1116" s="84"/>
      <c r="B1116" s="84"/>
      <c r="C1116" s="60"/>
      <c r="D1116" s="66"/>
      <c r="E1116" s="66"/>
      <c r="F1116" s="66"/>
      <c r="G1116" s="66"/>
      <c r="H1116" s="66"/>
      <c r="I1116" s="66"/>
      <c r="J1116" s="66"/>
      <c r="K1116" s="66"/>
      <c r="L1116" s="66"/>
      <c r="M1116" s="66"/>
      <c r="N1116" s="66"/>
    </row>
    <row r="1117" spans="1:14" x14ac:dyDescent="0.2">
      <c r="A1117" s="84"/>
      <c r="B1117" s="84"/>
      <c r="C1117" s="60"/>
      <c r="D1117" s="66"/>
      <c r="E1117" s="66"/>
      <c r="F1117" s="66"/>
      <c r="G1117" s="66"/>
      <c r="H1117" s="66"/>
      <c r="I1117" s="66"/>
      <c r="J1117" s="66"/>
      <c r="K1117" s="66"/>
      <c r="L1117" s="66"/>
      <c r="M1117" s="66"/>
      <c r="N1117" s="66"/>
    </row>
    <row r="1118" spans="1:14" x14ac:dyDescent="0.2">
      <c r="A1118" s="84"/>
      <c r="B1118" s="84"/>
      <c r="C1118" s="60"/>
      <c r="D1118" s="66"/>
      <c r="E1118" s="66"/>
      <c r="F1118" s="66"/>
      <c r="G1118" s="66"/>
      <c r="H1118" s="66"/>
      <c r="I1118" s="66"/>
      <c r="J1118" s="66"/>
      <c r="K1118" s="66"/>
      <c r="L1118" s="66"/>
      <c r="M1118" s="66"/>
      <c r="N1118" s="66"/>
    </row>
    <row r="1119" spans="1:14" x14ac:dyDescent="0.2">
      <c r="A1119" s="84"/>
      <c r="B1119" s="84"/>
      <c r="C1119" s="60"/>
      <c r="D1119" s="66"/>
      <c r="E1119" s="66"/>
      <c r="F1119" s="66"/>
      <c r="G1119" s="66"/>
      <c r="H1119" s="66"/>
      <c r="I1119" s="66"/>
      <c r="J1119" s="66"/>
      <c r="K1119" s="66"/>
      <c r="L1119" s="66"/>
      <c r="M1119" s="66"/>
      <c r="N1119" s="66"/>
    </row>
    <row r="1120" spans="1:14" x14ac:dyDescent="0.2">
      <c r="A1120" s="84"/>
      <c r="B1120" s="84"/>
      <c r="C1120" s="60"/>
      <c r="D1120" s="66"/>
      <c r="E1120" s="66"/>
      <c r="F1120" s="66"/>
      <c r="G1120" s="66"/>
      <c r="H1120" s="66"/>
      <c r="I1120" s="66"/>
      <c r="J1120" s="66"/>
      <c r="K1120" s="66"/>
      <c r="L1120" s="66"/>
      <c r="M1120" s="66"/>
      <c r="N1120" s="66"/>
    </row>
    <row r="1121" spans="1:14" x14ac:dyDescent="0.2">
      <c r="A1121" s="84"/>
      <c r="B1121" s="84"/>
      <c r="C1121" s="60"/>
      <c r="D1121" s="66"/>
      <c r="E1121" s="66"/>
      <c r="F1121" s="66"/>
      <c r="G1121" s="66"/>
      <c r="H1121" s="66"/>
      <c r="I1121" s="66"/>
      <c r="J1121" s="66"/>
      <c r="K1121" s="66"/>
      <c r="L1121" s="66"/>
      <c r="M1121" s="66"/>
      <c r="N1121" s="66"/>
    </row>
    <row r="1122" spans="1:14" x14ac:dyDescent="0.2">
      <c r="A1122" s="84"/>
      <c r="B1122" s="84"/>
      <c r="C1122" s="60"/>
      <c r="D1122" s="66"/>
      <c r="E1122" s="66"/>
      <c r="F1122" s="66"/>
      <c r="G1122" s="66"/>
      <c r="H1122" s="66"/>
      <c r="I1122" s="66"/>
      <c r="J1122" s="66"/>
      <c r="K1122" s="66"/>
      <c r="L1122" s="66"/>
      <c r="M1122" s="66"/>
      <c r="N1122" s="66"/>
    </row>
    <row r="1123" spans="1:14" x14ac:dyDescent="0.2">
      <c r="A1123" s="84"/>
      <c r="B1123" s="84"/>
      <c r="C1123" s="60"/>
      <c r="D1123" s="66"/>
      <c r="E1123" s="66"/>
      <c r="F1123" s="66"/>
      <c r="G1123" s="66"/>
      <c r="H1123" s="66"/>
      <c r="I1123" s="66"/>
      <c r="J1123" s="66"/>
      <c r="K1123" s="66"/>
      <c r="L1123" s="66"/>
      <c r="M1123" s="66"/>
      <c r="N1123" s="66"/>
    </row>
    <row r="1124" spans="1:14" x14ac:dyDescent="0.2">
      <c r="A1124" s="84"/>
      <c r="B1124" s="84"/>
      <c r="C1124" s="60"/>
      <c r="D1124" s="66"/>
      <c r="E1124" s="66"/>
      <c r="F1124" s="66"/>
      <c r="G1124" s="66"/>
      <c r="H1124" s="66"/>
      <c r="I1124" s="66"/>
      <c r="J1124" s="66"/>
      <c r="K1124" s="66"/>
      <c r="L1124" s="66"/>
      <c r="M1124" s="66"/>
      <c r="N1124" s="66"/>
    </row>
    <row r="1125" spans="1:14" x14ac:dyDescent="0.2">
      <c r="A1125" s="84"/>
      <c r="B1125" s="84"/>
      <c r="C1125" s="60"/>
      <c r="D1125" s="66"/>
      <c r="E1125" s="66"/>
      <c r="F1125" s="66"/>
      <c r="G1125" s="66"/>
      <c r="H1125" s="66"/>
      <c r="I1125" s="66"/>
      <c r="J1125" s="66"/>
      <c r="K1125" s="66"/>
      <c r="L1125" s="66"/>
      <c r="M1125" s="66"/>
      <c r="N1125" s="66"/>
    </row>
    <row r="1126" spans="1:14" x14ac:dyDescent="0.2">
      <c r="A1126" s="84"/>
      <c r="B1126" s="84"/>
      <c r="C1126" s="60"/>
      <c r="D1126" s="66"/>
      <c r="E1126" s="66"/>
      <c r="F1126" s="66"/>
      <c r="G1126" s="66"/>
      <c r="H1126" s="66"/>
      <c r="I1126" s="66"/>
      <c r="J1126" s="66"/>
      <c r="K1126" s="66"/>
      <c r="L1126" s="66"/>
      <c r="M1126" s="66"/>
      <c r="N1126" s="66"/>
    </row>
    <row r="1127" spans="1:14" x14ac:dyDescent="0.2">
      <c r="A1127" s="84"/>
      <c r="B1127" s="84"/>
      <c r="C1127" s="60"/>
      <c r="D1127" s="66"/>
      <c r="E1127" s="66"/>
      <c r="F1127" s="66"/>
      <c r="G1127" s="66"/>
      <c r="H1127" s="66"/>
      <c r="I1127" s="66"/>
      <c r="J1127" s="66"/>
      <c r="K1127" s="66"/>
      <c r="L1127" s="66"/>
      <c r="M1127" s="66"/>
      <c r="N1127" s="66"/>
    </row>
    <row r="1128" spans="1:14" x14ac:dyDescent="0.2">
      <c r="A1128" s="84"/>
      <c r="B1128" s="84"/>
      <c r="C1128" s="60"/>
      <c r="D1128" s="66"/>
      <c r="E1128" s="66"/>
      <c r="F1128" s="66"/>
      <c r="G1128" s="66"/>
      <c r="H1128" s="66"/>
      <c r="I1128" s="66"/>
      <c r="J1128" s="66"/>
      <c r="K1128" s="66"/>
      <c r="L1128" s="66"/>
      <c r="M1128" s="66"/>
      <c r="N1128" s="66"/>
    </row>
    <row r="1129" spans="1:14" x14ac:dyDescent="0.2">
      <c r="A1129" s="84"/>
      <c r="B1129" s="84"/>
      <c r="C1129" s="60"/>
      <c r="D1129" s="66"/>
      <c r="E1129" s="66"/>
      <c r="F1129" s="66"/>
      <c r="G1129" s="66"/>
      <c r="H1129" s="66"/>
      <c r="I1129" s="66"/>
      <c r="J1129" s="66"/>
      <c r="K1129" s="66"/>
      <c r="L1129" s="66"/>
      <c r="M1129" s="66"/>
      <c r="N1129" s="66"/>
    </row>
    <row r="1130" spans="1:14" x14ac:dyDescent="0.2">
      <c r="A1130" s="84"/>
      <c r="B1130" s="84"/>
      <c r="C1130" s="60"/>
      <c r="D1130" s="66"/>
      <c r="E1130" s="66"/>
      <c r="F1130" s="66"/>
      <c r="G1130" s="66"/>
      <c r="H1130" s="66"/>
      <c r="I1130" s="66"/>
      <c r="J1130" s="66"/>
      <c r="K1130" s="66"/>
      <c r="L1130" s="66"/>
      <c r="M1130" s="66"/>
      <c r="N1130" s="66"/>
    </row>
    <row r="1131" spans="1:14" x14ac:dyDescent="0.2">
      <c r="A1131" s="84"/>
      <c r="B1131" s="84"/>
      <c r="C1131" s="60"/>
      <c r="D1131" s="66"/>
      <c r="E1131" s="66"/>
      <c r="F1131" s="66"/>
      <c r="G1131" s="66"/>
      <c r="H1131" s="66"/>
      <c r="I1131" s="66"/>
      <c r="J1131" s="66"/>
      <c r="K1131" s="66"/>
      <c r="L1131" s="66"/>
      <c r="M1131" s="66"/>
      <c r="N1131" s="66"/>
    </row>
    <row r="1132" spans="1:14" x14ac:dyDescent="0.2">
      <c r="A1132" s="84"/>
      <c r="B1132" s="84"/>
      <c r="C1132" s="60"/>
      <c r="D1132" s="66"/>
      <c r="E1132" s="66"/>
      <c r="F1132" s="66"/>
      <c r="G1132" s="66"/>
      <c r="H1132" s="66"/>
      <c r="I1132" s="66"/>
      <c r="J1132" s="66"/>
      <c r="K1132" s="66"/>
      <c r="L1132" s="66"/>
      <c r="M1132" s="66"/>
      <c r="N1132" s="66"/>
    </row>
    <row r="1133" spans="1:14" x14ac:dyDescent="0.2">
      <c r="A1133" s="84"/>
      <c r="B1133" s="84"/>
      <c r="C1133" s="60"/>
      <c r="D1133" s="66"/>
      <c r="E1133" s="66"/>
      <c r="F1133" s="66"/>
      <c r="G1133" s="66"/>
      <c r="H1133" s="66"/>
      <c r="I1133" s="66"/>
      <c r="J1133" s="66"/>
      <c r="K1133" s="66"/>
      <c r="L1133" s="66"/>
      <c r="M1133" s="66"/>
      <c r="N1133" s="66"/>
    </row>
    <row r="1134" spans="1:14" x14ac:dyDescent="0.2">
      <c r="A1134" s="84"/>
      <c r="B1134" s="84"/>
      <c r="C1134" s="60"/>
      <c r="D1134" s="66"/>
      <c r="E1134" s="66"/>
      <c r="F1134" s="66"/>
      <c r="G1134" s="66"/>
      <c r="H1134" s="66"/>
      <c r="I1134" s="66"/>
      <c r="J1134" s="66"/>
      <c r="K1134" s="66"/>
      <c r="L1134" s="66"/>
      <c r="M1134" s="66"/>
      <c r="N1134" s="66"/>
    </row>
    <row r="1135" spans="1:14" x14ac:dyDescent="0.2">
      <c r="A1135" s="84"/>
      <c r="B1135" s="84"/>
      <c r="C1135" s="60"/>
      <c r="D1135" s="66"/>
      <c r="E1135" s="66"/>
      <c r="F1135" s="66"/>
      <c r="G1135" s="66"/>
      <c r="H1135" s="66"/>
      <c r="I1135" s="66"/>
      <c r="J1135" s="66"/>
      <c r="K1135" s="66"/>
      <c r="L1135" s="66"/>
      <c r="M1135" s="66"/>
      <c r="N1135" s="66"/>
    </row>
    <row r="1136" spans="1:14" x14ac:dyDescent="0.2">
      <c r="A1136" s="84"/>
      <c r="B1136" s="84"/>
      <c r="C1136" s="60"/>
      <c r="D1136" s="66"/>
      <c r="E1136" s="66"/>
      <c r="F1136" s="66"/>
      <c r="G1136" s="66"/>
      <c r="H1136" s="66"/>
      <c r="I1136" s="66"/>
      <c r="J1136" s="66"/>
      <c r="K1136" s="66"/>
      <c r="L1136" s="66"/>
      <c r="M1136" s="66"/>
      <c r="N1136" s="66"/>
    </row>
    <row r="1137" spans="1:14" x14ac:dyDescent="0.2">
      <c r="A1137" s="84"/>
      <c r="B1137" s="84"/>
      <c r="C1137" s="60"/>
      <c r="D1137" s="66"/>
      <c r="E1137" s="66"/>
      <c r="F1137" s="66"/>
      <c r="G1137" s="66"/>
      <c r="H1137" s="66"/>
      <c r="I1137" s="66"/>
      <c r="J1137" s="66"/>
      <c r="K1137" s="66"/>
      <c r="L1137" s="66"/>
      <c r="M1137" s="66"/>
      <c r="N1137" s="66"/>
    </row>
    <row r="1138" spans="1:14" x14ac:dyDescent="0.2">
      <c r="A1138" s="84"/>
      <c r="B1138" s="84"/>
      <c r="C1138" s="60"/>
      <c r="D1138" s="66"/>
      <c r="E1138" s="66"/>
      <c r="F1138" s="66"/>
      <c r="G1138" s="66"/>
      <c r="H1138" s="66"/>
      <c r="I1138" s="66"/>
      <c r="J1138" s="66"/>
      <c r="K1138" s="66"/>
      <c r="L1138" s="66"/>
      <c r="M1138" s="66"/>
      <c r="N1138" s="66"/>
    </row>
    <row r="1139" spans="1:14" x14ac:dyDescent="0.2">
      <c r="A1139" s="84"/>
      <c r="B1139" s="84"/>
      <c r="C1139" s="60"/>
      <c r="D1139" s="66"/>
      <c r="E1139" s="66"/>
      <c r="F1139" s="66"/>
      <c r="G1139" s="66"/>
      <c r="H1139" s="66"/>
      <c r="I1139" s="66"/>
      <c r="J1139" s="66"/>
      <c r="K1139" s="66"/>
      <c r="L1139" s="66"/>
      <c r="M1139" s="66"/>
      <c r="N1139" s="66"/>
    </row>
    <row r="1140" spans="1:14" x14ac:dyDescent="0.2">
      <c r="A1140" s="84"/>
      <c r="B1140" s="84"/>
      <c r="C1140" s="60"/>
      <c r="D1140" s="66"/>
      <c r="E1140" s="66"/>
      <c r="F1140" s="66"/>
      <c r="G1140" s="66"/>
      <c r="H1140" s="66"/>
      <c r="I1140" s="66"/>
      <c r="J1140" s="66"/>
      <c r="K1140" s="66"/>
      <c r="L1140" s="66"/>
      <c r="M1140" s="66"/>
      <c r="N1140" s="66"/>
    </row>
    <row r="1141" spans="1:14" x14ac:dyDescent="0.2">
      <c r="A1141" s="84"/>
      <c r="B1141" s="84"/>
      <c r="C1141" s="60"/>
      <c r="D1141" s="66"/>
      <c r="E1141" s="66"/>
      <c r="F1141" s="66"/>
      <c r="G1141" s="66"/>
      <c r="H1141" s="66"/>
      <c r="I1141" s="66"/>
      <c r="J1141" s="66"/>
      <c r="K1141" s="66"/>
      <c r="L1141" s="66"/>
      <c r="M1141" s="66"/>
      <c r="N1141" s="66"/>
    </row>
    <row r="1142" spans="1:14" x14ac:dyDescent="0.2">
      <c r="A1142" s="84"/>
      <c r="B1142" s="84"/>
      <c r="C1142" s="60"/>
      <c r="D1142" s="66"/>
      <c r="E1142" s="66"/>
      <c r="F1142" s="66"/>
      <c r="G1142" s="66"/>
      <c r="H1142" s="66"/>
      <c r="I1142" s="66"/>
      <c r="J1142" s="66"/>
      <c r="K1142" s="66"/>
      <c r="L1142" s="66"/>
      <c r="M1142" s="66"/>
      <c r="N1142" s="66"/>
    </row>
    <row r="1143" spans="1:14" x14ac:dyDescent="0.2">
      <c r="A1143" s="84"/>
      <c r="B1143" s="84"/>
      <c r="C1143" s="60"/>
      <c r="D1143" s="66"/>
      <c r="E1143" s="66"/>
      <c r="F1143" s="66"/>
      <c r="G1143" s="66"/>
      <c r="H1143" s="66"/>
      <c r="I1143" s="66"/>
      <c r="J1143" s="66"/>
      <c r="K1143" s="66"/>
      <c r="L1143" s="66"/>
      <c r="M1143" s="66"/>
      <c r="N1143" s="66"/>
    </row>
    <row r="1144" spans="1:14" x14ac:dyDescent="0.2">
      <c r="A1144" s="84"/>
      <c r="B1144" s="84"/>
      <c r="C1144" s="60"/>
      <c r="D1144" s="66"/>
      <c r="E1144" s="66"/>
      <c r="F1144" s="66"/>
      <c r="G1144" s="66"/>
      <c r="H1144" s="66"/>
      <c r="I1144" s="66"/>
      <c r="J1144" s="66"/>
      <c r="K1144" s="66"/>
      <c r="L1144" s="66"/>
      <c r="M1144" s="66"/>
      <c r="N1144" s="66"/>
    </row>
    <row r="1145" spans="1:14" x14ac:dyDescent="0.2">
      <c r="A1145" s="84"/>
      <c r="B1145" s="84"/>
      <c r="C1145" s="60"/>
      <c r="D1145" s="66"/>
      <c r="E1145" s="66"/>
      <c r="F1145" s="66"/>
      <c r="G1145" s="66"/>
      <c r="H1145" s="66"/>
      <c r="I1145" s="66"/>
      <c r="J1145" s="66"/>
      <c r="K1145" s="66"/>
      <c r="L1145" s="66"/>
      <c r="M1145" s="66"/>
      <c r="N1145" s="66"/>
    </row>
    <row r="1146" spans="1:14" x14ac:dyDescent="0.2">
      <c r="A1146" s="84"/>
      <c r="B1146" s="84"/>
      <c r="C1146" s="60"/>
      <c r="D1146" s="66"/>
      <c r="E1146" s="66"/>
      <c r="F1146" s="66"/>
      <c r="G1146" s="66"/>
      <c r="H1146" s="66"/>
      <c r="I1146" s="66"/>
      <c r="J1146" s="66"/>
      <c r="K1146" s="66"/>
      <c r="L1146" s="66"/>
      <c r="M1146" s="66"/>
      <c r="N1146" s="66"/>
    </row>
    <row r="1147" spans="1:14" x14ac:dyDescent="0.2">
      <c r="A1147" s="84"/>
      <c r="B1147" s="84"/>
      <c r="C1147" s="60"/>
      <c r="D1147" s="66"/>
      <c r="E1147" s="66"/>
      <c r="F1147" s="66"/>
      <c r="G1147" s="66"/>
      <c r="H1147" s="66"/>
      <c r="I1147" s="66"/>
      <c r="J1147" s="66"/>
      <c r="K1147" s="66"/>
      <c r="L1147" s="66"/>
      <c r="M1147" s="66"/>
      <c r="N1147" s="66"/>
    </row>
    <row r="1148" spans="1:14" x14ac:dyDescent="0.2">
      <c r="A1148" s="84"/>
      <c r="B1148" s="84"/>
      <c r="C1148" s="60"/>
      <c r="D1148" s="66"/>
      <c r="E1148" s="66"/>
      <c r="F1148" s="66"/>
      <c r="G1148" s="66"/>
      <c r="H1148" s="66"/>
      <c r="I1148" s="66"/>
      <c r="J1148" s="66"/>
      <c r="K1148" s="66"/>
      <c r="L1148" s="66"/>
      <c r="M1148" s="66"/>
      <c r="N1148" s="66"/>
    </row>
    <row r="1149" spans="1:14" x14ac:dyDescent="0.2">
      <c r="A1149" s="84"/>
      <c r="B1149" s="84"/>
      <c r="C1149" s="60"/>
      <c r="D1149" s="66"/>
      <c r="E1149" s="66"/>
      <c r="F1149" s="66"/>
      <c r="G1149" s="66"/>
      <c r="H1149" s="66"/>
      <c r="I1149" s="66"/>
      <c r="J1149" s="66"/>
      <c r="K1149" s="66"/>
      <c r="L1149" s="66"/>
      <c r="M1149" s="66"/>
      <c r="N1149" s="66"/>
    </row>
    <row r="1150" spans="1:14" x14ac:dyDescent="0.2">
      <c r="A1150" s="84"/>
      <c r="B1150" s="84"/>
      <c r="C1150" s="60"/>
      <c r="D1150" s="66"/>
      <c r="E1150" s="66"/>
      <c r="F1150" s="66"/>
      <c r="G1150" s="66"/>
      <c r="H1150" s="66"/>
      <c r="I1150" s="66"/>
      <c r="J1150" s="66"/>
      <c r="K1150" s="66"/>
      <c r="L1150" s="66"/>
      <c r="M1150" s="66"/>
      <c r="N1150" s="66"/>
    </row>
    <row r="1151" spans="1:14" x14ac:dyDescent="0.2">
      <c r="A1151" s="84"/>
      <c r="B1151" s="84"/>
      <c r="C1151" s="60"/>
      <c r="D1151" s="66"/>
      <c r="E1151" s="66"/>
      <c r="F1151" s="66"/>
      <c r="G1151" s="66"/>
      <c r="H1151" s="66"/>
      <c r="I1151" s="66"/>
      <c r="J1151" s="66"/>
      <c r="K1151" s="66"/>
      <c r="L1151" s="66"/>
      <c r="M1151" s="66"/>
      <c r="N1151" s="66"/>
    </row>
    <row r="1152" spans="1:14" x14ac:dyDescent="0.2">
      <c r="A1152" s="84"/>
      <c r="B1152" s="84"/>
      <c r="C1152" s="60"/>
      <c r="D1152" s="66"/>
      <c r="E1152" s="66"/>
      <c r="F1152" s="66"/>
      <c r="G1152" s="66"/>
      <c r="H1152" s="66"/>
      <c r="I1152" s="66"/>
      <c r="J1152" s="66"/>
      <c r="K1152" s="66"/>
      <c r="L1152" s="66"/>
      <c r="M1152" s="66"/>
      <c r="N1152" s="66"/>
    </row>
    <row r="1153" spans="1:14" x14ac:dyDescent="0.2">
      <c r="A1153" s="84"/>
      <c r="B1153" s="84"/>
      <c r="C1153" s="60"/>
      <c r="D1153" s="66"/>
      <c r="E1153" s="66"/>
      <c r="F1153" s="66"/>
      <c r="G1153" s="66"/>
      <c r="H1153" s="66"/>
      <c r="I1153" s="66"/>
      <c r="J1153" s="66"/>
      <c r="K1153" s="66"/>
      <c r="L1153" s="66"/>
      <c r="M1153" s="66"/>
      <c r="N1153" s="66"/>
    </row>
    <row r="1154" spans="1:14" x14ac:dyDescent="0.2">
      <c r="A1154" s="84"/>
      <c r="B1154" s="84"/>
      <c r="C1154" s="60"/>
      <c r="D1154" s="66"/>
      <c r="E1154" s="66"/>
      <c r="F1154" s="66"/>
      <c r="G1154" s="66"/>
      <c r="H1154" s="66"/>
      <c r="I1154" s="66"/>
      <c r="J1154" s="66"/>
      <c r="K1154" s="66"/>
      <c r="L1154" s="66"/>
      <c r="M1154" s="66"/>
      <c r="N1154" s="66"/>
    </row>
    <row r="1155" spans="1:14" x14ac:dyDescent="0.2">
      <c r="A1155" s="84"/>
      <c r="B1155" s="84"/>
      <c r="C1155" s="60"/>
      <c r="D1155" s="66"/>
      <c r="E1155" s="66"/>
      <c r="F1155" s="66"/>
      <c r="G1155" s="66"/>
      <c r="H1155" s="66"/>
      <c r="I1155" s="66"/>
      <c r="J1155" s="66"/>
      <c r="K1155" s="66"/>
      <c r="L1155" s="66"/>
      <c r="M1155" s="66"/>
      <c r="N1155" s="66"/>
    </row>
    <row r="1156" spans="1:14" x14ac:dyDescent="0.2">
      <c r="A1156" s="84"/>
      <c r="B1156" s="84"/>
      <c r="C1156" s="60"/>
      <c r="D1156" s="66"/>
      <c r="E1156" s="66"/>
      <c r="F1156" s="66"/>
      <c r="G1156" s="66"/>
      <c r="H1156" s="66"/>
      <c r="I1156" s="66"/>
      <c r="J1156" s="66"/>
      <c r="K1156" s="66"/>
      <c r="L1156" s="66"/>
      <c r="M1156" s="66"/>
      <c r="N1156" s="66"/>
    </row>
    <row r="1157" spans="1:14" x14ac:dyDescent="0.2">
      <c r="A1157" s="84"/>
      <c r="B1157" s="84"/>
      <c r="C1157" s="60"/>
      <c r="D1157" s="66"/>
      <c r="E1157" s="66"/>
      <c r="F1157" s="66"/>
      <c r="G1157" s="66"/>
      <c r="H1157" s="66"/>
      <c r="I1157" s="66"/>
      <c r="J1157" s="66"/>
      <c r="K1157" s="66"/>
      <c r="L1157" s="66"/>
      <c r="M1157" s="66"/>
      <c r="N1157" s="66"/>
    </row>
    <row r="1158" spans="1:14" x14ac:dyDescent="0.2">
      <c r="A1158" s="84"/>
      <c r="B1158" s="84"/>
      <c r="C1158" s="60"/>
      <c r="D1158" s="66"/>
      <c r="E1158" s="66"/>
      <c r="F1158" s="66"/>
      <c r="G1158" s="66"/>
      <c r="H1158" s="66"/>
      <c r="I1158" s="66"/>
      <c r="J1158" s="66"/>
      <c r="K1158" s="66"/>
      <c r="L1158" s="66"/>
      <c r="M1158" s="66"/>
      <c r="N1158" s="66"/>
    </row>
    <row r="1159" spans="1:14" x14ac:dyDescent="0.2">
      <c r="A1159" s="84"/>
      <c r="B1159" s="84"/>
      <c r="C1159" s="60"/>
      <c r="D1159" s="66"/>
      <c r="E1159" s="66"/>
      <c r="F1159" s="66"/>
      <c r="G1159" s="66"/>
      <c r="H1159" s="66"/>
      <c r="I1159" s="66"/>
      <c r="J1159" s="66"/>
      <c r="K1159" s="66"/>
      <c r="L1159" s="66"/>
      <c r="M1159" s="66"/>
      <c r="N1159" s="66"/>
    </row>
    <row r="1160" spans="1:14" x14ac:dyDescent="0.2">
      <c r="A1160" s="84"/>
      <c r="B1160" s="84"/>
      <c r="C1160" s="60"/>
      <c r="D1160" s="66"/>
      <c r="E1160" s="66"/>
      <c r="F1160" s="66"/>
      <c r="G1160" s="66"/>
      <c r="H1160" s="66"/>
      <c r="I1160" s="66"/>
      <c r="J1160" s="66"/>
      <c r="K1160" s="66"/>
      <c r="L1160" s="66"/>
      <c r="M1160" s="66"/>
      <c r="N1160" s="66"/>
    </row>
    <row r="1161" spans="1:14" x14ac:dyDescent="0.2">
      <c r="A1161" s="84"/>
      <c r="B1161" s="84"/>
      <c r="C1161" s="60"/>
      <c r="D1161" s="66"/>
      <c r="E1161" s="66"/>
      <c r="F1161" s="66"/>
      <c r="G1161" s="66"/>
      <c r="H1161" s="66"/>
      <c r="I1161" s="66"/>
      <c r="J1161" s="66"/>
      <c r="K1161" s="66"/>
      <c r="L1161" s="66"/>
      <c r="M1161" s="66"/>
      <c r="N1161" s="66"/>
    </row>
    <row r="1162" spans="1:14" x14ac:dyDescent="0.2">
      <c r="A1162" s="84"/>
      <c r="B1162" s="84"/>
      <c r="C1162" s="60"/>
      <c r="D1162" s="66"/>
      <c r="E1162" s="66"/>
      <c r="F1162" s="66"/>
      <c r="G1162" s="66"/>
      <c r="H1162" s="66"/>
      <c r="I1162" s="66"/>
      <c r="J1162" s="66"/>
      <c r="K1162" s="66"/>
      <c r="L1162" s="66"/>
      <c r="M1162" s="66"/>
      <c r="N1162" s="66"/>
    </row>
    <row r="1163" spans="1:14" x14ac:dyDescent="0.2">
      <c r="A1163" s="84"/>
      <c r="B1163" s="84"/>
      <c r="C1163" s="60"/>
      <c r="D1163" s="66"/>
      <c r="E1163" s="66"/>
      <c r="F1163" s="66"/>
      <c r="G1163" s="66"/>
      <c r="H1163" s="66"/>
      <c r="I1163" s="66"/>
      <c r="J1163" s="66"/>
      <c r="K1163" s="66"/>
      <c r="L1163" s="66"/>
      <c r="M1163" s="66"/>
      <c r="N1163" s="66"/>
    </row>
    <row r="1164" spans="1:14" x14ac:dyDescent="0.2">
      <c r="A1164" s="84"/>
      <c r="B1164" s="84"/>
      <c r="C1164" s="60"/>
      <c r="D1164" s="66"/>
      <c r="E1164" s="66"/>
      <c r="F1164" s="66"/>
      <c r="G1164" s="66"/>
      <c r="H1164" s="66"/>
      <c r="I1164" s="66"/>
      <c r="J1164" s="66"/>
      <c r="K1164" s="66"/>
      <c r="L1164" s="66"/>
      <c r="M1164" s="66"/>
      <c r="N1164" s="66"/>
    </row>
    <row r="1165" spans="1:14" x14ac:dyDescent="0.2">
      <c r="A1165" s="84"/>
      <c r="B1165" s="84"/>
      <c r="C1165" s="60"/>
      <c r="D1165" s="66"/>
      <c r="E1165" s="66"/>
      <c r="F1165" s="66"/>
      <c r="G1165" s="66"/>
      <c r="H1165" s="66"/>
      <c r="I1165" s="66"/>
      <c r="J1165" s="66"/>
      <c r="K1165" s="66"/>
      <c r="L1165" s="66"/>
      <c r="M1165" s="66"/>
      <c r="N1165" s="66"/>
    </row>
    <row r="1166" spans="1:14" x14ac:dyDescent="0.2">
      <c r="A1166" s="84"/>
      <c r="B1166" s="84"/>
      <c r="C1166" s="60"/>
      <c r="D1166" s="66"/>
      <c r="E1166" s="66"/>
      <c r="F1166" s="66"/>
      <c r="G1166" s="66"/>
      <c r="H1166" s="66"/>
      <c r="I1166" s="66"/>
      <c r="J1166" s="66"/>
      <c r="K1166" s="66"/>
      <c r="L1166" s="66"/>
      <c r="M1166" s="66"/>
      <c r="N1166" s="66"/>
    </row>
    <row r="1167" spans="1:14" x14ac:dyDescent="0.2">
      <c r="A1167" s="84"/>
      <c r="B1167" s="84"/>
      <c r="C1167" s="60"/>
      <c r="D1167" s="66"/>
      <c r="E1167" s="66"/>
      <c r="F1167" s="66"/>
      <c r="G1167" s="66"/>
      <c r="H1167" s="66"/>
      <c r="I1167" s="66"/>
      <c r="J1167" s="66"/>
      <c r="K1167" s="66"/>
      <c r="L1167" s="66"/>
      <c r="M1167" s="66"/>
      <c r="N1167" s="66"/>
    </row>
    <row r="1168" spans="1:14" x14ac:dyDescent="0.2">
      <c r="A1168" s="84"/>
      <c r="B1168" s="84"/>
      <c r="C1168" s="60"/>
      <c r="D1168" s="66"/>
      <c r="E1168" s="66"/>
      <c r="F1168" s="66"/>
      <c r="G1168" s="66"/>
      <c r="H1168" s="66"/>
      <c r="I1168" s="66"/>
      <c r="J1168" s="66"/>
      <c r="K1168" s="66"/>
      <c r="L1168" s="66"/>
      <c r="M1168" s="66"/>
      <c r="N1168" s="66"/>
    </row>
    <row r="1169" spans="1:14" x14ac:dyDescent="0.2">
      <c r="A1169" s="84"/>
      <c r="B1169" s="84"/>
      <c r="C1169" s="60"/>
      <c r="D1169" s="66"/>
      <c r="E1169" s="66"/>
      <c r="F1169" s="66"/>
      <c r="G1169" s="66"/>
      <c r="H1169" s="66"/>
      <c r="I1169" s="66"/>
      <c r="J1169" s="66"/>
      <c r="K1169" s="66"/>
      <c r="L1169" s="66"/>
      <c r="M1169" s="66"/>
      <c r="N1169" s="66"/>
    </row>
    <row r="1170" spans="1:14" x14ac:dyDescent="0.2">
      <c r="A1170" s="84"/>
      <c r="B1170" s="84"/>
      <c r="C1170" s="60"/>
      <c r="D1170" s="66"/>
      <c r="E1170" s="66"/>
      <c r="F1170" s="66"/>
      <c r="G1170" s="66"/>
      <c r="H1170" s="66"/>
      <c r="I1170" s="66"/>
      <c r="J1170" s="66"/>
      <c r="K1170" s="66"/>
      <c r="L1170" s="66"/>
      <c r="M1170" s="66"/>
      <c r="N1170" s="66"/>
    </row>
    <row r="1171" spans="1:14" x14ac:dyDescent="0.2">
      <c r="A1171" s="84"/>
      <c r="B1171" s="84"/>
      <c r="C1171" s="60"/>
      <c r="D1171" s="66"/>
      <c r="E1171" s="66"/>
      <c r="F1171" s="66"/>
      <c r="G1171" s="66"/>
      <c r="H1171" s="66"/>
      <c r="I1171" s="66"/>
      <c r="J1171" s="66"/>
      <c r="K1171" s="66"/>
      <c r="L1171" s="66"/>
      <c r="M1171" s="66"/>
      <c r="N1171" s="66"/>
    </row>
    <row r="1172" spans="1:14" x14ac:dyDescent="0.2">
      <c r="A1172" s="84"/>
      <c r="B1172" s="84"/>
      <c r="C1172" s="60"/>
      <c r="D1172" s="66"/>
      <c r="E1172" s="66"/>
      <c r="F1172" s="66"/>
      <c r="G1172" s="66"/>
      <c r="H1172" s="66"/>
      <c r="I1172" s="66"/>
      <c r="J1172" s="66"/>
      <c r="K1172" s="66"/>
      <c r="L1172" s="66"/>
      <c r="M1172" s="66"/>
      <c r="N1172" s="66"/>
    </row>
    <row r="1173" spans="1:14" x14ac:dyDescent="0.2">
      <c r="A1173" s="84"/>
      <c r="B1173" s="84"/>
      <c r="C1173" s="60"/>
      <c r="D1173" s="66"/>
      <c r="E1173" s="66"/>
      <c r="F1173" s="66"/>
      <c r="G1173" s="66"/>
      <c r="H1173" s="66"/>
      <c r="I1173" s="66"/>
      <c r="J1173" s="66"/>
      <c r="K1173" s="66"/>
      <c r="L1173" s="66"/>
      <c r="M1173" s="66"/>
      <c r="N1173" s="66"/>
    </row>
    <row r="1174" spans="1:14" x14ac:dyDescent="0.2">
      <c r="A1174" s="84"/>
      <c r="B1174" s="84"/>
      <c r="C1174" s="60"/>
      <c r="D1174" s="66"/>
      <c r="E1174" s="66"/>
      <c r="F1174" s="66"/>
      <c r="G1174" s="66"/>
      <c r="H1174" s="66"/>
      <c r="I1174" s="66"/>
      <c r="J1174" s="66"/>
      <c r="K1174" s="66"/>
      <c r="L1174" s="66"/>
      <c r="M1174" s="66"/>
      <c r="N1174" s="66"/>
    </row>
    <row r="1175" spans="1:14" x14ac:dyDescent="0.2">
      <c r="A1175" s="84"/>
      <c r="B1175" s="84"/>
      <c r="C1175" s="60"/>
      <c r="D1175" s="66"/>
      <c r="E1175" s="66"/>
      <c r="F1175" s="66"/>
      <c r="G1175" s="66"/>
      <c r="H1175" s="66"/>
      <c r="I1175" s="66"/>
      <c r="J1175" s="66"/>
      <c r="K1175" s="66"/>
      <c r="L1175" s="66"/>
      <c r="M1175" s="66"/>
      <c r="N1175" s="66"/>
    </row>
    <row r="1176" spans="1:14" x14ac:dyDescent="0.2">
      <c r="A1176" s="84"/>
      <c r="B1176" s="84"/>
      <c r="C1176" s="60"/>
      <c r="D1176" s="66"/>
      <c r="E1176" s="66"/>
      <c r="F1176" s="66"/>
      <c r="G1176" s="66"/>
      <c r="H1176" s="66"/>
      <c r="I1176" s="66"/>
      <c r="J1176" s="66"/>
      <c r="K1176" s="66"/>
      <c r="L1176" s="66"/>
      <c r="M1176" s="66"/>
      <c r="N1176" s="66"/>
    </row>
    <row r="1177" spans="1:14" x14ac:dyDescent="0.2">
      <c r="A1177" s="84"/>
      <c r="B1177" s="84"/>
      <c r="C1177" s="60"/>
      <c r="D1177" s="66"/>
      <c r="E1177" s="66"/>
      <c r="F1177" s="66"/>
      <c r="G1177" s="66"/>
      <c r="H1177" s="66"/>
      <c r="I1177" s="66"/>
      <c r="J1177" s="66"/>
      <c r="K1177" s="66"/>
      <c r="L1177" s="66"/>
      <c r="M1177" s="66"/>
      <c r="N1177" s="66"/>
    </row>
    <row r="1178" spans="1:14" x14ac:dyDescent="0.2">
      <c r="A1178" s="84"/>
      <c r="B1178" s="84"/>
      <c r="C1178" s="60"/>
      <c r="D1178" s="66"/>
      <c r="E1178" s="66"/>
      <c r="F1178" s="66"/>
      <c r="G1178" s="66"/>
      <c r="H1178" s="66"/>
      <c r="I1178" s="66"/>
      <c r="J1178" s="66"/>
      <c r="K1178" s="66"/>
      <c r="L1178" s="66"/>
      <c r="M1178" s="66"/>
      <c r="N1178" s="66"/>
    </row>
    <row r="1179" spans="1:14" x14ac:dyDescent="0.2">
      <c r="A1179" s="84"/>
      <c r="B1179" s="84"/>
      <c r="C1179" s="60"/>
      <c r="D1179" s="66"/>
      <c r="E1179" s="66"/>
      <c r="F1179" s="66"/>
      <c r="G1179" s="66"/>
      <c r="H1179" s="66"/>
      <c r="I1179" s="66"/>
      <c r="J1179" s="66"/>
      <c r="K1179" s="66"/>
      <c r="L1179" s="66"/>
      <c r="M1179" s="66"/>
      <c r="N1179" s="66"/>
    </row>
    <row r="1180" spans="1:14" x14ac:dyDescent="0.2">
      <c r="A1180" s="84"/>
      <c r="B1180" s="84"/>
      <c r="C1180" s="60"/>
      <c r="D1180" s="66"/>
      <c r="E1180" s="66"/>
      <c r="F1180" s="66"/>
      <c r="G1180" s="66"/>
      <c r="H1180" s="66"/>
      <c r="I1180" s="66"/>
      <c r="J1180" s="66"/>
      <c r="K1180" s="66"/>
      <c r="L1180" s="66"/>
      <c r="M1180" s="66"/>
      <c r="N1180" s="66"/>
    </row>
    <row r="1181" spans="1:14" x14ac:dyDescent="0.2">
      <c r="A1181" s="84"/>
      <c r="B1181" s="84"/>
      <c r="C1181" s="60"/>
      <c r="D1181" s="66"/>
      <c r="E1181" s="66"/>
      <c r="F1181" s="66"/>
      <c r="G1181" s="66"/>
      <c r="H1181" s="66"/>
      <c r="I1181" s="66"/>
      <c r="J1181" s="66"/>
      <c r="K1181" s="66"/>
      <c r="L1181" s="66"/>
      <c r="M1181" s="66"/>
      <c r="N1181" s="66"/>
    </row>
    <row r="1182" spans="1:14" x14ac:dyDescent="0.2">
      <c r="A1182" s="84"/>
      <c r="B1182" s="84"/>
      <c r="C1182" s="60"/>
      <c r="D1182" s="66"/>
      <c r="E1182" s="66"/>
      <c r="F1182" s="66"/>
      <c r="G1182" s="66"/>
      <c r="H1182" s="66"/>
      <c r="I1182" s="66"/>
      <c r="J1182" s="66"/>
      <c r="K1182" s="66"/>
      <c r="L1182" s="66"/>
      <c r="M1182" s="66"/>
      <c r="N1182" s="66"/>
    </row>
    <row r="1183" spans="1:14" x14ac:dyDescent="0.2">
      <c r="A1183" s="84"/>
      <c r="B1183" s="84"/>
      <c r="C1183" s="60"/>
      <c r="D1183" s="66"/>
      <c r="E1183" s="66"/>
      <c r="F1183" s="66"/>
      <c r="G1183" s="66"/>
      <c r="H1183" s="66"/>
      <c r="I1183" s="66"/>
      <c r="J1183" s="66"/>
      <c r="K1183" s="66"/>
      <c r="L1183" s="66"/>
      <c r="M1183" s="66"/>
      <c r="N1183" s="66"/>
    </row>
    <row r="1184" spans="1:14" x14ac:dyDescent="0.2">
      <c r="A1184" s="84"/>
      <c r="B1184" s="84"/>
      <c r="C1184" s="60"/>
      <c r="D1184" s="66"/>
      <c r="E1184" s="66"/>
      <c r="F1184" s="66"/>
      <c r="G1184" s="66"/>
      <c r="H1184" s="66"/>
      <c r="I1184" s="66"/>
      <c r="J1184" s="66"/>
      <c r="K1184" s="66"/>
      <c r="L1184" s="66"/>
      <c r="M1184" s="66"/>
      <c r="N1184" s="66"/>
    </row>
    <row r="1185" spans="1:14" x14ac:dyDescent="0.2">
      <c r="A1185" s="84"/>
      <c r="B1185" s="84"/>
      <c r="C1185" s="60"/>
      <c r="D1185" s="66"/>
      <c r="E1185" s="66"/>
      <c r="F1185" s="66"/>
      <c r="G1185" s="66"/>
      <c r="H1185" s="66"/>
      <c r="I1185" s="66"/>
      <c r="J1185" s="66"/>
      <c r="K1185" s="66"/>
      <c r="L1185" s="66"/>
      <c r="M1185" s="66"/>
      <c r="N1185" s="66"/>
    </row>
    <row r="1186" spans="1:14" x14ac:dyDescent="0.2">
      <c r="A1186" s="84"/>
      <c r="B1186" s="84"/>
      <c r="C1186" s="60"/>
      <c r="D1186" s="66"/>
      <c r="E1186" s="66"/>
      <c r="F1186" s="66"/>
      <c r="G1186" s="66"/>
      <c r="H1186" s="66"/>
      <c r="I1186" s="66"/>
      <c r="J1186" s="66"/>
      <c r="K1186" s="66"/>
      <c r="L1186" s="66"/>
      <c r="M1186" s="66"/>
      <c r="N1186" s="66"/>
    </row>
    <row r="1187" spans="1:14" x14ac:dyDescent="0.2">
      <c r="A1187" s="84"/>
      <c r="B1187" s="84"/>
      <c r="C1187" s="60"/>
      <c r="D1187" s="66"/>
      <c r="E1187" s="66"/>
      <c r="F1187" s="66"/>
      <c r="G1187" s="66"/>
      <c r="H1187" s="66"/>
      <c r="I1187" s="66"/>
      <c r="J1187" s="66"/>
      <c r="K1187" s="66"/>
      <c r="L1187" s="66"/>
      <c r="M1187" s="66"/>
      <c r="N1187" s="66"/>
    </row>
    <row r="1188" spans="1:14" x14ac:dyDescent="0.2">
      <c r="A1188" s="84"/>
      <c r="B1188" s="84"/>
      <c r="C1188" s="60"/>
      <c r="D1188" s="66"/>
      <c r="E1188" s="66"/>
      <c r="F1188" s="66"/>
      <c r="G1188" s="66"/>
      <c r="H1188" s="66"/>
      <c r="I1188" s="66"/>
      <c r="J1188" s="66"/>
      <c r="K1188" s="66"/>
      <c r="L1188" s="66"/>
      <c r="M1188" s="66"/>
      <c r="N1188" s="66"/>
    </row>
    <row r="1189" spans="1:14" x14ac:dyDescent="0.2">
      <c r="A1189" s="84"/>
      <c r="B1189" s="84"/>
      <c r="C1189" s="60"/>
      <c r="D1189" s="66"/>
      <c r="E1189" s="66"/>
      <c r="F1189" s="66"/>
      <c r="G1189" s="66"/>
      <c r="H1189" s="66"/>
      <c r="I1189" s="66"/>
      <c r="J1189" s="66"/>
      <c r="K1189" s="66"/>
      <c r="L1189" s="66"/>
      <c r="M1189" s="66"/>
      <c r="N1189" s="66"/>
    </row>
    <row r="1190" spans="1:14" x14ac:dyDescent="0.2">
      <c r="A1190" s="84"/>
      <c r="B1190" s="84"/>
      <c r="C1190" s="60"/>
      <c r="D1190" s="66"/>
      <c r="E1190" s="66"/>
      <c r="F1190" s="66"/>
      <c r="G1190" s="66"/>
      <c r="H1190" s="66"/>
      <c r="I1190" s="66"/>
      <c r="J1190" s="66"/>
      <c r="K1190" s="66"/>
      <c r="L1190" s="66"/>
      <c r="M1190" s="66"/>
      <c r="N1190" s="66"/>
    </row>
    <row r="1191" spans="1:14" x14ac:dyDescent="0.2">
      <c r="A1191" s="84"/>
      <c r="B1191" s="84"/>
      <c r="C1191" s="60"/>
      <c r="D1191" s="66"/>
      <c r="E1191" s="66"/>
      <c r="F1191" s="66"/>
      <c r="G1191" s="66"/>
      <c r="H1191" s="66"/>
      <c r="I1191" s="66"/>
      <c r="J1191" s="66"/>
      <c r="K1191" s="66"/>
      <c r="L1191" s="66"/>
      <c r="M1191" s="66"/>
      <c r="N1191" s="66"/>
    </row>
    <row r="1192" spans="1:14" x14ac:dyDescent="0.2">
      <c r="A1192" s="84"/>
      <c r="B1192" s="84"/>
      <c r="C1192" s="60"/>
      <c r="D1192" s="66"/>
      <c r="E1192" s="66"/>
      <c r="F1192" s="66"/>
      <c r="G1192" s="66"/>
      <c r="H1192" s="66"/>
      <c r="I1192" s="66"/>
      <c r="J1192" s="66"/>
      <c r="K1192" s="66"/>
      <c r="L1192" s="66"/>
      <c r="M1192" s="66"/>
      <c r="N1192" s="66"/>
    </row>
    <row r="1193" spans="1:14" x14ac:dyDescent="0.2">
      <c r="A1193" s="84"/>
      <c r="B1193" s="84"/>
      <c r="C1193" s="60"/>
      <c r="D1193" s="66"/>
      <c r="E1193" s="66"/>
      <c r="F1193" s="66"/>
      <c r="G1193" s="66"/>
      <c r="H1193" s="66"/>
      <c r="I1193" s="66"/>
      <c r="J1193" s="66"/>
      <c r="K1193" s="66"/>
      <c r="L1193" s="66"/>
      <c r="M1193" s="66"/>
      <c r="N1193" s="66"/>
    </row>
    <row r="1194" spans="1:14" x14ac:dyDescent="0.2">
      <c r="A1194" s="84"/>
      <c r="B1194" s="84"/>
      <c r="C1194" s="60"/>
      <c r="D1194" s="66"/>
      <c r="E1194" s="66"/>
      <c r="F1194" s="66"/>
      <c r="G1194" s="66"/>
      <c r="H1194" s="66"/>
      <c r="I1194" s="66"/>
      <c r="J1194" s="66"/>
      <c r="K1194" s="66"/>
      <c r="L1194" s="66"/>
      <c r="M1194" s="66"/>
      <c r="N1194" s="66"/>
    </row>
    <row r="1195" spans="1:14" x14ac:dyDescent="0.2">
      <c r="A1195" s="84"/>
      <c r="B1195" s="84"/>
      <c r="C1195" s="60"/>
      <c r="D1195" s="66"/>
      <c r="E1195" s="66"/>
      <c r="F1195" s="66"/>
      <c r="G1195" s="66"/>
      <c r="H1195" s="66"/>
      <c r="I1195" s="66"/>
      <c r="J1195" s="66"/>
      <c r="K1195" s="66"/>
      <c r="L1195" s="66"/>
      <c r="M1195" s="66"/>
      <c r="N1195" s="66"/>
    </row>
    <row r="1196" spans="1:14" x14ac:dyDescent="0.2">
      <c r="A1196" s="84"/>
      <c r="B1196" s="84"/>
      <c r="C1196" s="60"/>
      <c r="D1196" s="66"/>
      <c r="E1196" s="66"/>
      <c r="F1196" s="66"/>
      <c r="G1196" s="66"/>
      <c r="H1196" s="66"/>
      <c r="I1196" s="66"/>
      <c r="J1196" s="66"/>
      <c r="K1196" s="66"/>
      <c r="L1196" s="66"/>
      <c r="M1196" s="66"/>
      <c r="N1196" s="66"/>
    </row>
    <row r="1197" spans="1:14" x14ac:dyDescent="0.2">
      <c r="A1197" s="84"/>
      <c r="B1197" s="84"/>
      <c r="C1197" s="60"/>
      <c r="D1197" s="66"/>
      <c r="E1197" s="66"/>
      <c r="F1197" s="66"/>
      <c r="G1197" s="66"/>
      <c r="H1197" s="66"/>
      <c r="I1197" s="66"/>
      <c r="J1197" s="66"/>
      <c r="K1197" s="66"/>
      <c r="L1197" s="66"/>
      <c r="M1197" s="66"/>
      <c r="N1197" s="66"/>
    </row>
    <row r="1198" spans="1:14" x14ac:dyDescent="0.2">
      <c r="A1198" s="84"/>
      <c r="B1198" s="84"/>
      <c r="C1198" s="60"/>
      <c r="D1198" s="66"/>
      <c r="E1198" s="66"/>
      <c r="F1198" s="66"/>
      <c r="G1198" s="66"/>
      <c r="H1198" s="66"/>
      <c r="I1198" s="66"/>
      <c r="J1198" s="66"/>
      <c r="K1198" s="66"/>
      <c r="L1198" s="66"/>
      <c r="M1198" s="66"/>
      <c r="N1198" s="66"/>
    </row>
    <row r="1199" spans="1:14" x14ac:dyDescent="0.2">
      <c r="A1199" s="84"/>
      <c r="B1199" s="84"/>
      <c r="C1199" s="60"/>
      <c r="D1199" s="66"/>
      <c r="E1199" s="66"/>
      <c r="F1199" s="66"/>
      <c r="G1199" s="66"/>
      <c r="H1199" s="66"/>
      <c r="I1199" s="66"/>
      <c r="J1199" s="66"/>
      <c r="K1199" s="66"/>
      <c r="L1199" s="66"/>
      <c r="M1199" s="66"/>
      <c r="N1199" s="66"/>
    </row>
    <row r="1200" spans="1:14" x14ac:dyDescent="0.2">
      <c r="A1200" s="84"/>
      <c r="B1200" s="84"/>
      <c r="C1200" s="60"/>
      <c r="D1200" s="66"/>
      <c r="E1200" s="66"/>
      <c r="F1200" s="66"/>
      <c r="G1200" s="66"/>
      <c r="H1200" s="66"/>
      <c r="I1200" s="66"/>
      <c r="J1200" s="66"/>
      <c r="K1200" s="66"/>
      <c r="L1200" s="66"/>
      <c r="M1200" s="66"/>
      <c r="N1200" s="66"/>
    </row>
    <row r="1201" spans="1:14" x14ac:dyDescent="0.2">
      <c r="A1201" s="84"/>
      <c r="B1201" s="84"/>
      <c r="C1201" s="60"/>
      <c r="D1201" s="66"/>
      <c r="E1201" s="66"/>
      <c r="F1201" s="66"/>
      <c r="G1201" s="66"/>
      <c r="H1201" s="66"/>
      <c r="I1201" s="66"/>
      <c r="J1201" s="66"/>
      <c r="K1201" s="66"/>
      <c r="L1201" s="66"/>
      <c r="M1201" s="66"/>
      <c r="N1201" s="66"/>
    </row>
    <row r="1202" spans="1:14" x14ac:dyDescent="0.2">
      <c r="A1202" s="84"/>
      <c r="B1202" s="84"/>
      <c r="C1202" s="60"/>
      <c r="D1202" s="66"/>
      <c r="E1202" s="66"/>
      <c r="F1202" s="66"/>
      <c r="G1202" s="66"/>
      <c r="H1202" s="66"/>
      <c r="I1202" s="66"/>
      <c r="J1202" s="66"/>
      <c r="K1202" s="66"/>
      <c r="L1202" s="66"/>
      <c r="M1202" s="66"/>
      <c r="N1202" s="66"/>
    </row>
    <row r="1203" spans="1:14" x14ac:dyDescent="0.2">
      <c r="A1203" s="84"/>
      <c r="B1203" s="84"/>
      <c r="C1203" s="60"/>
      <c r="D1203" s="66"/>
      <c r="E1203" s="66"/>
      <c r="F1203" s="66"/>
      <c r="G1203" s="66"/>
      <c r="H1203" s="66"/>
      <c r="I1203" s="66"/>
      <c r="J1203" s="66"/>
      <c r="K1203" s="66"/>
      <c r="L1203" s="66"/>
      <c r="M1203" s="66"/>
      <c r="N1203" s="66"/>
    </row>
    <row r="1204" spans="1:14" x14ac:dyDescent="0.2">
      <c r="A1204" s="84"/>
      <c r="B1204" s="84"/>
      <c r="C1204" s="60"/>
      <c r="D1204" s="66"/>
      <c r="E1204" s="66"/>
      <c r="F1204" s="66"/>
      <c r="G1204" s="66"/>
      <c r="H1204" s="66"/>
      <c r="I1204" s="66"/>
      <c r="J1204" s="66"/>
      <c r="K1204" s="66"/>
      <c r="L1204" s="66"/>
      <c r="M1204" s="66"/>
      <c r="N1204" s="66"/>
    </row>
    <row r="1205" spans="1:14" x14ac:dyDescent="0.2">
      <c r="A1205" s="84"/>
      <c r="B1205" s="84"/>
      <c r="C1205" s="60"/>
      <c r="D1205" s="66"/>
      <c r="E1205" s="66"/>
      <c r="F1205" s="66"/>
      <c r="G1205" s="66"/>
      <c r="H1205" s="66"/>
      <c r="I1205" s="66"/>
      <c r="J1205" s="66"/>
      <c r="K1205" s="66"/>
      <c r="L1205" s="66"/>
      <c r="M1205" s="66"/>
      <c r="N1205" s="66"/>
    </row>
    <row r="1206" spans="1:14" x14ac:dyDescent="0.2">
      <c r="A1206" s="84"/>
      <c r="B1206" s="84"/>
      <c r="C1206" s="60"/>
      <c r="D1206" s="66"/>
      <c r="E1206" s="66"/>
      <c r="F1206" s="66"/>
      <c r="G1206" s="66"/>
      <c r="H1206" s="66"/>
      <c r="I1206" s="66"/>
      <c r="J1206" s="66"/>
      <c r="K1206" s="66"/>
      <c r="L1206" s="66"/>
      <c r="M1206" s="66"/>
      <c r="N1206" s="66"/>
    </row>
    <row r="1207" spans="1:14" x14ac:dyDescent="0.2">
      <c r="A1207" s="84"/>
      <c r="B1207" s="84"/>
      <c r="C1207" s="60"/>
      <c r="D1207" s="66"/>
      <c r="E1207" s="66"/>
      <c r="F1207" s="66"/>
      <c r="G1207" s="66"/>
      <c r="H1207" s="66"/>
      <c r="I1207" s="66"/>
      <c r="J1207" s="66"/>
      <c r="K1207" s="66"/>
      <c r="L1207" s="66"/>
      <c r="M1207" s="66"/>
      <c r="N1207" s="66"/>
    </row>
    <row r="1208" spans="1:14" x14ac:dyDescent="0.2">
      <c r="A1208" s="84"/>
      <c r="B1208" s="84"/>
      <c r="C1208" s="60"/>
      <c r="D1208" s="66"/>
      <c r="E1208" s="66"/>
      <c r="F1208" s="66"/>
      <c r="G1208" s="66"/>
      <c r="H1208" s="66"/>
      <c r="I1208" s="66"/>
      <c r="J1208" s="66"/>
      <c r="K1208" s="66"/>
      <c r="L1208" s="66"/>
      <c r="M1208" s="66"/>
      <c r="N1208" s="66"/>
    </row>
    <row r="1209" spans="1:14" x14ac:dyDescent="0.2">
      <c r="A1209" s="84"/>
      <c r="B1209" s="84"/>
      <c r="C1209" s="60"/>
      <c r="D1209" s="66"/>
      <c r="E1209" s="66"/>
      <c r="F1209" s="66"/>
      <c r="G1209" s="66"/>
      <c r="H1209" s="66"/>
      <c r="I1209" s="66"/>
      <c r="J1209" s="66"/>
      <c r="K1209" s="66"/>
      <c r="L1209" s="66"/>
      <c r="M1209" s="66"/>
      <c r="N1209" s="66"/>
    </row>
    <row r="1210" spans="1:14" x14ac:dyDescent="0.2">
      <c r="A1210" s="84"/>
      <c r="B1210" s="84"/>
      <c r="C1210" s="60"/>
      <c r="D1210" s="66"/>
      <c r="E1210" s="66"/>
      <c r="F1210" s="66"/>
      <c r="G1210" s="66"/>
      <c r="H1210" s="66"/>
      <c r="I1210" s="66"/>
      <c r="J1210" s="66"/>
      <c r="K1210" s="66"/>
      <c r="L1210" s="66"/>
      <c r="M1210" s="66"/>
      <c r="N1210" s="66"/>
    </row>
    <row r="1211" spans="1:14" x14ac:dyDescent="0.2">
      <c r="A1211" s="84"/>
      <c r="B1211" s="84"/>
      <c r="C1211" s="60"/>
      <c r="D1211" s="66"/>
      <c r="E1211" s="66"/>
      <c r="F1211" s="66"/>
      <c r="G1211" s="66"/>
      <c r="H1211" s="66"/>
      <c r="I1211" s="66"/>
      <c r="J1211" s="66"/>
      <c r="K1211" s="66"/>
      <c r="L1211" s="66"/>
      <c r="M1211" s="66"/>
      <c r="N1211" s="66"/>
    </row>
    <row r="1212" spans="1:14" x14ac:dyDescent="0.2">
      <c r="A1212" s="84"/>
      <c r="B1212" s="84"/>
      <c r="C1212" s="60"/>
      <c r="D1212" s="66"/>
      <c r="E1212" s="66"/>
      <c r="F1212" s="66"/>
      <c r="G1212" s="66"/>
      <c r="H1212" s="66"/>
      <c r="I1212" s="66"/>
      <c r="J1212" s="66"/>
      <c r="K1212" s="66"/>
      <c r="L1212" s="66"/>
      <c r="M1212" s="66"/>
      <c r="N1212" s="66"/>
    </row>
    <row r="1213" spans="1:14" x14ac:dyDescent="0.2">
      <c r="A1213" s="84"/>
      <c r="B1213" s="84"/>
      <c r="C1213" s="60"/>
      <c r="D1213" s="66"/>
      <c r="E1213" s="66"/>
      <c r="F1213" s="66"/>
      <c r="G1213" s="66"/>
      <c r="H1213" s="66"/>
      <c r="I1213" s="66"/>
      <c r="J1213" s="66"/>
      <c r="K1213" s="66"/>
      <c r="L1213" s="66"/>
      <c r="M1213" s="66"/>
      <c r="N1213" s="66"/>
    </row>
    <row r="1214" spans="1:14" x14ac:dyDescent="0.2">
      <c r="A1214" s="84"/>
      <c r="B1214" s="84"/>
      <c r="C1214" s="60"/>
      <c r="D1214" s="66"/>
      <c r="E1214" s="66"/>
      <c r="F1214" s="66"/>
      <c r="G1214" s="66"/>
      <c r="H1214" s="66"/>
      <c r="I1214" s="66"/>
      <c r="J1214" s="66"/>
      <c r="K1214" s="66"/>
      <c r="L1214" s="66"/>
      <c r="M1214" s="66"/>
      <c r="N1214" s="66"/>
    </row>
    <row r="1215" spans="1:14" x14ac:dyDescent="0.2">
      <c r="A1215" s="84"/>
      <c r="B1215" s="84"/>
      <c r="C1215" s="60"/>
      <c r="D1215" s="66"/>
      <c r="E1215" s="66"/>
      <c r="F1215" s="66"/>
      <c r="G1215" s="66"/>
      <c r="H1215" s="66"/>
      <c r="I1215" s="66"/>
      <c r="J1215" s="66"/>
      <c r="K1215" s="66"/>
      <c r="L1215" s="66"/>
      <c r="M1215" s="66"/>
      <c r="N1215" s="66"/>
    </row>
    <row r="1216" spans="1:14" x14ac:dyDescent="0.2">
      <c r="A1216" s="84"/>
      <c r="B1216" s="84"/>
      <c r="C1216" s="60"/>
      <c r="D1216" s="66"/>
      <c r="E1216" s="66"/>
      <c r="F1216" s="66"/>
      <c r="G1216" s="66"/>
      <c r="H1216" s="66"/>
      <c r="I1216" s="66"/>
      <c r="J1216" s="66"/>
      <c r="K1216" s="66"/>
      <c r="L1216" s="66"/>
      <c r="M1216" s="66"/>
      <c r="N1216" s="66"/>
    </row>
    <row r="1217" spans="1:14" x14ac:dyDescent="0.2">
      <c r="A1217" s="84"/>
      <c r="B1217" s="84"/>
      <c r="C1217" s="60"/>
      <c r="D1217" s="66"/>
      <c r="E1217" s="66"/>
      <c r="F1217" s="66"/>
      <c r="G1217" s="66"/>
      <c r="H1217" s="66"/>
      <c r="I1217" s="66"/>
      <c r="J1217" s="66"/>
      <c r="K1217" s="66"/>
      <c r="L1217" s="66"/>
      <c r="M1217" s="66"/>
      <c r="N1217" s="66"/>
    </row>
    <row r="1218" spans="1:14" x14ac:dyDescent="0.2">
      <c r="A1218" s="84"/>
      <c r="B1218" s="84"/>
      <c r="C1218" s="60"/>
      <c r="D1218" s="66"/>
      <c r="E1218" s="66"/>
      <c r="F1218" s="66"/>
      <c r="G1218" s="66"/>
      <c r="H1218" s="66"/>
      <c r="I1218" s="66"/>
      <c r="J1218" s="66"/>
      <c r="K1218" s="66"/>
      <c r="L1218" s="66"/>
      <c r="M1218" s="66"/>
      <c r="N1218" s="66"/>
    </row>
    <row r="1219" spans="1:14" x14ac:dyDescent="0.2">
      <c r="A1219" s="84"/>
      <c r="B1219" s="84"/>
      <c r="C1219" s="60"/>
      <c r="D1219" s="66"/>
      <c r="E1219" s="66"/>
      <c r="F1219" s="66"/>
      <c r="G1219" s="66"/>
      <c r="H1219" s="66"/>
      <c r="I1219" s="66"/>
      <c r="J1219" s="66"/>
      <c r="K1219" s="66"/>
      <c r="L1219" s="66"/>
      <c r="M1219" s="66"/>
      <c r="N1219" s="66"/>
    </row>
    <row r="1220" spans="1:14" x14ac:dyDescent="0.2">
      <c r="A1220" s="84"/>
      <c r="B1220" s="84"/>
      <c r="C1220" s="60"/>
      <c r="D1220" s="66"/>
      <c r="E1220" s="66"/>
      <c r="F1220" s="66"/>
      <c r="G1220" s="66"/>
      <c r="H1220" s="66"/>
      <c r="I1220" s="66"/>
      <c r="J1220" s="66"/>
      <c r="K1220" s="66"/>
      <c r="L1220" s="66"/>
      <c r="M1220" s="66"/>
      <c r="N1220" s="66"/>
    </row>
    <row r="1221" spans="1:14" x14ac:dyDescent="0.2">
      <c r="A1221" s="84"/>
      <c r="B1221" s="84"/>
      <c r="C1221" s="60"/>
      <c r="D1221" s="66"/>
      <c r="E1221" s="66"/>
      <c r="F1221" s="66"/>
      <c r="G1221" s="66"/>
      <c r="H1221" s="66"/>
      <c r="I1221" s="66"/>
      <c r="J1221" s="66"/>
      <c r="K1221" s="66"/>
      <c r="L1221" s="66"/>
      <c r="M1221" s="66"/>
      <c r="N1221" s="66"/>
    </row>
    <row r="1222" spans="1:14" x14ac:dyDescent="0.2">
      <c r="A1222" s="84"/>
      <c r="B1222" s="84"/>
      <c r="C1222" s="60"/>
      <c r="D1222" s="66"/>
      <c r="E1222" s="66"/>
      <c r="F1222" s="66"/>
      <c r="G1222" s="66"/>
      <c r="H1222" s="66"/>
      <c r="I1222" s="66"/>
      <c r="J1222" s="66"/>
      <c r="K1222" s="66"/>
      <c r="L1222" s="66"/>
      <c r="M1222" s="66"/>
      <c r="N1222" s="66"/>
    </row>
    <row r="1223" spans="1:14" x14ac:dyDescent="0.2">
      <c r="A1223" s="84"/>
      <c r="B1223" s="84"/>
      <c r="C1223" s="60"/>
      <c r="D1223" s="66"/>
      <c r="E1223" s="66"/>
      <c r="F1223" s="66"/>
      <c r="G1223" s="66"/>
      <c r="H1223" s="66"/>
      <c r="I1223" s="66"/>
      <c r="J1223" s="66"/>
      <c r="K1223" s="66"/>
      <c r="L1223" s="66"/>
      <c r="M1223" s="66"/>
      <c r="N1223" s="66"/>
    </row>
  </sheetData>
  <pageMargins left="0.25" right="0.25" top="0.75" bottom="0.75" header="0.3" footer="0.3"/>
  <pageSetup scale="76" fitToHeight="0" orientation="landscape" r:id="rId1"/>
  <headerFooter>
    <oddFooter>&amp;LRev &amp;D&amp;C&amp;P</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1210"/>
  <sheetViews>
    <sheetView workbookViewId="0">
      <pane xSplit="1" ySplit="5" topLeftCell="B137" activePane="bottomRight" state="frozen"/>
      <selection sqref="A1:XFD5"/>
      <selection pane="topRight" sqref="A1:XFD5"/>
      <selection pane="bottomLeft" sqref="A1:XFD5"/>
      <selection pane="bottomRight" sqref="A1:N216"/>
    </sheetView>
  </sheetViews>
  <sheetFormatPr defaultColWidth="9" defaultRowHeight="12.75" x14ac:dyDescent="0.2"/>
  <cols>
    <col min="1" max="1" width="27.25" style="30" customWidth="1"/>
    <col min="2" max="2" width="9.5" style="31" customWidth="1"/>
    <col min="3" max="4" width="9" style="38" customWidth="1"/>
    <col min="5" max="16384" width="9" style="38"/>
  </cols>
  <sheetData>
    <row r="1" spans="1:14" s="29" customFormat="1" ht="13.5" thickBot="1" x14ac:dyDescent="0.25">
      <c r="A1" s="67" t="str">
        <f>CMS!A1</f>
        <v>Northwest Youth Services Budget - 2018 - APPROVED BY BOARD NOV 30, 2017</v>
      </c>
      <c r="B1" s="79"/>
      <c r="C1" s="67"/>
      <c r="D1" s="67"/>
      <c r="E1" s="67"/>
      <c r="F1" s="67"/>
      <c r="G1" s="67"/>
      <c r="H1" s="67"/>
      <c r="I1" s="67"/>
      <c r="J1" s="67"/>
      <c r="K1" s="67"/>
      <c r="L1" s="67"/>
      <c r="M1" s="67"/>
      <c r="N1" s="67"/>
    </row>
    <row r="2" spans="1:14" s="29" customFormat="1" x14ac:dyDescent="0.2">
      <c r="A2" s="80"/>
      <c r="B2" s="81"/>
      <c r="C2" s="58"/>
      <c r="D2" s="58"/>
      <c r="E2" s="58"/>
      <c r="F2" s="58"/>
      <c r="G2" s="58"/>
      <c r="H2" s="58"/>
      <c r="I2" s="58"/>
      <c r="J2" s="58"/>
      <c r="K2" s="58"/>
      <c r="L2" s="58"/>
      <c r="M2" s="58"/>
      <c r="N2" s="58"/>
    </row>
    <row r="3" spans="1:14" s="29" customFormat="1" x14ac:dyDescent="0.2">
      <c r="A3" s="81" t="s">
        <v>197</v>
      </c>
      <c r="B3" s="81"/>
      <c r="C3" s="58"/>
      <c r="D3" s="58"/>
      <c r="E3" s="58"/>
      <c r="F3" s="58"/>
      <c r="G3" s="58"/>
      <c r="H3" s="58"/>
      <c r="I3" s="58"/>
      <c r="J3" s="58"/>
      <c r="K3" s="58"/>
      <c r="L3" s="58"/>
      <c r="M3" s="58"/>
      <c r="N3" s="58"/>
    </row>
    <row r="5" spans="1:14" s="33" customFormat="1" ht="13.5" thickBot="1" x14ac:dyDescent="0.25">
      <c r="A5" s="82" t="s">
        <v>143</v>
      </c>
      <c r="B5" s="83" t="s">
        <v>144</v>
      </c>
      <c r="C5" s="83" t="str">
        <f>CMS!C5</f>
        <v>January</v>
      </c>
      <c r="D5" s="83" t="str">
        <f>CMS!D5</f>
        <v>February</v>
      </c>
      <c r="E5" s="83" t="str">
        <f>CMS!E5</f>
        <v>March</v>
      </c>
      <c r="F5" s="83" t="str">
        <f>CMS!F5</f>
        <v>April</v>
      </c>
      <c r="G5" s="83" t="str">
        <f>CMS!G5</f>
        <v>May</v>
      </c>
      <c r="H5" s="83" t="str">
        <f>CMS!H5</f>
        <v>June</v>
      </c>
      <c r="I5" s="83" t="str">
        <f>CMS!I5</f>
        <v>July</v>
      </c>
      <c r="J5" s="83" t="str">
        <f>CMS!J5</f>
        <v>August</v>
      </c>
      <c r="K5" s="83" t="str">
        <f>CMS!K5</f>
        <v>September</v>
      </c>
      <c r="L5" s="83" t="str">
        <f>CMS!L5</f>
        <v>October</v>
      </c>
      <c r="M5" s="83" t="str">
        <f>CMS!M5</f>
        <v>November</v>
      </c>
      <c r="N5" s="83" t="str">
        <f>CMS!N5</f>
        <v>December</v>
      </c>
    </row>
    <row r="6" spans="1:14" s="33" customFormat="1" x14ac:dyDescent="0.2">
      <c r="A6" s="28"/>
      <c r="B6" s="86"/>
      <c r="C6" s="86"/>
      <c r="D6" s="26"/>
      <c r="E6" s="26"/>
      <c r="F6" s="26"/>
      <c r="G6" s="26"/>
      <c r="H6" s="26"/>
      <c r="I6" s="26"/>
      <c r="J6" s="26"/>
      <c r="K6" s="26"/>
      <c r="L6" s="26"/>
      <c r="M6" s="26"/>
      <c r="N6" s="26"/>
    </row>
    <row r="7" spans="1:14" s="33" customFormat="1" x14ac:dyDescent="0.2">
      <c r="A7" s="58" t="s">
        <v>14</v>
      </c>
      <c r="B7" s="60"/>
      <c r="C7" s="60"/>
      <c r="D7" s="94"/>
      <c r="E7" s="94"/>
      <c r="F7" s="94"/>
      <c r="G7" s="94"/>
      <c r="H7" s="94"/>
      <c r="I7" s="94"/>
      <c r="J7" s="94"/>
      <c r="K7" s="94"/>
      <c r="L7" s="94"/>
      <c r="M7" s="94"/>
      <c r="N7" s="94"/>
    </row>
    <row r="8" spans="1:14" hidden="1" x14ac:dyDescent="0.2">
      <c r="A8" s="61" t="s">
        <v>145</v>
      </c>
      <c r="B8" s="63">
        <f>SUM(C8:N8)</f>
        <v>0</v>
      </c>
      <c r="C8" s="62"/>
      <c r="D8" s="62"/>
      <c r="E8" s="62"/>
      <c r="F8" s="62"/>
      <c r="G8" s="62"/>
      <c r="H8" s="62"/>
      <c r="I8" s="62"/>
      <c r="J8" s="62"/>
      <c r="K8" s="62"/>
      <c r="L8" s="62"/>
      <c r="M8" s="62"/>
      <c r="N8" s="62"/>
    </row>
    <row r="9" spans="1:14" hidden="1" x14ac:dyDescent="0.2">
      <c r="A9" s="61" t="s">
        <v>145</v>
      </c>
      <c r="B9" s="63">
        <f>SUM(C9:N9)</f>
        <v>0</v>
      </c>
      <c r="C9" s="62"/>
      <c r="D9" s="62"/>
      <c r="E9" s="62"/>
      <c r="F9" s="62"/>
      <c r="G9" s="62"/>
      <c r="H9" s="62"/>
      <c r="I9" s="62"/>
      <c r="J9" s="62"/>
      <c r="K9" s="62"/>
      <c r="L9" s="62"/>
      <c r="M9" s="62"/>
      <c r="N9" s="62"/>
    </row>
    <row r="10" spans="1:14" hidden="1" x14ac:dyDescent="0.2">
      <c r="A10" s="61" t="s">
        <v>145</v>
      </c>
      <c r="B10" s="63">
        <f t="shared" ref="B10:B44" si="0">SUM(C10:N10)</f>
        <v>0</v>
      </c>
      <c r="C10" s="62"/>
      <c r="D10" s="62"/>
      <c r="E10" s="62"/>
      <c r="F10" s="62"/>
      <c r="G10" s="62"/>
      <c r="H10" s="62"/>
      <c r="I10" s="62"/>
      <c r="J10" s="62"/>
      <c r="K10" s="62"/>
      <c r="L10" s="62"/>
      <c r="M10" s="62"/>
      <c r="N10" s="62"/>
    </row>
    <row r="11" spans="1:14" hidden="1" x14ac:dyDescent="0.2">
      <c r="A11" s="61" t="s">
        <v>145</v>
      </c>
      <c r="B11" s="63">
        <f t="shared" si="0"/>
        <v>0</v>
      </c>
      <c r="C11" s="62"/>
      <c r="D11" s="62"/>
      <c r="E11" s="62"/>
      <c r="F11" s="62"/>
      <c r="G11" s="62"/>
      <c r="H11" s="62"/>
      <c r="I11" s="62"/>
      <c r="J11" s="93"/>
      <c r="K11" s="93"/>
      <c r="L11" s="93"/>
      <c r="M11" s="93"/>
      <c r="N11" s="93"/>
    </row>
    <row r="12" spans="1:14" hidden="1" x14ac:dyDescent="0.2">
      <c r="A12" s="61" t="s">
        <v>145</v>
      </c>
      <c r="B12" s="63">
        <f t="shared" si="0"/>
        <v>0</v>
      </c>
      <c r="C12" s="62"/>
      <c r="D12" s="62"/>
      <c r="E12" s="62"/>
      <c r="F12" s="62"/>
      <c r="G12" s="62"/>
      <c r="H12" s="62"/>
      <c r="I12" s="62"/>
      <c r="J12" s="93"/>
      <c r="K12" s="93"/>
      <c r="L12" s="93"/>
      <c r="M12" s="93"/>
      <c r="N12" s="93"/>
    </row>
    <row r="13" spans="1:14" hidden="1" x14ac:dyDescent="0.2">
      <c r="A13" s="61" t="s">
        <v>145</v>
      </c>
      <c r="B13" s="63">
        <f t="shared" si="0"/>
        <v>0</v>
      </c>
      <c r="C13" s="62"/>
      <c r="D13" s="62"/>
      <c r="E13" s="62"/>
      <c r="F13" s="62"/>
      <c r="G13" s="62"/>
      <c r="H13" s="62"/>
      <c r="I13" s="62"/>
      <c r="J13" s="62"/>
      <c r="K13" s="62"/>
      <c r="L13" s="62"/>
      <c r="M13" s="62"/>
      <c r="N13" s="62"/>
    </row>
    <row r="14" spans="1:14" hidden="1" x14ac:dyDescent="0.2">
      <c r="A14" s="61" t="s">
        <v>145</v>
      </c>
      <c r="B14" s="63">
        <f t="shared" si="0"/>
        <v>0</v>
      </c>
      <c r="C14" s="62"/>
      <c r="D14" s="62"/>
      <c r="E14" s="62"/>
      <c r="F14" s="62"/>
      <c r="G14" s="62"/>
      <c r="H14" s="62"/>
      <c r="I14" s="62"/>
      <c r="J14" s="62"/>
      <c r="K14" s="62"/>
      <c r="L14" s="62"/>
      <c r="M14" s="62"/>
      <c r="N14" s="62"/>
    </row>
    <row r="15" spans="1:14" hidden="1" x14ac:dyDescent="0.2">
      <c r="A15" s="61" t="s">
        <v>145</v>
      </c>
      <c r="B15" s="63">
        <f t="shared" si="0"/>
        <v>0</v>
      </c>
      <c r="C15" s="62"/>
      <c r="D15" s="62"/>
      <c r="E15" s="62"/>
      <c r="F15" s="62"/>
      <c r="G15" s="62"/>
      <c r="H15" s="62"/>
      <c r="I15" s="62"/>
      <c r="J15" s="62"/>
      <c r="K15" s="62"/>
      <c r="L15" s="62"/>
      <c r="M15" s="62"/>
      <c r="N15" s="62"/>
    </row>
    <row r="16" spans="1:14" hidden="1" x14ac:dyDescent="0.2">
      <c r="A16" s="61" t="s">
        <v>145</v>
      </c>
      <c r="B16" s="63">
        <f t="shared" si="0"/>
        <v>0</v>
      </c>
      <c r="C16" s="62"/>
      <c r="D16" s="62"/>
      <c r="E16" s="62"/>
      <c r="F16" s="62"/>
      <c r="G16" s="62"/>
      <c r="H16" s="62"/>
      <c r="I16" s="62"/>
      <c r="J16" s="62"/>
      <c r="K16" s="62"/>
      <c r="L16" s="62"/>
      <c r="M16" s="62"/>
      <c r="N16" s="62"/>
    </row>
    <row r="17" spans="1:14" hidden="1" x14ac:dyDescent="0.2">
      <c r="A17" s="61" t="s">
        <v>145</v>
      </c>
      <c r="B17" s="63">
        <f t="shared" si="0"/>
        <v>0</v>
      </c>
      <c r="C17" s="62"/>
      <c r="D17" s="62"/>
      <c r="E17" s="62"/>
      <c r="F17" s="62"/>
      <c r="G17" s="62"/>
      <c r="H17" s="62"/>
      <c r="I17" s="62"/>
      <c r="J17" s="62"/>
      <c r="K17" s="62"/>
      <c r="L17" s="62"/>
      <c r="M17" s="62"/>
      <c r="N17" s="62"/>
    </row>
    <row r="18" spans="1:14" hidden="1" x14ac:dyDescent="0.2">
      <c r="A18" s="61" t="s">
        <v>145</v>
      </c>
      <c r="B18" s="63">
        <f t="shared" si="0"/>
        <v>0</v>
      </c>
      <c r="C18" s="62"/>
      <c r="D18" s="62"/>
      <c r="E18" s="62"/>
      <c r="F18" s="62"/>
      <c r="G18" s="62"/>
      <c r="H18" s="62"/>
      <c r="I18" s="62"/>
      <c r="J18" s="62"/>
      <c r="K18" s="62"/>
      <c r="L18" s="62"/>
      <c r="M18" s="62"/>
      <c r="N18" s="62"/>
    </row>
    <row r="19" spans="1:14" hidden="1" x14ac:dyDescent="0.2">
      <c r="A19" s="61" t="s">
        <v>145</v>
      </c>
      <c r="B19" s="63">
        <f t="shared" si="0"/>
        <v>0</v>
      </c>
      <c r="C19" s="62"/>
      <c r="D19" s="62"/>
      <c r="E19" s="62"/>
      <c r="F19" s="62"/>
      <c r="G19" s="62"/>
      <c r="H19" s="62"/>
      <c r="I19" s="62"/>
      <c r="J19" s="62"/>
      <c r="K19" s="62"/>
      <c r="L19" s="62"/>
      <c r="M19" s="62"/>
      <c r="N19" s="62"/>
    </row>
    <row r="20" spans="1:14" hidden="1" x14ac:dyDescent="0.2">
      <c r="A20" s="61" t="s">
        <v>145</v>
      </c>
      <c r="B20" s="63">
        <f t="shared" si="0"/>
        <v>0</v>
      </c>
      <c r="C20" s="62"/>
      <c r="D20" s="62"/>
      <c r="E20" s="62"/>
      <c r="F20" s="62"/>
      <c r="G20" s="62"/>
      <c r="H20" s="62"/>
      <c r="I20" s="62"/>
      <c r="J20" s="62"/>
      <c r="K20" s="62"/>
      <c r="L20" s="62"/>
      <c r="M20" s="62"/>
      <c r="N20" s="62"/>
    </row>
    <row r="21" spans="1:14" hidden="1" x14ac:dyDescent="0.2">
      <c r="A21" s="61" t="s">
        <v>145</v>
      </c>
      <c r="B21" s="63">
        <f t="shared" si="0"/>
        <v>0</v>
      </c>
      <c r="C21" s="62"/>
      <c r="D21" s="62"/>
      <c r="E21" s="62"/>
      <c r="F21" s="62"/>
      <c r="G21" s="62"/>
      <c r="H21" s="62"/>
      <c r="I21" s="62"/>
      <c r="J21" s="62"/>
      <c r="K21" s="62"/>
      <c r="L21" s="62"/>
      <c r="M21" s="62"/>
      <c r="N21" s="62"/>
    </row>
    <row r="22" spans="1:14" x14ac:dyDescent="0.2">
      <c r="A22" s="61" t="s">
        <v>145</v>
      </c>
      <c r="B22" s="63">
        <f t="shared" si="0"/>
        <v>0</v>
      </c>
      <c r="C22" s="62"/>
      <c r="D22" s="62"/>
      <c r="E22" s="62"/>
      <c r="F22" s="62"/>
      <c r="G22" s="62"/>
      <c r="H22" s="62"/>
      <c r="I22" s="62"/>
      <c r="J22" s="62"/>
      <c r="K22" s="62"/>
      <c r="L22" s="62"/>
      <c r="M22" s="62"/>
      <c r="N22" s="62"/>
    </row>
    <row r="23" spans="1:14" x14ac:dyDescent="0.2">
      <c r="A23" s="61" t="s">
        <v>323</v>
      </c>
      <c r="B23" s="63">
        <f t="shared" si="0"/>
        <v>0</v>
      </c>
      <c r="C23" s="62"/>
      <c r="D23" s="62"/>
      <c r="E23" s="62"/>
      <c r="F23" s="62"/>
      <c r="G23" s="62"/>
      <c r="H23" s="62"/>
      <c r="I23" s="62"/>
      <c r="J23" s="62"/>
      <c r="K23" s="62"/>
      <c r="L23" s="62"/>
      <c r="M23" s="62"/>
      <c r="N23" s="62"/>
    </row>
    <row r="24" spans="1:14" x14ac:dyDescent="0.2">
      <c r="A24" s="61" t="s">
        <v>324</v>
      </c>
      <c r="B24" s="248">
        <f t="shared" si="0"/>
        <v>40000</v>
      </c>
      <c r="C24" s="62"/>
      <c r="D24" s="62"/>
      <c r="E24" s="62"/>
      <c r="F24" s="62"/>
      <c r="G24" s="62"/>
      <c r="H24" s="62"/>
      <c r="I24" s="62"/>
      <c r="J24" s="62"/>
      <c r="K24" s="62"/>
      <c r="L24" s="62"/>
      <c r="M24" s="62"/>
      <c r="N24" s="62">
        <v>40000</v>
      </c>
    </row>
    <row r="25" spans="1:14" x14ac:dyDescent="0.2">
      <c r="A25" s="61" t="s">
        <v>554</v>
      </c>
      <c r="B25" s="248">
        <f t="shared" si="0"/>
        <v>2000</v>
      </c>
      <c r="C25" s="62"/>
      <c r="D25" s="62"/>
      <c r="E25" s="62"/>
      <c r="F25" s="62"/>
      <c r="G25" s="62"/>
      <c r="H25" s="62"/>
      <c r="I25" s="62"/>
      <c r="J25" s="62"/>
      <c r="K25" s="62"/>
      <c r="L25" s="62"/>
      <c r="M25" s="62"/>
      <c r="N25" s="62">
        <v>2000</v>
      </c>
    </row>
    <row r="26" spans="1:14" x14ac:dyDescent="0.2">
      <c r="A26" s="61" t="s">
        <v>325</v>
      </c>
      <c r="B26" s="248">
        <f t="shared" si="0"/>
        <v>4000</v>
      </c>
      <c r="C26" s="62"/>
      <c r="D26" s="62"/>
      <c r="E26" s="62"/>
      <c r="F26" s="62"/>
      <c r="G26" s="62"/>
      <c r="H26" s="62"/>
      <c r="I26" s="62"/>
      <c r="J26" s="62"/>
      <c r="K26" s="62"/>
      <c r="L26" s="62"/>
      <c r="M26" s="62"/>
      <c r="N26" s="62">
        <v>4000</v>
      </c>
    </row>
    <row r="27" spans="1:14" x14ac:dyDescent="0.2">
      <c r="A27" s="61" t="s">
        <v>558</v>
      </c>
      <c r="B27" s="63">
        <f t="shared" si="0"/>
        <v>0</v>
      </c>
      <c r="C27" s="62"/>
      <c r="D27" s="62"/>
      <c r="E27" s="62"/>
      <c r="F27" s="62"/>
      <c r="G27" s="62"/>
      <c r="H27" s="62"/>
      <c r="I27" s="62"/>
      <c r="J27" s="62"/>
      <c r="K27" s="62"/>
      <c r="L27" s="62"/>
      <c r="M27" s="62"/>
      <c r="N27" s="62"/>
    </row>
    <row r="28" spans="1:14" hidden="1" x14ac:dyDescent="0.2">
      <c r="A28" s="61" t="s">
        <v>146</v>
      </c>
      <c r="B28" s="63">
        <f t="shared" si="0"/>
        <v>0</v>
      </c>
      <c r="C28" s="62"/>
      <c r="D28" s="62"/>
      <c r="E28" s="62"/>
      <c r="F28" s="62"/>
      <c r="G28" s="62"/>
      <c r="H28" s="62"/>
      <c r="I28" s="62"/>
      <c r="J28" s="62"/>
      <c r="K28" s="62"/>
      <c r="L28" s="62"/>
      <c r="M28" s="62"/>
      <c r="N28" s="62"/>
    </row>
    <row r="29" spans="1:14" hidden="1" x14ac:dyDescent="0.2">
      <c r="A29" s="61" t="s">
        <v>146</v>
      </c>
      <c r="B29" s="63">
        <f t="shared" si="0"/>
        <v>0</v>
      </c>
      <c r="C29" s="62"/>
      <c r="D29" s="62"/>
      <c r="E29" s="62"/>
      <c r="F29" s="62"/>
      <c r="G29" s="62"/>
      <c r="H29" s="62"/>
      <c r="I29" s="62"/>
      <c r="J29" s="62"/>
      <c r="K29" s="62"/>
      <c r="L29" s="62"/>
      <c r="M29" s="62"/>
      <c r="N29" s="62"/>
    </row>
    <row r="30" spans="1:14" hidden="1" x14ac:dyDescent="0.2">
      <c r="A30" s="61" t="s">
        <v>146</v>
      </c>
      <c r="B30" s="63">
        <f t="shared" si="0"/>
        <v>0</v>
      </c>
      <c r="C30" s="62"/>
      <c r="D30" s="62"/>
      <c r="E30" s="62"/>
      <c r="F30" s="62"/>
      <c r="G30" s="62"/>
      <c r="H30" s="62"/>
      <c r="I30" s="62"/>
      <c r="J30" s="62"/>
      <c r="K30" s="62"/>
      <c r="L30" s="62"/>
      <c r="M30" s="62"/>
      <c r="N30" s="62"/>
    </row>
    <row r="31" spans="1:14" hidden="1" x14ac:dyDescent="0.2">
      <c r="A31" s="61" t="s">
        <v>146</v>
      </c>
      <c r="B31" s="63">
        <f t="shared" si="0"/>
        <v>0</v>
      </c>
      <c r="C31" s="62"/>
      <c r="D31" s="62"/>
      <c r="E31" s="62"/>
      <c r="F31" s="62"/>
      <c r="G31" s="62"/>
      <c r="H31" s="62"/>
      <c r="I31" s="62"/>
      <c r="J31" s="62"/>
      <c r="K31" s="62"/>
      <c r="L31" s="62"/>
      <c r="M31" s="62"/>
      <c r="N31" s="62"/>
    </row>
    <row r="32" spans="1:14" hidden="1" x14ac:dyDescent="0.2">
      <c r="A32" s="61" t="s">
        <v>146</v>
      </c>
      <c r="B32" s="63">
        <f t="shared" si="0"/>
        <v>0</v>
      </c>
      <c r="C32" s="62"/>
      <c r="D32" s="62"/>
      <c r="E32" s="62"/>
      <c r="F32" s="62"/>
      <c r="G32" s="62"/>
      <c r="H32" s="62"/>
      <c r="I32" s="62"/>
      <c r="J32" s="62"/>
      <c r="K32" s="62"/>
      <c r="L32" s="62"/>
      <c r="M32" s="62"/>
      <c r="N32" s="62"/>
    </row>
    <row r="33" spans="1:14" hidden="1" x14ac:dyDescent="0.2">
      <c r="A33" s="61" t="s">
        <v>146</v>
      </c>
      <c r="B33" s="63">
        <f t="shared" si="0"/>
        <v>0</v>
      </c>
      <c r="C33" s="62"/>
      <c r="D33" s="62"/>
      <c r="E33" s="62"/>
      <c r="F33" s="62"/>
      <c r="G33" s="62"/>
      <c r="H33" s="62"/>
      <c r="I33" s="62"/>
      <c r="J33" s="62"/>
      <c r="K33" s="62"/>
      <c r="L33" s="62"/>
      <c r="M33" s="62"/>
      <c r="N33" s="62"/>
    </row>
    <row r="34" spans="1:14" hidden="1" x14ac:dyDescent="0.2">
      <c r="A34" s="61" t="s">
        <v>146</v>
      </c>
      <c r="B34" s="63">
        <f t="shared" si="0"/>
        <v>0</v>
      </c>
      <c r="C34" s="62"/>
      <c r="D34" s="62"/>
      <c r="E34" s="62"/>
      <c r="F34" s="62"/>
      <c r="G34" s="62"/>
      <c r="H34" s="62"/>
      <c r="I34" s="62"/>
      <c r="J34" s="62"/>
      <c r="K34" s="62"/>
      <c r="L34" s="62"/>
      <c r="M34" s="62"/>
      <c r="N34" s="62"/>
    </row>
    <row r="35" spans="1:14" hidden="1" x14ac:dyDescent="0.2">
      <c r="A35" s="61" t="s">
        <v>146</v>
      </c>
      <c r="B35" s="63">
        <f t="shared" si="0"/>
        <v>0</v>
      </c>
      <c r="C35" s="62"/>
      <c r="D35" s="62"/>
      <c r="E35" s="62"/>
      <c r="F35" s="62"/>
      <c r="G35" s="62"/>
      <c r="H35" s="62"/>
      <c r="I35" s="62"/>
      <c r="J35" s="62"/>
      <c r="K35" s="62"/>
      <c r="L35" s="62"/>
      <c r="M35" s="62"/>
      <c r="N35" s="62"/>
    </row>
    <row r="36" spans="1:14" hidden="1" x14ac:dyDescent="0.2">
      <c r="A36" s="61" t="s">
        <v>146</v>
      </c>
      <c r="B36" s="63">
        <f t="shared" si="0"/>
        <v>0</v>
      </c>
      <c r="C36" s="62"/>
      <c r="D36" s="62"/>
      <c r="E36" s="62"/>
      <c r="F36" s="62"/>
      <c r="G36" s="62"/>
      <c r="H36" s="62"/>
      <c r="I36" s="62"/>
      <c r="J36" s="62"/>
      <c r="K36" s="62"/>
      <c r="L36" s="62"/>
      <c r="M36" s="62"/>
      <c r="N36" s="62"/>
    </row>
    <row r="37" spans="1:14" hidden="1" x14ac:dyDescent="0.2">
      <c r="A37" s="61" t="s">
        <v>146</v>
      </c>
      <c r="B37" s="63">
        <f t="shared" si="0"/>
        <v>0</v>
      </c>
      <c r="C37" s="62"/>
      <c r="D37" s="62"/>
      <c r="E37" s="62"/>
      <c r="F37" s="62"/>
      <c r="G37" s="62"/>
      <c r="H37" s="62"/>
      <c r="I37" s="62"/>
      <c r="J37" s="62"/>
      <c r="K37" s="62"/>
      <c r="L37" s="62"/>
      <c r="M37" s="62"/>
      <c r="N37" s="62"/>
    </row>
    <row r="38" spans="1:14" hidden="1" x14ac:dyDescent="0.2">
      <c r="A38" s="61" t="s">
        <v>146</v>
      </c>
      <c r="B38" s="63">
        <f t="shared" si="0"/>
        <v>0</v>
      </c>
      <c r="C38" s="62"/>
      <c r="D38" s="62"/>
      <c r="E38" s="62"/>
      <c r="F38" s="62"/>
      <c r="G38" s="62"/>
      <c r="H38" s="62"/>
      <c r="I38" s="62"/>
      <c r="J38" s="62"/>
      <c r="K38" s="62"/>
      <c r="L38" s="62"/>
      <c r="M38" s="62"/>
      <c r="N38" s="62"/>
    </row>
    <row r="39" spans="1:14" x14ac:dyDescent="0.2">
      <c r="A39" s="61" t="s">
        <v>16</v>
      </c>
      <c r="B39" s="63">
        <f t="shared" si="0"/>
        <v>0</v>
      </c>
      <c r="C39" s="62"/>
      <c r="D39" s="62"/>
      <c r="E39" s="62"/>
      <c r="F39" s="62"/>
      <c r="G39" s="62"/>
      <c r="H39" s="62"/>
      <c r="I39" s="62"/>
      <c r="J39" s="62"/>
      <c r="K39" s="62"/>
      <c r="L39" s="62"/>
      <c r="M39" s="62"/>
      <c r="N39" s="62"/>
    </row>
    <row r="40" spans="1:14" x14ac:dyDescent="0.2">
      <c r="A40" s="61" t="s">
        <v>17</v>
      </c>
      <c r="B40" s="63">
        <f t="shared" si="0"/>
        <v>89500</v>
      </c>
      <c r="C40" s="62">
        <v>550</v>
      </c>
      <c r="D40" s="62">
        <v>550</v>
      </c>
      <c r="E40" s="62">
        <v>550</v>
      </c>
      <c r="F40" s="62">
        <v>550</v>
      </c>
      <c r="G40" s="62">
        <v>550</v>
      </c>
      <c r="H40" s="62">
        <v>550</v>
      </c>
      <c r="I40" s="62">
        <v>550</v>
      </c>
      <c r="J40" s="62">
        <v>550</v>
      </c>
      <c r="K40" s="62">
        <v>550</v>
      </c>
      <c r="L40" s="62">
        <v>6000</v>
      </c>
      <c r="M40" s="93">
        <v>78000</v>
      </c>
      <c r="N40" s="62">
        <v>550</v>
      </c>
    </row>
    <row r="41" spans="1:14" x14ac:dyDescent="0.2">
      <c r="A41" s="61" t="s">
        <v>581</v>
      </c>
      <c r="B41" s="63">
        <f t="shared" si="0"/>
        <v>99999.999999999985</v>
      </c>
      <c r="C41" s="62">
        <f>SUM(100000/12)</f>
        <v>8333.3333333333339</v>
      </c>
      <c r="D41" s="62">
        <f t="shared" ref="D41:N41" si="1">SUM(100000/12)</f>
        <v>8333.3333333333339</v>
      </c>
      <c r="E41" s="62">
        <f t="shared" si="1"/>
        <v>8333.3333333333339</v>
      </c>
      <c r="F41" s="62">
        <f t="shared" si="1"/>
        <v>8333.3333333333339</v>
      </c>
      <c r="G41" s="62">
        <f t="shared" si="1"/>
        <v>8333.3333333333339</v>
      </c>
      <c r="H41" s="62">
        <f t="shared" si="1"/>
        <v>8333.3333333333339</v>
      </c>
      <c r="I41" s="62">
        <f t="shared" si="1"/>
        <v>8333.3333333333339</v>
      </c>
      <c r="J41" s="62">
        <f t="shared" si="1"/>
        <v>8333.3333333333339</v>
      </c>
      <c r="K41" s="62">
        <f t="shared" si="1"/>
        <v>8333.3333333333339</v>
      </c>
      <c r="L41" s="62">
        <f t="shared" si="1"/>
        <v>8333.3333333333339</v>
      </c>
      <c r="M41" s="62">
        <f t="shared" si="1"/>
        <v>8333.3333333333339</v>
      </c>
      <c r="N41" s="62">
        <f t="shared" si="1"/>
        <v>8333.3333333333339</v>
      </c>
    </row>
    <row r="42" spans="1:14" x14ac:dyDescent="0.2">
      <c r="A42" s="61" t="s">
        <v>148</v>
      </c>
      <c r="B42" s="248">
        <f t="shared" si="0"/>
        <v>198993</v>
      </c>
      <c r="C42" s="62">
        <f>26000+8333</f>
        <v>34333</v>
      </c>
      <c r="D42" s="62">
        <f>4333+8333</f>
        <v>12666</v>
      </c>
      <c r="E42" s="62">
        <f t="shared" ref="E42:L42" si="2">4333+8333</f>
        <v>12666</v>
      </c>
      <c r="F42" s="62">
        <f t="shared" si="2"/>
        <v>12666</v>
      </c>
      <c r="G42" s="62">
        <f t="shared" si="2"/>
        <v>12666</v>
      </c>
      <c r="H42" s="62">
        <f t="shared" si="2"/>
        <v>12666</v>
      </c>
      <c r="I42" s="62">
        <f t="shared" si="2"/>
        <v>12666</v>
      </c>
      <c r="J42" s="62">
        <f t="shared" si="2"/>
        <v>12666</v>
      </c>
      <c r="K42" s="62">
        <f t="shared" si="2"/>
        <v>12666</v>
      </c>
      <c r="L42" s="62">
        <f t="shared" si="2"/>
        <v>12666</v>
      </c>
      <c r="M42" s="62">
        <f>15000+8333</f>
        <v>23333</v>
      </c>
      <c r="N42" s="62">
        <f>19000+8333</f>
        <v>27333</v>
      </c>
    </row>
    <row r="43" spans="1:14" x14ac:dyDescent="0.2">
      <c r="A43" s="61" t="s">
        <v>149</v>
      </c>
      <c r="B43" s="63">
        <f t="shared" si="0"/>
        <v>0</v>
      </c>
      <c r="C43" s="62"/>
      <c r="D43" s="62"/>
      <c r="E43" s="62"/>
      <c r="F43" s="62"/>
      <c r="G43" s="62"/>
      <c r="H43" s="62"/>
      <c r="I43" s="62"/>
      <c r="J43" s="62"/>
      <c r="K43" s="62"/>
      <c r="L43" s="62"/>
      <c r="M43" s="62"/>
      <c r="N43" s="62"/>
    </row>
    <row r="44" spans="1:14" x14ac:dyDescent="0.2">
      <c r="A44" s="61" t="s">
        <v>150</v>
      </c>
      <c r="B44" s="63">
        <f t="shared" si="0"/>
        <v>0</v>
      </c>
      <c r="C44" s="62"/>
      <c r="D44" s="62"/>
      <c r="E44" s="62"/>
      <c r="F44" s="62"/>
      <c r="G44" s="62"/>
      <c r="H44" s="62"/>
      <c r="I44" s="62"/>
      <c r="J44" s="62"/>
      <c r="K44" s="62"/>
      <c r="L44" s="62"/>
      <c r="M44" s="62"/>
      <c r="N44" s="62"/>
    </row>
    <row r="45" spans="1:14" ht="13.5" thickBot="1" x14ac:dyDescent="0.25">
      <c r="A45" s="61" t="s">
        <v>326</v>
      </c>
      <c r="B45" s="63">
        <f>SUM(C45:N45)</f>
        <v>0</v>
      </c>
      <c r="C45" s="62"/>
      <c r="D45" s="62"/>
      <c r="E45" s="62"/>
      <c r="F45" s="62"/>
      <c r="G45" s="62"/>
      <c r="H45" s="62"/>
      <c r="I45" s="62"/>
      <c r="J45" s="62"/>
      <c r="K45" s="62"/>
      <c r="L45" s="62"/>
      <c r="M45" s="62"/>
      <c r="N45" s="62"/>
    </row>
    <row r="46" spans="1:14" x14ac:dyDescent="0.2">
      <c r="A46" s="64" t="s">
        <v>151</v>
      </c>
      <c r="B46" s="65">
        <f t="shared" ref="B46:N46" si="3">SUM(B8:B45)</f>
        <v>434493</v>
      </c>
      <c r="C46" s="65">
        <f t="shared" si="3"/>
        <v>43216.333333333336</v>
      </c>
      <c r="D46" s="65">
        <f t="shared" si="3"/>
        <v>21549.333333333336</v>
      </c>
      <c r="E46" s="65">
        <f t="shared" si="3"/>
        <v>21549.333333333336</v>
      </c>
      <c r="F46" s="65">
        <f t="shared" si="3"/>
        <v>21549.333333333336</v>
      </c>
      <c r="G46" s="65">
        <f t="shared" si="3"/>
        <v>21549.333333333336</v>
      </c>
      <c r="H46" s="65">
        <f t="shared" si="3"/>
        <v>21549.333333333336</v>
      </c>
      <c r="I46" s="65">
        <f t="shared" si="3"/>
        <v>21549.333333333336</v>
      </c>
      <c r="J46" s="65">
        <f t="shared" si="3"/>
        <v>21549.333333333336</v>
      </c>
      <c r="K46" s="65">
        <f t="shared" si="3"/>
        <v>21549.333333333336</v>
      </c>
      <c r="L46" s="65">
        <f t="shared" si="3"/>
        <v>26999.333333333336</v>
      </c>
      <c r="M46" s="65">
        <f t="shared" si="3"/>
        <v>109666.33333333333</v>
      </c>
      <c r="N46" s="65">
        <f t="shared" si="3"/>
        <v>82216.333333333343</v>
      </c>
    </row>
    <row r="47" spans="1:14" x14ac:dyDescent="0.2">
      <c r="A47" s="59"/>
      <c r="B47" s="60"/>
      <c r="C47" s="60"/>
      <c r="D47" s="66"/>
      <c r="E47" s="66"/>
      <c r="F47" s="66"/>
      <c r="G47" s="66"/>
      <c r="H47" s="66"/>
      <c r="I47" s="66"/>
      <c r="J47" s="66"/>
      <c r="K47" s="66"/>
      <c r="L47" s="66"/>
      <c r="M47" s="66"/>
      <c r="N47" s="66"/>
    </row>
    <row r="48" spans="1:14" x14ac:dyDescent="0.2">
      <c r="A48" s="58"/>
      <c r="B48" s="60"/>
      <c r="C48" s="60"/>
      <c r="D48" s="100"/>
      <c r="E48" s="100"/>
      <c r="F48" s="100"/>
      <c r="G48" s="100"/>
      <c r="H48" s="100"/>
      <c r="I48" s="100"/>
      <c r="J48" s="100"/>
      <c r="K48" s="100"/>
      <c r="L48" s="100"/>
      <c r="M48" s="100"/>
      <c r="N48" s="100"/>
    </row>
    <row r="49" spans="1:15" x14ac:dyDescent="0.2">
      <c r="A49" s="58" t="s">
        <v>152</v>
      </c>
      <c r="B49" s="85"/>
      <c r="C49" s="85"/>
      <c r="D49" s="85"/>
      <c r="E49" s="85"/>
      <c r="F49" s="85"/>
      <c r="G49" s="85"/>
      <c r="H49" s="85"/>
      <c r="I49" s="85"/>
      <c r="J49" s="85"/>
      <c r="K49" s="85"/>
      <c r="L49" s="85"/>
      <c r="M49" s="85"/>
      <c r="N49" s="85"/>
      <c r="O49" s="84"/>
    </row>
    <row r="50" spans="1:15" x14ac:dyDescent="0.2">
      <c r="A50" s="61" t="s">
        <v>153</v>
      </c>
      <c r="B50" s="63">
        <f>SUM(C50:N50)</f>
        <v>170422.56000000003</v>
      </c>
      <c r="C50" s="62">
        <f>SUM(C213)</f>
        <v>14201.880000000001</v>
      </c>
      <c r="D50" s="62">
        <f t="shared" ref="D50:N52" si="4">SUM(D213)</f>
        <v>14201.880000000001</v>
      </c>
      <c r="E50" s="62">
        <f t="shared" si="4"/>
        <v>14201.880000000001</v>
      </c>
      <c r="F50" s="62">
        <f t="shared" si="4"/>
        <v>14201.880000000001</v>
      </c>
      <c r="G50" s="62">
        <f t="shared" si="4"/>
        <v>14201.880000000001</v>
      </c>
      <c r="H50" s="62">
        <f t="shared" si="4"/>
        <v>14201.880000000001</v>
      </c>
      <c r="I50" s="62">
        <f t="shared" si="4"/>
        <v>14201.880000000001</v>
      </c>
      <c r="J50" s="62">
        <f t="shared" si="4"/>
        <v>14201.880000000001</v>
      </c>
      <c r="K50" s="62">
        <f t="shared" si="4"/>
        <v>14201.880000000001</v>
      </c>
      <c r="L50" s="62">
        <f t="shared" si="4"/>
        <v>14201.880000000001</v>
      </c>
      <c r="M50" s="62">
        <f t="shared" si="4"/>
        <v>14201.880000000001</v>
      </c>
      <c r="N50" s="62">
        <f t="shared" si="4"/>
        <v>14201.880000000001</v>
      </c>
      <c r="O50" s="84"/>
    </row>
    <row r="51" spans="1:15" x14ac:dyDescent="0.2">
      <c r="A51" s="61" t="s">
        <v>22</v>
      </c>
      <c r="B51" s="63">
        <f>SUM(C51:N51)</f>
        <v>14547.513599999997</v>
      </c>
      <c r="C51" s="62">
        <f>SUM(C214)</f>
        <v>1212.2927999999999</v>
      </c>
      <c r="D51" s="62">
        <f t="shared" si="4"/>
        <v>1212.2927999999999</v>
      </c>
      <c r="E51" s="62">
        <f t="shared" si="4"/>
        <v>1212.2927999999999</v>
      </c>
      <c r="F51" s="62">
        <f t="shared" si="4"/>
        <v>1212.2927999999999</v>
      </c>
      <c r="G51" s="62">
        <f t="shared" si="4"/>
        <v>1212.2927999999999</v>
      </c>
      <c r="H51" s="62">
        <f t="shared" si="4"/>
        <v>1212.2927999999999</v>
      </c>
      <c r="I51" s="62">
        <f t="shared" si="4"/>
        <v>1212.2927999999999</v>
      </c>
      <c r="J51" s="62">
        <f t="shared" si="4"/>
        <v>1212.2927999999999</v>
      </c>
      <c r="K51" s="62">
        <f t="shared" si="4"/>
        <v>1212.2927999999999</v>
      </c>
      <c r="L51" s="62">
        <f t="shared" si="4"/>
        <v>1212.2927999999999</v>
      </c>
      <c r="M51" s="62">
        <f t="shared" si="4"/>
        <v>1212.2927999999999</v>
      </c>
      <c r="N51" s="62">
        <f t="shared" si="4"/>
        <v>1212.2927999999999</v>
      </c>
      <c r="O51" s="84"/>
    </row>
    <row r="52" spans="1:15" s="43" customFormat="1" ht="13.5" thickBot="1" x14ac:dyDescent="0.25">
      <c r="A52" s="90" t="s">
        <v>23</v>
      </c>
      <c r="B52" s="63">
        <f>SUM(C52:N52)</f>
        <v>15196.970399999998</v>
      </c>
      <c r="C52" s="62">
        <f>SUM(C215)</f>
        <v>1461.6642000000002</v>
      </c>
      <c r="D52" s="62">
        <f t="shared" si="4"/>
        <v>1248.6642000000002</v>
      </c>
      <c r="E52" s="62">
        <f t="shared" si="4"/>
        <v>1248.6642000000002</v>
      </c>
      <c r="F52" s="62">
        <f t="shared" si="4"/>
        <v>1248.6642000000002</v>
      </c>
      <c r="G52" s="62">
        <f t="shared" si="4"/>
        <v>1248.6642000000002</v>
      </c>
      <c r="H52" s="62">
        <f t="shared" si="4"/>
        <v>1248.6642000000002</v>
      </c>
      <c r="I52" s="62">
        <f t="shared" si="4"/>
        <v>1248.6642000000002</v>
      </c>
      <c r="J52" s="62">
        <f t="shared" si="4"/>
        <v>1248.6642000000002</v>
      </c>
      <c r="K52" s="62">
        <f t="shared" si="4"/>
        <v>1248.6642000000002</v>
      </c>
      <c r="L52" s="62">
        <f t="shared" si="4"/>
        <v>1248.6642000000002</v>
      </c>
      <c r="M52" s="62">
        <f t="shared" si="4"/>
        <v>1248.6642000000002</v>
      </c>
      <c r="N52" s="62">
        <f t="shared" si="4"/>
        <v>1248.6642000000002</v>
      </c>
      <c r="O52" s="101"/>
    </row>
    <row r="53" spans="1:15" x14ac:dyDescent="0.2">
      <c r="A53" s="64" t="s">
        <v>154</v>
      </c>
      <c r="B53" s="65">
        <f>SUM(B50:B52)</f>
        <v>200167.04400000002</v>
      </c>
      <c r="C53" s="65">
        <f t="shared" ref="C53:N53" si="5">SUM(C50:C52)</f>
        <v>16875.837</v>
      </c>
      <c r="D53" s="65">
        <f t="shared" si="5"/>
        <v>16662.837</v>
      </c>
      <c r="E53" s="65">
        <f t="shared" si="5"/>
        <v>16662.837</v>
      </c>
      <c r="F53" s="65">
        <f t="shared" si="5"/>
        <v>16662.837</v>
      </c>
      <c r="G53" s="65">
        <f t="shared" si="5"/>
        <v>16662.837</v>
      </c>
      <c r="H53" s="65">
        <f t="shared" si="5"/>
        <v>16662.837</v>
      </c>
      <c r="I53" s="65">
        <f t="shared" si="5"/>
        <v>16662.837</v>
      </c>
      <c r="J53" s="65">
        <f t="shared" si="5"/>
        <v>16662.837</v>
      </c>
      <c r="K53" s="65">
        <f t="shared" si="5"/>
        <v>16662.837</v>
      </c>
      <c r="L53" s="65">
        <f t="shared" si="5"/>
        <v>16662.837</v>
      </c>
      <c r="M53" s="65">
        <f t="shared" si="5"/>
        <v>16662.837</v>
      </c>
      <c r="N53" s="65">
        <f t="shared" si="5"/>
        <v>16662.837</v>
      </c>
      <c r="O53" s="140">
        <f>SUM(C216:N216)</f>
        <v>200167.04399999999</v>
      </c>
    </row>
    <row r="54" spans="1:15" x14ac:dyDescent="0.2">
      <c r="A54" s="59"/>
      <c r="B54" s="60"/>
      <c r="C54" s="60"/>
      <c r="D54" s="66"/>
      <c r="E54" s="66"/>
      <c r="F54" s="66"/>
      <c r="G54" s="66"/>
      <c r="H54" s="66"/>
      <c r="I54" s="66"/>
      <c r="J54" s="66"/>
      <c r="K54" s="66"/>
      <c r="L54" s="66"/>
      <c r="M54" s="66"/>
      <c r="N54" s="66"/>
      <c r="O54" s="84"/>
    </row>
    <row r="55" spans="1:15" x14ac:dyDescent="0.2">
      <c r="A55" s="59"/>
      <c r="B55" s="60"/>
      <c r="C55" s="60"/>
      <c r="D55" s="66"/>
      <c r="E55" s="66"/>
      <c r="F55" s="66"/>
      <c r="G55" s="66"/>
      <c r="H55" s="66"/>
      <c r="I55" s="66"/>
      <c r="J55" s="66"/>
      <c r="K55" s="66"/>
      <c r="L55" s="66"/>
      <c r="M55" s="66"/>
      <c r="N55" s="66"/>
      <c r="O55" s="84"/>
    </row>
    <row r="56" spans="1:15" x14ac:dyDescent="0.2">
      <c r="A56" s="58" t="s">
        <v>155</v>
      </c>
      <c r="B56" s="60"/>
      <c r="C56" s="60"/>
      <c r="D56" s="66"/>
      <c r="E56" s="66"/>
      <c r="F56" s="66"/>
      <c r="G56" s="66"/>
      <c r="H56" s="66"/>
      <c r="I56" s="66"/>
      <c r="J56" s="66"/>
      <c r="K56" s="66"/>
      <c r="L56" s="66"/>
      <c r="M56" s="66"/>
      <c r="N56" s="66"/>
      <c r="O56" s="84"/>
    </row>
    <row r="57" spans="1:15" x14ac:dyDescent="0.2">
      <c r="A57" s="61" t="str">
        <f>CMS!A57</f>
        <v>Training</v>
      </c>
      <c r="B57" s="63">
        <f>SUM(C57:N57)</f>
        <v>1560</v>
      </c>
      <c r="C57" s="62">
        <v>130</v>
      </c>
      <c r="D57" s="62">
        <v>130</v>
      </c>
      <c r="E57" s="62">
        <v>130</v>
      </c>
      <c r="F57" s="62">
        <v>130</v>
      </c>
      <c r="G57" s="62">
        <v>130</v>
      </c>
      <c r="H57" s="62">
        <v>130</v>
      </c>
      <c r="I57" s="62">
        <v>130</v>
      </c>
      <c r="J57" s="62">
        <v>130</v>
      </c>
      <c r="K57" s="62">
        <v>130</v>
      </c>
      <c r="L57" s="62">
        <v>130</v>
      </c>
      <c r="M57" s="62">
        <v>130</v>
      </c>
      <c r="N57" s="62">
        <v>130</v>
      </c>
      <c r="O57" s="84"/>
    </row>
    <row r="58" spans="1:15" x14ac:dyDescent="0.2">
      <c r="A58" s="61" t="str">
        <f>CMS!A58</f>
        <v>Travel</v>
      </c>
      <c r="B58" s="248">
        <f>SUM(C58:N58)</f>
        <v>504</v>
      </c>
      <c r="C58" s="62">
        <v>42</v>
      </c>
      <c r="D58" s="62">
        <v>42</v>
      </c>
      <c r="E58" s="62">
        <v>42</v>
      </c>
      <c r="F58" s="62">
        <v>42</v>
      </c>
      <c r="G58" s="62">
        <v>42</v>
      </c>
      <c r="H58" s="62">
        <v>42</v>
      </c>
      <c r="I58" s="62">
        <v>42</v>
      </c>
      <c r="J58" s="62">
        <v>42</v>
      </c>
      <c r="K58" s="62">
        <v>42</v>
      </c>
      <c r="L58" s="62">
        <v>42</v>
      </c>
      <c r="M58" s="62">
        <v>42</v>
      </c>
      <c r="N58" s="62">
        <v>42</v>
      </c>
      <c r="O58" s="84"/>
    </row>
    <row r="59" spans="1:15" x14ac:dyDescent="0.2">
      <c r="A59" s="61" t="str">
        <f>CMS!A59</f>
        <v>Recognition</v>
      </c>
      <c r="B59" s="63">
        <f>SUM(C59:N59)</f>
        <v>0</v>
      </c>
      <c r="C59" s="62"/>
      <c r="D59" s="62"/>
      <c r="E59" s="62"/>
      <c r="F59" s="62"/>
      <c r="G59" s="62"/>
      <c r="H59" s="62"/>
      <c r="I59" s="62"/>
      <c r="J59" s="62"/>
      <c r="K59" s="62"/>
      <c r="L59" s="62"/>
      <c r="M59" s="62"/>
      <c r="N59" s="62"/>
      <c r="O59" s="84"/>
    </row>
    <row r="60" spans="1:15" x14ac:dyDescent="0.2">
      <c r="A60" s="61" t="str">
        <f>CMS!A60</f>
        <v>Communications</v>
      </c>
      <c r="B60" s="63">
        <f t="shared" ref="B60:B82" si="6">SUM(C60:N60)</f>
        <v>180</v>
      </c>
      <c r="C60" s="62">
        <v>15</v>
      </c>
      <c r="D60" s="62">
        <v>15</v>
      </c>
      <c r="E60" s="62">
        <v>15</v>
      </c>
      <c r="F60" s="62">
        <v>15</v>
      </c>
      <c r="G60" s="62">
        <v>15</v>
      </c>
      <c r="H60" s="62">
        <v>15</v>
      </c>
      <c r="I60" s="62">
        <v>15</v>
      </c>
      <c r="J60" s="62">
        <v>15</v>
      </c>
      <c r="K60" s="62">
        <v>15</v>
      </c>
      <c r="L60" s="62">
        <v>15</v>
      </c>
      <c r="M60" s="62">
        <v>15</v>
      </c>
      <c r="N60" s="62">
        <v>15</v>
      </c>
      <c r="O60" s="84"/>
    </row>
    <row r="61" spans="1:15" x14ac:dyDescent="0.2">
      <c r="A61" s="61" t="str">
        <f>CMS!A61</f>
        <v>Dues &amp; Subscriptions</v>
      </c>
      <c r="B61" s="63">
        <f t="shared" si="6"/>
        <v>263</v>
      </c>
      <c r="C61" s="62"/>
      <c r="D61" s="62"/>
      <c r="E61" s="62">
        <v>199</v>
      </c>
      <c r="F61" s="62"/>
      <c r="G61" s="62"/>
      <c r="H61" s="62"/>
      <c r="I61" s="62"/>
      <c r="J61" s="62"/>
      <c r="K61" s="62">
        <v>64</v>
      </c>
      <c r="L61" s="62"/>
      <c r="M61" s="62"/>
      <c r="N61" s="62"/>
      <c r="O61" s="84"/>
    </row>
    <row r="62" spans="1:15" x14ac:dyDescent="0.2">
      <c r="A62" s="61" t="str">
        <f>CMS!A62</f>
        <v>Liability Insurance</v>
      </c>
      <c r="B62" s="63">
        <f t="shared" si="6"/>
        <v>2250.1641137855581</v>
      </c>
      <c r="C62" s="62">
        <f>SUM('Data Links'!$B$5/'All Employees'!$I$65)/12*Fundraising!C102</f>
        <v>187.51367614879649</v>
      </c>
      <c r="D62" s="62">
        <f>SUM('Data Links'!$B$5/'All Employees'!$I$65)/12*Fundraising!D102</f>
        <v>187.51367614879649</v>
      </c>
      <c r="E62" s="62">
        <f>SUM('Data Links'!$B$5/'All Employees'!$I$65)/12*Fundraising!E102</f>
        <v>187.51367614879649</v>
      </c>
      <c r="F62" s="62">
        <f>SUM('Data Links'!$B$5/'All Employees'!$I$65)/12*Fundraising!F102</f>
        <v>187.51367614879649</v>
      </c>
      <c r="G62" s="62">
        <f>SUM('Data Links'!$B$5/'All Employees'!$I$65)/12*Fundraising!G102</f>
        <v>187.51367614879649</v>
      </c>
      <c r="H62" s="62">
        <f>SUM('Data Links'!$B$5/'All Employees'!$I$65)/12*Fundraising!H102</f>
        <v>187.51367614879649</v>
      </c>
      <c r="I62" s="62">
        <f>SUM('Data Links'!$B$5/'All Employees'!$I$65)/12*Fundraising!I102</f>
        <v>187.51367614879649</v>
      </c>
      <c r="J62" s="62">
        <f>SUM('Data Links'!$B$5/'All Employees'!$I$65)/12*Fundraising!J102</f>
        <v>187.51367614879649</v>
      </c>
      <c r="K62" s="62">
        <f>SUM('Data Links'!$B$5/'All Employees'!$I$65)/12*Fundraising!K102</f>
        <v>187.51367614879649</v>
      </c>
      <c r="L62" s="62">
        <f>SUM('Data Links'!$B$5/'All Employees'!$I$65)/12*Fundraising!L102</f>
        <v>187.51367614879649</v>
      </c>
      <c r="M62" s="62">
        <f>SUM('Data Links'!$B$5/'All Employees'!$I$65)/12*Fundraising!M102</f>
        <v>187.51367614879649</v>
      </c>
      <c r="N62" s="62">
        <f>SUM('Data Links'!$B$5/'All Employees'!$I$65)/12*Fundraising!N102</f>
        <v>187.51367614879649</v>
      </c>
      <c r="O62" s="84"/>
    </row>
    <row r="63" spans="1:15" x14ac:dyDescent="0.2">
      <c r="A63" s="61" t="str">
        <f>CMS!A63</f>
        <v>Professional Services</v>
      </c>
      <c r="B63" s="63">
        <f t="shared" si="6"/>
        <v>450</v>
      </c>
      <c r="C63" s="62"/>
      <c r="D63" s="62"/>
      <c r="E63" s="62"/>
      <c r="F63" s="62"/>
      <c r="G63" s="62"/>
      <c r="H63" s="62"/>
      <c r="I63" s="62"/>
      <c r="J63" s="62"/>
      <c r="K63" s="62"/>
      <c r="L63" s="62"/>
      <c r="M63" s="62">
        <v>450</v>
      </c>
      <c r="N63" s="62"/>
      <c r="O63" s="84"/>
    </row>
    <row r="64" spans="1:15" x14ac:dyDescent="0.2">
      <c r="A64" s="61" t="str">
        <f>CMS!A64</f>
        <v>Legal Fees</v>
      </c>
      <c r="B64" s="63">
        <f t="shared" si="6"/>
        <v>0</v>
      </c>
      <c r="C64" s="62"/>
      <c r="D64" s="62"/>
      <c r="E64" s="62"/>
      <c r="F64" s="62"/>
      <c r="G64" s="62"/>
      <c r="H64" s="62"/>
      <c r="I64" s="62"/>
      <c r="J64" s="62"/>
      <c r="K64" s="62"/>
      <c r="L64" s="62"/>
      <c r="M64" s="62"/>
      <c r="N64" s="62"/>
      <c r="O64" s="84"/>
    </row>
    <row r="65" spans="1:14" x14ac:dyDescent="0.2">
      <c r="A65" s="61" t="str">
        <f>CMS!A65</f>
        <v>Technical Services</v>
      </c>
      <c r="B65" s="63">
        <f t="shared" si="6"/>
        <v>20000</v>
      </c>
      <c r="C65" s="62">
        <v>2000</v>
      </c>
      <c r="D65" s="62">
        <v>1000</v>
      </c>
      <c r="E65" s="62">
        <v>1000</v>
      </c>
      <c r="F65" s="62">
        <v>1000</v>
      </c>
      <c r="G65" s="62">
        <v>1000</v>
      </c>
      <c r="H65" s="62">
        <f>7000+1000</f>
        <v>8000</v>
      </c>
      <c r="I65" s="62">
        <v>1000</v>
      </c>
      <c r="J65" s="62">
        <v>1000</v>
      </c>
      <c r="K65" s="62">
        <v>1000</v>
      </c>
      <c r="L65" s="62">
        <v>1000</v>
      </c>
      <c r="M65" s="62">
        <v>1000</v>
      </c>
      <c r="N65" s="62">
        <v>1000</v>
      </c>
    </row>
    <row r="66" spans="1:14" x14ac:dyDescent="0.2">
      <c r="A66" s="61" t="str">
        <f>CMS!A66</f>
        <v>Taxes/Licenses &amp; Permits</v>
      </c>
      <c r="B66" s="63">
        <f t="shared" si="6"/>
        <v>0</v>
      </c>
      <c r="C66" s="62"/>
      <c r="D66" s="62"/>
      <c r="E66" s="62"/>
      <c r="F66" s="62"/>
      <c r="G66" s="62"/>
      <c r="H66" s="62"/>
      <c r="I66" s="62"/>
      <c r="J66" s="62"/>
      <c r="K66" s="62"/>
      <c r="L66" s="62"/>
      <c r="M66" s="62"/>
      <c r="N66" s="62"/>
    </row>
    <row r="67" spans="1:14" x14ac:dyDescent="0.2">
      <c r="A67" s="61" t="str">
        <f>CMS!A67</f>
        <v>Small Tools &amp; Equip</v>
      </c>
      <c r="B67" s="63">
        <f t="shared" si="6"/>
        <v>360</v>
      </c>
      <c r="C67" s="62">
        <v>30</v>
      </c>
      <c r="D67" s="62">
        <v>30</v>
      </c>
      <c r="E67" s="62">
        <v>30</v>
      </c>
      <c r="F67" s="62">
        <v>30</v>
      </c>
      <c r="G67" s="62">
        <v>30</v>
      </c>
      <c r="H67" s="62">
        <v>30</v>
      </c>
      <c r="I67" s="62">
        <v>30</v>
      </c>
      <c r="J67" s="62">
        <v>30</v>
      </c>
      <c r="K67" s="62">
        <v>30</v>
      </c>
      <c r="L67" s="62">
        <v>30</v>
      </c>
      <c r="M67" s="62">
        <v>30</v>
      </c>
      <c r="N67" s="62">
        <v>30</v>
      </c>
    </row>
    <row r="68" spans="1:14" x14ac:dyDescent="0.2">
      <c r="A68" s="61" t="str">
        <f>CMS!A68</f>
        <v>Office Supplies</v>
      </c>
      <c r="B68" s="63">
        <f t="shared" si="6"/>
        <v>1700.0000000000002</v>
      </c>
      <c r="C68" s="62">
        <f>SUM(1700/12)</f>
        <v>141.66666666666666</v>
      </c>
      <c r="D68" s="62">
        <f t="shared" ref="D68:N68" si="7">SUM(1700/12)</f>
        <v>141.66666666666666</v>
      </c>
      <c r="E68" s="62">
        <f t="shared" si="7"/>
        <v>141.66666666666666</v>
      </c>
      <c r="F68" s="62">
        <f t="shared" si="7"/>
        <v>141.66666666666666</v>
      </c>
      <c r="G68" s="62">
        <f t="shared" si="7"/>
        <v>141.66666666666666</v>
      </c>
      <c r="H68" s="62">
        <f t="shared" si="7"/>
        <v>141.66666666666666</v>
      </c>
      <c r="I68" s="62">
        <f t="shared" si="7"/>
        <v>141.66666666666666</v>
      </c>
      <c r="J68" s="62">
        <f t="shared" si="7"/>
        <v>141.66666666666666</v>
      </c>
      <c r="K68" s="62">
        <f t="shared" si="7"/>
        <v>141.66666666666666</v>
      </c>
      <c r="L68" s="62">
        <f t="shared" si="7"/>
        <v>141.66666666666666</v>
      </c>
      <c r="M68" s="62">
        <f t="shared" si="7"/>
        <v>141.66666666666666</v>
      </c>
      <c r="N68" s="62">
        <f t="shared" si="7"/>
        <v>141.66666666666666</v>
      </c>
    </row>
    <row r="69" spans="1:14" x14ac:dyDescent="0.2">
      <c r="A69" s="61" t="s">
        <v>327</v>
      </c>
      <c r="B69" s="63">
        <f t="shared" si="6"/>
        <v>20000</v>
      </c>
      <c r="C69" s="62"/>
      <c r="D69" s="62"/>
      <c r="E69" s="62"/>
      <c r="F69" s="62"/>
      <c r="G69" s="62"/>
      <c r="H69" s="62"/>
      <c r="I69" s="62"/>
      <c r="J69" s="62"/>
      <c r="K69" s="62"/>
      <c r="L69" s="62"/>
      <c r="M69" s="62">
        <v>20000</v>
      </c>
      <c r="N69" s="62"/>
    </row>
    <row r="70" spans="1:14" x14ac:dyDescent="0.2">
      <c r="A70" s="61" t="str">
        <f>CMS!A70</f>
        <v>Advertising</v>
      </c>
      <c r="B70" s="63">
        <f t="shared" si="6"/>
        <v>0</v>
      </c>
      <c r="C70" s="62"/>
      <c r="D70" s="62"/>
      <c r="E70" s="62"/>
      <c r="F70" s="62"/>
      <c r="G70" s="62"/>
      <c r="H70" s="62"/>
      <c r="I70" s="62"/>
      <c r="J70" s="62"/>
      <c r="K70" s="62"/>
      <c r="L70" s="62"/>
      <c r="M70" s="62"/>
      <c r="N70" s="62"/>
    </row>
    <row r="71" spans="1:14" x14ac:dyDescent="0.2">
      <c r="A71" s="61" t="str">
        <f>CMS!A71</f>
        <v>Repairs &amp; Maintenance</v>
      </c>
      <c r="B71" s="63">
        <f t="shared" si="6"/>
        <v>0</v>
      </c>
      <c r="C71" s="62"/>
      <c r="D71" s="62"/>
      <c r="E71" s="62"/>
      <c r="F71" s="62"/>
      <c r="G71" s="62"/>
      <c r="H71" s="62"/>
      <c r="I71" s="62"/>
      <c r="J71" s="62"/>
      <c r="K71" s="62"/>
      <c r="L71" s="62"/>
      <c r="M71" s="62"/>
      <c r="N71" s="62"/>
    </row>
    <row r="72" spans="1:14" x14ac:dyDescent="0.2">
      <c r="A72" s="61" t="str">
        <f>CMS!A72</f>
        <v>Client Expense</v>
      </c>
      <c r="B72" s="63">
        <f t="shared" si="6"/>
        <v>0</v>
      </c>
      <c r="C72" s="62"/>
      <c r="D72" s="62"/>
      <c r="E72" s="62"/>
      <c r="F72" s="62"/>
      <c r="G72" s="62"/>
      <c r="H72" s="62"/>
      <c r="I72" s="62"/>
      <c r="J72" s="62"/>
      <c r="K72" s="62"/>
      <c r="L72" s="62"/>
      <c r="M72" s="62"/>
      <c r="N72" s="62"/>
    </row>
    <row r="73" spans="1:14" x14ac:dyDescent="0.2">
      <c r="A73" s="61" t="str">
        <f>CMS!A73</f>
        <v>Printing</v>
      </c>
      <c r="B73" s="63">
        <f t="shared" si="6"/>
        <v>6450</v>
      </c>
      <c r="C73" s="62">
        <v>50</v>
      </c>
      <c r="D73" s="62">
        <v>50</v>
      </c>
      <c r="E73" s="62">
        <v>50</v>
      </c>
      <c r="F73" s="62">
        <v>50</v>
      </c>
      <c r="G73" s="62">
        <v>50</v>
      </c>
      <c r="H73" s="62">
        <v>50</v>
      </c>
      <c r="I73" s="62">
        <v>50</v>
      </c>
      <c r="J73" s="62">
        <v>50</v>
      </c>
      <c r="K73" s="62">
        <v>2000</v>
      </c>
      <c r="L73" s="62">
        <v>2000</v>
      </c>
      <c r="M73" s="62">
        <v>2000</v>
      </c>
      <c r="N73" s="62">
        <v>50</v>
      </c>
    </row>
    <row r="74" spans="1:14" x14ac:dyDescent="0.2">
      <c r="A74" s="61" t="str">
        <f>CMS!A74</f>
        <v>Postage</v>
      </c>
      <c r="B74" s="63">
        <f t="shared" si="6"/>
        <v>2185</v>
      </c>
      <c r="C74" s="62"/>
      <c r="D74" s="62"/>
      <c r="E74" s="62"/>
      <c r="F74" s="62"/>
      <c r="G74" s="62"/>
      <c r="H74" s="62"/>
      <c r="I74" s="62"/>
      <c r="J74" s="62">
        <v>500</v>
      </c>
      <c r="K74" s="62">
        <v>500</v>
      </c>
      <c r="L74" s="62">
        <v>500</v>
      </c>
      <c r="M74" s="62">
        <v>500</v>
      </c>
      <c r="N74" s="62">
        <v>185</v>
      </c>
    </row>
    <row r="75" spans="1:14" ht="15.75" customHeight="1" x14ac:dyDescent="0.2">
      <c r="A75" s="61" t="str">
        <f>CMS!A75</f>
        <v>Rent/Lease Expense</v>
      </c>
      <c r="B75" s="63">
        <f t="shared" si="6"/>
        <v>0</v>
      </c>
      <c r="C75" s="62"/>
      <c r="D75" s="62"/>
      <c r="E75" s="62"/>
      <c r="F75" s="62"/>
      <c r="G75" s="62"/>
      <c r="H75" s="62"/>
      <c r="I75" s="62"/>
      <c r="J75" s="62"/>
      <c r="K75" s="62"/>
      <c r="L75" s="62"/>
      <c r="M75" s="62"/>
      <c r="N75" s="62"/>
    </row>
    <row r="76" spans="1:14" x14ac:dyDescent="0.2">
      <c r="A76" s="61" t="str">
        <f>CMS!A76</f>
        <v>Utilities</v>
      </c>
      <c r="B76" s="63">
        <f t="shared" si="6"/>
        <v>0</v>
      </c>
      <c r="C76" s="62"/>
      <c r="D76" s="62"/>
      <c r="E76" s="62"/>
      <c r="F76" s="62"/>
      <c r="G76" s="62"/>
      <c r="H76" s="62"/>
      <c r="I76" s="62"/>
      <c r="J76" s="62"/>
      <c r="K76" s="62"/>
      <c r="L76" s="62"/>
      <c r="M76" s="62"/>
      <c r="N76" s="62"/>
    </row>
    <row r="77" spans="1:14" x14ac:dyDescent="0.2">
      <c r="A77" s="61" t="str">
        <f>CMS!A77</f>
        <v>Bank Fees/Late Fees</v>
      </c>
      <c r="B77" s="63">
        <f t="shared" si="6"/>
        <v>0</v>
      </c>
      <c r="C77" s="62"/>
      <c r="D77" s="62"/>
      <c r="E77" s="62"/>
      <c r="F77" s="62"/>
      <c r="G77" s="62"/>
      <c r="H77" s="62"/>
      <c r="I77" s="62"/>
      <c r="J77" s="62"/>
      <c r="K77" s="62"/>
      <c r="L77" s="62"/>
      <c r="M77" s="62"/>
      <c r="N77" s="62"/>
    </row>
    <row r="78" spans="1:14" x14ac:dyDescent="0.2">
      <c r="A78" s="61" t="str">
        <f>CMS!A78</f>
        <v>Bad Debt Expense</v>
      </c>
      <c r="B78" s="63">
        <f t="shared" si="6"/>
        <v>0</v>
      </c>
      <c r="C78" s="62"/>
      <c r="D78" s="62"/>
      <c r="E78" s="62"/>
      <c r="F78" s="62"/>
      <c r="G78" s="62"/>
      <c r="H78" s="62"/>
      <c r="I78" s="62"/>
      <c r="J78" s="62"/>
      <c r="K78" s="62"/>
      <c r="L78" s="62"/>
      <c r="M78" s="62"/>
      <c r="N78" s="62"/>
    </row>
    <row r="79" spans="1:14" x14ac:dyDescent="0.2">
      <c r="A79" s="61" t="str">
        <f>CMS!A79</f>
        <v>Interest Expense</v>
      </c>
      <c r="B79" s="63">
        <f t="shared" si="6"/>
        <v>0</v>
      </c>
      <c r="C79" s="62"/>
      <c r="D79" s="62"/>
      <c r="E79" s="62"/>
      <c r="F79" s="62"/>
      <c r="G79" s="62"/>
      <c r="H79" s="62"/>
      <c r="I79" s="62"/>
      <c r="J79" s="62"/>
      <c r="K79" s="62"/>
      <c r="L79" s="62"/>
      <c r="M79" s="62"/>
      <c r="N79" s="62"/>
    </row>
    <row r="80" spans="1:14" x14ac:dyDescent="0.2">
      <c r="A80" s="61" t="str">
        <f>CMS!A80</f>
        <v>Meeting Expense</v>
      </c>
      <c r="B80" s="63">
        <f t="shared" si="6"/>
        <v>0</v>
      </c>
      <c r="C80" s="63"/>
      <c r="D80" s="62"/>
      <c r="E80" s="62"/>
      <c r="F80" s="62"/>
      <c r="G80" s="62"/>
      <c r="H80" s="62"/>
      <c r="I80" s="62"/>
      <c r="J80" s="62"/>
      <c r="K80" s="62"/>
      <c r="L80" s="62"/>
      <c r="M80" s="62"/>
      <c r="N80" s="62"/>
    </row>
    <row r="81" spans="1:15" s="84" customFormat="1" x14ac:dyDescent="0.2">
      <c r="A81" s="61" t="str">
        <f>CMS!A81</f>
        <v>In Kind Expense</v>
      </c>
      <c r="B81" s="63">
        <f t="shared" si="6"/>
        <v>0</v>
      </c>
      <c r="C81" s="62">
        <f>C45</f>
        <v>0</v>
      </c>
      <c r="D81" s="62">
        <f t="shared" ref="D81:N81" si="8">D45</f>
        <v>0</v>
      </c>
      <c r="E81" s="62">
        <f t="shared" si="8"/>
        <v>0</v>
      </c>
      <c r="F81" s="62">
        <f t="shared" si="8"/>
        <v>0</v>
      </c>
      <c r="G81" s="62">
        <f t="shared" si="8"/>
        <v>0</v>
      </c>
      <c r="H81" s="62">
        <f t="shared" si="8"/>
        <v>0</v>
      </c>
      <c r="I81" s="62">
        <f t="shared" si="8"/>
        <v>0</v>
      </c>
      <c r="J81" s="62">
        <f t="shared" si="8"/>
        <v>0</v>
      </c>
      <c r="K81" s="62">
        <f t="shared" si="8"/>
        <v>0</v>
      </c>
      <c r="L81" s="62">
        <f t="shared" si="8"/>
        <v>0</v>
      </c>
      <c r="M81" s="62">
        <f t="shared" si="8"/>
        <v>0</v>
      </c>
      <c r="N81" s="62">
        <f t="shared" si="8"/>
        <v>0</v>
      </c>
    </row>
    <row r="82" spans="1:15" s="43" customFormat="1" ht="13.5" thickBot="1" x14ac:dyDescent="0.25">
      <c r="A82" s="61" t="s">
        <v>180</v>
      </c>
      <c r="B82" s="63">
        <f t="shared" si="6"/>
        <v>0</v>
      </c>
      <c r="C82" s="62"/>
      <c r="D82" s="62"/>
      <c r="E82" s="62"/>
      <c r="F82" s="62"/>
      <c r="G82" s="62"/>
      <c r="H82" s="62"/>
      <c r="I82" s="62"/>
      <c r="J82" s="62"/>
      <c r="K82" s="62"/>
      <c r="L82" s="62"/>
      <c r="M82" s="62"/>
      <c r="N82" s="62"/>
    </row>
    <row r="83" spans="1:15" x14ac:dyDescent="0.2">
      <c r="A83" s="64" t="s">
        <v>24</v>
      </c>
      <c r="B83" s="65">
        <f>SUM(B57:B82)</f>
        <v>55902.164113785562</v>
      </c>
      <c r="C83" s="65">
        <f t="shared" ref="C83:N83" si="9">SUM(C57:C82)</f>
        <v>2596.1803428154631</v>
      </c>
      <c r="D83" s="65">
        <f t="shared" si="9"/>
        <v>1596.1803428154633</v>
      </c>
      <c r="E83" s="65">
        <f t="shared" si="9"/>
        <v>1795.1803428154633</v>
      </c>
      <c r="F83" s="65">
        <f t="shared" si="9"/>
        <v>1596.1803428154633</v>
      </c>
      <c r="G83" s="65">
        <f t="shared" si="9"/>
        <v>1596.1803428154633</v>
      </c>
      <c r="H83" s="65">
        <f t="shared" si="9"/>
        <v>8596.1803428154617</v>
      </c>
      <c r="I83" s="65">
        <f t="shared" si="9"/>
        <v>1596.1803428154633</v>
      </c>
      <c r="J83" s="65">
        <f t="shared" si="9"/>
        <v>2096.1803428154635</v>
      </c>
      <c r="K83" s="65">
        <f t="shared" si="9"/>
        <v>4110.1803428154635</v>
      </c>
      <c r="L83" s="65">
        <f t="shared" si="9"/>
        <v>4046.1803428154635</v>
      </c>
      <c r="M83" s="65">
        <f t="shared" si="9"/>
        <v>24496.180342815464</v>
      </c>
      <c r="N83" s="65">
        <f t="shared" si="9"/>
        <v>1781.1803428154633</v>
      </c>
    </row>
    <row r="84" spans="1:15" x14ac:dyDescent="0.2">
      <c r="A84" s="59"/>
      <c r="B84" s="60"/>
      <c r="C84" s="60"/>
      <c r="D84" s="66"/>
      <c r="E84" s="66"/>
      <c r="F84" s="66"/>
      <c r="G84" s="66"/>
      <c r="H84" s="66"/>
      <c r="I84" s="66"/>
      <c r="J84" s="66"/>
      <c r="K84" s="66"/>
      <c r="L84" s="66"/>
      <c r="M84" s="66"/>
      <c r="N84" s="66"/>
    </row>
    <row r="85" spans="1:15" s="84" customFormat="1" x14ac:dyDescent="0.2">
      <c r="A85" s="59"/>
      <c r="B85" s="60"/>
      <c r="C85" s="60"/>
      <c r="D85" s="66"/>
      <c r="E85" s="66"/>
      <c r="F85" s="66"/>
      <c r="G85" s="66"/>
      <c r="H85" s="66"/>
      <c r="I85" s="66"/>
      <c r="J85" s="66"/>
      <c r="K85" s="66"/>
      <c r="L85" s="66"/>
      <c r="M85" s="66"/>
      <c r="N85" s="66"/>
    </row>
    <row r="86" spans="1:15" x14ac:dyDescent="0.2">
      <c r="A86" s="58" t="s">
        <v>25</v>
      </c>
      <c r="B86" s="60"/>
      <c r="C86" s="60"/>
      <c r="D86" s="66"/>
      <c r="E86" s="66"/>
      <c r="F86" s="66"/>
      <c r="G86" s="66"/>
      <c r="H86" s="66"/>
      <c r="I86" s="66"/>
      <c r="J86" s="66"/>
      <c r="K86" s="66"/>
      <c r="L86" s="66"/>
      <c r="M86" s="66"/>
      <c r="N86" s="66"/>
    </row>
    <row r="87" spans="1:15" x14ac:dyDescent="0.2">
      <c r="A87" s="61" t="s">
        <v>198</v>
      </c>
      <c r="B87" s="63">
        <f>SUM(C87:N87)</f>
        <v>-178423.79188621449</v>
      </c>
      <c r="C87" s="62">
        <f>SUM(C53+C83-C46)</f>
        <v>-23744.315990517873</v>
      </c>
      <c r="D87" s="62">
        <f t="shared" ref="D87:N87" si="10">SUM(D53+D83-D46)</f>
        <v>-3290.3159905178727</v>
      </c>
      <c r="E87" s="62">
        <f t="shared" si="10"/>
        <v>-3091.3159905178727</v>
      </c>
      <c r="F87" s="62">
        <f t="shared" si="10"/>
        <v>-3290.3159905178727</v>
      </c>
      <c r="G87" s="62">
        <f t="shared" si="10"/>
        <v>-3290.3159905178727</v>
      </c>
      <c r="H87" s="62">
        <f t="shared" si="10"/>
        <v>3709.6840094821237</v>
      </c>
      <c r="I87" s="62">
        <f t="shared" si="10"/>
        <v>-3290.3159905178727</v>
      </c>
      <c r="J87" s="62">
        <f t="shared" si="10"/>
        <v>-2790.3159905178727</v>
      </c>
      <c r="K87" s="62">
        <f t="shared" si="10"/>
        <v>-776.31599051787271</v>
      </c>
      <c r="L87" s="62">
        <f t="shared" si="10"/>
        <v>-6290.3159905178727</v>
      </c>
      <c r="M87" s="62">
        <f t="shared" si="10"/>
        <v>-68507.315990517862</v>
      </c>
      <c r="N87" s="62">
        <f t="shared" si="10"/>
        <v>-63772.315990517876</v>
      </c>
    </row>
    <row r="88" spans="1:15" x14ac:dyDescent="0.2">
      <c r="A88" s="61" t="s">
        <v>328</v>
      </c>
      <c r="B88" s="63">
        <f>SUM(C88:N88)</f>
        <v>0</v>
      </c>
      <c r="C88" s="63"/>
      <c r="D88" s="62"/>
      <c r="E88" s="62"/>
      <c r="F88" s="62"/>
      <c r="G88" s="62"/>
      <c r="H88" s="62"/>
      <c r="I88" s="62"/>
      <c r="J88" s="62"/>
      <c r="K88" s="62"/>
      <c r="L88" s="62"/>
      <c r="M88" s="62"/>
      <c r="N88" s="62"/>
    </row>
    <row r="89" spans="1:15" ht="13.5" thickBot="1" x14ac:dyDescent="0.25">
      <c r="A89" s="61"/>
      <c r="B89" s="63">
        <f>SUM(C89:N89)</f>
        <v>0</v>
      </c>
      <c r="C89" s="63"/>
      <c r="D89" s="62"/>
      <c r="E89" s="62"/>
      <c r="F89" s="62"/>
      <c r="G89" s="62"/>
      <c r="H89" s="62"/>
      <c r="I89" s="62"/>
      <c r="J89" s="62"/>
      <c r="K89" s="62"/>
      <c r="L89" s="62"/>
      <c r="M89" s="62"/>
      <c r="N89" s="62"/>
    </row>
    <row r="90" spans="1:15" x14ac:dyDescent="0.2">
      <c r="A90" s="64" t="s">
        <v>26</v>
      </c>
      <c r="B90" s="65">
        <f t="shared" ref="B90:N90" si="11">SUM(B87:B89)</f>
        <v>-178423.79188621449</v>
      </c>
      <c r="C90" s="65">
        <f t="shared" si="11"/>
        <v>-23744.315990517873</v>
      </c>
      <c r="D90" s="65">
        <f t="shared" si="11"/>
        <v>-3290.3159905178727</v>
      </c>
      <c r="E90" s="65">
        <f t="shared" si="11"/>
        <v>-3091.3159905178727</v>
      </c>
      <c r="F90" s="65">
        <f t="shared" si="11"/>
        <v>-3290.3159905178727</v>
      </c>
      <c r="G90" s="65">
        <f t="shared" si="11"/>
        <v>-3290.3159905178727</v>
      </c>
      <c r="H90" s="65">
        <f t="shared" si="11"/>
        <v>3709.6840094821237</v>
      </c>
      <c r="I90" s="65">
        <f t="shared" si="11"/>
        <v>-3290.3159905178727</v>
      </c>
      <c r="J90" s="65">
        <f t="shared" si="11"/>
        <v>-2790.3159905178727</v>
      </c>
      <c r="K90" s="65">
        <f t="shared" si="11"/>
        <v>-776.31599051787271</v>
      </c>
      <c r="L90" s="65">
        <f t="shared" si="11"/>
        <v>-6290.3159905178727</v>
      </c>
      <c r="M90" s="65">
        <f t="shared" si="11"/>
        <v>-68507.315990517862</v>
      </c>
      <c r="N90" s="65">
        <f t="shared" si="11"/>
        <v>-63772.315990517876</v>
      </c>
      <c r="O90" s="140">
        <f>SUM(C87:N87)</f>
        <v>-178423.79188621449</v>
      </c>
    </row>
    <row r="91" spans="1:15" x14ac:dyDescent="0.2">
      <c r="A91" s="59"/>
      <c r="B91" s="60"/>
      <c r="C91" s="60"/>
      <c r="D91" s="66"/>
      <c r="E91" s="66"/>
      <c r="F91" s="66"/>
      <c r="G91" s="66"/>
      <c r="H91" s="66"/>
      <c r="I91" s="66"/>
      <c r="J91" s="66"/>
      <c r="K91" s="66"/>
      <c r="L91" s="66"/>
      <c r="M91" s="66"/>
      <c r="N91" s="66"/>
    </row>
    <row r="92" spans="1:15" s="84" customFormat="1" x14ac:dyDescent="0.2">
      <c r="A92" s="265" t="s">
        <v>405</v>
      </c>
      <c r="B92" s="266"/>
      <c r="C92" s="266">
        <f>SUM(C46-C53-C83-C90)</f>
        <v>47488.631981035745</v>
      </c>
      <c r="D92" s="266">
        <f t="shared" ref="D92:N92" si="12">SUM(D46-D53-D83-D90)</f>
        <v>6580.6319810357454</v>
      </c>
      <c r="E92" s="266">
        <f t="shared" si="12"/>
        <v>6182.6319810357454</v>
      </c>
      <c r="F92" s="266">
        <f t="shared" si="12"/>
        <v>6580.6319810357454</v>
      </c>
      <c r="G92" s="266">
        <f t="shared" si="12"/>
        <v>6580.6319810357454</v>
      </c>
      <c r="H92" s="266">
        <f t="shared" si="12"/>
        <v>-7419.3680189642491</v>
      </c>
      <c r="I92" s="266">
        <f t="shared" si="12"/>
        <v>6580.6319810357454</v>
      </c>
      <c r="J92" s="266">
        <f t="shared" si="12"/>
        <v>5580.6319810357454</v>
      </c>
      <c r="K92" s="266">
        <f t="shared" si="12"/>
        <v>1552.6319810357454</v>
      </c>
      <c r="L92" s="266">
        <f t="shared" si="12"/>
        <v>12580.631981035745</v>
      </c>
      <c r="M92" s="266">
        <f t="shared" si="12"/>
        <v>137014.63198103572</v>
      </c>
      <c r="N92" s="267">
        <f t="shared" si="12"/>
        <v>127544.63198103575</v>
      </c>
    </row>
    <row r="93" spans="1:15" s="84" customFormat="1" x14ac:dyDescent="0.2">
      <c r="A93" s="59"/>
      <c r="B93" s="60"/>
      <c r="C93" s="60"/>
      <c r="D93" s="66"/>
      <c r="E93" s="66"/>
      <c r="F93" s="66"/>
      <c r="G93" s="66"/>
      <c r="H93" s="66"/>
      <c r="I93" s="66"/>
      <c r="J93" s="66"/>
      <c r="K93" s="66"/>
      <c r="L93" s="66"/>
      <c r="M93" s="66"/>
      <c r="N93" s="66"/>
    </row>
    <row r="94" spans="1:15" x14ac:dyDescent="0.2">
      <c r="A94" s="59"/>
      <c r="B94" s="86" t="str">
        <f>B5</f>
        <v>Total</v>
      </c>
      <c r="C94" s="86"/>
      <c r="D94" s="66"/>
      <c r="E94" s="66"/>
      <c r="F94" s="66"/>
      <c r="G94" s="66"/>
      <c r="H94" s="66"/>
      <c r="I94" s="66"/>
      <c r="J94" s="66"/>
      <c r="K94" s="66"/>
      <c r="L94" s="84"/>
      <c r="M94" s="66"/>
      <c r="N94" s="66"/>
    </row>
    <row r="95" spans="1:15" x14ac:dyDescent="0.2">
      <c r="A95" s="58" t="s">
        <v>31</v>
      </c>
      <c r="B95" s="60">
        <f>SUM(B46)</f>
        <v>434493</v>
      </c>
      <c r="C95" s="81"/>
      <c r="D95" s="66"/>
      <c r="E95" s="66"/>
      <c r="F95" s="66"/>
      <c r="G95" s="66"/>
      <c r="H95" s="66"/>
      <c r="I95" s="73"/>
      <c r="J95" s="66"/>
      <c r="K95" s="66"/>
      <c r="L95" s="66"/>
      <c r="M95" s="66"/>
      <c r="N95" s="66"/>
    </row>
    <row r="96" spans="1:15" x14ac:dyDescent="0.2">
      <c r="A96" s="58" t="s">
        <v>32</v>
      </c>
      <c r="B96" s="60">
        <f>-B53</f>
        <v>-200167.04400000002</v>
      </c>
      <c r="C96" s="81"/>
      <c r="D96" s="66"/>
      <c r="E96" s="66"/>
      <c r="F96" s="66"/>
      <c r="G96" s="66"/>
      <c r="H96" s="66"/>
      <c r="I96" s="73"/>
      <c r="J96" s="66"/>
      <c r="K96" s="84"/>
      <c r="L96" s="84"/>
      <c r="M96" s="66"/>
      <c r="N96" s="66"/>
    </row>
    <row r="97" spans="1:14" x14ac:dyDescent="0.2">
      <c r="A97" s="58" t="s">
        <v>33</v>
      </c>
      <c r="B97" s="60">
        <f>SUM(-B83)</f>
        <v>-55902.164113785562</v>
      </c>
      <c r="C97" s="81"/>
      <c r="D97" s="66"/>
      <c r="E97" s="66"/>
      <c r="F97" s="66"/>
      <c r="G97" s="66"/>
      <c r="H97" s="66"/>
      <c r="I97" s="73"/>
      <c r="J97" s="66"/>
      <c r="K97" s="66"/>
      <c r="L97" s="66"/>
      <c r="M97" s="66"/>
      <c r="N97" s="66"/>
    </row>
    <row r="98" spans="1:14" x14ac:dyDescent="0.2">
      <c r="A98" s="58" t="s">
        <v>182</v>
      </c>
      <c r="B98" s="60">
        <f>SUM(B90)</f>
        <v>-178423.79188621449</v>
      </c>
      <c r="C98" s="81"/>
      <c r="D98" s="66"/>
      <c r="E98" s="66"/>
      <c r="F98" s="66"/>
      <c r="G98" s="66"/>
      <c r="H98" s="66"/>
      <c r="I98" s="73"/>
      <c r="J98" s="66"/>
      <c r="K98" s="66"/>
      <c r="L98" s="66"/>
      <c r="M98" s="66"/>
      <c r="N98" s="66"/>
    </row>
    <row r="99" spans="1:14" x14ac:dyDescent="0.2">
      <c r="A99" s="87" t="s">
        <v>35</v>
      </c>
      <c r="B99" s="88">
        <f>SUM(B95:B98)</f>
        <v>0</v>
      </c>
      <c r="C99" s="81"/>
      <c r="D99" s="66"/>
      <c r="E99" s="73"/>
      <c r="F99" s="66"/>
      <c r="G99" s="81"/>
      <c r="H99" s="81"/>
      <c r="I99" s="73"/>
      <c r="J99" s="66"/>
      <c r="K99" s="66"/>
      <c r="L99" s="66"/>
      <c r="M99" s="66"/>
      <c r="N99" s="66"/>
    </row>
    <row r="100" spans="1:14" x14ac:dyDescent="0.2">
      <c r="A100" s="59"/>
      <c r="B100" s="60"/>
      <c r="C100" s="81"/>
      <c r="D100" s="66"/>
      <c r="E100" s="66"/>
      <c r="F100" s="66"/>
      <c r="G100" s="66"/>
      <c r="H100" s="66"/>
      <c r="I100" s="73"/>
      <c r="J100" s="66"/>
      <c r="K100" s="66"/>
      <c r="L100" s="66"/>
      <c r="M100" s="66"/>
      <c r="N100" s="66"/>
    </row>
    <row r="101" spans="1:14" x14ac:dyDescent="0.2">
      <c r="A101" s="59"/>
      <c r="B101" s="60"/>
      <c r="C101" s="60"/>
      <c r="D101" s="66"/>
      <c r="E101" s="66"/>
      <c r="F101" s="66"/>
      <c r="G101" s="66"/>
      <c r="H101" s="66"/>
      <c r="I101" s="66"/>
      <c r="J101" s="66"/>
      <c r="K101" s="66"/>
      <c r="L101" s="66"/>
      <c r="M101" s="66"/>
      <c r="N101" s="66"/>
    </row>
    <row r="102" spans="1:14" x14ac:dyDescent="0.2">
      <c r="A102" s="58"/>
      <c r="B102" s="60" t="s">
        <v>183</v>
      </c>
      <c r="C102" s="75">
        <f>SUM(C108+C121+C134+C147+C160+C173+C186+C199)</f>
        <v>3</v>
      </c>
      <c r="D102" s="75">
        <f t="shared" ref="D102:N102" si="13">SUM(D108+D121+D134+D147+D160+D173+D186+D199)</f>
        <v>3</v>
      </c>
      <c r="E102" s="75">
        <f t="shared" si="13"/>
        <v>3</v>
      </c>
      <c r="F102" s="75">
        <f t="shared" si="13"/>
        <v>3</v>
      </c>
      <c r="G102" s="75">
        <f t="shared" si="13"/>
        <v>3</v>
      </c>
      <c r="H102" s="75">
        <f t="shared" si="13"/>
        <v>3</v>
      </c>
      <c r="I102" s="75">
        <f t="shared" si="13"/>
        <v>3</v>
      </c>
      <c r="J102" s="75">
        <f t="shared" si="13"/>
        <v>3</v>
      </c>
      <c r="K102" s="75">
        <f t="shared" si="13"/>
        <v>3</v>
      </c>
      <c r="L102" s="75">
        <f t="shared" si="13"/>
        <v>3</v>
      </c>
      <c r="M102" s="75">
        <f t="shared" si="13"/>
        <v>3</v>
      </c>
      <c r="N102" s="75">
        <f t="shared" si="13"/>
        <v>3</v>
      </c>
    </row>
    <row r="103" spans="1:14" x14ac:dyDescent="0.2">
      <c r="A103" s="58"/>
      <c r="B103" s="60"/>
      <c r="C103" s="73"/>
      <c r="D103" s="66"/>
      <c r="E103" s="66"/>
      <c r="F103" s="66"/>
      <c r="G103" s="66"/>
      <c r="H103" s="66"/>
      <c r="I103" s="66"/>
      <c r="J103" s="66"/>
      <c r="K103" s="66"/>
      <c r="L103" s="66"/>
      <c r="M103" s="66"/>
      <c r="N103" s="84"/>
    </row>
    <row r="104" spans="1:14" x14ac:dyDescent="0.2">
      <c r="A104" s="116" t="s">
        <v>184</v>
      </c>
      <c r="B104" s="92"/>
      <c r="C104" s="25"/>
      <c r="D104" s="91"/>
      <c r="E104" s="91"/>
      <c r="F104" s="91"/>
      <c r="G104" s="91"/>
      <c r="H104" s="91"/>
      <c r="I104" s="91"/>
      <c r="J104" s="91"/>
      <c r="K104" s="91"/>
      <c r="L104" s="91"/>
      <c r="M104" s="91"/>
      <c r="N104" s="27"/>
    </row>
    <row r="105" spans="1:14" x14ac:dyDescent="0.2">
      <c r="A105" s="59"/>
      <c r="B105" s="60"/>
      <c r="C105" s="89" t="str">
        <f t="shared" ref="C105:N105" si="14">C5</f>
        <v>January</v>
      </c>
      <c r="D105" s="89" t="str">
        <f t="shared" si="14"/>
        <v>February</v>
      </c>
      <c r="E105" s="89" t="str">
        <f t="shared" si="14"/>
        <v>March</v>
      </c>
      <c r="F105" s="89" t="str">
        <f t="shared" si="14"/>
        <v>April</v>
      </c>
      <c r="G105" s="89" t="str">
        <f t="shared" si="14"/>
        <v>May</v>
      </c>
      <c r="H105" s="89" t="str">
        <f t="shared" si="14"/>
        <v>June</v>
      </c>
      <c r="I105" s="89" t="str">
        <f t="shared" si="14"/>
        <v>July</v>
      </c>
      <c r="J105" s="89" t="str">
        <f t="shared" si="14"/>
        <v>August</v>
      </c>
      <c r="K105" s="89" t="str">
        <f t="shared" si="14"/>
        <v>September</v>
      </c>
      <c r="L105" s="89" t="str">
        <f t="shared" si="14"/>
        <v>October</v>
      </c>
      <c r="M105" s="89" t="str">
        <f t="shared" si="14"/>
        <v>November</v>
      </c>
      <c r="N105" s="89" t="str">
        <f t="shared" si="14"/>
        <v>December</v>
      </c>
    </row>
    <row r="106" spans="1:14" x14ac:dyDescent="0.2">
      <c r="A106" s="59"/>
      <c r="B106" s="60"/>
      <c r="C106" s="72">
        <v>31</v>
      </c>
      <c r="D106" s="72">
        <v>31</v>
      </c>
      <c r="E106" s="72">
        <v>30</v>
      </c>
      <c r="F106" s="72">
        <v>31</v>
      </c>
      <c r="G106" s="72">
        <v>30</v>
      </c>
      <c r="H106" s="72">
        <v>31</v>
      </c>
      <c r="I106" s="72">
        <v>31</v>
      </c>
      <c r="J106" s="72">
        <v>28</v>
      </c>
      <c r="K106" s="72">
        <v>31</v>
      </c>
      <c r="L106" s="72">
        <v>30</v>
      </c>
      <c r="M106" s="72">
        <v>31</v>
      </c>
      <c r="N106" s="71">
        <v>30</v>
      </c>
    </row>
    <row r="107" spans="1:14" x14ac:dyDescent="0.2">
      <c r="A107" s="59"/>
      <c r="B107" s="89" t="s">
        <v>185</v>
      </c>
      <c r="C107" s="78">
        <v>1</v>
      </c>
      <c r="D107" s="78">
        <v>0</v>
      </c>
      <c r="E107" s="78">
        <v>1</v>
      </c>
      <c r="F107" s="78">
        <f>F94</f>
        <v>0</v>
      </c>
      <c r="G107" s="78">
        <v>2</v>
      </c>
      <c r="H107" s="78">
        <f>H94</f>
        <v>0</v>
      </c>
      <c r="I107" s="78">
        <v>2</v>
      </c>
      <c r="J107" s="78">
        <v>1</v>
      </c>
      <c r="K107" s="78">
        <v>0</v>
      </c>
      <c r="L107" s="78">
        <v>0</v>
      </c>
      <c r="M107" s="78">
        <v>1</v>
      </c>
      <c r="N107" s="78">
        <f>N94</f>
        <v>0</v>
      </c>
    </row>
    <row r="108" spans="1:14" x14ac:dyDescent="0.2">
      <c r="A108" s="59"/>
      <c r="B108" s="89" t="s">
        <v>44</v>
      </c>
      <c r="C108" s="49">
        <v>1</v>
      </c>
      <c r="D108" s="49">
        <v>1</v>
      </c>
      <c r="E108" s="49">
        <v>1</v>
      </c>
      <c r="F108" s="49">
        <v>1</v>
      </c>
      <c r="G108" s="49">
        <v>1</v>
      </c>
      <c r="H108" s="49">
        <v>1</v>
      </c>
      <c r="I108" s="49">
        <v>1</v>
      </c>
      <c r="J108" s="49">
        <v>1</v>
      </c>
      <c r="K108" s="49">
        <v>1</v>
      </c>
      <c r="L108" s="49">
        <v>1</v>
      </c>
      <c r="M108" s="49">
        <v>1</v>
      </c>
      <c r="N108" s="49">
        <v>1</v>
      </c>
    </row>
    <row r="109" spans="1:14" x14ac:dyDescent="0.2">
      <c r="A109" s="59"/>
      <c r="B109" s="89" t="s">
        <v>186</v>
      </c>
      <c r="C109" s="53">
        <f>SUM(174*C108)</f>
        <v>174</v>
      </c>
      <c r="D109" s="53">
        <f t="shared" ref="D109:N109" si="15">SUM(174*D108)</f>
        <v>174</v>
      </c>
      <c r="E109" s="53">
        <f t="shared" si="15"/>
        <v>174</v>
      </c>
      <c r="F109" s="53">
        <f t="shared" si="15"/>
        <v>174</v>
      </c>
      <c r="G109" s="53">
        <f t="shared" si="15"/>
        <v>174</v>
      </c>
      <c r="H109" s="53">
        <f t="shared" si="15"/>
        <v>174</v>
      </c>
      <c r="I109" s="53">
        <f t="shared" si="15"/>
        <v>174</v>
      </c>
      <c r="J109" s="53">
        <f t="shared" si="15"/>
        <v>174</v>
      </c>
      <c r="K109" s="53">
        <f t="shared" si="15"/>
        <v>174</v>
      </c>
      <c r="L109" s="53">
        <f t="shared" si="15"/>
        <v>174</v>
      </c>
      <c r="M109" s="53">
        <f t="shared" si="15"/>
        <v>174</v>
      </c>
      <c r="N109" s="53">
        <f t="shared" si="15"/>
        <v>174</v>
      </c>
    </row>
    <row r="110" spans="1:14" x14ac:dyDescent="0.2">
      <c r="A110" s="59" t="s">
        <v>549</v>
      </c>
      <c r="B110" s="227" t="s">
        <v>431</v>
      </c>
      <c r="C110" s="66">
        <f>SUM(C109*$B$111)</f>
        <v>3074.5800000000004</v>
      </c>
      <c r="D110" s="66">
        <f t="shared" ref="D110:N110" si="16">SUM(D109*$B$111)</f>
        <v>3074.5800000000004</v>
      </c>
      <c r="E110" s="66">
        <f t="shared" si="16"/>
        <v>3074.5800000000004</v>
      </c>
      <c r="F110" s="66">
        <f t="shared" si="16"/>
        <v>3074.5800000000004</v>
      </c>
      <c r="G110" s="66">
        <f t="shared" si="16"/>
        <v>3074.5800000000004</v>
      </c>
      <c r="H110" s="66">
        <f t="shared" si="16"/>
        <v>3074.5800000000004</v>
      </c>
      <c r="I110" s="66">
        <f t="shared" si="16"/>
        <v>3074.5800000000004</v>
      </c>
      <c r="J110" s="66">
        <f t="shared" si="16"/>
        <v>3074.5800000000004</v>
      </c>
      <c r="K110" s="66">
        <f t="shared" si="16"/>
        <v>3074.5800000000004</v>
      </c>
      <c r="L110" s="66">
        <f t="shared" si="16"/>
        <v>3074.5800000000004</v>
      </c>
      <c r="M110" s="66">
        <f t="shared" si="16"/>
        <v>3074.5800000000004</v>
      </c>
      <c r="N110" s="66">
        <f t="shared" si="16"/>
        <v>3074.5800000000004</v>
      </c>
    </row>
    <row r="111" spans="1:14" x14ac:dyDescent="0.2">
      <c r="A111" s="59" t="s">
        <v>188</v>
      </c>
      <c r="B111" s="74">
        <v>17.670000000000002</v>
      </c>
      <c r="C111" s="66">
        <f>SUM(C110)*'Data Links'!$B$15</f>
        <v>235.20537000000002</v>
      </c>
      <c r="D111" s="66">
        <f>SUM(D110)*'Data Links'!$B$15</f>
        <v>235.20537000000002</v>
      </c>
      <c r="E111" s="66">
        <f>SUM(E110)*'Data Links'!$B$15</f>
        <v>235.20537000000002</v>
      </c>
      <c r="F111" s="66">
        <f>SUM(F110)*'Data Links'!$B$15</f>
        <v>235.20537000000002</v>
      </c>
      <c r="G111" s="66">
        <f>SUM(G110)*'Data Links'!$B$15</f>
        <v>235.20537000000002</v>
      </c>
      <c r="H111" s="66">
        <f>SUM(H110)*'Data Links'!$B$15</f>
        <v>235.20537000000002</v>
      </c>
      <c r="I111" s="66">
        <f>SUM(I110)*'Data Links'!$B$15</f>
        <v>235.20537000000002</v>
      </c>
      <c r="J111" s="66">
        <f>SUM(J110)*'Data Links'!$B$15</f>
        <v>235.20537000000002</v>
      </c>
      <c r="K111" s="66">
        <f>SUM(K110)*'Data Links'!$B$15</f>
        <v>235.20537000000002</v>
      </c>
      <c r="L111" s="66">
        <f>SUM(L110)*'Data Links'!$B$15</f>
        <v>235.20537000000002</v>
      </c>
      <c r="M111" s="66">
        <f>SUM(M110)*'Data Links'!$B$15</f>
        <v>235.20537000000002</v>
      </c>
      <c r="N111" s="66">
        <f>SUM(N110)*'Data Links'!$B$15</f>
        <v>235.20537000000002</v>
      </c>
    </row>
    <row r="112" spans="1:14" x14ac:dyDescent="0.2">
      <c r="A112" s="59" t="s">
        <v>189</v>
      </c>
      <c r="B112" s="74">
        <v>16.75</v>
      </c>
      <c r="C112" s="66">
        <f>SUM(C110*'Data Links'!$B$13)</f>
        <v>18.447480000000002</v>
      </c>
      <c r="D112" s="66">
        <f>SUM(D110*'Data Links'!$B$13)</f>
        <v>18.447480000000002</v>
      </c>
      <c r="E112" s="66">
        <f>SUM(E110*'Data Links'!$B$13)</f>
        <v>18.447480000000002</v>
      </c>
      <c r="F112" s="66">
        <f>SUM(F110*'Data Links'!$B$13)</f>
        <v>18.447480000000002</v>
      </c>
      <c r="G112" s="66">
        <f>SUM(G110*'Data Links'!$B$13)</f>
        <v>18.447480000000002</v>
      </c>
      <c r="H112" s="66">
        <f>SUM(H110*'Data Links'!$B$13)</f>
        <v>18.447480000000002</v>
      </c>
      <c r="I112" s="66">
        <f>SUM(I110*'Data Links'!$B$13)</f>
        <v>18.447480000000002</v>
      </c>
      <c r="J112" s="66">
        <f>SUM(J110*'Data Links'!$B$13)</f>
        <v>18.447480000000002</v>
      </c>
      <c r="K112" s="66">
        <f>SUM(K110*'Data Links'!$B$13)</f>
        <v>18.447480000000002</v>
      </c>
      <c r="L112" s="66">
        <f>SUM(L110*'Data Links'!$B$13)</f>
        <v>18.447480000000002</v>
      </c>
      <c r="M112" s="66">
        <f>SUM(M110*'Data Links'!$B$13)</f>
        <v>18.447480000000002</v>
      </c>
      <c r="N112" s="66">
        <f>SUM(N110*'Data Links'!$B$13)</f>
        <v>18.447480000000002</v>
      </c>
    </row>
    <row r="113" spans="1:14" x14ac:dyDescent="0.2">
      <c r="A113" s="59" t="s">
        <v>190</v>
      </c>
      <c r="B113" s="60"/>
      <c r="C113" s="66">
        <f>SUM(C109*'Data Links'!$B$8)</f>
        <v>13.5459</v>
      </c>
      <c r="D113" s="66">
        <f>SUM(D109*'Data Links'!$B$8)</f>
        <v>13.5459</v>
      </c>
      <c r="E113" s="66">
        <f>SUM(E109*'Data Links'!$B$8)</f>
        <v>13.5459</v>
      </c>
      <c r="F113" s="66">
        <f>SUM(F109*'Data Links'!$B$8)</f>
        <v>13.5459</v>
      </c>
      <c r="G113" s="66">
        <f>SUM(G109*'Data Links'!$B$8)</f>
        <v>13.5459</v>
      </c>
      <c r="H113" s="66">
        <f>SUM(H109*'Data Links'!$B$8)</f>
        <v>13.5459</v>
      </c>
      <c r="I113" s="66">
        <f>SUM(I109*'Data Links'!$B$8)</f>
        <v>13.5459</v>
      </c>
      <c r="J113" s="66">
        <f>SUM(J109*'Data Links'!$B$8)</f>
        <v>13.5459</v>
      </c>
      <c r="K113" s="66">
        <f>SUM(K109*'Data Links'!$B$8)</f>
        <v>13.5459</v>
      </c>
      <c r="L113" s="66">
        <f>SUM(L109*'Data Links'!$B$8)</f>
        <v>13.5459</v>
      </c>
      <c r="M113" s="66">
        <f>SUM(M109*'Data Links'!$B$8)</f>
        <v>13.5459</v>
      </c>
      <c r="N113" s="66">
        <f>SUM(N109*'Data Links'!$B$8)</f>
        <v>13.5459</v>
      </c>
    </row>
    <row r="114" spans="1:14" x14ac:dyDescent="0.2">
      <c r="A114" s="59" t="s">
        <v>191</v>
      </c>
      <c r="B114" s="60"/>
      <c r="C114" s="66">
        <f>SUM('All Employees'!$P$12)</f>
        <v>396.6078</v>
      </c>
      <c r="D114" s="66">
        <f>SUM('All Employees'!$P$12)</f>
        <v>396.6078</v>
      </c>
      <c r="E114" s="66">
        <f>SUM('All Employees'!$P$12)</f>
        <v>396.6078</v>
      </c>
      <c r="F114" s="66">
        <f>SUM('All Employees'!$P$12)</f>
        <v>396.6078</v>
      </c>
      <c r="G114" s="66">
        <f>SUM('All Employees'!$P$12)</f>
        <v>396.6078</v>
      </c>
      <c r="H114" s="66">
        <f>SUM('All Employees'!$P$12)</f>
        <v>396.6078</v>
      </c>
      <c r="I114" s="66">
        <f>SUM('All Employees'!$P$12)</f>
        <v>396.6078</v>
      </c>
      <c r="J114" s="66">
        <f>SUM('All Employees'!$P$12)</f>
        <v>396.6078</v>
      </c>
      <c r="K114" s="66">
        <f>SUM('All Employees'!$P$12)</f>
        <v>396.6078</v>
      </c>
      <c r="L114" s="66">
        <f>SUM('All Employees'!$P$12)</f>
        <v>396.6078</v>
      </c>
      <c r="M114" s="66">
        <f>SUM('All Employees'!$P$12)</f>
        <v>396.6078</v>
      </c>
      <c r="N114" s="66">
        <f>SUM('All Employees'!$P$12)</f>
        <v>396.6078</v>
      </c>
    </row>
    <row r="115" spans="1:14" x14ac:dyDescent="0.2">
      <c r="A115" s="59" t="s">
        <v>192</v>
      </c>
      <c r="B115" s="60"/>
      <c r="C115" s="66">
        <f>SUM(C110*'Data Links'!$B$17)</f>
        <v>92.237400000000008</v>
      </c>
      <c r="D115" s="66">
        <f>SUM(D110*'Data Links'!$B$17)</f>
        <v>92.237400000000008</v>
      </c>
      <c r="E115" s="66">
        <f>SUM(E110*'Data Links'!$B$17)</f>
        <v>92.237400000000008</v>
      </c>
      <c r="F115" s="66">
        <f>SUM(F110*'Data Links'!$B$17)</f>
        <v>92.237400000000008</v>
      </c>
      <c r="G115" s="66">
        <f>SUM(G110*'Data Links'!$B$17)</f>
        <v>92.237400000000008</v>
      </c>
      <c r="H115" s="66">
        <f>SUM(H110*'Data Links'!$B$17)</f>
        <v>92.237400000000008</v>
      </c>
      <c r="I115" s="66">
        <f>SUM(I110*'Data Links'!$B$17)</f>
        <v>92.237400000000008</v>
      </c>
      <c r="J115" s="66">
        <f>SUM(J110*'Data Links'!$B$17)</f>
        <v>92.237400000000008</v>
      </c>
      <c r="K115" s="66">
        <f>SUM(K110*'Data Links'!$B$17)</f>
        <v>92.237400000000008</v>
      </c>
      <c r="L115" s="66">
        <f>SUM(L110*'Data Links'!$B$17)</f>
        <v>92.237400000000008</v>
      </c>
      <c r="M115" s="66">
        <f>SUM(M110*'Data Links'!$B$17)</f>
        <v>92.237400000000008</v>
      </c>
      <c r="N115" s="66">
        <f>SUM(N110*'Data Links'!$B$17)</f>
        <v>92.237400000000008</v>
      </c>
    </row>
    <row r="116" spans="1:14" s="29" customFormat="1" x14ac:dyDescent="0.2">
      <c r="A116" s="58" t="s">
        <v>144</v>
      </c>
      <c r="B116" s="60"/>
      <c r="C116" s="60">
        <f t="shared" ref="C116:N116" si="17">SUM(C110:C115)</f>
        <v>3830.6239500000001</v>
      </c>
      <c r="D116" s="60">
        <f t="shared" si="17"/>
        <v>3830.6239500000001</v>
      </c>
      <c r="E116" s="60">
        <f t="shared" si="17"/>
        <v>3830.6239500000001</v>
      </c>
      <c r="F116" s="60">
        <f t="shared" si="17"/>
        <v>3830.6239500000001</v>
      </c>
      <c r="G116" s="60">
        <f t="shared" si="17"/>
        <v>3830.6239500000001</v>
      </c>
      <c r="H116" s="60">
        <f t="shared" si="17"/>
        <v>3830.6239500000001</v>
      </c>
      <c r="I116" s="60">
        <f t="shared" si="17"/>
        <v>3830.6239500000001</v>
      </c>
      <c r="J116" s="60">
        <f t="shared" si="17"/>
        <v>3830.6239500000001</v>
      </c>
      <c r="K116" s="60">
        <f t="shared" si="17"/>
        <v>3830.6239500000001</v>
      </c>
      <c r="L116" s="60">
        <f t="shared" si="17"/>
        <v>3830.6239500000001</v>
      </c>
      <c r="M116" s="60">
        <f t="shared" si="17"/>
        <v>3830.6239500000001</v>
      </c>
      <c r="N116" s="60">
        <f t="shared" si="17"/>
        <v>3830.6239500000001</v>
      </c>
    </row>
    <row r="117" spans="1:14" x14ac:dyDescent="0.2">
      <c r="A117" s="59"/>
      <c r="B117" s="60"/>
      <c r="C117" s="60"/>
      <c r="D117" s="66"/>
      <c r="E117" s="66"/>
      <c r="F117" s="66"/>
      <c r="G117" s="66"/>
      <c r="H117" s="66"/>
      <c r="I117" s="66"/>
      <c r="J117" s="66"/>
      <c r="K117" s="66"/>
      <c r="L117" s="66"/>
      <c r="M117" s="66"/>
      <c r="N117" s="66"/>
    </row>
    <row r="118" spans="1:14" x14ac:dyDescent="0.2">
      <c r="A118" s="59"/>
      <c r="B118" s="60"/>
      <c r="C118" s="89" t="str">
        <f>C105</f>
        <v>January</v>
      </c>
      <c r="D118" s="89" t="str">
        <f t="shared" ref="D118:N120" si="18">D105</f>
        <v>February</v>
      </c>
      <c r="E118" s="89" t="str">
        <f t="shared" si="18"/>
        <v>March</v>
      </c>
      <c r="F118" s="89" t="str">
        <f t="shared" si="18"/>
        <v>April</v>
      </c>
      <c r="G118" s="89" t="str">
        <f t="shared" si="18"/>
        <v>May</v>
      </c>
      <c r="H118" s="89" t="str">
        <f t="shared" si="18"/>
        <v>June</v>
      </c>
      <c r="I118" s="89" t="str">
        <f t="shared" si="18"/>
        <v>July</v>
      </c>
      <c r="J118" s="89" t="str">
        <f t="shared" si="18"/>
        <v>August</v>
      </c>
      <c r="K118" s="89" t="str">
        <f t="shared" si="18"/>
        <v>September</v>
      </c>
      <c r="L118" s="89" t="str">
        <f t="shared" si="18"/>
        <v>October</v>
      </c>
      <c r="M118" s="89" t="str">
        <f t="shared" si="18"/>
        <v>November</v>
      </c>
      <c r="N118" s="89" t="str">
        <f t="shared" si="18"/>
        <v>December</v>
      </c>
    </row>
    <row r="119" spans="1:14" x14ac:dyDescent="0.2">
      <c r="A119" s="59"/>
      <c r="B119" s="60"/>
      <c r="C119" s="72">
        <v>31</v>
      </c>
      <c r="D119" s="72">
        <v>31</v>
      </c>
      <c r="E119" s="72">
        <v>30</v>
      </c>
      <c r="F119" s="72">
        <v>31</v>
      </c>
      <c r="G119" s="72">
        <v>30</v>
      </c>
      <c r="H119" s="72">
        <v>31</v>
      </c>
      <c r="I119" s="72">
        <v>31</v>
      </c>
      <c r="J119" s="72">
        <v>28</v>
      </c>
      <c r="K119" s="72">
        <v>31</v>
      </c>
      <c r="L119" s="72">
        <v>30</v>
      </c>
      <c r="M119" s="72">
        <v>31</v>
      </c>
      <c r="N119" s="71">
        <v>30</v>
      </c>
    </row>
    <row r="120" spans="1:14" x14ac:dyDescent="0.2">
      <c r="A120" s="59"/>
      <c r="B120" s="89" t="s">
        <v>185</v>
      </c>
      <c r="C120" s="53">
        <f>C107</f>
        <v>1</v>
      </c>
      <c r="D120" s="53">
        <f t="shared" si="18"/>
        <v>0</v>
      </c>
      <c r="E120" s="53">
        <f t="shared" si="18"/>
        <v>1</v>
      </c>
      <c r="F120" s="53">
        <f t="shared" si="18"/>
        <v>0</v>
      </c>
      <c r="G120" s="53">
        <f t="shared" si="18"/>
        <v>2</v>
      </c>
      <c r="H120" s="53">
        <f t="shared" si="18"/>
        <v>0</v>
      </c>
      <c r="I120" s="53">
        <f t="shared" si="18"/>
        <v>2</v>
      </c>
      <c r="J120" s="53">
        <f t="shared" si="18"/>
        <v>1</v>
      </c>
      <c r="K120" s="53">
        <f t="shared" si="18"/>
        <v>0</v>
      </c>
      <c r="L120" s="53">
        <f t="shared" si="18"/>
        <v>0</v>
      </c>
      <c r="M120" s="53">
        <f t="shared" si="18"/>
        <v>1</v>
      </c>
      <c r="N120" s="53">
        <f t="shared" si="18"/>
        <v>0</v>
      </c>
    </row>
    <row r="121" spans="1:14" x14ac:dyDescent="0.2">
      <c r="A121" s="59"/>
      <c r="B121" s="89" t="s">
        <v>44</v>
      </c>
      <c r="C121" s="49">
        <v>1</v>
      </c>
      <c r="D121" s="49">
        <v>1</v>
      </c>
      <c r="E121" s="49">
        <v>1</v>
      </c>
      <c r="F121" s="49">
        <v>1</v>
      </c>
      <c r="G121" s="49">
        <v>1</v>
      </c>
      <c r="H121" s="49">
        <v>1</v>
      </c>
      <c r="I121" s="49">
        <v>1</v>
      </c>
      <c r="J121" s="49">
        <v>1</v>
      </c>
      <c r="K121" s="49">
        <v>1</v>
      </c>
      <c r="L121" s="49">
        <v>1</v>
      </c>
      <c r="M121" s="49">
        <v>1</v>
      </c>
      <c r="N121" s="49">
        <v>1</v>
      </c>
    </row>
    <row r="122" spans="1:14" x14ac:dyDescent="0.2">
      <c r="A122" s="59"/>
      <c r="B122" s="89" t="s">
        <v>186</v>
      </c>
      <c r="C122" s="53">
        <f>SUM(174*C121)</f>
        <v>174</v>
      </c>
      <c r="D122" s="53">
        <f t="shared" ref="D122:N122" si="19">SUM(174*D121)</f>
        <v>174</v>
      </c>
      <c r="E122" s="53">
        <f t="shared" si="19"/>
        <v>174</v>
      </c>
      <c r="F122" s="53">
        <f t="shared" si="19"/>
        <v>174</v>
      </c>
      <c r="G122" s="53">
        <f t="shared" si="19"/>
        <v>174</v>
      </c>
      <c r="H122" s="53">
        <f t="shared" si="19"/>
        <v>174</v>
      </c>
      <c r="I122" s="53">
        <f t="shared" si="19"/>
        <v>174</v>
      </c>
      <c r="J122" s="53">
        <f t="shared" si="19"/>
        <v>174</v>
      </c>
      <c r="K122" s="53">
        <f t="shared" si="19"/>
        <v>174</v>
      </c>
      <c r="L122" s="53">
        <f t="shared" si="19"/>
        <v>174</v>
      </c>
      <c r="M122" s="53">
        <f t="shared" si="19"/>
        <v>174</v>
      </c>
      <c r="N122" s="53">
        <f t="shared" si="19"/>
        <v>174</v>
      </c>
    </row>
    <row r="123" spans="1:14" x14ac:dyDescent="0.2">
      <c r="A123" s="59" t="s">
        <v>550</v>
      </c>
      <c r="B123" s="78" t="s">
        <v>187</v>
      </c>
      <c r="C123" s="66">
        <f>SUM(C122*$B$124)</f>
        <v>6942.5999999999995</v>
      </c>
      <c r="D123" s="66">
        <f t="shared" ref="D123:N123" si="20">SUM(D122*$B$124)</f>
        <v>6942.5999999999995</v>
      </c>
      <c r="E123" s="66">
        <f t="shared" si="20"/>
        <v>6942.5999999999995</v>
      </c>
      <c r="F123" s="66">
        <f t="shared" si="20"/>
        <v>6942.5999999999995</v>
      </c>
      <c r="G123" s="66">
        <f t="shared" si="20"/>
        <v>6942.5999999999995</v>
      </c>
      <c r="H123" s="66">
        <f t="shared" si="20"/>
        <v>6942.5999999999995</v>
      </c>
      <c r="I123" s="66">
        <f t="shared" si="20"/>
        <v>6942.5999999999995</v>
      </c>
      <c r="J123" s="66">
        <f t="shared" si="20"/>
        <v>6942.5999999999995</v>
      </c>
      <c r="K123" s="66">
        <f t="shared" si="20"/>
        <v>6942.5999999999995</v>
      </c>
      <c r="L123" s="66">
        <f t="shared" si="20"/>
        <v>6942.5999999999995</v>
      </c>
      <c r="M123" s="66">
        <f t="shared" si="20"/>
        <v>6942.5999999999995</v>
      </c>
      <c r="N123" s="66">
        <f t="shared" si="20"/>
        <v>6942.5999999999995</v>
      </c>
    </row>
    <row r="124" spans="1:14" x14ac:dyDescent="0.2">
      <c r="A124" s="59" t="s">
        <v>188</v>
      </c>
      <c r="B124" s="74">
        <v>39.9</v>
      </c>
      <c r="C124" s="66">
        <f>SUM(C123)*'Data Links'!$B$15</f>
        <v>531.10889999999995</v>
      </c>
      <c r="D124" s="66">
        <f>SUM(D123)*'Data Links'!$B$15</f>
        <v>531.10889999999995</v>
      </c>
      <c r="E124" s="66">
        <f>SUM(E123)*'Data Links'!$B$15</f>
        <v>531.10889999999995</v>
      </c>
      <c r="F124" s="66">
        <f>SUM(F123)*'Data Links'!$B$15</f>
        <v>531.10889999999995</v>
      </c>
      <c r="G124" s="66">
        <f>SUM(G123)*'Data Links'!$B$15</f>
        <v>531.10889999999995</v>
      </c>
      <c r="H124" s="66">
        <f>SUM(H123)*'Data Links'!$B$15</f>
        <v>531.10889999999995</v>
      </c>
      <c r="I124" s="66">
        <f>SUM(I123)*'Data Links'!$B$15</f>
        <v>531.10889999999995</v>
      </c>
      <c r="J124" s="66">
        <f>SUM(J123)*'Data Links'!$B$15</f>
        <v>531.10889999999995</v>
      </c>
      <c r="K124" s="66">
        <f>SUM(K123)*'Data Links'!$B$15</f>
        <v>531.10889999999995</v>
      </c>
      <c r="L124" s="66">
        <f>SUM(L123)*'Data Links'!$B$15</f>
        <v>531.10889999999995</v>
      </c>
      <c r="M124" s="66">
        <f>SUM(M123)*'Data Links'!$B$15</f>
        <v>531.10889999999995</v>
      </c>
      <c r="N124" s="66">
        <f>SUM(N123)*'Data Links'!$B$15</f>
        <v>531.10889999999995</v>
      </c>
    </row>
    <row r="125" spans="1:14" x14ac:dyDescent="0.2">
      <c r="A125" s="59" t="s">
        <v>189</v>
      </c>
      <c r="B125" s="60"/>
      <c r="C125" s="66">
        <f>SUM(C123*'Data Links'!$B$13)</f>
        <v>41.6556</v>
      </c>
      <c r="D125" s="66">
        <f>SUM(D123*'Data Links'!$B$13)</f>
        <v>41.6556</v>
      </c>
      <c r="E125" s="66">
        <f>SUM(E123*'Data Links'!$B$13)</f>
        <v>41.6556</v>
      </c>
      <c r="F125" s="66">
        <f>SUM(F123*'Data Links'!$B$13)</f>
        <v>41.6556</v>
      </c>
      <c r="G125" s="66">
        <f>SUM(G123*'Data Links'!$B$13)</f>
        <v>41.6556</v>
      </c>
      <c r="H125" s="66">
        <f>SUM(H123*'Data Links'!$B$13)</f>
        <v>41.6556</v>
      </c>
      <c r="I125" s="66">
        <f>SUM(I123*'Data Links'!$B$13)</f>
        <v>41.6556</v>
      </c>
      <c r="J125" s="66">
        <f>SUM(J123*'Data Links'!$B$13)</f>
        <v>41.6556</v>
      </c>
      <c r="K125" s="66">
        <f>SUM(K123*'Data Links'!$B$13)</f>
        <v>41.6556</v>
      </c>
      <c r="L125" s="66">
        <f>SUM(L123*'Data Links'!$B$13)</f>
        <v>41.6556</v>
      </c>
      <c r="M125" s="66">
        <f>SUM(M123*'Data Links'!$B$13)</f>
        <v>41.6556</v>
      </c>
      <c r="N125" s="66">
        <f>SUM(N123*'Data Links'!$B$13)</f>
        <v>41.6556</v>
      </c>
    </row>
    <row r="126" spans="1:14" x14ac:dyDescent="0.2">
      <c r="A126" s="59" t="s">
        <v>190</v>
      </c>
      <c r="B126" s="60"/>
      <c r="C126" s="66">
        <f>SUM(C122*'Data Links'!$B$8)</f>
        <v>13.5459</v>
      </c>
      <c r="D126" s="66">
        <f>SUM(D122*'Data Links'!$B$8)</f>
        <v>13.5459</v>
      </c>
      <c r="E126" s="66">
        <f>SUM(E122*'Data Links'!$B$8)</f>
        <v>13.5459</v>
      </c>
      <c r="F126" s="66">
        <f>SUM(F122*'Data Links'!$B$8)</f>
        <v>13.5459</v>
      </c>
      <c r="G126" s="66">
        <f>SUM(G122*'Data Links'!$B$8)</f>
        <v>13.5459</v>
      </c>
      <c r="H126" s="66">
        <f>SUM(H122*'Data Links'!$B$8)</f>
        <v>13.5459</v>
      </c>
      <c r="I126" s="66">
        <f>SUM(I122*'Data Links'!$B$8)</f>
        <v>13.5459</v>
      </c>
      <c r="J126" s="66">
        <f>SUM(J122*'Data Links'!$B$8)</f>
        <v>13.5459</v>
      </c>
      <c r="K126" s="66">
        <f>SUM(K122*'Data Links'!$B$8)</f>
        <v>13.5459</v>
      </c>
      <c r="L126" s="66">
        <f>SUM(L122*'Data Links'!$B$8)</f>
        <v>13.5459</v>
      </c>
      <c r="M126" s="66">
        <f>SUM(M122*'Data Links'!$B$8)</f>
        <v>13.5459</v>
      </c>
      <c r="N126" s="66">
        <f>SUM(N122*'Data Links'!$B$8)</f>
        <v>13.5459</v>
      </c>
    </row>
    <row r="127" spans="1:14" x14ac:dyDescent="0.2">
      <c r="A127" s="59" t="s">
        <v>191</v>
      </c>
      <c r="B127" s="60"/>
      <c r="C127" s="66">
        <f>SUM('All Employees'!$P$9)</f>
        <v>426</v>
      </c>
      <c r="D127" s="66">
        <f>SUM('All Employees'!$P$9)</f>
        <v>426</v>
      </c>
      <c r="E127" s="66">
        <f>SUM('All Employees'!$P$9)</f>
        <v>426</v>
      </c>
      <c r="F127" s="66">
        <f>SUM('All Employees'!$P$9)</f>
        <v>426</v>
      </c>
      <c r="G127" s="66">
        <f>SUM('All Employees'!$P$9)</f>
        <v>426</v>
      </c>
      <c r="H127" s="66">
        <f>SUM('All Employees'!$P$9)</f>
        <v>426</v>
      </c>
      <c r="I127" s="66">
        <f>SUM('All Employees'!$P$9)</f>
        <v>426</v>
      </c>
      <c r="J127" s="66">
        <f>SUM('All Employees'!$P$9)</f>
        <v>426</v>
      </c>
      <c r="K127" s="66">
        <f>SUM('All Employees'!$P$9)</f>
        <v>426</v>
      </c>
      <c r="L127" s="66">
        <f>SUM('All Employees'!$P$9)</f>
        <v>426</v>
      </c>
      <c r="M127" s="66">
        <f>SUM('All Employees'!$P$9)</f>
        <v>426</v>
      </c>
      <c r="N127" s="66">
        <f>SUM('All Employees'!$P$9)</f>
        <v>426</v>
      </c>
    </row>
    <row r="128" spans="1:14" x14ac:dyDescent="0.2">
      <c r="A128" s="59" t="s">
        <v>192</v>
      </c>
      <c r="B128" s="60"/>
      <c r="C128" s="66">
        <f>SUM(C123*'Data Links'!$B$17)</f>
        <v>208.27799999999996</v>
      </c>
      <c r="D128" s="66">
        <f>SUM(D123*'Data Links'!$B$17)</f>
        <v>208.27799999999996</v>
      </c>
      <c r="E128" s="66">
        <f>SUM(E123*'Data Links'!$B$17)</f>
        <v>208.27799999999996</v>
      </c>
      <c r="F128" s="66">
        <f>SUM(F123*'Data Links'!$B$17)</f>
        <v>208.27799999999996</v>
      </c>
      <c r="G128" s="66">
        <f>SUM(G123*'Data Links'!$B$17)</f>
        <v>208.27799999999996</v>
      </c>
      <c r="H128" s="66">
        <f>SUM(H123*'Data Links'!$B$17)</f>
        <v>208.27799999999996</v>
      </c>
      <c r="I128" s="66">
        <f>SUM(I123*'Data Links'!$B$17)</f>
        <v>208.27799999999996</v>
      </c>
      <c r="J128" s="66">
        <f>SUM(J123*'Data Links'!$B$17)</f>
        <v>208.27799999999996</v>
      </c>
      <c r="K128" s="66">
        <f>SUM(K123*'Data Links'!$B$17)</f>
        <v>208.27799999999996</v>
      </c>
      <c r="L128" s="66">
        <f>SUM(L123*'Data Links'!$B$17)</f>
        <v>208.27799999999996</v>
      </c>
      <c r="M128" s="66">
        <f>SUM(M123*'Data Links'!$B$17)</f>
        <v>208.27799999999996</v>
      </c>
      <c r="N128" s="66">
        <f>SUM(N123*'Data Links'!$B$17)</f>
        <v>208.27799999999996</v>
      </c>
    </row>
    <row r="129" spans="1:15" s="29" customFormat="1" x14ac:dyDescent="0.2">
      <c r="A129" s="58" t="s">
        <v>144</v>
      </c>
      <c r="B129" s="60">
        <f>SUM(C129:N129)</f>
        <v>97958.260800000004</v>
      </c>
      <c r="C129" s="60">
        <f t="shared" ref="C129:N129" si="21">SUM(C123:C128)</f>
        <v>8163.1884</v>
      </c>
      <c r="D129" s="60">
        <f t="shared" si="21"/>
        <v>8163.1884</v>
      </c>
      <c r="E129" s="60">
        <f t="shared" si="21"/>
        <v>8163.1884</v>
      </c>
      <c r="F129" s="60">
        <f t="shared" si="21"/>
        <v>8163.1884</v>
      </c>
      <c r="G129" s="60">
        <f t="shared" si="21"/>
        <v>8163.1884</v>
      </c>
      <c r="H129" s="60">
        <f t="shared" si="21"/>
        <v>8163.1884</v>
      </c>
      <c r="I129" s="60">
        <f t="shared" si="21"/>
        <v>8163.1884</v>
      </c>
      <c r="J129" s="60">
        <f t="shared" si="21"/>
        <v>8163.1884</v>
      </c>
      <c r="K129" s="60">
        <f t="shared" si="21"/>
        <v>8163.1884</v>
      </c>
      <c r="L129" s="60">
        <f t="shared" si="21"/>
        <v>8163.1884</v>
      </c>
      <c r="M129" s="60">
        <f t="shared" si="21"/>
        <v>8163.1884</v>
      </c>
      <c r="N129" s="60">
        <f t="shared" si="21"/>
        <v>8163.1884</v>
      </c>
    </row>
    <row r="130" spans="1:15" x14ac:dyDescent="0.2">
      <c r="A130" s="59"/>
      <c r="B130" s="60"/>
      <c r="C130" s="60"/>
      <c r="D130" s="66"/>
      <c r="E130" s="66"/>
      <c r="F130" s="66"/>
      <c r="G130" s="66"/>
      <c r="H130" s="66"/>
      <c r="I130" s="66"/>
      <c r="J130" s="66"/>
      <c r="K130" s="66"/>
      <c r="L130" s="66"/>
      <c r="M130" s="66"/>
      <c r="N130" s="66"/>
    </row>
    <row r="131" spans="1:15" x14ac:dyDescent="0.2">
      <c r="A131" s="59"/>
      <c r="B131" s="60"/>
      <c r="C131" s="89" t="str">
        <f>C118</f>
        <v>January</v>
      </c>
      <c r="D131" s="89" t="str">
        <f t="shared" ref="D131:N131" si="22">D118</f>
        <v>February</v>
      </c>
      <c r="E131" s="89" t="str">
        <f t="shared" si="22"/>
        <v>March</v>
      </c>
      <c r="F131" s="89" t="str">
        <f t="shared" si="22"/>
        <v>April</v>
      </c>
      <c r="G131" s="89" t="str">
        <f t="shared" si="22"/>
        <v>May</v>
      </c>
      <c r="H131" s="89" t="str">
        <f t="shared" si="22"/>
        <v>June</v>
      </c>
      <c r="I131" s="89" t="str">
        <f t="shared" si="22"/>
        <v>July</v>
      </c>
      <c r="J131" s="89" t="str">
        <f t="shared" si="22"/>
        <v>August</v>
      </c>
      <c r="K131" s="89" t="str">
        <f t="shared" si="22"/>
        <v>September</v>
      </c>
      <c r="L131" s="89" t="str">
        <f t="shared" si="22"/>
        <v>October</v>
      </c>
      <c r="M131" s="89" t="str">
        <f t="shared" si="22"/>
        <v>November</v>
      </c>
      <c r="N131" s="89" t="str">
        <f t="shared" si="22"/>
        <v>December</v>
      </c>
    </row>
    <row r="132" spans="1:15" x14ac:dyDescent="0.2">
      <c r="A132" s="59"/>
      <c r="B132" s="60"/>
      <c r="C132" s="72">
        <v>31</v>
      </c>
      <c r="D132" s="72">
        <v>31</v>
      </c>
      <c r="E132" s="72">
        <v>30</v>
      </c>
      <c r="F132" s="72">
        <v>31</v>
      </c>
      <c r="G132" s="72">
        <v>30</v>
      </c>
      <c r="H132" s="72">
        <v>31</v>
      </c>
      <c r="I132" s="72">
        <v>31</v>
      </c>
      <c r="J132" s="72">
        <v>28</v>
      </c>
      <c r="K132" s="72">
        <v>31</v>
      </c>
      <c r="L132" s="72">
        <v>30</v>
      </c>
      <c r="M132" s="72">
        <v>31</v>
      </c>
      <c r="N132" s="71">
        <v>30</v>
      </c>
    </row>
    <row r="133" spans="1:15" x14ac:dyDescent="0.2">
      <c r="A133" s="59"/>
      <c r="B133" s="78" t="s">
        <v>185</v>
      </c>
      <c r="C133" s="78">
        <f t="shared" ref="C133:N133" si="23">C120</f>
        <v>1</v>
      </c>
      <c r="D133" s="78">
        <f t="shared" si="23"/>
        <v>0</v>
      </c>
      <c r="E133" s="78">
        <f t="shared" si="23"/>
        <v>1</v>
      </c>
      <c r="F133" s="78">
        <f t="shared" si="23"/>
        <v>0</v>
      </c>
      <c r="G133" s="78">
        <f t="shared" si="23"/>
        <v>2</v>
      </c>
      <c r="H133" s="78">
        <f t="shared" si="23"/>
        <v>0</v>
      </c>
      <c r="I133" s="78">
        <f t="shared" si="23"/>
        <v>2</v>
      </c>
      <c r="J133" s="78">
        <f t="shared" si="23"/>
        <v>1</v>
      </c>
      <c r="K133" s="78">
        <f t="shared" si="23"/>
        <v>0</v>
      </c>
      <c r="L133" s="78">
        <f t="shared" si="23"/>
        <v>0</v>
      </c>
      <c r="M133" s="78">
        <f t="shared" si="23"/>
        <v>1</v>
      </c>
      <c r="N133" s="78">
        <f t="shared" si="23"/>
        <v>0</v>
      </c>
    </row>
    <row r="134" spans="1:15" x14ac:dyDescent="0.2">
      <c r="A134" s="59"/>
      <c r="B134" s="78" t="s">
        <v>44</v>
      </c>
      <c r="C134" s="49">
        <v>0.5</v>
      </c>
      <c r="D134" s="49">
        <v>0.5</v>
      </c>
      <c r="E134" s="49">
        <v>0.5</v>
      </c>
      <c r="F134" s="49">
        <v>0.5</v>
      </c>
      <c r="G134" s="49">
        <v>0.5</v>
      </c>
      <c r="H134" s="49">
        <v>0.5</v>
      </c>
      <c r="I134" s="49">
        <v>0.5</v>
      </c>
      <c r="J134" s="49">
        <v>0.5</v>
      </c>
      <c r="K134" s="49">
        <v>0.5</v>
      </c>
      <c r="L134" s="49">
        <v>0.5</v>
      </c>
      <c r="M134" s="49">
        <v>0.5</v>
      </c>
      <c r="N134" s="49">
        <v>0.5</v>
      </c>
    </row>
    <row r="135" spans="1:15" x14ac:dyDescent="0.2">
      <c r="A135" s="59"/>
      <c r="B135" s="78" t="s">
        <v>186</v>
      </c>
      <c r="C135" s="53">
        <f>SUM(174*C134)</f>
        <v>87</v>
      </c>
      <c r="D135" s="53">
        <f t="shared" ref="D135:N135" si="24">SUM(174*D134)</f>
        <v>87</v>
      </c>
      <c r="E135" s="53">
        <f t="shared" si="24"/>
        <v>87</v>
      </c>
      <c r="F135" s="53">
        <f t="shared" si="24"/>
        <v>87</v>
      </c>
      <c r="G135" s="53">
        <f t="shared" si="24"/>
        <v>87</v>
      </c>
      <c r="H135" s="53">
        <f t="shared" si="24"/>
        <v>87</v>
      </c>
      <c r="I135" s="53">
        <f t="shared" si="24"/>
        <v>87</v>
      </c>
      <c r="J135" s="53">
        <f t="shared" si="24"/>
        <v>87</v>
      </c>
      <c r="K135" s="53">
        <f t="shared" si="24"/>
        <v>87</v>
      </c>
      <c r="L135" s="53">
        <f t="shared" si="24"/>
        <v>87</v>
      </c>
      <c r="M135" s="53">
        <f t="shared" si="24"/>
        <v>87</v>
      </c>
      <c r="N135" s="53">
        <f t="shared" si="24"/>
        <v>87</v>
      </c>
    </row>
    <row r="136" spans="1:15" x14ac:dyDescent="0.2">
      <c r="A136" s="59" t="s">
        <v>62</v>
      </c>
      <c r="B136" s="78" t="s">
        <v>187</v>
      </c>
      <c r="C136" s="66">
        <f>SUM(C135*$B$137)</f>
        <v>1702.59</v>
      </c>
      <c r="D136" s="66">
        <f t="shared" ref="D136:N136" si="25">SUM(D135*$B$137)</f>
        <v>1702.59</v>
      </c>
      <c r="E136" s="66">
        <f t="shared" si="25"/>
        <v>1702.59</v>
      </c>
      <c r="F136" s="66">
        <f t="shared" si="25"/>
        <v>1702.59</v>
      </c>
      <c r="G136" s="66">
        <f t="shared" si="25"/>
        <v>1702.59</v>
      </c>
      <c r="H136" s="66">
        <f t="shared" si="25"/>
        <v>1702.59</v>
      </c>
      <c r="I136" s="66">
        <f t="shared" si="25"/>
        <v>1702.59</v>
      </c>
      <c r="J136" s="66">
        <f t="shared" si="25"/>
        <v>1702.59</v>
      </c>
      <c r="K136" s="66">
        <f t="shared" si="25"/>
        <v>1702.59</v>
      </c>
      <c r="L136" s="66">
        <f t="shared" si="25"/>
        <v>1702.59</v>
      </c>
      <c r="M136" s="66">
        <f t="shared" si="25"/>
        <v>1702.59</v>
      </c>
      <c r="N136" s="66">
        <f t="shared" si="25"/>
        <v>1702.59</v>
      </c>
    </row>
    <row r="137" spans="1:15" x14ac:dyDescent="0.2">
      <c r="A137" s="59" t="s">
        <v>188</v>
      </c>
      <c r="B137" s="74">
        <v>19.57</v>
      </c>
      <c r="C137" s="66">
        <f>SUM(C136)*'Data Links'!$B$15</f>
        <v>130.24813499999999</v>
      </c>
      <c r="D137" s="66">
        <f>SUM(D136)*'Data Links'!$B$15</f>
        <v>130.24813499999999</v>
      </c>
      <c r="E137" s="66">
        <f>SUM(E136)*'Data Links'!$B$15</f>
        <v>130.24813499999999</v>
      </c>
      <c r="F137" s="66">
        <f>SUM(F136)*'Data Links'!$B$15</f>
        <v>130.24813499999999</v>
      </c>
      <c r="G137" s="66">
        <f>SUM(G136)*'Data Links'!$B$15</f>
        <v>130.24813499999999</v>
      </c>
      <c r="H137" s="66">
        <f>SUM(H136)*'Data Links'!$B$15</f>
        <v>130.24813499999999</v>
      </c>
      <c r="I137" s="66">
        <f>SUM(I136)*'Data Links'!$B$15</f>
        <v>130.24813499999999</v>
      </c>
      <c r="J137" s="66">
        <f>SUM(J136)*'Data Links'!$B$15</f>
        <v>130.24813499999999</v>
      </c>
      <c r="K137" s="66">
        <f>SUM(K136)*'Data Links'!$B$15</f>
        <v>130.24813499999999</v>
      </c>
      <c r="L137" s="66">
        <f>SUM(L136)*'Data Links'!$B$15</f>
        <v>130.24813499999999</v>
      </c>
      <c r="M137" s="66">
        <f>SUM(M136)*'Data Links'!$B$15</f>
        <v>130.24813499999999</v>
      </c>
      <c r="N137" s="66">
        <f>SUM(N136)*'Data Links'!$B$15</f>
        <v>130.24813499999999</v>
      </c>
    </row>
    <row r="138" spans="1:15" x14ac:dyDescent="0.2">
      <c r="A138" s="59" t="s">
        <v>189</v>
      </c>
      <c r="B138" s="74">
        <v>15.75</v>
      </c>
      <c r="C138" s="66">
        <f>SUM(C136*'Data Links'!$B$13)</f>
        <v>10.215539999999999</v>
      </c>
      <c r="D138" s="66">
        <f>SUM(D136*'Data Links'!$B$13)</f>
        <v>10.215539999999999</v>
      </c>
      <c r="E138" s="66">
        <f>SUM(E136*'Data Links'!$B$13)</f>
        <v>10.215539999999999</v>
      </c>
      <c r="F138" s="66">
        <f>SUM(F136*'Data Links'!$B$13)</f>
        <v>10.215539999999999</v>
      </c>
      <c r="G138" s="66">
        <f>SUM(G136*'Data Links'!$B$13)</f>
        <v>10.215539999999999</v>
      </c>
      <c r="H138" s="66">
        <f>SUM(H136*'Data Links'!$B$13)</f>
        <v>10.215539999999999</v>
      </c>
      <c r="I138" s="66">
        <f>SUM(I136*'Data Links'!$B$13)</f>
        <v>10.215539999999999</v>
      </c>
      <c r="J138" s="66">
        <f>SUM(J136*'Data Links'!$B$13)</f>
        <v>10.215539999999999</v>
      </c>
      <c r="K138" s="66">
        <f>SUM(K136*'Data Links'!$B$13)</f>
        <v>10.215539999999999</v>
      </c>
      <c r="L138" s="66">
        <f>SUM(L136*'Data Links'!$B$13)</f>
        <v>10.215539999999999</v>
      </c>
      <c r="M138" s="66">
        <f>SUM(M136*'Data Links'!$B$13)</f>
        <v>10.215539999999999</v>
      </c>
      <c r="N138" s="66">
        <f>SUM(N136*'Data Links'!$B$13)</f>
        <v>10.215539999999999</v>
      </c>
    </row>
    <row r="139" spans="1:15" x14ac:dyDescent="0.2">
      <c r="A139" s="59" t="s">
        <v>190</v>
      </c>
      <c r="B139" s="60"/>
      <c r="C139" s="66">
        <f>SUM(C135*'Data Links'!$B$8)</f>
        <v>6.7729499999999998</v>
      </c>
      <c r="D139" s="66">
        <f>SUM(D135*'Data Links'!$B$8)</f>
        <v>6.7729499999999998</v>
      </c>
      <c r="E139" s="66">
        <f>SUM(E135*'Data Links'!$B$8)</f>
        <v>6.7729499999999998</v>
      </c>
      <c r="F139" s="66">
        <f>SUM(F135*'Data Links'!$B$8)</f>
        <v>6.7729499999999998</v>
      </c>
      <c r="G139" s="66">
        <f>SUM(G135*'Data Links'!$B$8)</f>
        <v>6.7729499999999998</v>
      </c>
      <c r="H139" s="66">
        <f>SUM(H135*'Data Links'!$B$8)</f>
        <v>6.7729499999999998</v>
      </c>
      <c r="I139" s="66">
        <f>SUM(I135*'Data Links'!$B$8)</f>
        <v>6.7729499999999998</v>
      </c>
      <c r="J139" s="66">
        <f>SUM(J135*'Data Links'!$B$8)</f>
        <v>6.7729499999999998</v>
      </c>
      <c r="K139" s="66">
        <f>SUM(K135*'Data Links'!$B$8)</f>
        <v>6.7729499999999998</v>
      </c>
      <c r="L139" s="66">
        <f>SUM(L135*'Data Links'!$B$8)</f>
        <v>6.7729499999999998</v>
      </c>
      <c r="M139" s="66">
        <f>SUM(M135*'Data Links'!$B$8)</f>
        <v>6.7729499999999998</v>
      </c>
      <c r="N139" s="66">
        <f>SUM(N135*'Data Links'!$B$8)</f>
        <v>6.7729499999999998</v>
      </c>
    </row>
    <row r="140" spans="1:15" x14ac:dyDescent="0.2">
      <c r="A140" s="59" t="s">
        <v>191</v>
      </c>
      <c r="B140" s="60"/>
      <c r="C140" s="66"/>
      <c r="D140" s="66"/>
      <c r="E140" s="66"/>
      <c r="F140" s="66"/>
      <c r="G140" s="66"/>
      <c r="H140" s="66"/>
      <c r="I140" s="66"/>
      <c r="J140" s="66"/>
      <c r="K140" s="66"/>
      <c r="L140" s="66"/>
      <c r="M140" s="66"/>
      <c r="N140" s="66"/>
    </row>
    <row r="141" spans="1:15" x14ac:dyDescent="0.2">
      <c r="A141" s="59" t="s">
        <v>192</v>
      </c>
      <c r="B141" s="60"/>
      <c r="C141" s="66">
        <f>SUM(C136*'Data Links'!$B$17)</f>
        <v>51.077699999999993</v>
      </c>
      <c r="D141" s="66">
        <f>SUM(D136*'Data Links'!$B$17)</f>
        <v>51.077699999999993</v>
      </c>
      <c r="E141" s="66">
        <f>SUM(E136*'Data Links'!$B$17)</f>
        <v>51.077699999999993</v>
      </c>
      <c r="F141" s="66">
        <f>SUM(F136*'Data Links'!$B$17)</f>
        <v>51.077699999999993</v>
      </c>
      <c r="G141" s="66">
        <f>SUM(G136*'Data Links'!$B$17)</f>
        <v>51.077699999999993</v>
      </c>
      <c r="H141" s="66">
        <f>SUM(H136*'Data Links'!$B$17)</f>
        <v>51.077699999999993</v>
      </c>
      <c r="I141" s="66">
        <f>SUM(I136*'Data Links'!$B$17)</f>
        <v>51.077699999999993</v>
      </c>
      <c r="J141" s="66">
        <f>SUM(J136*'Data Links'!$B$17)</f>
        <v>51.077699999999993</v>
      </c>
      <c r="K141" s="66">
        <f>SUM(K136*'Data Links'!$B$17)</f>
        <v>51.077699999999993</v>
      </c>
      <c r="L141" s="66">
        <f>SUM(L136*'Data Links'!$B$17)</f>
        <v>51.077699999999993</v>
      </c>
      <c r="M141" s="66">
        <f>SUM(M136*'Data Links'!$B$17)</f>
        <v>51.077699999999993</v>
      </c>
      <c r="N141" s="66">
        <f>SUM(N136*'Data Links'!$B$17)</f>
        <v>51.077699999999993</v>
      </c>
    </row>
    <row r="142" spans="1:15" s="29" customFormat="1" x14ac:dyDescent="0.2">
      <c r="A142" s="58" t="s">
        <v>144</v>
      </c>
      <c r="B142" s="60"/>
      <c r="C142" s="60">
        <f t="shared" ref="C142:N142" si="26">SUM(C136:C141)</f>
        <v>1900.904325</v>
      </c>
      <c r="D142" s="60">
        <f t="shared" si="26"/>
        <v>1900.904325</v>
      </c>
      <c r="E142" s="60">
        <f t="shared" si="26"/>
        <v>1900.904325</v>
      </c>
      <c r="F142" s="60">
        <f t="shared" si="26"/>
        <v>1900.904325</v>
      </c>
      <c r="G142" s="60">
        <f t="shared" si="26"/>
        <v>1900.904325</v>
      </c>
      <c r="H142" s="60">
        <f t="shared" si="26"/>
        <v>1900.904325</v>
      </c>
      <c r="I142" s="60">
        <f t="shared" si="26"/>
        <v>1900.904325</v>
      </c>
      <c r="J142" s="60">
        <f t="shared" si="26"/>
        <v>1900.904325</v>
      </c>
      <c r="K142" s="60">
        <f t="shared" si="26"/>
        <v>1900.904325</v>
      </c>
      <c r="L142" s="60">
        <f t="shared" si="26"/>
        <v>1900.904325</v>
      </c>
      <c r="M142" s="60">
        <f t="shared" si="26"/>
        <v>1900.904325</v>
      </c>
      <c r="N142" s="60">
        <f t="shared" si="26"/>
        <v>1900.904325</v>
      </c>
      <c r="O142" s="60">
        <f>SUM(C142:N142)</f>
        <v>22810.851899999998</v>
      </c>
    </row>
    <row r="143" spans="1:15" x14ac:dyDescent="0.2">
      <c r="A143" s="59"/>
      <c r="B143" s="60"/>
      <c r="C143" s="60"/>
      <c r="D143" s="66"/>
      <c r="E143" s="66"/>
      <c r="F143" s="66"/>
      <c r="G143" s="66"/>
      <c r="H143" s="66"/>
      <c r="I143" s="66"/>
      <c r="J143" s="66"/>
      <c r="K143" s="66"/>
      <c r="L143" s="66"/>
      <c r="M143" s="66"/>
      <c r="N143" s="66"/>
    </row>
    <row r="144" spans="1:15" x14ac:dyDescent="0.2">
      <c r="A144" s="59"/>
      <c r="B144" s="60"/>
      <c r="C144" s="89" t="str">
        <f>C131</f>
        <v>January</v>
      </c>
      <c r="D144" s="89" t="str">
        <f t="shared" ref="D144:N144" si="27">D131</f>
        <v>February</v>
      </c>
      <c r="E144" s="89" t="str">
        <f t="shared" si="27"/>
        <v>March</v>
      </c>
      <c r="F144" s="89" t="str">
        <f t="shared" si="27"/>
        <v>April</v>
      </c>
      <c r="G144" s="89" t="str">
        <f t="shared" si="27"/>
        <v>May</v>
      </c>
      <c r="H144" s="89" t="str">
        <f t="shared" si="27"/>
        <v>June</v>
      </c>
      <c r="I144" s="89" t="str">
        <f t="shared" si="27"/>
        <v>July</v>
      </c>
      <c r="J144" s="89" t="str">
        <f t="shared" si="27"/>
        <v>August</v>
      </c>
      <c r="K144" s="89" t="str">
        <f t="shared" si="27"/>
        <v>September</v>
      </c>
      <c r="L144" s="89" t="str">
        <f t="shared" si="27"/>
        <v>October</v>
      </c>
      <c r="M144" s="89" t="str">
        <f t="shared" si="27"/>
        <v>November</v>
      </c>
      <c r="N144" s="89" t="str">
        <f t="shared" si="27"/>
        <v>December</v>
      </c>
    </row>
    <row r="145" spans="1:14" x14ac:dyDescent="0.2">
      <c r="A145" s="59"/>
      <c r="B145" s="60"/>
      <c r="C145" s="72">
        <v>31</v>
      </c>
      <c r="D145" s="72">
        <v>31</v>
      </c>
      <c r="E145" s="72">
        <v>30</v>
      </c>
      <c r="F145" s="72">
        <v>31</v>
      </c>
      <c r="G145" s="72">
        <v>30</v>
      </c>
      <c r="H145" s="72">
        <v>31</v>
      </c>
      <c r="I145" s="72">
        <v>31</v>
      </c>
      <c r="J145" s="72">
        <v>28</v>
      </c>
      <c r="K145" s="72">
        <v>31</v>
      </c>
      <c r="L145" s="72">
        <v>30</v>
      </c>
      <c r="M145" s="72">
        <v>31</v>
      </c>
      <c r="N145" s="71">
        <v>30</v>
      </c>
    </row>
    <row r="146" spans="1:14" x14ac:dyDescent="0.2">
      <c r="A146" s="59"/>
      <c r="B146" s="89" t="s">
        <v>185</v>
      </c>
      <c r="C146" s="89">
        <f t="shared" ref="C146" si="28">C133</f>
        <v>1</v>
      </c>
      <c r="D146" s="72">
        <f t="shared" ref="D146:N146" si="29">D133</f>
        <v>0</v>
      </c>
      <c r="E146" s="72">
        <f t="shared" si="29"/>
        <v>1</v>
      </c>
      <c r="F146" s="72">
        <f t="shared" si="29"/>
        <v>0</v>
      </c>
      <c r="G146" s="72">
        <f t="shared" si="29"/>
        <v>2</v>
      </c>
      <c r="H146" s="72">
        <f t="shared" si="29"/>
        <v>0</v>
      </c>
      <c r="I146" s="72">
        <f t="shared" si="29"/>
        <v>2</v>
      </c>
      <c r="J146" s="72">
        <f t="shared" si="29"/>
        <v>1</v>
      </c>
      <c r="K146" s="72">
        <f t="shared" si="29"/>
        <v>0</v>
      </c>
      <c r="L146" s="72">
        <f t="shared" si="29"/>
        <v>0</v>
      </c>
      <c r="M146" s="72">
        <f t="shared" si="29"/>
        <v>1</v>
      </c>
      <c r="N146" s="72">
        <f t="shared" si="29"/>
        <v>0</v>
      </c>
    </row>
    <row r="147" spans="1:14" x14ac:dyDescent="0.2">
      <c r="A147" s="59"/>
      <c r="B147" s="89" t="s">
        <v>44</v>
      </c>
      <c r="C147" s="49">
        <v>0.5</v>
      </c>
      <c r="D147" s="49">
        <v>0.5</v>
      </c>
      <c r="E147" s="49">
        <v>0.5</v>
      </c>
      <c r="F147" s="49">
        <v>0.5</v>
      </c>
      <c r="G147" s="49">
        <v>0.5</v>
      </c>
      <c r="H147" s="49">
        <v>0.5</v>
      </c>
      <c r="I147" s="49">
        <v>0.5</v>
      </c>
      <c r="J147" s="49">
        <v>0.5</v>
      </c>
      <c r="K147" s="49">
        <v>0.5</v>
      </c>
      <c r="L147" s="49">
        <v>0.5</v>
      </c>
      <c r="M147" s="49">
        <v>0.5</v>
      </c>
      <c r="N147" s="49">
        <v>0.5</v>
      </c>
    </row>
    <row r="148" spans="1:14" x14ac:dyDescent="0.2">
      <c r="A148" s="59"/>
      <c r="B148" s="89" t="s">
        <v>186</v>
      </c>
      <c r="C148" s="53">
        <f t="shared" ref="C148:N148" si="30">SUM(174*C147)</f>
        <v>87</v>
      </c>
      <c r="D148" s="53">
        <f t="shared" si="30"/>
        <v>87</v>
      </c>
      <c r="E148" s="53">
        <f t="shared" si="30"/>
        <v>87</v>
      </c>
      <c r="F148" s="53">
        <f t="shared" si="30"/>
        <v>87</v>
      </c>
      <c r="G148" s="53">
        <f t="shared" si="30"/>
        <v>87</v>
      </c>
      <c r="H148" s="53">
        <f t="shared" si="30"/>
        <v>87</v>
      </c>
      <c r="I148" s="53">
        <f t="shared" si="30"/>
        <v>87</v>
      </c>
      <c r="J148" s="53">
        <f t="shared" si="30"/>
        <v>87</v>
      </c>
      <c r="K148" s="53">
        <f t="shared" si="30"/>
        <v>87</v>
      </c>
      <c r="L148" s="53">
        <f t="shared" si="30"/>
        <v>87</v>
      </c>
      <c r="M148" s="53">
        <f t="shared" si="30"/>
        <v>87</v>
      </c>
      <c r="N148" s="53">
        <f t="shared" si="30"/>
        <v>87</v>
      </c>
    </row>
    <row r="149" spans="1:14" x14ac:dyDescent="0.2">
      <c r="A149" s="59" t="s">
        <v>588</v>
      </c>
      <c r="B149" s="78" t="s">
        <v>187</v>
      </c>
      <c r="C149" s="66">
        <f>SUM(C148*$B$150)</f>
        <v>2482.11</v>
      </c>
      <c r="D149" s="66">
        <f t="shared" ref="D149:N149" si="31">SUM(D148*$B$150)</f>
        <v>2482.11</v>
      </c>
      <c r="E149" s="66">
        <f t="shared" si="31"/>
        <v>2482.11</v>
      </c>
      <c r="F149" s="66">
        <f t="shared" si="31"/>
        <v>2482.11</v>
      </c>
      <c r="G149" s="66">
        <f t="shared" si="31"/>
        <v>2482.11</v>
      </c>
      <c r="H149" s="66">
        <f t="shared" si="31"/>
        <v>2482.11</v>
      </c>
      <c r="I149" s="66">
        <f t="shared" si="31"/>
        <v>2482.11</v>
      </c>
      <c r="J149" s="66">
        <f t="shared" si="31"/>
        <v>2482.11</v>
      </c>
      <c r="K149" s="66">
        <f t="shared" si="31"/>
        <v>2482.11</v>
      </c>
      <c r="L149" s="66">
        <f t="shared" si="31"/>
        <v>2482.11</v>
      </c>
      <c r="M149" s="66">
        <f t="shared" si="31"/>
        <v>2482.11</v>
      </c>
      <c r="N149" s="66">
        <f t="shared" si="31"/>
        <v>2482.11</v>
      </c>
    </row>
    <row r="150" spans="1:14" x14ac:dyDescent="0.2">
      <c r="A150" s="59" t="s">
        <v>188</v>
      </c>
      <c r="B150" s="74">
        <v>28.53</v>
      </c>
      <c r="C150" s="66">
        <f>SUM(C149)*'Data Links'!$B$15</f>
        <v>189.881415</v>
      </c>
      <c r="D150" s="66">
        <f>SUM(D149)*'Data Links'!$B$15</f>
        <v>189.881415</v>
      </c>
      <c r="E150" s="66">
        <f>SUM(E149)*'Data Links'!$B$15</f>
        <v>189.881415</v>
      </c>
      <c r="F150" s="66">
        <f>SUM(F149)*'Data Links'!$B$15</f>
        <v>189.881415</v>
      </c>
      <c r="G150" s="66">
        <f>SUM(G149)*'Data Links'!$B$15</f>
        <v>189.881415</v>
      </c>
      <c r="H150" s="66">
        <f>SUM(H149)*'Data Links'!$B$15</f>
        <v>189.881415</v>
      </c>
      <c r="I150" s="66">
        <f>SUM(I149)*'Data Links'!$B$15</f>
        <v>189.881415</v>
      </c>
      <c r="J150" s="66">
        <f>SUM(J149)*'Data Links'!$B$15</f>
        <v>189.881415</v>
      </c>
      <c r="K150" s="66">
        <f>SUM(K149)*'Data Links'!$B$15</f>
        <v>189.881415</v>
      </c>
      <c r="L150" s="66">
        <f>SUM(L149)*'Data Links'!$B$15</f>
        <v>189.881415</v>
      </c>
      <c r="M150" s="66">
        <f>SUM(M149)*'Data Links'!$B$15</f>
        <v>189.881415</v>
      </c>
      <c r="N150" s="66">
        <f>SUM(N149)*'Data Links'!$B$15</f>
        <v>189.881415</v>
      </c>
    </row>
    <row r="151" spans="1:14" x14ac:dyDescent="0.2">
      <c r="A151" s="59" t="s">
        <v>189</v>
      </c>
      <c r="B151" s="60"/>
      <c r="C151" s="66">
        <f>SUM(C149*'Data Links'!$B$13)</f>
        <v>14.892660000000001</v>
      </c>
      <c r="D151" s="66">
        <f>SUM(D149*'Data Links'!$B$13)</f>
        <v>14.892660000000001</v>
      </c>
      <c r="E151" s="66">
        <f>SUM(E149*'Data Links'!$B$13)</f>
        <v>14.892660000000001</v>
      </c>
      <c r="F151" s="66">
        <f>SUM(F149*'Data Links'!$B$13)</f>
        <v>14.892660000000001</v>
      </c>
      <c r="G151" s="66">
        <f>SUM(G149*'Data Links'!$B$13)</f>
        <v>14.892660000000001</v>
      </c>
      <c r="H151" s="66">
        <f>SUM(H149*'Data Links'!$B$13)</f>
        <v>14.892660000000001</v>
      </c>
      <c r="I151" s="66">
        <f>SUM(I149*'Data Links'!$B$13)</f>
        <v>14.892660000000001</v>
      </c>
      <c r="J151" s="66">
        <f>SUM(J149*'Data Links'!$B$13)</f>
        <v>14.892660000000001</v>
      </c>
      <c r="K151" s="66">
        <f>SUM(K149*'Data Links'!$B$13)</f>
        <v>14.892660000000001</v>
      </c>
      <c r="L151" s="66">
        <f>SUM(L149*'Data Links'!$B$13)</f>
        <v>14.892660000000001</v>
      </c>
      <c r="M151" s="66">
        <f>SUM(M149*'Data Links'!$B$13)</f>
        <v>14.892660000000001</v>
      </c>
      <c r="N151" s="66">
        <f>SUM(N149*'Data Links'!$B$13)</f>
        <v>14.892660000000001</v>
      </c>
    </row>
    <row r="152" spans="1:14" x14ac:dyDescent="0.2">
      <c r="A152" s="59" t="s">
        <v>190</v>
      </c>
      <c r="B152" s="60"/>
      <c r="C152" s="66">
        <f>SUM(C148*'Data Links'!$B$8)</f>
        <v>6.7729499999999998</v>
      </c>
      <c r="D152" s="66">
        <f>SUM(D148*'Data Links'!$B$8)</f>
        <v>6.7729499999999998</v>
      </c>
      <c r="E152" s="66">
        <f>SUM(E148*'Data Links'!$B$8)</f>
        <v>6.7729499999999998</v>
      </c>
      <c r="F152" s="66">
        <f>SUM(F148*'Data Links'!$B$8)</f>
        <v>6.7729499999999998</v>
      </c>
      <c r="G152" s="66">
        <f>SUM(G148*'Data Links'!$B$8)</f>
        <v>6.7729499999999998</v>
      </c>
      <c r="H152" s="66">
        <f>SUM(H148*'Data Links'!$B$8)</f>
        <v>6.7729499999999998</v>
      </c>
      <c r="I152" s="66">
        <f>SUM(I148*'Data Links'!$B$8)</f>
        <v>6.7729499999999998</v>
      </c>
      <c r="J152" s="66">
        <f>SUM(J148*'Data Links'!$B$8)</f>
        <v>6.7729499999999998</v>
      </c>
      <c r="K152" s="66">
        <f>SUM(K148*'Data Links'!$B$8)</f>
        <v>6.7729499999999998</v>
      </c>
      <c r="L152" s="66">
        <f>SUM(L148*'Data Links'!$B$8)</f>
        <v>6.7729499999999998</v>
      </c>
      <c r="M152" s="66">
        <f>SUM(M148*'Data Links'!$B$8)</f>
        <v>6.7729499999999998</v>
      </c>
      <c r="N152" s="66">
        <f>SUM(N148*'Data Links'!$B$8)</f>
        <v>6.7729499999999998</v>
      </c>
    </row>
    <row r="153" spans="1:14" x14ac:dyDescent="0.2">
      <c r="A153" s="59" t="s">
        <v>191</v>
      </c>
      <c r="B153" s="60"/>
      <c r="C153" s="66">
        <f>SUM('All Employees'!$P$49*C147)</f>
        <v>213</v>
      </c>
      <c r="D153" s="66">
        <f>SUM('All Employees'!$P$67*D147)</f>
        <v>0</v>
      </c>
      <c r="E153" s="66">
        <f>SUM('All Employees'!$P$67*E147)</f>
        <v>0</v>
      </c>
      <c r="F153" s="66">
        <f>SUM('All Employees'!$P$67*F147)</f>
        <v>0</v>
      </c>
      <c r="G153" s="66">
        <f>SUM('All Employees'!$P$67*G147)</f>
        <v>0</v>
      </c>
      <c r="H153" s="66">
        <f>SUM('All Employees'!$P$67*H147)</f>
        <v>0</v>
      </c>
      <c r="I153" s="66">
        <f>SUM('All Employees'!$P$67*I147)</f>
        <v>0</v>
      </c>
      <c r="J153" s="66">
        <f>SUM('All Employees'!$P$67*J147)</f>
        <v>0</v>
      </c>
      <c r="K153" s="66">
        <f>SUM('All Employees'!$P$67*K147)</f>
        <v>0</v>
      </c>
      <c r="L153" s="66">
        <f>SUM('All Employees'!$P$67*L147)</f>
        <v>0</v>
      </c>
      <c r="M153" s="66">
        <f>SUM('All Employees'!$P$67*M147)</f>
        <v>0</v>
      </c>
      <c r="N153" s="66">
        <f>SUM('All Employees'!$P$67*N147)</f>
        <v>0</v>
      </c>
    </row>
    <row r="154" spans="1:14" x14ac:dyDescent="0.2">
      <c r="A154" s="59" t="s">
        <v>192</v>
      </c>
      <c r="B154" s="60"/>
      <c r="C154" s="66">
        <f>SUM(C149*'Data Links'!$B$17)</f>
        <v>74.463300000000004</v>
      </c>
      <c r="D154" s="66">
        <f>SUM(D149*'Data Links'!$B$17)</f>
        <v>74.463300000000004</v>
      </c>
      <c r="E154" s="66">
        <f>SUM(E149*'Data Links'!$B$17)</f>
        <v>74.463300000000004</v>
      </c>
      <c r="F154" s="66">
        <f>SUM(F149*'Data Links'!$B$17)</f>
        <v>74.463300000000004</v>
      </c>
      <c r="G154" s="66">
        <f>SUM(G149*'Data Links'!$B$17)</f>
        <v>74.463300000000004</v>
      </c>
      <c r="H154" s="66">
        <f>SUM(H149*'Data Links'!$B$17)</f>
        <v>74.463300000000004</v>
      </c>
      <c r="I154" s="66">
        <f>SUM(I149*'Data Links'!$B$17)</f>
        <v>74.463300000000004</v>
      </c>
      <c r="J154" s="66">
        <f>SUM(J149*'Data Links'!$B$17)</f>
        <v>74.463300000000004</v>
      </c>
      <c r="K154" s="66">
        <f>SUM(K149*'Data Links'!$B$17)</f>
        <v>74.463300000000004</v>
      </c>
      <c r="L154" s="66">
        <f>SUM(L149*'Data Links'!$B$17)</f>
        <v>74.463300000000004</v>
      </c>
      <c r="M154" s="66">
        <f>SUM(M149*'Data Links'!$B$17)</f>
        <v>74.463300000000004</v>
      </c>
      <c r="N154" s="66">
        <f>SUM(N149*'Data Links'!$B$17)</f>
        <v>74.463300000000004</v>
      </c>
    </row>
    <row r="155" spans="1:14" s="29" customFormat="1" x14ac:dyDescent="0.2">
      <c r="A155" s="58" t="s">
        <v>144</v>
      </c>
      <c r="B155" s="60"/>
      <c r="C155" s="60">
        <f t="shared" ref="C155" si="32">SUM(C149:C154)</f>
        <v>2981.1203249999999</v>
      </c>
      <c r="D155" s="60">
        <f t="shared" ref="D155:N155" si="33">SUM(D149:D154)</f>
        <v>2768.1203249999999</v>
      </c>
      <c r="E155" s="60">
        <f t="shared" si="33"/>
        <v>2768.1203249999999</v>
      </c>
      <c r="F155" s="60">
        <f t="shared" si="33"/>
        <v>2768.1203249999999</v>
      </c>
      <c r="G155" s="60">
        <f t="shared" si="33"/>
        <v>2768.1203249999999</v>
      </c>
      <c r="H155" s="60">
        <f t="shared" si="33"/>
        <v>2768.1203249999999</v>
      </c>
      <c r="I155" s="60">
        <f t="shared" si="33"/>
        <v>2768.1203249999999</v>
      </c>
      <c r="J155" s="60">
        <f t="shared" si="33"/>
        <v>2768.1203249999999</v>
      </c>
      <c r="K155" s="60">
        <f t="shared" si="33"/>
        <v>2768.1203249999999</v>
      </c>
      <c r="L155" s="60">
        <f t="shared" si="33"/>
        <v>2768.1203249999999</v>
      </c>
      <c r="M155" s="60">
        <f t="shared" si="33"/>
        <v>2768.1203249999999</v>
      </c>
      <c r="N155" s="60">
        <f t="shared" si="33"/>
        <v>2768.1203249999999</v>
      </c>
    </row>
    <row r="156" spans="1:14" x14ac:dyDescent="0.2">
      <c r="A156" s="59"/>
      <c r="B156" s="60"/>
      <c r="C156" s="60"/>
      <c r="D156" s="66"/>
      <c r="E156" s="66"/>
      <c r="F156" s="66"/>
      <c r="G156" s="66"/>
      <c r="H156" s="66"/>
      <c r="I156" s="66"/>
      <c r="J156" s="66"/>
      <c r="K156" s="66"/>
      <c r="L156" s="66"/>
      <c r="M156" s="66"/>
      <c r="N156" s="66"/>
    </row>
    <row r="157" spans="1:14" hidden="1" x14ac:dyDescent="0.2">
      <c r="A157" s="59"/>
      <c r="B157" s="60"/>
      <c r="C157" s="89" t="str">
        <f>C144</f>
        <v>January</v>
      </c>
      <c r="D157" s="89" t="str">
        <f t="shared" ref="D157:N157" si="34">D144</f>
        <v>February</v>
      </c>
      <c r="E157" s="89" t="str">
        <f t="shared" si="34"/>
        <v>March</v>
      </c>
      <c r="F157" s="89" t="str">
        <f t="shared" si="34"/>
        <v>April</v>
      </c>
      <c r="G157" s="89" t="str">
        <f t="shared" si="34"/>
        <v>May</v>
      </c>
      <c r="H157" s="89" t="str">
        <f t="shared" si="34"/>
        <v>June</v>
      </c>
      <c r="I157" s="89" t="str">
        <f t="shared" si="34"/>
        <v>July</v>
      </c>
      <c r="J157" s="89" t="str">
        <f t="shared" si="34"/>
        <v>August</v>
      </c>
      <c r="K157" s="89" t="str">
        <f t="shared" si="34"/>
        <v>September</v>
      </c>
      <c r="L157" s="89" t="str">
        <f t="shared" si="34"/>
        <v>October</v>
      </c>
      <c r="M157" s="89" t="str">
        <f t="shared" si="34"/>
        <v>November</v>
      </c>
      <c r="N157" s="89" t="str">
        <f t="shared" si="34"/>
        <v>December</v>
      </c>
    </row>
    <row r="158" spans="1:14" hidden="1" x14ac:dyDescent="0.2">
      <c r="A158" s="59"/>
      <c r="B158" s="60"/>
      <c r="C158" s="72">
        <v>31</v>
      </c>
      <c r="D158" s="72">
        <v>31</v>
      </c>
      <c r="E158" s="72">
        <v>30</v>
      </c>
      <c r="F158" s="72">
        <v>31</v>
      </c>
      <c r="G158" s="72">
        <v>30</v>
      </c>
      <c r="H158" s="72">
        <v>31</v>
      </c>
      <c r="I158" s="72">
        <v>31</v>
      </c>
      <c r="J158" s="72">
        <v>28</v>
      </c>
      <c r="K158" s="72">
        <v>31</v>
      </c>
      <c r="L158" s="72">
        <v>30</v>
      </c>
      <c r="M158" s="72">
        <v>31</v>
      </c>
      <c r="N158" s="71">
        <v>30</v>
      </c>
    </row>
    <row r="159" spans="1:14" hidden="1" x14ac:dyDescent="0.2">
      <c r="A159" s="59"/>
      <c r="B159" s="78" t="s">
        <v>185</v>
      </c>
      <c r="C159" s="72">
        <f>C146</f>
        <v>1</v>
      </c>
      <c r="D159" s="72">
        <f t="shared" ref="D159:N159" si="35">D146</f>
        <v>0</v>
      </c>
      <c r="E159" s="72">
        <f t="shared" si="35"/>
        <v>1</v>
      </c>
      <c r="F159" s="72">
        <f t="shared" si="35"/>
        <v>0</v>
      </c>
      <c r="G159" s="72">
        <f t="shared" si="35"/>
        <v>2</v>
      </c>
      <c r="H159" s="72">
        <f t="shared" si="35"/>
        <v>0</v>
      </c>
      <c r="I159" s="72">
        <f t="shared" si="35"/>
        <v>2</v>
      </c>
      <c r="J159" s="72">
        <f t="shared" si="35"/>
        <v>1</v>
      </c>
      <c r="K159" s="72">
        <f t="shared" si="35"/>
        <v>0</v>
      </c>
      <c r="L159" s="72">
        <f t="shared" si="35"/>
        <v>0</v>
      </c>
      <c r="M159" s="72">
        <f t="shared" si="35"/>
        <v>1</v>
      </c>
      <c r="N159" s="72">
        <f t="shared" si="35"/>
        <v>0</v>
      </c>
    </row>
    <row r="160" spans="1:14" hidden="1" x14ac:dyDescent="0.2">
      <c r="A160" s="59"/>
      <c r="B160" s="78" t="s">
        <v>44</v>
      </c>
      <c r="C160" s="37"/>
      <c r="D160" s="37"/>
      <c r="E160" s="37"/>
      <c r="F160" s="37"/>
      <c r="G160" s="37"/>
      <c r="H160" s="37"/>
      <c r="I160" s="37"/>
      <c r="J160" s="37"/>
      <c r="K160" s="37"/>
      <c r="L160" s="37"/>
      <c r="M160" s="37"/>
      <c r="N160" s="37"/>
    </row>
    <row r="161" spans="1:14" hidden="1" x14ac:dyDescent="0.2">
      <c r="A161" s="59"/>
      <c r="B161" s="78" t="s">
        <v>186</v>
      </c>
      <c r="C161" s="72">
        <f>SUM(174*C160)</f>
        <v>0</v>
      </c>
      <c r="D161" s="72">
        <f t="shared" ref="D161:N161" si="36">SUM(174*D160)</f>
        <v>0</v>
      </c>
      <c r="E161" s="72">
        <f t="shared" si="36"/>
        <v>0</v>
      </c>
      <c r="F161" s="72">
        <f t="shared" si="36"/>
        <v>0</v>
      </c>
      <c r="G161" s="72">
        <f t="shared" si="36"/>
        <v>0</v>
      </c>
      <c r="H161" s="72">
        <f t="shared" si="36"/>
        <v>0</v>
      </c>
      <c r="I161" s="72">
        <f t="shared" si="36"/>
        <v>0</v>
      </c>
      <c r="J161" s="72">
        <f t="shared" si="36"/>
        <v>0</v>
      </c>
      <c r="K161" s="72">
        <f t="shared" si="36"/>
        <v>0</v>
      </c>
      <c r="L161" s="72">
        <f t="shared" si="36"/>
        <v>0</v>
      </c>
      <c r="M161" s="72">
        <f t="shared" si="36"/>
        <v>0</v>
      </c>
      <c r="N161" s="72">
        <f t="shared" si="36"/>
        <v>0</v>
      </c>
    </row>
    <row r="162" spans="1:14" hidden="1" x14ac:dyDescent="0.2">
      <c r="A162" s="59" t="s">
        <v>193</v>
      </c>
      <c r="B162" s="78" t="s">
        <v>187</v>
      </c>
      <c r="C162" s="66">
        <f>SUM(C161*$B$163)</f>
        <v>0</v>
      </c>
      <c r="D162" s="66">
        <f t="shared" ref="D162:M162" si="37">SUM(D161*$B$163)</f>
        <v>0</v>
      </c>
      <c r="E162" s="66">
        <f t="shared" si="37"/>
        <v>0</v>
      </c>
      <c r="F162" s="66">
        <f t="shared" si="37"/>
        <v>0</v>
      </c>
      <c r="G162" s="66">
        <f t="shared" si="37"/>
        <v>0</v>
      </c>
      <c r="H162" s="66">
        <f t="shared" si="37"/>
        <v>0</v>
      </c>
      <c r="I162" s="66">
        <f t="shared" si="37"/>
        <v>0</v>
      </c>
      <c r="J162" s="66">
        <f t="shared" si="37"/>
        <v>0</v>
      </c>
      <c r="K162" s="66">
        <f t="shared" si="37"/>
        <v>0</v>
      </c>
      <c r="L162" s="66">
        <f t="shared" si="37"/>
        <v>0</v>
      </c>
      <c r="M162" s="66">
        <f t="shared" si="37"/>
        <v>0</v>
      </c>
      <c r="N162" s="66">
        <f>SUM(N161*$B$163)</f>
        <v>0</v>
      </c>
    </row>
    <row r="163" spans="1:14" hidden="1" x14ac:dyDescent="0.2">
      <c r="A163" s="59" t="s">
        <v>188</v>
      </c>
      <c r="B163" s="74">
        <v>0</v>
      </c>
      <c r="C163" s="66">
        <f>SUM(C162)*'Data Links'!$B$15</f>
        <v>0</v>
      </c>
      <c r="D163" s="66">
        <f>SUM(D162)*'Data Links'!$B$15</f>
        <v>0</v>
      </c>
      <c r="E163" s="66">
        <f>SUM(E162)*'Data Links'!$B$15</f>
        <v>0</v>
      </c>
      <c r="F163" s="66">
        <f>SUM(F162)*'Data Links'!$B$15</f>
        <v>0</v>
      </c>
      <c r="G163" s="66">
        <f>SUM(G162)*'Data Links'!$B$15</f>
        <v>0</v>
      </c>
      <c r="H163" s="66">
        <f>SUM(H162)*'Data Links'!$B$15</f>
        <v>0</v>
      </c>
      <c r="I163" s="66">
        <f>SUM(I162)*'Data Links'!$B$15</f>
        <v>0</v>
      </c>
      <c r="J163" s="66">
        <f>SUM(J162)*'Data Links'!$B$15</f>
        <v>0</v>
      </c>
      <c r="K163" s="66">
        <f>SUM(K162)*'Data Links'!$B$15</f>
        <v>0</v>
      </c>
      <c r="L163" s="66">
        <f>SUM(L162)*'Data Links'!$B$15</f>
        <v>0</v>
      </c>
      <c r="M163" s="66">
        <f>SUM(M162)*'Data Links'!$B$15</f>
        <v>0</v>
      </c>
      <c r="N163" s="66">
        <f>SUM(N162)*'Data Links'!$B$15</f>
        <v>0</v>
      </c>
    </row>
    <row r="164" spans="1:14" hidden="1" x14ac:dyDescent="0.2">
      <c r="A164" s="59" t="s">
        <v>189</v>
      </c>
      <c r="B164" s="60"/>
      <c r="C164" s="66">
        <f>SUM(C162*'Data Links'!$B$13)</f>
        <v>0</v>
      </c>
      <c r="D164" s="66">
        <f>SUM(D162*'Data Links'!$B$13)</f>
        <v>0</v>
      </c>
      <c r="E164" s="66">
        <f>SUM(E162*'Data Links'!$B$13)</f>
        <v>0</v>
      </c>
      <c r="F164" s="66">
        <f>SUM(F162*'Data Links'!$B$13)</f>
        <v>0</v>
      </c>
      <c r="G164" s="66">
        <f>SUM(G162*'Data Links'!$B$13)</f>
        <v>0</v>
      </c>
      <c r="H164" s="66">
        <f>SUM(H162*'Data Links'!$B$13)</f>
        <v>0</v>
      </c>
      <c r="I164" s="66">
        <f>SUM(I162*'Data Links'!$B$13)</f>
        <v>0</v>
      </c>
      <c r="J164" s="66">
        <f>SUM(J162*'Data Links'!$B$13)</f>
        <v>0</v>
      </c>
      <c r="K164" s="66">
        <f>SUM(K162*'Data Links'!$B$13)</f>
        <v>0</v>
      </c>
      <c r="L164" s="66">
        <f>SUM(L162*'Data Links'!$B$13)</f>
        <v>0</v>
      </c>
      <c r="M164" s="66">
        <f>SUM(M162*'Data Links'!$B$13)</f>
        <v>0</v>
      </c>
      <c r="N164" s="66">
        <f>SUM(N162*'Data Links'!$B$13)</f>
        <v>0</v>
      </c>
    </row>
    <row r="165" spans="1:14" hidden="1" x14ac:dyDescent="0.2">
      <c r="A165" s="59" t="s">
        <v>190</v>
      </c>
      <c r="B165" s="60"/>
      <c r="C165" s="66">
        <f>SUM(C161*'Data Links'!$B$8)</f>
        <v>0</v>
      </c>
      <c r="D165" s="66">
        <f>SUM(D161*'Data Links'!$B$8)</f>
        <v>0</v>
      </c>
      <c r="E165" s="66">
        <f>SUM(E161*'Data Links'!$B$8)</f>
        <v>0</v>
      </c>
      <c r="F165" s="66">
        <f>SUM(F161*'Data Links'!$B$8)</f>
        <v>0</v>
      </c>
      <c r="G165" s="66">
        <f>SUM(G161*'Data Links'!$B$8)</f>
        <v>0</v>
      </c>
      <c r="H165" s="66">
        <f>SUM(H161*'Data Links'!$B$8)</f>
        <v>0</v>
      </c>
      <c r="I165" s="66">
        <f>SUM(I161*'Data Links'!$B$8)</f>
        <v>0</v>
      </c>
      <c r="J165" s="66">
        <f>SUM(J161*'Data Links'!$B$8)</f>
        <v>0</v>
      </c>
      <c r="K165" s="66">
        <f>SUM(K161*'Data Links'!$B$8)</f>
        <v>0</v>
      </c>
      <c r="L165" s="66">
        <f>SUM(L161*'Data Links'!$B$8)</f>
        <v>0</v>
      </c>
      <c r="M165" s="66">
        <f>SUM(M161*'Data Links'!$B$8)</f>
        <v>0</v>
      </c>
      <c r="N165" s="66">
        <f>SUM(N161*'Data Links'!$B$8)</f>
        <v>0</v>
      </c>
    </row>
    <row r="166" spans="1:14" hidden="1" x14ac:dyDescent="0.2">
      <c r="A166" s="59" t="s">
        <v>191</v>
      </c>
      <c r="B166" s="60"/>
      <c r="C166" s="66"/>
      <c r="D166" s="66"/>
      <c r="E166" s="66"/>
      <c r="F166" s="66"/>
      <c r="G166" s="66"/>
      <c r="H166" s="66"/>
      <c r="I166" s="66"/>
      <c r="J166" s="66"/>
      <c r="K166" s="66"/>
      <c r="L166" s="66"/>
      <c r="M166" s="66"/>
      <c r="N166" s="66"/>
    </row>
    <row r="167" spans="1:14" hidden="1" x14ac:dyDescent="0.2">
      <c r="A167" s="59" t="s">
        <v>192</v>
      </c>
      <c r="B167" s="60"/>
      <c r="C167" s="66"/>
      <c r="D167" s="66"/>
      <c r="E167" s="66"/>
      <c r="F167" s="66"/>
      <c r="G167" s="66"/>
      <c r="H167" s="66"/>
      <c r="I167" s="66"/>
      <c r="J167" s="66"/>
      <c r="K167" s="66"/>
      <c r="L167" s="66"/>
      <c r="M167" s="66"/>
      <c r="N167" s="66"/>
    </row>
    <row r="168" spans="1:14" s="29" customFormat="1" hidden="1" x14ac:dyDescent="0.2">
      <c r="A168" s="58" t="s">
        <v>144</v>
      </c>
      <c r="B168" s="60"/>
      <c r="C168" s="60">
        <f t="shared" ref="C168:N168" si="38">SUM(C162:C167)</f>
        <v>0</v>
      </c>
      <c r="D168" s="60">
        <f t="shared" si="38"/>
        <v>0</v>
      </c>
      <c r="E168" s="60">
        <f t="shared" si="38"/>
        <v>0</v>
      </c>
      <c r="F168" s="60">
        <f t="shared" si="38"/>
        <v>0</v>
      </c>
      <c r="G168" s="60">
        <f t="shared" si="38"/>
        <v>0</v>
      </c>
      <c r="H168" s="60">
        <f t="shared" si="38"/>
        <v>0</v>
      </c>
      <c r="I168" s="60">
        <f t="shared" si="38"/>
        <v>0</v>
      </c>
      <c r="J168" s="60">
        <f t="shared" si="38"/>
        <v>0</v>
      </c>
      <c r="K168" s="60">
        <f t="shared" si="38"/>
        <v>0</v>
      </c>
      <c r="L168" s="60">
        <f t="shared" si="38"/>
        <v>0</v>
      </c>
      <c r="M168" s="60">
        <f t="shared" si="38"/>
        <v>0</v>
      </c>
      <c r="N168" s="60">
        <f t="shared" si="38"/>
        <v>0</v>
      </c>
    </row>
    <row r="169" spans="1:14" hidden="1" x14ac:dyDescent="0.2">
      <c r="A169" s="59"/>
      <c r="B169" s="60"/>
      <c r="C169" s="60"/>
      <c r="D169" s="66"/>
      <c r="E169" s="66"/>
      <c r="F169" s="66"/>
      <c r="G169" s="66"/>
      <c r="H169" s="66"/>
      <c r="I169" s="66"/>
      <c r="J169" s="66"/>
      <c r="K169" s="66"/>
      <c r="L169" s="66"/>
      <c r="M169" s="66"/>
      <c r="N169" s="66"/>
    </row>
    <row r="170" spans="1:14" hidden="1" x14ac:dyDescent="0.2">
      <c r="A170" s="59"/>
      <c r="B170" s="60"/>
      <c r="C170" s="89" t="str">
        <f>C157</f>
        <v>January</v>
      </c>
      <c r="D170" s="89" t="str">
        <f t="shared" ref="D170:N170" si="39">D157</f>
        <v>February</v>
      </c>
      <c r="E170" s="89" t="str">
        <f t="shared" si="39"/>
        <v>March</v>
      </c>
      <c r="F170" s="89" t="str">
        <f t="shared" si="39"/>
        <v>April</v>
      </c>
      <c r="G170" s="89" t="str">
        <f t="shared" si="39"/>
        <v>May</v>
      </c>
      <c r="H170" s="89" t="str">
        <f t="shared" si="39"/>
        <v>June</v>
      </c>
      <c r="I170" s="89" t="str">
        <f t="shared" si="39"/>
        <v>July</v>
      </c>
      <c r="J170" s="89" t="str">
        <f t="shared" si="39"/>
        <v>August</v>
      </c>
      <c r="K170" s="89" t="str">
        <f t="shared" si="39"/>
        <v>September</v>
      </c>
      <c r="L170" s="89" t="str">
        <f t="shared" si="39"/>
        <v>October</v>
      </c>
      <c r="M170" s="89" t="str">
        <f t="shared" si="39"/>
        <v>November</v>
      </c>
      <c r="N170" s="89" t="str">
        <f t="shared" si="39"/>
        <v>December</v>
      </c>
    </row>
    <row r="171" spans="1:14" hidden="1" x14ac:dyDescent="0.2">
      <c r="A171" s="59"/>
      <c r="B171" s="60"/>
      <c r="C171" s="72">
        <v>31</v>
      </c>
      <c r="D171" s="72">
        <v>31</v>
      </c>
      <c r="E171" s="72">
        <v>30</v>
      </c>
      <c r="F171" s="72">
        <v>31</v>
      </c>
      <c r="G171" s="72">
        <v>30</v>
      </c>
      <c r="H171" s="72">
        <v>31</v>
      </c>
      <c r="I171" s="72">
        <v>31</v>
      </c>
      <c r="J171" s="72">
        <v>28</v>
      </c>
      <c r="K171" s="72">
        <v>31</v>
      </c>
      <c r="L171" s="72">
        <v>30</v>
      </c>
      <c r="M171" s="72">
        <v>31</v>
      </c>
      <c r="N171" s="71">
        <v>30</v>
      </c>
    </row>
    <row r="172" spans="1:14" hidden="1" x14ac:dyDescent="0.2">
      <c r="A172" s="59"/>
      <c r="B172" s="78" t="s">
        <v>185</v>
      </c>
      <c r="C172" s="72">
        <f>C159</f>
        <v>1</v>
      </c>
      <c r="D172" s="72">
        <f t="shared" ref="D172:N172" si="40">D159</f>
        <v>0</v>
      </c>
      <c r="E172" s="72">
        <f t="shared" si="40"/>
        <v>1</v>
      </c>
      <c r="F172" s="72">
        <f t="shared" si="40"/>
        <v>0</v>
      </c>
      <c r="G172" s="72">
        <f t="shared" si="40"/>
        <v>2</v>
      </c>
      <c r="H172" s="72">
        <f t="shared" si="40"/>
        <v>0</v>
      </c>
      <c r="I172" s="72">
        <f t="shared" si="40"/>
        <v>2</v>
      </c>
      <c r="J172" s="72">
        <f t="shared" si="40"/>
        <v>1</v>
      </c>
      <c r="K172" s="72">
        <f t="shared" si="40"/>
        <v>0</v>
      </c>
      <c r="L172" s="72">
        <f t="shared" si="40"/>
        <v>0</v>
      </c>
      <c r="M172" s="72">
        <f t="shared" si="40"/>
        <v>1</v>
      </c>
      <c r="N172" s="72">
        <f t="shared" si="40"/>
        <v>0</v>
      </c>
    </row>
    <row r="173" spans="1:14" hidden="1" x14ac:dyDescent="0.2">
      <c r="A173" s="59"/>
      <c r="B173" s="78" t="s">
        <v>44</v>
      </c>
      <c r="C173" s="37"/>
      <c r="D173" s="37"/>
      <c r="E173" s="37"/>
      <c r="F173" s="37"/>
      <c r="G173" s="37"/>
      <c r="H173" s="37"/>
      <c r="I173" s="37"/>
      <c r="J173" s="37"/>
      <c r="K173" s="37"/>
      <c r="L173" s="37"/>
      <c r="M173" s="37"/>
      <c r="N173" s="37"/>
    </row>
    <row r="174" spans="1:14" hidden="1" x14ac:dyDescent="0.2">
      <c r="A174" s="59"/>
      <c r="B174" s="78" t="s">
        <v>186</v>
      </c>
      <c r="C174" s="72">
        <f>SUM(174*C173)</f>
        <v>0</v>
      </c>
      <c r="D174" s="72">
        <f t="shared" ref="D174:N174" si="41">SUM(174*D173)</f>
        <v>0</v>
      </c>
      <c r="E174" s="72">
        <f t="shared" si="41"/>
        <v>0</v>
      </c>
      <c r="F174" s="72">
        <f t="shared" si="41"/>
        <v>0</v>
      </c>
      <c r="G174" s="72">
        <f t="shared" si="41"/>
        <v>0</v>
      </c>
      <c r="H174" s="72">
        <f t="shared" si="41"/>
        <v>0</v>
      </c>
      <c r="I174" s="72">
        <f t="shared" si="41"/>
        <v>0</v>
      </c>
      <c r="J174" s="72">
        <f t="shared" si="41"/>
        <v>0</v>
      </c>
      <c r="K174" s="72">
        <f t="shared" si="41"/>
        <v>0</v>
      </c>
      <c r="L174" s="72">
        <f t="shared" si="41"/>
        <v>0</v>
      </c>
      <c r="M174" s="72">
        <f t="shared" si="41"/>
        <v>0</v>
      </c>
      <c r="N174" s="72">
        <f t="shared" si="41"/>
        <v>0</v>
      </c>
    </row>
    <row r="175" spans="1:14" hidden="1" x14ac:dyDescent="0.2">
      <c r="A175" s="59" t="s">
        <v>193</v>
      </c>
      <c r="B175" s="78" t="s">
        <v>187</v>
      </c>
      <c r="C175" s="66">
        <f>SUM(C174*$B$176)</f>
        <v>0</v>
      </c>
      <c r="D175" s="66">
        <f t="shared" ref="D175:N175" si="42">SUM(D174*$B$176)</f>
        <v>0</v>
      </c>
      <c r="E175" s="66">
        <f t="shared" si="42"/>
        <v>0</v>
      </c>
      <c r="F175" s="66">
        <f t="shared" si="42"/>
        <v>0</v>
      </c>
      <c r="G175" s="66">
        <f t="shared" si="42"/>
        <v>0</v>
      </c>
      <c r="H175" s="66">
        <f t="shared" si="42"/>
        <v>0</v>
      </c>
      <c r="I175" s="66">
        <f t="shared" si="42"/>
        <v>0</v>
      </c>
      <c r="J175" s="66">
        <f t="shared" si="42"/>
        <v>0</v>
      </c>
      <c r="K175" s="66">
        <f t="shared" si="42"/>
        <v>0</v>
      </c>
      <c r="L175" s="66">
        <f t="shared" si="42"/>
        <v>0</v>
      </c>
      <c r="M175" s="66">
        <f t="shared" si="42"/>
        <v>0</v>
      </c>
      <c r="N175" s="66">
        <f t="shared" si="42"/>
        <v>0</v>
      </c>
    </row>
    <row r="176" spans="1:14" hidden="1" x14ac:dyDescent="0.2">
      <c r="A176" s="59" t="s">
        <v>188</v>
      </c>
      <c r="B176" s="74">
        <v>0</v>
      </c>
      <c r="C176" s="66">
        <f>SUM(C175)*'Data Links'!$B$15</f>
        <v>0</v>
      </c>
      <c r="D176" s="66">
        <f>SUM(D175)*'Data Links'!$B$15</f>
        <v>0</v>
      </c>
      <c r="E176" s="66">
        <f>SUM(E175)*'Data Links'!$B$15</f>
        <v>0</v>
      </c>
      <c r="F176" s="66">
        <f>SUM(F175)*'Data Links'!$B$15</f>
        <v>0</v>
      </c>
      <c r="G176" s="66">
        <f>SUM(G175)*'Data Links'!$B$15</f>
        <v>0</v>
      </c>
      <c r="H176" s="66">
        <f>SUM(H175)*'Data Links'!$B$15</f>
        <v>0</v>
      </c>
      <c r="I176" s="66">
        <f>SUM(I175)*'Data Links'!$B$15</f>
        <v>0</v>
      </c>
      <c r="J176" s="66">
        <f>SUM(J175)*'Data Links'!$B$15</f>
        <v>0</v>
      </c>
      <c r="K176" s="66">
        <f>SUM(K175)*'Data Links'!$B$15</f>
        <v>0</v>
      </c>
      <c r="L176" s="66">
        <f>SUM(L175)*'Data Links'!$B$15</f>
        <v>0</v>
      </c>
      <c r="M176" s="66">
        <f>SUM(M175)*'Data Links'!$B$15</f>
        <v>0</v>
      </c>
      <c r="N176" s="66">
        <f>SUM(N175)*'Data Links'!$B$15</f>
        <v>0</v>
      </c>
    </row>
    <row r="177" spans="1:14" hidden="1" x14ac:dyDescent="0.2">
      <c r="A177" s="59" t="s">
        <v>189</v>
      </c>
      <c r="B177" s="60"/>
      <c r="C177" s="66">
        <f>SUM(C175*'Data Links'!$B$13)</f>
        <v>0</v>
      </c>
      <c r="D177" s="66">
        <f>SUM(D175*'Data Links'!$B$13)</f>
        <v>0</v>
      </c>
      <c r="E177" s="66">
        <f>SUM(E175*'Data Links'!$B$13)</f>
        <v>0</v>
      </c>
      <c r="F177" s="66">
        <f>SUM(F175*'Data Links'!$B$13)</f>
        <v>0</v>
      </c>
      <c r="G177" s="66">
        <f>SUM(G175*'Data Links'!$B$13)</f>
        <v>0</v>
      </c>
      <c r="H177" s="66">
        <f>SUM(H175*'Data Links'!$B$13)</f>
        <v>0</v>
      </c>
      <c r="I177" s="66">
        <f>SUM(I175*'Data Links'!$B$13)</f>
        <v>0</v>
      </c>
      <c r="J177" s="66">
        <f>SUM(J175*'Data Links'!$B$13)</f>
        <v>0</v>
      </c>
      <c r="K177" s="66">
        <f>SUM(K175*'Data Links'!$B$13)</f>
        <v>0</v>
      </c>
      <c r="L177" s="66">
        <f>SUM(L175*'Data Links'!$B$13)</f>
        <v>0</v>
      </c>
      <c r="M177" s="66">
        <f>SUM(M175*'Data Links'!$B$13)</f>
        <v>0</v>
      </c>
      <c r="N177" s="66">
        <f>SUM(N175*'Data Links'!$B$13)</f>
        <v>0</v>
      </c>
    </row>
    <row r="178" spans="1:14" hidden="1" x14ac:dyDescent="0.2">
      <c r="A178" s="59" t="s">
        <v>190</v>
      </c>
      <c r="B178" s="60"/>
      <c r="C178" s="66">
        <f>SUM(C174*'Data Links'!$B$8)</f>
        <v>0</v>
      </c>
      <c r="D178" s="66">
        <f>SUM(D174*'Data Links'!$B$8)</f>
        <v>0</v>
      </c>
      <c r="E178" s="66">
        <f>SUM(E174*'Data Links'!$B$8)</f>
        <v>0</v>
      </c>
      <c r="F178" s="66">
        <f>SUM(F174*'Data Links'!$B$8)</f>
        <v>0</v>
      </c>
      <c r="G178" s="66">
        <f>SUM(G174*'Data Links'!$B$8)</f>
        <v>0</v>
      </c>
      <c r="H178" s="66">
        <f>SUM(H174*'Data Links'!$B$8)</f>
        <v>0</v>
      </c>
      <c r="I178" s="66">
        <f>SUM(I174*'Data Links'!$B$8)</f>
        <v>0</v>
      </c>
      <c r="J178" s="66">
        <f>SUM(J174*'Data Links'!$B$8)</f>
        <v>0</v>
      </c>
      <c r="K178" s="66">
        <f>SUM(K174*'Data Links'!$B$8)</f>
        <v>0</v>
      </c>
      <c r="L178" s="66">
        <f>SUM(L174*'Data Links'!$B$8)</f>
        <v>0</v>
      </c>
      <c r="M178" s="66">
        <f>SUM(M174*'Data Links'!$B$8)</f>
        <v>0</v>
      </c>
      <c r="N178" s="66">
        <f>SUM(N174*'Data Links'!$B$8)</f>
        <v>0</v>
      </c>
    </row>
    <row r="179" spans="1:14" hidden="1" x14ac:dyDescent="0.2">
      <c r="A179" s="59" t="s">
        <v>191</v>
      </c>
      <c r="B179" s="60"/>
      <c r="C179" s="66"/>
      <c r="D179" s="66"/>
      <c r="E179" s="66"/>
      <c r="F179" s="66"/>
      <c r="G179" s="66"/>
      <c r="H179" s="66"/>
      <c r="I179" s="66"/>
      <c r="J179" s="66"/>
      <c r="K179" s="66"/>
      <c r="L179" s="66"/>
      <c r="M179" s="66"/>
      <c r="N179" s="66"/>
    </row>
    <row r="180" spans="1:14" hidden="1" x14ac:dyDescent="0.2">
      <c r="A180" s="59" t="s">
        <v>192</v>
      </c>
      <c r="B180" s="60"/>
      <c r="C180" s="66"/>
      <c r="D180" s="66"/>
      <c r="E180" s="66"/>
      <c r="F180" s="66"/>
      <c r="G180" s="66"/>
      <c r="H180" s="66"/>
      <c r="I180" s="66"/>
      <c r="J180" s="66"/>
      <c r="K180" s="66"/>
      <c r="L180" s="66"/>
      <c r="M180" s="66"/>
      <c r="N180" s="66"/>
    </row>
    <row r="181" spans="1:14" s="29" customFormat="1" hidden="1" x14ac:dyDescent="0.2">
      <c r="A181" s="58" t="s">
        <v>144</v>
      </c>
      <c r="B181" s="60"/>
      <c r="C181" s="60">
        <f t="shared" ref="C181:N181" si="43">SUM(C175:C180)</f>
        <v>0</v>
      </c>
      <c r="D181" s="60">
        <f t="shared" si="43"/>
        <v>0</v>
      </c>
      <c r="E181" s="60">
        <f t="shared" si="43"/>
        <v>0</v>
      </c>
      <c r="F181" s="60">
        <f t="shared" si="43"/>
        <v>0</v>
      </c>
      <c r="G181" s="60">
        <f t="shared" si="43"/>
        <v>0</v>
      </c>
      <c r="H181" s="60">
        <f t="shared" si="43"/>
        <v>0</v>
      </c>
      <c r="I181" s="60">
        <f t="shared" si="43"/>
        <v>0</v>
      </c>
      <c r="J181" s="60">
        <f t="shared" si="43"/>
        <v>0</v>
      </c>
      <c r="K181" s="60">
        <f t="shared" si="43"/>
        <v>0</v>
      </c>
      <c r="L181" s="60">
        <f t="shared" si="43"/>
        <v>0</v>
      </c>
      <c r="M181" s="60">
        <f t="shared" si="43"/>
        <v>0</v>
      </c>
      <c r="N181" s="60">
        <f t="shared" si="43"/>
        <v>0</v>
      </c>
    </row>
    <row r="182" spans="1:14" hidden="1" x14ac:dyDescent="0.2">
      <c r="A182" s="59"/>
      <c r="B182" s="60"/>
      <c r="C182" s="60"/>
      <c r="D182" s="66"/>
      <c r="E182" s="66"/>
      <c r="F182" s="66"/>
      <c r="G182" s="66"/>
      <c r="H182" s="66"/>
      <c r="I182" s="66"/>
      <c r="J182" s="66"/>
      <c r="K182" s="66"/>
      <c r="L182" s="66"/>
      <c r="M182" s="66"/>
      <c r="N182" s="66"/>
    </row>
    <row r="183" spans="1:14" hidden="1" x14ac:dyDescent="0.2">
      <c r="A183" s="59"/>
      <c r="B183" s="60"/>
      <c r="C183" s="89" t="str">
        <f>C170</f>
        <v>January</v>
      </c>
      <c r="D183" s="89" t="str">
        <f t="shared" ref="D183:N183" si="44">D170</f>
        <v>February</v>
      </c>
      <c r="E183" s="89" t="str">
        <f t="shared" si="44"/>
        <v>March</v>
      </c>
      <c r="F183" s="89" t="str">
        <f t="shared" si="44"/>
        <v>April</v>
      </c>
      <c r="G183" s="89" t="str">
        <f t="shared" si="44"/>
        <v>May</v>
      </c>
      <c r="H183" s="89" t="str">
        <f t="shared" si="44"/>
        <v>June</v>
      </c>
      <c r="I183" s="89" t="str">
        <f t="shared" si="44"/>
        <v>July</v>
      </c>
      <c r="J183" s="89" t="str">
        <f t="shared" si="44"/>
        <v>August</v>
      </c>
      <c r="K183" s="89" t="str">
        <f t="shared" si="44"/>
        <v>September</v>
      </c>
      <c r="L183" s="89" t="str">
        <f t="shared" si="44"/>
        <v>October</v>
      </c>
      <c r="M183" s="89" t="str">
        <f t="shared" si="44"/>
        <v>November</v>
      </c>
      <c r="N183" s="89" t="str">
        <f t="shared" si="44"/>
        <v>December</v>
      </c>
    </row>
    <row r="184" spans="1:14" hidden="1" x14ac:dyDescent="0.2">
      <c r="A184" s="59"/>
      <c r="B184" s="60"/>
      <c r="C184" s="72">
        <v>31</v>
      </c>
      <c r="D184" s="72">
        <v>31</v>
      </c>
      <c r="E184" s="72">
        <v>30</v>
      </c>
      <c r="F184" s="72">
        <v>31</v>
      </c>
      <c r="G184" s="72">
        <v>30</v>
      </c>
      <c r="H184" s="72">
        <v>31</v>
      </c>
      <c r="I184" s="72">
        <v>31</v>
      </c>
      <c r="J184" s="72">
        <v>28</v>
      </c>
      <c r="K184" s="72">
        <v>31</v>
      </c>
      <c r="L184" s="72">
        <v>30</v>
      </c>
      <c r="M184" s="72">
        <v>31</v>
      </c>
      <c r="N184" s="71">
        <v>30</v>
      </c>
    </row>
    <row r="185" spans="1:14" hidden="1" x14ac:dyDescent="0.2">
      <c r="A185" s="59"/>
      <c r="B185" s="78" t="s">
        <v>185</v>
      </c>
      <c r="C185" s="89">
        <f t="shared" ref="C185:N185" si="45">C172</f>
        <v>1</v>
      </c>
      <c r="D185" s="89">
        <f t="shared" si="45"/>
        <v>0</v>
      </c>
      <c r="E185" s="89">
        <f t="shared" si="45"/>
        <v>1</v>
      </c>
      <c r="F185" s="89">
        <f t="shared" si="45"/>
        <v>0</v>
      </c>
      <c r="G185" s="89">
        <f t="shared" si="45"/>
        <v>2</v>
      </c>
      <c r="H185" s="89">
        <f t="shared" si="45"/>
        <v>0</v>
      </c>
      <c r="I185" s="89">
        <f t="shared" si="45"/>
        <v>2</v>
      </c>
      <c r="J185" s="89">
        <f t="shared" si="45"/>
        <v>1</v>
      </c>
      <c r="K185" s="89">
        <f t="shared" si="45"/>
        <v>0</v>
      </c>
      <c r="L185" s="89">
        <f t="shared" si="45"/>
        <v>0</v>
      </c>
      <c r="M185" s="89">
        <f t="shared" si="45"/>
        <v>1</v>
      </c>
      <c r="N185" s="89">
        <f t="shared" si="45"/>
        <v>0</v>
      </c>
    </row>
    <row r="186" spans="1:14" hidden="1" x14ac:dyDescent="0.2">
      <c r="A186" s="59"/>
      <c r="B186" s="78" t="s">
        <v>44</v>
      </c>
      <c r="C186" s="37"/>
      <c r="D186" s="37"/>
      <c r="E186" s="37"/>
      <c r="F186" s="37"/>
      <c r="G186" s="37"/>
      <c r="H186" s="37"/>
      <c r="I186" s="37"/>
      <c r="J186" s="37"/>
      <c r="K186" s="37"/>
      <c r="L186" s="37"/>
      <c r="M186" s="37"/>
      <c r="N186" s="37"/>
    </row>
    <row r="187" spans="1:14" hidden="1" x14ac:dyDescent="0.2">
      <c r="A187" s="59"/>
      <c r="B187" s="78" t="s">
        <v>186</v>
      </c>
      <c r="C187" s="72">
        <f>SUM(174*C186)</f>
        <v>0</v>
      </c>
      <c r="D187" s="72">
        <f t="shared" ref="D187:N187" si="46">SUM(174*D186)</f>
        <v>0</v>
      </c>
      <c r="E187" s="72">
        <f t="shared" si="46"/>
        <v>0</v>
      </c>
      <c r="F187" s="72">
        <f t="shared" si="46"/>
        <v>0</v>
      </c>
      <c r="G187" s="72">
        <f t="shared" si="46"/>
        <v>0</v>
      </c>
      <c r="H187" s="72">
        <f t="shared" si="46"/>
        <v>0</v>
      </c>
      <c r="I187" s="72">
        <f t="shared" si="46"/>
        <v>0</v>
      </c>
      <c r="J187" s="72">
        <f t="shared" si="46"/>
        <v>0</v>
      </c>
      <c r="K187" s="72">
        <f t="shared" si="46"/>
        <v>0</v>
      </c>
      <c r="L187" s="72">
        <f t="shared" si="46"/>
        <v>0</v>
      </c>
      <c r="M187" s="72">
        <f t="shared" si="46"/>
        <v>0</v>
      </c>
      <c r="N187" s="72">
        <f t="shared" si="46"/>
        <v>0</v>
      </c>
    </row>
    <row r="188" spans="1:14" hidden="1" x14ac:dyDescent="0.2">
      <c r="A188" s="59" t="s">
        <v>200</v>
      </c>
      <c r="B188" s="78" t="s">
        <v>187</v>
      </c>
      <c r="C188" s="66">
        <f>SUM(C187*$B$189)</f>
        <v>0</v>
      </c>
      <c r="D188" s="66">
        <f t="shared" ref="D188:N188" si="47">SUM(D187*$B$189)</f>
        <v>0</v>
      </c>
      <c r="E188" s="66">
        <f t="shared" si="47"/>
        <v>0</v>
      </c>
      <c r="F188" s="66">
        <f t="shared" si="47"/>
        <v>0</v>
      </c>
      <c r="G188" s="66">
        <f t="shared" si="47"/>
        <v>0</v>
      </c>
      <c r="H188" s="66">
        <f t="shared" si="47"/>
        <v>0</v>
      </c>
      <c r="I188" s="66">
        <f t="shared" si="47"/>
        <v>0</v>
      </c>
      <c r="J188" s="66">
        <f t="shared" si="47"/>
        <v>0</v>
      </c>
      <c r="K188" s="66">
        <f t="shared" si="47"/>
        <v>0</v>
      </c>
      <c r="L188" s="66">
        <f t="shared" si="47"/>
        <v>0</v>
      </c>
      <c r="M188" s="66">
        <f t="shared" si="47"/>
        <v>0</v>
      </c>
      <c r="N188" s="66">
        <f t="shared" si="47"/>
        <v>0</v>
      </c>
    </row>
    <row r="189" spans="1:14" hidden="1" x14ac:dyDescent="0.2">
      <c r="A189" s="59" t="s">
        <v>188</v>
      </c>
      <c r="B189" s="74">
        <v>0</v>
      </c>
      <c r="C189" s="66">
        <f>SUM(C188)*'Data Links'!$B$15</f>
        <v>0</v>
      </c>
      <c r="D189" s="66">
        <f>SUM(D188)*'Data Links'!$B$15</f>
        <v>0</v>
      </c>
      <c r="E189" s="66">
        <f>SUM(E188)*'Data Links'!$B$15</f>
        <v>0</v>
      </c>
      <c r="F189" s="66">
        <f>SUM(F188)*'Data Links'!$B$15</f>
        <v>0</v>
      </c>
      <c r="G189" s="66">
        <f>SUM(G188)*'Data Links'!$B$15</f>
        <v>0</v>
      </c>
      <c r="H189" s="66">
        <f>SUM(H188)*'Data Links'!$B$15</f>
        <v>0</v>
      </c>
      <c r="I189" s="66">
        <f>SUM(I188)*'Data Links'!$B$15</f>
        <v>0</v>
      </c>
      <c r="J189" s="66">
        <f>SUM(J188)*'Data Links'!$B$15</f>
        <v>0</v>
      </c>
      <c r="K189" s="66">
        <f>SUM(K188)*'Data Links'!$B$15</f>
        <v>0</v>
      </c>
      <c r="L189" s="66">
        <f>SUM(L188)*'Data Links'!$B$15</f>
        <v>0</v>
      </c>
      <c r="M189" s="66">
        <f>SUM(M188)*'Data Links'!$B$15</f>
        <v>0</v>
      </c>
      <c r="N189" s="66">
        <f>SUM(N188)*'Data Links'!$B$15</f>
        <v>0</v>
      </c>
    </row>
    <row r="190" spans="1:14" hidden="1" x14ac:dyDescent="0.2">
      <c r="A190" s="59" t="s">
        <v>189</v>
      </c>
      <c r="B190" s="60"/>
      <c r="C190" s="66">
        <f>SUM(C188*'Data Links'!$B$13)</f>
        <v>0</v>
      </c>
      <c r="D190" s="66">
        <f>SUM(D188*'Data Links'!$B$13)</f>
        <v>0</v>
      </c>
      <c r="E190" s="66">
        <f>SUM(E188*'Data Links'!$B$13)</f>
        <v>0</v>
      </c>
      <c r="F190" s="66">
        <f>SUM(F188*'Data Links'!$B$13)</f>
        <v>0</v>
      </c>
      <c r="G190" s="66">
        <f>SUM(G188*'Data Links'!$B$13)</f>
        <v>0</v>
      </c>
      <c r="H190" s="66">
        <f>SUM(H188*'Data Links'!$B$13)</f>
        <v>0</v>
      </c>
      <c r="I190" s="66">
        <f>SUM(I188*'Data Links'!$B$13)</f>
        <v>0</v>
      </c>
      <c r="J190" s="66">
        <f>SUM(J188*'Data Links'!$B$13)</f>
        <v>0</v>
      </c>
      <c r="K190" s="66">
        <f>SUM(K188*'Data Links'!$B$13)</f>
        <v>0</v>
      </c>
      <c r="L190" s="66">
        <f>SUM(L188*'Data Links'!$B$13)</f>
        <v>0</v>
      </c>
      <c r="M190" s="66">
        <f>SUM(M188*'Data Links'!$B$13)</f>
        <v>0</v>
      </c>
      <c r="N190" s="66">
        <f>SUM(N188*'Data Links'!$B$13)</f>
        <v>0</v>
      </c>
    </row>
    <row r="191" spans="1:14" hidden="1" x14ac:dyDescent="0.2">
      <c r="A191" s="59" t="s">
        <v>190</v>
      </c>
      <c r="B191" s="60"/>
      <c r="C191" s="66">
        <f>SUM(C187*'Data Links'!$B$8)</f>
        <v>0</v>
      </c>
      <c r="D191" s="66">
        <f>SUM(D187*'Data Links'!$B$8)</f>
        <v>0</v>
      </c>
      <c r="E191" s="66">
        <f>SUM(E187*'Data Links'!$B$8)</f>
        <v>0</v>
      </c>
      <c r="F191" s="66">
        <f>SUM(F187*'Data Links'!$B$8)</f>
        <v>0</v>
      </c>
      <c r="G191" s="66">
        <f>SUM(G187*'Data Links'!$B$8)</f>
        <v>0</v>
      </c>
      <c r="H191" s="66">
        <f>SUM(H187*'Data Links'!$B$8)</f>
        <v>0</v>
      </c>
      <c r="I191" s="66">
        <f>SUM(I187*'Data Links'!$B$8)</f>
        <v>0</v>
      </c>
      <c r="J191" s="66">
        <f>SUM(J187*'Data Links'!$B$8)</f>
        <v>0</v>
      </c>
      <c r="K191" s="66">
        <f>SUM(K187*'Data Links'!$B$8)</f>
        <v>0</v>
      </c>
      <c r="L191" s="66">
        <f>SUM(L187*'Data Links'!$B$8)</f>
        <v>0</v>
      </c>
      <c r="M191" s="66">
        <f>SUM(M187*'Data Links'!$B$8)</f>
        <v>0</v>
      </c>
      <c r="N191" s="66">
        <f>SUM(N187*'Data Links'!$B$8)</f>
        <v>0</v>
      </c>
    </row>
    <row r="192" spans="1:14" hidden="1" x14ac:dyDescent="0.2">
      <c r="A192" s="59" t="s">
        <v>191</v>
      </c>
      <c r="B192" s="60"/>
      <c r="C192" s="66"/>
      <c r="D192" s="66"/>
      <c r="E192" s="66"/>
      <c r="F192" s="66"/>
      <c r="G192" s="66"/>
      <c r="H192" s="66"/>
      <c r="I192" s="66"/>
      <c r="J192" s="66"/>
      <c r="K192" s="66"/>
      <c r="L192" s="66"/>
      <c r="M192" s="66"/>
      <c r="N192" s="66"/>
    </row>
    <row r="193" spans="1:14" hidden="1" x14ac:dyDescent="0.2">
      <c r="A193" s="59" t="s">
        <v>192</v>
      </c>
      <c r="B193" s="60"/>
      <c r="C193" s="66"/>
      <c r="D193" s="66"/>
      <c r="E193" s="66"/>
      <c r="F193" s="66"/>
      <c r="G193" s="66"/>
      <c r="H193" s="66"/>
      <c r="I193" s="66"/>
      <c r="J193" s="66"/>
      <c r="K193" s="66"/>
      <c r="L193" s="66"/>
      <c r="M193" s="66"/>
      <c r="N193" s="66"/>
    </row>
    <row r="194" spans="1:14" s="29" customFormat="1" hidden="1" x14ac:dyDescent="0.2">
      <c r="A194" s="58" t="s">
        <v>144</v>
      </c>
      <c r="B194" s="60"/>
      <c r="C194" s="60">
        <f t="shared" ref="C194:N194" si="48">SUM(C188:C193)</f>
        <v>0</v>
      </c>
      <c r="D194" s="60">
        <f t="shared" si="48"/>
        <v>0</v>
      </c>
      <c r="E194" s="60">
        <f t="shared" si="48"/>
        <v>0</v>
      </c>
      <c r="F194" s="60">
        <f t="shared" si="48"/>
        <v>0</v>
      </c>
      <c r="G194" s="60">
        <f t="shared" si="48"/>
        <v>0</v>
      </c>
      <c r="H194" s="60">
        <f t="shared" si="48"/>
        <v>0</v>
      </c>
      <c r="I194" s="60">
        <f t="shared" si="48"/>
        <v>0</v>
      </c>
      <c r="J194" s="60">
        <f t="shared" si="48"/>
        <v>0</v>
      </c>
      <c r="K194" s="60">
        <f t="shared" si="48"/>
        <v>0</v>
      </c>
      <c r="L194" s="60">
        <f t="shared" si="48"/>
        <v>0</v>
      </c>
      <c r="M194" s="60">
        <f t="shared" si="48"/>
        <v>0</v>
      </c>
      <c r="N194" s="60">
        <f t="shared" si="48"/>
        <v>0</v>
      </c>
    </row>
    <row r="195" spans="1:14" hidden="1" x14ac:dyDescent="0.2">
      <c r="A195" s="59"/>
      <c r="B195" s="60"/>
      <c r="C195" s="60"/>
      <c r="D195" s="66"/>
      <c r="E195" s="66"/>
      <c r="F195" s="66"/>
      <c r="G195" s="66"/>
      <c r="H195" s="66"/>
      <c r="I195" s="66"/>
      <c r="J195" s="66"/>
      <c r="K195" s="66"/>
      <c r="L195" s="66"/>
      <c r="M195" s="66"/>
      <c r="N195" s="66"/>
    </row>
    <row r="196" spans="1:14" hidden="1" x14ac:dyDescent="0.2">
      <c r="A196" s="59"/>
      <c r="B196" s="60"/>
      <c r="C196" s="89" t="str">
        <f>C183</f>
        <v>January</v>
      </c>
      <c r="D196" s="89" t="str">
        <f t="shared" ref="D196:M196" si="49">D183</f>
        <v>February</v>
      </c>
      <c r="E196" s="89" t="str">
        <f t="shared" si="49"/>
        <v>March</v>
      </c>
      <c r="F196" s="89" t="str">
        <f t="shared" si="49"/>
        <v>April</v>
      </c>
      <c r="G196" s="89" t="str">
        <f t="shared" si="49"/>
        <v>May</v>
      </c>
      <c r="H196" s="89" t="str">
        <f t="shared" si="49"/>
        <v>June</v>
      </c>
      <c r="I196" s="89" t="str">
        <f t="shared" si="49"/>
        <v>July</v>
      </c>
      <c r="J196" s="89" t="str">
        <f t="shared" si="49"/>
        <v>August</v>
      </c>
      <c r="K196" s="89" t="str">
        <f t="shared" si="49"/>
        <v>September</v>
      </c>
      <c r="L196" s="89" t="str">
        <f t="shared" si="49"/>
        <v>October</v>
      </c>
      <c r="M196" s="89" t="str">
        <f t="shared" si="49"/>
        <v>November</v>
      </c>
      <c r="N196" s="89" t="str">
        <f>N183</f>
        <v>December</v>
      </c>
    </row>
    <row r="197" spans="1:14" hidden="1" x14ac:dyDescent="0.2">
      <c r="A197" s="59"/>
      <c r="B197" s="60"/>
      <c r="C197" s="72">
        <v>31</v>
      </c>
      <c r="D197" s="72">
        <v>31</v>
      </c>
      <c r="E197" s="72">
        <v>30</v>
      </c>
      <c r="F197" s="72">
        <v>31</v>
      </c>
      <c r="G197" s="72">
        <v>30</v>
      </c>
      <c r="H197" s="72">
        <v>31</v>
      </c>
      <c r="I197" s="72">
        <v>31</v>
      </c>
      <c r="J197" s="72">
        <v>28</v>
      </c>
      <c r="K197" s="72">
        <v>31</v>
      </c>
      <c r="L197" s="72">
        <v>30</v>
      </c>
      <c r="M197" s="72">
        <v>31</v>
      </c>
      <c r="N197" s="71">
        <v>30</v>
      </c>
    </row>
    <row r="198" spans="1:14" hidden="1" x14ac:dyDescent="0.2">
      <c r="A198" s="59"/>
      <c r="B198" s="78" t="s">
        <v>185</v>
      </c>
      <c r="C198" s="89">
        <f t="shared" ref="C198:N198" si="50">C185</f>
        <v>1</v>
      </c>
      <c r="D198" s="89">
        <f t="shared" si="50"/>
        <v>0</v>
      </c>
      <c r="E198" s="89">
        <f t="shared" si="50"/>
        <v>1</v>
      </c>
      <c r="F198" s="89">
        <f t="shared" si="50"/>
        <v>0</v>
      </c>
      <c r="G198" s="89">
        <f t="shared" si="50"/>
        <v>2</v>
      </c>
      <c r="H198" s="89">
        <f t="shared" si="50"/>
        <v>0</v>
      </c>
      <c r="I198" s="89">
        <f t="shared" si="50"/>
        <v>2</v>
      </c>
      <c r="J198" s="89">
        <f t="shared" si="50"/>
        <v>1</v>
      </c>
      <c r="K198" s="89">
        <f t="shared" si="50"/>
        <v>0</v>
      </c>
      <c r="L198" s="89">
        <f t="shared" si="50"/>
        <v>0</v>
      </c>
      <c r="M198" s="89">
        <f t="shared" si="50"/>
        <v>1</v>
      </c>
      <c r="N198" s="89">
        <f t="shared" si="50"/>
        <v>0</v>
      </c>
    </row>
    <row r="199" spans="1:14" hidden="1" x14ac:dyDescent="0.2">
      <c r="A199" s="59"/>
      <c r="B199" s="78" t="s">
        <v>44</v>
      </c>
      <c r="C199" s="37"/>
      <c r="D199" s="37"/>
      <c r="E199" s="37"/>
      <c r="F199" s="37"/>
      <c r="G199" s="37"/>
      <c r="H199" s="37"/>
      <c r="I199" s="37"/>
      <c r="J199" s="37"/>
      <c r="K199" s="37"/>
      <c r="L199" s="37"/>
      <c r="M199" s="37"/>
      <c r="N199" s="37"/>
    </row>
    <row r="200" spans="1:14" hidden="1" x14ac:dyDescent="0.2">
      <c r="A200" s="59"/>
      <c r="B200" s="78" t="s">
        <v>186</v>
      </c>
      <c r="C200" s="72">
        <f>SUM(174*C199)</f>
        <v>0</v>
      </c>
      <c r="D200" s="72">
        <f t="shared" ref="D200:N200" si="51">SUM(174*D199)</f>
        <v>0</v>
      </c>
      <c r="E200" s="72">
        <f t="shared" si="51"/>
        <v>0</v>
      </c>
      <c r="F200" s="72">
        <f t="shared" si="51"/>
        <v>0</v>
      </c>
      <c r="G200" s="72">
        <f t="shared" si="51"/>
        <v>0</v>
      </c>
      <c r="H200" s="72">
        <f t="shared" si="51"/>
        <v>0</v>
      </c>
      <c r="I200" s="72">
        <f t="shared" si="51"/>
        <v>0</v>
      </c>
      <c r="J200" s="72">
        <f t="shared" si="51"/>
        <v>0</v>
      </c>
      <c r="K200" s="72">
        <f t="shared" si="51"/>
        <v>0</v>
      </c>
      <c r="L200" s="72">
        <f t="shared" si="51"/>
        <v>0</v>
      </c>
      <c r="M200" s="72">
        <f t="shared" si="51"/>
        <v>0</v>
      </c>
      <c r="N200" s="72">
        <f t="shared" si="51"/>
        <v>0</v>
      </c>
    </row>
    <row r="201" spans="1:14" hidden="1" x14ac:dyDescent="0.2">
      <c r="A201" s="59" t="s">
        <v>193</v>
      </c>
      <c r="B201" s="78" t="s">
        <v>187</v>
      </c>
      <c r="C201" s="66">
        <f>SUM(C200*$B$202)</f>
        <v>0</v>
      </c>
      <c r="D201" s="66">
        <f t="shared" ref="D201:N201" si="52">SUM(D200*$B$202)</f>
        <v>0</v>
      </c>
      <c r="E201" s="66">
        <f t="shared" si="52"/>
        <v>0</v>
      </c>
      <c r="F201" s="66">
        <f t="shared" si="52"/>
        <v>0</v>
      </c>
      <c r="G201" s="66">
        <f t="shared" si="52"/>
        <v>0</v>
      </c>
      <c r="H201" s="66">
        <f t="shared" si="52"/>
        <v>0</v>
      </c>
      <c r="I201" s="66">
        <f t="shared" si="52"/>
        <v>0</v>
      </c>
      <c r="J201" s="66">
        <f t="shared" si="52"/>
        <v>0</v>
      </c>
      <c r="K201" s="66">
        <f t="shared" si="52"/>
        <v>0</v>
      </c>
      <c r="L201" s="66">
        <f t="shared" si="52"/>
        <v>0</v>
      </c>
      <c r="M201" s="66">
        <f t="shared" si="52"/>
        <v>0</v>
      </c>
      <c r="N201" s="66">
        <f t="shared" si="52"/>
        <v>0</v>
      </c>
    </row>
    <row r="202" spans="1:14" hidden="1" x14ac:dyDescent="0.2">
      <c r="A202" s="59" t="s">
        <v>188</v>
      </c>
      <c r="B202" s="74">
        <v>0</v>
      </c>
      <c r="C202" s="66">
        <f>SUM(C201)*'Data Links'!$B$15</f>
        <v>0</v>
      </c>
      <c r="D202" s="66">
        <f>SUM(D201)*'Data Links'!$B$15</f>
        <v>0</v>
      </c>
      <c r="E202" s="66">
        <f>SUM(E201)*'Data Links'!$B$15</f>
        <v>0</v>
      </c>
      <c r="F202" s="66">
        <f>SUM(F201)*'Data Links'!$B$15</f>
        <v>0</v>
      </c>
      <c r="G202" s="66">
        <f>SUM(G201)*'Data Links'!$B$15</f>
        <v>0</v>
      </c>
      <c r="H202" s="66">
        <f>SUM(H201)*'Data Links'!$B$15</f>
        <v>0</v>
      </c>
      <c r="I202" s="66">
        <f>SUM(I201)*'Data Links'!$B$15</f>
        <v>0</v>
      </c>
      <c r="J202" s="66">
        <f>SUM(J201)*'Data Links'!$B$15</f>
        <v>0</v>
      </c>
      <c r="K202" s="66">
        <f>SUM(K201)*'Data Links'!$B$15</f>
        <v>0</v>
      </c>
      <c r="L202" s="66">
        <f>SUM(L201)*'Data Links'!$B$15</f>
        <v>0</v>
      </c>
      <c r="M202" s="66">
        <f>SUM(M201)*'Data Links'!$B$15</f>
        <v>0</v>
      </c>
      <c r="N202" s="66">
        <f>SUM(N201)*'Data Links'!$B$15</f>
        <v>0</v>
      </c>
    </row>
    <row r="203" spans="1:14" hidden="1" x14ac:dyDescent="0.2">
      <c r="A203" s="59" t="s">
        <v>189</v>
      </c>
      <c r="B203" s="60"/>
      <c r="C203" s="66">
        <f>SUM(C201*'Data Links'!$B$13)</f>
        <v>0</v>
      </c>
      <c r="D203" s="66">
        <f>SUM(D201*'Data Links'!$B$13)</f>
        <v>0</v>
      </c>
      <c r="E203" s="66">
        <f>SUM(E201*'Data Links'!$B$13)</f>
        <v>0</v>
      </c>
      <c r="F203" s="66">
        <f>SUM(F201*'Data Links'!$B$13)</f>
        <v>0</v>
      </c>
      <c r="G203" s="66">
        <f>SUM(G201*'Data Links'!$B$13)</f>
        <v>0</v>
      </c>
      <c r="H203" s="66">
        <f>SUM(H201*'Data Links'!$B$13)</f>
        <v>0</v>
      </c>
      <c r="I203" s="66">
        <f>SUM(I201*'Data Links'!$B$13)</f>
        <v>0</v>
      </c>
      <c r="J203" s="66">
        <f>SUM(J201*'Data Links'!$B$13)</f>
        <v>0</v>
      </c>
      <c r="K203" s="66">
        <f>SUM(K201*'Data Links'!$B$13)</f>
        <v>0</v>
      </c>
      <c r="L203" s="66">
        <f>SUM(L201*'Data Links'!$B$13)</f>
        <v>0</v>
      </c>
      <c r="M203" s="66">
        <f>SUM(M201*'Data Links'!$B$13)</f>
        <v>0</v>
      </c>
      <c r="N203" s="66">
        <f>SUM(N201*'Data Links'!$B$13)</f>
        <v>0</v>
      </c>
    </row>
    <row r="204" spans="1:14" hidden="1" x14ac:dyDescent="0.2">
      <c r="A204" s="59" t="s">
        <v>190</v>
      </c>
      <c r="B204" s="60"/>
      <c r="C204" s="66">
        <f>SUM(C200*'Data Links'!$B$8)</f>
        <v>0</v>
      </c>
      <c r="D204" s="66">
        <f>SUM(D200*'Data Links'!$B$8)</f>
        <v>0</v>
      </c>
      <c r="E204" s="66">
        <f>SUM(E200*'Data Links'!$B$8)</f>
        <v>0</v>
      </c>
      <c r="F204" s="66">
        <f>SUM(F200*'Data Links'!$B$8)</f>
        <v>0</v>
      </c>
      <c r="G204" s="66">
        <f>SUM(G200*'Data Links'!$B$8)</f>
        <v>0</v>
      </c>
      <c r="H204" s="66">
        <f>SUM(H200*'Data Links'!$B$8)</f>
        <v>0</v>
      </c>
      <c r="I204" s="66">
        <f>SUM(I200*'Data Links'!$B$8)</f>
        <v>0</v>
      </c>
      <c r="J204" s="66">
        <f>SUM(J200*'Data Links'!$B$8)</f>
        <v>0</v>
      </c>
      <c r="K204" s="66">
        <f>SUM(K200*'Data Links'!$B$8)</f>
        <v>0</v>
      </c>
      <c r="L204" s="66">
        <f>SUM(L200*'Data Links'!$B$8)</f>
        <v>0</v>
      </c>
      <c r="M204" s="66">
        <f>SUM(M200*'Data Links'!$B$8)</f>
        <v>0</v>
      </c>
      <c r="N204" s="66">
        <f>SUM(N200*'Data Links'!$B$8)</f>
        <v>0</v>
      </c>
    </row>
    <row r="205" spans="1:14" hidden="1" x14ac:dyDescent="0.2">
      <c r="A205" s="59" t="s">
        <v>191</v>
      </c>
      <c r="B205" s="60"/>
      <c r="C205" s="66"/>
      <c r="D205" s="66"/>
      <c r="E205" s="66"/>
      <c r="F205" s="66"/>
      <c r="G205" s="66"/>
      <c r="H205" s="66"/>
      <c r="I205" s="66"/>
      <c r="J205" s="66"/>
      <c r="K205" s="66"/>
      <c r="L205" s="66"/>
      <c r="M205" s="66"/>
      <c r="N205" s="66"/>
    </row>
    <row r="206" spans="1:14" hidden="1" x14ac:dyDescent="0.2">
      <c r="A206" s="59" t="s">
        <v>192</v>
      </c>
      <c r="B206" s="60"/>
      <c r="C206" s="66"/>
      <c r="D206" s="66"/>
      <c r="E206" s="66"/>
      <c r="F206" s="66"/>
      <c r="G206" s="66"/>
      <c r="H206" s="66"/>
      <c r="I206" s="66"/>
      <c r="J206" s="66"/>
      <c r="K206" s="66"/>
      <c r="L206" s="66"/>
      <c r="M206" s="66"/>
      <c r="N206" s="66"/>
    </row>
    <row r="207" spans="1:14" s="29" customFormat="1" hidden="1" x14ac:dyDescent="0.2">
      <c r="A207" s="58" t="s">
        <v>144</v>
      </c>
      <c r="B207" s="60"/>
      <c r="C207" s="60">
        <f t="shared" ref="C207:N207" si="53">SUM(C201:C206)</f>
        <v>0</v>
      </c>
      <c r="D207" s="60">
        <f t="shared" si="53"/>
        <v>0</v>
      </c>
      <c r="E207" s="60">
        <f t="shared" si="53"/>
        <v>0</v>
      </c>
      <c r="F207" s="60">
        <f t="shared" si="53"/>
        <v>0</v>
      </c>
      <c r="G207" s="60">
        <f t="shared" si="53"/>
        <v>0</v>
      </c>
      <c r="H207" s="60">
        <f t="shared" si="53"/>
        <v>0</v>
      </c>
      <c r="I207" s="60">
        <f t="shared" si="53"/>
        <v>0</v>
      </c>
      <c r="J207" s="60">
        <f t="shared" si="53"/>
        <v>0</v>
      </c>
      <c r="K207" s="60">
        <f t="shared" si="53"/>
        <v>0</v>
      </c>
      <c r="L207" s="60">
        <f t="shared" si="53"/>
        <v>0</v>
      </c>
      <c r="M207" s="60">
        <f t="shared" si="53"/>
        <v>0</v>
      </c>
      <c r="N207" s="60">
        <f t="shared" si="53"/>
        <v>0</v>
      </c>
    </row>
    <row r="208" spans="1:14" hidden="1" x14ac:dyDescent="0.2">
      <c r="A208" s="59"/>
      <c r="B208" s="60"/>
      <c r="C208" s="60"/>
      <c r="D208" s="66"/>
      <c r="E208" s="66"/>
      <c r="F208" s="66"/>
      <c r="G208" s="66"/>
      <c r="H208" s="66"/>
      <c r="I208" s="66"/>
      <c r="J208" s="66"/>
      <c r="K208" s="66"/>
      <c r="L208" s="66"/>
      <c r="M208" s="66"/>
      <c r="N208" s="66"/>
    </row>
    <row r="209" spans="1:14" hidden="1" x14ac:dyDescent="0.2">
      <c r="A209" s="59"/>
      <c r="B209" s="60"/>
      <c r="C209" s="60"/>
      <c r="D209" s="66"/>
      <c r="E209" s="66"/>
      <c r="F209" s="66"/>
      <c r="G209" s="66"/>
      <c r="H209" s="66"/>
      <c r="I209" s="66"/>
      <c r="J209" s="66"/>
      <c r="K209" s="66"/>
      <c r="L209" s="66"/>
      <c r="M209" s="66"/>
      <c r="N209" s="66"/>
    </row>
    <row r="210" spans="1:14" x14ac:dyDescent="0.2">
      <c r="A210" s="59"/>
      <c r="B210" s="60"/>
      <c r="C210" s="60"/>
      <c r="D210" s="66"/>
      <c r="E210" s="66"/>
      <c r="F210" s="66"/>
      <c r="G210" s="66"/>
      <c r="H210" s="66"/>
      <c r="I210" s="66"/>
      <c r="J210" s="66"/>
      <c r="K210" s="66"/>
      <c r="L210" s="66"/>
      <c r="M210" s="66"/>
      <c r="N210" s="66"/>
    </row>
    <row r="211" spans="1:14" x14ac:dyDescent="0.2">
      <c r="A211" s="59"/>
      <c r="B211" s="60"/>
      <c r="C211" s="60"/>
      <c r="D211" s="66"/>
      <c r="E211" s="66"/>
      <c r="F211" s="66"/>
      <c r="G211" s="66"/>
      <c r="H211" s="66"/>
      <c r="I211" s="66"/>
      <c r="J211" s="66"/>
      <c r="K211" s="66"/>
      <c r="L211" s="66"/>
      <c r="M211" s="66"/>
      <c r="N211" s="66"/>
    </row>
    <row r="212" spans="1:14" x14ac:dyDescent="0.2">
      <c r="A212" s="58" t="s">
        <v>194</v>
      </c>
      <c r="B212" s="60"/>
      <c r="C212" s="60"/>
      <c r="D212" s="66"/>
      <c r="E212" s="66"/>
      <c r="F212" s="66"/>
      <c r="G212" s="66"/>
      <c r="H212" s="66"/>
      <c r="I212" s="66"/>
      <c r="J212" s="66"/>
      <c r="K212" s="66"/>
      <c r="L212" s="66"/>
      <c r="M212" s="66"/>
      <c r="N212" s="66"/>
    </row>
    <row r="213" spans="1:14" x14ac:dyDescent="0.2">
      <c r="A213" s="59" t="s">
        <v>195</v>
      </c>
      <c r="B213" s="60"/>
      <c r="C213" s="66">
        <f>SUM(C110+C123+C136+C149+C162+C175+C188+C201)</f>
        <v>14201.880000000001</v>
      </c>
      <c r="D213" s="66">
        <f t="shared" ref="D213:N213" si="54">SUM(D110+D123+D136+D149+D162+D175+D188+D201)</f>
        <v>14201.880000000001</v>
      </c>
      <c r="E213" s="66">
        <f t="shared" si="54"/>
        <v>14201.880000000001</v>
      </c>
      <c r="F213" s="66">
        <f t="shared" si="54"/>
        <v>14201.880000000001</v>
      </c>
      <c r="G213" s="66">
        <f t="shared" si="54"/>
        <v>14201.880000000001</v>
      </c>
      <c r="H213" s="66">
        <f t="shared" si="54"/>
        <v>14201.880000000001</v>
      </c>
      <c r="I213" s="66">
        <f t="shared" si="54"/>
        <v>14201.880000000001</v>
      </c>
      <c r="J213" s="66">
        <f t="shared" si="54"/>
        <v>14201.880000000001</v>
      </c>
      <c r="K213" s="66">
        <f t="shared" si="54"/>
        <v>14201.880000000001</v>
      </c>
      <c r="L213" s="66">
        <f t="shared" si="54"/>
        <v>14201.880000000001</v>
      </c>
      <c r="M213" s="66">
        <f t="shared" si="54"/>
        <v>14201.880000000001</v>
      </c>
      <c r="N213" s="66">
        <f t="shared" si="54"/>
        <v>14201.880000000001</v>
      </c>
    </row>
    <row r="214" spans="1:14" x14ac:dyDescent="0.2">
      <c r="A214" s="59" t="s">
        <v>22</v>
      </c>
      <c r="B214" s="60"/>
      <c r="C214" s="66">
        <f>SUM(C111+C112+C113+C124+C125+C126+C137+C138+C139+C150+C151+C152+C163+C164+C165+C176+C177+C178+C189+C190+C191+C202+C203+C204)</f>
        <v>1212.2927999999999</v>
      </c>
      <c r="D214" s="66">
        <f t="shared" ref="D214:N214" si="55">SUM(D111+D112+D113+D124+D125+D126+D137+D138+D139+D150+D151+D152+D163+D164+D165+D176+D177+D178+D189+D190+D191+D202+D203+D204)</f>
        <v>1212.2927999999999</v>
      </c>
      <c r="E214" s="66">
        <f t="shared" si="55"/>
        <v>1212.2927999999999</v>
      </c>
      <c r="F214" s="66">
        <f t="shared" si="55"/>
        <v>1212.2927999999999</v>
      </c>
      <c r="G214" s="66">
        <f t="shared" si="55"/>
        <v>1212.2927999999999</v>
      </c>
      <c r="H214" s="66">
        <f t="shared" si="55"/>
        <v>1212.2927999999999</v>
      </c>
      <c r="I214" s="66">
        <f t="shared" si="55"/>
        <v>1212.2927999999999</v>
      </c>
      <c r="J214" s="66">
        <f t="shared" si="55"/>
        <v>1212.2927999999999</v>
      </c>
      <c r="K214" s="66">
        <f t="shared" si="55"/>
        <v>1212.2927999999999</v>
      </c>
      <c r="L214" s="66">
        <f t="shared" si="55"/>
        <v>1212.2927999999999</v>
      </c>
      <c r="M214" s="66">
        <f t="shared" si="55"/>
        <v>1212.2927999999999</v>
      </c>
      <c r="N214" s="66">
        <f t="shared" si="55"/>
        <v>1212.2927999999999</v>
      </c>
    </row>
    <row r="215" spans="1:14" x14ac:dyDescent="0.2">
      <c r="A215" s="59" t="s">
        <v>23</v>
      </c>
      <c r="B215" s="60"/>
      <c r="C215" s="66">
        <f>SUM(C114+C115+C127+C128+C140+C141+C153+C154+C167+C166+C179+C180+C192+C193+C205+C206)</f>
        <v>1461.6642000000002</v>
      </c>
      <c r="D215" s="66">
        <f t="shared" ref="D215:N215" si="56">SUM(D114+D115+D127+D128+D140+D141+D153+D154+D167+D166+D179+D180+D192+D193+D205+D206)</f>
        <v>1248.6642000000002</v>
      </c>
      <c r="E215" s="66">
        <f t="shared" si="56"/>
        <v>1248.6642000000002</v>
      </c>
      <c r="F215" s="66">
        <f t="shared" si="56"/>
        <v>1248.6642000000002</v>
      </c>
      <c r="G215" s="66">
        <f t="shared" si="56"/>
        <v>1248.6642000000002</v>
      </c>
      <c r="H215" s="66">
        <f t="shared" si="56"/>
        <v>1248.6642000000002</v>
      </c>
      <c r="I215" s="66">
        <f t="shared" si="56"/>
        <v>1248.6642000000002</v>
      </c>
      <c r="J215" s="66">
        <f t="shared" si="56"/>
        <v>1248.6642000000002</v>
      </c>
      <c r="K215" s="66">
        <f t="shared" si="56"/>
        <v>1248.6642000000002</v>
      </c>
      <c r="L215" s="66">
        <f t="shared" si="56"/>
        <v>1248.6642000000002</v>
      </c>
      <c r="M215" s="66">
        <f t="shared" si="56"/>
        <v>1248.6642000000002</v>
      </c>
      <c r="N215" s="66">
        <f t="shared" si="56"/>
        <v>1248.6642000000002</v>
      </c>
    </row>
    <row r="216" spans="1:14" s="29" customFormat="1" x14ac:dyDescent="0.2">
      <c r="A216" s="58" t="s">
        <v>196</v>
      </c>
      <c r="B216" s="60"/>
      <c r="C216" s="60">
        <f>SUM(C213:C215)</f>
        <v>16875.837</v>
      </c>
      <c r="D216" s="60">
        <f t="shared" ref="D216:N216" si="57">SUM(D213:D215)</f>
        <v>16662.837</v>
      </c>
      <c r="E216" s="60">
        <f t="shared" si="57"/>
        <v>16662.837</v>
      </c>
      <c r="F216" s="60">
        <f t="shared" si="57"/>
        <v>16662.837</v>
      </c>
      <c r="G216" s="60">
        <f t="shared" si="57"/>
        <v>16662.837</v>
      </c>
      <c r="H216" s="60">
        <f t="shared" si="57"/>
        <v>16662.837</v>
      </c>
      <c r="I216" s="60">
        <f t="shared" si="57"/>
        <v>16662.837</v>
      </c>
      <c r="J216" s="60">
        <f t="shared" si="57"/>
        <v>16662.837</v>
      </c>
      <c r="K216" s="60">
        <f t="shared" si="57"/>
        <v>16662.837</v>
      </c>
      <c r="L216" s="60">
        <f t="shared" si="57"/>
        <v>16662.837</v>
      </c>
      <c r="M216" s="60">
        <f t="shared" si="57"/>
        <v>16662.837</v>
      </c>
      <c r="N216" s="60">
        <f t="shared" si="57"/>
        <v>16662.837</v>
      </c>
    </row>
    <row r="217" spans="1:14" x14ac:dyDescent="0.2">
      <c r="A217" s="59"/>
      <c r="B217" s="60"/>
      <c r="C217" s="60"/>
      <c r="D217" s="66"/>
      <c r="E217" s="66"/>
      <c r="F217" s="66"/>
      <c r="G217" s="66"/>
      <c r="H217" s="66"/>
      <c r="I217" s="66"/>
      <c r="J217" s="66"/>
      <c r="K217" s="66"/>
      <c r="L217" s="66"/>
      <c r="M217" s="66"/>
      <c r="N217" s="66"/>
    </row>
    <row r="218" spans="1:14" x14ac:dyDescent="0.2">
      <c r="A218" s="59"/>
      <c r="B218" s="60"/>
      <c r="C218" s="60"/>
      <c r="D218" s="66"/>
      <c r="E218" s="66"/>
      <c r="F218" s="66"/>
      <c r="G218" s="66"/>
      <c r="H218" s="66"/>
      <c r="I218" s="66"/>
      <c r="J218" s="66"/>
      <c r="K218" s="66"/>
      <c r="L218" s="66"/>
      <c r="M218" s="66"/>
      <c r="N218" s="66"/>
    </row>
    <row r="219" spans="1:14" x14ac:dyDescent="0.2">
      <c r="A219" s="59"/>
      <c r="B219" s="60"/>
      <c r="C219" s="60"/>
      <c r="D219" s="66"/>
      <c r="E219" s="66"/>
      <c r="F219" s="66"/>
      <c r="G219" s="66"/>
      <c r="H219" s="66"/>
      <c r="I219" s="66"/>
      <c r="J219" s="66"/>
      <c r="K219" s="66"/>
      <c r="L219" s="66"/>
      <c r="M219" s="66"/>
      <c r="N219" s="66"/>
    </row>
    <row r="220" spans="1:14" x14ac:dyDescent="0.2">
      <c r="A220" s="59"/>
      <c r="B220" s="60"/>
      <c r="C220" s="60"/>
      <c r="D220" s="66"/>
      <c r="E220" s="66"/>
      <c r="F220" s="66"/>
      <c r="G220" s="66"/>
      <c r="H220" s="66"/>
      <c r="I220" s="66"/>
      <c r="J220" s="66"/>
      <c r="K220" s="66"/>
      <c r="L220" s="66"/>
      <c r="M220" s="66"/>
      <c r="N220" s="66"/>
    </row>
    <row r="221" spans="1:14" x14ac:dyDescent="0.2">
      <c r="A221" s="84"/>
      <c r="B221" s="84"/>
      <c r="C221" s="60"/>
      <c r="D221" s="66"/>
      <c r="E221" s="66"/>
      <c r="F221" s="66"/>
      <c r="G221" s="66"/>
      <c r="H221" s="66"/>
      <c r="I221" s="66"/>
      <c r="J221" s="66"/>
      <c r="K221" s="66"/>
      <c r="L221" s="66"/>
      <c r="M221" s="66"/>
      <c r="N221" s="66"/>
    </row>
    <row r="222" spans="1:14" x14ac:dyDescent="0.2">
      <c r="A222" s="84"/>
      <c r="B222" s="84"/>
      <c r="C222" s="60"/>
      <c r="D222" s="66"/>
      <c r="E222" s="66"/>
      <c r="F222" s="66"/>
      <c r="G222" s="66"/>
      <c r="H222" s="66"/>
      <c r="I222" s="66"/>
      <c r="J222" s="66"/>
      <c r="K222" s="66"/>
      <c r="L222" s="66"/>
      <c r="M222" s="66"/>
      <c r="N222" s="66"/>
    </row>
    <row r="223" spans="1:14" x14ac:dyDescent="0.2">
      <c r="A223" s="84"/>
      <c r="B223" s="84"/>
      <c r="C223" s="60"/>
      <c r="D223" s="66"/>
      <c r="E223" s="66"/>
      <c r="F223" s="66"/>
      <c r="G223" s="66"/>
      <c r="H223" s="66"/>
      <c r="I223" s="66"/>
      <c r="J223" s="66"/>
      <c r="K223" s="66"/>
      <c r="L223" s="66"/>
      <c r="M223" s="66"/>
      <c r="N223" s="66"/>
    </row>
    <row r="224" spans="1:14" x14ac:dyDescent="0.2">
      <c r="A224" s="84"/>
      <c r="B224" s="84"/>
      <c r="C224" s="60"/>
      <c r="D224" s="66"/>
      <c r="E224" s="66"/>
      <c r="F224" s="66"/>
      <c r="G224" s="66"/>
      <c r="H224" s="66"/>
      <c r="I224" s="66"/>
      <c r="J224" s="66"/>
      <c r="K224" s="66"/>
      <c r="L224" s="66"/>
      <c r="M224" s="66"/>
      <c r="N224" s="66"/>
    </row>
    <row r="225" spans="1:14" x14ac:dyDescent="0.2">
      <c r="A225" s="84"/>
      <c r="B225" s="84"/>
      <c r="C225" s="60"/>
      <c r="D225" s="66"/>
      <c r="E225" s="66"/>
      <c r="F225" s="66"/>
      <c r="G225" s="66"/>
      <c r="H225" s="66"/>
      <c r="I225" s="66"/>
      <c r="J225" s="66"/>
      <c r="K225" s="66"/>
      <c r="L225" s="66"/>
      <c r="M225" s="66"/>
      <c r="N225" s="66"/>
    </row>
    <row r="226" spans="1:14" x14ac:dyDescent="0.2">
      <c r="A226" s="84"/>
      <c r="B226" s="84"/>
      <c r="C226" s="60"/>
      <c r="D226" s="66"/>
      <c r="E226" s="66"/>
      <c r="F226" s="66"/>
      <c r="G226" s="66"/>
      <c r="H226" s="66"/>
      <c r="I226" s="66"/>
      <c r="J226" s="66"/>
      <c r="K226" s="66"/>
      <c r="L226" s="66"/>
      <c r="M226" s="66"/>
      <c r="N226" s="66"/>
    </row>
    <row r="227" spans="1:14" x14ac:dyDescent="0.2">
      <c r="A227" s="84"/>
      <c r="B227" s="84"/>
      <c r="C227" s="60"/>
      <c r="D227" s="66"/>
      <c r="E227" s="66"/>
      <c r="F227" s="66"/>
      <c r="G227" s="66"/>
      <c r="H227" s="66"/>
      <c r="I227" s="66"/>
      <c r="J227" s="66"/>
      <c r="K227" s="66"/>
      <c r="L227" s="66"/>
      <c r="M227" s="66"/>
      <c r="N227" s="66"/>
    </row>
    <row r="228" spans="1:14" x14ac:dyDescent="0.2">
      <c r="A228" s="84"/>
      <c r="B228" s="84"/>
      <c r="C228" s="60"/>
      <c r="D228" s="66"/>
      <c r="E228" s="66"/>
      <c r="F228" s="66"/>
      <c r="G228" s="66"/>
      <c r="H228" s="66"/>
      <c r="I228" s="66"/>
      <c r="J228" s="66"/>
      <c r="K228" s="66"/>
      <c r="L228" s="66"/>
      <c r="M228" s="66"/>
      <c r="N228" s="66"/>
    </row>
    <row r="229" spans="1:14" x14ac:dyDescent="0.2">
      <c r="A229" s="84"/>
      <c r="B229" s="84"/>
      <c r="C229" s="60"/>
      <c r="D229" s="66"/>
      <c r="E229" s="66"/>
      <c r="F229" s="66"/>
      <c r="G229" s="66"/>
      <c r="H229" s="66"/>
      <c r="I229" s="66"/>
      <c r="J229" s="66"/>
      <c r="K229" s="66"/>
      <c r="L229" s="66"/>
      <c r="M229" s="66"/>
      <c r="N229" s="66"/>
    </row>
    <row r="230" spans="1:14" x14ac:dyDescent="0.2">
      <c r="A230" s="84"/>
      <c r="B230" s="84"/>
      <c r="C230" s="60"/>
      <c r="D230" s="66"/>
      <c r="E230" s="66"/>
      <c r="F230" s="66"/>
      <c r="G230" s="66"/>
      <c r="H230" s="66"/>
      <c r="I230" s="66"/>
      <c r="J230" s="66"/>
      <c r="K230" s="66"/>
      <c r="L230" s="66"/>
      <c r="M230" s="66"/>
      <c r="N230" s="66"/>
    </row>
    <row r="231" spans="1:14" x14ac:dyDescent="0.2">
      <c r="A231" s="84"/>
      <c r="B231" s="84"/>
      <c r="C231" s="60"/>
      <c r="D231" s="66"/>
      <c r="E231" s="66"/>
      <c r="F231" s="66"/>
      <c r="G231" s="66"/>
      <c r="H231" s="66"/>
      <c r="I231" s="66"/>
      <c r="J231" s="66"/>
      <c r="K231" s="66"/>
      <c r="L231" s="66"/>
      <c r="M231" s="66"/>
      <c r="N231" s="66"/>
    </row>
    <row r="232" spans="1:14" x14ac:dyDescent="0.2">
      <c r="A232" s="84"/>
      <c r="B232" s="84"/>
      <c r="C232" s="60"/>
      <c r="D232" s="66"/>
      <c r="E232" s="66"/>
      <c r="F232" s="66"/>
      <c r="G232" s="66"/>
      <c r="H232" s="66"/>
      <c r="I232" s="66"/>
      <c r="J232" s="66"/>
      <c r="K232" s="66"/>
      <c r="L232" s="66"/>
      <c r="M232" s="66"/>
      <c r="N232" s="66"/>
    </row>
    <row r="233" spans="1:14" x14ac:dyDescent="0.2">
      <c r="A233" s="84"/>
      <c r="B233" s="84"/>
      <c r="C233" s="60"/>
      <c r="D233" s="66"/>
      <c r="E233" s="66"/>
      <c r="F233" s="66"/>
      <c r="G233" s="66"/>
      <c r="H233" s="66"/>
      <c r="I233" s="66"/>
      <c r="J233" s="66"/>
      <c r="K233" s="66"/>
      <c r="L233" s="66"/>
      <c r="M233" s="66"/>
      <c r="N233" s="66"/>
    </row>
    <row r="234" spans="1:14" x14ac:dyDescent="0.2">
      <c r="A234" s="84"/>
      <c r="B234" s="84"/>
      <c r="C234" s="60"/>
      <c r="D234" s="66"/>
      <c r="E234" s="66"/>
      <c r="F234" s="66"/>
      <c r="G234" s="66"/>
      <c r="H234" s="66"/>
      <c r="I234" s="66"/>
      <c r="J234" s="66"/>
      <c r="K234" s="66"/>
      <c r="L234" s="66"/>
      <c r="M234" s="66"/>
      <c r="N234" s="66"/>
    </row>
    <row r="235" spans="1:14" x14ac:dyDescent="0.2">
      <c r="A235" s="84"/>
      <c r="B235" s="84"/>
      <c r="C235" s="60"/>
      <c r="D235" s="66"/>
      <c r="E235" s="66"/>
      <c r="F235" s="66"/>
      <c r="G235" s="66"/>
      <c r="H235" s="66"/>
      <c r="I235" s="66"/>
      <c r="J235" s="66"/>
      <c r="K235" s="66"/>
      <c r="L235" s="66"/>
      <c r="M235" s="66"/>
      <c r="N235" s="66"/>
    </row>
    <row r="236" spans="1:14" x14ac:dyDescent="0.2">
      <c r="A236" s="84"/>
      <c r="B236" s="84"/>
      <c r="C236" s="60"/>
      <c r="D236" s="66"/>
      <c r="E236" s="66"/>
      <c r="F236" s="66"/>
      <c r="G236" s="66"/>
      <c r="H236" s="66"/>
      <c r="I236" s="66"/>
      <c r="J236" s="66"/>
      <c r="K236" s="66"/>
      <c r="L236" s="66"/>
      <c r="M236" s="66"/>
      <c r="N236" s="66"/>
    </row>
    <row r="237" spans="1:14" x14ac:dyDescent="0.2">
      <c r="A237" s="84"/>
      <c r="B237" s="84"/>
      <c r="C237" s="60"/>
      <c r="D237" s="66"/>
      <c r="E237" s="66"/>
      <c r="F237" s="66"/>
      <c r="G237" s="66"/>
      <c r="H237" s="66"/>
      <c r="I237" s="66"/>
      <c r="J237" s="66"/>
      <c r="K237" s="66"/>
      <c r="L237" s="66"/>
      <c r="M237" s="66"/>
      <c r="N237" s="66"/>
    </row>
    <row r="238" spans="1:14" x14ac:dyDescent="0.2">
      <c r="A238" s="84"/>
      <c r="B238" s="84"/>
      <c r="C238" s="60"/>
      <c r="D238" s="66"/>
      <c r="E238" s="66"/>
      <c r="F238" s="66"/>
      <c r="G238" s="66"/>
      <c r="H238" s="66"/>
      <c r="I238" s="66"/>
      <c r="J238" s="66"/>
      <c r="K238" s="66"/>
      <c r="L238" s="66"/>
      <c r="M238" s="66"/>
      <c r="N238" s="66"/>
    </row>
    <row r="239" spans="1:14" x14ac:dyDescent="0.2">
      <c r="A239" s="84"/>
      <c r="B239" s="84"/>
      <c r="C239" s="60"/>
      <c r="D239" s="66"/>
      <c r="E239" s="66"/>
      <c r="F239" s="66"/>
      <c r="G239" s="66"/>
      <c r="H239" s="66"/>
      <c r="I239" s="66"/>
      <c r="J239" s="66"/>
      <c r="K239" s="66"/>
      <c r="L239" s="66"/>
      <c r="M239" s="66"/>
      <c r="N239" s="66"/>
    </row>
    <row r="240" spans="1:14" x14ac:dyDescent="0.2">
      <c r="A240" s="84"/>
      <c r="B240" s="84"/>
      <c r="C240" s="60"/>
      <c r="D240" s="66"/>
      <c r="E240" s="66"/>
      <c r="F240" s="66"/>
      <c r="G240" s="66"/>
      <c r="H240" s="66"/>
      <c r="I240" s="66"/>
      <c r="J240" s="66"/>
      <c r="K240" s="66"/>
      <c r="L240" s="66"/>
      <c r="M240" s="66"/>
      <c r="N240" s="66"/>
    </row>
    <row r="241" spans="1:14" x14ac:dyDescent="0.2">
      <c r="A241" s="84"/>
      <c r="B241" s="84"/>
      <c r="C241" s="60"/>
      <c r="D241" s="66"/>
      <c r="E241" s="66"/>
      <c r="F241" s="66"/>
      <c r="G241" s="66"/>
      <c r="H241" s="66"/>
      <c r="I241" s="66"/>
      <c r="J241" s="66"/>
      <c r="K241" s="66"/>
      <c r="L241" s="66"/>
      <c r="M241" s="66"/>
      <c r="N241" s="66"/>
    </row>
    <row r="242" spans="1:14" x14ac:dyDescent="0.2">
      <c r="A242" s="84"/>
      <c r="B242" s="84"/>
      <c r="C242" s="60"/>
      <c r="D242" s="66"/>
      <c r="E242" s="66"/>
      <c r="F242" s="66"/>
      <c r="G242" s="66"/>
      <c r="H242" s="66"/>
      <c r="I242" s="66"/>
      <c r="J242" s="66"/>
      <c r="K242" s="66"/>
      <c r="L242" s="66"/>
      <c r="M242" s="66"/>
      <c r="N242" s="66"/>
    </row>
    <row r="243" spans="1:14" x14ac:dyDescent="0.2">
      <c r="A243" s="84"/>
      <c r="B243" s="84"/>
      <c r="C243" s="60"/>
      <c r="D243" s="66"/>
      <c r="E243" s="66"/>
      <c r="F243" s="66"/>
      <c r="G243" s="66"/>
      <c r="H243" s="66"/>
      <c r="I243" s="66"/>
      <c r="J243" s="66"/>
      <c r="K243" s="66"/>
      <c r="L243" s="66"/>
      <c r="M243" s="66"/>
      <c r="N243" s="66"/>
    </row>
    <row r="244" spans="1:14" x14ac:dyDescent="0.2">
      <c r="A244" s="84"/>
      <c r="B244" s="84"/>
      <c r="C244" s="60"/>
      <c r="D244" s="66"/>
      <c r="E244" s="66"/>
      <c r="F244" s="66"/>
      <c r="G244" s="66"/>
      <c r="H244" s="66"/>
      <c r="I244" s="66"/>
      <c r="J244" s="66"/>
      <c r="K244" s="66"/>
      <c r="L244" s="66"/>
      <c r="M244" s="66"/>
      <c r="N244" s="66"/>
    </row>
    <row r="245" spans="1:14" x14ac:dyDescent="0.2">
      <c r="A245" s="84"/>
      <c r="B245" s="84"/>
      <c r="C245" s="60"/>
      <c r="D245" s="66"/>
      <c r="E245" s="66"/>
      <c r="F245" s="66"/>
      <c r="G245" s="66"/>
      <c r="H245" s="66"/>
      <c r="I245" s="66"/>
      <c r="J245" s="66"/>
      <c r="K245" s="66"/>
      <c r="L245" s="66"/>
      <c r="M245" s="66"/>
      <c r="N245" s="66"/>
    </row>
    <row r="246" spans="1:14" x14ac:dyDescent="0.2">
      <c r="A246" s="84"/>
      <c r="B246" s="84"/>
      <c r="C246" s="60"/>
      <c r="D246" s="66"/>
      <c r="E246" s="66"/>
      <c r="F246" s="66"/>
      <c r="G246" s="66"/>
      <c r="H246" s="66"/>
      <c r="I246" s="66"/>
      <c r="J246" s="66"/>
      <c r="K246" s="66"/>
      <c r="L246" s="66"/>
      <c r="M246" s="66"/>
      <c r="N246" s="66"/>
    </row>
    <row r="247" spans="1:14" x14ac:dyDescent="0.2">
      <c r="A247" s="84"/>
      <c r="B247" s="84"/>
      <c r="C247" s="60"/>
      <c r="D247" s="66"/>
      <c r="E247" s="66"/>
      <c r="F247" s="66"/>
      <c r="G247" s="66"/>
      <c r="H247" s="66"/>
      <c r="I247" s="66"/>
      <c r="J247" s="66"/>
      <c r="K247" s="66"/>
      <c r="L247" s="66"/>
      <c r="M247" s="66"/>
      <c r="N247" s="66"/>
    </row>
    <row r="248" spans="1:14" x14ac:dyDescent="0.2">
      <c r="A248" s="84"/>
      <c r="B248" s="84"/>
      <c r="C248" s="60"/>
      <c r="D248" s="66"/>
      <c r="E248" s="66"/>
      <c r="F248" s="66"/>
      <c r="G248" s="66"/>
      <c r="H248" s="66"/>
      <c r="I248" s="66"/>
      <c r="J248" s="66"/>
      <c r="K248" s="66"/>
      <c r="L248" s="66"/>
      <c r="M248" s="66"/>
      <c r="N248" s="66"/>
    </row>
    <row r="249" spans="1:14" x14ac:dyDescent="0.2">
      <c r="A249" s="84"/>
      <c r="B249" s="84"/>
      <c r="C249" s="60"/>
      <c r="D249" s="66"/>
      <c r="E249" s="66"/>
      <c r="F249" s="66"/>
      <c r="G249" s="66"/>
      <c r="H249" s="66"/>
      <c r="I249" s="66"/>
      <c r="J249" s="66"/>
      <c r="K249" s="66"/>
      <c r="L249" s="66"/>
      <c r="M249" s="66"/>
      <c r="N249" s="66"/>
    </row>
    <row r="250" spans="1:14" x14ac:dyDescent="0.2">
      <c r="A250" s="84"/>
      <c r="B250" s="84"/>
      <c r="C250" s="60"/>
      <c r="D250" s="66"/>
      <c r="E250" s="66"/>
      <c r="F250" s="66"/>
      <c r="G250" s="66"/>
      <c r="H250" s="66"/>
      <c r="I250" s="66"/>
      <c r="J250" s="66"/>
      <c r="K250" s="66"/>
      <c r="L250" s="66"/>
      <c r="M250" s="66"/>
      <c r="N250" s="66"/>
    </row>
    <row r="251" spans="1:14" x14ac:dyDescent="0.2">
      <c r="A251" s="84"/>
      <c r="B251" s="84"/>
      <c r="C251" s="60"/>
      <c r="D251" s="66"/>
      <c r="E251" s="66"/>
      <c r="F251" s="66"/>
      <c r="G251" s="66"/>
      <c r="H251" s="66"/>
      <c r="I251" s="66"/>
      <c r="J251" s="66"/>
      <c r="K251" s="66"/>
      <c r="L251" s="66"/>
      <c r="M251" s="66"/>
      <c r="N251" s="66"/>
    </row>
    <row r="252" spans="1:14" x14ac:dyDescent="0.2">
      <c r="A252" s="84"/>
      <c r="B252" s="84"/>
      <c r="C252" s="60"/>
      <c r="D252" s="66"/>
      <c r="E252" s="66"/>
      <c r="F252" s="66"/>
      <c r="G252" s="66"/>
      <c r="H252" s="66"/>
      <c r="I252" s="66"/>
      <c r="J252" s="66"/>
      <c r="K252" s="66"/>
      <c r="L252" s="66"/>
      <c r="M252" s="66"/>
      <c r="N252" s="66"/>
    </row>
    <row r="253" spans="1:14" x14ac:dyDescent="0.2">
      <c r="A253" s="84"/>
      <c r="B253" s="84"/>
      <c r="C253" s="60"/>
      <c r="D253" s="66"/>
      <c r="E253" s="66"/>
      <c r="F253" s="66"/>
      <c r="G253" s="66"/>
      <c r="H253" s="66"/>
      <c r="I253" s="66"/>
      <c r="J253" s="66"/>
      <c r="K253" s="66"/>
      <c r="L253" s="66"/>
      <c r="M253" s="66"/>
      <c r="N253" s="66"/>
    </row>
    <row r="254" spans="1:14" x14ac:dyDescent="0.2">
      <c r="A254" s="84"/>
      <c r="B254" s="84"/>
      <c r="C254" s="60"/>
      <c r="D254" s="66"/>
      <c r="E254" s="66"/>
      <c r="F254" s="66"/>
      <c r="G254" s="66"/>
      <c r="H254" s="66"/>
      <c r="I254" s="66"/>
      <c r="J254" s="66"/>
      <c r="K254" s="66"/>
      <c r="L254" s="66"/>
      <c r="M254" s="66"/>
      <c r="N254" s="66"/>
    </row>
    <row r="255" spans="1:14" x14ac:dyDescent="0.2">
      <c r="A255" s="84"/>
      <c r="B255" s="84"/>
      <c r="C255" s="60"/>
      <c r="D255" s="66"/>
      <c r="E255" s="66"/>
      <c r="F255" s="66"/>
      <c r="G255" s="66"/>
      <c r="H255" s="66"/>
      <c r="I255" s="66"/>
      <c r="J255" s="66"/>
      <c r="K255" s="66"/>
      <c r="L255" s="66"/>
      <c r="M255" s="66"/>
      <c r="N255" s="66"/>
    </row>
    <row r="256" spans="1:14" x14ac:dyDescent="0.2">
      <c r="A256" s="84"/>
      <c r="B256" s="84"/>
      <c r="C256" s="60"/>
      <c r="D256" s="66"/>
      <c r="E256" s="66"/>
      <c r="F256" s="66"/>
      <c r="G256" s="66"/>
      <c r="H256" s="66"/>
      <c r="I256" s="66"/>
      <c r="J256" s="66"/>
      <c r="K256" s="66"/>
      <c r="L256" s="66"/>
      <c r="M256" s="66"/>
      <c r="N256" s="66"/>
    </row>
    <row r="257" spans="1:14" x14ac:dyDescent="0.2">
      <c r="A257" s="84"/>
      <c r="B257" s="84"/>
      <c r="C257" s="60"/>
      <c r="D257" s="66"/>
      <c r="E257" s="66"/>
      <c r="F257" s="66"/>
      <c r="G257" s="66"/>
      <c r="H257" s="66"/>
      <c r="I257" s="66"/>
      <c r="J257" s="66"/>
      <c r="K257" s="66"/>
      <c r="L257" s="66"/>
      <c r="M257" s="66"/>
      <c r="N257" s="66"/>
    </row>
    <row r="258" spans="1:14" x14ac:dyDescent="0.2">
      <c r="A258" s="84"/>
      <c r="B258" s="84"/>
      <c r="C258" s="60"/>
      <c r="D258" s="66"/>
      <c r="E258" s="66"/>
      <c r="F258" s="66"/>
      <c r="G258" s="66"/>
      <c r="H258" s="66"/>
      <c r="I258" s="66"/>
      <c r="J258" s="66"/>
      <c r="K258" s="66"/>
      <c r="L258" s="66"/>
      <c r="M258" s="66"/>
      <c r="N258" s="66"/>
    </row>
    <row r="259" spans="1:14" x14ac:dyDescent="0.2">
      <c r="A259" s="84"/>
      <c r="B259" s="84"/>
      <c r="C259" s="60"/>
      <c r="D259" s="66"/>
      <c r="E259" s="66"/>
      <c r="F259" s="66"/>
      <c r="G259" s="66"/>
      <c r="H259" s="66"/>
      <c r="I259" s="66"/>
      <c r="J259" s="66"/>
      <c r="K259" s="66"/>
      <c r="L259" s="66"/>
      <c r="M259" s="66"/>
      <c r="N259" s="66"/>
    </row>
    <row r="260" spans="1:14" x14ac:dyDescent="0.2">
      <c r="A260" s="84"/>
      <c r="B260" s="84"/>
      <c r="C260" s="60"/>
      <c r="D260" s="66"/>
      <c r="E260" s="66"/>
      <c r="F260" s="66"/>
      <c r="G260" s="66"/>
      <c r="H260" s="66"/>
      <c r="I260" s="66"/>
      <c r="J260" s="66"/>
      <c r="K260" s="66"/>
      <c r="L260" s="66"/>
      <c r="M260" s="66"/>
      <c r="N260" s="66"/>
    </row>
    <row r="261" spans="1:14" x14ac:dyDescent="0.2">
      <c r="A261" s="84"/>
      <c r="B261" s="84"/>
      <c r="C261" s="60"/>
      <c r="D261" s="66"/>
      <c r="E261" s="66"/>
      <c r="F261" s="66"/>
      <c r="G261" s="66"/>
      <c r="H261" s="66"/>
      <c r="I261" s="66"/>
      <c r="J261" s="66"/>
      <c r="K261" s="66"/>
      <c r="L261" s="66"/>
      <c r="M261" s="66"/>
      <c r="N261" s="66"/>
    </row>
    <row r="262" spans="1:14" x14ac:dyDescent="0.2">
      <c r="A262" s="84"/>
      <c r="B262" s="84"/>
      <c r="C262" s="60"/>
      <c r="D262" s="66"/>
      <c r="E262" s="66"/>
      <c r="F262" s="66"/>
      <c r="G262" s="66"/>
      <c r="H262" s="66"/>
      <c r="I262" s="66"/>
      <c r="J262" s="66"/>
      <c r="K262" s="66"/>
      <c r="L262" s="66"/>
      <c r="M262" s="66"/>
      <c r="N262" s="66"/>
    </row>
    <row r="263" spans="1:14" x14ac:dyDescent="0.2">
      <c r="A263" s="84"/>
      <c r="B263" s="84"/>
      <c r="C263" s="60"/>
      <c r="D263" s="66"/>
      <c r="E263" s="66"/>
      <c r="F263" s="66"/>
      <c r="G263" s="66"/>
      <c r="H263" s="66"/>
      <c r="I263" s="66"/>
      <c r="J263" s="66"/>
      <c r="K263" s="66"/>
      <c r="L263" s="66"/>
      <c r="M263" s="66"/>
      <c r="N263" s="66"/>
    </row>
    <row r="264" spans="1:14" x14ac:dyDescent="0.2">
      <c r="A264" s="84"/>
      <c r="B264" s="84"/>
      <c r="C264" s="60"/>
      <c r="D264" s="66"/>
      <c r="E264" s="66"/>
      <c r="F264" s="66"/>
      <c r="G264" s="66"/>
      <c r="H264" s="66"/>
      <c r="I264" s="66"/>
      <c r="J264" s="66"/>
      <c r="K264" s="66"/>
      <c r="L264" s="66"/>
      <c r="M264" s="66"/>
      <c r="N264" s="66"/>
    </row>
    <row r="265" spans="1:14" x14ac:dyDescent="0.2">
      <c r="A265" s="84"/>
      <c r="B265" s="84"/>
      <c r="C265" s="60"/>
      <c r="D265" s="66"/>
      <c r="E265" s="66"/>
      <c r="F265" s="66"/>
      <c r="G265" s="66"/>
      <c r="H265" s="66"/>
      <c r="I265" s="66"/>
      <c r="J265" s="66"/>
      <c r="K265" s="66"/>
      <c r="L265" s="66"/>
      <c r="M265" s="66"/>
      <c r="N265" s="66"/>
    </row>
    <row r="266" spans="1:14" x14ac:dyDescent="0.2">
      <c r="A266" s="84"/>
      <c r="B266" s="84"/>
      <c r="C266" s="60"/>
      <c r="D266" s="66"/>
      <c r="E266" s="66"/>
      <c r="F266" s="66"/>
      <c r="G266" s="66"/>
      <c r="H266" s="66"/>
      <c r="I266" s="66"/>
      <c r="J266" s="66"/>
      <c r="K266" s="66"/>
      <c r="L266" s="66"/>
      <c r="M266" s="66"/>
      <c r="N266" s="66"/>
    </row>
    <row r="267" spans="1:14" x14ac:dyDescent="0.2">
      <c r="A267" s="84"/>
      <c r="B267" s="84"/>
      <c r="C267" s="60"/>
      <c r="D267" s="66"/>
      <c r="E267" s="66"/>
      <c r="F267" s="66"/>
      <c r="G267" s="66"/>
      <c r="H267" s="66"/>
      <c r="I267" s="66"/>
      <c r="J267" s="66"/>
      <c r="K267" s="66"/>
      <c r="L267" s="66"/>
      <c r="M267" s="66"/>
      <c r="N267" s="66"/>
    </row>
    <row r="268" spans="1:14" x14ac:dyDescent="0.2">
      <c r="A268" s="84"/>
      <c r="B268" s="84"/>
      <c r="C268" s="60"/>
      <c r="D268" s="66"/>
      <c r="E268" s="66"/>
      <c r="F268" s="66"/>
      <c r="G268" s="66"/>
      <c r="H268" s="66"/>
      <c r="I268" s="66"/>
      <c r="J268" s="66"/>
      <c r="K268" s="66"/>
      <c r="L268" s="66"/>
      <c r="M268" s="66"/>
      <c r="N268" s="66"/>
    </row>
    <row r="269" spans="1:14" x14ac:dyDescent="0.2">
      <c r="A269" s="84"/>
      <c r="B269" s="84"/>
      <c r="C269" s="60"/>
      <c r="D269" s="66"/>
      <c r="E269" s="66"/>
      <c r="F269" s="66"/>
      <c r="G269" s="66"/>
      <c r="H269" s="66"/>
      <c r="I269" s="66"/>
      <c r="J269" s="66"/>
      <c r="K269" s="66"/>
      <c r="L269" s="66"/>
      <c r="M269" s="66"/>
      <c r="N269" s="66"/>
    </row>
    <row r="270" spans="1:14" x14ac:dyDescent="0.2">
      <c r="A270" s="84"/>
      <c r="B270" s="84"/>
      <c r="C270" s="60"/>
      <c r="D270" s="66"/>
      <c r="E270" s="66"/>
      <c r="F270" s="66"/>
      <c r="G270" s="66"/>
      <c r="H270" s="66"/>
      <c r="I270" s="66"/>
      <c r="J270" s="66"/>
      <c r="K270" s="66"/>
      <c r="L270" s="66"/>
      <c r="M270" s="66"/>
      <c r="N270" s="66"/>
    </row>
    <row r="271" spans="1:14" x14ac:dyDescent="0.2">
      <c r="A271" s="84"/>
      <c r="B271" s="84"/>
      <c r="C271" s="60"/>
      <c r="D271" s="66"/>
      <c r="E271" s="66"/>
      <c r="F271" s="66"/>
      <c r="G271" s="66"/>
      <c r="H271" s="66"/>
      <c r="I271" s="66"/>
      <c r="J271" s="66"/>
      <c r="K271" s="66"/>
      <c r="L271" s="66"/>
      <c r="M271" s="66"/>
      <c r="N271" s="66"/>
    </row>
    <row r="272" spans="1:14" x14ac:dyDescent="0.2">
      <c r="A272" s="84"/>
      <c r="B272" s="84"/>
      <c r="C272" s="60"/>
      <c r="D272" s="66"/>
      <c r="E272" s="66"/>
      <c r="F272" s="66"/>
      <c r="G272" s="66"/>
      <c r="H272" s="66"/>
      <c r="I272" s="66"/>
      <c r="J272" s="66"/>
      <c r="K272" s="66"/>
      <c r="L272" s="66"/>
      <c r="M272" s="66"/>
      <c r="N272" s="66"/>
    </row>
    <row r="273" spans="1:14" x14ac:dyDescent="0.2">
      <c r="A273" s="84"/>
      <c r="B273" s="84"/>
      <c r="C273" s="60"/>
      <c r="D273" s="66"/>
      <c r="E273" s="66"/>
      <c r="F273" s="66"/>
      <c r="G273" s="66"/>
      <c r="H273" s="66"/>
      <c r="I273" s="66"/>
      <c r="J273" s="66"/>
      <c r="K273" s="66"/>
      <c r="L273" s="66"/>
      <c r="M273" s="66"/>
      <c r="N273" s="66"/>
    </row>
    <row r="274" spans="1:14" x14ac:dyDescent="0.2">
      <c r="A274" s="84"/>
      <c r="B274" s="84"/>
      <c r="C274" s="60"/>
      <c r="D274" s="66"/>
      <c r="E274" s="66"/>
      <c r="F274" s="66"/>
      <c r="G274" s="66"/>
      <c r="H274" s="66"/>
      <c r="I274" s="66"/>
      <c r="J274" s="66"/>
      <c r="K274" s="66"/>
      <c r="L274" s="66"/>
      <c r="M274" s="66"/>
      <c r="N274" s="66"/>
    </row>
    <row r="275" spans="1:14" x14ac:dyDescent="0.2">
      <c r="A275" s="84"/>
      <c r="B275" s="84"/>
      <c r="C275" s="60"/>
      <c r="D275" s="66"/>
      <c r="E275" s="66"/>
      <c r="F275" s="66"/>
      <c r="G275" s="66"/>
      <c r="H275" s="66"/>
      <c r="I275" s="66"/>
      <c r="J275" s="66"/>
      <c r="K275" s="66"/>
      <c r="L275" s="66"/>
      <c r="M275" s="66"/>
      <c r="N275" s="66"/>
    </row>
    <row r="276" spans="1:14" x14ac:dyDescent="0.2">
      <c r="A276" s="84"/>
      <c r="B276" s="84"/>
      <c r="C276" s="60"/>
      <c r="D276" s="66"/>
      <c r="E276" s="66"/>
      <c r="F276" s="66"/>
      <c r="G276" s="66"/>
      <c r="H276" s="66"/>
      <c r="I276" s="66"/>
      <c r="J276" s="66"/>
      <c r="K276" s="66"/>
      <c r="L276" s="66"/>
      <c r="M276" s="66"/>
      <c r="N276" s="66"/>
    </row>
    <row r="277" spans="1:14" x14ac:dyDescent="0.2">
      <c r="A277" s="84"/>
      <c r="B277" s="84"/>
      <c r="C277" s="60"/>
      <c r="D277" s="66"/>
      <c r="E277" s="66"/>
      <c r="F277" s="66"/>
      <c r="G277" s="66"/>
      <c r="H277" s="66"/>
      <c r="I277" s="66"/>
      <c r="J277" s="66"/>
      <c r="K277" s="66"/>
      <c r="L277" s="66"/>
      <c r="M277" s="66"/>
      <c r="N277" s="66"/>
    </row>
    <row r="278" spans="1:14" x14ac:dyDescent="0.2">
      <c r="A278" s="84"/>
      <c r="B278" s="84"/>
      <c r="C278" s="60"/>
      <c r="D278" s="66"/>
      <c r="E278" s="66"/>
      <c r="F278" s="66"/>
      <c r="G278" s="66"/>
      <c r="H278" s="66"/>
      <c r="I278" s="66"/>
      <c r="J278" s="66"/>
      <c r="K278" s="66"/>
      <c r="L278" s="66"/>
      <c r="M278" s="66"/>
      <c r="N278" s="66"/>
    </row>
    <row r="279" spans="1:14" x14ac:dyDescent="0.2">
      <c r="A279" s="84"/>
      <c r="B279" s="84"/>
      <c r="C279" s="60"/>
      <c r="D279" s="66"/>
      <c r="E279" s="66"/>
      <c r="F279" s="66"/>
      <c r="G279" s="66"/>
      <c r="H279" s="66"/>
      <c r="I279" s="66"/>
      <c r="J279" s="66"/>
      <c r="K279" s="66"/>
      <c r="L279" s="66"/>
      <c r="M279" s="66"/>
      <c r="N279" s="66"/>
    </row>
    <row r="280" spans="1:14" x14ac:dyDescent="0.2">
      <c r="A280" s="84"/>
      <c r="B280" s="84"/>
      <c r="C280" s="60"/>
      <c r="D280" s="66"/>
      <c r="E280" s="66"/>
      <c r="F280" s="66"/>
      <c r="G280" s="66"/>
      <c r="H280" s="66"/>
      <c r="I280" s="66"/>
      <c r="J280" s="66"/>
      <c r="K280" s="66"/>
      <c r="L280" s="66"/>
      <c r="M280" s="66"/>
      <c r="N280" s="66"/>
    </row>
    <row r="281" spans="1:14" x14ac:dyDescent="0.2">
      <c r="A281" s="84"/>
      <c r="B281" s="84"/>
      <c r="C281" s="60"/>
      <c r="D281" s="66"/>
      <c r="E281" s="66"/>
      <c r="F281" s="66"/>
      <c r="G281" s="66"/>
      <c r="H281" s="66"/>
      <c r="I281" s="66"/>
      <c r="J281" s="66"/>
      <c r="K281" s="66"/>
      <c r="L281" s="66"/>
      <c r="M281" s="66"/>
      <c r="N281" s="66"/>
    </row>
    <row r="282" spans="1:14" x14ac:dyDescent="0.2">
      <c r="A282" s="84"/>
      <c r="B282" s="84"/>
      <c r="C282" s="60"/>
      <c r="D282" s="66"/>
      <c r="E282" s="66"/>
      <c r="F282" s="66"/>
      <c r="G282" s="66"/>
      <c r="H282" s="66"/>
      <c r="I282" s="66"/>
      <c r="J282" s="66"/>
      <c r="K282" s="66"/>
      <c r="L282" s="66"/>
      <c r="M282" s="66"/>
      <c r="N282" s="66"/>
    </row>
    <row r="283" spans="1:14" x14ac:dyDescent="0.2">
      <c r="A283" s="84"/>
      <c r="B283" s="84"/>
      <c r="C283" s="60"/>
      <c r="D283" s="66"/>
      <c r="E283" s="66"/>
      <c r="F283" s="66"/>
      <c r="G283" s="66"/>
      <c r="H283" s="66"/>
      <c r="I283" s="66"/>
      <c r="J283" s="66"/>
      <c r="K283" s="66"/>
      <c r="L283" s="66"/>
      <c r="M283" s="66"/>
      <c r="N283" s="66"/>
    </row>
    <row r="284" spans="1:14" x14ac:dyDescent="0.2">
      <c r="A284" s="84"/>
      <c r="B284" s="84"/>
      <c r="C284" s="60"/>
      <c r="D284" s="66"/>
      <c r="E284" s="66"/>
      <c r="F284" s="66"/>
      <c r="G284" s="66"/>
      <c r="H284" s="66"/>
      <c r="I284" s="66"/>
      <c r="J284" s="66"/>
      <c r="K284" s="66"/>
      <c r="L284" s="66"/>
      <c r="M284" s="66"/>
      <c r="N284" s="66"/>
    </row>
    <row r="285" spans="1:14" x14ac:dyDescent="0.2">
      <c r="A285" s="84"/>
      <c r="B285" s="84"/>
      <c r="C285" s="60"/>
      <c r="D285" s="66"/>
      <c r="E285" s="66"/>
      <c r="F285" s="66"/>
      <c r="G285" s="66"/>
      <c r="H285" s="66"/>
      <c r="I285" s="66"/>
      <c r="J285" s="66"/>
      <c r="K285" s="66"/>
      <c r="L285" s="66"/>
      <c r="M285" s="66"/>
      <c r="N285" s="66"/>
    </row>
    <row r="286" spans="1:14" x14ac:dyDescent="0.2">
      <c r="A286" s="84"/>
      <c r="B286" s="84"/>
      <c r="C286" s="60"/>
      <c r="D286" s="66"/>
      <c r="E286" s="66"/>
      <c r="F286" s="66"/>
      <c r="G286" s="66"/>
      <c r="H286" s="66"/>
      <c r="I286" s="66"/>
      <c r="J286" s="66"/>
      <c r="K286" s="66"/>
      <c r="L286" s="66"/>
      <c r="M286" s="66"/>
      <c r="N286" s="66"/>
    </row>
    <row r="287" spans="1:14" x14ac:dyDescent="0.2">
      <c r="A287" s="84"/>
      <c r="B287" s="84"/>
      <c r="C287" s="60"/>
      <c r="D287" s="66"/>
      <c r="E287" s="66"/>
      <c r="F287" s="66"/>
      <c r="G287" s="66"/>
      <c r="H287" s="66"/>
      <c r="I287" s="66"/>
      <c r="J287" s="66"/>
      <c r="K287" s="66"/>
      <c r="L287" s="66"/>
      <c r="M287" s="66"/>
      <c r="N287" s="66"/>
    </row>
    <row r="288" spans="1:14" x14ac:dyDescent="0.2">
      <c r="A288" s="84"/>
      <c r="B288" s="84"/>
      <c r="C288" s="60"/>
      <c r="D288" s="66"/>
      <c r="E288" s="66"/>
      <c r="F288" s="66"/>
      <c r="G288" s="66"/>
      <c r="H288" s="66"/>
      <c r="I288" s="66"/>
      <c r="J288" s="66"/>
      <c r="K288" s="66"/>
      <c r="L288" s="66"/>
      <c r="M288" s="66"/>
      <c r="N288" s="66"/>
    </row>
    <row r="289" spans="1:14" x14ac:dyDescent="0.2">
      <c r="A289" s="84"/>
      <c r="B289" s="84"/>
      <c r="C289" s="60"/>
      <c r="D289" s="66"/>
      <c r="E289" s="66"/>
      <c r="F289" s="66"/>
      <c r="G289" s="66"/>
      <c r="H289" s="66"/>
      <c r="I289" s="66"/>
      <c r="J289" s="66"/>
      <c r="K289" s="66"/>
      <c r="L289" s="66"/>
      <c r="M289" s="66"/>
      <c r="N289" s="66"/>
    </row>
    <row r="290" spans="1:14" x14ac:dyDescent="0.2">
      <c r="A290" s="84"/>
      <c r="B290" s="84"/>
      <c r="C290" s="60"/>
      <c r="D290" s="66"/>
      <c r="E290" s="66"/>
      <c r="F290" s="66"/>
      <c r="G290" s="66"/>
      <c r="H290" s="66"/>
      <c r="I290" s="66"/>
      <c r="J290" s="66"/>
      <c r="K290" s="66"/>
      <c r="L290" s="66"/>
      <c r="M290" s="66"/>
      <c r="N290" s="66"/>
    </row>
    <row r="291" spans="1:14" x14ac:dyDescent="0.2">
      <c r="A291" s="84"/>
      <c r="B291" s="84"/>
      <c r="C291" s="60"/>
      <c r="D291" s="66"/>
      <c r="E291" s="66"/>
      <c r="F291" s="66"/>
      <c r="G291" s="66"/>
      <c r="H291" s="66"/>
      <c r="I291" s="66"/>
      <c r="J291" s="66"/>
      <c r="K291" s="66"/>
      <c r="L291" s="66"/>
      <c r="M291" s="66"/>
      <c r="N291" s="66"/>
    </row>
    <row r="292" spans="1:14" x14ac:dyDescent="0.2">
      <c r="A292" s="84"/>
      <c r="B292" s="84"/>
      <c r="C292" s="60"/>
      <c r="D292" s="66"/>
      <c r="E292" s="66"/>
      <c r="F292" s="66"/>
      <c r="G292" s="66"/>
      <c r="H292" s="66"/>
      <c r="I292" s="66"/>
      <c r="J292" s="66"/>
      <c r="K292" s="66"/>
      <c r="L292" s="66"/>
      <c r="M292" s="66"/>
      <c r="N292" s="66"/>
    </row>
    <row r="293" spans="1:14" x14ac:dyDescent="0.2">
      <c r="A293" s="84"/>
      <c r="B293" s="84"/>
      <c r="C293" s="60"/>
      <c r="D293" s="66"/>
      <c r="E293" s="66"/>
      <c r="F293" s="66"/>
      <c r="G293" s="66"/>
      <c r="H293" s="66"/>
      <c r="I293" s="66"/>
      <c r="J293" s="66"/>
      <c r="K293" s="66"/>
      <c r="L293" s="66"/>
      <c r="M293" s="66"/>
      <c r="N293" s="66"/>
    </row>
    <row r="294" spans="1:14" x14ac:dyDescent="0.2">
      <c r="A294" s="84"/>
      <c r="B294" s="84"/>
      <c r="C294" s="60"/>
      <c r="D294" s="66"/>
      <c r="E294" s="66"/>
      <c r="F294" s="66"/>
      <c r="G294" s="66"/>
      <c r="H294" s="66"/>
      <c r="I294" s="66"/>
      <c r="J294" s="66"/>
      <c r="K294" s="66"/>
      <c r="L294" s="66"/>
      <c r="M294" s="66"/>
      <c r="N294" s="66"/>
    </row>
    <row r="295" spans="1:14" x14ac:dyDescent="0.2">
      <c r="A295" s="84"/>
      <c r="B295" s="84"/>
      <c r="C295" s="60"/>
      <c r="D295" s="66"/>
      <c r="E295" s="66"/>
      <c r="F295" s="66"/>
      <c r="G295" s="66"/>
      <c r="H295" s="66"/>
      <c r="I295" s="66"/>
      <c r="J295" s="66"/>
      <c r="K295" s="66"/>
      <c r="L295" s="66"/>
      <c r="M295" s="66"/>
      <c r="N295" s="66"/>
    </row>
    <row r="296" spans="1:14" x14ac:dyDescent="0.2">
      <c r="A296" s="84"/>
      <c r="B296" s="84"/>
      <c r="C296" s="60"/>
      <c r="D296" s="66"/>
      <c r="E296" s="66"/>
      <c r="F296" s="66"/>
      <c r="G296" s="66"/>
      <c r="H296" s="66"/>
      <c r="I296" s="66"/>
      <c r="J296" s="66"/>
      <c r="K296" s="66"/>
      <c r="L296" s="66"/>
      <c r="M296" s="66"/>
      <c r="N296" s="66"/>
    </row>
    <row r="297" spans="1:14" x14ac:dyDescent="0.2">
      <c r="A297" s="84"/>
      <c r="B297" s="84"/>
      <c r="C297" s="60"/>
      <c r="D297" s="66"/>
      <c r="E297" s="66"/>
      <c r="F297" s="66"/>
      <c r="G297" s="66"/>
      <c r="H297" s="66"/>
      <c r="I297" s="66"/>
      <c r="J297" s="66"/>
      <c r="K297" s="66"/>
      <c r="L297" s="66"/>
      <c r="M297" s="66"/>
      <c r="N297" s="66"/>
    </row>
    <row r="298" spans="1:14" x14ac:dyDescent="0.2">
      <c r="A298" s="84"/>
      <c r="B298" s="84"/>
      <c r="C298" s="60"/>
      <c r="D298" s="66"/>
      <c r="E298" s="66"/>
      <c r="F298" s="66"/>
      <c r="G298" s="66"/>
      <c r="H298" s="66"/>
      <c r="I298" s="66"/>
      <c r="J298" s="66"/>
      <c r="K298" s="66"/>
      <c r="L298" s="66"/>
      <c r="M298" s="66"/>
      <c r="N298" s="66"/>
    </row>
    <row r="299" spans="1:14" x14ac:dyDescent="0.2">
      <c r="A299" s="84"/>
      <c r="B299" s="84"/>
      <c r="C299" s="60"/>
      <c r="D299" s="66"/>
      <c r="E299" s="66"/>
      <c r="F299" s="66"/>
      <c r="G299" s="66"/>
      <c r="H299" s="66"/>
      <c r="I299" s="66"/>
      <c r="J299" s="66"/>
      <c r="K299" s="66"/>
      <c r="L299" s="66"/>
      <c r="M299" s="66"/>
      <c r="N299" s="66"/>
    </row>
    <row r="300" spans="1:14" x14ac:dyDescent="0.2">
      <c r="A300" s="84"/>
      <c r="B300" s="84"/>
      <c r="C300" s="60"/>
      <c r="D300" s="66"/>
      <c r="E300" s="66"/>
      <c r="F300" s="66"/>
      <c r="G300" s="66"/>
      <c r="H300" s="66"/>
      <c r="I300" s="66"/>
      <c r="J300" s="66"/>
      <c r="K300" s="66"/>
      <c r="L300" s="66"/>
      <c r="M300" s="66"/>
      <c r="N300" s="66"/>
    </row>
    <row r="301" spans="1:14" x14ac:dyDescent="0.2">
      <c r="A301" s="84"/>
      <c r="B301" s="84"/>
      <c r="C301" s="60"/>
      <c r="D301" s="66"/>
      <c r="E301" s="66"/>
      <c r="F301" s="66"/>
      <c r="G301" s="66"/>
      <c r="H301" s="66"/>
      <c r="I301" s="66"/>
      <c r="J301" s="66"/>
      <c r="K301" s="66"/>
      <c r="L301" s="66"/>
      <c r="M301" s="66"/>
      <c r="N301" s="66"/>
    </row>
    <row r="302" spans="1:14" x14ac:dyDescent="0.2">
      <c r="A302" s="84"/>
      <c r="B302" s="84"/>
      <c r="C302" s="60"/>
      <c r="D302" s="66"/>
      <c r="E302" s="66"/>
      <c r="F302" s="66"/>
      <c r="G302" s="66"/>
      <c r="H302" s="66"/>
      <c r="I302" s="66"/>
      <c r="J302" s="66"/>
      <c r="K302" s="66"/>
      <c r="L302" s="66"/>
      <c r="M302" s="66"/>
      <c r="N302" s="66"/>
    </row>
    <row r="303" spans="1:14" x14ac:dyDescent="0.2">
      <c r="A303" s="84"/>
      <c r="B303" s="84"/>
      <c r="C303" s="60"/>
      <c r="D303" s="66"/>
      <c r="E303" s="66"/>
      <c r="F303" s="66"/>
      <c r="G303" s="66"/>
      <c r="H303" s="66"/>
      <c r="I303" s="66"/>
      <c r="J303" s="66"/>
      <c r="K303" s="66"/>
      <c r="L303" s="66"/>
      <c r="M303" s="66"/>
      <c r="N303" s="66"/>
    </row>
    <row r="304" spans="1:14" x14ac:dyDescent="0.2">
      <c r="A304" s="84"/>
      <c r="B304" s="84"/>
      <c r="C304" s="60"/>
      <c r="D304" s="66"/>
      <c r="E304" s="66"/>
      <c r="F304" s="66"/>
      <c r="G304" s="66"/>
      <c r="H304" s="66"/>
      <c r="I304" s="66"/>
      <c r="J304" s="66"/>
      <c r="K304" s="66"/>
      <c r="L304" s="66"/>
      <c r="M304" s="66"/>
      <c r="N304" s="66"/>
    </row>
    <row r="305" spans="1:14" x14ac:dyDescent="0.2">
      <c r="A305" s="84"/>
      <c r="B305" s="84"/>
      <c r="C305" s="60"/>
      <c r="D305" s="66"/>
      <c r="E305" s="66"/>
      <c r="F305" s="66"/>
      <c r="G305" s="66"/>
      <c r="H305" s="66"/>
      <c r="I305" s="66"/>
      <c r="J305" s="66"/>
      <c r="K305" s="66"/>
      <c r="L305" s="66"/>
      <c r="M305" s="66"/>
      <c r="N305" s="66"/>
    </row>
    <row r="306" spans="1:14" x14ac:dyDescent="0.2">
      <c r="A306" s="84"/>
      <c r="B306" s="84"/>
      <c r="C306" s="60"/>
      <c r="D306" s="66"/>
      <c r="E306" s="66"/>
      <c r="F306" s="66"/>
      <c r="G306" s="66"/>
      <c r="H306" s="66"/>
      <c r="I306" s="66"/>
      <c r="J306" s="66"/>
      <c r="K306" s="66"/>
      <c r="L306" s="66"/>
      <c r="M306" s="66"/>
      <c r="N306" s="66"/>
    </row>
    <row r="307" spans="1:14" x14ac:dyDescent="0.2">
      <c r="A307" s="84"/>
      <c r="B307" s="84"/>
      <c r="C307" s="60"/>
      <c r="D307" s="66"/>
      <c r="E307" s="66"/>
      <c r="F307" s="66"/>
      <c r="G307" s="66"/>
      <c r="H307" s="66"/>
      <c r="I307" s="66"/>
      <c r="J307" s="66"/>
      <c r="K307" s="66"/>
      <c r="L307" s="66"/>
      <c r="M307" s="66"/>
      <c r="N307" s="66"/>
    </row>
    <row r="308" spans="1:14" x14ac:dyDescent="0.2">
      <c r="A308" s="84"/>
      <c r="B308" s="84"/>
      <c r="C308" s="60"/>
      <c r="D308" s="66"/>
      <c r="E308" s="66"/>
      <c r="F308" s="66"/>
      <c r="G308" s="66"/>
      <c r="H308" s="66"/>
      <c r="I308" s="66"/>
      <c r="J308" s="66"/>
      <c r="K308" s="66"/>
      <c r="L308" s="66"/>
      <c r="M308" s="66"/>
      <c r="N308" s="66"/>
    </row>
    <row r="309" spans="1:14" x14ac:dyDescent="0.2">
      <c r="A309" s="84"/>
      <c r="B309" s="84"/>
      <c r="C309" s="60"/>
      <c r="D309" s="66"/>
      <c r="E309" s="66"/>
      <c r="F309" s="66"/>
      <c r="G309" s="66"/>
      <c r="H309" s="66"/>
      <c r="I309" s="66"/>
      <c r="J309" s="66"/>
      <c r="K309" s="66"/>
      <c r="L309" s="66"/>
      <c r="M309" s="66"/>
      <c r="N309" s="66"/>
    </row>
    <row r="310" spans="1:14" x14ac:dyDescent="0.2">
      <c r="A310" s="84"/>
      <c r="B310" s="84"/>
      <c r="C310" s="60"/>
      <c r="D310" s="66"/>
      <c r="E310" s="66"/>
      <c r="F310" s="66"/>
      <c r="G310" s="66"/>
      <c r="H310" s="66"/>
      <c r="I310" s="66"/>
      <c r="J310" s="66"/>
      <c r="K310" s="66"/>
      <c r="L310" s="66"/>
      <c r="M310" s="66"/>
      <c r="N310" s="66"/>
    </row>
    <row r="311" spans="1:14" x14ac:dyDescent="0.2">
      <c r="A311" s="84"/>
      <c r="B311" s="84"/>
      <c r="C311" s="60"/>
      <c r="D311" s="66"/>
      <c r="E311" s="66"/>
      <c r="F311" s="66"/>
      <c r="G311" s="66"/>
      <c r="H311" s="66"/>
      <c r="I311" s="66"/>
      <c r="J311" s="66"/>
      <c r="K311" s="66"/>
      <c r="L311" s="66"/>
      <c r="M311" s="66"/>
      <c r="N311" s="66"/>
    </row>
    <row r="312" spans="1:14" x14ac:dyDescent="0.2">
      <c r="A312" s="84"/>
      <c r="B312" s="84"/>
      <c r="C312" s="60"/>
      <c r="D312" s="66"/>
      <c r="E312" s="66"/>
      <c r="F312" s="66"/>
      <c r="G312" s="66"/>
      <c r="H312" s="66"/>
      <c r="I312" s="66"/>
      <c r="J312" s="66"/>
      <c r="K312" s="66"/>
      <c r="L312" s="66"/>
      <c r="M312" s="66"/>
      <c r="N312" s="66"/>
    </row>
    <row r="313" spans="1:14" x14ac:dyDescent="0.2">
      <c r="A313" s="84"/>
      <c r="B313" s="84"/>
      <c r="C313" s="60"/>
      <c r="D313" s="66"/>
      <c r="E313" s="66"/>
      <c r="F313" s="66"/>
      <c r="G313" s="66"/>
      <c r="H313" s="66"/>
      <c r="I313" s="66"/>
      <c r="J313" s="66"/>
      <c r="K313" s="66"/>
      <c r="L313" s="66"/>
      <c r="M313" s="66"/>
      <c r="N313" s="66"/>
    </row>
    <row r="314" spans="1:14" x14ac:dyDescent="0.2">
      <c r="A314" s="84"/>
      <c r="B314" s="84"/>
      <c r="C314" s="60"/>
      <c r="D314" s="66"/>
      <c r="E314" s="66"/>
      <c r="F314" s="66"/>
      <c r="G314" s="66"/>
      <c r="H314" s="66"/>
      <c r="I314" s="66"/>
      <c r="J314" s="66"/>
      <c r="K314" s="66"/>
      <c r="L314" s="66"/>
      <c r="M314" s="66"/>
      <c r="N314" s="66"/>
    </row>
    <row r="315" spans="1:14" x14ac:dyDescent="0.2">
      <c r="A315" s="84"/>
      <c r="B315" s="84"/>
      <c r="C315" s="60"/>
      <c r="D315" s="66"/>
      <c r="E315" s="66"/>
      <c r="F315" s="66"/>
      <c r="G315" s="66"/>
      <c r="H315" s="66"/>
      <c r="I315" s="66"/>
      <c r="J315" s="66"/>
      <c r="K315" s="66"/>
      <c r="L315" s="66"/>
      <c r="M315" s="66"/>
      <c r="N315" s="66"/>
    </row>
    <row r="316" spans="1:14" x14ac:dyDescent="0.2">
      <c r="A316" s="84"/>
      <c r="B316" s="84"/>
      <c r="C316" s="60"/>
      <c r="D316" s="66"/>
      <c r="E316" s="66"/>
      <c r="F316" s="66"/>
      <c r="G316" s="66"/>
      <c r="H316" s="66"/>
      <c r="I316" s="66"/>
      <c r="J316" s="66"/>
      <c r="K316" s="66"/>
      <c r="L316" s="66"/>
      <c r="M316" s="66"/>
      <c r="N316" s="66"/>
    </row>
    <row r="317" spans="1:14" x14ac:dyDescent="0.2">
      <c r="A317" s="84"/>
      <c r="B317" s="84"/>
      <c r="C317" s="60"/>
      <c r="D317" s="66"/>
      <c r="E317" s="66"/>
      <c r="F317" s="66"/>
      <c r="G317" s="66"/>
      <c r="H317" s="66"/>
      <c r="I317" s="66"/>
      <c r="J317" s="66"/>
      <c r="K317" s="66"/>
      <c r="L317" s="66"/>
      <c r="M317" s="66"/>
      <c r="N317" s="66"/>
    </row>
    <row r="318" spans="1:14" x14ac:dyDescent="0.2">
      <c r="A318" s="84"/>
      <c r="B318" s="84"/>
      <c r="C318" s="60"/>
      <c r="D318" s="66"/>
      <c r="E318" s="66"/>
      <c r="F318" s="66"/>
      <c r="G318" s="66"/>
      <c r="H318" s="66"/>
      <c r="I318" s="66"/>
      <c r="J318" s="66"/>
      <c r="K318" s="66"/>
      <c r="L318" s="66"/>
      <c r="M318" s="66"/>
      <c r="N318" s="66"/>
    </row>
    <row r="319" spans="1:14" x14ac:dyDescent="0.2">
      <c r="A319" s="84"/>
      <c r="B319" s="84"/>
      <c r="C319" s="60"/>
      <c r="D319" s="66"/>
      <c r="E319" s="66"/>
      <c r="F319" s="66"/>
      <c r="G319" s="66"/>
      <c r="H319" s="66"/>
      <c r="I319" s="66"/>
      <c r="J319" s="66"/>
      <c r="K319" s="66"/>
      <c r="L319" s="66"/>
      <c r="M319" s="66"/>
      <c r="N319" s="66"/>
    </row>
    <row r="320" spans="1:14" x14ac:dyDescent="0.2">
      <c r="A320" s="84"/>
      <c r="B320" s="84"/>
      <c r="C320" s="60"/>
      <c r="D320" s="66"/>
      <c r="E320" s="66"/>
      <c r="F320" s="66"/>
      <c r="G320" s="66"/>
      <c r="H320" s="66"/>
      <c r="I320" s="66"/>
      <c r="J320" s="66"/>
      <c r="K320" s="66"/>
      <c r="L320" s="66"/>
      <c r="M320" s="66"/>
      <c r="N320" s="66"/>
    </row>
    <row r="321" spans="1:14" x14ac:dyDescent="0.2">
      <c r="A321" s="84"/>
      <c r="B321" s="84"/>
      <c r="C321" s="60"/>
      <c r="D321" s="66"/>
      <c r="E321" s="66"/>
      <c r="F321" s="66"/>
      <c r="G321" s="66"/>
      <c r="H321" s="66"/>
      <c r="I321" s="66"/>
      <c r="J321" s="66"/>
      <c r="K321" s="66"/>
      <c r="L321" s="66"/>
      <c r="M321" s="66"/>
      <c r="N321" s="66"/>
    </row>
    <row r="322" spans="1:14" x14ac:dyDescent="0.2">
      <c r="A322" s="84"/>
      <c r="B322" s="84"/>
      <c r="C322" s="60"/>
      <c r="D322" s="66"/>
      <c r="E322" s="66"/>
      <c r="F322" s="66"/>
      <c r="G322" s="66"/>
      <c r="H322" s="66"/>
      <c r="I322" s="66"/>
      <c r="J322" s="66"/>
      <c r="K322" s="66"/>
      <c r="L322" s="66"/>
      <c r="M322" s="66"/>
      <c r="N322" s="66"/>
    </row>
    <row r="323" spans="1:14" x14ac:dyDescent="0.2">
      <c r="A323" s="84"/>
      <c r="B323" s="84"/>
      <c r="C323" s="60"/>
      <c r="D323" s="66"/>
      <c r="E323" s="66"/>
      <c r="F323" s="66"/>
      <c r="G323" s="66"/>
      <c r="H323" s="66"/>
      <c r="I323" s="66"/>
      <c r="J323" s="66"/>
      <c r="K323" s="66"/>
      <c r="L323" s="66"/>
      <c r="M323" s="66"/>
      <c r="N323" s="66"/>
    </row>
    <row r="324" spans="1:14" x14ac:dyDescent="0.2">
      <c r="A324" s="84"/>
      <c r="B324" s="84"/>
      <c r="C324" s="60"/>
      <c r="D324" s="66"/>
      <c r="E324" s="66"/>
      <c r="F324" s="66"/>
      <c r="G324" s="66"/>
      <c r="H324" s="66"/>
      <c r="I324" s="66"/>
      <c r="J324" s="66"/>
      <c r="K324" s="66"/>
      <c r="L324" s="66"/>
      <c r="M324" s="66"/>
      <c r="N324" s="66"/>
    </row>
    <row r="325" spans="1:14" x14ac:dyDescent="0.2">
      <c r="A325" s="84"/>
      <c r="B325" s="84"/>
      <c r="C325" s="60"/>
      <c r="D325" s="66"/>
      <c r="E325" s="66"/>
      <c r="F325" s="66"/>
      <c r="G325" s="66"/>
      <c r="H325" s="66"/>
      <c r="I325" s="66"/>
      <c r="J325" s="66"/>
      <c r="K325" s="66"/>
      <c r="L325" s="66"/>
      <c r="M325" s="66"/>
      <c r="N325" s="66"/>
    </row>
    <row r="326" spans="1:14" x14ac:dyDescent="0.2">
      <c r="A326" s="84"/>
      <c r="B326" s="84"/>
      <c r="C326" s="60"/>
      <c r="D326" s="66"/>
      <c r="E326" s="66"/>
      <c r="F326" s="66"/>
      <c r="G326" s="66"/>
      <c r="H326" s="66"/>
      <c r="I326" s="66"/>
      <c r="J326" s="66"/>
      <c r="K326" s="66"/>
      <c r="L326" s="66"/>
      <c r="M326" s="66"/>
      <c r="N326" s="66"/>
    </row>
    <row r="327" spans="1:14" x14ac:dyDescent="0.2">
      <c r="A327" s="84"/>
      <c r="B327" s="84"/>
      <c r="C327" s="60"/>
      <c r="D327" s="66"/>
      <c r="E327" s="66"/>
      <c r="F327" s="66"/>
      <c r="G327" s="66"/>
      <c r="H327" s="66"/>
      <c r="I327" s="66"/>
      <c r="J327" s="66"/>
      <c r="K327" s="66"/>
      <c r="L327" s="66"/>
      <c r="M327" s="66"/>
      <c r="N327" s="66"/>
    </row>
    <row r="328" spans="1:14" x14ac:dyDescent="0.2">
      <c r="A328" s="84"/>
      <c r="B328" s="84"/>
      <c r="C328" s="60"/>
      <c r="D328" s="66"/>
      <c r="E328" s="66"/>
      <c r="F328" s="66"/>
      <c r="G328" s="66"/>
      <c r="H328" s="66"/>
      <c r="I328" s="66"/>
      <c r="J328" s="66"/>
      <c r="K328" s="66"/>
      <c r="L328" s="66"/>
      <c r="M328" s="66"/>
      <c r="N328" s="66"/>
    </row>
    <row r="329" spans="1:14" x14ac:dyDescent="0.2">
      <c r="A329" s="84"/>
      <c r="B329" s="84"/>
      <c r="C329" s="60"/>
      <c r="D329" s="66"/>
      <c r="E329" s="66"/>
      <c r="F329" s="66"/>
      <c r="G329" s="66"/>
      <c r="H329" s="66"/>
      <c r="I329" s="66"/>
      <c r="J329" s="66"/>
      <c r="K329" s="66"/>
      <c r="L329" s="66"/>
      <c r="M329" s="66"/>
      <c r="N329" s="66"/>
    </row>
    <row r="330" spans="1:14" x14ac:dyDescent="0.2">
      <c r="A330" s="84"/>
      <c r="B330" s="84"/>
      <c r="C330" s="60"/>
      <c r="D330" s="66"/>
      <c r="E330" s="66"/>
      <c r="F330" s="66"/>
      <c r="G330" s="66"/>
      <c r="H330" s="66"/>
      <c r="I330" s="66"/>
      <c r="J330" s="66"/>
      <c r="K330" s="66"/>
      <c r="L330" s="66"/>
      <c r="M330" s="66"/>
      <c r="N330" s="66"/>
    </row>
    <row r="331" spans="1:14" x14ac:dyDescent="0.2">
      <c r="A331" s="84"/>
      <c r="B331" s="84"/>
      <c r="C331" s="60"/>
      <c r="D331" s="66"/>
      <c r="E331" s="66"/>
      <c r="F331" s="66"/>
      <c r="G331" s="66"/>
      <c r="H331" s="66"/>
      <c r="I331" s="66"/>
      <c r="J331" s="66"/>
      <c r="K331" s="66"/>
      <c r="L331" s="66"/>
      <c r="M331" s="66"/>
      <c r="N331" s="66"/>
    </row>
    <row r="332" spans="1:14" x14ac:dyDescent="0.2">
      <c r="A332" s="84"/>
      <c r="B332" s="84"/>
      <c r="C332" s="60"/>
      <c r="D332" s="66"/>
      <c r="E332" s="66"/>
      <c r="F332" s="66"/>
      <c r="G332" s="66"/>
      <c r="H332" s="66"/>
      <c r="I332" s="66"/>
      <c r="J332" s="66"/>
      <c r="K332" s="66"/>
      <c r="L332" s="66"/>
      <c r="M332" s="66"/>
      <c r="N332" s="66"/>
    </row>
    <row r="333" spans="1:14" x14ac:dyDescent="0.2">
      <c r="A333" s="84"/>
      <c r="B333" s="84"/>
      <c r="C333" s="60"/>
      <c r="D333" s="66"/>
      <c r="E333" s="66"/>
      <c r="F333" s="66"/>
      <c r="G333" s="66"/>
      <c r="H333" s="66"/>
      <c r="I333" s="66"/>
      <c r="J333" s="66"/>
      <c r="K333" s="66"/>
      <c r="L333" s="66"/>
      <c r="M333" s="66"/>
      <c r="N333" s="66"/>
    </row>
    <row r="334" spans="1:14" x14ac:dyDescent="0.2">
      <c r="A334" s="84"/>
      <c r="B334" s="84"/>
      <c r="C334" s="60"/>
      <c r="D334" s="66"/>
      <c r="E334" s="66"/>
      <c r="F334" s="66"/>
      <c r="G334" s="66"/>
      <c r="H334" s="66"/>
      <c r="I334" s="66"/>
      <c r="J334" s="66"/>
      <c r="K334" s="66"/>
      <c r="L334" s="66"/>
      <c r="M334" s="66"/>
      <c r="N334" s="66"/>
    </row>
    <row r="335" spans="1:14" x14ac:dyDescent="0.2">
      <c r="A335" s="84"/>
      <c r="B335" s="84"/>
      <c r="C335" s="60"/>
      <c r="D335" s="66"/>
      <c r="E335" s="66"/>
      <c r="F335" s="66"/>
      <c r="G335" s="66"/>
      <c r="H335" s="66"/>
      <c r="I335" s="66"/>
      <c r="J335" s="66"/>
      <c r="K335" s="66"/>
      <c r="L335" s="66"/>
      <c r="M335" s="66"/>
      <c r="N335" s="66"/>
    </row>
    <row r="336" spans="1:14" x14ac:dyDescent="0.2">
      <c r="A336" s="84"/>
      <c r="B336" s="84"/>
      <c r="C336" s="60"/>
      <c r="D336" s="66"/>
      <c r="E336" s="66"/>
      <c r="F336" s="66"/>
      <c r="G336" s="66"/>
      <c r="H336" s="66"/>
      <c r="I336" s="66"/>
      <c r="J336" s="66"/>
      <c r="K336" s="66"/>
      <c r="L336" s="66"/>
      <c r="M336" s="66"/>
      <c r="N336" s="66"/>
    </row>
    <row r="337" spans="1:14" x14ac:dyDescent="0.2">
      <c r="A337" s="84"/>
      <c r="B337" s="84"/>
      <c r="C337" s="60"/>
      <c r="D337" s="66"/>
      <c r="E337" s="66"/>
      <c r="F337" s="66"/>
      <c r="G337" s="66"/>
      <c r="H337" s="66"/>
      <c r="I337" s="66"/>
      <c r="J337" s="66"/>
      <c r="K337" s="66"/>
      <c r="L337" s="66"/>
      <c r="M337" s="66"/>
      <c r="N337" s="66"/>
    </row>
    <row r="338" spans="1:14" x14ac:dyDescent="0.2">
      <c r="A338" s="84"/>
      <c r="B338" s="84"/>
      <c r="C338" s="60"/>
      <c r="D338" s="66"/>
      <c r="E338" s="66"/>
      <c r="F338" s="66"/>
      <c r="G338" s="66"/>
      <c r="H338" s="66"/>
      <c r="I338" s="66"/>
      <c r="J338" s="66"/>
      <c r="K338" s="66"/>
      <c r="L338" s="66"/>
      <c r="M338" s="66"/>
      <c r="N338" s="66"/>
    </row>
    <row r="339" spans="1:14" x14ac:dyDescent="0.2">
      <c r="A339" s="84"/>
      <c r="B339" s="84"/>
      <c r="C339" s="60"/>
      <c r="D339" s="66"/>
      <c r="E339" s="66"/>
      <c r="F339" s="66"/>
      <c r="G339" s="66"/>
      <c r="H339" s="66"/>
      <c r="I339" s="66"/>
      <c r="J339" s="66"/>
      <c r="K339" s="66"/>
      <c r="L339" s="66"/>
      <c r="M339" s="66"/>
      <c r="N339" s="66"/>
    </row>
    <row r="340" spans="1:14" x14ac:dyDescent="0.2">
      <c r="A340" s="84"/>
      <c r="B340" s="84"/>
      <c r="C340" s="60"/>
      <c r="D340" s="66"/>
      <c r="E340" s="66"/>
      <c r="F340" s="66"/>
      <c r="G340" s="66"/>
      <c r="H340" s="66"/>
      <c r="I340" s="66"/>
      <c r="J340" s="66"/>
      <c r="K340" s="66"/>
      <c r="L340" s="66"/>
      <c r="M340" s="66"/>
      <c r="N340" s="66"/>
    </row>
    <row r="341" spans="1:14" x14ac:dyDescent="0.2">
      <c r="A341" s="84"/>
      <c r="B341" s="84"/>
      <c r="C341" s="60"/>
      <c r="D341" s="66"/>
      <c r="E341" s="66"/>
      <c r="F341" s="66"/>
      <c r="G341" s="66"/>
      <c r="H341" s="66"/>
      <c r="I341" s="66"/>
      <c r="J341" s="66"/>
      <c r="K341" s="66"/>
      <c r="L341" s="66"/>
      <c r="M341" s="66"/>
      <c r="N341" s="66"/>
    </row>
    <row r="342" spans="1:14" x14ac:dyDescent="0.2">
      <c r="A342" s="84"/>
      <c r="B342" s="84"/>
      <c r="C342" s="60"/>
      <c r="D342" s="66"/>
      <c r="E342" s="66"/>
      <c r="F342" s="66"/>
      <c r="G342" s="66"/>
      <c r="H342" s="66"/>
      <c r="I342" s="66"/>
      <c r="J342" s="66"/>
      <c r="K342" s="66"/>
      <c r="L342" s="66"/>
      <c r="M342" s="66"/>
      <c r="N342" s="66"/>
    </row>
    <row r="343" spans="1:14" x14ac:dyDescent="0.2">
      <c r="A343" s="84"/>
      <c r="B343" s="84"/>
      <c r="C343" s="60"/>
      <c r="D343" s="66"/>
      <c r="E343" s="66"/>
      <c r="F343" s="66"/>
      <c r="G343" s="66"/>
      <c r="H343" s="66"/>
      <c r="I343" s="66"/>
      <c r="J343" s="66"/>
      <c r="K343" s="66"/>
      <c r="L343" s="66"/>
      <c r="M343" s="66"/>
      <c r="N343" s="66"/>
    </row>
    <row r="344" spans="1:14" x14ac:dyDescent="0.2">
      <c r="A344" s="84"/>
      <c r="B344" s="84"/>
      <c r="C344" s="60"/>
      <c r="D344" s="66"/>
      <c r="E344" s="66"/>
      <c r="F344" s="66"/>
      <c r="G344" s="66"/>
      <c r="H344" s="66"/>
      <c r="I344" s="66"/>
      <c r="J344" s="66"/>
      <c r="K344" s="66"/>
      <c r="L344" s="66"/>
      <c r="M344" s="66"/>
      <c r="N344" s="66"/>
    </row>
    <row r="345" spans="1:14" x14ac:dyDescent="0.2">
      <c r="A345" s="84"/>
      <c r="B345" s="84"/>
      <c r="C345" s="60"/>
      <c r="D345" s="66"/>
      <c r="E345" s="66"/>
      <c r="F345" s="66"/>
      <c r="G345" s="66"/>
      <c r="H345" s="66"/>
      <c r="I345" s="66"/>
      <c r="J345" s="66"/>
      <c r="K345" s="66"/>
      <c r="L345" s="66"/>
      <c r="M345" s="66"/>
      <c r="N345" s="66"/>
    </row>
    <row r="346" spans="1:14" x14ac:dyDescent="0.2">
      <c r="A346" s="84"/>
      <c r="B346" s="84"/>
      <c r="C346" s="60"/>
      <c r="D346" s="66"/>
      <c r="E346" s="66"/>
      <c r="F346" s="66"/>
      <c r="G346" s="66"/>
      <c r="H346" s="66"/>
      <c r="I346" s="66"/>
      <c r="J346" s="66"/>
      <c r="K346" s="66"/>
      <c r="L346" s="66"/>
      <c r="M346" s="66"/>
      <c r="N346" s="66"/>
    </row>
    <row r="347" spans="1:14" x14ac:dyDescent="0.2">
      <c r="A347" s="84"/>
      <c r="B347" s="84"/>
      <c r="C347" s="60"/>
      <c r="D347" s="66"/>
      <c r="E347" s="66"/>
      <c r="F347" s="66"/>
      <c r="G347" s="66"/>
      <c r="H347" s="66"/>
      <c r="I347" s="66"/>
      <c r="J347" s="66"/>
      <c r="K347" s="66"/>
      <c r="L347" s="66"/>
      <c r="M347" s="66"/>
      <c r="N347" s="66"/>
    </row>
    <row r="348" spans="1:14" x14ac:dyDescent="0.2">
      <c r="A348" s="84"/>
      <c r="B348" s="84"/>
      <c r="C348" s="60"/>
      <c r="D348" s="66"/>
      <c r="E348" s="66"/>
      <c r="F348" s="66"/>
      <c r="G348" s="66"/>
      <c r="H348" s="66"/>
      <c r="I348" s="66"/>
      <c r="J348" s="66"/>
      <c r="K348" s="66"/>
      <c r="L348" s="66"/>
      <c r="M348" s="66"/>
      <c r="N348" s="66"/>
    </row>
    <row r="349" spans="1:14" x14ac:dyDescent="0.2">
      <c r="A349" s="84"/>
      <c r="B349" s="84"/>
      <c r="C349" s="60"/>
      <c r="D349" s="66"/>
      <c r="E349" s="66"/>
      <c r="F349" s="66"/>
      <c r="G349" s="66"/>
      <c r="H349" s="66"/>
      <c r="I349" s="66"/>
      <c r="J349" s="66"/>
      <c r="K349" s="66"/>
      <c r="L349" s="66"/>
      <c r="M349" s="66"/>
      <c r="N349" s="66"/>
    </row>
    <row r="350" spans="1:14" x14ac:dyDescent="0.2">
      <c r="A350" s="84"/>
      <c r="B350" s="84"/>
      <c r="C350" s="60"/>
      <c r="D350" s="66"/>
      <c r="E350" s="66"/>
      <c r="F350" s="66"/>
      <c r="G350" s="66"/>
      <c r="H350" s="66"/>
      <c r="I350" s="66"/>
      <c r="J350" s="66"/>
      <c r="K350" s="66"/>
      <c r="L350" s="66"/>
      <c r="M350" s="66"/>
      <c r="N350" s="66"/>
    </row>
    <row r="351" spans="1:14" x14ac:dyDescent="0.2">
      <c r="A351" s="84"/>
      <c r="B351" s="84"/>
      <c r="C351" s="60"/>
      <c r="D351" s="66"/>
      <c r="E351" s="66"/>
      <c r="F351" s="66"/>
      <c r="G351" s="66"/>
      <c r="H351" s="66"/>
      <c r="I351" s="66"/>
      <c r="J351" s="66"/>
      <c r="K351" s="66"/>
      <c r="L351" s="66"/>
      <c r="M351" s="66"/>
      <c r="N351" s="66"/>
    </row>
    <row r="352" spans="1:14" x14ac:dyDescent="0.2">
      <c r="A352" s="84"/>
      <c r="B352" s="84"/>
      <c r="C352" s="60"/>
      <c r="D352" s="66"/>
      <c r="E352" s="66"/>
      <c r="F352" s="66"/>
      <c r="G352" s="66"/>
      <c r="H352" s="66"/>
      <c r="I352" s="66"/>
      <c r="J352" s="66"/>
      <c r="K352" s="66"/>
      <c r="L352" s="66"/>
      <c r="M352" s="66"/>
      <c r="N352" s="66"/>
    </row>
    <row r="353" spans="1:14" x14ac:dyDescent="0.2">
      <c r="A353" s="84"/>
      <c r="B353" s="84"/>
      <c r="C353" s="60"/>
      <c r="D353" s="66"/>
      <c r="E353" s="66"/>
      <c r="F353" s="66"/>
      <c r="G353" s="66"/>
      <c r="H353" s="66"/>
      <c r="I353" s="66"/>
      <c r="J353" s="66"/>
      <c r="K353" s="66"/>
      <c r="L353" s="66"/>
      <c r="M353" s="66"/>
      <c r="N353" s="66"/>
    </row>
    <row r="354" spans="1:14" x14ac:dyDescent="0.2">
      <c r="A354" s="84"/>
      <c r="B354" s="84"/>
      <c r="C354" s="60"/>
      <c r="D354" s="66"/>
      <c r="E354" s="66"/>
      <c r="F354" s="66"/>
      <c r="G354" s="66"/>
      <c r="H354" s="66"/>
      <c r="I354" s="66"/>
      <c r="J354" s="66"/>
      <c r="K354" s="66"/>
      <c r="L354" s="66"/>
      <c r="M354" s="66"/>
      <c r="N354" s="66"/>
    </row>
    <row r="355" spans="1:14" x14ac:dyDescent="0.2">
      <c r="A355" s="84"/>
      <c r="B355" s="84"/>
      <c r="C355" s="60"/>
      <c r="D355" s="66"/>
      <c r="E355" s="66"/>
      <c r="F355" s="66"/>
      <c r="G355" s="66"/>
      <c r="H355" s="66"/>
      <c r="I355" s="66"/>
      <c r="J355" s="66"/>
      <c r="K355" s="66"/>
      <c r="L355" s="66"/>
      <c r="M355" s="66"/>
      <c r="N355" s="66"/>
    </row>
    <row r="356" spans="1:14" x14ac:dyDescent="0.2">
      <c r="A356" s="84"/>
      <c r="B356" s="84"/>
      <c r="C356" s="60"/>
      <c r="D356" s="66"/>
      <c r="E356" s="66"/>
      <c r="F356" s="66"/>
      <c r="G356" s="66"/>
      <c r="H356" s="66"/>
      <c r="I356" s="66"/>
      <c r="J356" s="66"/>
      <c r="K356" s="66"/>
      <c r="L356" s="66"/>
      <c r="M356" s="66"/>
      <c r="N356" s="66"/>
    </row>
    <row r="357" spans="1:14" x14ac:dyDescent="0.2">
      <c r="A357" s="84"/>
      <c r="B357" s="84"/>
      <c r="C357" s="60"/>
      <c r="D357" s="66"/>
      <c r="E357" s="66"/>
      <c r="F357" s="66"/>
      <c r="G357" s="66"/>
      <c r="H357" s="66"/>
      <c r="I357" s="66"/>
      <c r="J357" s="66"/>
      <c r="K357" s="66"/>
      <c r="L357" s="66"/>
      <c r="M357" s="66"/>
      <c r="N357" s="66"/>
    </row>
    <row r="358" spans="1:14" x14ac:dyDescent="0.2">
      <c r="A358" s="84"/>
      <c r="B358" s="84"/>
      <c r="C358" s="60"/>
      <c r="D358" s="66"/>
      <c r="E358" s="66"/>
      <c r="F358" s="66"/>
      <c r="G358" s="66"/>
      <c r="H358" s="66"/>
      <c r="I358" s="66"/>
      <c r="J358" s="66"/>
      <c r="K358" s="66"/>
      <c r="L358" s="66"/>
      <c r="M358" s="66"/>
      <c r="N358" s="66"/>
    </row>
    <row r="359" spans="1:14" x14ac:dyDescent="0.2">
      <c r="A359" s="84"/>
      <c r="B359" s="84"/>
      <c r="C359" s="60"/>
      <c r="D359" s="66"/>
      <c r="E359" s="66"/>
      <c r="F359" s="66"/>
      <c r="G359" s="66"/>
      <c r="H359" s="66"/>
      <c r="I359" s="66"/>
      <c r="J359" s="66"/>
      <c r="K359" s="66"/>
      <c r="L359" s="66"/>
      <c r="M359" s="66"/>
      <c r="N359" s="66"/>
    </row>
    <row r="360" spans="1:14" x14ac:dyDescent="0.2">
      <c r="A360" s="84"/>
      <c r="B360" s="84"/>
      <c r="C360" s="60"/>
      <c r="D360" s="66"/>
      <c r="E360" s="66"/>
      <c r="F360" s="66"/>
      <c r="G360" s="66"/>
      <c r="H360" s="66"/>
      <c r="I360" s="66"/>
      <c r="J360" s="66"/>
      <c r="K360" s="66"/>
      <c r="L360" s="66"/>
      <c r="M360" s="66"/>
      <c r="N360" s="66"/>
    </row>
    <row r="361" spans="1:14" x14ac:dyDescent="0.2">
      <c r="A361" s="84"/>
      <c r="B361" s="84"/>
      <c r="C361" s="60"/>
      <c r="D361" s="66"/>
      <c r="E361" s="66"/>
      <c r="F361" s="66"/>
      <c r="G361" s="66"/>
      <c r="H361" s="66"/>
      <c r="I361" s="66"/>
      <c r="J361" s="66"/>
      <c r="K361" s="66"/>
      <c r="L361" s="66"/>
      <c r="M361" s="66"/>
      <c r="N361" s="66"/>
    </row>
    <row r="362" spans="1:14" x14ac:dyDescent="0.2">
      <c r="A362" s="84"/>
      <c r="B362" s="84"/>
      <c r="C362" s="60"/>
      <c r="D362" s="66"/>
      <c r="E362" s="66"/>
      <c r="F362" s="66"/>
      <c r="G362" s="66"/>
      <c r="H362" s="66"/>
      <c r="I362" s="66"/>
      <c r="J362" s="66"/>
      <c r="K362" s="66"/>
      <c r="L362" s="66"/>
      <c r="M362" s="66"/>
      <c r="N362" s="66"/>
    </row>
    <row r="363" spans="1:14" x14ac:dyDescent="0.2">
      <c r="A363" s="84"/>
      <c r="B363" s="84"/>
      <c r="C363" s="60"/>
      <c r="D363" s="66"/>
      <c r="E363" s="66"/>
      <c r="F363" s="66"/>
      <c r="G363" s="66"/>
      <c r="H363" s="66"/>
      <c r="I363" s="66"/>
      <c r="J363" s="66"/>
      <c r="K363" s="66"/>
      <c r="L363" s="66"/>
      <c r="M363" s="66"/>
      <c r="N363" s="66"/>
    </row>
    <row r="364" spans="1:14" x14ac:dyDescent="0.2">
      <c r="A364" s="84"/>
      <c r="B364" s="84"/>
      <c r="C364" s="60"/>
      <c r="D364" s="66"/>
      <c r="E364" s="66"/>
      <c r="F364" s="66"/>
      <c r="G364" s="66"/>
      <c r="H364" s="66"/>
      <c r="I364" s="66"/>
      <c r="J364" s="66"/>
      <c r="K364" s="66"/>
      <c r="L364" s="66"/>
      <c r="M364" s="66"/>
      <c r="N364" s="66"/>
    </row>
    <row r="365" spans="1:14" x14ac:dyDescent="0.2">
      <c r="A365" s="84"/>
      <c r="B365" s="84"/>
      <c r="C365" s="60"/>
      <c r="D365" s="66"/>
      <c r="E365" s="66"/>
      <c r="F365" s="66"/>
      <c r="G365" s="66"/>
      <c r="H365" s="66"/>
      <c r="I365" s="66"/>
      <c r="J365" s="66"/>
      <c r="K365" s="66"/>
      <c r="L365" s="66"/>
      <c r="M365" s="66"/>
      <c r="N365" s="66"/>
    </row>
    <row r="366" spans="1:14" x14ac:dyDescent="0.2">
      <c r="A366" s="84"/>
      <c r="B366" s="84"/>
      <c r="C366" s="60"/>
      <c r="D366" s="66"/>
      <c r="E366" s="66"/>
      <c r="F366" s="66"/>
      <c r="G366" s="66"/>
      <c r="H366" s="66"/>
      <c r="I366" s="66"/>
      <c r="J366" s="66"/>
      <c r="K366" s="66"/>
      <c r="L366" s="66"/>
      <c r="M366" s="66"/>
      <c r="N366" s="66"/>
    </row>
    <row r="367" spans="1:14" x14ac:dyDescent="0.2">
      <c r="A367" s="84"/>
      <c r="B367" s="84"/>
      <c r="C367" s="60"/>
      <c r="D367" s="66"/>
      <c r="E367" s="66"/>
      <c r="F367" s="66"/>
      <c r="G367" s="66"/>
      <c r="H367" s="66"/>
      <c r="I367" s="66"/>
      <c r="J367" s="66"/>
      <c r="K367" s="66"/>
      <c r="L367" s="66"/>
      <c r="M367" s="66"/>
      <c r="N367" s="66"/>
    </row>
    <row r="368" spans="1:14" x14ac:dyDescent="0.2">
      <c r="A368" s="84"/>
      <c r="B368" s="84"/>
      <c r="C368" s="60"/>
      <c r="D368" s="66"/>
      <c r="E368" s="66"/>
      <c r="F368" s="66"/>
      <c r="G368" s="66"/>
      <c r="H368" s="66"/>
      <c r="I368" s="66"/>
      <c r="J368" s="66"/>
      <c r="K368" s="66"/>
      <c r="L368" s="66"/>
      <c r="M368" s="66"/>
      <c r="N368" s="66"/>
    </row>
    <row r="369" spans="1:14" x14ac:dyDescent="0.2">
      <c r="A369" s="84"/>
      <c r="B369" s="84"/>
      <c r="C369" s="60"/>
      <c r="D369" s="66"/>
      <c r="E369" s="66"/>
      <c r="F369" s="66"/>
      <c r="G369" s="66"/>
      <c r="H369" s="66"/>
      <c r="I369" s="66"/>
      <c r="J369" s="66"/>
      <c r="K369" s="66"/>
      <c r="L369" s="66"/>
      <c r="M369" s="66"/>
      <c r="N369" s="66"/>
    </row>
    <row r="370" spans="1:14" x14ac:dyDescent="0.2">
      <c r="A370" s="84"/>
      <c r="B370" s="84"/>
      <c r="C370" s="60"/>
      <c r="D370" s="66"/>
      <c r="E370" s="66"/>
      <c r="F370" s="66"/>
      <c r="G370" s="66"/>
      <c r="H370" s="66"/>
      <c r="I370" s="66"/>
      <c r="J370" s="66"/>
      <c r="K370" s="66"/>
      <c r="L370" s="66"/>
      <c r="M370" s="66"/>
      <c r="N370" s="66"/>
    </row>
    <row r="371" spans="1:14" x14ac:dyDescent="0.2">
      <c r="A371" s="84"/>
      <c r="B371" s="84"/>
      <c r="C371" s="60"/>
      <c r="D371" s="66"/>
      <c r="E371" s="66"/>
      <c r="F371" s="66"/>
      <c r="G371" s="66"/>
      <c r="H371" s="66"/>
      <c r="I371" s="66"/>
      <c r="J371" s="66"/>
      <c r="K371" s="66"/>
      <c r="L371" s="66"/>
      <c r="M371" s="66"/>
      <c r="N371" s="66"/>
    </row>
    <row r="372" spans="1:14" x14ac:dyDescent="0.2">
      <c r="A372" s="84"/>
      <c r="B372" s="84"/>
      <c r="C372" s="60"/>
      <c r="D372" s="66"/>
      <c r="E372" s="66"/>
      <c r="F372" s="66"/>
      <c r="G372" s="66"/>
      <c r="H372" s="66"/>
      <c r="I372" s="66"/>
      <c r="J372" s="66"/>
      <c r="K372" s="66"/>
      <c r="L372" s="66"/>
      <c r="M372" s="66"/>
      <c r="N372" s="66"/>
    </row>
    <row r="373" spans="1:14" x14ac:dyDescent="0.2">
      <c r="A373" s="84"/>
      <c r="B373" s="84"/>
      <c r="C373" s="60"/>
      <c r="D373" s="66"/>
      <c r="E373" s="66"/>
      <c r="F373" s="66"/>
      <c r="G373" s="66"/>
      <c r="H373" s="66"/>
      <c r="I373" s="66"/>
      <c r="J373" s="66"/>
      <c r="K373" s="66"/>
      <c r="L373" s="66"/>
      <c r="M373" s="66"/>
      <c r="N373" s="66"/>
    </row>
    <row r="374" spans="1:14" x14ac:dyDescent="0.2">
      <c r="A374" s="84"/>
      <c r="B374" s="84"/>
      <c r="C374" s="60"/>
      <c r="D374" s="66"/>
      <c r="E374" s="66"/>
      <c r="F374" s="66"/>
      <c r="G374" s="66"/>
      <c r="H374" s="66"/>
      <c r="I374" s="66"/>
      <c r="J374" s="66"/>
      <c r="K374" s="66"/>
      <c r="L374" s="66"/>
      <c r="M374" s="66"/>
      <c r="N374" s="66"/>
    </row>
    <row r="375" spans="1:14" x14ac:dyDescent="0.2">
      <c r="A375" s="84"/>
      <c r="B375" s="84"/>
      <c r="C375" s="60"/>
      <c r="D375" s="66"/>
      <c r="E375" s="66"/>
      <c r="F375" s="66"/>
      <c r="G375" s="66"/>
      <c r="H375" s="66"/>
      <c r="I375" s="66"/>
      <c r="J375" s="66"/>
      <c r="K375" s="66"/>
      <c r="L375" s="66"/>
      <c r="M375" s="66"/>
      <c r="N375" s="66"/>
    </row>
    <row r="376" spans="1:14" x14ac:dyDescent="0.2">
      <c r="A376" s="84"/>
      <c r="B376" s="84"/>
      <c r="C376" s="60"/>
      <c r="D376" s="66"/>
      <c r="E376" s="66"/>
      <c r="F376" s="66"/>
      <c r="G376" s="66"/>
      <c r="H376" s="66"/>
      <c r="I376" s="66"/>
      <c r="J376" s="66"/>
      <c r="K376" s="66"/>
      <c r="L376" s="66"/>
      <c r="M376" s="66"/>
      <c r="N376" s="66"/>
    </row>
    <row r="377" spans="1:14" x14ac:dyDescent="0.2">
      <c r="A377" s="84"/>
      <c r="B377" s="84"/>
      <c r="C377" s="60"/>
      <c r="D377" s="66"/>
      <c r="E377" s="66"/>
      <c r="F377" s="66"/>
      <c r="G377" s="66"/>
      <c r="H377" s="66"/>
      <c r="I377" s="66"/>
      <c r="J377" s="66"/>
      <c r="K377" s="66"/>
      <c r="L377" s="66"/>
      <c r="M377" s="66"/>
      <c r="N377" s="66"/>
    </row>
    <row r="378" spans="1:14" x14ac:dyDescent="0.2">
      <c r="A378" s="84"/>
      <c r="B378" s="84"/>
      <c r="C378" s="60"/>
      <c r="D378" s="66"/>
      <c r="E378" s="66"/>
      <c r="F378" s="66"/>
      <c r="G378" s="66"/>
      <c r="H378" s="66"/>
      <c r="I378" s="66"/>
      <c r="J378" s="66"/>
      <c r="K378" s="66"/>
      <c r="L378" s="66"/>
      <c r="M378" s="66"/>
      <c r="N378" s="66"/>
    </row>
    <row r="379" spans="1:14" x14ac:dyDescent="0.2">
      <c r="A379" s="84"/>
      <c r="B379" s="84"/>
      <c r="C379" s="60"/>
      <c r="D379" s="66"/>
      <c r="E379" s="66"/>
      <c r="F379" s="66"/>
      <c r="G379" s="66"/>
      <c r="H379" s="66"/>
      <c r="I379" s="66"/>
      <c r="J379" s="66"/>
      <c r="K379" s="66"/>
      <c r="L379" s="66"/>
      <c r="M379" s="66"/>
      <c r="N379" s="66"/>
    </row>
    <row r="380" spans="1:14" x14ac:dyDescent="0.2">
      <c r="A380" s="84"/>
      <c r="B380" s="84"/>
      <c r="C380" s="60"/>
      <c r="D380" s="66"/>
      <c r="E380" s="66"/>
      <c r="F380" s="66"/>
      <c r="G380" s="66"/>
      <c r="H380" s="66"/>
      <c r="I380" s="66"/>
      <c r="J380" s="66"/>
      <c r="K380" s="66"/>
      <c r="L380" s="66"/>
      <c r="M380" s="66"/>
      <c r="N380" s="66"/>
    </row>
    <row r="381" spans="1:14" x14ac:dyDescent="0.2">
      <c r="A381" s="84"/>
      <c r="B381" s="84"/>
      <c r="C381" s="60"/>
      <c r="D381" s="66"/>
      <c r="E381" s="66"/>
      <c r="F381" s="66"/>
      <c r="G381" s="66"/>
      <c r="H381" s="66"/>
      <c r="I381" s="66"/>
      <c r="J381" s="66"/>
      <c r="K381" s="66"/>
      <c r="L381" s="66"/>
      <c r="M381" s="66"/>
      <c r="N381" s="66"/>
    </row>
    <row r="382" spans="1:14" x14ac:dyDescent="0.2">
      <c r="A382" s="84"/>
      <c r="B382" s="84"/>
      <c r="C382" s="60"/>
      <c r="D382" s="66"/>
      <c r="E382" s="66"/>
      <c r="F382" s="66"/>
      <c r="G382" s="66"/>
      <c r="H382" s="66"/>
      <c r="I382" s="66"/>
      <c r="J382" s="66"/>
      <c r="K382" s="66"/>
      <c r="L382" s="66"/>
      <c r="M382" s="66"/>
      <c r="N382" s="66"/>
    </row>
    <row r="383" spans="1:14" x14ac:dyDescent="0.2">
      <c r="A383" s="84"/>
      <c r="B383" s="84"/>
      <c r="C383" s="60"/>
      <c r="D383" s="66"/>
      <c r="E383" s="66"/>
      <c r="F383" s="66"/>
      <c r="G383" s="66"/>
      <c r="H383" s="66"/>
      <c r="I383" s="66"/>
      <c r="J383" s="66"/>
      <c r="K383" s="66"/>
      <c r="L383" s="66"/>
      <c r="M383" s="66"/>
      <c r="N383" s="66"/>
    </row>
    <row r="384" spans="1:14" x14ac:dyDescent="0.2">
      <c r="A384" s="84"/>
      <c r="B384" s="84"/>
      <c r="C384" s="60"/>
      <c r="D384" s="66"/>
      <c r="E384" s="66"/>
      <c r="F384" s="66"/>
      <c r="G384" s="66"/>
      <c r="H384" s="66"/>
      <c r="I384" s="66"/>
      <c r="J384" s="66"/>
      <c r="K384" s="66"/>
      <c r="L384" s="66"/>
      <c r="M384" s="66"/>
      <c r="N384" s="66"/>
    </row>
    <row r="385" spans="1:14" x14ac:dyDescent="0.2">
      <c r="A385" s="84"/>
      <c r="B385" s="84"/>
      <c r="C385" s="60"/>
      <c r="D385" s="66"/>
      <c r="E385" s="66"/>
      <c r="F385" s="66"/>
      <c r="G385" s="66"/>
      <c r="H385" s="66"/>
      <c r="I385" s="66"/>
      <c r="J385" s="66"/>
      <c r="K385" s="66"/>
      <c r="L385" s="66"/>
      <c r="M385" s="66"/>
      <c r="N385" s="66"/>
    </row>
    <row r="386" spans="1:14" x14ac:dyDescent="0.2">
      <c r="A386" s="84"/>
      <c r="B386" s="84"/>
      <c r="C386" s="60"/>
      <c r="D386" s="66"/>
      <c r="E386" s="66"/>
      <c r="F386" s="66"/>
      <c r="G386" s="66"/>
      <c r="H386" s="66"/>
      <c r="I386" s="66"/>
      <c r="J386" s="66"/>
      <c r="K386" s="66"/>
      <c r="L386" s="66"/>
      <c r="M386" s="66"/>
      <c r="N386" s="66"/>
    </row>
    <row r="387" spans="1:14" x14ac:dyDescent="0.2">
      <c r="A387" s="84"/>
      <c r="B387" s="84"/>
      <c r="C387" s="60"/>
      <c r="D387" s="66"/>
      <c r="E387" s="66"/>
      <c r="F387" s="66"/>
      <c r="G387" s="66"/>
      <c r="H387" s="66"/>
      <c r="I387" s="66"/>
      <c r="J387" s="66"/>
      <c r="K387" s="66"/>
      <c r="L387" s="66"/>
      <c r="M387" s="66"/>
      <c r="N387" s="66"/>
    </row>
    <row r="388" spans="1:14" x14ac:dyDescent="0.2">
      <c r="A388" s="84"/>
      <c r="B388" s="84"/>
      <c r="C388" s="60"/>
      <c r="D388" s="66"/>
      <c r="E388" s="66"/>
      <c r="F388" s="66"/>
      <c r="G388" s="66"/>
      <c r="H388" s="66"/>
      <c r="I388" s="66"/>
      <c r="J388" s="66"/>
      <c r="K388" s="66"/>
      <c r="L388" s="66"/>
      <c r="M388" s="66"/>
      <c r="N388" s="66"/>
    </row>
    <row r="389" spans="1:14" x14ac:dyDescent="0.2">
      <c r="A389" s="84"/>
      <c r="B389" s="84"/>
      <c r="C389" s="60"/>
      <c r="D389" s="66"/>
      <c r="E389" s="66"/>
      <c r="F389" s="66"/>
      <c r="G389" s="66"/>
      <c r="H389" s="66"/>
      <c r="I389" s="66"/>
      <c r="J389" s="66"/>
      <c r="K389" s="66"/>
      <c r="L389" s="66"/>
      <c r="M389" s="66"/>
      <c r="N389" s="66"/>
    </row>
    <row r="390" spans="1:14" x14ac:dyDescent="0.2">
      <c r="A390" s="84"/>
      <c r="B390" s="84"/>
      <c r="C390" s="60"/>
      <c r="D390" s="66"/>
      <c r="E390" s="66"/>
      <c r="F390" s="66"/>
      <c r="G390" s="66"/>
      <c r="H390" s="66"/>
      <c r="I390" s="66"/>
      <c r="J390" s="66"/>
      <c r="K390" s="66"/>
      <c r="L390" s="66"/>
      <c r="M390" s="66"/>
      <c r="N390" s="66"/>
    </row>
    <row r="391" spans="1:14" x14ac:dyDescent="0.2">
      <c r="A391" s="84"/>
      <c r="B391" s="84"/>
      <c r="C391" s="60"/>
      <c r="D391" s="66"/>
      <c r="E391" s="66"/>
      <c r="F391" s="66"/>
      <c r="G391" s="66"/>
      <c r="H391" s="66"/>
      <c r="I391" s="66"/>
      <c r="J391" s="66"/>
      <c r="K391" s="66"/>
      <c r="L391" s="66"/>
      <c r="M391" s="66"/>
      <c r="N391" s="66"/>
    </row>
    <row r="392" spans="1:14" x14ac:dyDescent="0.2">
      <c r="A392" s="84"/>
      <c r="B392" s="84"/>
      <c r="C392" s="60"/>
      <c r="D392" s="66"/>
      <c r="E392" s="66"/>
      <c r="F392" s="66"/>
      <c r="G392" s="66"/>
      <c r="H392" s="66"/>
      <c r="I392" s="66"/>
      <c r="J392" s="66"/>
      <c r="K392" s="66"/>
      <c r="L392" s="66"/>
      <c r="M392" s="66"/>
      <c r="N392" s="66"/>
    </row>
    <row r="393" spans="1:14" x14ac:dyDescent="0.2">
      <c r="A393" s="84"/>
      <c r="B393" s="84"/>
      <c r="C393" s="60"/>
      <c r="D393" s="66"/>
      <c r="E393" s="66"/>
      <c r="F393" s="66"/>
      <c r="G393" s="66"/>
      <c r="H393" s="66"/>
      <c r="I393" s="66"/>
      <c r="J393" s="66"/>
      <c r="K393" s="66"/>
      <c r="L393" s="66"/>
      <c r="M393" s="66"/>
      <c r="N393" s="66"/>
    </row>
    <row r="394" spans="1:14" x14ac:dyDescent="0.2">
      <c r="A394" s="84"/>
      <c r="B394" s="84"/>
      <c r="C394" s="60"/>
      <c r="D394" s="66"/>
      <c r="E394" s="66"/>
      <c r="F394" s="66"/>
      <c r="G394" s="66"/>
      <c r="H394" s="66"/>
      <c r="I394" s="66"/>
      <c r="J394" s="66"/>
      <c r="K394" s="66"/>
      <c r="L394" s="66"/>
      <c r="M394" s="66"/>
      <c r="N394" s="66"/>
    </row>
    <row r="395" spans="1:14" x14ac:dyDescent="0.2">
      <c r="A395" s="84"/>
      <c r="B395" s="84"/>
      <c r="C395" s="60"/>
      <c r="D395" s="66"/>
      <c r="E395" s="66"/>
      <c r="F395" s="66"/>
      <c r="G395" s="66"/>
      <c r="H395" s="66"/>
      <c r="I395" s="66"/>
      <c r="J395" s="66"/>
      <c r="K395" s="66"/>
      <c r="L395" s="66"/>
      <c r="M395" s="66"/>
      <c r="N395" s="66"/>
    </row>
    <row r="396" spans="1:14" x14ac:dyDescent="0.2">
      <c r="A396" s="84"/>
      <c r="B396" s="84"/>
      <c r="C396" s="60"/>
      <c r="D396" s="66"/>
      <c r="E396" s="66"/>
      <c r="F396" s="66"/>
      <c r="G396" s="66"/>
      <c r="H396" s="66"/>
      <c r="I396" s="66"/>
      <c r="J396" s="66"/>
      <c r="K396" s="66"/>
      <c r="L396" s="66"/>
      <c r="M396" s="66"/>
      <c r="N396" s="66"/>
    </row>
    <row r="397" spans="1:14" x14ac:dyDescent="0.2">
      <c r="A397" s="84"/>
      <c r="B397" s="84"/>
      <c r="C397" s="60"/>
      <c r="D397" s="66"/>
      <c r="E397" s="66"/>
      <c r="F397" s="66"/>
      <c r="G397" s="66"/>
      <c r="H397" s="66"/>
      <c r="I397" s="66"/>
      <c r="J397" s="66"/>
      <c r="K397" s="66"/>
      <c r="L397" s="66"/>
      <c r="M397" s="66"/>
      <c r="N397" s="66"/>
    </row>
    <row r="398" spans="1:14" x14ac:dyDescent="0.2">
      <c r="A398" s="84"/>
      <c r="B398" s="84"/>
      <c r="C398" s="60"/>
      <c r="D398" s="66"/>
      <c r="E398" s="66"/>
      <c r="F398" s="66"/>
      <c r="G398" s="66"/>
      <c r="H398" s="66"/>
      <c r="I398" s="66"/>
      <c r="J398" s="66"/>
      <c r="K398" s="66"/>
      <c r="L398" s="66"/>
      <c r="M398" s="66"/>
      <c r="N398" s="66"/>
    </row>
    <row r="399" spans="1:14" x14ac:dyDescent="0.2">
      <c r="A399" s="84"/>
      <c r="B399" s="84"/>
      <c r="C399" s="60"/>
      <c r="D399" s="66"/>
      <c r="E399" s="66"/>
      <c r="F399" s="66"/>
      <c r="G399" s="66"/>
      <c r="H399" s="66"/>
      <c r="I399" s="66"/>
      <c r="J399" s="66"/>
      <c r="K399" s="66"/>
      <c r="L399" s="66"/>
      <c r="M399" s="66"/>
      <c r="N399" s="66"/>
    </row>
    <row r="400" spans="1:14" x14ac:dyDescent="0.2">
      <c r="A400" s="84"/>
      <c r="B400" s="84"/>
      <c r="C400" s="60"/>
      <c r="D400" s="66"/>
      <c r="E400" s="66"/>
      <c r="F400" s="66"/>
      <c r="G400" s="66"/>
      <c r="H400" s="66"/>
      <c r="I400" s="66"/>
      <c r="J400" s="66"/>
      <c r="K400" s="66"/>
      <c r="L400" s="66"/>
      <c r="M400" s="66"/>
      <c r="N400" s="66"/>
    </row>
    <row r="401" spans="1:14" x14ac:dyDescent="0.2">
      <c r="A401" s="84"/>
      <c r="B401" s="84"/>
      <c r="C401" s="60"/>
      <c r="D401" s="66"/>
      <c r="E401" s="66"/>
      <c r="F401" s="66"/>
      <c r="G401" s="66"/>
      <c r="H401" s="66"/>
      <c r="I401" s="66"/>
      <c r="J401" s="66"/>
      <c r="K401" s="66"/>
      <c r="L401" s="66"/>
      <c r="M401" s="66"/>
      <c r="N401" s="66"/>
    </row>
    <row r="402" spans="1:14" x14ac:dyDescent="0.2">
      <c r="A402" s="84"/>
      <c r="B402" s="84"/>
      <c r="C402" s="60"/>
      <c r="D402" s="66"/>
      <c r="E402" s="66"/>
      <c r="F402" s="66"/>
      <c r="G402" s="66"/>
      <c r="H402" s="66"/>
      <c r="I402" s="66"/>
      <c r="J402" s="66"/>
      <c r="K402" s="66"/>
      <c r="L402" s="66"/>
      <c r="M402" s="66"/>
      <c r="N402" s="66"/>
    </row>
    <row r="403" spans="1:14" x14ac:dyDescent="0.2">
      <c r="A403" s="84"/>
      <c r="B403" s="84"/>
      <c r="C403" s="60"/>
      <c r="D403" s="66"/>
      <c r="E403" s="66"/>
      <c r="F403" s="66"/>
      <c r="G403" s="66"/>
      <c r="H403" s="66"/>
      <c r="I403" s="66"/>
      <c r="J403" s="66"/>
      <c r="K403" s="66"/>
      <c r="L403" s="66"/>
      <c r="M403" s="66"/>
      <c r="N403" s="66"/>
    </row>
    <row r="404" spans="1:14" x14ac:dyDescent="0.2">
      <c r="A404" s="84"/>
      <c r="B404" s="84"/>
      <c r="C404" s="60"/>
      <c r="D404" s="66"/>
      <c r="E404" s="66"/>
      <c r="F404" s="66"/>
      <c r="G404" s="66"/>
      <c r="H404" s="66"/>
      <c r="I404" s="66"/>
      <c r="J404" s="66"/>
      <c r="K404" s="66"/>
      <c r="L404" s="66"/>
      <c r="M404" s="66"/>
      <c r="N404" s="66"/>
    </row>
    <row r="405" spans="1:14" x14ac:dyDescent="0.2">
      <c r="A405" s="84"/>
      <c r="B405" s="84"/>
      <c r="C405" s="60"/>
      <c r="D405" s="66"/>
      <c r="E405" s="66"/>
      <c r="F405" s="66"/>
      <c r="G405" s="66"/>
      <c r="H405" s="66"/>
      <c r="I405" s="66"/>
      <c r="J405" s="66"/>
      <c r="K405" s="66"/>
      <c r="L405" s="66"/>
      <c r="M405" s="66"/>
      <c r="N405" s="66"/>
    </row>
    <row r="406" spans="1:14" x14ac:dyDescent="0.2">
      <c r="A406" s="84"/>
      <c r="B406" s="84"/>
      <c r="C406" s="60"/>
      <c r="D406" s="66"/>
      <c r="E406" s="66"/>
      <c r="F406" s="66"/>
      <c r="G406" s="66"/>
      <c r="H406" s="66"/>
      <c r="I406" s="66"/>
      <c r="J406" s="66"/>
      <c r="K406" s="66"/>
      <c r="L406" s="66"/>
      <c r="M406" s="66"/>
      <c r="N406" s="66"/>
    </row>
    <row r="407" spans="1:14" x14ac:dyDescent="0.2">
      <c r="A407" s="84"/>
      <c r="B407" s="84"/>
      <c r="C407" s="60"/>
      <c r="D407" s="66"/>
      <c r="E407" s="66"/>
      <c r="F407" s="66"/>
      <c r="G407" s="66"/>
      <c r="H407" s="66"/>
      <c r="I407" s="66"/>
      <c r="J407" s="66"/>
      <c r="K407" s="66"/>
      <c r="L407" s="66"/>
      <c r="M407" s="66"/>
      <c r="N407" s="66"/>
    </row>
    <row r="408" spans="1:14" x14ac:dyDescent="0.2">
      <c r="A408" s="84"/>
      <c r="B408" s="84"/>
      <c r="C408" s="60"/>
      <c r="D408" s="66"/>
      <c r="E408" s="66"/>
      <c r="F408" s="66"/>
      <c r="G408" s="66"/>
      <c r="H408" s="66"/>
      <c r="I408" s="66"/>
      <c r="J408" s="66"/>
      <c r="K408" s="66"/>
      <c r="L408" s="66"/>
      <c r="M408" s="66"/>
      <c r="N408" s="66"/>
    </row>
    <row r="409" spans="1:14" x14ac:dyDescent="0.2">
      <c r="A409" s="84"/>
      <c r="B409" s="84"/>
      <c r="C409" s="60"/>
      <c r="D409" s="66"/>
      <c r="E409" s="66"/>
      <c r="F409" s="66"/>
      <c r="G409" s="66"/>
      <c r="H409" s="66"/>
      <c r="I409" s="66"/>
      <c r="J409" s="66"/>
      <c r="K409" s="66"/>
      <c r="L409" s="66"/>
      <c r="M409" s="66"/>
      <c r="N409" s="66"/>
    </row>
    <row r="410" spans="1:14" x14ac:dyDescent="0.2">
      <c r="A410" s="84"/>
      <c r="B410" s="84"/>
      <c r="C410" s="60"/>
      <c r="D410" s="66"/>
      <c r="E410" s="66"/>
      <c r="F410" s="66"/>
      <c r="G410" s="66"/>
      <c r="H410" s="66"/>
      <c r="I410" s="66"/>
      <c r="J410" s="66"/>
      <c r="K410" s="66"/>
      <c r="L410" s="66"/>
      <c r="M410" s="66"/>
      <c r="N410" s="66"/>
    </row>
    <row r="411" spans="1:14" x14ac:dyDescent="0.2">
      <c r="A411" s="84"/>
      <c r="B411" s="84"/>
      <c r="C411" s="60"/>
      <c r="D411" s="66"/>
      <c r="E411" s="66"/>
      <c r="F411" s="66"/>
      <c r="G411" s="66"/>
      <c r="H411" s="66"/>
      <c r="I411" s="66"/>
      <c r="J411" s="66"/>
      <c r="K411" s="66"/>
      <c r="L411" s="66"/>
      <c r="M411" s="66"/>
      <c r="N411" s="66"/>
    </row>
    <row r="412" spans="1:14" x14ac:dyDescent="0.2">
      <c r="A412" s="84"/>
      <c r="B412" s="84"/>
      <c r="C412" s="60"/>
      <c r="D412" s="66"/>
      <c r="E412" s="66"/>
      <c r="F412" s="66"/>
      <c r="G412" s="66"/>
      <c r="H412" s="66"/>
      <c r="I412" s="66"/>
      <c r="J412" s="66"/>
      <c r="K412" s="66"/>
      <c r="L412" s="66"/>
      <c r="M412" s="66"/>
      <c r="N412" s="66"/>
    </row>
    <row r="413" spans="1:14" x14ac:dyDescent="0.2">
      <c r="A413" s="84"/>
      <c r="B413" s="84"/>
      <c r="C413" s="60"/>
      <c r="D413" s="66"/>
      <c r="E413" s="66"/>
      <c r="F413" s="66"/>
      <c r="G413" s="66"/>
      <c r="H413" s="66"/>
      <c r="I413" s="66"/>
      <c r="J413" s="66"/>
      <c r="K413" s="66"/>
      <c r="L413" s="66"/>
      <c r="M413" s="66"/>
      <c r="N413" s="66"/>
    </row>
    <row r="414" spans="1:14" x14ac:dyDescent="0.2">
      <c r="A414" s="84"/>
      <c r="B414" s="84"/>
      <c r="C414" s="60"/>
      <c r="D414" s="66"/>
      <c r="E414" s="66"/>
      <c r="F414" s="66"/>
      <c r="G414" s="66"/>
      <c r="H414" s="66"/>
      <c r="I414" s="66"/>
      <c r="J414" s="66"/>
      <c r="K414" s="66"/>
      <c r="L414" s="66"/>
      <c r="M414" s="66"/>
      <c r="N414" s="66"/>
    </row>
    <row r="415" spans="1:14" x14ac:dyDescent="0.2">
      <c r="A415" s="84"/>
      <c r="B415" s="84"/>
      <c r="C415" s="60"/>
      <c r="D415" s="66"/>
      <c r="E415" s="66"/>
      <c r="F415" s="66"/>
      <c r="G415" s="66"/>
      <c r="H415" s="66"/>
      <c r="I415" s="66"/>
      <c r="J415" s="66"/>
      <c r="K415" s="66"/>
      <c r="L415" s="66"/>
      <c r="M415" s="66"/>
      <c r="N415" s="66"/>
    </row>
    <row r="416" spans="1:14" x14ac:dyDescent="0.2">
      <c r="A416" s="84"/>
      <c r="B416" s="84"/>
      <c r="C416" s="60"/>
      <c r="D416" s="66"/>
      <c r="E416" s="66"/>
      <c r="F416" s="66"/>
      <c r="G416" s="66"/>
      <c r="H416" s="66"/>
      <c r="I416" s="66"/>
      <c r="J416" s="66"/>
      <c r="K416" s="66"/>
      <c r="L416" s="66"/>
      <c r="M416" s="66"/>
      <c r="N416" s="66"/>
    </row>
    <row r="417" spans="1:14" x14ac:dyDescent="0.2">
      <c r="A417" s="84"/>
      <c r="B417" s="84"/>
      <c r="C417" s="60"/>
      <c r="D417" s="66"/>
      <c r="E417" s="66"/>
      <c r="F417" s="66"/>
      <c r="G417" s="66"/>
      <c r="H417" s="66"/>
      <c r="I417" s="66"/>
      <c r="J417" s="66"/>
      <c r="K417" s="66"/>
      <c r="L417" s="66"/>
      <c r="M417" s="66"/>
      <c r="N417" s="66"/>
    </row>
    <row r="418" spans="1:14" x14ac:dyDescent="0.2">
      <c r="A418" s="84"/>
      <c r="B418" s="84"/>
      <c r="C418" s="60"/>
      <c r="D418" s="66"/>
      <c r="E418" s="66"/>
      <c r="F418" s="66"/>
      <c r="G418" s="66"/>
      <c r="H418" s="66"/>
      <c r="I418" s="66"/>
      <c r="J418" s="66"/>
      <c r="K418" s="66"/>
      <c r="L418" s="66"/>
      <c r="M418" s="66"/>
      <c r="N418" s="66"/>
    </row>
    <row r="419" spans="1:14" x14ac:dyDescent="0.2">
      <c r="A419" s="84"/>
      <c r="B419" s="84"/>
      <c r="C419" s="60"/>
      <c r="D419" s="66"/>
      <c r="E419" s="66"/>
      <c r="F419" s="66"/>
      <c r="G419" s="66"/>
      <c r="H419" s="66"/>
      <c r="I419" s="66"/>
      <c r="J419" s="66"/>
      <c r="K419" s="66"/>
      <c r="L419" s="66"/>
      <c r="M419" s="66"/>
      <c r="N419" s="66"/>
    </row>
    <row r="420" spans="1:14" x14ac:dyDescent="0.2">
      <c r="A420" s="84"/>
      <c r="B420" s="84"/>
      <c r="C420" s="60"/>
      <c r="D420" s="66"/>
      <c r="E420" s="66"/>
      <c r="F420" s="66"/>
      <c r="G420" s="66"/>
      <c r="H420" s="66"/>
      <c r="I420" s="66"/>
      <c r="J420" s="66"/>
      <c r="K420" s="66"/>
      <c r="L420" s="66"/>
      <c r="M420" s="66"/>
      <c r="N420" s="66"/>
    </row>
    <row r="421" spans="1:14" x14ac:dyDescent="0.2">
      <c r="A421" s="84"/>
      <c r="B421" s="84"/>
      <c r="C421" s="60"/>
      <c r="D421" s="66"/>
      <c r="E421" s="66"/>
      <c r="F421" s="66"/>
      <c r="G421" s="66"/>
      <c r="H421" s="66"/>
      <c r="I421" s="66"/>
      <c r="J421" s="66"/>
      <c r="K421" s="66"/>
      <c r="L421" s="66"/>
      <c r="M421" s="66"/>
      <c r="N421" s="66"/>
    </row>
    <row r="422" spans="1:14" x14ac:dyDescent="0.2">
      <c r="A422" s="84"/>
      <c r="B422" s="84"/>
      <c r="C422" s="60"/>
      <c r="D422" s="66"/>
      <c r="E422" s="66"/>
      <c r="F422" s="66"/>
      <c r="G422" s="66"/>
      <c r="H422" s="66"/>
      <c r="I422" s="66"/>
      <c r="J422" s="66"/>
      <c r="K422" s="66"/>
      <c r="L422" s="66"/>
      <c r="M422" s="66"/>
      <c r="N422" s="66"/>
    </row>
    <row r="423" spans="1:14" x14ac:dyDescent="0.2">
      <c r="A423" s="84"/>
      <c r="B423" s="84"/>
      <c r="C423" s="60"/>
      <c r="D423" s="66"/>
      <c r="E423" s="66"/>
      <c r="F423" s="66"/>
      <c r="G423" s="66"/>
      <c r="H423" s="66"/>
      <c r="I423" s="66"/>
      <c r="J423" s="66"/>
      <c r="K423" s="66"/>
      <c r="L423" s="66"/>
      <c r="M423" s="66"/>
      <c r="N423" s="66"/>
    </row>
    <row r="424" spans="1:14" x14ac:dyDescent="0.2">
      <c r="A424" s="84"/>
      <c r="B424" s="84"/>
      <c r="C424" s="60"/>
      <c r="D424" s="66"/>
      <c r="E424" s="66"/>
      <c r="F424" s="66"/>
      <c r="G424" s="66"/>
      <c r="H424" s="66"/>
      <c r="I424" s="66"/>
      <c r="J424" s="66"/>
      <c r="K424" s="66"/>
      <c r="L424" s="66"/>
      <c r="M424" s="66"/>
      <c r="N424" s="66"/>
    </row>
    <row r="425" spans="1:14" x14ac:dyDescent="0.2">
      <c r="A425" s="84"/>
      <c r="B425" s="84"/>
      <c r="C425" s="60"/>
      <c r="D425" s="66"/>
      <c r="E425" s="66"/>
      <c r="F425" s="66"/>
      <c r="G425" s="66"/>
      <c r="H425" s="66"/>
      <c r="I425" s="66"/>
      <c r="J425" s="66"/>
      <c r="K425" s="66"/>
      <c r="L425" s="66"/>
      <c r="M425" s="66"/>
      <c r="N425" s="66"/>
    </row>
    <row r="426" spans="1:14" x14ac:dyDescent="0.2">
      <c r="A426" s="84"/>
      <c r="B426" s="84"/>
      <c r="C426" s="60"/>
      <c r="D426" s="66"/>
      <c r="E426" s="66"/>
      <c r="F426" s="66"/>
      <c r="G426" s="66"/>
      <c r="H426" s="66"/>
      <c r="I426" s="66"/>
      <c r="J426" s="66"/>
      <c r="K426" s="66"/>
      <c r="L426" s="66"/>
      <c r="M426" s="66"/>
      <c r="N426" s="66"/>
    </row>
    <row r="427" spans="1:14" x14ac:dyDescent="0.2">
      <c r="A427" s="84"/>
      <c r="B427" s="84"/>
      <c r="C427" s="60"/>
      <c r="D427" s="66"/>
      <c r="E427" s="66"/>
      <c r="F427" s="66"/>
      <c r="G427" s="66"/>
      <c r="H427" s="66"/>
      <c r="I427" s="66"/>
      <c r="J427" s="66"/>
      <c r="K427" s="66"/>
      <c r="L427" s="66"/>
      <c r="M427" s="66"/>
      <c r="N427" s="66"/>
    </row>
    <row r="428" spans="1:14" x14ac:dyDescent="0.2">
      <c r="A428" s="84"/>
      <c r="B428" s="84"/>
      <c r="C428" s="60"/>
      <c r="D428" s="66"/>
      <c r="E428" s="66"/>
      <c r="F428" s="66"/>
      <c r="G428" s="66"/>
      <c r="H428" s="66"/>
      <c r="I428" s="66"/>
      <c r="J428" s="66"/>
      <c r="K428" s="66"/>
      <c r="L428" s="66"/>
      <c r="M428" s="66"/>
      <c r="N428" s="66"/>
    </row>
    <row r="429" spans="1:14" x14ac:dyDescent="0.2">
      <c r="A429" s="84"/>
      <c r="B429" s="84"/>
      <c r="C429" s="60"/>
      <c r="D429" s="66"/>
      <c r="E429" s="66"/>
      <c r="F429" s="66"/>
      <c r="G429" s="66"/>
      <c r="H429" s="66"/>
      <c r="I429" s="66"/>
      <c r="J429" s="66"/>
      <c r="K429" s="66"/>
      <c r="L429" s="66"/>
      <c r="M429" s="66"/>
      <c r="N429" s="66"/>
    </row>
    <row r="430" spans="1:14" x14ac:dyDescent="0.2">
      <c r="A430" s="84"/>
      <c r="B430" s="84"/>
      <c r="C430" s="60"/>
      <c r="D430" s="66"/>
      <c r="E430" s="66"/>
      <c r="F430" s="66"/>
      <c r="G430" s="66"/>
      <c r="H430" s="66"/>
      <c r="I430" s="66"/>
      <c r="J430" s="66"/>
      <c r="K430" s="66"/>
      <c r="L430" s="66"/>
      <c r="M430" s="66"/>
      <c r="N430" s="66"/>
    </row>
    <row r="431" spans="1:14" x14ac:dyDescent="0.2">
      <c r="A431" s="84"/>
      <c r="B431" s="84"/>
      <c r="C431" s="60"/>
      <c r="D431" s="66"/>
      <c r="E431" s="66"/>
      <c r="F431" s="66"/>
      <c r="G431" s="66"/>
      <c r="H431" s="66"/>
      <c r="I431" s="66"/>
      <c r="J431" s="66"/>
      <c r="K431" s="66"/>
      <c r="L431" s="66"/>
      <c r="M431" s="66"/>
      <c r="N431" s="66"/>
    </row>
    <row r="432" spans="1:14" x14ac:dyDescent="0.2">
      <c r="A432" s="84"/>
      <c r="B432" s="84"/>
      <c r="C432" s="60"/>
      <c r="D432" s="66"/>
      <c r="E432" s="66"/>
      <c r="F432" s="66"/>
      <c r="G432" s="66"/>
      <c r="H432" s="66"/>
      <c r="I432" s="66"/>
      <c r="J432" s="66"/>
      <c r="K432" s="66"/>
      <c r="L432" s="66"/>
      <c r="M432" s="66"/>
      <c r="N432" s="66"/>
    </row>
    <row r="433" spans="1:14" x14ac:dyDescent="0.2">
      <c r="A433" s="84"/>
      <c r="B433" s="84"/>
      <c r="C433" s="60"/>
      <c r="D433" s="66"/>
      <c r="E433" s="66"/>
      <c r="F433" s="66"/>
      <c r="G433" s="66"/>
      <c r="H433" s="66"/>
      <c r="I433" s="66"/>
      <c r="J433" s="66"/>
      <c r="K433" s="66"/>
      <c r="L433" s="66"/>
      <c r="M433" s="66"/>
      <c r="N433" s="66"/>
    </row>
    <row r="434" spans="1:14" x14ac:dyDescent="0.2">
      <c r="A434" s="84"/>
      <c r="B434" s="84"/>
      <c r="C434" s="60"/>
      <c r="D434" s="66"/>
      <c r="E434" s="66"/>
      <c r="F434" s="66"/>
      <c r="G434" s="66"/>
      <c r="H434" s="66"/>
      <c r="I434" s="66"/>
      <c r="J434" s="66"/>
      <c r="K434" s="66"/>
      <c r="L434" s="66"/>
      <c r="M434" s="66"/>
      <c r="N434" s="66"/>
    </row>
    <row r="435" spans="1:14" x14ac:dyDescent="0.2">
      <c r="A435" s="84"/>
      <c r="B435" s="84"/>
      <c r="C435" s="60"/>
      <c r="D435" s="66"/>
      <c r="E435" s="66"/>
      <c r="F435" s="66"/>
      <c r="G435" s="66"/>
      <c r="H435" s="66"/>
      <c r="I435" s="66"/>
      <c r="J435" s="66"/>
      <c r="K435" s="66"/>
      <c r="L435" s="66"/>
      <c r="M435" s="66"/>
      <c r="N435" s="66"/>
    </row>
    <row r="436" spans="1:14" x14ac:dyDescent="0.2">
      <c r="A436" s="84"/>
      <c r="B436" s="84"/>
      <c r="C436" s="60"/>
      <c r="D436" s="66"/>
      <c r="E436" s="66"/>
      <c r="F436" s="66"/>
      <c r="G436" s="66"/>
      <c r="H436" s="66"/>
      <c r="I436" s="66"/>
      <c r="J436" s="66"/>
      <c r="K436" s="66"/>
      <c r="L436" s="66"/>
      <c r="M436" s="66"/>
      <c r="N436" s="66"/>
    </row>
    <row r="437" spans="1:14" x14ac:dyDescent="0.2">
      <c r="A437" s="84"/>
      <c r="B437" s="84"/>
      <c r="C437" s="60"/>
      <c r="D437" s="66"/>
      <c r="E437" s="66"/>
      <c r="F437" s="66"/>
      <c r="G437" s="66"/>
      <c r="H437" s="66"/>
      <c r="I437" s="66"/>
      <c r="J437" s="66"/>
      <c r="K437" s="66"/>
      <c r="L437" s="66"/>
      <c r="M437" s="66"/>
      <c r="N437" s="66"/>
    </row>
    <row r="438" spans="1:14" x14ac:dyDescent="0.2">
      <c r="A438" s="84"/>
      <c r="B438" s="84"/>
      <c r="C438" s="60"/>
      <c r="D438" s="66"/>
      <c r="E438" s="66"/>
      <c r="F438" s="66"/>
      <c r="G438" s="66"/>
      <c r="H438" s="66"/>
      <c r="I438" s="66"/>
      <c r="J438" s="66"/>
      <c r="K438" s="66"/>
      <c r="L438" s="66"/>
      <c r="M438" s="66"/>
      <c r="N438" s="66"/>
    </row>
    <row r="439" spans="1:14" x14ac:dyDescent="0.2">
      <c r="A439" s="84"/>
      <c r="B439" s="84"/>
      <c r="C439" s="60"/>
      <c r="D439" s="66"/>
      <c r="E439" s="66"/>
      <c r="F439" s="66"/>
      <c r="G439" s="66"/>
      <c r="H439" s="66"/>
      <c r="I439" s="66"/>
      <c r="J439" s="66"/>
      <c r="K439" s="66"/>
      <c r="L439" s="66"/>
      <c r="M439" s="66"/>
      <c r="N439" s="66"/>
    </row>
    <row r="440" spans="1:14" x14ac:dyDescent="0.2">
      <c r="A440" s="84"/>
      <c r="B440" s="84"/>
      <c r="C440" s="60"/>
      <c r="D440" s="66"/>
      <c r="E440" s="66"/>
      <c r="F440" s="66"/>
      <c r="G440" s="66"/>
      <c r="H440" s="66"/>
      <c r="I440" s="66"/>
      <c r="J440" s="66"/>
      <c r="K440" s="66"/>
      <c r="L440" s="66"/>
      <c r="M440" s="66"/>
      <c r="N440" s="66"/>
    </row>
    <row r="441" spans="1:14" x14ac:dyDescent="0.2">
      <c r="A441" s="84"/>
      <c r="B441" s="84"/>
      <c r="C441" s="60"/>
      <c r="D441" s="66"/>
      <c r="E441" s="66"/>
      <c r="F441" s="66"/>
      <c r="G441" s="66"/>
      <c r="H441" s="66"/>
      <c r="I441" s="66"/>
      <c r="J441" s="66"/>
      <c r="K441" s="66"/>
      <c r="L441" s="66"/>
      <c r="M441" s="66"/>
      <c r="N441" s="66"/>
    </row>
    <row r="442" spans="1:14" x14ac:dyDescent="0.2">
      <c r="A442" s="84"/>
      <c r="B442" s="84"/>
      <c r="C442" s="60"/>
      <c r="D442" s="66"/>
      <c r="E442" s="66"/>
      <c r="F442" s="66"/>
      <c r="G442" s="66"/>
      <c r="H442" s="66"/>
      <c r="I442" s="66"/>
      <c r="J442" s="66"/>
      <c r="K442" s="66"/>
      <c r="L442" s="66"/>
      <c r="M442" s="66"/>
      <c r="N442" s="66"/>
    </row>
    <row r="443" spans="1:14" x14ac:dyDescent="0.2">
      <c r="A443" s="84"/>
      <c r="B443" s="84"/>
      <c r="C443" s="60"/>
      <c r="D443" s="66"/>
      <c r="E443" s="66"/>
      <c r="F443" s="66"/>
      <c r="G443" s="66"/>
      <c r="H443" s="66"/>
      <c r="I443" s="66"/>
      <c r="J443" s="66"/>
      <c r="K443" s="66"/>
      <c r="L443" s="66"/>
      <c r="M443" s="66"/>
      <c r="N443" s="66"/>
    </row>
    <row r="444" spans="1:14" x14ac:dyDescent="0.2">
      <c r="A444" s="84"/>
      <c r="B444" s="84"/>
      <c r="C444" s="60"/>
      <c r="D444" s="66"/>
      <c r="E444" s="66"/>
      <c r="F444" s="66"/>
      <c r="G444" s="66"/>
      <c r="H444" s="66"/>
      <c r="I444" s="66"/>
      <c r="J444" s="66"/>
      <c r="K444" s="66"/>
      <c r="L444" s="66"/>
      <c r="M444" s="66"/>
      <c r="N444" s="66"/>
    </row>
    <row r="445" spans="1:14" x14ac:dyDescent="0.2">
      <c r="A445" s="84"/>
      <c r="B445" s="84"/>
      <c r="C445" s="60"/>
      <c r="D445" s="66"/>
      <c r="E445" s="66"/>
      <c r="F445" s="66"/>
      <c r="G445" s="66"/>
      <c r="H445" s="66"/>
      <c r="I445" s="66"/>
      <c r="J445" s="66"/>
      <c r="K445" s="66"/>
      <c r="L445" s="66"/>
      <c r="M445" s="66"/>
      <c r="N445" s="66"/>
    </row>
    <row r="446" spans="1:14" x14ac:dyDescent="0.2">
      <c r="A446" s="84"/>
      <c r="B446" s="84"/>
      <c r="C446" s="60"/>
      <c r="D446" s="66"/>
      <c r="E446" s="66"/>
      <c r="F446" s="66"/>
      <c r="G446" s="66"/>
      <c r="H446" s="66"/>
      <c r="I446" s="66"/>
      <c r="J446" s="66"/>
      <c r="K446" s="66"/>
      <c r="L446" s="66"/>
      <c r="M446" s="66"/>
      <c r="N446" s="66"/>
    </row>
    <row r="447" spans="1:14" x14ac:dyDescent="0.2">
      <c r="A447" s="84"/>
      <c r="B447" s="84"/>
      <c r="C447" s="60"/>
      <c r="D447" s="66"/>
      <c r="E447" s="66"/>
      <c r="F447" s="66"/>
      <c r="G447" s="66"/>
      <c r="H447" s="66"/>
      <c r="I447" s="66"/>
      <c r="J447" s="66"/>
      <c r="K447" s="66"/>
      <c r="L447" s="66"/>
      <c r="M447" s="66"/>
      <c r="N447" s="66"/>
    </row>
    <row r="448" spans="1:14" x14ac:dyDescent="0.2">
      <c r="A448" s="84"/>
      <c r="B448" s="84"/>
      <c r="C448" s="60"/>
      <c r="D448" s="66"/>
      <c r="E448" s="66"/>
      <c r="F448" s="66"/>
      <c r="G448" s="66"/>
      <c r="H448" s="66"/>
      <c r="I448" s="66"/>
      <c r="J448" s="66"/>
      <c r="K448" s="66"/>
      <c r="L448" s="66"/>
      <c r="M448" s="66"/>
      <c r="N448" s="66"/>
    </row>
    <row r="449" spans="1:14" x14ac:dyDescent="0.2">
      <c r="A449" s="84"/>
      <c r="B449" s="84"/>
      <c r="C449" s="60"/>
      <c r="D449" s="66"/>
      <c r="E449" s="66"/>
      <c r="F449" s="66"/>
      <c r="G449" s="66"/>
      <c r="H449" s="66"/>
      <c r="I449" s="66"/>
      <c r="J449" s="66"/>
      <c r="K449" s="66"/>
      <c r="L449" s="66"/>
      <c r="M449" s="66"/>
      <c r="N449" s="66"/>
    </row>
    <row r="450" spans="1:14" x14ac:dyDescent="0.2">
      <c r="A450" s="84"/>
      <c r="B450" s="84"/>
      <c r="C450" s="60"/>
      <c r="D450" s="66"/>
      <c r="E450" s="66"/>
      <c r="F450" s="66"/>
      <c r="G450" s="66"/>
      <c r="H450" s="66"/>
      <c r="I450" s="66"/>
      <c r="J450" s="66"/>
      <c r="K450" s="66"/>
      <c r="L450" s="66"/>
      <c r="M450" s="66"/>
      <c r="N450" s="66"/>
    </row>
    <row r="451" spans="1:14" x14ac:dyDescent="0.2">
      <c r="A451" s="84"/>
      <c r="B451" s="84"/>
      <c r="C451" s="60"/>
      <c r="D451" s="66"/>
      <c r="E451" s="66"/>
      <c r="F451" s="66"/>
      <c r="G451" s="66"/>
      <c r="H451" s="66"/>
      <c r="I451" s="66"/>
      <c r="J451" s="66"/>
      <c r="K451" s="66"/>
      <c r="L451" s="66"/>
      <c r="M451" s="66"/>
      <c r="N451" s="66"/>
    </row>
    <row r="452" spans="1:14" x14ac:dyDescent="0.2">
      <c r="A452" s="84"/>
      <c r="B452" s="84"/>
      <c r="C452" s="60"/>
      <c r="D452" s="66"/>
      <c r="E452" s="66"/>
      <c r="F452" s="66"/>
      <c r="G452" s="66"/>
      <c r="H452" s="66"/>
      <c r="I452" s="66"/>
      <c r="J452" s="66"/>
      <c r="K452" s="66"/>
      <c r="L452" s="66"/>
      <c r="M452" s="66"/>
      <c r="N452" s="66"/>
    </row>
    <row r="453" spans="1:14" x14ac:dyDescent="0.2">
      <c r="A453" s="84"/>
      <c r="B453" s="84"/>
      <c r="C453" s="60"/>
      <c r="D453" s="66"/>
      <c r="E453" s="66"/>
      <c r="F453" s="66"/>
      <c r="G453" s="66"/>
      <c r="H453" s="66"/>
      <c r="I453" s="66"/>
      <c r="J453" s="66"/>
      <c r="K453" s="66"/>
      <c r="L453" s="66"/>
      <c r="M453" s="66"/>
      <c r="N453" s="66"/>
    </row>
    <row r="454" spans="1:14" x14ac:dyDescent="0.2">
      <c r="A454" s="84"/>
      <c r="B454" s="84"/>
      <c r="C454" s="60"/>
      <c r="D454" s="66"/>
      <c r="E454" s="66"/>
      <c r="F454" s="66"/>
      <c r="G454" s="66"/>
      <c r="H454" s="66"/>
      <c r="I454" s="66"/>
      <c r="J454" s="66"/>
      <c r="K454" s="66"/>
      <c r="L454" s="66"/>
      <c r="M454" s="66"/>
      <c r="N454" s="66"/>
    </row>
    <row r="455" spans="1:14" x14ac:dyDescent="0.2">
      <c r="A455" s="84"/>
      <c r="B455" s="84"/>
      <c r="C455" s="60"/>
      <c r="D455" s="66"/>
      <c r="E455" s="66"/>
      <c r="F455" s="66"/>
      <c r="G455" s="66"/>
      <c r="H455" s="66"/>
      <c r="I455" s="66"/>
      <c r="J455" s="66"/>
      <c r="K455" s="66"/>
      <c r="L455" s="66"/>
      <c r="M455" s="66"/>
      <c r="N455" s="66"/>
    </row>
    <row r="456" spans="1:14" x14ac:dyDescent="0.2">
      <c r="A456" s="84"/>
      <c r="B456" s="84"/>
      <c r="C456" s="60"/>
      <c r="D456" s="66"/>
      <c r="E456" s="66"/>
      <c r="F456" s="66"/>
      <c r="G456" s="66"/>
      <c r="H456" s="66"/>
      <c r="I456" s="66"/>
      <c r="J456" s="66"/>
      <c r="K456" s="66"/>
      <c r="L456" s="66"/>
      <c r="M456" s="66"/>
      <c r="N456" s="66"/>
    </row>
    <row r="457" spans="1:14" x14ac:dyDescent="0.2">
      <c r="A457" s="84"/>
      <c r="B457" s="84"/>
      <c r="C457" s="60"/>
      <c r="D457" s="66"/>
      <c r="E457" s="66"/>
      <c r="F457" s="66"/>
      <c r="G457" s="66"/>
      <c r="H457" s="66"/>
      <c r="I457" s="66"/>
      <c r="J457" s="66"/>
      <c r="K457" s="66"/>
      <c r="L457" s="66"/>
      <c r="M457" s="66"/>
      <c r="N457" s="66"/>
    </row>
    <row r="458" spans="1:14" x14ac:dyDescent="0.2">
      <c r="A458" s="84"/>
      <c r="B458" s="84"/>
      <c r="C458" s="60"/>
      <c r="D458" s="66"/>
      <c r="E458" s="66"/>
      <c r="F458" s="66"/>
      <c r="G458" s="66"/>
      <c r="H458" s="66"/>
      <c r="I458" s="66"/>
      <c r="J458" s="66"/>
      <c r="K458" s="66"/>
      <c r="L458" s="66"/>
      <c r="M458" s="66"/>
      <c r="N458" s="66"/>
    </row>
    <row r="459" spans="1:14" x14ac:dyDescent="0.2">
      <c r="A459" s="84"/>
      <c r="B459" s="84"/>
      <c r="C459" s="60"/>
      <c r="D459" s="66"/>
      <c r="E459" s="66"/>
      <c r="F459" s="66"/>
      <c r="G459" s="66"/>
      <c r="H459" s="66"/>
      <c r="I459" s="66"/>
      <c r="J459" s="66"/>
      <c r="K459" s="66"/>
      <c r="L459" s="66"/>
      <c r="M459" s="66"/>
      <c r="N459" s="66"/>
    </row>
    <row r="460" spans="1:14" x14ac:dyDescent="0.2">
      <c r="A460" s="84"/>
      <c r="B460" s="84"/>
      <c r="C460" s="60"/>
      <c r="D460" s="66"/>
      <c r="E460" s="66"/>
      <c r="F460" s="66"/>
      <c r="G460" s="66"/>
      <c r="H460" s="66"/>
      <c r="I460" s="66"/>
      <c r="J460" s="66"/>
      <c r="K460" s="66"/>
      <c r="L460" s="66"/>
      <c r="M460" s="66"/>
      <c r="N460" s="66"/>
    </row>
    <row r="461" spans="1:14" x14ac:dyDescent="0.2">
      <c r="A461" s="84"/>
      <c r="B461" s="84"/>
      <c r="C461" s="60"/>
      <c r="D461" s="66"/>
      <c r="E461" s="66"/>
      <c r="F461" s="66"/>
      <c r="G461" s="66"/>
      <c r="H461" s="66"/>
      <c r="I461" s="66"/>
      <c r="J461" s="66"/>
      <c r="K461" s="66"/>
      <c r="L461" s="66"/>
      <c r="M461" s="66"/>
      <c r="N461" s="66"/>
    </row>
    <row r="462" spans="1:14" x14ac:dyDescent="0.2">
      <c r="A462" s="84"/>
      <c r="B462" s="84"/>
      <c r="C462" s="60"/>
      <c r="D462" s="66"/>
      <c r="E462" s="66"/>
      <c r="F462" s="66"/>
      <c r="G462" s="66"/>
      <c r="H462" s="66"/>
      <c r="I462" s="66"/>
      <c r="J462" s="66"/>
      <c r="K462" s="66"/>
      <c r="L462" s="66"/>
      <c r="M462" s="66"/>
      <c r="N462" s="66"/>
    </row>
    <row r="463" spans="1:14" x14ac:dyDescent="0.2">
      <c r="A463" s="84"/>
      <c r="B463" s="84"/>
      <c r="C463" s="60"/>
      <c r="D463" s="66"/>
      <c r="E463" s="66"/>
      <c r="F463" s="66"/>
      <c r="G463" s="66"/>
      <c r="H463" s="66"/>
      <c r="I463" s="66"/>
      <c r="J463" s="66"/>
      <c r="K463" s="66"/>
      <c r="L463" s="66"/>
      <c r="M463" s="66"/>
      <c r="N463" s="66"/>
    </row>
    <row r="464" spans="1:14" x14ac:dyDescent="0.2">
      <c r="A464" s="84"/>
      <c r="B464" s="84"/>
      <c r="C464" s="60"/>
      <c r="D464" s="66"/>
      <c r="E464" s="66"/>
      <c r="F464" s="66"/>
      <c r="G464" s="66"/>
      <c r="H464" s="66"/>
      <c r="I464" s="66"/>
      <c r="J464" s="66"/>
      <c r="K464" s="66"/>
      <c r="L464" s="66"/>
      <c r="M464" s="66"/>
      <c r="N464" s="66"/>
    </row>
    <row r="465" spans="1:14" x14ac:dyDescent="0.2">
      <c r="A465" s="84"/>
      <c r="B465" s="84"/>
      <c r="C465" s="60"/>
      <c r="D465" s="66"/>
      <c r="E465" s="66"/>
      <c r="F465" s="66"/>
      <c r="G465" s="66"/>
      <c r="H465" s="66"/>
      <c r="I465" s="66"/>
      <c r="J465" s="66"/>
      <c r="K465" s="66"/>
      <c r="L465" s="66"/>
      <c r="M465" s="66"/>
      <c r="N465" s="66"/>
    </row>
    <row r="466" spans="1:14" x14ac:dyDescent="0.2">
      <c r="A466" s="84"/>
      <c r="B466" s="84"/>
      <c r="C466" s="60"/>
      <c r="D466" s="66"/>
      <c r="E466" s="66"/>
      <c r="F466" s="66"/>
      <c r="G466" s="66"/>
      <c r="H466" s="66"/>
      <c r="I466" s="66"/>
      <c r="J466" s="66"/>
      <c r="K466" s="66"/>
      <c r="L466" s="66"/>
      <c r="M466" s="66"/>
      <c r="N466" s="66"/>
    </row>
    <row r="467" spans="1:14" x14ac:dyDescent="0.2">
      <c r="A467" s="84"/>
      <c r="B467" s="84"/>
      <c r="C467" s="60"/>
      <c r="D467" s="66"/>
      <c r="E467" s="66"/>
      <c r="F467" s="66"/>
      <c r="G467" s="66"/>
      <c r="H467" s="66"/>
      <c r="I467" s="66"/>
      <c r="J467" s="66"/>
      <c r="K467" s="66"/>
      <c r="L467" s="66"/>
      <c r="M467" s="66"/>
      <c r="N467" s="66"/>
    </row>
    <row r="468" spans="1:14" x14ac:dyDescent="0.2">
      <c r="A468" s="84"/>
      <c r="B468" s="84"/>
      <c r="C468" s="60"/>
      <c r="D468" s="66"/>
      <c r="E468" s="66"/>
      <c r="F468" s="66"/>
      <c r="G468" s="66"/>
      <c r="H468" s="66"/>
      <c r="I468" s="66"/>
      <c r="J468" s="66"/>
      <c r="K468" s="66"/>
      <c r="L468" s="66"/>
      <c r="M468" s="66"/>
      <c r="N468" s="66"/>
    </row>
    <row r="469" spans="1:14" x14ac:dyDescent="0.2">
      <c r="A469" s="84"/>
      <c r="B469" s="84"/>
      <c r="C469" s="60"/>
      <c r="D469" s="66"/>
      <c r="E469" s="66"/>
      <c r="F469" s="66"/>
      <c r="G469" s="66"/>
      <c r="H469" s="66"/>
      <c r="I469" s="66"/>
      <c r="J469" s="66"/>
      <c r="K469" s="66"/>
      <c r="L469" s="66"/>
      <c r="M469" s="66"/>
      <c r="N469" s="66"/>
    </row>
    <row r="470" spans="1:14" x14ac:dyDescent="0.2">
      <c r="A470" s="84"/>
      <c r="B470" s="84"/>
      <c r="C470" s="60"/>
      <c r="D470" s="66"/>
      <c r="E470" s="66"/>
      <c r="F470" s="66"/>
      <c r="G470" s="66"/>
      <c r="H470" s="66"/>
      <c r="I470" s="66"/>
      <c r="J470" s="66"/>
      <c r="K470" s="66"/>
      <c r="L470" s="66"/>
      <c r="M470" s="66"/>
      <c r="N470" s="66"/>
    </row>
    <row r="471" spans="1:14" x14ac:dyDescent="0.2">
      <c r="A471" s="84"/>
      <c r="B471" s="84"/>
      <c r="C471" s="60"/>
      <c r="D471" s="66"/>
      <c r="E471" s="66"/>
      <c r="F471" s="66"/>
      <c r="G471" s="66"/>
      <c r="H471" s="66"/>
      <c r="I471" s="66"/>
      <c r="J471" s="66"/>
      <c r="K471" s="66"/>
      <c r="L471" s="66"/>
      <c r="M471" s="66"/>
      <c r="N471" s="66"/>
    </row>
    <row r="472" spans="1:14" x14ac:dyDescent="0.2">
      <c r="A472" s="84"/>
      <c r="B472" s="84"/>
      <c r="C472" s="60"/>
      <c r="D472" s="66"/>
      <c r="E472" s="66"/>
      <c r="F472" s="66"/>
      <c r="G472" s="66"/>
      <c r="H472" s="66"/>
      <c r="I472" s="66"/>
      <c r="J472" s="66"/>
      <c r="K472" s="66"/>
      <c r="L472" s="66"/>
      <c r="M472" s="66"/>
      <c r="N472" s="66"/>
    </row>
    <row r="473" spans="1:14" x14ac:dyDescent="0.2">
      <c r="A473" s="84"/>
      <c r="B473" s="84"/>
      <c r="C473" s="60"/>
      <c r="D473" s="66"/>
      <c r="E473" s="66"/>
      <c r="F473" s="66"/>
      <c r="G473" s="66"/>
      <c r="H473" s="66"/>
      <c r="I473" s="66"/>
      <c r="J473" s="66"/>
      <c r="K473" s="66"/>
      <c r="L473" s="66"/>
      <c r="M473" s="66"/>
      <c r="N473" s="66"/>
    </row>
    <row r="474" spans="1:14" x14ac:dyDescent="0.2">
      <c r="A474" s="84"/>
      <c r="B474" s="84"/>
      <c r="C474" s="60"/>
      <c r="D474" s="66"/>
      <c r="E474" s="66"/>
      <c r="F474" s="66"/>
      <c r="G474" s="66"/>
      <c r="H474" s="66"/>
      <c r="I474" s="66"/>
      <c r="J474" s="66"/>
      <c r="K474" s="66"/>
      <c r="L474" s="66"/>
      <c r="M474" s="66"/>
      <c r="N474" s="66"/>
    </row>
    <row r="475" spans="1:14" x14ac:dyDescent="0.2">
      <c r="A475" s="84"/>
      <c r="B475" s="84"/>
      <c r="C475" s="60"/>
      <c r="D475" s="66"/>
      <c r="E475" s="66"/>
      <c r="F475" s="66"/>
      <c r="G475" s="66"/>
      <c r="H475" s="66"/>
      <c r="I475" s="66"/>
      <c r="J475" s="66"/>
      <c r="K475" s="66"/>
      <c r="L475" s="66"/>
      <c r="M475" s="66"/>
      <c r="N475" s="66"/>
    </row>
    <row r="476" spans="1:14" x14ac:dyDescent="0.2">
      <c r="A476" s="84"/>
      <c r="B476" s="84"/>
      <c r="C476" s="60"/>
      <c r="D476" s="66"/>
      <c r="E476" s="66"/>
      <c r="F476" s="66"/>
      <c r="G476" s="66"/>
      <c r="H476" s="66"/>
      <c r="I476" s="66"/>
      <c r="J476" s="66"/>
      <c r="K476" s="66"/>
      <c r="L476" s="66"/>
      <c r="M476" s="66"/>
      <c r="N476" s="66"/>
    </row>
    <row r="477" spans="1:14" x14ac:dyDescent="0.2">
      <c r="A477" s="84"/>
      <c r="B477" s="84"/>
      <c r="C477" s="60"/>
      <c r="D477" s="66"/>
      <c r="E477" s="66"/>
      <c r="F477" s="66"/>
      <c r="G477" s="66"/>
      <c r="H477" s="66"/>
      <c r="I477" s="66"/>
      <c r="J477" s="66"/>
      <c r="K477" s="66"/>
      <c r="L477" s="66"/>
      <c r="M477" s="66"/>
      <c r="N477" s="66"/>
    </row>
    <row r="478" spans="1:14" x14ac:dyDescent="0.2">
      <c r="A478" s="84"/>
      <c r="B478" s="84"/>
      <c r="C478" s="60"/>
      <c r="D478" s="66"/>
      <c r="E478" s="66"/>
      <c r="F478" s="66"/>
      <c r="G478" s="66"/>
      <c r="H478" s="66"/>
      <c r="I478" s="66"/>
      <c r="J478" s="66"/>
      <c r="K478" s="66"/>
      <c r="L478" s="66"/>
      <c r="M478" s="66"/>
      <c r="N478" s="66"/>
    </row>
    <row r="479" spans="1:14" x14ac:dyDescent="0.2">
      <c r="A479" s="84"/>
      <c r="B479" s="84"/>
      <c r="C479" s="60"/>
      <c r="D479" s="66"/>
      <c r="E479" s="66"/>
      <c r="F479" s="66"/>
      <c r="G479" s="66"/>
      <c r="H479" s="66"/>
      <c r="I479" s="66"/>
      <c r="J479" s="66"/>
      <c r="K479" s="66"/>
      <c r="L479" s="66"/>
      <c r="M479" s="66"/>
      <c r="N479" s="66"/>
    </row>
    <row r="480" spans="1:14" x14ac:dyDescent="0.2">
      <c r="A480" s="84"/>
      <c r="B480" s="84"/>
      <c r="C480" s="60"/>
      <c r="D480" s="66"/>
      <c r="E480" s="66"/>
      <c r="F480" s="66"/>
      <c r="G480" s="66"/>
      <c r="H480" s="66"/>
      <c r="I480" s="66"/>
      <c r="J480" s="66"/>
      <c r="K480" s="66"/>
      <c r="L480" s="66"/>
      <c r="M480" s="66"/>
      <c r="N480" s="66"/>
    </row>
    <row r="481" spans="1:14" x14ac:dyDescent="0.2">
      <c r="A481" s="84"/>
      <c r="B481" s="84"/>
      <c r="C481" s="60"/>
      <c r="D481" s="66"/>
      <c r="E481" s="66"/>
      <c r="F481" s="66"/>
      <c r="G481" s="66"/>
      <c r="H481" s="66"/>
      <c r="I481" s="66"/>
      <c r="J481" s="66"/>
      <c r="K481" s="66"/>
      <c r="L481" s="66"/>
      <c r="M481" s="66"/>
      <c r="N481" s="66"/>
    </row>
    <row r="482" spans="1:14" x14ac:dyDescent="0.2">
      <c r="A482" s="84"/>
      <c r="B482" s="84"/>
      <c r="C482" s="60"/>
      <c r="D482" s="66"/>
      <c r="E482" s="66"/>
      <c r="F482" s="66"/>
      <c r="G482" s="66"/>
      <c r="H482" s="66"/>
      <c r="I482" s="66"/>
      <c r="J482" s="66"/>
      <c r="K482" s="66"/>
      <c r="L482" s="66"/>
      <c r="M482" s="66"/>
      <c r="N482" s="66"/>
    </row>
    <row r="483" spans="1:14" x14ac:dyDescent="0.2">
      <c r="A483" s="84"/>
      <c r="B483" s="84"/>
      <c r="C483" s="60"/>
      <c r="D483" s="66"/>
      <c r="E483" s="66"/>
      <c r="F483" s="66"/>
      <c r="G483" s="66"/>
      <c r="H483" s="66"/>
      <c r="I483" s="66"/>
      <c r="J483" s="66"/>
      <c r="K483" s="66"/>
      <c r="L483" s="66"/>
      <c r="M483" s="66"/>
      <c r="N483" s="66"/>
    </row>
    <row r="484" spans="1:14" x14ac:dyDescent="0.2">
      <c r="A484" s="84"/>
      <c r="B484" s="84"/>
      <c r="C484" s="60"/>
      <c r="D484" s="66"/>
      <c r="E484" s="66"/>
      <c r="F484" s="66"/>
      <c r="G484" s="66"/>
      <c r="H484" s="66"/>
      <c r="I484" s="66"/>
      <c r="J484" s="66"/>
      <c r="K484" s="66"/>
      <c r="L484" s="66"/>
      <c r="M484" s="66"/>
      <c r="N484" s="66"/>
    </row>
    <row r="485" spans="1:14" x14ac:dyDescent="0.2">
      <c r="A485" s="84"/>
      <c r="B485" s="84"/>
      <c r="C485" s="60"/>
      <c r="D485" s="66"/>
      <c r="E485" s="66"/>
      <c r="F485" s="66"/>
      <c r="G485" s="66"/>
      <c r="H485" s="66"/>
      <c r="I485" s="66"/>
      <c r="J485" s="66"/>
      <c r="K485" s="66"/>
      <c r="L485" s="66"/>
      <c r="M485" s="66"/>
      <c r="N485" s="66"/>
    </row>
    <row r="486" spans="1:14" x14ac:dyDescent="0.2">
      <c r="A486" s="84"/>
      <c r="B486" s="84"/>
      <c r="C486" s="60"/>
      <c r="D486" s="66"/>
      <c r="E486" s="66"/>
      <c r="F486" s="66"/>
      <c r="G486" s="66"/>
      <c r="H486" s="66"/>
      <c r="I486" s="66"/>
      <c r="J486" s="66"/>
      <c r="K486" s="66"/>
      <c r="L486" s="66"/>
      <c r="M486" s="66"/>
      <c r="N486" s="66"/>
    </row>
    <row r="487" spans="1:14" x14ac:dyDescent="0.2">
      <c r="A487" s="84"/>
      <c r="B487" s="84"/>
      <c r="C487" s="60"/>
      <c r="D487" s="66"/>
      <c r="E487" s="66"/>
      <c r="F487" s="66"/>
      <c r="G487" s="66"/>
      <c r="H487" s="66"/>
      <c r="I487" s="66"/>
      <c r="J487" s="66"/>
      <c r="K487" s="66"/>
      <c r="L487" s="66"/>
      <c r="M487" s="66"/>
      <c r="N487" s="66"/>
    </row>
    <row r="488" spans="1:14" x14ac:dyDescent="0.2">
      <c r="A488" s="84"/>
      <c r="B488" s="84"/>
      <c r="C488" s="60"/>
      <c r="D488" s="66"/>
      <c r="E488" s="66"/>
      <c r="F488" s="66"/>
      <c r="G488" s="66"/>
      <c r="H488" s="66"/>
      <c r="I488" s="66"/>
      <c r="J488" s="66"/>
      <c r="K488" s="66"/>
      <c r="L488" s="66"/>
      <c r="M488" s="66"/>
      <c r="N488" s="66"/>
    </row>
    <row r="489" spans="1:14" x14ac:dyDescent="0.2">
      <c r="A489" s="84"/>
      <c r="B489" s="84"/>
      <c r="C489" s="60"/>
      <c r="D489" s="66"/>
      <c r="E489" s="66"/>
      <c r="F489" s="66"/>
      <c r="G489" s="66"/>
      <c r="H489" s="66"/>
      <c r="I489" s="66"/>
      <c r="J489" s="66"/>
      <c r="K489" s="66"/>
      <c r="L489" s="66"/>
      <c r="M489" s="66"/>
      <c r="N489" s="66"/>
    </row>
    <row r="490" spans="1:14" x14ac:dyDescent="0.2">
      <c r="A490" s="84"/>
      <c r="B490" s="84"/>
      <c r="C490" s="60"/>
      <c r="D490" s="66"/>
      <c r="E490" s="66"/>
      <c r="F490" s="66"/>
      <c r="G490" s="66"/>
      <c r="H490" s="66"/>
      <c r="I490" s="66"/>
      <c r="J490" s="66"/>
      <c r="K490" s="66"/>
      <c r="L490" s="66"/>
      <c r="M490" s="66"/>
      <c r="N490" s="66"/>
    </row>
    <row r="491" spans="1:14" x14ac:dyDescent="0.2">
      <c r="A491" s="84"/>
      <c r="B491" s="84"/>
      <c r="C491" s="60"/>
      <c r="D491" s="66"/>
      <c r="E491" s="66"/>
      <c r="F491" s="66"/>
      <c r="G491" s="66"/>
      <c r="H491" s="66"/>
      <c r="I491" s="66"/>
      <c r="J491" s="66"/>
      <c r="K491" s="66"/>
      <c r="L491" s="66"/>
      <c r="M491" s="66"/>
      <c r="N491" s="66"/>
    </row>
    <row r="492" spans="1:14" x14ac:dyDescent="0.2">
      <c r="A492" s="84"/>
      <c r="B492" s="84"/>
      <c r="C492" s="60"/>
      <c r="D492" s="66"/>
      <c r="E492" s="66"/>
      <c r="F492" s="66"/>
      <c r="G492" s="66"/>
      <c r="H492" s="66"/>
      <c r="I492" s="66"/>
      <c r="J492" s="66"/>
      <c r="K492" s="66"/>
      <c r="L492" s="66"/>
      <c r="M492" s="66"/>
      <c r="N492" s="66"/>
    </row>
    <row r="493" spans="1:14" x14ac:dyDescent="0.2">
      <c r="A493" s="84"/>
      <c r="B493" s="84"/>
      <c r="C493" s="60"/>
      <c r="D493" s="66"/>
      <c r="E493" s="66"/>
      <c r="F493" s="66"/>
      <c r="G493" s="66"/>
      <c r="H493" s="66"/>
      <c r="I493" s="66"/>
      <c r="J493" s="66"/>
      <c r="K493" s="66"/>
      <c r="L493" s="66"/>
      <c r="M493" s="66"/>
      <c r="N493" s="66"/>
    </row>
    <row r="494" spans="1:14" x14ac:dyDescent="0.2">
      <c r="A494" s="84"/>
      <c r="B494" s="84"/>
      <c r="C494" s="60"/>
      <c r="D494" s="66"/>
      <c r="E494" s="66"/>
      <c r="F494" s="66"/>
      <c r="G494" s="66"/>
      <c r="H494" s="66"/>
      <c r="I494" s="66"/>
      <c r="J494" s="66"/>
      <c r="K494" s="66"/>
      <c r="L494" s="66"/>
      <c r="M494" s="66"/>
      <c r="N494" s="66"/>
    </row>
    <row r="495" spans="1:14" x14ac:dyDescent="0.2">
      <c r="A495" s="84"/>
      <c r="B495" s="84"/>
      <c r="C495" s="60"/>
      <c r="D495" s="66"/>
      <c r="E495" s="66"/>
      <c r="F495" s="66"/>
      <c r="G495" s="66"/>
      <c r="H495" s="66"/>
      <c r="I495" s="66"/>
      <c r="J495" s="66"/>
      <c r="K495" s="66"/>
      <c r="L495" s="66"/>
      <c r="M495" s="66"/>
      <c r="N495" s="66"/>
    </row>
    <row r="496" spans="1:14" x14ac:dyDescent="0.2">
      <c r="A496" s="84"/>
      <c r="B496" s="84"/>
      <c r="C496" s="60"/>
      <c r="D496" s="66"/>
      <c r="E496" s="66"/>
      <c r="F496" s="66"/>
      <c r="G496" s="66"/>
      <c r="H496" s="66"/>
      <c r="I496" s="66"/>
      <c r="J496" s="66"/>
      <c r="K496" s="66"/>
      <c r="L496" s="66"/>
      <c r="M496" s="66"/>
      <c r="N496" s="66"/>
    </row>
    <row r="497" spans="1:14" x14ac:dyDescent="0.2">
      <c r="A497" s="84"/>
      <c r="B497" s="84"/>
      <c r="C497" s="60"/>
      <c r="D497" s="66"/>
      <c r="E497" s="66"/>
      <c r="F497" s="66"/>
      <c r="G497" s="66"/>
      <c r="H497" s="66"/>
      <c r="I497" s="66"/>
      <c r="J497" s="66"/>
      <c r="K497" s="66"/>
      <c r="L497" s="66"/>
      <c r="M497" s="66"/>
      <c r="N497" s="66"/>
    </row>
    <row r="498" spans="1:14" x14ac:dyDescent="0.2">
      <c r="A498" s="84"/>
      <c r="B498" s="84"/>
      <c r="C498" s="60"/>
      <c r="D498" s="66"/>
      <c r="E498" s="66"/>
      <c r="F498" s="66"/>
      <c r="G498" s="66"/>
      <c r="H498" s="66"/>
      <c r="I498" s="66"/>
      <c r="J498" s="66"/>
      <c r="K498" s="66"/>
      <c r="L498" s="66"/>
      <c r="M498" s="66"/>
      <c r="N498" s="66"/>
    </row>
    <row r="499" spans="1:14" x14ac:dyDescent="0.2">
      <c r="A499" s="84"/>
      <c r="B499" s="84"/>
      <c r="C499" s="60"/>
      <c r="D499" s="66"/>
      <c r="E499" s="66"/>
      <c r="F499" s="66"/>
      <c r="G499" s="66"/>
      <c r="H499" s="66"/>
      <c r="I499" s="66"/>
      <c r="J499" s="66"/>
      <c r="K499" s="66"/>
      <c r="L499" s="66"/>
      <c r="M499" s="66"/>
      <c r="N499" s="66"/>
    </row>
    <row r="500" spans="1:14" x14ac:dyDescent="0.2">
      <c r="A500" s="84"/>
      <c r="B500" s="84"/>
      <c r="C500" s="60"/>
      <c r="D500" s="66"/>
      <c r="E500" s="66"/>
      <c r="F500" s="66"/>
      <c r="G500" s="66"/>
      <c r="H500" s="66"/>
      <c r="I500" s="66"/>
      <c r="J500" s="66"/>
      <c r="K500" s="66"/>
      <c r="L500" s="66"/>
      <c r="M500" s="66"/>
      <c r="N500" s="66"/>
    </row>
    <row r="501" spans="1:14" x14ac:dyDescent="0.2">
      <c r="A501" s="84"/>
      <c r="B501" s="84"/>
      <c r="C501" s="60"/>
      <c r="D501" s="66"/>
      <c r="E501" s="66"/>
      <c r="F501" s="66"/>
      <c r="G501" s="66"/>
      <c r="H501" s="66"/>
      <c r="I501" s="66"/>
      <c r="J501" s="66"/>
      <c r="K501" s="66"/>
      <c r="L501" s="66"/>
      <c r="M501" s="66"/>
      <c r="N501" s="66"/>
    </row>
    <row r="502" spans="1:14" x14ac:dyDescent="0.2">
      <c r="A502" s="84"/>
      <c r="B502" s="84"/>
      <c r="C502" s="60"/>
      <c r="D502" s="66"/>
      <c r="E502" s="66"/>
      <c r="F502" s="66"/>
      <c r="G502" s="66"/>
      <c r="H502" s="66"/>
      <c r="I502" s="66"/>
      <c r="J502" s="66"/>
      <c r="K502" s="66"/>
      <c r="L502" s="66"/>
      <c r="M502" s="66"/>
      <c r="N502" s="66"/>
    </row>
    <row r="503" spans="1:14" x14ac:dyDescent="0.2">
      <c r="A503" s="84"/>
      <c r="B503" s="84"/>
      <c r="C503" s="60"/>
      <c r="D503" s="66"/>
      <c r="E503" s="66"/>
      <c r="F503" s="66"/>
      <c r="G503" s="66"/>
      <c r="H503" s="66"/>
      <c r="I503" s="66"/>
      <c r="J503" s="66"/>
      <c r="K503" s="66"/>
      <c r="L503" s="66"/>
      <c r="M503" s="66"/>
      <c r="N503" s="66"/>
    </row>
    <row r="504" spans="1:14" x14ac:dyDescent="0.2">
      <c r="A504" s="84"/>
      <c r="B504" s="84"/>
      <c r="C504" s="60"/>
      <c r="D504" s="66"/>
      <c r="E504" s="66"/>
      <c r="F504" s="66"/>
      <c r="G504" s="66"/>
      <c r="H504" s="66"/>
      <c r="I504" s="66"/>
      <c r="J504" s="66"/>
      <c r="K504" s="66"/>
      <c r="L504" s="66"/>
      <c r="M504" s="66"/>
      <c r="N504" s="66"/>
    </row>
    <row r="505" spans="1:14" x14ac:dyDescent="0.2">
      <c r="A505" s="84"/>
      <c r="B505" s="84"/>
      <c r="C505" s="60"/>
      <c r="D505" s="66"/>
      <c r="E505" s="66"/>
      <c r="F505" s="66"/>
      <c r="G505" s="66"/>
      <c r="H505" s="66"/>
      <c r="I505" s="66"/>
      <c r="J505" s="66"/>
      <c r="K505" s="66"/>
      <c r="L505" s="66"/>
      <c r="M505" s="66"/>
      <c r="N505" s="66"/>
    </row>
    <row r="506" spans="1:14" x14ac:dyDescent="0.2">
      <c r="A506" s="84"/>
      <c r="B506" s="84"/>
      <c r="C506" s="60"/>
      <c r="D506" s="66"/>
      <c r="E506" s="66"/>
      <c r="F506" s="66"/>
      <c r="G506" s="66"/>
      <c r="H506" s="66"/>
      <c r="I506" s="66"/>
      <c r="J506" s="66"/>
      <c r="K506" s="66"/>
      <c r="L506" s="66"/>
      <c r="M506" s="66"/>
      <c r="N506" s="66"/>
    </row>
    <row r="507" spans="1:14" x14ac:dyDescent="0.2">
      <c r="A507" s="84"/>
      <c r="B507" s="84"/>
      <c r="C507" s="60"/>
      <c r="D507" s="66"/>
      <c r="E507" s="66"/>
      <c r="F507" s="66"/>
      <c r="G507" s="66"/>
      <c r="H507" s="66"/>
      <c r="I507" s="66"/>
      <c r="J507" s="66"/>
      <c r="K507" s="66"/>
      <c r="L507" s="66"/>
      <c r="M507" s="66"/>
      <c r="N507" s="66"/>
    </row>
    <row r="508" spans="1:14" x14ac:dyDescent="0.2">
      <c r="A508" s="84"/>
      <c r="B508" s="84"/>
      <c r="C508" s="60"/>
      <c r="D508" s="66"/>
      <c r="E508" s="66"/>
      <c r="F508" s="66"/>
      <c r="G508" s="66"/>
      <c r="H508" s="66"/>
      <c r="I508" s="66"/>
      <c r="J508" s="66"/>
      <c r="K508" s="66"/>
      <c r="L508" s="66"/>
      <c r="M508" s="66"/>
      <c r="N508" s="66"/>
    </row>
    <row r="509" spans="1:14" x14ac:dyDescent="0.2">
      <c r="A509" s="84"/>
      <c r="B509" s="84"/>
      <c r="C509" s="60"/>
      <c r="D509" s="66"/>
      <c r="E509" s="66"/>
      <c r="F509" s="66"/>
      <c r="G509" s="66"/>
      <c r="H509" s="66"/>
      <c r="I509" s="66"/>
      <c r="J509" s="66"/>
      <c r="K509" s="66"/>
      <c r="L509" s="66"/>
      <c r="M509" s="66"/>
      <c r="N509" s="66"/>
    </row>
    <row r="510" spans="1:14" x14ac:dyDescent="0.2">
      <c r="A510" s="84"/>
      <c r="B510" s="84"/>
      <c r="C510" s="60"/>
      <c r="D510" s="66"/>
      <c r="E510" s="66"/>
      <c r="F510" s="66"/>
      <c r="G510" s="66"/>
      <c r="H510" s="66"/>
      <c r="I510" s="66"/>
      <c r="J510" s="66"/>
      <c r="K510" s="66"/>
      <c r="L510" s="66"/>
      <c r="M510" s="66"/>
      <c r="N510" s="66"/>
    </row>
    <row r="511" spans="1:14" x14ac:dyDescent="0.2">
      <c r="A511" s="84"/>
      <c r="B511" s="84"/>
      <c r="C511" s="60"/>
      <c r="D511" s="66"/>
      <c r="E511" s="66"/>
      <c r="F511" s="66"/>
      <c r="G511" s="66"/>
      <c r="H511" s="66"/>
      <c r="I511" s="66"/>
      <c r="J511" s="66"/>
      <c r="K511" s="66"/>
      <c r="L511" s="66"/>
      <c r="M511" s="66"/>
      <c r="N511" s="66"/>
    </row>
    <row r="512" spans="1:14" x14ac:dyDescent="0.2">
      <c r="A512" s="84"/>
      <c r="B512" s="84"/>
      <c r="C512" s="60"/>
      <c r="D512" s="66"/>
      <c r="E512" s="66"/>
      <c r="F512" s="66"/>
      <c r="G512" s="66"/>
      <c r="H512" s="66"/>
      <c r="I512" s="66"/>
      <c r="J512" s="66"/>
      <c r="K512" s="66"/>
      <c r="L512" s="66"/>
      <c r="M512" s="66"/>
      <c r="N512" s="66"/>
    </row>
    <row r="513" spans="1:14" x14ac:dyDescent="0.2">
      <c r="A513" s="84"/>
      <c r="B513" s="84"/>
      <c r="C513" s="60"/>
      <c r="D513" s="66"/>
      <c r="E513" s="66"/>
      <c r="F513" s="66"/>
      <c r="G513" s="66"/>
      <c r="H513" s="66"/>
      <c r="I513" s="66"/>
      <c r="J513" s="66"/>
      <c r="K513" s="66"/>
      <c r="L513" s="66"/>
      <c r="M513" s="66"/>
      <c r="N513" s="66"/>
    </row>
    <row r="514" spans="1:14" x14ac:dyDescent="0.2">
      <c r="A514" s="84"/>
      <c r="B514" s="84"/>
      <c r="C514" s="60"/>
      <c r="D514" s="66"/>
      <c r="E514" s="66"/>
      <c r="F514" s="66"/>
      <c r="G514" s="66"/>
      <c r="H514" s="66"/>
      <c r="I514" s="66"/>
      <c r="J514" s="66"/>
      <c r="K514" s="66"/>
      <c r="L514" s="66"/>
      <c r="M514" s="66"/>
      <c r="N514" s="66"/>
    </row>
    <row r="515" spans="1:14" x14ac:dyDescent="0.2">
      <c r="A515" s="84"/>
      <c r="B515" s="84"/>
      <c r="C515" s="60"/>
      <c r="D515" s="66"/>
      <c r="E515" s="66"/>
      <c r="F515" s="66"/>
      <c r="G515" s="66"/>
      <c r="H515" s="66"/>
      <c r="I515" s="66"/>
      <c r="J515" s="66"/>
      <c r="K515" s="66"/>
      <c r="L515" s="66"/>
      <c r="M515" s="66"/>
      <c r="N515" s="66"/>
    </row>
    <row r="516" spans="1:14" x14ac:dyDescent="0.2">
      <c r="A516" s="84"/>
      <c r="B516" s="84"/>
      <c r="C516" s="60"/>
      <c r="D516" s="66"/>
      <c r="E516" s="66"/>
      <c r="F516" s="66"/>
      <c r="G516" s="66"/>
      <c r="H516" s="66"/>
      <c r="I516" s="66"/>
      <c r="J516" s="66"/>
      <c r="K516" s="66"/>
      <c r="L516" s="66"/>
      <c r="M516" s="66"/>
      <c r="N516" s="66"/>
    </row>
    <row r="517" spans="1:14" x14ac:dyDescent="0.2">
      <c r="A517" s="84"/>
      <c r="B517" s="84"/>
      <c r="C517" s="60"/>
      <c r="D517" s="66"/>
      <c r="E517" s="66"/>
      <c r="F517" s="66"/>
      <c r="G517" s="66"/>
      <c r="H517" s="66"/>
      <c r="I517" s="66"/>
      <c r="J517" s="66"/>
      <c r="K517" s="66"/>
      <c r="L517" s="66"/>
      <c r="M517" s="66"/>
      <c r="N517" s="66"/>
    </row>
    <row r="518" spans="1:14" x14ac:dyDescent="0.2">
      <c r="A518" s="84"/>
      <c r="B518" s="84"/>
      <c r="C518" s="60"/>
      <c r="D518" s="66"/>
      <c r="E518" s="66"/>
      <c r="F518" s="66"/>
      <c r="G518" s="66"/>
      <c r="H518" s="66"/>
      <c r="I518" s="66"/>
      <c r="J518" s="66"/>
      <c r="K518" s="66"/>
      <c r="L518" s="66"/>
      <c r="M518" s="66"/>
      <c r="N518" s="66"/>
    </row>
    <row r="519" spans="1:14" x14ac:dyDescent="0.2">
      <c r="A519" s="84"/>
      <c r="B519" s="84"/>
      <c r="C519" s="60"/>
      <c r="D519" s="66"/>
      <c r="E519" s="66"/>
      <c r="F519" s="66"/>
      <c r="G519" s="66"/>
      <c r="H519" s="66"/>
      <c r="I519" s="66"/>
      <c r="J519" s="66"/>
      <c r="K519" s="66"/>
      <c r="L519" s="66"/>
      <c r="M519" s="66"/>
      <c r="N519" s="66"/>
    </row>
    <row r="520" spans="1:14" x14ac:dyDescent="0.2">
      <c r="A520" s="84"/>
      <c r="B520" s="84"/>
      <c r="C520" s="60"/>
      <c r="D520" s="66"/>
      <c r="E520" s="66"/>
      <c r="F520" s="66"/>
      <c r="G520" s="66"/>
      <c r="H520" s="66"/>
      <c r="I520" s="66"/>
      <c r="J520" s="66"/>
      <c r="K520" s="66"/>
      <c r="L520" s="66"/>
      <c r="M520" s="66"/>
      <c r="N520" s="66"/>
    </row>
    <row r="521" spans="1:14" x14ac:dyDescent="0.2">
      <c r="A521" s="84"/>
      <c r="B521" s="84"/>
      <c r="C521" s="60"/>
      <c r="D521" s="66"/>
      <c r="E521" s="66"/>
      <c r="F521" s="66"/>
      <c r="G521" s="66"/>
      <c r="H521" s="66"/>
      <c r="I521" s="66"/>
      <c r="J521" s="66"/>
      <c r="K521" s="66"/>
      <c r="L521" s="66"/>
      <c r="M521" s="66"/>
      <c r="N521" s="66"/>
    </row>
    <row r="522" spans="1:14" x14ac:dyDescent="0.2">
      <c r="A522" s="84"/>
      <c r="B522" s="84"/>
      <c r="C522" s="60"/>
      <c r="D522" s="66"/>
      <c r="E522" s="66"/>
      <c r="F522" s="66"/>
      <c r="G522" s="66"/>
      <c r="H522" s="66"/>
      <c r="I522" s="66"/>
      <c r="J522" s="66"/>
      <c r="K522" s="66"/>
      <c r="L522" s="66"/>
      <c r="M522" s="66"/>
      <c r="N522" s="66"/>
    </row>
    <row r="523" spans="1:14" x14ac:dyDescent="0.2">
      <c r="A523" s="84"/>
      <c r="B523" s="84"/>
      <c r="C523" s="60"/>
      <c r="D523" s="66"/>
      <c r="E523" s="66"/>
      <c r="F523" s="66"/>
      <c r="G523" s="66"/>
      <c r="H523" s="66"/>
      <c r="I523" s="66"/>
      <c r="J523" s="66"/>
      <c r="K523" s="66"/>
      <c r="L523" s="66"/>
      <c r="M523" s="66"/>
      <c r="N523" s="66"/>
    </row>
    <row r="524" spans="1:14" x14ac:dyDescent="0.2">
      <c r="A524" s="84"/>
      <c r="B524" s="84"/>
      <c r="C524" s="60"/>
      <c r="D524" s="66"/>
      <c r="E524" s="66"/>
      <c r="F524" s="66"/>
      <c r="G524" s="66"/>
      <c r="H524" s="66"/>
      <c r="I524" s="66"/>
      <c r="J524" s="66"/>
      <c r="K524" s="66"/>
      <c r="L524" s="66"/>
      <c r="M524" s="66"/>
      <c r="N524" s="66"/>
    </row>
    <row r="525" spans="1:14" x14ac:dyDescent="0.2">
      <c r="A525" s="84"/>
      <c r="B525" s="84"/>
      <c r="C525" s="60"/>
      <c r="D525" s="66"/>
      <c r="E525" s="66"/>
      <c r="F525" s="66"/>
      <c r="G525" s="66"/>
      <c r="H525" s="66"/>
      <c r="I525" s="66"/>
      <c r="J525" s="66"/>
      <c r="K525" s="66"/>
      <c r="L525" s="66"/>
      <c r="M525" s="66"/>
      <c r="N525" s="66"/>
    </row>
    <row r="526" spans="1:14" x14ac:dyDescent="0.2">
      <c r="A526" s="84"/>
      <c r="B526" s="84"/>
      <c r="C526" s="60"/>
      <c r="D526" s="66"/>
      <c r="E526" s="66"/>
      <c r="F526" s="66"/>
      <c r="G526" s="66"/>
      <c r="H526" s="66"/>
      <c r="I526" s="66"/>
      <c r="J526" s="66"/>
      <c r="K526" s="66"/>
      <c r="L526" s="66"/>
      <c r="M526" s="66"/>
      <c r="N526" s="66"/>
    </row>
    <row r="527" spans="1:14" x14ac:dyDescent="0.2">
      <c r="A527" s="84"/>
      <c r="B527" s="84"/>
      <c r="C527" s="60"/>
      <c r="D527" s="66"/>
      <c r="E527" s="66"/>
      <c r="F527" s="66"/>
      <c r="G527" s="66"/>
      <c r="H527" s="66"/>
      <c r="I527" s="66"/>
      <c r="J527" s="66"/>
      <c r="K527" s="66"/>
      <c r="L527" s="66"/>
      <c r="M527" s="66"/>
      <c r="N527" s="66"/>
    </row>
    <row r="528" spans="1:14" x14ac:dyDescent="0.2">
      <c r="A528" s="84"/>
      <c r="B528" s="84"/>
      <c r="C528" s="60"/>
      <c r="D528" s="66"/>
      <c r="E528" s="66"/>
      <c r="F528" s="66"/>
      <c r="G528" s="66"/>
      <c r="H528" s="66"/>
      <c r="I528" s="66"/>
      <c r="J528" s="66"/>
      <c r="K528" s="66"/>
      <c r="L528" s="66"/>
      <c r="M528" s="66"/>
      <c r="N528" s="66"/>
    </row>
    <row r="529" spans="1:14" x14ac:dyDescent="0.2">
      <c r="A529" s="84"/>
      <c r="B529" s="84"/>
      <c r="C529" s="60"/>
      <c r="D529" s="66"/>
      <c r="E529" s="66"/>
      <c r="F529" s="66"/>
      <c r="G529" s="66"/>
      <c r="H529" s="66"/>
      <c r="I529" s="66"/>
      <c r="J529" s="66"/>
      <c r="K529" s="66"/>
      <c r="L529" s="66"/>
      <c r="M529" s="66"/>
      <c r="N529" s="66"/>
    </row>
    <row r="530" spans="1:14" x14ac:dyDescent="0.2">
      <c r="A530" s="84"/>
      <c r="B530" s="84"/>
      <c r="C530" s="60"/>
      <c r="D530" s="66"/>
      <c r="E530" s="66"/>
      <c r="F530" s="66"/>
      <c r="G530" s="66"/>
      <c r="H530" s="66"/>
      <c r="I530" s="66"/>
      <c r="J530" s="66"/>
      <c r="K530" s="66"/>
      <c r="L530" s="66"/>
      <c r="M530" s="66"/>
      <c r="N530" s="66"/>
    </row>
    <row r="531" spans="1:14" x14ac:dyDescent="0.2">
      <c r="A531" s="84"/>
      <c r="B531" s="84"/>
      <c r="C531" s="60"/>
      <c r="D531" s="66"/>
      <c r="E531" s="66"/>
      <c r="F531" s="66"/>
      <c r="G531" s="66"/>
      <c r="H531" s="66"/>
      <c r="I531" s="66"/>
      <c r="J531" s="66"/>
      <c r="K531" s="66"/>
      <c r="L531" s="66"/>
      <c r="M531" s="66"/>
      <c r="N531" s="66"/>
    </row>
    <row r="532" spans="1:14" x14ac:dyDescent="0.2">
      <c r="A532" s="84"/>
      <c r="B532" s="84"/>
      <c r="C532" s="60"/>
      <c r="D532" s="66"/>
      <c r="E532" s="66"/>
      <c r="F532" s="66"/>
      <c r="G532" s="66"/>
      <c r="H532" s="66"/>
      <c r="I532" s="66"/>
      <c r="J532" s="66"/>
      <c r="K532" s="66"/>
      <c r="L532" s="66"/>
      <c r="M532" s="66"/>
      <c r="N532" s="66"/>
    </row>
    <row r="533" spans="1:14" x14ac:dyDescent="0.2">
      <c r="A533" s="84"/>
      <c r="B533" s="84"/>
      <c r="C533" s="60"/>
      <c r="D533" s="66"/>
      <c r="E533" s="66"/>
      <c r="F533" s="66"/>
      <c r="G533" s="66"/>
      <c r="H533" s="66"/>
      <c r="I533" s="66"/>
      <c r="J533" s="66"/>
      <c r="K533" s="66"/>
      <c r="L533" s="66"/>
      <c r="M533" s="66"/>
      <c r="N533" s="66"/>
    </row>
    <row r="534" spans="1:14" x14ac:dyDescent="0.2">
      <c r="A534" s="84"/>
      <c r="B534" s="84"/>
      <c r="C534" s="60"/>
      <c r="D534" s="66"/>
      <c r="E534" s="66"/>
      <c r="F534" s="66"/>
      <c r="G534" s="66"/>
      <c r="H534" s="66"/>
      <c r="I534" s="66"/>
      <c r="J534" s="66"/>
      <c r="K534" s="66"/>
      <c r="L534" s="66"/>
      <c r="M534" s="66"/>
      <c r="N534" s="66"/>
    </row>
    <row r="535" spans="1:14" x14ac:dyDescent="0.2">
      <c r="A535" s="84"/>
      <c r="B535" s="84"/>
      <c r="C535" s="60"/>
      <c r="D535" s="66"/>
      <c r="E535" s="66"/>
      <c r="F535" s="66"/>
      <c r="G535" s="66"/>
      <c r="H535" s="66"/>
      <c r="I535" s="66"/>
      <c r="J535" s="66"/>
      <c r="K535" s="66"/>
      <c r="L535" s="66"/>
      <c r="M535" s="66"/>
      <c r="N535" s="66"/>
    </row>
    <row r="536" spans="1:14" x14ac:dyDescent="0.2">
      <c r="A536" s="84"/>
      <c r="B536" s="84"/>
      <c r="C536" s="60"/>
      <c r="D536" s="66"/>
      <c r="E536" s="66"/>
      <c r="F536" s="66"/>
      <c r="G536" s="66"/>
      <c r="H536" s="66"/>
      <c r="I536" s="66"/>
      <c r="J536" s="66"/>
      <c r="K536" s="66"/>
      <c r="L536" s="66"/>
      <c r="M536" s="66"/>
      <c r="N536" s="66"/>
    </row>
    <row r="537" spans="1:14" x14ac:dyDescent="0.2">
      <c r="A537" s="84"/>
      <c r="B537" s="84"/>
      <c r="C537" s="60"/>
      <c r="D537" s="66"/>
      <c r="E537" s="66"/>
      <c r="F537" s="66"/>
      <c r="G537" s="66"/>
      <c r="H537" s="66"/>
      <c r="I537" s="66"/>
      <c r="J537" s="66"/>
      <c r="K537" s="66"/>
      <c r="L537" s="66"/>
      <c r="M537" s="66"/>
      <c r="N537" s="66"/>
    </row>
    <row r="538" spans="1:14" x14ac:dyDescent="0.2">
      <c r="A538" s="84"/>
      <c r="B538" s="84"/>
      <c r="C538" s="60"/>
      <c r="D538" s="66"/>
      <c r="E538" s="66"/>
      <c r="F538" s="66"/>
      <c r="G538" s="66"/>
      <c r="H538" s="66"/>
      <c r="I538" s="66"/>
      <c r="J538" s="66"/>
      <c r="K538" s="66"/>
      <c r="L538" s="66"/>
      <c r="M538" s="66"/>
      <c r="N538" s="66"/>
    </row>
    <row r="539" spans="1:14" x14ac:dyDescent="0.2">
      <c r="A539" s="84"/>
      <c r="B539" s="84"/>
      <c r="C539" s="60"/>
      <c r="D539" s="66"/>
      <c r="E539" s="66"/>
      <c r="F539" s="66"/>
      <c r="G539" s="66"/>
      <c r="H539" s="66"/>
      <c r="I539" s="66"/>
      <c r="J539" s="66"/>
      <c r="K539" s="66"/>
      <c r="L539" s="66"/>
      <c r="M539" s="66"/>
      <c r="N539" s="66"/>
    </row>
    <row r="540" spans="1:14" x14ac:dyDescent="0.2">
      <c r="A540" s="84"/>
      <c r="B540" s="84"/>
      <c r="C540" s="60"/>
      <c r="D540" s="66"/>
      <c r="E540" s="66"/>
      <c r="F540" s="66"/>
      <c r="G540" s="66"/>
      <c r="H540" s="66"/>
      <c r="I540" s="66"/>
      <c r="J540" s="66"/>
      <c r="K540" s="66"/>
      <c r="L540" s="66"/>
      <c r="M540" s="66"/>
      <c r="N540" s="66"/>
    </row>
    <row r="541" spans="1:14" x14ac:dyDescent="0.2">
      <c r="A541" s="84"/>
      <c r="B541" s="84"/>
      <c r="C541" s="60"/>
      <c r="D541" s="66"/>
      <c r="E541" s="66"/>
      <c r="F541" s="66"/>
      <c r="G541" s="66"/>
      <c r="H541" s="66"/>
      <c r="I541" s="66"/>
      <c r="J541" s="66"/>
      <c r="K541" s="66"/>
      <c r="L541" s="66"/>
      <c r="M541" s="66"/>
      <c r="N541" s="66"/>
    </row>
    <row r="542" spans="1:14" x14ac:dyDescent="0.2">
      <c r="A542" s="84"/>
      <c r="B542" s="84"/>
      <c r="C542" s="60"/>
      <c r="D542" s="66"/>
      <c r="E542" s="66"/>
      <c r="F542" s="66"/>
      <c r="G542" s="66"/>
      <c r="H542" s="66"/>
      <c r="I542" s="66"/>
      <c r="J542" s="66"/>
      <c r="K542" s="66"/>
      <c r="L542" s="66"/>
      <c r="M542" s="66"/>
      <c r="N542" s="66"/>
    </row>
    <row r="543" spans="1:14" x14ac:dyDescent="0.2">
      <c r="A543" s="84"/>
      <c r="B543" s="84"/>
      <c r="C543" s="60"/>
      <c r="D543" s="66"/>
      <c r="E543" s="66"/>
      <c r="F543" s="66"/>
      <c r="G543" s="66"/>
      <c r="H543" s="66"/>
      <c r="I543" s="66"/>
      <c r="J543" s="66"/>
      <c r="K543" s="66"/>
      <c r="L543" s="66"/>
      <c r="M543" s="66"/>
      <c r="N543" s="66"/>
    </row>
    <row r="544" spans="1:14" x14ac:dyDescent="0.2">
      <c r="A544" s="84"/>
      <c r="B544" s="84"/>
      <c r="C544" s="60"/>
      <c r="D544" s="66"/>
      <c r="E544" s="66"/>
      <c r="F544" s="66"/>
      <c r="G544" s="66"/>
      <c r="H544" s="66"/>
      <c r="I544" s="66"/>
      <c r="J544" s="66"/>
      <c r="K544" s="66"/>
      <c r="L544" s="66"/>
      <c r="M544" s="66"/>
      <c r="N544" s="66"/>
    </row>
    <row r="545" spans="1:14" x14ac:dyDescent="0.2">
      <c r="A545" s="84"/>
      <c r="B545" s="84"/>
      <c r="C545" s="60"/>
      <c r="D545" s="66"/>
      <c r="E545" s="66"/>
      <c r="F545" s="66"/>
      <c r="G545" s="66"/>
      <c r="H545" s="66"/>
      <c r="I545" s="66"/>
      <c r="J545" s="66"/>
      <c r="K545" s="66"/>
      <c r="L545" s="66"/>
      <c r="M545" s="66"/>
      <c r="N545" s="66"/>
    </row>
    <row r="546" spans="1:14" x14ac:dyDescent="0.2">
      <c r="A546" s="84"/>
      <c r="B546" s="84"/>
      <c r="C546" s="60"/>
      <c r="D546" s="66"/>
      <c r="E546" s="66"/>
      <c r="F546" s="66"/>
      <c r="G546" s="66"/>
      <c r="H546" s="66"/>
      <c r="I546" s="66"/>
      <c r="J546" s="66"/>
      <c r="K546" s="66"/>
      <c r="L546" s="66"/>
      <c r="M546" s="66"/>
      <c r="N546" s="66"/>
    </row>
    <row r="547" spans="1:14" x14ac:dyDescent="0.2">
      <c r="A547" s="84"/>
      <c r="B547" s="84"/>
      <c r="C547" s="60"/>
      <c r="D547" s="66"/>
      <c r="E547" s="66"/>
      <c r="F547" s="66"/>
      <c r="G547" s="66"/>
      <c r="H547" s="66"/>
      <c r="I547" s="66"/>
      <c r="J547" s="66"/>
      <c r="K547" s="66"/>
      <c r="L547" s="66"/>
      <c r="M547" s="66"/>
      <c r="N547" s="66"/>
    </row>
    <row r="548" spans="1:14" x14ac:dyDescent="0.2">
      <c r="A548" s="84"/>
      <c r="B548" s="84"/>
      <c r="C548" s="60"/>
      <c r="D548" s="66"/>
      <c r="E548" s="66"/>
      <c r="F548" s="66"/>
      <c r="G548" s="66"/>
      <c r="H548" s="66"/>
      <c r="I548" s="66"/>
      <c r="J548" s="66"/>
      <c r="K548" s="66"/>
      <c r="L548" s="66"/>
      <c r="M548" s="66"/>
      <c r="N548" s="66"/>
    </row>
    <row r="549" spans="1:14" x14ac:dyDescent="0.2">
      <c r="A549" s="84"/>
      <c r="B549" s="84"/>
      <c r="C549" s="60"/>
      <c r="D549" s="66"/>
      <c r="E549" s="66"/>
      <c r="F549" s="66"/>
      <c r="G549" s="66"/>
      <c r="H549" s="66"/>
      <c r="I549" s="66"/>
      <c r="J549" s="66"/>
      <c r="K549" s="66"/>
      <c r="L549" s="66"/>
      <c r="M549" s="66"/>
      <c r="N549" s="66"/>
    </row>
    <row r="550" spans="1:14" x14ac:dyDescent="0.2">
      <c r="A550" s="84"/>
      <c r="B550" s="84"/>
      <c r="C550" s="60"/>
      <c r="D550" s="66"/>
      <c r="E550" s="66"/>
      <c r="F550" s="66"/>
      <c r="G550" s="66"/>
      <c r="H550" s="66"/>
      <c r="I550" s="66"/>
      <c r="J550" s="66"/>
      <c r="K550" s="66"/>
      <c r="L550" s="66"/>
      <c r="M550" s="66"/>
      <c r="N550" s="66"/>
    </row>
    <row r="551" spans="1:14" x14ac:dyDescent="0.2">
      <c r="A551" s="84"/>
      <c r="B551" s="84"/>
      <c r="C551" s="60"/>
      <c r="D551" s="66"/>
      <c r="E551" s="66"/>
      <c r="F551" s="66"/>
      <c r="G551" s="66"/>
      <c r="H551" s="66"/>
      <c r="I551" s="66"/>
      <c r="J551" s="66"/>
      <c r="K551" s="66"/>
      <c r="L551" s="66"/>
      <c r="M551" s="66"/>
      <c r="N551" s="66"/>
    </row>
    <row r="552" spans="1:14" x14ac:dyDescent="0.2">
      <c r="A552" s="84"/>
      <c r="B552" s="84"/>
      <c r="C552" s="60"/>
      <c r="D552" s="66"/>
      <c r="E552" s="66"/>
      <c r="F552" s="66"/>
      <c r="G552" s="66"/>
      <c r="H552" s="66"/>
      <c r="I552" s="66"/>
      <c r="J552" s="66"/>
      <c r="K552" s="66"/>
      <c r="L552" s="66"/>
      <c r="M552" s="66"/>
      <c r="N552" s="66"/>
    </row>
    <row r="553" spans="1:14" x14ac:dyDescent="0.2">
      <c r="A553" s="84"/>
      <c r="B553" s="84"/>
      <c r="C553" s="60"/>
      <c r="D553" s="66"/>
      <c r="E553" s="66"/>
      <c r="F553" s="66"/>
      <c r="G553" s="66"/>
      <c r="H553" s="66"/>
      <c r="I553" s="66"/>
      <c r="J553" s="66"/>
      <c r="K553" s="66"/>
      <c r="L553" s="66"/>
      <c r="M553" s="66"/>
      <c r="N553" s="66"/>
    </row>
    <row r="554" spans="1:14" x14ac:dyDescent="0.2">
      <c r="A554" s="84"/>
      <c r="B554" s="84"/>
      <c r="C554" s="60"/>
      <c r="D554" s="66"/>
      <c r="E554" s="66"/>
      <c r="F554" s="66"/>
      <c r="G554" s="66"/>
      <c r="H554" s="66"/>
      <c r="I554" s="66"/>
      <c r="J554" s="66"/>
      <c r="K554" s="66"/>
      <c r="L554" s="66"/>
      <c r="M554" s="66"/>
      <c r="N554" s="66"/>
    </row>
    <row r="555" spans="1:14" x14ac:dyDescent="0.2">
      <c r="A555" s="84"/>
      <c r="B555" s="84"/>
      <c r="C555" s="60"/>
      <c r="D555" s="66"/>
      <c r="E555" s="66"/>
      <c r="F555" s="66"/>
      <c r="G555" s="66"/>
      <c r="H555" s="66"/>
      <c r="I555" s="66"/>
      <c r="J555" s="66"/>
      <c r="K555" s="66"/>
      <c r="L555" s="66"/>
      <c r="M555" s="66"/>
      <c r="N555" s="66"/>
    </row>
    <row r="556" spans="1:14" x14ac:dyDescent="0.2">
      <c r="A556" s="84"/>
      <c r="B556" s="84"/>
      <c r="C556" s="60"/>
      <c r="D556" s="66"/>
      <c r="E556" s="66"/>
      <c r="F556" s="66"/>
      <c r="G556" s="66"/>
      <c r="H556" s="66"/>
      <c r="I556" s="66"/>
      <c r="J556" s="66"/>
      <c r="K556" s="66"/>
      <c r="L556" s="66"/>
      <c r="M556" s="66"/>
      <c r="N556" s="66"/>
    </row>
    <row r="557" spans="1:14" x14ac:dyDescent="0.2">
      <c r="A557" s="84"/>
      <c r="B557" s="84"/>
      <c r="C557" s="60"/>
      <c r="D557" s="66"/>
      <c r="E557" s="66"/>
      <c r="F557" s="66"/>
      <c r="G557" s="66"/>
      <c r="H557" s="66"/>
      <c r="I557" s="66"/>
      <c r="J557" s="66"/>
      <c r="K557" s="66"/>
      <c r="L557" s="66"/>
      <c r="M557" s="66"/>
      <c r="N557" s="66"/>
    </row>
    <row r="558" spans="1:14" x14ac:dyDescent="0.2">
      <c r="A558" s="84"/>
      <c r="B558" s="84"/>
      <c r="C558" s="60"/>
      <c r="D558" s="66"/>
      <c r="E558" s="66"/>
      <c r="F558" s="66"/>
      <c r="G558" s="66"/>
      <c r="H558" s="66"/>
      <c r="I558" s="66"/>
      <c r="J558" s="66"/>
      <c r="K558" s="66"/>
      <c r="L558" s="66"/>
      <c r="M558" s="66"/>
      <c r="N558" s="66"/>
    </row>
    <row r="559" spans="1:14" x14ac:dyDescent="0.2">
      <c r="A559" s="84"/>
      <c r="B559" s="84"/>
      <c r="C559" s="60"/>
      <c r="D559" s="66"/>
      <c r="E559" s="66"/>
      <c r="F559" s="66"/>
      <c r="G559" s="66"/>
      <c r="H559" s="66"/>
      <c r="I559" s="66"/>
      <c r="J559" s="66"/>
      <c r="K559" s="66"/>
      <c r="L559" s="66"/>
      <c r="M559" s="66"/>
      <c r="N559" s="66"/>
    </row>
    <row r="560" spans="1:14" x14ac:dyDescent="0.2">
      <c r="A560" s="84"/>
      <c r="B560" s="84"/>
      <c r="C560" s="60"/>
      <c r="D560" s="66"/>
      <c r="E560" s="66"/>
      <c r="F560" s="66"/>
      <c r="G560" s="66"/>
      <c r="H560" s="66"/>
      <c r="I560" s="66"/>
      <c r="J560" s="66"/>
      <c r="K560" s="66"/>
      <c r="L560" s="66"/>
      <c r="M560" s="66"/>
      <c r="N560" s="66"/>
    </row>
    <row r="561" spans="1:14" x14ac:dyDescent="0.2">
      <c r="A561" s="84"/>
      <c r="B561" s="84"/>
      <c r="C561" s="60"/>
      <c r="D561" s="66"/>
      <c r="E561" s="66"/>
      <c r="F561" s="66"/>
      <c r="G561" s="66"/>
      <c r="H561" s="66"/>
      <c r="I561" s="66"/>
      <c r="J561" s="66"/>
      <c r="K561" s="66"/>
      <c r="L561" s="66"/>
      <c r="M561" s="66"/>
      <c r="N561" s="66"/>
    </row>
    <row r="562" spans="1:14" x14ac:dyDescent="0.2">
      <c r="A562" s="84"/>
      <c r="B562" s="84"/>
      <c r="C562" s="60"/>
      <c r="D562" s="66"/>
      <c r="E562" s="66"/>
      <c r="F562" s="66"/>
      <c r="G562" s="66"/>
      <c r="H562" s="66"/>
      <c r="I562" s="66"/>
      <c r="J562" s="66"/>
      <c r="K562" s="66"/>
      <c r="L562" s="66"/>
      <c r="M562" s="66"/>
      <c r="N562" s="66"/>
    </row>
    <row r="563" spans="1:14" x14ac:dyDescent="0.2">
      <c r="A563" s="84"/>
      <c r="B563" s="84"/>
      <c r="C563" s="60"/>
      <c r="D563" s="66"/>
      <c r="E563" s="66"/>
      <c r="F563" s="66"/>
      <c r="G563" s="66"/>
      <c r="H563" s="66"/>
      <c r="I563" s="66"/>
      <c r="J563" s="66"/>
      <c r="K563" s="66"/>
      <c r="L563" s="66"/>
      <c r="M563" s="66"/>
      <c r="N563" s="66"/>
    </row>
    <row r="564" spans="1:14" x14ac:dyDescent="0.2">
      <c r="A564" s="84"/>
      <c r="B564" s="84"/>
      <c r="C564" s="60"/>
      <c r="D564" s="66"/>
      <c r="E564" s="66"/>
      <c r="F564" s="66"/>
      <c r="G564" s="66"/>
      <c r="H564" s="66"/>
      <c r="I564" s="66"/>
      <c r="J564" s="66"/>
      <c r="K564" s="66"/>
      <c r="L564" s="66"/>
      <c r="M564" s="66"/>
      <c r="N564" s="66"/>
    </row>
    <row r="565" spans="1:14" x14ac:dyDescent="0.2">
      <c r="A565" s="84"/>
      <c r="B565" s="84"/>
      <c r="C565" s="60"/>
      <c r="D565" s="66"/>
      <c r="E565" s="66"/>
      <c r="F565" s="66"/>
      <c r="G565" s="66"/>
      <c r="H565" s="66"/>
      <c r="I565" s="66"/>
      <c r="J565" s="66"/>
      <c r="K565" s="66"/>
      <c r="L565" s="66"/>
      <c r="M565" s="66"/>
      <c r="N565" s="66"/>
    </row>
    <row r="566" spans="1:14" x14ac:dyDescent="0.2">
      <c r="A566" s="84"/>
      <c r="B566" s="84"/>
      <c r="C566" s="60"/>
      <c r="D566" s="66"/>
      <c r="E566" s="66"/>
      <c r="F566" s="66"/>
      <c r="G566" s="66"/>
      <c r="H566" s="66"/>
      <c r="I566" s="66"/>
      <c r="J566" s="66"/>
      <c r="K566" s="66"/>
      <c r="L566" s="66"/>
      <c r="M566" s="66"/>
      <c r="N566" s="66"/>
    </row>
    <row r="567" spans="1:14" x14ac:dyDescent="0.2">
      <c r="A567" s="84"/>
      <c r="B567" s="84"/>
      <c r="C567" s="60"/>
      <c r="D567" s="66"/>
      <c r="E567" s="66"/>
      <c r="F567" s="66"/>
      <c r="G567" s="66"/>
      <c r="H567" s="66"/>
      <c r="I567" s="66"/>
      <c r="J567" s="66"/>
      <c r="K567" s="66"/>
      <c r="L567" s="66"/>
      <c r="M567" s="66"/>
      <c r="N567" s="66"/>
    </row>
    <row r="568" spans="1:14" x14ac:dyDescent="0.2">
      <c r="A568" s="84"/>
      <c r="B568" s="84"/>
      <c r="C568" s="60"/>
      <c r="D568" s="66"/>
      <c r="E568" s="66"/>
      <c r="F568" s="66"/>
      <c r="G568" s="66"/>
      <c r="H568" s="66"/>
      <c r="I568" s="66"/>
      <c r="J568" s="66"/>
      <c r="K568" s="66"/>
      <c r="L568" s="66"/>
      <c r="M568" s="66"/>
      <c r="N568" s="66"/>
    </row>
    <row r="569" spans="1:14" x14ac:dyDescent="0.2">
      <c r="A569" s="84"/>
      <c r="B569" s="84"/>
      <c r="C569" s="60"/>
      <c r="D569" s="66"/>
      <c r="E569" s="66"/>
      <c r="F569" s="66"/>
      <c r="G569" s="66"/>
      <c r="H569" s="66"/>
      <c r="I569" s="66"/>
      <c r="J569" s="66"/>
      <c r="K569" s="66"/>
      <c r="L569" s="66"/>
      <c r="M569" s="66"/>
      <c r="N569" s="66"/>
    </row>
    <row r="570" spans="1:14" x14ac:dyDescent="0.2">
      <c r="A570" s="84"/>
      <c r="B570" s="84"/>
      <c r="C570" s="60"/>
      <c r="D570" s="66"/>
      <c r="E570" s="66"/>
      <c r="F570" s="66"/>
      <c r="G570" s="66"/>
      <c r="H570" s="66"/>
      <c r="I570" s="66"/>
      <c r="J570" s="66"/>
      <c r="K570" s="66"/>
      <c r="L570" s="66"/>
      <c r="M570" s="66"/>
      <c r="N570" s="66"/>
    </row>
    <row r="571" spans="1:14" x14ac:dyDescent="0.2">
      <c r="A571" s="84"/>
      <c r="B571" s="84"/>
      <c r="C571" s="60"/>
      <c r="D571" s="66"/>
      <c r="E571" s="66"/>
      <c r="F571" s="66"/>
      <c r="G571" s="66"/>
      <c r="H571" s="66"/>
      <c r="I571" s="66"/>
      <c r="J571" s="66"/>
      <c r="K571" s="66"/>
      <c r="L571" s="66"/>
      <c r="M571" s="66"/>
      <c r="N571" s="66"/>
    </row>
    <row r="572" spans="1:14" x14ac:dyDescent="0.2">
      <c r="A572" s="84"/>
      <c r="B572" s="84"/>
      <c r="C572" s="60"/>
      <c r="D572" s="66"/>
      <c r="E572" s="66"/>
      <c r="F572" s="66"/>
      <c r="G572" s="66"/>
      <c r="H572" s="66"/>
      <c r="I572" s="66"/>
      <c r="J572" s="66"/>
      <c r="K572" s="66"/>
      <c r="L572" s="66"/>
      <c r="M572" s="66"/>
      <c r="N572" s="66"/>
    </row>
    <row r="573" spans="1:14" x14ac:dyDescent="0.2">
      <c r="A573" s="84"/>
      <c r="B573" s="84"/>
      <c r="C573" s="60"/>
      <c r="D573" s="66"/>
      <c r="E573" s="66"/>
      <c r="F573" s="66"/>
      <c r="G573" s="66"/>
      <c r="H573" s="66"/>
      <c r="I573" s="66"/>
      <c r="J573" s="66"/>
      <c r="K573" s="66"/>
      <c r="L573" s="66"/>
      <c r="M573" s="66"/>
      <c r="N573" s="66"/>
    </row>
    <row r="574" spans="1:14" x14ac:dyDescent="0.2">
      <c r="A574" s="84"/>
      <c r="B574" s="84"/>
      <c r="C574" s="60"/>
      <c r="D574" s="66"/>
      <c r="E574" s="66"/>
      <c r="F574" s="66"/>
      <c r="G574" s="66"/>
      <c r="H574" s="66"/>
      <c r="I574" s="66"/>
      <c r="J574" s="66"/>
      <c r="K574" s="66"/>
      <c r="L574" s="66"/>
      <c r="M574" s="66"/>
      <c r="N574" s="66"/>
    </row>
    <row r="575" spans="1:14" x14ac:dyDescent="0.2">
      <c r="A575" s="84"/>
      <c r="B575" s="84"/>
      <c r="C575" s="60"/>
      <c r="D575" s="66"/>
      <c r="E575" s="66"/>
      <c r="F575" s="66"/>
      <c r="G575" s="66"/>
      <c r="H575" s="66"/>
      <c r="I575" s="66"/>
      <c r="J575" s="66"/>
      <c r="K575" s="66"/>
      <c r="L575" s="66"/>
      <c r="M575" s="66"/>
      <c r="N575" s="66"/>
    </row>
    <row r="576" spans="1:14" x14ac:dyDescent="0.2">
      <c r="A576" s="84"/>
      <c r="B576" s="84"/>
      <c r="C576" s="60"/>
      <c r="D576" s="66"/>
      <c r="E576" s="66"/>
      <c r="F576" s="66"/>
      <c r="G576" s="66"/>
      <c r="H576" s="66"/>
      <c r="I576" s="66"/>
      <c r="J576" s="66"/>
      <c r="K576" s="66"/>
      <c r="L576" s="66"/>
      <c r="M576" s="66"/>
      <c r="N576" s="66"/>
    </row>
    <row r="577" spans="1:14" x14ac:dyDescent="0.2">
      <c r="A577" s="84"/>
      <c r="B577" s="84"/>
      <c r="C577" s="60"/>
      <c r="D577" s="66"/>
      <c r="E577" s="66"/>
      <c r="F577" s="66"/>
      <c r="G577" s="66"/>
      <c r="H577" s="66"/>
      <c r="I577" s="66"/>
      <c r="J577" s="66"/>
      <c r="K577" s="66"/>
      <c r="L577" s="66"/>
      <c r="M577" s="66"/>
      <c r="N577" s="66"/>
    </row>
    <row r="578" spans="1:14" x14ac:dyDescent="0.2">
      <c r="A578" s="84"/>
      <c r="B578" s="84"/>
      <c r="C578" s="60"/>
      <c r="D578" s="66"/>
      <c r="E578" s="66"/>
      <c r="F578" s="66"/>
      <c r="G578" s="66"/>
      <c r="H578" s="66"/>
      <c r="I578" s="66"/>
      <c r="J578" s="66"/>
      <c r="K578" s="66"/>
      <c r="L578" s="66"/>
      <c r="M578" s="66"/>
      <c r="N578" s="66"/>
    </row>
    <row r="579" spans="1:14" x14ac:dyDescent="0.2">
      <c r="A579" s="84"/>
      <c r="B579" s="84"/>
      <c r="C579" s="60"/>
      <c r="D579" s="66"/>
      <c r="E579" s="66"/>
      <c r="F579" s="66"/>
      <c r="G579" s="66"/>
      <c r="H579" s="66"/>
      <c r="I579" s="66"/>
      <c r="J579" s="66"/>
      <c r="K579" s="66"/>
      <c r="L579" s="66"/>
      <c r="M579" s="66"/>
      <c r="N579" s="66"/>
    </row>
    <row r="580" spans="1:14" x14ac:dyDescent="0.2">
      <c r="A580" s="84"/>
      <c r="B580" s="84"/>
      <c r="C580" s="60"/>
      <c r="D580" s="66"/>
      <c r="E580" s="66"/>
      <c r="F580" s="66"/>
      <c r="G580" s="66"/>
      <c r="H580" s="66"/>
      <c r="I580" s="66"/>
      <c r="J580" s="66"/>
      <c r="K580" s="66"/>
      <c r="L580" s="66"/>
      <c r="M580" s="66"/>
      <c r="N580" s="66"/>
    </row>
    <row r="581" spans="1:14" x14ac:dyDescent="0.2">
      <c r="A581" s="84"/>
      <c r="B581" s="84"/>
      <c r="C581" s="60"/>
      <c r="D581" s="66"/>
      <c r="E581" s="66"/>
      <c r="F581" s="66"/>
      <c r="G581" s="66"/>
      <c r="H581" s="66"/>
      <c r="I581" s="66"/>
      <c r="J581" s="66"/>
      <c r="K581" s="66"/>
      <c r="L581" s="66"/>
      <c r="M581" s="66"/>
      <c r="N581" s="66"/>
    </row>
    <row r="582" spans="1:14" x14ac:dyDescent="0.2">
      <c r="A582" s="84"/>
      <c r="B582" s="84"/>
      <c r="C582" s="60"/>
      <c r="D582" s="66"/>
      <c r="E582" s="66"/>
      <c r="F582" s="66"/>
      <c r="G582" s="66"/>
      <c r="H582" s="66"/>
      <c r="I582" s="66"/>
      <c r="J582" s="66"/>
      <c r="K582" s="66"/>
      <c r="L582" s="66"/>
      <c r="M582" s="66"/>
      <c r="N582" s="66"/>
    </row>
    <row r="583" spans="1:14" x14ac:dyDescent="0.2">
      <c r="A583" s="84"/>
      <c r="B583" s="84"/>
      <c r="C583" s="60"/>
      <c r="D583" s="66"/>
      <c r="E583" s="66"/>
      <c r="F583" s="66"/>
      <c r="G583" s="66"/>
      <c r="H583" s="66"/>
      <c r="I583" s="66"/>
      <c r="J583" s="66"/>
      <c r="K583" s="66"/>
      <c r="L583" s="66"/>
      <c r="M583" s="66"/>
      <c r="N583" s="66"/>
    </row>
    <row r="584" spans="1:14" x14ac:dyDescent="0.2">
      <c r="A584" s="84"/>
      <c r="B584" s="84"/>
      <c r="C584" s="60"/>
      <c r="D584" s="66"/>
      <c r="E584" s="66"/>
      <c r="F584" s="66"/>
      <c r="G584" s="66"/>
      <c r="H584" s="66"/>
      <c r="I584" s="66"/>
      <c r="J584" s="66"/>
      <c r="K584" s="66"/>
      <c r="L584" s="66"/>
      <c r="M584" s="66"/>
      <c r="N584" s="66"/>
    </row>
    <row r="585" spans="1:14" x14ac:dyDescent="0.2">
      <c r="A585" s="84"/>
      <c r="B585" s="84"/>
      <c r="C585" s="60"/>
      <c r="D585" s="66"/>
      <c r="E585" s="66"/>
      <c r="F585" s="66"/>
      <c r="G585" s="66"/>
      <c r="H585" s="66"/>
      <c r="I585" s="66"/>
      <c r="J585" s="66"/>
      <c r="K585" s="66"/>
      <c r="L585" s="66"/>
      <c r="M585" s="66"/>
      <c r="N585" s="66"/>
    </row>
    <row r="586" spans="1:14" x14ac:dyDescent="0.2">
      <c r="A586" s="84"/>
      <c r="B586" s="84"/>
      <c r="C586" s="60"/>
      <c r="D586" s="66"/>
      <c r="E586" s="66"/>
      <c r="F586" s="66"/>
      <c r="G586" s="66"/>
      <c r="H586" s="66"/>
      <c r="I586" s="66"/>
      <c r="J586" s="66"/>
      <c r="K586" s="66"/>
      <c r="L586" s="66"/>
      <c r="M586" s="66"/>
      <c r="N586" s="66"/>
    </row>
    <row r="587" spans="1:14" x14ac:dyDescent="0.2">
      <c r="A587" s="84"/>
      <c r="B587" s="84"/>
      <c r="C587" s="60"/>
      <c r="D587" s="66"/>
      <c r="E587" s="66"/>
      <c r="F587" s="66"/>
      <c r="G587" s="66"/>
      <c r="H587" s="66"/>
      <c r="I587" s="66"/>
      <c r="J587" s="66"/>
      <c r="K587" s="66"/>
      <c r="L587" s="66"/>
      <c r="M587" s="66"/>
      <c r="N587" s="66"/>
    </row>
    <row r="588" spans="1:14" x14ac:dyDescent="0.2">
      <c r="A588" s="84"/>
      <c r="B588" s="84"/>
      <c r="C588" s="60"/>
      <c r="D588" s="66"/>
      <c r="E588" s="66"/>
      <c r="F588" s="66"/>
      <c r="G588" s="66"/>
      <c r="H588" s="66"/>
      <c r="I588" s="66"/>
      <c r="J588" s="66"/>
      <c r="K588" s="66"/>
      <c r="L588" s="66"/>
      <c r="M588" s="66"/>
      <c r="N588" s="66"/>
    </row>
    <row r="589" spans="1:14" x14ac:dyDescent="0.2">
      <c r="A589" s="84"/>
      <c r="B589" s="84"/>
      <c r="C589" s="60"/>
      <c r="D589" s="66"/>
      <c r="E589" s="66"/>
      <c r="F589" s="66"/>
      <c r="G589" s="66"/>
      <c r="H589" s="66"/>
      <c r="I589" s="66"/>
      <c r="J589" s="66"/>
      <c r="K589" s="66"/>
      <c r="L589" s="66"/>
      <c r="M589" s="66"/>
      <c r="N589" s="66"/>
    </row>
    <row r="590" spans="1:14" x14ac:dyDescent="0.2">
      <c r="A590" s="84"/>
      <c r="B590" s="84"/>
      <c r="C590" s="60"/>
      <c r="D590" s="66"/>
      <c r="E590" s="66"/>
      <c r="F590" s="66"/>
      <c r="G590" s="66"/>
      <c r="H590" s="66"/>
      <c r="I590" s="66"/>
      <c r="J590" s="66"/>
      <c r="K590" s="66"/>
      <c r="L590" s="66"/>
      <c r="M590" s="66"/>
      <c r="N590" s="66"/>
    </row>
    <row r="591" spans="1:14" x14ac:dyDescent="0.2">
      <c r="A591" s="84"/>
      <c r="B591" s="84"/>
      <c r="C591" s="60"/>
      <c r="D591" s="66"/>
      <c r="E591" s="66"/>
      <c r="F591" s="66"/>
      <c r="G591" s="66"/>
      <c r="H591" s="66"/>
      <c r="I591" s="66"/>
      <c r="J591" s="66"/>
      <c r="K591" s="66"/>
      <c r="L591" s="66"/>
      <c r="M591" s="66"/>
      <c r="N591" s="66"/>
    </row>
    <row r="592" spans="1:14" x14ac:dyDescent="0.2">
      <c r="A592" s="84"/>
      <c r="B592" s="84"/>
      <c r="C592" s="60"/>
      <c r="D592" s="66"/>
      <c r="E592" s="66"/>
      <c r="F592" s="66"/>
      <c r="G592" s="66"/>
      <c r="H592" s="66"/>
      <c r="I592" s="66"/>
      <c r="J592" s="66"/>
      <c r="K592" s="66"/>
      <c r="L592" s="66"/>
      <c r="M592" s="66"/>
      <c r="N592" s="66"/>
    </row>
    <row r="593" spans="1:14" x14ac:dyDescent="0.2">
      <c r="A593" s="84"/>
      <c r="B593" s="84"/>
      <c r="C593" s="60"/>
      <c r="D593" s="66"/>
      <c r="E593" s="66"/>
      <c r="F593" s="66"/>
      <c r="G593" s="66"/>
      <c r="H593" s="66"/>
      <c r="I593" s="66"/>
      <c r="J593" s="66"/>
      <c r="K593" s="66"/>
      <c r="L593" s="66"/>
      <c r="M593" s="66"/>
      <c r="N593" s="66"/>
    </row>
    <row r="594" spans="1:14" x14ac:dyDescent="0.2">
      <c r="A594" s="84"/>
      <c r="B594" s="84"/>
      <c r="C594" s="60"/>
      <c r="D594" s="66"/>
      <c r="E594" s="66"/>
      <c r="F594" s="66"/>
      <c r="G594" s="66"/>
      <c r="H594" s="66"/>
      <c r="I594" s="66"/>
      <c r="J594" s="66"/>
      <c r="K594" s="66"/>
      <c r="L594" s="66"/>
      <c r="M594" s="66"/>
      <c r="N594" s="66"/>
    </row>
    <row r="595" spans="1:14" x14ac:dyDescent="0.2">
      <c r="A595" s="84"/>
      <c r="B595" s="84"/>
      <c r="C595" s="60"/>
      <c r="D595" s="66"/>
      <c r="E595" s="66"/>
      <c r="F595" s="66"/>
      <c r="G595" s="66"/>
      <c r="H595" s="66"/>
      <c r="I595" s="66"/>
      <c r="J595" s="66"/>
      <c r="K595" s="66"/>
      <c r="L595" s="66"/>
      <c r="M595" s="66"/>
      <c r="N595" s="66"/>
    </row>
    <row r="596" spans="1:14" x14ac:dyDescent="0.2">
      <c r="A596" s="84"/>
      <c r="B596" s="84"/>
      <c r="C596" s="60"/>
      <c r="D596" s="66"/>
      <c r="E596" s="66"/>
      <c r="F596" s="66"/>
      <c r="G596" s="66"/>
      <c r="H596" s="66"/>
      <c r="I596" s="66"/>
      <c r="J596" s="66"/>
      <c r="K596" s="66"/>
      <c r="L596" s="66"/>
      <c r="M596" s="66"/>
      <c r="N596" s="66"/>
    </row>
    <row r="597" spans="1:14" x14ac:dyDescent="0.2">
      <c r="A597" s="84"/>
      <c r="B597" s="84"/>
      <c r="C597" s="60"/>
      <c r="D597" s="66"/>
      <c r="E597" s="66"/>
      <c r="F597" s="66"/>
      <c r="G597" s="66"/>
      <c r="H597" s="66"/>
      <c r="I597" s="66"/>
      <c r="J597" s="66"/>
      <c r="K597" s="66"/>
      <c r="L597" s="66"/>
      <c r="M597" s="66"/>
      <c r="N597" s="66"/>
    </row>
    <row r="598" spans="1:14" x14ac:dyDescent="0.2">
      <c r="A598" s="84"/>
      <c r="B598" s="84"/>
      <c r="C598" s="60"/>
      <c r="D598" s="66"/>
      <c r="E598" s="66"/>
      <c r="F598" s="66"/>
      <c r="G598" s="66"/>
      <c r="H598" s="66"/>
      <c r="I598" s="66"/>
      <c r="J598" s="66"/>
      <c r="K598" s="66"/>
      <c r="L598" s="66"/>
      <c r="M598" s="66"/>
      <c r="N598" s="66"/>
    </row>
    <row r="599" spans="1:14" x14ac:dyDescent="0.2">
      <c r="A599" s="84"/>
      <c r="B599" s="84"/>
      <c r="C599" s="60"/>
      <c r="D599" s="66"/>
      <c r="E599" s="66"/>
      <c r="F599" s="66"/>
      <c r="G599" s="66"/>
      <c r="H599" s="66"/>
      <c r="I599" s="66"/>
      <c r="J599" s="66"/>
      <c r="K599" s="66"/>
      <c r="L599" s="66"/>
      <c r="M599" s="66"/>
      <c r="N599" s="66"/>
    </row>
    <row r="600" spans="1:14" x14ac:dyDescent="0.2">
      <c r="A600" s="84"/>
      <c r="B600" s="84"/>
      <c r="C600" s="60"/>
      <c r="D600" s="66"/>
      <c r="E600" s="66"/>
      <c r="F600" s="66"/>
      <c r="G600" s="66"/>
      <c r="H600" s="66"/>
      <c r="I600" s="66"/>
      <c r="J600" s="66"/>
      <c r="K600" s="66"/>
      <c r="L600" s="66"/>
      <c r="M600" s="66"/>
      <c r="N600" s="66"/>
    </row>
    <row r="601" spans="1:14" x14ac:dyDescent="0.2">
      <c r="A601" s="84"/>
      <c r="B601" s="84"/>
      <c r="C601" s="60"/>
      <c r="D601" s="66"/>
      <c r="E601" s="66"/>
      <c r="F601" s="66"/>
      <c r="G601" s="66"/>
      <c r="H601" s="66"/>
      <c r="I601" s="66"/>
      <c r="J601" s="66"/>
      <c r="K601" s="66"/>
      <c r="L601" s="66"/>
      <c r="M601" s="66"/>
      <c r="N601" s="66"/>
    </row>
    <row r="602" spans="1:14" x14ac:dyDescent="0.2">
      <c r="A602" s="84"/>
      <c r="B602" s="84"/>
      <c r="C602" s="60"/>
      <c r="D602" s="66"/>
      <c r="E602" s="66"/>
      <c r="F602" s="66"/>
      <c r="G602" s="66"/>
      <c r="H602" s="66"/>
      <c r="I602" s="66"/>
      <c r="J602" s="66"/>
      <c r="K602" s="66"/>
      <c r="L602" s="66"/>
      <c r="M602" s="66"/>
      <c r="N602" s="66"/>
    </row>
    <row r="603" spans="1:14" x14ac:dyDescent="0.2">
      <c r="A603" s="84"/>
      <c r="B603" s="84"/>
      <c r="C603" s="60"/>
      <c r="D603" s="66"/>
      <c r="E603" s="66"/>
      <c r="F603" s="66"/>
      <c r="G603" s="66"/>
      <c r="H603" s="66"/>
      <c r="I603" s="66"/>
      <c r="J603" s="66"/>
      <c r="K603" s="66"/>
      <c r="L603" s="66"/>
      <c r="M603" s="66"/>
      <c r="N603" s="66"/>
    </row>
    <row r="604" spans="1:14" x14ac:dyDescent="0.2">
      <c r="A604" s="84"/>
      <c r="B604" s="84"/>
      <c r="C604" s="60"/>
      <c r="D604" s="66"/>
      <c r="E604" s="66"/>
      <c r="F604" s="66"/>
      <c r="G604" s="66"/>
      <c r="H604" s="66"/>
      <c r="I604" s="66"/>
      <c r="J604" s="66"/>
      <c r="K604" s="66"/>
      <c r="L604" s="66"/>
      <c r="M604" s="66"/>
      <c r="N604" s="66"/>
    </row>
    <row r="605" spans="1:14" x14ac:dyDescent="0.2">
      <c r="A605" s="84"/>
      <c r="B605" s="84"/>
      <c r="C605" s="60"/>
      <c r="D605" s="66"/>
      <c r="E605" s="66"/>
      <c r="F605" s="66"/>
      <c r="G605" s="66"/>
      <c r="H605" s="66"/>
      <c r="I605" s="66"/>
      <c r="J605" s="66"/>
      <c r="K605" s="66"/>
      <c r="L605" s="66"/>
      <c r="M605" s="66"/>
      <c r="N605" s="66"/>
    </row>
    <row r="606" spans="1:14" x14ac:dyDescent="0.2">
      <c r="A606" s="84"/>
      <c r="B606" s="84"/>
      <c r="C606" s="60"/>
      <c r="D606" s="66"/>
      <c r="E606" s="66"/>
      <c r="F606" s="66"/>
      <c r="G606" s="66"/>
      <c r="H606" s="66"/>
      <c r="I606" s="66"/>
      <c r="J606" s="66"/>
      <c r="K606" s="66"/>
      <c r="L606" s="66"/>
      <c r="M606" s="66"/>
      <c r="N606" s="66"/>
    </row>
    <row r="607" spans="1:14" x14ac:dyDescent="0.2">
      <c r="A607" s="84"/>
      <c r="B607" s="84"/>
      <c r="C607" s="60"/>
      <c r="D607" s="66"/>
      <c r="E607" s="66"/>
      <c r="F607" s="66"/>
      <c r="G607" s="66"/>
      <c r="H607" s="66"/>
      <c r="I607" s="66"/>
      <c r="J607" s="66"/>
      <c r="K607" s="66"/>
      <c r="L607" s="66"/>
      <c r="M607" s="66"/>
      <c r="N607" s="66"/>
    </row>
    <row r="608" spans="1:14" x14ac:dyDescent="0.2">
      <c r="A608" s="84"/>
      <c r="B608" s="84"/>
      <c r="C608" s="60"/>
      <c r="D608" s="66"/>
      <c r="E608" s="66"/>
      <c r="F608" s="66"/>
      <c r="G608" s="66"/>
      <c r="H608" s="66"/>
      <c r="I608" s="66"/>
      <c r="J608" s="66"/>
      <c r="K608" s="66"/>
      <c r="L608" s="66"/>
      <c r="M608" s="66"/>
      <c r="N608" s="66"/>
    </row>
    <row r="609" spans="1:14" x14ac:dyDescent="0.2">
      <c r="A609" s="84"/>
      <c r="B609" s="84"/>
      <c r="C609" s="60"/>
      <c r="D609" s="66"/>
      <c r="E609" s="66"/>
      <c r="F609" s="66"/>
      <c r="G609" s="66"/>
      <c r="H609" s="66"/>
      <c r="I609" s="66"/>
      <c r="J609" s="66"/>
      <c r="K609" s="66"/>
      <c r="L609" s="66"/>
      <c r="M609" s="66"/>
      <c r="N609" s="66"/>
    </row>
    <row r="610" spans="1:14" x14ac:dyDescent="0.2">
      <c r="A610" s="84"/>
      <c r="B610" s="84"/>
      <c r="C610" s="60"/>
      <c r="D610" s="66"/>
      <c r="E610" s="66"/>
      <c r="F610" s="66"/>
      <c r="G610" s="66"/>
      <c r="H610" s="66"/>
      <c r="I610" s="66"/>
      <c r="J610" s="66"/>
      <c r="K610" s="66"/>
      <c r="L610" s="66"/>
      <c r="M610" s="66"/>
      <c r="N610" s="66"/>
    </row>
    <row r="611" spans="1:14" x14ac:dyDescent="0.2">
      <c r="A611" s="84"/>
      <c r="B611" s="84"/>
      <c r="C611" s="60"/>
      <c r="D611" s="66"/>
      <c r="E611" s="66"/>
      <c r="F611" s="66"/>
      <c r="G611" s="66"/>
      <c r="H611" s="66"/>
      <c r="I611" s="66"/>
      <c r="J611" s="66"/>
      <c r="K611" s="66"/>
      <c r="L611" s="66"/>
      <c r="M611" s="66"/>
      <c r="N611" s="66"/>
    </row>
    <row r="612" spans="1:14" x14ac:dyDescent="0.2">
      <c r="A612" s="84"/>
      <c r="B612" s="84"/>
      <c r="C612" s="60"/>
      <c r="D612" s="66"/>
      <c r="E612" s="66"/>
      <c r="F612" s="66"/>
      <c r="G612" s="66"/>
      <c r="H612" s="66"/>
      <c r="I612" s="66"/>
      <c r="J612" s="66"/>
      <c r="K612" s="66"/>
      <c r="L612" s="66"/>
      <c r="M612" s="66"/>
      <c r="N612" s="66"/>
    </row>
    <row r="613" spans="1:14" x14ac:dyDescent="0.2">
      <c r="A613" s="84"/>
      <c r="B613" s="84"/>
      <c r="C613" s="60"/>
      <c r="D613" s="66"/>
      <c r="E613" s="66"/>
      <c r="F613" s="66"/>
      <c r="G613" s="66"/>
      <c r="H613" s="66"/>
      <c r="I613" s="66"/>
      <c r="J613" s="66"/>
      <c r="K613" s="66"/>
      <c r="L613" s="66"/>
      <c r="M613" s="66"/>
      <c r="N613" s="66"/>
    </row>
    <row r="614" spans="1:14" x14ac:dyDescent="0.2">
      <c r="A614" s="84"/>
      <c r="B614" s="84"/>
      <c r="C614" s="60"/>
      <c r="D614" s="66"/>
      <c r="E614" s="66"/>
      <c r="F614" s="66"/>
      <c r="G614" s="66"/>
      <c r="H614" s="66"/>
      <c r="I614" s="66"/>
      <c r="J614" s="66"/>
      <c r="K614" s="66"/>
      <c r="L614" s="66"/>
      <c r="M614" s="66"/>
      <c r="N614" s="66"/>
    </row>
    <row r="615" spans="1:14" x14ac:dyDescent="0.2">
      <c r="A615" s="84"/>
      <c r="B615" s="84"/>
      <c r="C615" s="60"/>
      <c r="D615" s="66"/>
      <c r="E615" s="66"/>
      <c r="F615" s="66"/>
      <c r="G615" s="66"/>
      <c r="H615" s="66"/>
      <c r="I615" s="66"/>
      <c r="J615" s="66"/>
      <c r="K615" s="66"/>
      <c r="L615" s="66"/>
      <c r="M615" s="66"/>
      <c r="N615" s="66"/>
    </row>
    <row r="616" spans="1:14" x14ac:dyDescent="0.2">
      <c r="A616" s="84"/>
      <c r="B616" s="84"/>
      <c r="C616" s="60"/>
      <c r="D616" s="66"/>
      <c r="E616" s="66"/>
      <c r="F616" s="66"/>
      <c r="G616" s="66"/>
      <c r="H616" s="66"/>
      <c r="I616" s="66"/>
      <c r="J616" s="66"/>
      <c r="K616" s="66"/>
      <c r="L616" s="66"/>
      <c r="M616" s="66"/>
      <c r="N616" s="66"/>
    </row>
    <row r="617" spans="1:14" x14ac:dyDescent="0.2">
      <c r="A617" s="84"/>
      <c r="B617" s="84"/>
      <c r="C617" s="60"/>
      <c r="D617" s="66"/>
      <c r="E617" s="66"/>
      <c r="F617" s="66"/>
      <c r="G617" s="66"/>
      <c r="H617" s="66"/>
      <c r="I617" s="66"/>
      <c r="J617" s="66"/>
      <c r="K617" s="66"/>
      <c r="L617" s="66"/>
      <c r="M617" s="66"/>
      <c r="N617" s="66"/>
    </row>
    <row r="618" spans="1:14" x14ac:dyDescent="0.2">
      <c r="A618" s="84"/>
      <c r="B618" s="84"/>
      <c r="C618" s="60"/>
      <c r="D618" s="66"/>
      <c r="E618" s="66"/>
      <c r="F618" s="66"/>
      <c r="G618" s="66"/>
      <c r="H618" s="66"/>
      <c r="I618" s="66"/>
      <c r="J618" s="66"/>
      <c r="K618" s="66"/>
      <c r="L618" s="66"/>
      <c r="M618" s="66"/>
      <c r="N618" s="66"/>
    </row>
    <row r="619" spans="1:14" x14ac:dyDescent="0.2">
      <c r="A619" s="84"/>
      <c r="B619" s="84"/>
      <c r="C619" s="60"/>
      <c r="D619" s="66"/>
      <c r="E619" s="66"/>
      <c r="F619" s="66"/>
      <c r="G619" s="66"/>
      <c r="H619" s="66"/>
      <c r="I619" s="66"/>
      <c r="J619" s="66"/>
      <c r="K619" s="66"/>
      <c r="L619" s="66"/>
      <c r="M619" s="66"/>
      <c r="N619" s="66"/>
    </row>
    <row r="620" spans="1:14" x14ac:dyDescent="0.2">
      <c r="A620" s="84"/>
      <c r="B620" s="84"/>
      <c r="C620" s="60"/>
      <c r="D620" s="66"/>
      <c r="E620" s="66"/>
      <c r="F620" s="66"/>
      <c r="G620" s="66"/>
      <c r="H620" s="66"/>
      <c r="I620" s="66"/>
      <c r="J620" s="66"/>
      <c r="K620" s="66"/>
      <c r="L620" s="66"/>
      <c r="M620" s="66"/>
      <c r="N620" s="66"/>
    </row>
    <row r="621" spans="1:14" x14ac:dyDescent="0.2">
      <c r="A621" s="84"/>
      <c r="B621" s="84"/>
      <c r="C621" s="60"/>
      <c r="D621" s="66"/>
      <c r="E621" s="66"/>
      <c r="F621" s="66"/>
      <c r="G621" s="66"/>
      <c r="H621" s="66"/>
      <c r="I621" s="66"/>
      <c r="J621" s="66"/>
      <c r="K621" s="66"/>
      <c r="L621" s="66"/>
      <c r="M621" s="66"/>
      <c r="N621" s="66"/>
    </row>
    <row r="622" spans="1:14" x14ac:dyDescent="0.2">
      <c r="A622" s="84"/>
      <c r="B622" s="84"/>
      <c r="C622" s="60"/>
      <c r="D622" s="66"/>
      <c r="E622" s="66"/>
      <c r="F622" s="66"/>
      <c r="G622" s="66"/>
      <c r="H622" s="66"/>
      <c r="I622" s="66"/>
      <c r="J622" s="66"/>
      <c r="K622" s="66"/>
      <c r="L622" s="66"/>
      <c r="M622" s="66"/>
      <c r="N622" s="66"/>
    </row>
    <row r="623" spans="1:14" x14ac:dyDescent="0.2">
      <c r="A623" s="84"/>
      <c r="B623" s="84"/>
      <c r="C623" s="60"/>
      <c r="D623" s="66"/>
      <c r="E623" s="66"/>
      <c r="F623" s="66"/>
      <c r="G623" s="66"/>
      <c r="H623" s="66"/>
      <c r="I623" s="66"/>
      <c r="J623" s="66"/>
      <c r="K623" s="66"/>
      <c r="L623" s="66"/>
      <c r="M623" s="66"/>
      <c r="N623" s="66"/>
    </row>
    <row r="624" spans="1:14" x14ac:dyDescent="0.2">
      <c r="A624" s="84"/>
      <c r="B624" s="84"/>
      <c r="C624" s="60"/>
      <c r="D624" s="66"/>
      <c r="E624" s="66"/>
      <c r="F624" s="66"/>
      <c r="G624" s="66"/>
      <c r="H624" s="66"/>
      <c r="I624" s="66"/>
      <c r="J624" s="66"/>
      <c r="K624" s="66"/>
      <c r="L624" s="66"/>
      <c r="M624" s="66"/>
      <c r="N624" s="66"/>
    </row>
    <row r="625" spans="1:14" x14ac:dyDescent="0.2">
      <c r="A625" s="84"/>
      <c r="B625" s="84"/>
      <c r="C625" s="60"/>
      <c r="D625" s="66"/>
      <c r="E625" s="66"/>
      <c r="F625" s="66"/>
      <c r="G625" s="66"/>
      <c r="H625" s="66"/>
      <c r="I625" s="66"/>
      <c r="J625" s="66"/>
      <c r="K625" s="66"/>
      <c r="L625" s="66"/>
      <c r="M625" s="66"/>
      <c r="N625" s="66"/>
    </row>
    <row r="626" spans="1:14" x14ac:dyDescent="0.2">
      <c r="A626" s="84"/>
      <c r="B626" s="84"/>
      <c r="C626" s="60"/>
      <c r="D626" s="66"/>
      <c r="E626" s="66"/>
      <c r="F626" s="66"/>
      <c r="G626" s="66"/>
      <c r="H626" s="66"/>
      <c r="I626" s="66"/>
      <c r="J626" s="66"/>
      <c r="K626" s="66"/>
      <c r="L626" s="66"/>
      <c r="M626" s="66"/>
      <c r="N626" s="66"/>
    </row>
    <row r="627" spans="1:14" x14ac:dyDescent="0.2">
      <c r="A627" s="84"/>
      <c r="B627" s="84"/>
      <c r="C627" s="60"/>
      <c r="D627" s="66"/>
      <c r="E627" s="66"/>
      <c r="F627" s="66"/>
      <c r="G627" s="66"/>
      <c r="H627" s="66"/>
      <c r="I627" s="66"/>
      <c r="J627" s="66"/>
      <c r="K627" s="66"/>
      <c r="L627" s="66"/>
      <c r="M627" s="66"/>
      <c r="N627" s="66"/>
    </row>
    <row r="628" spans="1:14" x14ac:dyDescent="0.2">
      <c r="A628" s="84"/>
      <c r="B628" s="84"/>
      <c r="C628" s="60"/>
      <c r="D628" s="66"/>
      <c r="E628" s="66"/>
      <c r="F628" s="66"/>
      <c r="G628" s="66"/>
      <c r="H628" s="66"/>
      <c r="I628" s="66"/>
      <c r="J628" s="66"/>
      <c r="K628" s="66"/>
      <c r="L628" s="66"/>
      <c r="M628" s="66"/>
      <c r="N628" s="66"/>
    </row>
    <row r="629" spans="1:14" x14ac:dyDescent="0.2">
      <c r="A629" s="84"/>
      <c r="B629" s="84"/>
      <c r="C629" s="60"/>
      <c r="D629" s="66"/>
      <c r="E629" s="66"/>
      <c r="F629" s="66"/>
      <c r="G629" s="66"/>
      <c r="H629" s="66"/>
      <c r="I629" s="66"/>
      <c r="J629" s="66"/>
      <c r="K629" s="66"/>
      <c r="L629" s="66"/>
      <c r="M629" s="66"/>
      <c r="N629" s="66"/>
    </row>
    <row r="630" spans="1:14" x14ac:dyDescent="0.2">
      <c r="A630" s="84"/>
      <c r="B630" s="84"/>
      <c r="C630" s="60"/>
      <c r="D630" s="66"/>
      <c r="E630" s="66"/>
      <c r="F630" s="66"/>
      <c r="G630" s="66"/>
      <c r="H630" s="66"/>
      <c r="I630" s="66"/>
      <c r="J630" s="66"/>
      <c r="K630" s="66"/>
      <c r="L630" s="66"/>
      <c r="M630" s="66"/>
      <c r="N630" s="66"/>
    </row>
    <row r="631" spans="1:14" x14ac:dyDescent="0.2">
      <c r="A631" s="84"/>
      <c r="B631" s="84"/>
      <c r="C631" s="60"/>
      <c r="D631" s="66"/>
      <c r="E631" s="66"/>
      <c r="F631" s="66"/>
      <c r="G631" s="66"/>
      <c r="H631" s="66"/>
      <c r="I631" s="66"/>
      <c r="J631" s="66"/>
      <c r="K631" s="66"/>
      <c r="L631" s="66"/>
      <c r="M631" s="66"/>
      <c r="N631" s="66"/>
    </row>
    <row r="632" spans="1:14" x14ac:dyDescent="0.2">
      <c r="A632" s="84"/>
      <c r="B632" s="84"/>
      <c r="C632" s="60"/>
      <c r="D632" s="66"/>
      <c r="E632" s="66"/>
      <c r="F632" s="66"/>
      <c r="G632" s="66"/>
      <c r="H632" s="66"/>
      <c r="I632" s="66"/>
      <c r="J632" s="66"/>
      <c r="K632" s="66"/>
      <c r="L632" s="66"/>
      <c r="M632" s="66"/>
      <c r="N632" s="66"/>
    </row>
    <row r="633" spans="1:14" x14ac:dyDescent="0.2">
      <c r="A633" s="84"/>
      <c r="B633" s="84"/>
      <c r="C633" s="60"/>
      <c r="D633" s="66"/>
      <c r="E633" s="66"/>
      <c r="F633" s="66"/>
      <c r="G633" s="66"/>
      <c r="H633" s="66"/>
      <c r="I633" s="66"/>
      <c r="J633" s="66"/>
      <c r="K633" s="66"/>
      <c r="L633" s="66"/>
      <c r="M633" s="66"/>
      <c r="N633" s="66"/>
    </row>
    <row r="634" spans="1:14" x14ac:dyDescent="0.2">
      <c r="A634" s="84"/>
      <c r="B634" s="84"/>
      <c r="C634" s="60"/>
      <c r="D634" s="66"/>
      <c r="E634" s="66"/>
      <c r="F634" s="66"/>
      <c r="G634" s="66"/>
      <c r="H634" s="66"/>
      <c r="I634" s="66"/>
      <c r="J634" s="66"/>
      <c r="K634" s="66"/>
      <c r="L634" s="66"/>
      <c r="M634" s="66"/>
      <c r="N634" s="66"/>
    </row>
    <row r="635" spans="1:14" x14ac:dyDescent="0.2">
      <c r="A635" s="84"/>
      <c r="B635" s="84"/>
      <c r="C635" s="60"/>
      <c r="D635" s="66"/>
      <c r="E635" s="66"/>
      <c r="F635" s="66"/>
      <c r="G635" s="66"/>
      <c r="H635" s="66"/>
      <c r="I635" s="66"/>
      <c r="J635" s="66"/>
      <c r="K635" s="66"/>
      <c r="L635" s="66"/>
      <c r="M635" s="66"/>
      <c r="N635" s="66"/>
    </row>
    <row r="636" spans="1:14" x14ac:dyDescent="0.2">
      <c r="A636" s="84"/>
      <c r="B636" s="84"/>
      <c r="C636" s="60"/>
      <c r="D636" s="66"/>
      <c r="E636" s="66"/>
      <c r="F636" s="66"/>
      <c r="G636" s="66"/>
      <c r="H636" s="66"/>
      <c r="I636" s="66"/>
      <c r="J636" s="66"/>
      <c r="K636" s="66"/>
      <c r="L636" s="66"/>
      <c r="M636" s="66"/>
      <c r="N636" s="66"/>
    </row>
    <row r="637" spans="1:14" x14ac:dyDescent="0.2">
      <c r="A637" s="84"/>
      <c r="B637" s="84"/>
      <c r="C637" s="60"/>
      <c r="D637" s="66"/>
      <c r="E637" s="66"/>
      <c r="F637" s="66"/>
      <c r="G637" s="66"/>
      <c r="H637" s="66"/>
      <c r="I637" s="66"/>
      <c r="J637" s="66"/>
      <c r="K637" s="66"/>
      <c r="L637" s="66"/>
      <c r="M637" s="66"/>
      <c r="N637" s="66"/>
    </row>
    <row r="638" spans="1:14" x14ac:dyDescent="0.2">
      <c r="A638" s="84"/>
      <c r="B638" s="84"/>
      <c r="C638" s="60"/>
      <c r="D638" s="66"/>
      <c r="E638" s="66"/>
      <c r="F638" s="66"/>
      <c r="G638" s="66"/>
      <c r="H638" s="66"/>
      <c r="I638" s="66"/>
      <c r="J638" s="66"/>
      <c r="K638" s="66"/>
      <c r="L638" s="66"/>
      <c r="M638" s="66"/>
      <c r="N638" s="66"/>
    </row>
    <row r="639" spans="1:14" x14ac:dyDescent="0.2">
      <c r="A639" s="84"/>
      <c r="B639" s="84"/>
      <c r="C639" s="60"/>
      <c r="D639" s="66"/>
      <c r="E639" s="66"/>
      <c r="F639" s="66"/>
      <c r="G639" s="66"/>
      <c r="H639" s="66"/>
      <c r="I639" s="66"/>
      <c r="J639" s="66"/>
      <c r="K639" s="66"/>
      <c r="L639" s="66"/>
      <c r="M639" s="66"/>
      <c r="N639" s="66"/>
    </row>
    <row r="640" spans="1:14" x14ac:dyDescent="0.2">
      <c r="A640" s="84"/>
      <c r="B640" s="84"/>
      <c r="C640" s="60"/>
      <c r="D640" s="66"/>
      <c r="E640" s="66"/>
      <c r="F640" s="66"/>
      <c r="G640" s="66"/>
      <c r="H640" s="66"/>
      <c r="I640" s="66"/>
      <c r="J640" s="66"/>
      <c r="K640" s="66"/>
      <c r="L640" s="66"/>
      <c r="M640" s="66"/>
      <c r="N640" s="66"/>
    </row>
    <row r="641" spans="1:14" x14ac:dyDescent="0.2">
      <c r="A641" s="84"/>
      <c r="B641" s="84"/>
      <c r="C641" s="60"/>
      <c r="D641" s="66"/>
      <c r="E641" s="66"/>
      <c r="F641" s="66"/>
      <c r="G641" s="66"/>
      <c r="H641" s="66"/>
      <c r="I641" s="66"/>
      <c r="J641" s="66"/>
      <c r="K641" s="66"/>
      <c r="L641" s="66"/>
      <c r="M641" s="66"/>
      <c r="N641" s="66"/>
    </row>
    <row r="642" spans="1:14" x14ac:dyDescent="0.2">
      <c r="A642" s="84"/>
      <c r="B642" s="84"/>
      <c r="C642" s="60"/>
      <c r="D642" s="66"/>
      <c r="E642" s="66"/>
      <c r="F642" s="66"/>
      <c r="G642" s="66"/>
      <c r="H642" s="66"/>
      <c r="I642" s="66"/>
      <c r="J642" s="66"/>
      <c r="K642" s="66"/>
      <c r="L642" s="66"/>
      <c r="M642" s="66"/>
      <c r="N642" s="66"/>
    </row>
    <row r="643" spans="1:14" x14ac:dyDescent="0.2">
      <c r="A643" s="84"/>
      <c r="B643" s="84"/>
      <c r="C643" s="60"/>
      <c r="D643" s="66"/>
      <c r="E643" s="66"/>
      <c r="F643" s="66"/>
      <c r="G643" s="66"/>
      <c r="H643" s="66"/>
      <c r="I643" s="66"/>
      <c r="J643" s="66"/>
      <c r="K643" s="66"/>
      <c r="L643" s="66"/>
      <c r="M643" s="66"/>
      <c r="N643" s="66"/>
    </row>
    <row r="644" spans="1:14" x14ac:dyDescent="0.2">
      <c r="A644" s="84"/>
      <c r="B644" s="84"/>
      <c r="C644" s="60"/>
      <c r="D644" s="66"/>
      <c r="E644" s="66"/>
      <c r="F644" s="66"/>
      <c r="G644" s="66"/>
      <c r="H644" s="66"/>
      <c r="I644" s="66"/>
      <c r="J644" s="66"/>
      <c r="K644" s="66"/>
      <c r="L644" s="66"/>
      <c r="M644" s="66"/>
      <c r="N644" s="66"/>
    </row>
    <row r="645" spans="1:14" x14ac:dyDescent="0.2">
      <c r="A645" s="84"/>
      <c r="B645" s="84"/>
      <c r="C645" s="60"/>
      <c r="D645" s="66"/>
      <c r="E645" s="66"/>
      <c r="F645" s="66"/>
      <c r="G645" s="66"/>
      <c r="H645" s="66"/>
      <c r="I645" s="66"/>
      <c r="J645" s="66"/>
      <c r="K645" s="66"/>
      <c r="L645" s="66"/>
      <c r="M645" s="66"/>
      <c r="N645" s="66"/>
    </row>
    <row r="646" spans="1:14" x14ac:dyDescent="0.2">
      <c r="A646" s="84"/>
      <c r="B646" s="84"/>
      <c r="C646" s="60"/>
      <c r="D646" s="66"/>
      <c r="E646" s="66"/>
      <c r="F646" s="66"/>
      <c r="G646" s="66"/>
      <c r="H646" s="66"/>
      <c r="I646" s="66"/>
      <c r="J646" s="66"/>
      <c r="K646" s="66"/>
      <c r="L646" s="66"/>
      <c r="M646" s="66"/>
      <c r="N646" s="66"/>
    </row>
    <row r="647" spans="1:14" x14ac:dyDescent="0.2">
      <c r="A647" s="84"/>
      <c r="B647" s="84"/>
      <c r="C647" s="60"/>
      <c r="D647" s="66"/>
      <c r="E647" s="66"/>
      <c r="F647" s="66"/>
      <c r="G647" s="66"/>
      <c r="H647" s="66"/>
      <c r="I647" s="66"/>
      <c r="J647" s="66"/>
      <c r="K647" s="66"/>
      <c r="L647" s="66"/>
      <c r="M647" s="66"/>
      <c r="N647" s="66"/>
    </row>
    <row r="648" spans="1:14" x14ac:dyDescent="0.2">
      <c r="A648" s="84"/>
      <c r="B648" s="84"/>
      <c r="C648" s="60"/>
      <c r="D648" s="66"/>
      <c r="E648" s="66"/>
      <c r="F648" s="66"/>
      <c r="G648" s="66"/>
      <c r="H648" s="66"/>
      <c r="I648" s="66"/>
      <c r="J648" s="66"/>
      <c r="K648" s="66"/>
      <c r="L648" s="66"/>
      <c r="M648" s="66"/>
      <c r="N648" s="66"/>
    </row>
    <row r="649" spans="1:14" x14ac:dyDescent="0.2">
      <c r="A649" s="84"/>
      <c r="B649" s="84"/>
      <c r="C649" s="60"/>
      <c r="D649" s="66"/>
      <c r="E649" s="66"/>
      <c r="F649" s="66"/>
      <c r="G649" s="66"/>
      <c r="H649" s="66"/>
      <c r="I649" s="66"/>
      <c r="J649" s="66"/>
      <c r="K649" s="66"/>
      <c r="L649" s="66"/>
      <c r="M649" s="66"/>
      <c r="N649" s="66"/>
    </row>
    <row r="650" spans="1:14" x14ac:dyDescent="0.2">
      <c r="A650" s="84"/>
      <c r="B650" s="84"/>
      <c r="C650" s="60"/>
      <c r="D650" s="66"/>
      <c r="E650" s="66"/>
      <c r="F650" s="66"/>
      <c r="G650" s="66"/>
      <c r="H650" s="66"/>
      <c r="I650" s="66"/>
      <c r="J650" s="66"/>
      <c r="K650" s="66"/>
      <c r="L650" s="66"/>
      <c r="M650" s="66"/>
      <c r="N650" s="66"/>
    </row>
    <row r="651" spans="1:14" x14ac:dyDescent="0.2">
      <c r="A651" s="84"/>
      <c r="B651" s="84"/>
      <c r="C651" s="60"/>
      <c r="D651" s="66"/>
      <c r="E651" s="66"/>
      <c r="F651" s="66"/>
      <c r="G651" s="66"/>
      <c r="H651" s="66"/>
      <c r="I651" s="66"/>
      <c r="J651" s="66"/>
      <c r="K651" s="66"/>
      <c r="L651" s="66"/>
      <c r="M651" s="66"/>
      <c r="N651" s="66"/>
    </row>
    <row r="652" spans="1:14" x14ac:dyDescent="0.2">
      <c r="A652" s="84"/>
      <c r="B652" s="84"/>
      <c r="C652" s="60"/>
      <c r="D652" s="66"/>
      <c r="E652" s="66"/>
      <c r="F652" s="66"/>
      <c r="G652" s="66"/>
      <c r="H652" s="66"/>
      <c r="I652" s="66"/>
      <c r="J652" s="66"/>
      <c r="K652" s="66"/>
      <c r="L652" s="66"/>
      <c r="M652" s="66"/>
      <c r="N652" s="66"/>
    </row>
    <row r="653" spans="1:14" x14ac:dyDescent="0.2">
      <c r="A653" s="84"/>
      <c r="B653" s="84"/>
      <c r="C653" s="60"/>
      <c r="D653" s="66"/>
      <c r="E653" s="66"/>
      <c r="F653" s="66"/>
      <c r="G653" s="66"/>
      <c r="H653" s="66"/>
      <c r="I653" s="66"/>
      <c r="J653" s="66"/>
      <c r="K653" s="66"/>
      <c r="L653" s="66"/>
      <c r="M653" s="66"/>
      <c r="N653" s="66"/>
    </row>
    <row r="654" spans="1:14" x14ac:dyDescent="0.2">
      <c r="A654" s="84"/>
      <c r="B654" s="84"/>
      <c r="C654" s="60"/>
      <c r="D654" s="66"/>
      <c r="E654" s="66"/>
      <c r="F654" s="66"/>
      <c r="G654" s="66"/>
      <c r="H654" s="66"/>
      <c r="I654" s="66"/>
      <c r="J654" s="66"/>
      <c r="K654" s="66"/>
      <c r="L654" s="66"/>
      <c r="M654" s="66"/>
      <c r="N654" s="66"/>
    </row>
    <row r="655" spans="1:14" x14ac:dyDescent="0.2">
      <c r="A655" s="84"/>
      <c r="B655" s="84"/>
      <c r="C655" s="60"/>
      <c r="D655" s="66"/>
      <c r="E655" s="66"/>
      <c r="F655" s="66"/>
      <c r="G655" s="66"/>
      <c r="H655" s="66"/>
      <c r="I655" s="66"/>
      <c r="J655" s="66"/>
      <c r="K655" s="66"/>
      <c r="L655" s="66"/>
      <c r="M655" s="66"/>
      <c r="N655" s="66"/>
    </row>
    <row r="656" spans="1:14" x14ac:dyDescent="0.2">
      <c r="A656" s="84"/>
      <c r="B656" s="84"/>
      <c r="C656" s="60"/>
      <c r="D656" s="66"/>
      <c r="E656" s="66"/>
      <c r="F656" s="66"/>
      <c r="G656" s="66"/>
      <c r="H656" s="66"/>
      <c r="I656" s="66"/>
      <c r="J656" s="66"/>
      <c r="K656" s="66"/>
      <c r="L656" s="66"/>
      <c r="M656" s="66"/>
      <c r="N656" s="66"/>
    </row>
    <row r="657" spans="1:14" x14ac:dyDescent="0.2">
      <c r="A657" s="84"/>
      <c r="B657" s="84"/>
      <c r="C657" s="60"/>
      <c r="D657" s="66"/>
      <c r="E657" s="66"/>
      <c r="F657" s="66"/>
      <c r="G657" s="66"/>
      <c r="H657" s="66"/>
      <c r="I657" s="66"/>
      <c r="J657" s="66"/>
      <c r="K657" s="66"/>
      <c r="L657" s="66"/>
      <c r="M657" s="66"/>
      <c r="N657" s="66"/>
    </row>
    <row r="658" spans="1:14" x14ac:dyDescent="0.2">
      <c r="A658" s="84"/>
      <c r="B658" s="84"/>
      <c r="C658" s="60"/>
      <c r="D658" s="66"/>
      <c r="E658" s="66"/>
      <c r="F658" s="66"/>
      <c r="G658" s="66"/>
      <c r="H658" s="66"/>
      <c r="I658" s="66"/>
      <c r="J658" s="66"/>
      <c r="K658" s="66"/>
      <c r="L658" s="66"/>
      <c r="M658" s="66"/>
      <c r="N658" s="66"/>
    </row>
    <row r="659" spans="1:14" x14ac:dyDescent="0.2">
      <c r="A659" s="84"/>
      <c r="B659" s="84"/>
      <c r="C659" s="60"/>
      <c r="D659" s="66"/>
      <c r="E659" s="66"/>
      <c r="F659" s="66"/>
      <c r="G659" s="66"/>
      <c r="H659" s="66"/>
      <c r="I659" s="66"/>
      <c r="J659" s="66"/>
      <c r="K659" s="66"/>
      <c r="L659" s="66"/>
      <c r="M659" s="66"/>
      <c r="N659" s="66"/>
    </row>
    <row r="660" spans="1:14" x14ac:dyDescent="0.2">
      <c r="A660" s="84"/>
      <c r="B660" s="84"/>
      <c r="C660" s="60"/>
      <c r="D660" s="66"/>
      <c r="E660" s="66"/>
      <c r="F660" s="66"/>
      <c r="G660" s="66"/>
      <c r="H660" s="66"/>
      <c r="I660" s="66"/>
      <c r="J660" s="66"/>
      <c r="K660" s="66"/>
      <c r="L660" s="66"/>
      <c r="M660" s="66"/>
      <c r="N660" s="66"/>
    </row>
    <row r="661" spans="1:14" x14ac:dyDescent="0.2">
      <c r="A661" s="84"/>
      <c r="B661" s="84"/>
      <c r="C661" s="60"/>
      <c r="D661" s="66"/>
      <c r="E661" s="66"/>
      <c r="F661" s="66"/>
      <c r="G661" s="66"/>
      <c r="H661" s="66"/>
      <c r="I661" s="66"/>
      <c r="J661" s="66"/>
      <c r="K661" s="66"/>
      <c r="L661" s="66"/>
      <c r="M661" s="66"/>
      <c r="N661" s="66"/>
    </row>
    <row r="662" spans="1:14" x14ac:dyDescent="0.2">
      <c r="A662" s="84"/>
      <c r="B662" s="84"/>
      <c r="C662" s="60"/>
      <c r="D662" s="66"/>
      <c r="E662" s="66"/>
      <c r="F662" s="66"/>
      <c r="G662" s="66"/>
      <c r="H662" s="66"/>
      <c r="I662" s="66"/>
      <c r="J662" s="66"/>
      <c r="K662" s="66"/>
      <c r="L662" s="66"/>
      <c r="M662" s="66"/>
      <c r="N662" s="66"/>
    </row>
    <row r="663" spans="1:14" x14ac:dyDescent="0.2">
      <c r="A663" s="84"/>
      <c r="B663" s="84"/>
      <c r="C663" s="60"/>
      <c r="D663" s="66"/>
      <c r="E663" s="66"/>
      <c r="F663" s="66"/>
      <c r="G663" s="66"/>
      <c r="H663" s="66"/>
      <c r="I663" s="66"/>
      <c r="J663" s="66"/>
      <c r="K663" s="66"/>
      <c r="L663" s="66"/>
      <c r="M663" s="66"/>
      <c r="N663" s="66"/>
    </row>
    <row r="664" spans="1:14" x14ac:dyDescent="0.2">
      <c r="A664" s="84"/>
      <c r="B664" s="84"/>
      <c r="C664" s="60"/>
      <c r="D664" s="66"/>
      <c r="E664" s="66"/>
      <c r="F664" s="66"/>
      <c r="G664" s="66"/>
      <c r="H664" s="66"/>
      <c r="I664" s="66"/>
      <c r="J664" s="66"/>
      <c r="K664" s="66"/>
      <c r="L664" s="66"/>
      <c r="M664" s="66"/>
      <c r="N664" s="66"/>
    </row>
    <row r="665" spans="1:14" x14ac:dyDescent="0.2">
      <c r="A665" s="84"/>
      <c r="B665" s="84"/>
      <c r="C665" s="60"/>
      <c r="D665" s="66"/>
      <c r="E665" s="66"/>
      <c r="F665" s="66"/>
      <c r="G665" s="66"/>
      <c r="H665" s="66"/>
      <c r="I665" s="66"/>
      <c r="J665" s="66"/>
      <c r="K665" s="66"/>
      <c r="L665" s="66"/>
      <c r="M665" s="66"/>
      <c r="N665" s="66"/>
    </row>
    <row r="666" spans="1:14" x14ac:dyDescent="0.2">
      <c r="A666" s="84"/>
      <c r="B666" s="84"/>
      <c r="C666" s="60"/>
      <c r="D666" s="66"/>
      <c r="E666" s="66"/>
      <c r="F666" s="66"/>
      <c r="G666" s="66"/>
      <c r="H666" s="66"/>
      <c r="I666" s="66"/>
      <c r="J666" s="66"/>
      <c r="K666" s="66"/>
      <c r="L666" s="66"/>
      <c r="M666" s="66"/>
      <c r="N666" s="66"/>
    </row>
    <row r="667" spans="1:14" x14ac:dyDescent="0.2">
      <c r="A667" s="84"/>
      <c r="B667" s="84"/>
      <c r="C667" s="60"/>
      <c r="D667" s="66"/>
      <c r="E667" s="66"/>
      <c r="F667" s="66"/>
      <c r="G667" s="66"/>
      <c r="H667" s="66"/>
      <c r="I667" s="66"/>
      <c r="J667" s="66"/>
      <c r="K667" s="66"/>
      <c r="L667" s="66"/>
      <c r="M667" s="66"/>
      <c r="N667" s="66"/>
    </row>
    <row r="668" spans="1:14" x14ac:dyDescent="0.2">
      <c r="A668" s="84"/>
      <c r="B668" s="84"/>
      <c r="C668" s="60"/>
      <c r="D668" s="66"/>
      <c r="E668" s="66"/>
      <c r="F668" s="66"/>
      <c r="G668" s="66"/>
      <c r="H668" s="66"/>
      <c r="I668" s="66"/>
      <c r="J668" s="66"/>
      <c r="K668" s="66"/>
      <c r="L668" s="66"/>
      <c r="M668" s="66"/>
      <c r="N668" s="66"/>
    </row>
    <row r="669" spans="1:14" x14ac:dyDescent="0.2">
      <c r="A669" s="84"/>
      <c r="B669" s="84"/>
      <c r="C669" s="60"/>
      <c r="D669" s="66"/>
      <c r="E669" s="66"/>
      <c r="F669" s="66"/>
      <c r="G669" s="66"/>
      <c r="H669" s="66"/>
      <c r="I669" s="66"/>
      <c r="J669" s="66"/>
      <c r="K669" s="66"/>
      <c r="L669" s="66"/>
      <c r="M669" s="66"/>
      <c r="N669" s="66"/>
    </row>
    <row r="670" spans="1:14" x14ac:dyDescent="0.2">
      <c r="A670" s="84"/>
      <c r="B670" s="84"/>
      <c r="C670" s="60"/>
      <c r="D670" s="66"/>
      <c r="E670" s="66"/>
      <c r="F670" s="66"/>
      <c r="G670" s="66"/>
      <c r="H670" s="66"/>
      <c r="I670" s="66"/>
      <c r="J670" s="66"/>
      <c r="K670" s="66"/>
      <c r="L670" s="66"/>
      <c r="M670" s="66"/>
      <c r="N670" s="66"/>
    </row>
    <row r="671" spans="1:14" x14ac:dyDescent="0.2">
      <c r="A671" s="84"/>
      <c r="B671" s="84"/>
      <c r="C671" s="60"/>
      <c r="D671" s="66"/>
      <c r="E671" s="66"/>
      <c r="F671" s="66"/>
      <c r="G671" s="66"/>
      <c r="H671" s="66"/>
      <c r="I671" s="66"/>
      <c r="J671" s="66"/>
      <c r="K671" s="66"/>
      <c r="L671" s="66"/>
      <c r="M671" s="66"/>
      <c r="N671" s="66"/>
    </row>
    <row r="672" spans="1:14" x14ac:dyDescent="0.2">
      <c r="A672" s="84"/>
      <c r="B672" s="84"/>
      <c r="C672" s="60"/>
      <c r="D672" s="66"/>
      <c r="E672" s="66"/>
      <c r="F672" s="66"/>
      <c r="G672" s="66"/>
      <c r="H672" s="66"/>
      <c r="I672" s="66"/>
      <c r="J672" s="66"/>
      <c r="K672" s="66"/>
      <c r="L672" s="66"/>
      <c r="M672" s="66"/>
      <c r="N672" s="66"/>
    </row>
    <row r="673" spans="1:14" x14ac:dyDescent="0.2">
      <c r="A673" s="84"/>
      <c r="B673" s="84"/>
      <c r="C673" s="60"/>
      <c r="D673" s="66"/>
      <c r="E673" s="66"/>
      <c r="F673" s="66"/>
      <c r="G673" s="66"/>
      <c r="H673" s="66"/>
      <c r="I673" s="66"/>
      <c r="J673" s="66"/>
      <c r="K673" s="66"/>
      <c r="L673" s="66"/>
      <c r="M673" s="66"/>
      <c r="N673" s="66"/>
    </row>
    <row r="674" spans="1:14" x14ac:dyDescent="0.2">
      <c r="A674" s="84"/>
      <c r="B674" s="84"/>
      <c r="C674" s="60"/>
      <c r="D674" s="66"/>
      <c r="E674" s="66"/>
      <c r="F674" s="66"/>
      <c r="G674" s="66"/>
      <c r="H674" s="66"/>
      <c r="I674" s="66"/>
      <c r="J674" s="66"/>
      <c r="K674" s="66"/>
      <c r="L674" s="66"/>
      <c r="M674" s="66"/>
      <c r="N674" s="66"/>
    </row>
    <row r="675" spans="1:14" x14ac:dyDescent="0.2">
      <c r="A675" s="84"/>
      <c r="B675" s="84"/>
      <c r="C675" s="60"/>
      <c r="D675" s="66"/>
      <c r="E675" s="66"/>
      <c r="F675" s="66"/>
      <c r="G675" s="66"/>
      <c r="H675" s="66"/>
      <c r="I675" s="66"/>
      <c r="J675" s="66"/>
      <c r="K675" s="66"/>
      <c r="L675" s="66"/>
      <c r="M675" s="66"/>
      <c r="N675" s="66"/>
    </row>
    <row r="676" spans="1:14" x14ac:dyDescent="0.2">
      <c r="A676" s="84"/>
      <c r="B676" s="84"/>
      <c r="C676" s="60"/>
      <c r="D676" s="66"/>
      <c r="E676" s="66"/>
      <c r="F676" s="66"/>
      <c r="G676" s="66"/>
      <c r="H676" s="66"/>
      <c r="I676" s="66"/>
      <c r="J676" s="66"/>
      <c r="K676" s="66"/>
      <c r="L676" s="66"/>
      <c r="M676" s="66"/>
      <c r="N676" s="66"/>
    </row>
    <row r="677" spans="1:14" x14ac:dyDescent="0.2">
      <c r="A677" s="84"/>
      <c r="B677" s="84"/>
      <c r="C677" s="60"/>
      <c r="D677" s="66"/>
      <c r="E677" s="66"/>
      <c r="F677" s="66"/>
      <c r="G677" s="66"/>
      <c r="H677" s="66"/>
      <c r="I677" s="66"/>
      <c r="J677" s="66"/>
      <c r="K677" s="66"/>
      <c r="L677" s="66"/>
      <c r="M677" s="66"/>
      <c r="N677" s="66"/>
    </row>
    <row r="678" spans="1:14" x14ac:dyDescent="0.2">
      <c r="A678" s="84"/>
      <c r="B678" s="84"/>
      <c r="C678" s="60"/>
      <c r="D678" s="66"/>
      <c r="E678" s="66"/>
      <c r="F678" s="66"/>
      <c r="G678" s="66"/>
      <c r="H678" s="66"/>
      <c r="I678" s="66"/>
      <c r="J678" s="66"/>
      <c r="K678" s="66"/>
      <c r="L678" s="66"/>
      <c r="M678" s="66"/>
      <c r="N678" s="66"/>
    </row>
    <row r="679" spans="1:14" x14ac:dyDescent="0.2">
      <c r="A679" s="84"/>
      <c r="B679" s="84"/>
      <c r="C679" s="60"/>
      <c r="D679" s="66"/>
      <c r="E679" s="66"/>
      <c r="F679" s="66"/>
      <c r="G679" s="66"/>
      <c r="H679" s="66"/>
      <c r="I679" s="66"/>
      <c r="J679" s="66"/>
      <c r="K679" s="66"/>
      <c r="L679" s="66"/>
      <c r="M679" s="66"/>
      <c r="N679" s="66"/>
    </row>
    <row r="680" spans="1:14" x14ac:dyDescent="0.2">
      <c r="A680" s="84"/>
      <c r="B680" s="84"/>
      <c r="C680" s="60"/>
      <c r="D680" s="66"/>
      <c r="E680" s="66"/>
      <c r="F680" s="66"/>
      <c r="G680" s="66"/>
      <c r="H680" s="66"/>
      <c r="I680" s="66"/>
      <c r="J680" s="66"/>
      <c r="K680" s="66"/>
      <c r="L680" s="66"/>
      <c r="M680" s="66"/>
      <c r="N680" s="66"/>
    </row>
    <row r="681" spans="1:14" x14ac:dyDescent="0.2">
      <c r="A681" s="84"/>
      <c r="B681" s="84"/>
      <c r="C681" s="60"/>
      <c r="D681" s="66"/>
      <c r="E681" s="66"/>
      <c r="F681" s="66"/>
      <c r="G681" s="66"/>
      <c r="H681" s="66"/>
      <c r="I681" s="66"/>
      <c r="J681" s="66"/>
      <c r="K681" s="66"/>
      <c r="L681" s="66"/>
      <c r="M681" s="66"/>
      <c r="N681" s="66"/>
    </row>
    <row r="682" spans="1:14" x14ac:dyDescent="0.2">
      <c r="A682" s="84"/>
      <c r="B682" s="84"/>
      <c r="C682" s="60"/>
      <c r="D682" s="66"/>
      <c r="E682" s="66"/>
      <c r="F682" s="66"/>
      <c r="G682" s="66"/>
      <c r="H682" s="66"/>
      <c r="I682" s="66"/>
      <c r="J682" s="66"/>
      <c r="K682" s="66"/>
      <c r="L682" s="66"/>
      <c r="M682" s="66"/>
      <c r="N682" s="66"/>
    </row>
    <row r="683" spans="1:14" x14ac:dyDescent="0.2">
      <c r="A683" s="84"/>
      <c r="B683" s="84"/>
      <c r="C683" s="60"/>
      <c r="D683" s="66"/>
      <c r="E683" s="66"/>
      <c r="F683" s="66"/>
      <c r="G683" s="66"/>
      <c r="H683" s="66"/>
      <c r="I683" s="66"/>
      <c r="J683" s="66"/>
      <c r="K683" s="66"/>
      <c r="L683" s="66"/>
      <c r="M683" s="66"/>
      <c r="N683" s="66"/>
    </row>
    <row r="684" spans="1:14" x14ac:dyDescent="0.2">
      <c r="A684" s="84"/>
      <c r="B684" s="84"/>
      <c r="C684" s="60"/>
      <c r="D684" s="66"/>
      <c r="E684" s="66"/>
      <c r="F684" s="66"/>
      <c r="G684" s="66"/>
      <c r="H684" s="66"/>
      <c r="I684" s="66"/>
      <c r="J684" s="66"/>
      <c r="K684" s="66"/>
      <c r="L684" s="66"/>
      <c r="M684" s="66"/>
      <c r="N684" s="66"/>
    </row>
    <row r="685" spans="1:14" x14ac:dyDescent="0.2">
      <c r="A685" s="84"/>
      <c r="B685" s="84"/>
      <c r="C685" s="60"/>
      <c r="D685" s="66"/>
      <c r="E685" s="66"/>
      <c r="F685" s="66"/>
      <c r="G685" s="66"/>
      <c r="H685" s="66"/>
      <c r="I685" s="66"/>
      <c r="J685" s="66"/>
      <c r="K685" s="66"/>
      <c r="L685" s="66"/>
      <c r="M685" s="66"/>
      <c r="N685" s="66"/>
    </row>
    <row r="686" spans="1:14" x14ac:dyDescent="0.2">
      <c r="A686" s="84"/>
      <c r="B686" s="84"/>
      <c r="C686" s="60"/>
      <c r="D686" s="66"/>
      <c r="E686" s="66"/>
      <c r="F686" s="66"/>
      <c r="G686" s="66"/>
      <c r="H686" s="66"/>
      <c r="I686" s="66"/>
      <c r="J686" s="66"/>
      <c r="K686" s="66"/>
      <c r="L686" s="66"/>
      <c r="M686" s="66"/>
      <c r="N686" s="66"/>
    </row>
    <row r="687" spans="1:14" x14ac:dyDescent="0.2">
      <c r="A687" s="84"/>
      <c r="B687" s="84"/>
      <c r="C687" s="60"/>
      <c r="D687" s="66"/>
      <c r="E687" s="66"/>
      <c r="F687" s="66"/>
      <c r="G687" s="66"/>
      <c r="H687" s="66"/>
      <c r="I687" s="66"/>
      <c r="J687" s="66"/>
      <c r="K687" s="66"/>
      <c r="L687" s="66"/>
      <c r="M687" s="66"/>
      <c r="N687" s="66"/>
    </row>
    <row r="688" spans="1:14" x14ac:dyDescent="0.2">
      <c r="A688" s="84"/>
      <c r="B688" s="84"/>
      <c r="C688" s="60"/>
      <c r="D688" s="66"/>
      <c r="E688" s="66"/>
      <c r="F688" s="66"/>
      <c r="G688" s="66"/>
      <c r="H688" s="66"/>
      <c r="I688" s="66"/>
      <c r="J688" s="66"/>
      <c r="K688" s="66"/>
      <c r="L688" s="66"/>
      <c r="M688" s="66"/>
      <c r="N688" s="66"/>
    </row>
    <row r="689" spans="1:14" x14ac:dyDescent="0.2">
      <c r="A689" s="84"/>
      <c r="B689" s="84"/>
      <c r="C689" s="60"/>
      <c r="D689" s="66"/>
      <c r="E689" s="66"/>
      <c r="F689" s="66"/>
      <c r="G689" s="66"/>
      <c r="H689" s="66"/>
      <c r="I689" s="66"/>
      <c r="J689" s="66"/>
      <c r="K689" s="66"/>
      <c r="L689" s="66"/>
      <c r="M689" s="66"/>
      <c r="N689" s="66"/>
    </row>
    <row r="690" spans="1:14" x14ac:dyDescent="0.2">
      <c r="A690" s="84"/>
      <c r="B690" s="84"/>
      <c r="C690" s="60"/>
      <c r="D690" s="66"/>
      <c r="E690" s="66"/>
      <c r="F690" s="66"/>
      <c r="G690" s="66"/>
      <c r="H690" s="66"/>
      <c r="I690" s="66"/>
      <c r="J690" s="66"/>
      <c r="K690" s="66"/>
      <c r="L690" s="66"/>
      <c r="M690" s="66"/>
      <c r="N690" s="66"/>
    </row>
    <row r="691" spans="1:14" x14ac:dyDescent="0.2">
      <c r="A691" s="84"/>
      <c r="B691" s="84"/>
      <c r="C691" s="60"/>
      <c r="D691" s="66"/>
      <c r="E691" s="66"/>
      <c r="F691" s="66"/>
      <c r="G691" s="66"/>
      <c r="H691" s="66"/>
      <c r="I691" s="66"/>
      <c r="J691" s="66"/>
      <c r="K691" s="66"/>
      <c r="L691" s="66"/>
      <c r="M691" s="66"/>
      <c r="N691" s="66"/>
    </row>
    <row r="692" spans="1:14" x14ac:dyDescent="0.2">
      <c r="A692" s="84"/>
      <c r="B692" s="84"/>
      <c r="C692" s="60"/>
      <c r="D692" s="66"/>
      <c r="E692" s="66"/>
      <c r="F692" s="66"/>
      <c r="G692" s="66"/>
      <c r="H692" s="66"/>
      <c r="I692" s="66"/>
      <c r="J692" s="66"/>
      <c r="K692" s="66"/>
      <c r="L692" s="66"/>
      <c r="M692" s="66"/>
      <c r="N692" s="66"/>
    </row>
    <row r="693" spans="1:14" x14ac:dyDescent="0.2">
      <c r="A693" s="84"/>
      <c r="B693" s="84"/>
      <c r="C693" s="60"/>
      <c r="D693" s="66"/>
      <c r="E693" s="66"/>
      <c r="F693" s="66"/>
      <c r="G693" s="66"/>
      <c r="H693" s="66"/>
      <c r="I693" s="66"/>
      <c r="J693" s="66"/>
      <c r="K693" s="66"/>
      <c r="L693" s="66"/>
      <c r="M693" s="66"/>
      <c r="N693" s="66"/>
    </row>
    <row r="694" spans="1:14" x14ac:dyDescent="0.2">
      <c r="A694" s="84"/>
      <c r="B694" s="84"/>
      <c r="C694" s="60"/>
      <c r="D694" s="66"/>
      <c r="E694" s="66"/>
      <c r="F694" s="66"/>
      <c r="G694" s="66"/>
      <c r="H694" s="66"/>
      <c r="I694" s="66"/>
      <c r="J694" s="66"/>
      <c r="K694" s="66"/>
      <c r="L694" s="66"/>
      <c r="M694" s="66"/>
      <c r="N694" s="66"/>
    </row>
    <row r="695" spans="1:14" x14ac:dyDescent="0.2">
      <c r="A695" s="84"/>
      <c r="B695" s="84"/>
      <c r="C695" s="60"/>
      <c r="D695" s="66"/>
      <c r="E695" s="66"/>
      <c r="F695" s="66"/>
      <c r="G695" s="66"/>
      <c r="H695" s="66"/>
      <c r="I695" s="66"/>
      <c r="J695" s="66"/>
      <c r="K695" s="66"/>
      <c r="L695" s="66"/>
      <c r="M695" s="66"/>
      <c r="N695" s="66"/>
    </row>
    <row r="696" spans="1:14" x14ac:dyDescent="0.2">
      <c r="A696" s="84"/>
      <c r="B696" s="84"/>
      <c r="C696" s="60"/>
      <c r="D696" s="66"/>
      <c r="E696" s="66"/>
      <c r="F696" s="66"/>
      <c r="G696" s="66"/>
      <c r="H696" s="66"/>
      <c r="I696" s="66"/>
      <c r="J696" s="66"/>
      <c r="K696" s="66"/>
      <c r="L696" s="66"/>
      <c r="M696" s="66"/>
      <c r="N696" s="66"/>
    </row>
    <row r="697" spans="1:14" x14ac:dyDescent="0.2">
      <c r="A697" s="84"/>
      <c r="B697" s="84"/>
      <c r="C697" s="60"/>
      <c r="D697" s="66"/>
      <c r="E697" s="66"/>
      <c r="F697" s="66"/>
      <c r="G697" s="66"/>
      <c r="H697" s="66"/>
      <c r="I697" s="66"/>
      <c r="J697" s="66"/>
      <c r="K697" s="66"/>
      <c r="L697" s="66"/>
      <c r="M697" s="66"/>
      <c r="N697" s="66"/>
    </row>
    <row r="698" spans="1:14" x14ac:dyDescent="0.2">
      <c r="A698" s="84"/>
      <c r="B698" s="84"/>
      <c r="C698" s="60"/>
      <c r="D698" s="66"/>
      <c r="E698" s="66"/>
      <c r="F698" s="66"/>
      <c r="G698" s="66"/>
      <c r="H698" s="66"/>
      <c r="I698" s="66"/>
      <c r="J698" s="66"/>
      <c r="K698" s="66"/>
      <c r="L698" s="66"/>
      <c r="M698" s="66"/>
      <c r="N698" s="66"/>
    </row>
    <row r="699" spans="1:14" x14ac:dyDescent="0.2">
      <c r="A699" s="84"/>
      <c r="B699" s="84"/>
      <c r="C699" s="60"/>
      <c r="D699" s="66"/>
      <c r="E699" s="66"/>
      <c r="F699" s="66"/>
      <c r="G699" s="66"/>
      <c r="H699" s="66"/>
      <c r="I699" s="66"/>
      <c r="J699" s="66"/>
      <c r="K699" s="66"/>
      <c r="L699" s="66"/>
      <c r="M699" s="66"/>
      <c r="N699" s="66"/>
    </row>
    <row r="700" spans="1:14" x14ac:dyDescent="0.2">
      <c r="A700" s="84"/>
      <c r="B700" s="84"/>
      <c r="C700" s="60"/>
      <c r="D700" s="66"/>
      <c r="E700" s="66"/>
      <c r="F700" s="66"/>
      <c r="G700" s="66"/>
      <c r="H700" s="66"/>
      <c r="I700" s="66"/>
      <c r="J700" s="66"/>
      <c r="K700" s="66"/>
      <c r="L700" s="66"/>
      <c r="M700" s="66"/>
      <c r="N700" s="66"/>
    </row>
    <row r="701" spans="1:14" x14ac:dyDescent="0.2">
      <c r="A701" s="84"/>
      <c r="B701" s="84"/>
      <c r="C701" s="60"/>
      <c r="D701" s="66"/>
      <c r="E701" s="66"/>
      <c r="F701" s="66"/>
      <c r="G701" s="66"/>
      <c r="H701" s="66"/>
      <c r="I701" s="66"/>
      <c r="J701" s="66"/>
      <c r="K701" s="66"/>
      <c r="L701" s="66"/>
      <c r="M701" s="66"/>
      <c r="N701" s="66"/>
    </row>
    <row r="702" spans="1:14" x14ac:dyDescent="0.2">
      <c r="A702" s="84"/>
      <c r="B702" s="84"/>
      <c r="C702" s="60"/>
      <c r="D702" s="66"/>
      <c r="E702" s="66"/>
      <c r="F702" s="66"/>
      <c r="G702" s="66"/>
      <c r="H702" s="66"/>
      <c r="I702" s="66"/>
      <c r="J702" s="66"/>
      <c r="K702" s="66"/>
      <c r="L702" s="66"/>
      <c r="M702" s="66"/>
      <c r="N702" s="66"/>
    </row>
    <row r="703" spans="1:14" x14ac:dyDescent="0.2">
      <c r="A703" s="84"/>
      <c r="B703" s="84"/>
      <c r="C703" s="60"/>
      <c r="D703" s="66"/>
      <c r="E703" s="66"/>
      <c r="F703" s="66"/>
      <c r="G703" s="66"/>
      <c r="H703" s="66"/>
      <c r="I703" s="66"/>
      <c r="J703" s="66"/>
      <c r="K703" s="66"/>
      <c r="L703" s="66"/>
      <c r="M703" s="66"/>
      <c r="N703" s="66"/>
    </row>
    <row r="704" spans="1:14" x14ac:dyDescent="0.2">
      <c r="A704" s="84"/>
      <c r="B704" s="84"/>
      <c r="C704" s="60"/>
      <c r="D704" s="66"/>
      <c r="E704" s="66"/>
      <c r="F704" s="66"/>
      <c r="G704" s="66"/>
      <c r="H704" s="66"/>
      <c r="I704" s="66"/>
      <c r="J704" s="66"/>
      <c r="K704" s="66"/>
      <c r="L704" s="66"/>
      <c r="M704" s="66"/>
      <c r="N704" s="66"/>
    </row>
    <row r="705" spans="1:14" x14ac:dyDescent="0.2">
      <c r="A705" s="84"/>
      <c r="B705" s="84"/>
      <c r="C705" s="60"/>
      <c r="D705" s="66"/>
      <c r="E705" s="66"/>
      <c r="F705" s="66"/>
      <c r="G705" s="66"/>
      <c r="H705" s="66"/>
      <c r="I705" s="66"/>
      <c r="J705" s="66"/>
      <c r="K705" s="66"/>
      <c r="L705" s="66"/>
      <c r="M705" s="66"/>
      <c r="N705" s="66"/>
    </row>
    <row r="706" spans="1:14" x14ac:dyDescent="0.2">
      <c r="A706" s="84"/>
      <c r="B706" s="84"/>
      <c r="C706" s="60"/>
      <c r="D706" s="66"/>
      <c r="E706" s="66"/>
      <c r="F706" s="66"/>
      <c r="G706" s="66"/>
      <c r="H706" s="66"/>
      <c r="I706" s="66"/>
      <c r="J706" s="66"/>
      <c r="K706" s="66"/>
      <c r="L706" s="66"/>
      <c r="M706" s="66"/>
      <c r="N706" s="66"/>
    </row>
    <row r="707" spans="1:14" x14ac:dyDescent="0.2">
      <c r="A707" s="84"/>
      <c r="B707" s="84"/>
      <c r="C707" s="60"/>
      <c r="D707" s="66"/>
      <c r="E707" s="66"/>
      <c r="F707" s="66"/>
      <c r="G707" s="66"/>
      <c r="H707" s="66"/>
      <c r="I707" s="66"/>
      <c r="J707" s="66"/>
      <c r="K707" s="66"/>
      <c r="L707" s="66"/>
      <c r="M707" s="66"/>
      <c r="N707" s="66"/>
    </row>
    <row r="708" spans="1:14" x14ac:dyDescent="0.2">
      <c r="A708" s="84"/>
      <c r="B708" s="84"/>
      <c r="C708" s="60"/>
      <c r="D708" s="66"/>
      <c r="E708" s="66"/>
      <c r="F708" s="66"/>
      <c r="G708" s="66"/>
      <c r="H708" s="66"/>
      <c r="I708" s="66"/>
      <c r="J708" s="66"/>
      <c r="K708" s="66"/>
      <c r="L708" s="66"/>
      <c r="M708" s="66"/>
      <c r="N708" s="66"/>
    </row>
    <row r="709" spans="1:14" x14ac:dyDescent="0.2">
      <c r="A709" s="84"/>
      <c r="B709" s="84"/>
      <c r="C709" s="60"/>
      <c r="D709" s="66"/>
      <c r="E709" s="66"/>
      <c r="F709" s="66"/>
      <c r="G709" s="66"/>
      <c r="H709" s="66"/>
      <c r="I709" s="66"/>
      <c r="J709" s="66"/>
      <c r="K709" s="66"/>
      <c r="L709" s="66"/>
      <c r="M709" s="66"/>
      <c r="N709" s="66"/>
    </row>
    <row r="710" spans="1:14" x14ac:dyDescent="0.2">
      <c r="A710" s="84"/>
      <c r="B710" s="84"/>
      <c r="C710" s="60"/>
      <c r="D710" s="66"/>
      <c r="E710" s="66"/>
      <c r="F710" s="66"/>
      <c r="G710" s="66"/>
      <c r="H710" s="66"/>
      <c r="I710" s="66"/>
      <c r="J710" s="66"/>
      <c r="K710" s="66"/>
      <c r="L710" s="66"/>
      <c r="M710" s="66"/>
      <c r="N710" s="66"/>
    </row>
    <row r="711" spans="1:14" x14ac:dyDescent="0.2">
      <c r="A711" s="84"/>
      <c r="B711" s="84"/>
      <c r="C711" s="60"/>
      <c r="D711" s="66"/>
      <c r="E711" s="66"/>
      <c r="F711" s="66"/>
      <c r="G711" s="66"/>
      <c r="H711" s="66"/>
      <c r="I711" s="66"/>
      <c r="J711" s="66"/>
      <c r="K711" s="66"/>
      <c r="L711" s="66"/>
      <c r="M711" s="66"/>
      <c r="N711" s="66"/>
    </row>
    <row r="712" spans="1:14" x14ac:dyDescent="0.2">
      <c r="A712" s="84"/>
      <c r="B712" s="84"/>
      <c r="C712" s="60"/>
      <c r="D712" s="66"/>
      <c r="E712" s="66"/>
      <c r="F712" s="66"/>
      <c r="G712" s="66"/>
      <c r="H712" s="66"/>
      <c r="I712" s="66"/>
      <c r="J712" s="66"/>
      <c r="K712" s="66"/>
      <c r="L712" s="66"/>
      <c r="M712" s="66"/>
      <c r="N712" s="66"/>
    </row>
    <row r="713" spans="1:14" x14ac:dyDescent="0.2">
      <c r="A713" s="84"/>
      <c r="B713" s="84"/>
      <c r="C713" s="60"/>
      <c r="D713" s="66"/>
      <c r="E713" s="66"/>
      <c r="F713" s="66"/>
      <c r="G713" s="66"/>
      <c r="H713" s="66"/>
      <c r="I713" s="66"/>
      <c r="J713" s="66"/>
      <c r="K713" s="66"/>
      <c r="L713" s="66"/>
      <c r="M713" s="66"/>
      <c r="N713" s="66"/>
    </row>
    <row r="714" spans="1:14" x14ac:dyDescent="0.2">
      <c r="A714" s="84"/>
      <c r="B714" s="84"/>
      <c r="C714" s="60"/>
      <c r="D714" s="66"/>
      <c r="E714" s="66"/>
      <c r="F714" s="66"/>
      <c r="G714" s="66"/>
      <c r="H714" s="66"/>
      <c r="I714" s="66"/>
      <c r="J714" s="66"/>
      <c r="K714" s="66"/>
      <c r="L714" s="66"/>
      <c r="M714" s="66"/>
      <c r="N714" s="66"/>
    </row>
    <row r="715" spans="1:14" x14ac:dyDescent="0.2">
      <c r="A715" s="84"/>
      <c r="B715" s="84"/>
      <c r="C715" s="60"/>
      <c r="D715" s="66"/>
      <c r="E715" s="66"/>
      <c r="F715" s="66"/>
      <c r="G715" s="66"/>
      <c r="H715" s="66"/>
      <c r="I715" s="66"/>
      <c r="J715" s="66"/>
      <c r="K715" s="66"/>
      <c r="L715" s="66"/>
      <c r="M715" s="66"/>
      <c r="N715" s="66"/>
    </row>
    <row r="716" spans="1:14" x14ac:dyDescent="0.2">
      <c r="A716" s="84"/>
      <c r="B716" s="84"/>
      <c r="C716" s="60"/>
      <c r="D716" s="66"/>
      <c r="E716" s="66"/>
      <c r="F716" s="66"/>
      <c r="G716" s="66"/>
      <c r="H716" s="66"/>
      <c r="I716" s="66"/>
      <c r="J716" s="66"/>
      <c r="K716" s="66"/>
      <c r="L716" s="66"/>
      <c r="M716" s="66"/>
      <c r="N716" s="66"/>
    </row>
    <row r="717" spans="1:14" x14ac:dyDescent="0.2">
      <c r="A717" s="84"/>
      <c r="B717" s="84"/>
      <c r="C717" s="60"/>
      <c r="D717" s="66"/>
      <c r="E717" s="66"/>
      <c r="F717" s="66"/>
      <c r="G717" s="66"/>
      <c r="H717" s="66"/>
      <c r="I717" s="66"/>
      <c r="J717" s="66"/>
      <c r="K717" s="66"/>
      <c r="L717" s="66"/>
      <c r="M717" s="66"/>
      <c r="N717" s="66"/>
    </row>
    <row r="718" spans="1:14" x14ac:dyDescent="0.2">
      <c r="A718" s="84"/>
      <c r="B718" s="84"/>
      <c r="C718" s="60"/>
      <c r="D718" s="66"/>
      <c r="E718" s="66"/>
      <c r="F718" s="66"/>
      <c r="G718" s="66"/>
      <c r="H718" s="66"/>
      <c r="I718" s="66"/>
      <c r="J718" s="66"/>
      <c r="K718" s="66"/>
      <c r="L718" s="66"/>
      <c r="M718" s="66"/>
      <c r="N718" s="66"/>
    </row>
    <row r="719" spans="1:14" x14ac:dyDescent="0.2">
      <c r="A719" s="84"/>
      <c r="B719" s="84"/>
      <c r="C719" s="60"/>
      <c r="D719" s="66"/>
      <c r="E719" s="66"/>
      <c r="F719" s="66"/>
      <c r="G719" s="66"/>
      <c r="H719" s="66"/>
      <c r="I719" s="66"/>
      <c r="J719" s="66"/>
      <c r="K719" s="66"/>
      <c r="L719" s="66"/>
      <c r="M719" s="66"/>
      <c r="N719" s="66"/>
    </row>
    <row r="720" spans="1:14" x14ac:dyDescent="0.2">
      <c r="A720" s="84"/>
      <c r="B720" s="84"/>
      <c r="C720" s="60"/>
      <c r="D720" s="66"/>
      <c r="E720" s="66"/>
      <c r="F720" s="66"/>
      <c r="G720" s="66"/>
      <c r="H720" s="66"/>
      <c r="I720" s="66"/>
      <c r="J720" s="66"/>
      <c r="K720" s="66"/>
      <c r="L720" s="66"/>
      <c r="M720" s="66"/>
      <c r="N720" s="66"/>
    </row>
    <row r="721" spans="1:14" x14ac:dyDescent="0.2">
      <c r="A721" s="84"/>
      <c r="B721" s="84"/>
      <c r="C721" s="60"/>
      <c r="D721" s="66"/>
      <c r="E721" s="66"/>
      <c r="F721" s="66"/>
      <c r="G721" s="66"/>
      <c r="H721" s="66"/>
      <c r="I721" s="66"/>
      <c r="J721" s="66"/>
      <c r="K721" s="66"/>
      <c r="L721" s="66"/>
      <c r="M721" s="66"/>
      <c r="N721" s="66"/>
    </row>
    <row r="722" spans="1:14" x14ac:dyDescent="0.2">
      <c r="A722" s="84"/>
      <c r="B722" s="84"/>
      <c r="C722" s="60"/>
      <c r="D722" s="66"/>
      <c r="E722" s="66"/>
      <c r="F722" s="66"/>
      <c r="G722" s="66"/>
      <c r="H722" s="66"/>
      <c r="I722" s="66"/>
      <c r="J722" s="66"/>
      <c r="K722" s="66"/>
      <c r="L722" s="66"/>
      <c r="M722" s="66"/>
      <c r="N722" s="66"/>
    </row>
    <row r="723" spans="1:14" x14ac:dyDescent="0.2">
      <c r="A723" s="84"/>
      <c r="B723" s="84"/>
      <c r="C723" s="60"/>
      <c r="D723" s="66"/>
      <c r="E723" s="66"/>
      <c r="F723" s="66"/>
      <c r="G723" s="66"/>
      <c r="H723" s="66"/>
      <c r="I723" s="66"/>
      <c r="J723" s="66"/>
      <c r="K723" s="66"/>
      <c r="L723" s="66"/>
      <c r="M723" s="66"/>
      <c r="N723" s="66"/>
    </row>
    <row r="724" spans="1:14" x14ac:dyDescent="0.2">
      <c r="A724" s="84"/>
      <c r="B724" s="84"/>
      <c r="C724" s="60"/>
      <c r="D724" s="66"/>
      <c r="E724" s="66"/>
      <c r="F724" s="66"/>
      <c r="G724" s="66"/>
      <c r="H724" s="66"/>
      <c r="I724" s="66"/>
      <c r="J724" s="66"/>
      <c r="K724" s="66"/>
      <c r="L724" s="66"/>
      <c r="M724" s="66"/>
      <c r="N724" s="66"/>
    </row>
    <row r="725" spans="1:14" x14ac:dyDescent="0.2">
      <c r="A725" s="84"/>
      <c r="B725" s="84"/>
      <c r="C725" s="60"/>
      <c r="D725" s="66"/>
      <c r="E725" s="66"/>
      <c r="F725" s="66"/>
      <c r="G725" s="66"/>
      <c r="H725" s="66"/>
      <c r="I725" s="66"/>
      <c r="J725" s="66"/>
      <c r="K725" s="66"/>
      <c r="L725" s="66"/>
      <c r="M725" s="66"/>
      <c r="N725" s="66"/>
    </row>
    <row r="726" spans="1:14" x14ac:dyDescent="0.2">
      <c r="A726" s="84"/>
      <c r="B726" s="84"/>
      <c r="C726" s="60"/>
      <c r="D726" s="66"/>
      <c r="E726" s="66"/>
      <c r="F726" s="66"/>
      <c r="G726" s="66"/>
      <c r="H726" s="66"/>
      <c r="I726" s="66"/>
      <c r="J726" s="66"/>
      <c r="K726" s="66"/>
      <c r="L726" s="66"/>
      <c r="M726" s="66"/>
      <c r="N726" s="66"/>
    </row>
    <row r="727" spans="1:14" x14ac:dyDescent="0.2">
      <c r="A727" s="84"/>
      <c r="B727" s="84"/>
      <c r="C727" s="60"/>
      <c r="D727" s="66"/>
      <c r="E727" s="66"/>
      <c r="F727" s="66"/>
      <c r="G727" s="66"/>
      <c r="H727" s="66"/>
      <c r="I727" s="66"/>
      <c r="J727" s="66"/>
      <c r="K727" s="66"/>
      <c r="L727" s="66"/>
      <c r="M727" s="66"/>
      <c r="N727" s="66"/>
    </row>
    <row r="728" spans="1:14" x14ac:dyDescent="0.2">
      <c r="A728" s="84"/>
      <c r="B728" s="84"/>
      <c r="C728" s="60"/>
      <c r="D728" s="66"/>
      <c r="E728" s="66"/>
      <c r="F728" s="66"/>
      <c r="G728" s="66"/>
      <c r="H728" s="66"/>
      <c r="I728" s="66"/>
      <c r="J728" s="66"/>
      <c r="K728" s="66"/>
      <c r="L728" s="66"/>
      <c r="M728" s="66"/>
      <c r="N728" s="66"/>
    </row>
    <row r="729" spans="1:14" x14ac:dyDescent="0.2">
      <c r="A729" s="84"/>
      <c r="B729" s="84"/>
      <c r="C729" s="60"/>
      <c r="D729" s="66"/>
      <c r="E729" s="66"/>
      <c r="F729" s="66"/>
      <c r="G729" s="66"/>
      <c r="H729" s="66"/>
      <c r="I729" s="66"/>
      <c r="J729" s="66"/>
      <c r="K729" s="66"/>
      <c r="L729" s="66"/>
      <c r="M729" s="66"/>
      <c r="N729" s="66"/>
    </row>
    <row r="730" spans="1:14" x14ac:dyDescent="0.2">
      <c r="A730" s="84"/>
      <c r="B730" s="84"/>
      <c r="C730" s="60"/>
      <c r="D730" s="66"/>
      <c r="E730" s="66"/>
      <c r="F730" s="66"/>
      <c r="G730" s="66"/>
      <c r="H730" s="66"/>
      <c r="I730" s="66"/>
      <c r="J730" s="66"/>
      <c r="K730" s="66"/>
      <c r="L730" s="66"/>
      <c r="M730" s="66"/>
      <c r="N730" s="66"/>
    </row>
    <row r="731" spans="1:14" x14ac:dyDescent="0.2">
      <c r="A731" s="84"/>
      <c r="B731" s="84"/>
      <c r="C731" s="60"/>
      <c r="D731" s="66"/>
      <c r="E731" s="66"/>
      <c r="F731" s="66"/>
      <c r="G731" s="66"/>
      <c r="H731" s="66"/>
      <c r="I731" s="66"/>
      <c r="J731" s="66"/>
      <c r="K731" s="66"/>
      <c r="L731" s="66"/>
      <c r="M731" s="66"/>
      <c r="N731" s="66"/>
    </row>
    <row r="732" spans="1:14" x14ac:dyDescent="0.2">
      <c r="A732" s="84"/>
      <c r="B732" s="84"/>
      <c r="C732" s="60"/>
      <c r="D732" s="66"/>
      <c r="E732" s="66"/>
      <c r="F732" s="66"/>
      <c r="G732" s="66"/>
      <c r="H732" s="66"/>
      <c r="I732" s="66"/>
      <c r="J732" s="66"/>
      <c r="K732" s="66"/>
      <c r="L732" s="66"/>
      <c r="M732" s="66"/>
      <c r="N732" s="66"/>
    </row>
    <row r="733" spans="1:14" x14ac:dyDescent="0.2">
      <c r="A733" s="84"/>
      <c r="B733" s="84"/>
      <c r="C733" s="60"/>
      <c r="D733" s="66"/>
      <c r="E733" s="66"/>
      <c r="F733" s="66"/>
      <c r="G733" s="66"/>
      <c r="H733" s="66"/>
      <c r="I733" s="66"/>
      <c r="J733" s="66"/>
      <c r="K733" s="66"/>
      <c r="L733" s="66"/>
      <c r="M733" s="66"/>
      <c r="N733" s="66"/>
    </row>
    <row r="734" spans="1:14" x14ac:dyDescent="0.2">
      <c r="A734" s="84"/>
      <c r="B734" s="84"/>
      <c r="C734" s="60"/>
      <c r="D734" s="66"/>
      <c r="E734" s="66"/>
      <c r="F734" s="66"/>
      <c r="G734" s="66"/>
      <c r="H734" s="66"/>
      <c r="I734" s="66"/>
      <c r="J734" s="66"/>
      <c r="K734" s="66"/>
      <c r="L734" s="66"/>
      <c r="M734" s="66"/>
      <c r="N734" s="66"/>
    </row>
    <row r="735" spans="1:14" x14ac:dyDescent="0.2">
      <c r="A735" s="84"/>
      <c r="B735" s="84"/>
      <c r="C735" s="60"/>
      <c r="D735" s="66"/>
      <c r="E735" s="66"/>
      <c r="F735" s="66"/>
      <c r="G735" s="66"/>
      <c r="H735" s="66"/>
      <c r="I735" s="66"/>
      <c r="J735" s="66"/>
      <c r="K735" s="66"/>
      <c r="L735" s="66"/>
      <c r="M735" s="66"/>
      <c r="N735" s="66"/>
    </row>
    <row r="736" spans="1:14" x14ac:dyDescent="0.2">
      <c r="A736" s="84"/>
      <c r="B736" s="84"/>
      <c r="C736" s="60"/>
      <c r="D736" s="66"/>
      <c r="E736" s="66"/>
      <c r="F736" s="66"/>
      <c r="G736" s="66"/>
      <c r="H736" s="66"/>
      <c r="I736" s="66"/>
      <c r="J736" s="66"/>
      <c r="K736" s="66"/>
      <c r="L736" s="66"/>
      <c r="M736" s="66"/>
      <c r="N736" s="66"/>
    </row>
    <row r="737" spans="1:14" x14ac:dyDescent="0.2">
      <c r="A737" s="84"/>
      <c r="B737" s="84"/>
      <c r="C737" s="60"/>
      <c r="D737" s="66"/>
      <c r="E737" s="66"/>
      <c r="F737" s="66"/>
      <c r="G737" s="66"/>
      <c r="H737" s="66"/>
      <c r="I737" s="66"/>
      <c r="J737" s="66"/>
      <c r="K737" s="66"/>
      <c r="L737" s="66"/>
      <c r="M737" s="66"/>
      <c r="N737" s="66"/>
    </row>
    <row r="738" spans="1:14" x14ac:dyDescent="0.2">
      <c r="A738" s="84"/>
      <c r="B738" s="84"/>
      <c r="C738" s="60"/>
      <c r="D738" s="66"/>
      <c r="E738" s="66"/>
      <c r="F738" s="66"/>
      <c r="G738" s="66"/>
      <c r="H738" s="66"/>
      <c r="I738" s="66"/>
      <c r="J738" s="66"/>
      <c r="K738" s="66"/>
      <c r="L738" s="66"/>
      <c r="M738" s="66"/>
      <c r="N738" s="66"/>
    </row>
    <row r="739" spans="1:14" x14ac:dyDescent="0.2">
      <c r="A739" s="84"/>
      <c r="B739" s="84"/>
      <c r="C739" s="60"/>
      <c r="D739" s="66"/>
      <c r="E739" s="66"/>
      <c r="F739" s="66"/>
      <c r="G739" s="66"/>
      <c r="H739" s="66"/>
      <c r="I739" s="66"/>
      <c r="J739" s="66"/>
      <c r="K739" s="66"/>
      <c r="L739" s="66"/>
      <c r="M739" s="66"/>
      <c r="N739" s="66"/>
    </row>
    <row r="740" spans="1:14" x14ac:dyDescent="0.2">
      <c r="A740" s="84"/>
      <c r="B740" s="84"/>
      <c r="C740" s="60"/>
      <c r="D740" s="66"/>
      <c r="E740" s="66"/>
      <c r="F740" s="66"/>
      <c r="G740" s="66"/>
      <c r="H740" s="66"/>
      <c r="I740" s="66"/>
      <c r="J740" s="66"/>
      <c r="K740" s="66"/>
      <c r="L740" s="66"/>
      <c r="M740" s="66"/>
      <c r="N740" s="66"/>
    </row>
    <row r="741" spans="1:14" x14ac:dyDescent="0.2">
      <c r="A741" s="84"/>
      <c r="B741" s="84"/>
      <c r="C741" s="60"/>
      <c r="D741" s="66"/>
      <c r="E741" s="66"/>
      <c r="F741" s="66"/>
      <c r="G741" s="66"/>
      <c r="H741" s="66"/>
      <c r="I741" s="66"/>
      <c r="J741" s="66"/>
      <c r="K741" s="66"/>
      <c r="L741" s="66"/>
      <c r="M741" s="66"/>
      <c r="N741" s="66"/>
    </row>
    <row r="742" spans="1:14" x14ac:dyDescent="0.2">
      <c r="A742" s="84"/>
      <c r="B742" s="84"/>
      <c r="C742" s="60"/>
      <c r="D742" s="66"/>
      <c r="E742" s="66"/>
      <c r="F742" s="66"/>
      <c r="G742" s="66"/>
      <c r="H742" s="66"/>
      <c r="I742" s="66"/>
      <c r="J742" s="66"/>
      <c r="K742" s="66"/>
      <c r="L742" s="66"/>
      <c r="M742" s="66"/>
      <c r="N742" s="66"/>
    </row>
    <row r="743" spans="1:14" x14ac:dyDescent="0.2">
      <c r="A743" s="84"/>
      <c r="B743" s="84"/>
      <c r="C743" s="60"/>
      <c r="D743" s="66"/>
      <c r="E743" s="66"/>
      <c r="F743" s="66"/>
      <c r="G743" s="66"/>
      <c r="H743" s="66"/>
      <c r="I743" s="66"/>
      <c r="J743" s="66"/>
      <c r="K743" s="66"/>
      <c r="L743" s="66"/>
      <c r="M743" s="66"/>
      <c r="N743" s="66"/>
    </row>
    <row r="744" spans="1:14" x14ac:dyDescent="0.2">
      <c r="A744" s="84"/>
      <c r="B744" s="84"/>
      <c r="C744" s="60"/>
      <c r="D744" s="66"/>
      <c r="E744" s="66"/>
      <c r="F744" s="66"/>
      <c r="G744" s="66"/>
      <c r="H744" s="66"/>
      <c r="I744" s="66"/>
      <c r="J744" s="66"/>
      <c r="K744" s="66"/>
      <c r="L744" s="66"/>
      <c r="M744" s="66"/>
      <c r="N744" s="66"/>
    </row>
    <row r="745" spans="1:14" x14ac:dyDescent="0.2">
      <c r="A745" s="84"/>
      <c r="B745" s="84"/>
      <c r="C745" s="60"/>
      <c r="D745" s="66"/>
      <c r="E745" s="66"/>
      <c r="F745" s="66"/>
      <c r="G745" s="66"/>
      <c r="H745" s="66"/>
      <c r="I745" s="66"/>
      <c r="J745" s="66"/>
      <c r="K745" s="66"/>
      <c r="L745" s="66"/>
      <c r="M745" s="66"/>
      <c r="N745" s="66"/>
    </row>
    <row r="746" spans="1:14" x14ac:dyDescent="0.2">
      <c r="A746" s="84"/>
      <c r="B746" s="84"/>
      <c r="C746" s="60"/>
      <c r="D746" s="66"/>
      <c r="E746" s="66"/>
      <c r="F746" s="66"/>
      <c r="G746" s="66"/>
      <c r="H746" s="66"/>
      <c r="I746" s="66"/>
      <c r="J746" s="66"/>
      <c r="K746" s="66"/>
      <c r="L746" s="66"/>
      <c r="M746" s="66"/>
      <c r="N746" s="66"/>
    </row>
    <row r="747" spans="1:14" x14ac:dyDescent="0.2">
      <c r="A747" s="84"/>
      <c r="B747" s="84"/>
      <c r="C747" s="60"/>
      <c r="D747" s="66"/>
      <c r="E747" s="66"/>
      <c r="F747" s="66"/>
      <c r="G747" s="66"/>
      <c r="H747" s="66"/>
      <c r="I747" s="66"/>
      <c r="J747" s="66"/>
      <c r="K747" s="66"/>
      <c r="L747" s="66"/>
      <c r="M747" s="66"/>
      <c r="N747" s="66"/>
    </row>
    <row r="748" spans="1:14" x14ac:dyDescent="0.2">
      <c r="A748" s="84"/>
      <c r="B748" s="84"/>
      <c r="C748" s="60"/>
      <c r="D748" s="66"/>
      <c r="E748" s="66"/>
      <c r="F748" s="66"/>
      <c r="G748" s="66"/>
      <c r="H748" s="66"/>
      <c r="I748" s="66"/>
      <c r="J748" s="66"/>
      <c r="K748" s="66"/>
      <c r="L748" s="66"/>
      <c r="M748" s="66"/>
      <c r="N748" s="66"/>
    </row>
    <row r="749" spans="1:14" x14ac:dyDescent="0.2">
      <c r="A749" s="84"/>
      <c r="B749" s="84"/>
      <c r="C749" s="60"/>
      <c r="D749" s="66"/>
      <c r="E749" s="66"/>
      <c r="F749" s="66"/>
      <c r="G749" s="66"/>
      <c r="H749" s="66"/>
      <c r="I749" s="66"/>
      <c r="J749" s="66"/>
      <c r="K749" s="66"/>
      <c r="L749" s="66"/>
      <c r="M749" s="66"/>
      <c r="N749" s="66"/>
    </row>
    <row r="750" spans="1:14" x14ac:dyDescent="0.2">
      <c r="A750" s="84"/>
      <c r="B750" s="84"/>
      <c r="C750" s="60"/>
      <c r="D750" s="66"/>
      <c r="E750" s="66"/>
      <c r="F750" s="66"/>
      <c r="G750" s="66"/>
      <c r="H750" s="66"/>
      <c r="I750" s="66"/>
      <c r="J750" s="66"/>
      <c r="K750" s="66"/>
      <c r="L750" s="66"/>
      <c r="M750" s="66"/>
      <c r="N750" s="66"/>
    </row>
    <row r="751" spans="1:14" x14ac:dyDescent="0.2">
      <c r="A751" s="84"/>
      <c r="B751" s="84"/>
      <c r="C751" s="60"/>
      <c r="D751" s="66"/>
      <c r="E751" s="66"/>
      <c r="F751" s="66"/>
      <c r="G751" s="66"/>
      <c r="H751" s="66"/>
      <c r="I751" s="66"/>
      <c r="J751" s="66"/>
      <c r="K751" s="66"/>
      <c r="L751" s="66"/>
      <c r="M751" s="66"/>
      <c r="N751" s="66"/>
    </row>
    <row r="752" spans="1:14" x14ac:dyDescent="0.2">
      <c r="A752" s="84"/>
      <c r="B752" s="84"/>
      <c r="C752" s="60"/>
      <c r="D752" s="66"/>
      <c r="E752" s="66"/>
      <c r="F752" s="66"/>
      <c r="G752" s="66"/>
      <c r="H752" s="66"/>
      <c r="I752" s="66"/>
      <c r="J752" s="66"/>
      <c r="K752" s="66"/>
      <c r="L752" s="66"/>
      <c r="M752" s="66"/>
      <c r="N752" s="66"/>
    </row>
    <row r="753" spans="1:14" x14ac:dyDescent="0.2">
      <c r="A753" s="84"/>
      <c r="B753" s="84"/>
      <c r="C753" s="60"/>
      <c r="D753" s="66"/>
      <c r="E753" s="66"/>
      <c r="F753" s="66"/>
      <c r="G753" s="66"/>
      <c r="H753" s="66"/>
      <c r="I753" s="66"/>
      <c r="J753" s="66"/>
      <c r="K753" s="66"/>
      <c r="L753" s="66"/>
      <c r="M753" s="66"/>
      <c r="N753" s="66"/>
    </row>
    <row r="754" spans="1:14" x14ac:dyDescent="0.2">
      <c r="A754" s="84"/>
      <c r="B754" s="84"/>
      <c r="C754" s="60"/>
      <c r="D754" s="66"/>
      <c r="E754" s="66"/>
      <c r="F754" s="66"/>
      <c r="G754" s="66"/>
      <c r="H754" s="66"/>
      <c r="I754" s="66"/>
      <c r="J754" s="66"/>
      <c r="K754" s="66"/>
      <c r="L754" s="66"/>
      <c r="M754" s="66"/>
      <c r="N754" s="66"/>
    </row>
    <row r="755" spans="1:14" x14ac:dyDescent="0.2">
      <c r="A755" s="84"/>
      <c r="B755" s="84"/>
      <c r="C755" s="60"/>
      <c r="D755" s="66"/>
      <c r="E755" s="66"/>
      <c r="F755" s="66"/>
      <c r="G755" s="66"/>
      <c r="H755" s="66"/>
      <c r="I755" s="66"/>
      <c r="J755" s="66"/>
      <c r="K755" s="66"/>
      <c r="L755" s="66"/>
      <c r="M755" s="66"/>
      <c r="N755" s="66"/>
    </row>
    <row r="756" spans="1:14" x14ac:dyDescent="0.2">
      <c r="A756" s="84"/>
      <c r="B756" s="84"/>
      <c r="C756" s="60"/>
      <c r="D756" s="66"/>
      <c r="E756" s="66"/>
      <c r="F756" s="66"/>
      <c r="G756" s="66"/>
      <c r="H756" s="66"/>
      <c r="I756" s="66"/>
      <c r="J756" s="66"/>
      <c r="K756" s="66"/>
      <c r="L756" s="66"/>
      <c r="M756" s="66"/>
      <c r="N756" s="66"/>
    </row>
    <row r="757" spans="1:14" x14ac:dyDescent="0.2">
      <c r="A757" s="84"/>
      <c r="B757" s="84"/>
      <c r="C757" s="60"/>
      <c r="D757" s="66"/>
      <c r="E757" s="66"/>
      <c r="F757" s="66"/>
      <c r="G757" s="66"/>
      <c r="H757" s="66"/>
      <c r="I757" s="66"/>
      <c r="J757" s="66"/>
      <c r="K757" s="66"/>
      <c r="L757" s="66"/>
      <c r="M757" s="66"/>
      <c r="N757" s="66"/>
    </row>
    <row r="758" spans="1:14" x14ac:dyDescent="0.2">
      <c r="A758" s="84"/>
      <c r="B758" s="84"/>
      <c r="C758" s="60"/>
      <c r="D758" s="66"/>
      <c r="E758" s="66"/>
      <c r="F758" s="66"/>
      <c r="G758" s="66"/>
      <c r="H758" s="66"/>
      <c r="I758" s="66"/>
      <c r="J758" s="66"/>
      <c r="K758" s="66"/>
      <c r="L758" s="66"/>
      <c r="M758" s="66"/>
      <c r="N758" s="66"/>
    </row>
    <row r="759" spans="1:14" x14ac:dyDescent="0.2">
      <c r="A759" s="84"/>
      <c r="B759" s="84"/>
      <c r="C759" s="60"/>
      <c r="D759" s="66"/>
      <c r="E759" s="66"/>
      <c r="F759" s="66"/>
      <c r="G759" s="66"/>
      <c r="H759" s="66"/>
      <c r="I759" s="66"/>
      <c r="J759" s="66"/>
      <c r="K759" s="66"/>
      <c r="L759" s="66"/>
      <c r="M759" s="66"/>
      <c r="N759" s="66"/>
    </row>
    <row r="760" spans="1:14" x14ac:dyDescent="0.2">
      <c r="A760" s="84"/>
      <c r="B760" s="84"/>
      <c r="C760" s="60"/>
      <c r="D760" s="66"/>
      <c r="E760" s="66"/>
      <c r="F760" s="66"/>
      <c r="G760" s="66"/>
      <c r="H760" s="66"/>
      <c r="I760" s="66"/>
      <c r="J760" s="66"/>
      <c r="K760" s="66"/>
      <c r="L760" s="66"/>
      <c r="M760" s="66"/>
      <c r="N760" s="66"/>
    </row>
    <row r="761" spans="1:14" x14ac:dyDescent="0.2">
      <c r="A761" s="84"/>
      <c r="B761" s="84"/>
      <c r="C761" s="60"/>
      <c r="D761" s="66"/>
      <c r="E761" s="66"/>
      <c r="F761" s="66"/>
      <c r="G761" s="66"/>
      <c r="H761" s="66"/>
      <c r="I761" s="66"/>
      <c r="J761" s="66"/>
      <c r="K761" s="66"/>
      <c r="L761" s="66"/>
      <c r="M761" s="66"/>
      <c r="N761" s="66"/>
    </row>
    <row r="762" spans="1:14" x14ac:dyDescent="0.2">
      <c r="A762" s="84"/>
      <c r="B762" s="84"/>
      <c r="C762" s="60"/>
      <c r="D762" s="66"/>
      <c r="E762" s="66"/>
      <c r="F762" s="66"/>
      <c r="G762" s="66"/>
      <c r="H762" s="66"/>
      <c r="I762" s="66"/>
      <c r="J762" s="66"/>
      <c r="K762" s="66"/>
      <c r="L762" s="66"/>
      <c r="M762" s="66"/>
      <c r="N762" s="66"/>
    </row>
    <row r="763" spans="1:14" x14ac:dyDescent="0.2">
      <c r="A763" s="84"/>
      <c r="B763" s="84"/>
      <c r="C763" s="60"/>
      <c r="D763" s="66"/>
      <c r="E763" s="66"/>
      <c r="F763" s="66"/>
      <c r="G763" s="66"/>
      <c r="H763" s="66"/>
      <c r="I763" s="66"/>
      <c r="J763" s="66"/>
      <c r="K763" s="66"/>
      <c r="L763" s="66"/>
      <c r="M763" s="66"/>
      <c r="N763" s="66"/>
    </row>
    <row r="764" spans="1:14" x14ac:dyDescent="0.2">
      <c r="A764" s="84"/>
      <c r="B764" s="84"/>
      <c r="C764" s="60"/>
      <c r="D764" s="66"/>
      <c r="E764" s="66"/>
      <c r="F764" s="66"/>
      <c r="G764" s="66"/>
      <c r="H764" s="66"/>
      <c r="I764" s="66"/>
      <c r="J764" s="66"/>
      <c r="K764" s="66"/>
      <c r="L764" s="66"/>
      <c r="M764" s="66"/>
      <c r="N764" s="66"/>
    </row>
    <row r="765" spans="1:14" x14ac:dyDescent="0.2">
      <c r="A765" s="84"/>
      <c r="B765" s="84"/>
      <c r="C765" s="60"/>
      <c r="D765" s="66"/>
      <c r="E765" s="66"/>
      <c r="F765" s="66"/>
      <c r="G765" s="66"/>
      <c r="H765" s="66"/>
      <c r="I765" s="66"/>
      <c r="J765" s="66"/>
      <c r="K765" s="66"/>
      <c r="L765" s="66"/>
      <c r="M765" s="66"/>
      <c r="N765" s="66"/>
    </row>
    <row r="766" spans="1:14" x14ac:dyDescent="0.2">
      <c r="A766" s="84"/>
      <c r="B766" s="84"/>
      <c r="C766" s="60"/>
      <c r="D766" s="66"/>
      <c r="E766" s="66"/>
      <c r="F766" s="66"/>
      <c r="G766" s="66"/>
      <c r="H766" s="66"/>
      <c r="I766" s="66"/>
      <c r="J766" s="66"/>
      <c r="K766" s="66"/>
      <c r="L766" s="66"/>
      <c r="M766" s="66"/>
      <c r="N766" s="66"/>
    </row>
    <row r="767" spans="1:14" x14ac:dyDescent="0.2">
      <c r="A767" s="84"/>
      <c r="B767" s="84"/>
      <c r="C767" s="60"/>
      <c r="D767" s="66"/>
      <c r="E767" s="66"/>
      <c r="F767" s="66"/>
      <c r="G767" s="66"/>
      <c r="H767" s="66"/>
      <c r="I767" s="66"/>
      <c r="J767" s="66"/>
      <c r="K767" s="66"/>
      <c r="L767" s="66"/>
      <c r="M767" s="66"/>
      <c r="N767" s="66"/>
    </row>
    <row r="768" spans="1:14" x14ac:dyDescent="0.2">
      <c r="A768" s="84"/>
      <c r="B768" s="84"/>
      <c r="C768" s="60"/>
      <c r="D768" s="66"/>
      <c r="E768" s="66"/>
      <c r="F768" s="66"/>
      <c r="G768" s="66"/>
      <c r="H768" s="66"/>
      <c r="I768" s="66"/>
      <c r="J768" s="66"/>
      <c r="K768" s="66"/>
      <c r="L768" s="66"/>
      <c r="M768" s="66"/>
      <c r="N768" s="66"/>
    </row>
    <row r="769" spans="1:14" x14ac:dyDescent="0.2">
      <c r="A769" s="84"/>
      <c r="B769" s="84"/>
      <c r="C769" s="60"/>
      <c r="D769" s="66"/>
      <c r="E769" s="66"/>
      <c r="F769" s="66"/>
      <c r="G769" s="66"/>
      <c r="H769" s="66"/>
      <c r="I769" s="66"/>
      <c r="J769" s="66"/>
      <c r="K769" s="66"/>
      <c r="L769" s="66"/>
      <c r="M769" s="66"/>
      <c r="N769" s="66"/>
    </row>
    <row r="770" spans="1:14" x14ac:dyDescent="0.2">
      <c r="A770" s="84"/>
      <c r="B770" s="84"/>
      <c r="C770" s="60"/>
      <c r="D770" s="66"/>
      <c r="E770" s="66"/>
      <c r="F770" s="66"/>
      <c r="G770" s="66"/>
      <c r="H770" s="66"/>
      <c r="I770" s="66"/>
      <c r="J770" s="66"/>
      <c r="K770" s="66"/>
      <c r="L770" s="66"/>
      <c r="M770" s="66"/>
      <c r="N770" s="66"/>
    </row>
    <row r="771" spans="1:14" x14ac:dyDescent="0.2">
      <c r="A771" s="84"/>
      <c r="B771" s="84"/>
      <c r="C771" s="60"/>
      <c r="D771" s="66"/>
      <c r="E771" s="66"/>
      <c r="F771" s="66"/>
      <c r="G771" s="66"/>
      <c r="H771" s="66"/>
      <c r="I771" s="66"/>
      <c r="J771" s="66"/>
      <c r="K771" s="66"/>
      <c r="L771" s="66"/>
      <c r="M771" s="66"/>
      <c r="N771" s="66"/>
    </row>
    <row r="772" spans="1:14" x14ac:dyDescent="0.2">
      <c r="A772" s="84"/>
      <c r="B772" s="84"/>
      <c r="C772" s="60"/>
      <c r="D772" s="66"/>
      <c r="E772" s="66"/>
      <c r="F772" s="66"/>
      <c r="G772" s="66"/>
      <c r="H772" s="66"/>
      <c r="I772" s="66"/>
      <c r="J772" s="66"/>
      <c r="K772" s="66"/>
      <c r="L772" s="66"/>
      <c r="M772" s="66"/>
      <c r="N772" s="66"/>
    </row>
    <row r="773" spans="1:14" x14ac:dyDescent="0.2">
      <c r="A773" s="84"/>
      <c r="B773" s="84"/>
      <c r="C773" s="60"/>
      <c r="D773" s="66"/>
      <c r="E773" s="66"/>
      <c r="F773" s="66"/>
      <c r="G773" s="66"/>
      <c r="H773" s="66"/>
      <c r="I773" s="66"/>
      <c r="J773" s="66"/>
      <c r="K773" s="66"/>
      <c r="L773" s="66"/>
      <c r="M773" s="66"/>
      <c r="N773" s="66"/>
    </row>
    <row r="774" spans="1:14" x14ac:dyDescent="0.2">
      <c r="A774" s="84"/>
      <c r="B774" s="84"/>
      <c r="C774" s="60"/>
      <c r="D774" s="66"/>
      <c r="E774" s="66"/>
      <c r="F774" s="66"/>
      <c r="G774" s="66"/>
      <c r="H774" s="66"/>
      <c r="I774" s="66"/>
      <c r="J774" s="66"/>
      <c r="K774" s="66"/>
      <c r="L774" s="66"/>
      <c r="M774" s="66"/>
      <c r="N774" s="66"/>
    </row>
    <row r="775" spans="1:14" x14ac:dyDescent="0.2">
      <c r="A775" s="84"/>
      <c r="B775" s="84"/>
      <c r="C775" s="60"/>
      <c r="D775" s="66"/>
      <c r="E775" s="66"/>
      <c r="F775" s="66"/>
      <c r="G775" s="66"/>
      <c r="H775" s="66"/>
      <c r="I775" s="66"/>
      <c r="J775" s="66"/>
      <c r="K775" s="66"/>
      <c r="L775" s="66"/>
      <c r="M775" s="66"/>
      <c r="N775" s="66"/>
    </row>
    <row r="776" spans="1:14" x14ac:dyDescent="0.2">
      <c r="A776" s="84"/>
      <c r="B776" s="84"/>
      <c r="C776" s="60"/>
      <c r="D776" s="66"/>
      <c r="E776" s="66"/>
      <c r="F776" s="66"/>
      <c r="G776" s="66"/>
      <c r="H776" s="66"/>
      <c r="I776" s="66"/>
      <c r="J776" s="66"/>
      <c r="K776" s="66"/>
      <c r="L776" s="66"/>
      <c r="M776" s="66"/>
      <c r="N776" s="66"/>
    </row>
    <row r="777" spans="1:14" x14ac:dyDescent="0.2">
      <c r="A777" s="84"/>
      <c r="B777" s="84"/>
      <c r="C777" s="60"/>
      <c r="D777" s="66"/>
      <c r="E777" s="66"/>
      <c r="F777" s="66"/>
      <c r="G777" s="66"/>
      <c r="H777" s="66"/>
      <c r="I777" s="66"/>
      <c r="J777" s="66"/>
      <c r="K777" s="66"/>
      <c r="L777" s="66"/>
      <c r="M777" s="66"/>
      <c r="N777" s="66"/>
    </row>
    <row r="778" spans="1:14" x14ac:dyDescent="0.2">
      <c r="A778" s="84"/>
      <c r="B778" s="84"/>
      <c r="C778" s="60"/>
      <c r="D778" s="66"/>
      <c r="E778" s="66"/>
      <c r="F778" s="66"/>
      <c r="G778" s="66"/>
      <c r="H778" s="66"/>
      <c r="I778" s="66"/>
      <c r="J778" s="66"/>
      <c r="K778" s="66"/>
      <c r="L778" s="66"/>
      <c r="M778" s="66"/>
      <c r="N778" s="66"/>
    </row>
    <row r="779" spans="1:14" x14ac:dyDescent="0.2">
      <c r="A779" s="84"/>
      <c r="B779" s="84"/>
      <c r="C779" s="60"/>
      <c r="D779" s="66"/>
      <c r="E779" s="66"/>
      <c r="F779" s="66"/>
      <c r="G779" s="66"/>
      <c r="H779" s="66"/>
      <c r="I779" s="66"/>
      <c r="J779" s="66"/>
      <c r="K779" s="66"/>
      <c r="L779" s="66"/>
      <c r="M779" s="66"/>
      <c r="N779" s="66"/>
    </row>
    <row r="780" spans="1:14" x14ac:dyDescent="0.2">
      <c r="A780" s="84"/>
      <c r="B780" s="84"/>
      <c r="C780" s="60"/>
      <c r="D780" s="66"/>
      <c r="E780" s="66"/>
      <c r="F780" s="66"/>
      <c r="G780" s="66"/>
      <c r="H780" s="66"/>
      <c r="I780" s="66"/>
      <c r="J780" s="66"/>
      <c r="K780" s="66"/>
      <c r="L780" s="66"/>
      <c r="M780" s="66"/>
      <c r="N780" s="66"/>
    </row>
    <row r="781" spans="1:14" x14ac:dyDescent="0.2">
      <c r="A781" s="84"/>
      <c r="B781" s="84"/>
      <c r="C781" s="60"/>
      <c r="D781" s="66"/>
      <c r="E781" s="66"/>
      <c r="F781" s="66"/>
      <c r="G781" s="66"/>
      <c r="H781" s="66"/>
      <c r="I781" s="66"/>
      <c r="J781" s="66"/>
      <c r="K781" s="66"/>
      <c r="L781" s="66"/>
      <c r="M781" s="66"/>
      <c r="N781" s="66"/>
    </row>
    <row r="782" spans="1:14" x14ac:dyDescent="0.2">
      <c r="A782" s="84"/>
      <c r="B782" s="84"/>
      <c r="C782" s="60"/>
      <c r="D782" s="66"/>
      <c r="E782" s="66"/>
      <c r="F782" s="66"/>
      <c r="G782" s="66"/>
      <c r="H782" s="66"/>
      <c r="I782" s="66"/>
      <c r="J782" s="66"/>
      <c r="K782" s="66"/>
      <c r="L782" s="66"/>
      <c r="M782" s="66"/>
      <c r="N782" s="66"/>
    </row>
    <row r="783" spans="1:14" x14ac:dyDescent="0.2">
      <c r="A783" s="84"/>
      <c r="B783" s="84"/>
      <c r="C783" s="60"/>
      <c r="D783" s="66"/>
      <c r="E783" s="66"/>
      <c r="F783" s="66"/>
      <c r="G783" s="66"/>
      <c r="H783" s="66"/>
      <c r="I783" s="66"/>
      <c r="J783" s="66"/>
      <c r="K783" s="66"/>
      <c r="L783" s="66"/>
      <c r="M783" s="66"/>
      <c r="N783" s="66"/>
    </row>
    <row r="784" spans="1:14" x14ac:dyDescent="0.2">
      <c r="A784" s="84"/>
      <c r="B784" s="84"/>
      <c r="C784" s="60"/>
      <c r="D784" s="66"/>
      <c r="E784" s="66"/>
      <c r="F784" s="66"/>
      <c r="G784" s="66"/>
      <c r="H784" s="66"/>
      <c r="I784" s="66"/>
      <c r="J784" s="66"/>
      <c r="K784" s="66"/>
      <c r="L784" s="66"/>
      <c r="M784" s="66"/>
      <c r="N784" s="66"/>
    </row>
    <row r="785" spans="1:14" x14ac:dyDescent="0.2">
      <c r="A785" s="84"/>
      <c r="B785" s="84"/>
      <c r="C785" s="60"/>
      <c r="D785" s="66"/>
      <c r="E785" s="66"/>
      <c r="F785" s="66"/>
      <c r="G785" s="66"/>
      <c r="H785" s="66"/>
      <c r="I785" s="66"/>
      <c r="J785" s="66"/>
      <c r="K785" s="66"/>
      <c r="L785" s="66"/>
      <c r="M785" s="66"/>
      <c r="N785" s="66"/>
    </row>
    <row r="786" spans="1:14" x14ac:dyDescent="0.2">
      <c r="A786" s="84"/>
      <c r="B786" s="84"/>
      <c r="C786" s="60"/>
      <c r="D786" s="66"/>
      <c r="E786" s="66"/>
      <c r="F786" s="66"/>
      <c r="G786" s="66"/>
      <c r="H786" s="66"/>
      <c r="I786" s="66"/>
      <c r="J786" s="66"/>
      <c r="K786" s="66"/>
      <c r="L786" s="66"/>
      <c r="M786" s="66"/>
      <c r="N786" s="66"/>
    </row>
    <row r="787" spans="1:14" x14ac:dyDescent="0.2">
      <c r="A787" s="84"/>
      <c r="B787" s="84"/>
      <c r="C787" s="60"/>
      <c r="D787" s="66"/>
      <c r="E787" s="66"/>
      <c r="F787" s="66"/>
      <c r="G787" s="66"/>
      <c r="H787" s="66"/>
      <c r="I787" s="66"/>
      <c r="J787" s="66"/>
      <c r="K787" s="66"/>
      <c r="L787" s="66"/>
      <c r="M787" s="66"/>
      <c r="N787" s="66"/>
    </row>
    <row r="788" spans="1:14" x14ac:dyDescent="0.2">
      <c r="A788" s="84"/>
      <c r="B788" s="84"/>
      <c r="C788" s="60"/>
      <c r="D788" s="66"/>
      <c r="E788" s="66"/>
      <c r="F788" s="66"/>
      <c r="G788" s="66"/>
      <c r="H788" s="66"/>
      <c r="I788" s="66"/>
      <c r="J788" s="66"/>
      <c r="K788" s="66"/>
      <c r="L788" s="66"/>
      <c r="M788" s="66"/>
      <c r="N788" s="66"/>
    </row>
    <row r="789" spans="1:14" x14ac:dyDescent="0.2">
      <c r="A789" s="84"/>
      <c r="B789" s="84"/>
      <c r="C789" s="60"/>
      <c r="D789" s="66"/>
      <c r="E789" s="66"/>
      <c r="F789" s="66"/>
      <c r="G789" s="66"/>
      <c r="H789" s="66"/>
      <c r="I789" s="66"/>
      <c r="J789" s="66"/>
      <c r="K789" s="66"/>
      <c r="L789" s="66"/>
      <c r="M789" s="66"/>
      <c r="N789" s="66"/>
    </row>
    <row r="790" spans="1:14" x14ac:dyDescent="0.2">
      <c r="A790" s="84"/>
      <c r="B790" s="84"/>
      <c r="C790" s="60"/>
      <c r="D790" s="66"/>
      <c r="E790" s="66"/>
      <c r="F790" s="66"/>
      <c r="G790" s="66"/>
      <c r="H790" s="66"/>
      <c r="I790" s="66"/>
      <c r="J790" s="66"/>
      <c r="K790" s="66"/>
      <c r="L790" s="66"/>
      <c r="M790" s="66"/>
      <c r="N790" s="66"/>
    </row>
    <row r="791" spans="1:14" x14ac:dyDescent="0.2">
      <c r="A791" s="84"/>
      <c r="B791" s="84"/>
      <c r="C791" s="60"/>
      <c r="D791" s="66"/>
      <c r="E791" s="66"/>
      <c r="F791" s="66"/>
      <c r="G791" s="66"/>
      <c r="H791" s="66"/>
      <c r="I791" s="66"/>
      <c r="J791" s="66"/>
      <c r="K791" s="66"/>
      <c r="L791" s="66"/>
      <c r="M791" s="66"/>
      <c r="N791" s="66"/>
    </row>
    <row r="792" spans="1:14" x14ac:dyDescent="0.2">
      <c r="A792" s="84"/>
      <c r="B792" s="84"/>
      <c r="C792" s="60"/>
      <c r="D792" s="66"/>
      <c r="E792" s="66"/>
      <c r="F792" s="66"/>
      <c r="G792" s="66"/>
      <c r="H792" s="66"/>
      <c r="I792" s="66"/>
      <c r="J792" s="66"/>
      <c r="K792" s="66"/>
      <c r="L792" s="66"/>
      <c r="M792" s="66"/>
      <c r="N792" s="66"/>
    </row>
    <row r="793" spans="1:14" x14ac:dyDescent="0.2">
      <c r="A793" s="84"/>
      <c r="B793" s="84"/>
      <c r="C793" s="60"/>
      <c r="D793" s="66"/>
      <c r="E793" s="66"/>
      <c r="F793" s="66"/>
      <c r="G793" s="66"/>
      <c r="H793" s="66"/>
      <c r="I793" s="66"/>
      <c r="J793" s="66"/>
      <c r="K793" s="66"/>
      <c r="L793" s="66"/>
      <c r="M793" s="66"/>
      <c r="N793" s="66"/>
    </row>
    <row r="794" spans="1:14" x14ac:dyDescent="0.2">
      <c r="A794" s="84"/>
      <c r="B794" s="84"/>
      <c r="C794" s="60"/>
      <c r="D794" s="66"/>
      <c r="E794" s="66"/>
      <c r="F794" s="66"/>
      <c r="G794" s="66"/>
      <c r="H794" s="66"/>
      <c r="I794" s="66"/>
      <c r="J794" s="66"/>
      <c r="K794" s="66"/>
      <c r="L794" s="66"/>
      <c r="M794" s="66"/>
      <c r="N794" s="66"/>
    </row>
    <row r="795" spans="1:14" x14ac:dyDescent="0.2">
      <c r="A795" s="84"/>
      <c r="B795" s="84"/>
      <c r="C795" s="60"/>
      <c r="D795" s="66"/>
      <c r="E795" s="66"/>
      <c r="F795" s="66"/>
      <c r="G795" s="66"/>
      <c r="H795" s="66"/>
      <c r="I795" s="66"/>
      <c r="J795" s="66"/>
      <c r="K795" s="66"/>
      <c r="L795" s="66"/>
      <c r="M795" s="66"/>
      <c r="N795" s="66"/>
    </row>
    <row r="796" spans="1:14" x14ac:dyDescent="0.2">
      <c r="A796" s="84"/>
      <c r="B796" s="84"/>
      <c r="C796" s="60"/>
      <c r="D796" s="66"/>
      <c r="E796" s="66"/>
      <c r="F796" s="66"/>
      <c r="G796" s="66"/>
      <c r="H796" s="66"/>
      <c r="I796" s="66"/>
      <c r="J796" s="66"/>
      <c r="K796" s="66"/>
      <c r="L796" s="66"/>
      <c r="M796" s="66"/>
      <c r="N796" s="66"/>
    </row>
    <row r="797" spans="1:14" x14ac:dyDescent="0.2">
      <c r="A797" s="84"/>
      <c r="B797" s="84"/>
      <c r="C797" s="60"/>
      <c r="D797" s="66"/>
      <c r="E797" s="66"/>
      <c r="F797" s="66"/>
      <c r="G797" s="66"/>
      <c r="H797" s="66"/>
      <c r="I797" s="66"/>
      <c r="J797" s="66"/>
      <c r="K797" s="66"/>
      <c r="L797" s="66"/>
      <c r="M797" s="66"/>
      <c r="N797" s="66"/>
    </row>
    <row r="798" spans="1:14" x14ac:dyDescent="0.2">
      <c r="A798" s="84"/>
      <c r="B798" s="84"/>
      <c r="C798" s="60"/>
      <c r="D798" s="66"/>
      <c r="E798" s="66"/>
      <c r="F798" s="66"/>
      <c r="G798" s="66"/>
      <c r="H798" s="66"/>
      <c r="I798" s="66"/>
      <c r="J798" s="66"/>
      <c r="K798" s="66"/>
      <c r="L798" s="66"/>
      <c r="M798" s="66"/>
      <c r="N798" s="66"/>
    </row>
    <row r="799" spans="1:14" x14ac:dyDescent="0.2">
      <c r="A799" s="84"/>
      <c r="B799" s="84"/>
      <c r="C799" s="60"/>
      <c r="D799" s="66"/>
      <c r="E799" s="66"/>
      <c r="F799" s="66"/>
      <c r="G799" s="66"/>
      <c r="H799" s="66"/>
      <c r="I799" s="66"/>
      <c r="J799" s="66"/>
      <c r="K799" s="66"/>
      <c r="L799" s="66"/>
      <c r="M799" s="66"/>
      <c r="N799" s="66"/>
    </row>
    <row r="800" spans="1:14" x14ac:dyDescent="0.2">
      <c r="A800" s="84"/>
      <c r="B800" s="84"/>
      <c r="C800" s="60"/>
      <c r="D800" s="66"/>
      <c r="E800" s="66"/>
      <c r="F800" s="66"/>
      <c r="G800" s="66"/>
      <c r="H800" s="66"/>
      <c r="I800" s="66"/>
      <c r="J800" s="66"/>
      <c r="K800" s="66"/>
      <c r="L800" s="66"/>
      <c r="M800" s="66"/>
      <c r="N800" s="66"/>
    </row>
    <row r="801" spans="1:14" x14ac:dyDescent="0.2">
      <c r="A801" s="84"/>
      <c r="B801" s="84"/>
      <c r="C801" s="60"/>
      <c r="D801" s="66"/>
      <c r="E801" s="66"/>
      <c r="F801" s="66"/>
      <c r="G801" s="66"/>
      <c r="H801" s="66"/>
      <c r="I801" s="66"/>
      <c r="J801" s="66"/>
      <c r="K801" s="66"/>
      <c r="L801" s="66"/>
      <c r="M801" s="66"/>
      <c r="N801" s="66"/>
    </row>
    <row r="802" spans="1:14" x14ac:dyDescent="0.2">
      <c r="A802" s="84"/>
      <c r="B802" s="84"/>
      <c r="C802" s="60"/>
      <c r="D802" s="66"/>
      <c r="E802" s="66"/>
      <c r="F802" s="66"/>
      <c r="G802" s="66"/>
      <c r="H802" s="66"/>
      <c r="I802" s="66"/>
      <c r="J802" s="66"/>
      <c r="K802" s="66"/>
      <c r="L802" s="66"/>
      <c r="M802" s="66"/>
      <c r="N802" s="66"/>
    </row>
    <row r="803" spans="1:14" x14ac:dyDescent="0.2">
      <c r="A803" s="84"/>
      <c r="B803" s="84"/>
      <c r="C803" s="60"/>
      <c r="D803" s="66"/>
      <c r="E803" s="66"/>
      <c r="F803" s="66"/>
      <c r="G803" s="66"/>
      <c r="H803" s="66"/>
      <c r="I803" s="66"/>
      <c r="J803" s="66"/>
      <c r="K803" s="66"/>
      <c r="L803" s="66"/>
      <c r="M803" s="66"/>
      <c r="N803" s="66"/>
    </row>
    <row r="804" spans="1:14" x14ac:dyDescent="0.2">
      <c r="A804" s="84"/>
      <c r="B804" s="84"/>
      <c r="C804" s="60"/>
      <c r="D804" s="66"/>
      <c r="E804" s="66"/>
      <c r="F804" s="66"/>
      <c r="G804" s="66"/>
      <c r="H804" s="66"/>
      <c r="I804" s="66"/>
      <c r="J804" s="66"/>
      <c r="K804" s="66"/>
      <c r="L804" s="66"/>
      <c r="M804" s="66"/>
      <c r="N804" s="66"/>
    </row>
    <row r="805" spans="1:14" x14ac:dyDescent="0.2">
      <c r="A805" s="84"/>
      <c r="B805" s="84"/>
      <c r="C805" s="60"/>
      <c r="D805" s="66"/>
      <c r="E805" s="66"/>
      <c r="F805" s="66"/>
      <c r="G805" s="66"/>
      <c r="H805" s="66"/>
      <c r="I805" s="66"/>
      <c r="J805" s="66"/>
      <c r="K805" s="66"/>
      <c r="L805" s="66"/>
      <c r="M805" s="66"/>
      <c r="N805" s="66"/>
    </row>
    <row r="806" spans="1:14" x14ac:dyDescent="0.2">
      <c r="A806" s="84"/>
      <c r="B806" s="84"/>
      <c r="C806" s="60"/>
      <c r="D806" s="66"/>
      <c r="E806" s="66"/>
      <c r="F806" s="66"/>
      <c r="G806" s="66"/>
      <c r="H806" s="66"/>
      <c r="I806" s="66"/>
      <c r="J806" s="66"/>
      <c r="K806" s="66"/>
      <c r="L806" s="66"/>
      <c r="M806" s="66"/>
      <c r="N806" s="66"/>
    </row>
    <row r="807" spans="1:14" x14ac:dyDescent="0.2">
      <c r="A807" s="84"/>
      <c r="B807" s="84"/>
      <c r="C807" s="60"/>
      <c r="D807" s="66"/>
      <c r="E807" s="66"/>
      <c r="F807" s="66"/>
      <c r="G807" s="66"/>
      <c r="H807" s="66"/>
      <c r="I807" s="66"/>
      <c r="J807" s="66"/>
      <c r="K807" s="66"/>
      <c r="L807" s="66"/>
      <c r="M807" s="66"/>
      <c r="N807" s="66"/>
    </row>
    <row r="808" spans="1:14" x14ac:dyDescent="0.2">
      <c r="A808" s="84"/>
      <c r="B808" s="84"/>
      <c r="C808" s="60"/>
      <c r="D808" s="66"/>
      <c r="E808" s="66"/>
      <c r="F808" s="66"/>
      <c r="G808" s="66"/>
      <c r="H808" s="66"/>
      <c r="I808" s="66"/>
      <c r="J808" s="66"/>
      <c r="K808" s="66"/>
      <c r="L808" s="66"/>
      <c r="M808" s="66"/>
      <c r="N808" s="66"/>
    </row>
    <row r="809" spans="1:14" x14ac:dyDescent="0.2">
      <c r="A809" s="84"/>
      <c r="B809" s="84"/>
      <c r="C809" s="60"/>
      <c r="D809" s="66"/>
      <c r="E809" s="66"/>
      <c r="F809" s="66"/>
      <c r="G809" s="66"/>
      <c r="H809" s="66"/>
      <c r="I809" s="66"/>
      <c r="J809" s="66"/>
      <c r="K809" s="66"/>
      <c r="L809" s="66"/>
      <c r="M809" s="66"/>
      <c r="N809" s="66"/>
    </row>
    <row r="810" spans="1:14" x14ac:dyDescent="0.2">
      <c r="A810" s="84"/>
      <c r="B810" s="84"/>
      <c r="C810" s="60"/>
      <c r="D810" s="66"/>
      <c r="E810" s="66"/>
      <c r="F810" s="66"/>
      <c r="G810" s="66"/>
      <c r="H810" s="66"/>
      <c r="I810" s="66"/>
      <c r="J810" s="66"/>
      <c r="K810" s="66"/>
      <c r="L810" s="66"/>
      <c r="M810" s="66"/>
      <c r="N810" s="66"/>
    </row>
    <row r="811" spans="1:14" x14ac:dyDescent="0.2">
      <c r="A811" s="84"/>
      <c r="B811" s="84"/>
      <c r="C811" s="60"/>
      <c r="D811" s="66"/>
      <c r="E811" s="66"/>
      <c r="F811" s="66"/>
      <c r="G811" s="66"/>
      <c r="H811" s="66"/>
      <c r="I811" s="66"/>
      <c r="J811" s="66"/>
      <c r="K811" s="66"/>
      <c r="L811" s="66"/>
      <c r="M811" s="66"/>
      <c r="N811" s="66"/>
    </row>
    <row r="812" spans="1:14" x14ac:dyDescent="0.2">
      <c r="A812" s="84"/>
      <c r="B812" s="84"/>
      <c r="C812" s="60"/>
      <c r="D812" s="66"/>
      <c r="E812" s="66"/>
      <c r="F812" s="66"/>
      <c r="G812" s="66"/>
      <c r="H812" s="66"/>
      <c r="I812" s="66"/>
      <c r="J812" s="66"/>
      <c r="K812" s="66"/>
      <c r="L812" s="66"/>
      <c r="M812" s="66"/>
      <c r="N812" s="66"/>
    </row>
    <row r="813" spans="1:14" x14ac:dyDescent="0.2">
      <c r="A813" s="84"/>
      <c r="B813" s="84"/>
      <c r="C813" s="60"/>
      <c r="D813" s="66"/>
      <c r="E813" s="66"/>
      <c r="F813" s="66"/>
      <c r="G813" s="66"/>
      <c r="H813" s="66"/>
      <c r="I813" s="66"/>
      <c r="J813" s="66"/>
      <c r="K813" s="66"/>
      <c r="L813" s="66"/>
      <c r="M813" s="66"/>
      <c r="N813" s="66"/>
    </row>
    <row r="814" spans="1:14" x14ac:dyDescent="0.2">
      <c r="A814" s="84"/>
      <c r="B814" s="84"/>
      <c r="C814" s="60"/>
      <c r="D814" s="66"/>
      <c r="E814" s="66"/>
      <c r="F814" s="66"/>
      <c r="G814" s="66"/>
      <c r="H814" s="66"/>
      <c r="I814" s="66"/>
      <c r="J814" s="66"/>
      <c r="K814" s="66"/>
      <c r="L814" s="66"/>
      <c r="M814" s="66"/>
      <c r="N814" s="66"/>
    </row>
    <row r="815" spans="1:14" x14ac:dyDescent="0.2">
      <c r="A815" s="84"/>
      <c r="B815" s="84"/>
      <c r="C815" s="60"/>
      <c r="D815" s="66"/>
      <c r="E815" s="66"/>
      <c r="F815" s="66"/>
      <c r="G815" s="66"/>
      <c r="H815" s="66"/>
      <c r="I815" s="66"/>
      <c r="J815" s="66"/>
      <c r="K815" s="66"/>
      <c r="L815" s="66"/>
      <c r="M815" s="66"/>
      <c r="N815" s="66"/>
    </row>
    <row r="816" spans="1:14" x14ac:dyDescent="0.2">
      <c r="A816" s="84"/>
      <c r="B816" s="84"/>
      <c r="C816" s="60"/>
      <c r="D816" s="66"/>
      <c r="E816" s="66"/>
      <c r="F816" s="66"/>
      <c r="G816" s="66"/>
      <c r="H816" s="66"/>
      <c r="I816" s="66"/>
      <c r="J816" s="66"/>
      <c r="K816" s="66"/>
      <c r="L816" s="66"/>
      <c r="M816" s="66"/>
      <c r="N816" s="66"/>
    </row>
    <row r="817" spans="1:14" x14ac:dyDescent="0.2">
      <c r="A817" s="84"/>
      <c r="B817" s="84"/>
      <c r="C817" s="60"/>
      <c r="D817" s="66"/>
      <c r="E817" s="66"/>
      <c r="F817" s="66"/>
      <c r="G817" s="66"/>
      <c r="H817" s="66"/>
      <c r="I817" s="66"/>
      <c r="J817" s="66"/>
      <c r="K817" s="66"/>
      <c r="L817" s="66"/>
      <c r="M817" s="66"/>
      <c r="N817" s="66"/>
    </row>
    <row r="818" spans="1:14" x14ac:dyDescent="0.2">
      <c r="A818" s="84"/>
      <c r="B818" s="84"/>
      <c r="C818" s="60"/>
      <c r="D818" s="66"/>
      <c r="E818" s="66"/>
      <c r="F818" s="66"/>
      <c r="G818" s="66"/>
      <c r="H818" s="66"/>
      <c r="I818" s="66"/>
      <c r="J818" s="66"/>
      <c r="K818" s="66"/>
      <c r="L818" s="66"/>
      <c r="M818" s="66"/>
      <c r="N818" s="66"/>
    </row>
    <row r="819" spans="1:14" x14ac:dyDescent="0.2">
      <c r="A819" s="84"/>
      <c r="B819" s="84"/>
      <c r="C819" s="60"/>
      <c r="D819" s="66"/>
      <c r="E819" s="66"/>
      <c r="F819" s="66"/>
      <c r="G819" s="66"/>
      <c r="H819" s="66"/>
      <c r="I819" s="66"/>
      <c r="J819" s="66"/>
      <c r="K819" s="66"/>
      <c r="L819" s="66"/>
      <c r="M819" s="66"/>
      <c r="N819" s="66"/>
    </row>
    <row r="820" spans="1:14" x14ac:dyDescent="0.2">
      <c r="A820" s="84"/>
      <c r="B820" s="84"/>
      <c r="C820" s="60"/>
      <c r="D820" s="66"/>
      <c r="E820" s="66"/>
      <c r="F820" s="66"/>
      <c r="G820" s="66"/>
      <c r="H820" s="66"/>
      <c r="I820" s="66"/>
      <c r="J820" s="66"/>
      <c r="K820" s="66"/>
      <c r="L820" s="66"/>
      <c r="M820" s="66"/>
      <c r="N820" s="66"/>
    </row>
    <row r="821" spans="1:14" x14ac:dyDescent="0.2">
      <c r="A821" s="84"/>
      <c r="B821" s="84"/>
      <c r="C821" s="60"/>
      <c r="D821" s="66"/>
      <c r="E821" s="66"/>
      <c r="F821" s="66"/>
      <c r="G821" s="66"/>
      <c r="H821" s="66"/>
      <c r="I821" s="66"/>
      <c r="J821" s="66"/>
      <c r="K821" s="66"/>
      <c r="L821" s="66"/>
      <c r="M821" s="66"/>
      <c r="N821" s="66"/>
    </row>
    <row r="822" spans="1:14" x14ac:dyDescent="0.2">
      <c r="A822" s="84"/>
      <c r="B822" s="84"/>
      <c r="C822" s="60"/>
      <c r="D822" s="66"/>
      <c r="E822" s="66"/>
      <c r="F822" s="66"/>
      <c r="G822" s="66"/>
      <c r="H822" s="66"/>
      <c r="I822" s="66"/>
      <c r="J822" s="66"/>
      <c r="K822" s="66"/>
      <c r="L822" s="66"/>
      <c r="M822" s="66"/>
      <c r="N822" s="66"/>
    </row>
    <row r="823" spans="1:14" x14ac:dyDescent="0.2">
      <c r="A823" s="84"/>
      <c r="B823" s="84"/>
      <c r="C823" s="60"/>
      <c r="D823" s="66"/>
      <c r="E823" s="66"/>
      <c r="F823" s="66"/>
      <c r="G823" s="66"/>
      <c r="H823" s="66"/>
      <c r="I823" s="66"/>
      <c r="J823" s="66"/>
      <c r="K823" s="66"/>
      <c r="L823" s="66"/>
      <c r="M823" s="66"/>
      <c r="N823" s="66"/>
    </row>
    <row r="824" spans="1:14" x14ac:dyDescent="0.2">
      <c r="A824" s="84"/>
      <c r="B824" s="84"/>
      <c r="C824" s="60"/>
      <c r="D824" s="66"/>
      <c r="E824" s="66"/>
      <c r="F824" s="66"/>
      <c r="G824" s="66"/>
      <c r="H824" s="66"/>
      <c r="I824" s="66"/>
      <c r="J824" s="66"/>
      <c r="K824" s="66"/>
      <c r="L824" s="66"/>
      <c r="M824" s="66"/>
      <c r="N824" s="66"/>
    </row>
    <row r="825" spans="1:14" x14ac:dyDescent="0.2">
      <c r="A825" s="84"/>
      <c r="B825" s="84"/>
      <c r="C825" s="60"/>
      <c r="D825" s="66"/>
      <c r="E825" s="66"/>
      <c r="F825" s="66"/>
      <c r="G825" s="66"/>
      <c r="H825" s="66"/>
      <c r="I825" s="66"/>
      <c r="J825" s="66"/>
      <c r="K825" s="66"/>
      <c r="L825" s="66"/>
      <c r="M825" s="66"/>
      <c r="N825" s="66"/>
    </row>
    <row r="826" spans="1:14" x14ac:dyDescent="0.2">
      <c r="A826" s="84"/>
      <c r="B826" s="84"/>
      <c r="C826" s="60"/>
      <c r="D826" s="66"/>
      <c r="E826" s="66"/>
      <c r="F826" s="66"/>
      <c r="G826" s="66"/>
      <c r="H826" s="66"/>
      <c r="I826" s="66"/>
      <c r="J826" s="66"/>
      <c r="K826" s="66"/>
      <c r="L826" s="66"/>
      <c r="M826" s="66"/>
      <c r="N826" s="66"/>
    </row>
    <row r="827" spans="1:14" x14ac:dyDescent="0.2">
      <c r="A827" s="84"/>
      <c r="B827" s="84"/>
      <c r="C827" s="60"/>
      <c r="D827" s="66"/>
      <c r="E827" s="66"/>
      <c r="F827" s="66"/>
      <c r="G827" s="66"/>
      <c r="H827" s="66"/>
      <c r="I827" s="66"/>
      <c r="J827" s="66"/>
      <c r="K827" s="66"/>
      <c r="L827" s="66"/>
      <c r="M827" s="66"/>
      <c r="N827" s="66"/>
    </row>
    <row r="828" spans="1:14" x14ac:dyDescent="0.2">
      <c r="A828" s="84"/>
      <c r="B828" s="84"/>
      <c r="C828" s="60"/>
      <c r="D828" s="66"/>
      <c r="E828" s="66"/>
      <c r="F828" s="66"/>
      <c r="G828" s="66"/>
      <c r="H828" s="66"/>
      <c r="I828" s="66"/>
      <c r="J828" s="66"/>
      <c r="K828" s="66"/>
      <c r="L828" s="66"/>
      <c r="M828" s="66"/>
      <c r="N828" s="66"/>
    </row>
    <row r="829" spans="1:14" x14ac:dyDescent="0.2">
      <c r="A829" s="84"/>
      <c r="B829" s="84"/>
      <c r="C829" s="60"/>
      <c r="D829" s="66"/>
      <c r="E829" s="66"/>
      <c r="F829" s="66"/>
      <c r="G829" s="66"/>
      <c r="H829" s="66"/>
      <c r="I829" s="66"/>
      <c r="J829" s="66"/>
      <c r="K829" s="66"/>
      <c r="L829" s="66"/>
      <c r="M829" s="66"/>
      <c r="N829" s="66"/>
    </row>
    <row r="830" spans="1:14" x14ac:dyDescent="0.2">
      <c r="A830" s="84"/>
      <c r="B830" s="84"/>
      <c r="C830" s="60"/>
      <c r="D830" s="66"/>
      <c r="E830" s="66"/>
      <c r="F830" s="66"/>
      <c r="G830" s="66"/>
      <c r="H830" s="66"/>
      <c r="I830" s="66"/>
      <c r="J830" s="66"/>
      <c r="K830" s="66"/>
      <c r="L830" s="66"/>
      <c r="M830" s="66"/>
      <c r="N830" s="66"/>
    </row>
    <row r="831" spans="1:14" x14ac:dyDescent="0.2">
      <c r="A831" s="84"/>
      <c r="B831" s="84"/>
      <c r="C831" s="60"/>
      <c r="D831" s="66"/>
      <c r="E831" s="66"/>
      <c r="F831" s="66"/>
      <c r="G831" s="66"/>
      <c r="H831" s="66"/>
      <c r="I831" s="66"/>
      <c r="J831" s="66"/>
      <c r="K831" s="66"/>
      <c r="L831" s="66"/>
      <c r="M831" s="66"/>
      <c r="N831" s="66"/>
    </row>
    <row r="832" spans="1:14" x14ac:dyDescent="0.2">
      <c r="A832" s="84"/>
      <c r="B832" s="84"/>
      <c r="C832" s="60"/>
      <c r="D832" s="66"/>
      <c r="E832" s="66"/>
      <c r="F832" s="66"/>
      <c r="G832" s="66"/>
      <c r="H832" s="66"/>
      <c r="I832" s="66"/>
      <c r="J832" s="66"/>
      <c r="K832" s="66"/>
      <c r="L832" s="66"/>
      <c r="M832" s="66"/>
      <c r="N832" s="66"/>
    </row>
    <row r="833" spans="1:14" x14ac:dyDescent="0.2">
      <c r="A833" s="84"/>
      <c r="B833" s="84"/>
      <c r="C833" s="60"/>
      <c r="D833" s="66"/>
      <c r="E833" s="66"/>
      <c r="F833" s="66"/>
      <c r="G833" s="66"/>
      <c r="H833" s="66"/>
      <c r="I833" s="66"/>
      <c r="J833" s="66"/>
      <c r="K833" s="66"/>
      <c r="L833" s="66"/>
      <c r="M833" s="66"/>
      <c r="N833" s="66"/>
    </row>
    <row r="834" spans="1:14" x14ac:dyDescent="0.2">
      <c r="A834" s="84"/>
      <c r="B834" s="84"/>
      <c r="C834" s="60"/>
      <c r="D834" s="66"/>
      <c r="E834" s="66"/>
      <c r="F834" s="66"/>
      <c r="G834" s="66"/>
      <c r="H834" s="66"/>
      <c r="I834" s="66"/>
      <c r="J834" s="66"/>
      <c r="K834" s="66"/>
      <c r="L834" s="66"/>
      <c r="M834" s="66"/>
      <c r="N834" s="66"/>
    </row>
    <row r="835" spans="1:14" x14ac:dyDescent="0.2">
      <c r="A835" s="84"/>
      <c r="B835" s="84"/>
      <c r="C835" s="60"/>
      <c r="D835" s="66"/>
      <c r="E835" s="66"/>
      <c r="F835" s="66"/>
      <c r="G835" s="66"/>
      <c r="H835" s="66"/>
      <c r="I835" s="66"/>
      <c r="J835" s="66"/>
      <c r="K835" s="66"/>
      <c r="L835" s="66"/>
      <c r="M835" s="66"/>
      <c r="N835" s="66"/>
    </row>
    <row r="836" spans="1:14" x14ac:dyDescent="0.2">
      <c r="A836" s="84"/>
      <c r="B836" s="84"/>
      <c r="C836" s="60"/>
      <c r="D836" s="66"/>
      <c r="E836" s="66"/>
      <c r="F836" s="66"/>
      <c r="G836" s="66"/>
      <c r="H836" s="66"/>
      <c r="I836" s="66"/>
      <c r="J836" s="66"/>
      <c r="K836" s="66"/>
      <c r="L836" s="66"/>
      <c r="M836" s="66"/>
      <c r="N836" s="66"/>
    </row>
    <row r="837" spans="1:14" x14ac:dyDescent="0.2">
      <c r="A837" s="84"/>
      <c r="B837" s="84"/>
      <c r="C837" s="60"/>
      <c r="D837" s="66"/>
      <c r="E837" s="66"/>
      <c r="F837" s="66"/>
      <c r="G837" s="66"/>
      <c r="H837" s="66"/>
      <c r="I837" s="66"/>
      <c r="J837" s="66"/>
      <c r="K837" s="66"/>
      <c r="L837" s="66"/>
      <c r="M837" s="66"/>
      <c r="N837" s="66"/>
    </row>
    <row r="838" spans="1:14" x14ac:dyDescent="0.2">
      <c r="A838" s="84"/>
      <c r="B838" s="84"/>
      <c r="C838" s="60"/>
      <c r="D838" s="66"/>
      <c r="E838" s="66"/>
      <c r="F838" s="66"/>
      <c r="G838" s="66"/>
      <c r="H838" s="66"/>
      <c r="I838" s="66"/>
      <c r="J838" s="66"/>
      <c r="K838" s="66"/>
      <c r="L838" s="66"/>
      <c r="M838" s="66"/>
      <c r="N838" s="66"/>
    </row>
    <row r="839" spans="1:14" x14ac:dyDescent="0.2">
      <c r="A839" s="84"/>
      <c r="B839" s="84"/>
      <c r="C839" s="60"/>
      <c r="D839" s="66"/>
      <c r="E839" s="66"/>
      <c r="F839" s="66"/>
      <c r="G839" s="66"/>
      <c r="H839" s="66"/>
      <c r="I839" s="66"/>
      <c r="J839" s="66"/>
      <c r="K839" s="66"/>
      <c r="L839" s="66"/>
      <c r="M839" s="66"/>
      <c r="N839" s="66"/>
    </row>
    <row r="840" spans="1:14" x14ac:dyDescent="0.2">
      <c r="A840" s="84"/>
      <c r="B840" s="84"/>
      <c r="C840" s="60"/>
      <c r="D840" s="66"/>
      <c r="E840" s="66"/>
      <c r="F840" s="66"/>
      <c r="G840" s="66"/>
      <c r="H840" s="66"/>
      <c r="I840" s="66"/>
      <c r="J840" s="66"/>
      <c r="K840" s="66"/>
      <c r="L840" s="66"/>
      <c r="M840" s="66"/>
      <c r="N840" s="66"/>
    </row>
    <row r="841" spans="1:14" x14ac:dyDescent="0.2">
      <c r="A841" s="84"/>
      <c r="B841" s="84"/>
      <c r="C841" s="60"/>
      <c r="D841" s="66"/>
      <c r="E841" s="66"/>
      <c r="F841" s="66"/>
      <c r="G841" s="66"/>
      <c r="H841" s="66"/>
      <c r="I841" s="66"/>
      <c r="J841" s="66"/>
      <c r="K841" s="66"/>
      <c r="L841" s="66"/>
      <c r="M841" s="66"/>
      <c r="N841" s="66"/>
    </row>
    <row r="842" spans="1:14" x14ac:dyDescent="0.2">
      <c r="A842" s="84"/>
      <c r="B842" s="84"/>
      <c r="C842" s="60"/>
      <c r="D842" s="66"/>
      <c r="E842" s="66"/>
      <c r="F842" s="66"/>
      <c r="G842" s="66"/>
      <c r="H842" s="66"/>
      <c r="I842" s="66"/>
      <c r="J842" s="66"/>
      <c r="K842" s="66"/>
      <c r="L842" s="66"/>
      <c r="M842" s="66"/>
      <c r="N842" s="66"/>
    </row>
    <row r="843" spans="1:14" x14ac:dyDescent="0.2">
      <c r="A843" s="84"/>
      <c r="B843" s="84"/>
      <c r="C843" s="60"/>
      <c r="D843" s="66"/>
      <c r="E843" s="66"/>
      <c r="F843" s="66"/>
      <c r="G843" s="66"/>
      <c r="H843" s="66"/>
      <c r="I843" s="66"/>
      <c r="J843" s="66"/>
      <c r="K843" s="66"/>
      <c r="L843" s="66"/>
      <c r="M843" s="66"/>
      <c r="N843" s="66"/>
    </row>
    <row r="844" spans="1:14" x14ac:dyDescent="0.2">
      <c r="A844" s="84"/>
      <c r="B844" s="84"/>
      <c r="C844" s="60"/>
      <c r="D844" s="66"/>
      <c r="E844" s="66"/>
      <c r="F844" s="66"/>
      <c r="G844" s="66"/>
      <c r="H844" s="66"/>
      <c r="I844" s="66"/>
      <c r="J844" s="66"/>
      <c r="K844" s="66"/>
      <c r="L844" s="66"/>
      <c r="M844" s="66"/>
      <c r="N844" s="66"/>
    </row>
    <row r="845" spans="1:14" x14ac:dyDescent="0.2">
      <c r="A845" s="84"/>
      <c r="B845" s="84"/>
      <c r="C845" s="60"/>
      <c r="D845" s="66"/>
      <c r="E845" s="66"/>
      <c r="F845" s="66"/>
      <c r="G845" s="66"/>
      <c r="H845" s="66"/>
      <c r="I845" s="66"/>
      <c r="J845" s="66"/>
      <c r="K845" s="66"/>
      <c r="L845" s="66"/>
      <c r="M845" s="66"/>
      <c r="N845" s="66"/>
    </row>
    <row r="846" spans="1:14" x14ac:dyDescent="0.2">
      <c r="A846" s="84"/>
      <c r="B846" s="84"/>
      <c r="C846" s="60"/>
      <c r="D846" s="66"/>
      <c r="E846" s="66"/>
      <c r="F846" s="66"/>
      <c r="G846" s="66"/>
      <c r="H846" s="66"/>
      <c r="I846" s="66"/>
      <c r="J846" s="66"/>
      <c r="K846" s="66"/>
      <c r="L846" s="66"/>
      <c r="M846" s="66"/>
      <c r="N846" s="66"/>
    </row>
    <row r="847" spans="1:14" x14ac:dyDescent="0.2">
      <c r="A847" s="84"/>
      <c r="B847" s="84"/>
      <c r="C847" s="60"/>
      <c r="D847" s="66"/>
      <c r="E847" s="66"/>
      <c r="F847" s="66"/>
      <c r="G847" s="66"/>
      <c r="H847" s="66"/>
      <c r="I847" s="66"/>
      <c r="J847" s="66"/>
      <c r="K847" s="66"/>
      <c r="L847" s="66"/>
      <c r="M847" s="66"/>
      <c r="N847" s="66"/>
    </row>
    <row r="848" spans="1:14" x14ac:dyDescent="0.2">
      <c r="A848" s="84"/>
      <c r="B848" s="84"/>
      <c r="C848" s="60"/>
      <c r="D848" s="66"/>
      <c r="E848" s="66"/>
      <c r="F848" s="66"/>
      <c r="G848" s="66"/>
      <c r="H848" s="66"/>
      <c r="I848" s="66"/>
      <c r="J848" s="66"/>
      <c r="K848" s="66"/>
      <c r="L848" s="66"/>
      <c r="M848" s="66"/>
      <c r="N848" s="66"/>
    </row>
    <row r="849" spans="1:14" x14ac:dyDescent="0.2">
      <c r="A849" s="84"/>
      <c r="B849" s="84"/>
      <c r="C849" s="60"/>
      <c r="D849" s="66"/>
      <c r="E849" s="66"/>
      <c r="F849" s="66"/>
      <c r="G849" s="66"/>
      <c r="H849" s="66"/>
      <c r="I849" s="66"/>
      <c r="J849" s="66"/>
      <c r="K849" s="66"/>
      <c r="L849" s="66"/>
      <c r="M849" s="66"/>
      <c r="N849" s="66"/>
    </row>
    <row r="850" spans="1:14" x14ac:dyDescent="0.2">
      <c r="A850" s="84"/>
      <c r="B850" s="84"/>
      <c r="C850" s="60"/>
      <c r="D850" s="66"/>
      <c r="E850" s="66"/>
      <c r="F850" s="66"/>
      <c r="G850" s="66"/>
      <c r="H850" s="66"/>
      <c r="I850" s="66"/>
      <c r="J850" s="66"/>
      <c r="K850" s="66"/>
      <c r="L850" s="66"/>
      <c r="M850" s="66"/>
      <c r="N850" s="66"/>
    </row>
    <row r="851" spans="1:14" x14ac:dyDescent="0.2">
      <c r="A851" s="84"/>
      <c r="B851" s="84"/>
      <c r="C851" s="60"/>
      <c r="D851" s="66"/>
      <c r="E851" s="66"/>
      <c r="F851" s="66"/>
      <c r="G851" s="66"/>
      <c r="H851" s="66"/>
      <c r="I851" s="66"/>
      <c r="J851" s="66"/>
      <c r="K851" s="66"/>
      <c r="L851" s="66"/>
      <c r="M851" s="66"/>
      <c r="N851" s="66"/>
    </row>
    <row r="852" spans="1:14" x14ac:dyDescent="0.2">
      <c r="A852" s="84"/>
      <c r="B852" s="84"/>
      <c r="C852" s="60"/>
      <c r="D852" s="66"/>
      <c r="E852" s="66"/>
      <c r="F852" s="66"/>
      <c r="G852" s="66"/>
      <c r="H852" s="66"/>
      <c r="I852" s="66"/>
      <c r="J852" s="66"/>
      <c r="K852" s="66"/>
      <c r="L852" s="66"/>
      <c r="M852" s="66"/>
      <c r="N852" s="66"/>
    </row>
    <row r="853" spans="1:14" x14ac:dyDescent="0.2">
      <c r="A853" s="84"/>
      <c r="B853" s="84"/>
      <c r="C853" s="60"/>
      <c r="D853" s="66"/>
      <c r="E853" s="66"/>
      <c r="F853" s="66"/>
      <c r="G853" s="66"/>
      <c r="H853" s="66"/>
      <c r="I853" s="66"/>
      <c r="J853" s="66"/>
      <c r="K853" s="66"/>
      <c r="L853" s="66"/>
      <c r="M853" s="66"/>
      <c r="N853" s="66"/>
    </row>
    <row r="854" spans="1:14" x14ac:dyDescent="0.2">
      <c r="A854" s="84"/>
      <c r="B854" s="84"/>
      <c r="C854" s="60"/>
      <c r="D854" s="66"/>
      <c r="E854" s="66"/>
      <c r="F854" s="66"/>
      <c r="G854" s="66"/>
      <c r="H854" s="66"/>
      <c r="I854" s="66"/>
      <c r="J854" s="66"/>
      <c r="K854" s="66"/>
      <c r="L854" s="66"/>
      <c r="M854" s="66"/>
      <c r="N854" s="66"/>
    </row>
    <row r="855" spans="1:14" x14ac:dyDescent="0.2">
      <c r="A855" s="84"/>
      <c r="B855" s="84"/>
      <c r="C855" s="60"/>
      <c r="D855" s="66"/>
      <c r="E855" s="66"/>
      <c r="F855" s="66"/>
      <c r="G855" s="66"/>
      <c r="H855" s="66"/>
      <c r="I855" s="66"/>
      <c r="J855" s="66"/>
      <c r="K855" s="66"/>
      <c r="L855" s="66"/>
      <c r="M855" s="66"/>
      <c r="N855" s="66"/>
    </row>
    <row r="856" spans="1:14" x14ac:dyDescent="0.2">
      <c r="A856" s="84"/>
      <c r="B856" s="84"/>
      <c r="C856" s="60"/>
      <c r="D856" s="66"/>
      <c r="E856" s="66"/>
      <c r="F856" s="66"/>
      <c r="G856" s="66"/>
      <c r="H856" s="66"/>
      <c r="I856" s="66"/>
      <c r="J856" s="66"/>
      <c r="K856" s="66"/>
      <c r="L856" s="66"/>
      <c r="M856" s="66"/>
      <c r="N856" s="66"/>
    </row>
    <row r="857" spans="1:14" x14ac:dyDescent="0.2">
      <c r="A857" s="84"/>
      <c r="B857" s="84"/>
      <c r="C857" s="60"/>
      <c r="D857" s="66"/>
      <c r="E857" s="66"/>
      <c r="F857" s="66"/>
      <c r="G857" s="66"/>
      <c r="H857" s="66"/>
      <c r="I857" s="66"/>
      <c r="J857" s="66"/>
      <c r="K857" s="66"/>
      <c r="L857" s="66"/>
      <c r="M857" s="66"/>
      <c r="N857" s="66"/>
    </row>
    <row r="858" spans="1:14" x14ac:dyDescent="0.2">
      <c r="A858" s="84"/>
      <c r="B858" s="84"/>
      <c r="C858" s="60"/>
      <c r="D858" s="66"/>
      <c r="E858" s="66"/>
      <c r="F858" s="66"/>
      <c r="G858" s="66"/>
      <c r="H858" s="66"/>
      <c r="I858" s="66"/>
      <c r="J858" s="66"/>
      <c r="K858" s="66"/>
      <c r="L858" s="66"/>
      <c r="M858" s="66"/>
      <c r="N858" s="66"/>
    </row>
    <row r="859" spans="1:14" x14ac:dyDescent="0.2">
      <c r="A859" s="84"/>
      <c r="B859" s="84"/>
      <c r="C859" s="60"/>
      <c r="D859" s="66"/>
      <c r="E859" s="66"/>
      <c r="F859" s="66"/>
      <c r="G859" s="66"/>
      <c r="H859" s="66"/>
      <c r="I859" s="66"/>
      <c r="J859" s="66"/>
      <c r="K859" s="66"/>
      <c r="L859" s="66"/>
      <c r="M859" s="66"/>
      <c r="N859" s="66"/>
    </row>
    <row r="860" spans="1:14" x14ac:dyDescent="0.2">
      <c r="A860" s="84"/>
      <c r="B860" s="84"/>
      <c r="C860" s="60"/>
      <c r="D860" s="66"/>
      <c r="E860" s="66"/>
      <c r="F860" s="66"/>
      <c r="G860" s="66"/>
      <c r="H860" s="66"/>
      <c r="I860" s="66"/>
      <c r="J860" s="66"/>
      <c r="K860" s="66"/>
      <c r="L860" s="66"/>
      <c r="M860" s="66"/>
      <c r="N860" s="66"/>
    </row>
    <row r="861" spans="1:14" x14ac:dyDescent="0.2">
      <c r="A861" s="84"/>
      <c r="B861" s="84"/>
      <c r="C861" s="60"/>
      <c r="D861" s="66"/>
      <c r="E861" s="66"/>
      <c r="F861" s="66"/>
      <c r="G861" s="66"/>
      <c r="H861" s="66"/>
      <c r="I861" s="66"/>
      <c r="J861" s="66"/>
      <c r="K861" s="66"/>
      <c r="L861" s="66"/>
      <c r="M861" s="66"/>
      <c r="N861" s="66"/>
    </row>
    <row r="862" spans="1:14" x14ac:dyDescent="0.2">
      <c r="A862" s="84"/>
      <c r="B862" s="84"/>
      <c r="C862" s="60"/>
      <c r="D862" s="66"/>
      <c r="E862" s="66"/>
      <c r="F862" s="66"/>
      <c r="G862" s="66"/>
      <c r="H862" s="66"/>
      <c r="I862" s="66"/>
      <c r="J862" s="66"/>
      <c r="K862" s="66"/>
      <c r="L862" s="66"/>
      <c r="M862" s="66"/>
      <c r="N862" s="66"/>
    </row>
    <row r="863" spans="1:14" x14ac:dyDescent="0.2">
      <c r="A863" s="84"/>
      <c r="B863" s="84"/>
      <c r="C863" s="60"/>
      <c r="D863" s="66"/>
      <c r="E863" s="66"/>
      <c r="F863" s="66"/>
      <c r="G863" s="66"/>
      <c r="H863" s="66"/>
      <c r="I863" s="66"/>
      <c r="J863" s="66"/>
      <c r="K863" s="66"/>
      <c r="L863" s="66"/>
      <c r="M863" s="66"/>
      <c r="N863" s="66"/>
    </row>
    <row r="864" spans="1:14" x14ac:dyDescent="0.2">
      <c r="A864" s="84"/>
      <c r="B864" s="84"/>
      <c r="C864" s="60"/>
      <c r="D864" s="66"/>
      <c r="E864" s="66"/>
      <c r="F864" s="66"/>
      <c r="G864" s="66"/>
      <c r="H864" s="66"/>
      <c r="I864" s="66"/>
      <c r="J864" s="66"/>
      <c r="K864" s="66"/>
      <c r="L864" s="66"/>
      <c r="M864" s="66"/>
      <c r="N864" s="66"/>
    </row>
    <row r="865" spans="1:14" x14ac:dyDescent="0.2">
      <c r="A865" s="84"/>
      <c r="B865" s="84"/>
      <c r="C865" s="60"/>
      <c r="D865" s="66"/>
      <c r="E865" s="66"/>
      <c r="F865" s="66"/>
      <c r="G865" s="66"/>
      <c r="H865" s="66"/>
      <c r="I865" s="66"/>
      <c r="J865" s="66"/>
      <c r="K865" s="66"/>
      <c r="L865" s="66"/>
      <c r="M865" s="66"/>
      <c r="N865" s="66"/>
    </row>
    <row r="866" spans="1:14" x14ac:dyDescent="0.2">
      <c r="A866" s="84"/>
      <c r="B866" s="84"/>
      <c r="C866" s="60"/>
      <c r="D866" s="66"/>
      <c r="E866" s="66"/>
      <c r="F866" s="66"/>
      <c r="G866" s="66"/>
      <c r="H866" s="66"/>
      <c r="I866" s="66"/>
      <c r="J866" s="66"/>
      <c r="K866" s="66"/>
      <c r="L866" s="66"/>
      <c r="M866" s="66"/>
      <c r="N866" s="66"/>
    </row>
    <row r="867" spans="1:14" x14ac:dyDescent="0.2">
      <c r="A867" s="84"/>
      <c r="B867" s="84"/>
      <c r="C867" s="60"/>
      <c r="D867" s="66"/>
      <c r="E867" s="66"/>
      <c r="F867" s="66"/>
      <c r="G867" s="66"/>
      <c r="H867" s="66"/>
      <c r="I867" s="66"/>
      <c r="J867" s="66"/>
      <c r="K867" s="66"/>
      <c r="L867" s="66"/>
      <c r="M867" s="66"/>
      <c r="N867" s="66"/>
    </row>
    <row r="868" spans="1:14" x14ac:dyDescent="0.2">
      <c r="A868" s="84"/>
      <c r="B868" s="84"/>
      <c r="C868" s="60"/>
      <c r="D868" s="66"/>
      <c r="E868" s="66"/>
      <c r="F868" s="66"/>
      <c r="G868" s="66"/>
      <c r="H868" s="66"/>
      <c r="I868" s="66"/>
      <c r="J868" s="66"/>
      <c r="K868" s="66"/>
      <c r="L868" s="66"/>
      <c r="M868" s="66"/>
      <c r="N868" s="66"/>
    </row>
    <row r="869" spans="1:14" x14ac:dyDescent="0.2">
      <c r="A869" s="84"/>
      <c r="B869" s="84"/>
      <c r="C869" s="60"/>
      <c r="D869" s="66"/>
      <c r="E869" s="66"/>
      <c r="F869" s="66"/>
      <c r="G869" s="66"/>
      <c r="H869" s="66"/>
      <c r="I869" s="66"/>
      <c r="J869" s="66"/>
      <c r="K869" s="66"/>
      <c r="L869" s="66"/>
      <c r="M869" s="66"/>
      <c r="N869" s="66"/>
    </row>
    <row r="870" spans="1:14" x14ac:dyDescent="0.2">
      <c r="A870" s="84"/>
      <c r="B870" s="84"/>
      <c r="C870" s="60"/>
      <c r="D870" s="66"/>
      <c r="E870" s="66"/>
      <c r="F870" s="66"/>
      <c r="G870" s="66"/>
      <c r="H870" s="66"/>
      <c r="I870" s="66"/>
      <c r="J870" s="66"/>
      <c r="K870" s="66"/>
      <c r="L870" s="66"/>
      <c r="M870" s="66"/>
      <c r="N870" s="66"/>
    </row>
    <row r="871" spans="1:14" x14ac:dyDescent="0.2">
      <c r="A871" s="84"/>
      <c r="B871" s="84"/>
      <c r="C871" s="60"/>
      <c r="D871" s="66"/>
      <c r="E871" s="66"/>
      <c r="F871" s="66"/>
      <c r="G871" s="66"/>
      <c r="H871" s="66"/>
      <c r="I871" s="66"/>
      <c r="J871" s="66"/>
      <c r="K871" s="66"/>
      <c r="L871" s="66"/>
      <c r="M871" s="66"/>
      <c r="N871" s="66"/>
    </row>
    <row r="872" spans="1:14" x14ac:dyDescent="0.2">
      <c r="A872" s="84"/>
      <c r="B872" s="84"/>
      <c r="C872" s="60"/>
      <c r="D872" s="66"/>
      <c r="E872" s="66"/>
      <c r="F872" s="66"/>
      <c r="G872" s="66"/>
      <c r="H872" s="66"/>
      <c r="I872" s="66"/>
      <c r="J872" s="66"/>
      <c r="K872" s="66"/>
      <c r="L872" s="66"/>
      <c r="M872" s="66"/>
      <c r="N872" s="66"/>
    </row>
    <row r="873" spans="1:14" x14ac:dyDescent="0.2">
      <c r="A873" s="84"/>
      <c r="B873" s="84"/>
      <c r="C873" s="60"/>
      <c r="D873" s="66"/>
      <c r="E873" s="66"/>
      <c r="F873" s="66"/>
      <c r="G873" s="66"/>
      <c r="H873" s="66"/>
      <c r="I873" s="66"/>
      <c r="J873" s="66"/>
      <c r="K873" s="66"/>
      <c r="L873" s="66"/>
      <c r="M873" s="66"/>
      <c r="N873" s="66"/>
    </row>
    <row r="874" spans="1:14" x14ac:dyDescent="0.2">
      <c r="A874" s="84"/>
      <c r="B874" s="84"/>
      <c r="C874" s="60"/>
      <c r="D874" s="66"/>
      <c r="E874" s="66"/>
      <c r="F874" s="66"/>
      <c r="G874" s="66"/>
      <c r="H874" s="66"/>
      <c r="I874" s="66"/>
      <c r="J874" s="66"/>
      <c r="K874" s="66"/>
      <c r="L874" s="66"/>
      <c r="M874" s="66"/>
      <c r="N874" s="66"/>
    </row>
    <row r="875" spans="1:14" x14ac:dyDescent="0.2">
      <c r="A875" s="84"/>
      <c r="B875" s="84"/>
      <c r="C875" s="60"/>
      <c r="D875" s="66"/>
      <c r="E875" s="66"/>
      <c r="F875" s="66"/>
      <c r="G875" s="66"/>
      <c r="H875" s="66"/>
      <c r="I875" s="66"/>
      <c r="J875" s="66"/>
      <c r="K875" s="66"/>
      <c r="L875" s="66"/>
      <c r="M875" s="66"/>
      <c r="N875" s="66"/>
    </row>
    <row r="876" spans="1:14" x14ac:dyDescent="0.2">
      <c r="A876" s="84"/>
      <c r="B876" s="84"/>
      <c r="C876" s="60"/>
      <c r="D876" s="66"/>
      <c r="E876" s="66"/>
      <c r="F876" s="66"/>
      <c r="G876" s="66"/>
      <c r="H876" s="66"/>
      <c r="I876" s="66"/>
      <c r="J876" s="66"/>
      <c r="K876" s="66"/>
      <c r="L876" s="66"/>
      <c r="M876" s="66"/>
      <c r="N876" s="66"/>
    </row>
    <row r="877" spans="1:14" x14ac:dyDescent="0.2">
      <c r="A877" s="84"/>
      <c r="B877" s="84"/>
      <c r="C877" s="60"/>
      <c r="D877" s="66"/>
      <c r="E877" s="66"/>
      <c r="F877" s="66"/>
      <c r="G877" s="66"/>
      <c r="H877" s="66"/>
      <c r="I877" s="66"/>
      <c r="J877" s="66"/>
      <c r="K877" s="66"/>
      <c r="L877" s="66"/>
      <c r="M877" s="66"/>
      <c r="N877" s="66"/>
    </row>
    <row r="878" spans="1:14" x14ac:dyDescent="0.2">
      <c r="A878" s="84"/>
      <c r="B878" s="84"/>
      <c r="C878" s="60"/>
      <c r="D878" s="66"/>
      <c r="E878" s="66"/>
      <c r="F878" s="66"/>
      <c r="G878" s="66"/>
      <c r="H878" s="66"/>
      <c r="I878" s="66"/>
      <c r="J878" s="66"/>
      <c r="K878" s="66"/>
      <c r="L878" s="66"/>
      <c r="M878" s="66"/>
      <c r="N878" s="66"/>
    </row>
    <row r="879" spans="1:14" x14ac:dyDescent="0.2">
      <c r="A879" s="84"/>
      <c r="B879" s="84"/>
      <c r="C879" s="60"/>
      <c r="D879" s="66"/>
      <c r="E879" s="66"/>
      <c r="F879" s="66"/>
      <c r="G879" s="66"/>
      <c r="H879" s="66"/>
      <c r="I879" s="66"/>
      <c r="J879" s="66"/>
      <c r="K879" s="66"/>
      <c r="L879" s="66"/>
      <c r="M879" s="66"/>
      <c r="N879" s="66"/>
    </row>
    <row r="880" spans="1:14" x14ac:dyDescent="0.2">
      <c r="A880" s="84"/>
      <c r="B880" s="84"/>
      <c r="C880" s="60"/>
      <c r="D880" s="66"/>
      <c r="E880" s="66"/>
      <c r="F880" s="66"/>
      <c r="G880" s="66"/>
      <c r="H880" s="66"/>
      <c r="I880" s="66"/>
      <c r="J880" s="66"/>
      <c r="K880" s="66"/>
      <c r="L880" s="66"/>
      <c r="M880" s="66"/>
      <c r="N880" s="66"/>
    </row>
    <row r="881" spans="1:14" x14ac:dyDescent="0.2">
      <c r="A881" s="84"/>
      <c r="B881" s="84"/>
      <c r="C881" s="60"/>
      <c r="D881" s="66"/>
      <c r="E881" s="66"/>
      <c r="F881" s="66"/>
      <c r="G881" s="66"/>
      <c r="H881" s="66"/>
      <c r="I881" s="66"/>
      <c r="J881" s="66"/>
      <c r="K881" s="66"/>
      <c r="L881" s="66"/>
      <c r="M881" s="66"/>
      <c r="N881" s="66"/>
    </row>
    <row r="882" spans="1:14" x14ac:dyDescent="0.2">
      <c r="A882" s="84"/>
      <c r="B882" s="84"/>
      <c r="C882" s="60"/>
      <c r="D882" s="66"/>
      <c r="E882" s="66"/>
      <c r="F882" s="66"/>
      <c r="G882" s="66"/>
      <c r="H882" s="66"/>
      <c r="I882" s="66"/>
      <c r="J882" s="66"/>
      <c r="K882" s="66"/>
      <c r="L882" s="66"/>
      <c r="M882" s="66"/>
      <c r="N882" s="66"/>
    </row>
    <row r="883" spans="1:14" x14ac:dyDescent="0.2">
      <c r="A883" s="84"/>
      <c r="B883" s="84"/>
      <c r="C883" s="60"/>
      <c r="D883" s="66"/>
      <c r="E883" s="66"/>
      <c r="F883" s="66"/>
      <c r="G883" s="66"/>
      <c r="H883" s="66"/>
      <c r="I883" s="66"/>
      <c r="J883" s="66"/>
      <c r="K883" s="66"/>
      <c r="L883" s="66"/>
      <c r="M883" s="66"/>
      <c r="N883" s="66"/>
    </row>
    <row r="884" spans="1:14" x14ac:dyDescent="0.2">
      <c r="A884" s="84"/>
      <c r="B884" s="84"/>
      <c r="C884" s="60"/>
      <c r="D884" s="66"/>
      <c r="E884" s="66"/>
      <c r="F884" s="66"/>
      <c r="G884" s="66"/>
      <c r="H884" s="66"/>
      <c r="I884" s="66"/>
      <c r="J884" s="66"/>
      <c r="K884" s="66"/>
      <c r="L884" s="66"/>
      <c r="M884" s="66"/>
      <c r="N884" s="66"/>
    </row>
    <row r="885" spans="1:14" x14ac:dyDescent="0.2">
      <c r="A885" s="84"/>
      <c r="B885" s="84"/>
      <c r="C885" s="60"/>
      <c r="D885" s="66"/>
      <c r="E885" s="66"/>
      <c r="F885" s="66"/>
      <c r="G885" s="66"/>
      <c r="H885" s="66"/>
      <c r="I885" s="66"/>
      <c r="J885" s="66"/>
      <c r="K885" s="66"/>
      <c r="L885" s="66"/>
      <c r="M885" s="66"/>
      <c r="N885" s="66"/>
    </row>
    <row r="886" spans="1:14" x14ac:dyDescent="0.2">
      <c r="A886" s="84"/>
      <c r="B886" s="84"/>
      <c r="C886" s="60"/>
      <c r="D886" s="66"/>
      <c r="E886" s="66"/>
      <c r="F886" s="66"/>
      <c r="G886" s="66"/>
      <c r="H886" s="66"/>
      <c r="I886" s="66"/>
      <c r="J886" s="66"/>
      <c r="K886" s="66"/>
      <c r="L886" s="66"/>
      <c r="M886" s="66"/>
      <c r="N886" s="66"/>
    </row>
    <row r="887" spans="1:14" x14ac:dyDescent="0.2">
      <c r="A887" s="84"/>
      <c r="B887" s="84"/>
      <c r="C887" s="60"/>
      <c r="D887" s="66"/>
      <c r="E887" s="66"/>
      <c r="F887" s="66"/>
      <c r="G887" s="66"/>
      <c r="H887" s="66"/>
      <c r="I887" s="66"/>
      <c r="J887" s="66"/>
      <c r="K887" s="66"/>
      <c r="L887" s="66"/>
      <c r="M887" s="66"/>
      <c r="N887" s="66"/>
    </row>
    <row r="888" spans="1:14" x14ac:dyDescent="0.2">
      <c r="A888" s="84"/>
      <c r="B888" s="84"/>
      <c r="C888" s="60"/>
      <c r="D888" s="66"/>
      <c r="E888" s="66"/>
      <c r="F888" s="66"/>
      <c r="G888" s="66"/>
      <c r="H888" s="66"/>
      <c r="I888" s="66"/>
      <c r="J888" s="66"/>
      <c r="K888" s="66"/>
      <c r="L888" s="66"/>
      <c r="M888" s="66"/>
      <c r="N888" s="66"/>
    </row>
    <row r="889" spans="1:14" x14ac:dyDescent="0.2">
      <c r="A889" s="84"/>
      <c r="B889" s="84"/>
      <c r="C889" s="60"/>
      <c r="D889" s="66"/>
      <c r="E889" s="66"/>
      <c r="F889" s="66"/>
      <c r="G889" s="66"/>
      <c r="H889" s="66"/>
      <c r="I889" s="66"/>
      <c r="J889" s="66"/>
      <c r="K889" s="66"/>
      <c r="L889" s="66"/>
      <c r="M889" s="66"/>
      <c r="N889" s="66"/>
    </row>
    <row r="890" spans="1:14" x14ac:dyDescent="0.2">
      <c r="A890" s="84"/>
      <c r="B890" s="84"/>
      <c r="C890" s="60"/>
      <c r="D890" s="66"/>
      <c r="E890" s="66"/>
      <c r="F890" s="66"/>
      <c r="G890" s="66"/>
      <c r="H890" s="66"/>
      <c r="I890" s="66"/>
      <c r="J890" s="66"/>
      <c r="K890" s="66"/>
      <c r="L890" s="66"/>
      <c r="M890" s="66"/>
      <c r="N890" s="66"/>
    </row>
    <row r="891" spans="1:14" x14ac:dyDescent="0.2">
      <c r="A891" s="84"/>
      <c r="B891" s="84"/>
      <c r="C891" s="60"/>
      <c r="D891" s="66"/>
      <c r="E891" s="66"/>
      <c r="F891" s="66"/>
      <c r="G891" s="66"/>
      <c r="H891" s="66"/>
      <c r="I891" s="66"/>
      <c r="J891" s="66"/>
      <c r="K891" s="66"/>
      <c r="L891" s="66"/>
      <c r="M891" s="66"/>
      <c r="N891" s="66"/>
    </row>
    <row r="892" spans="1:14" x14ac:dyDescent="0.2">
      <c r="A892" s="84"/>
      <c r="B892" s="84"/>
      <c r="C892" s="60"/>
      <c r="D892" s="66"/>
      <c r="E892" s="66"/>
      <c r="F892" s="66"/>
      <c r="G892" s="66"/>
      <c r="H892" s="66"/>
      <c r="I892" s="66"/>
      <c r="J892" s="66"/>
      <c r="K892" s="66"/>
      <c r="L892" s="66"/>
      <c r="M892" s="66"/>
      <c r="N892" s="66"/>
    </row>
    <row r="893" spans="1:14" x14ac:dyDescent="0.2">
      <c r="A893" s="84"/>
      <c r="B893" s="84"/>
      <c r="C893" s="60"/>
      <c r="D893" s="66"/>
      <c r="E893" s="66"/>
      <c r="F893" s="66"/>
      <c r="G893" s="66"/>
      <c r="H893" s="66"/>
      <c r="I893" s="66"/>
      <c r="J893" s="66"/>
      <c r="K893" s="66"/>
      <c r="L893" s="66"/>
      <c r="M893" s="66"/>
      <c r="N893" s="66"/>
    </row>
    <row r="894" spans="1:14" x14ac:dyDescent="0.2">
      <c r="A894" s="84"/>
      <c r="B894" s="84"/>
      <c r="C894" s="60"/>
      <c r="D894" s="66"/>
      <c r="E894" s="66"/>
      <c r="F894" s="66"/>
      <c r="G894" s="66"/>
      <c r="H894" s="66"/>
      <c r="I894" s="66"/>
      <c r="J894" s="66"/>
      <c r="K894" s="66"/>
      <c r="L894" s="66"/>
      <c r="M894" s="66"/>
      <c r="N894" s="66"/>
    </row>
    <row r="895" spans="1:14" x14ac:dyDescent="0.2">
      <c r="A895" s="84"/>
      <c r="B895" s="84"/>
      <c r="C895" s="60"/>
      <c r="D895" s="66"/>
      <c r="E895" s="66"/>
      <c r="F895" s="66"/>
      <c r="G895" s="66"/>
      <c r="H895" s="66"/>
      <c r="I895" s="66"/>
      <c r="J895" s="66"/>
      <c r="K895" s="66"/>
      <c r="L895" s="66"/>
      <c r="M895" s="66"/>
      <c r="N895" s="66"/>
    </row>
    <row r="896" spans="1:14" x14ac:dyDescent="0.2">
      <c r="A896" s="84"/>
      <c r="B896" s="84"/>
      <c r="C896" s="60"/>
      <c r="D896" s="66"/>
      <c r="E896" s="66"/>
      <c r="F896" s="66"/>
      <c r="G896" s="66"/>
      <c r="H896" s="66"/>
      <c r="I896" s="66"/>
      <c r="J896" s="66"/>
      <c r="K896" s="66"/>
      <c r="L896" s="66"/>
      <c r="M896" s="66"/>
      <c r="N896" s="66"/>
    </row>
    <row r="897" spans="1:14" x14ac:dyDescent="0.2">
      <c r="A897" s="84"/>
      <c r="B897" s="84"/>
      <c r="C897" s="60"/>
      <c r="D897" s="66"/>
      <c r="E897" s="66"/>
      <c r="F897" s="66"/>
      <c r="G897" s="66"/>
      <c r="H897" s="66"/>
      <c r="I897" s="66"/>
      <c r="J897" s="66"/>
      <c r="K897" s="66"/>
      <c r="L897" s="66"/>
      <c r="M897" s="66"/>
      <c r="N897" s="66"/>
    </row>
    <row r="898" spans="1:14" x14ac:dyDescent="0.2">
      <c r="A898" s="84"/>
      <c r="B898" s="84"/>
      <c r="C898" s="60"/>
      <c r="D898" s="66"/>
      <c r="E898" s="66"/>
      <c r="F898" s="66"/>
      <c r="G898" s="66"/>
      <c r="H898" s="66"/>
      <c r="I898" s="66"/>
      <c r="J898" s="66"/>
      <c r="K898" s="66"/>
      <c r="L898" s="66"/>
      <c r="M898" s="66"/>
      <c r="N898" s="66"/>
    </row>
    <row r="899" spans="1:14" x14ac:dyDescent="0.2">
      <c r="A899" s="84"/>
      <c r="B899" s="84"/>
      <c r="C899" s="60"/>
      <c r="D899" s="66"/>
      <c r="E899" s="66"/>
      <c r="F899" s="66"/>
      <c r="G899" s="66"/>
      <c r="H899" s="66"/>
      <c r="I899" s="66"/>
      <c r="J899" s="66"/>
      <c r="K899" s="66"/>
      <c r="L899" s="66"/>
      <c r="M899" s="66"/>
      <c r="N899" s="66"/>
    </row>
    <row r="900" spans="1:14" x14ac:dyDescent="0.2">
      <c r="A900" s="84"/>
      <c r="B900" s="84"/>
      <c r="C900" s="60"/>
      <c r="D900" s="66"/>
      <c r="E900" s="66"/>
      <c r="F900" s="66"/>
      <c r="G900" s="66"/>
      <c r="H900" s="66"/>
      <c r="I900" s="66"/>
      <c r="J900" s="66"/>
      <c r="K900" s="66"/>
      <c r="L900" s="66"/>
      <c r="M900" s="66"/>
      <c r="N900" s="66"/>
    </row>
    <row r="901" spans="1:14" x14ac:dyDescent="0.2">
      <c r="A901" s="84"/>
      <c r="B901" s="84"/>
      <c r="C901" s="60"/>
      <c r="D901" s="66"/>
      <c r="E901" s="66"/>
      <c r="F901" s="66"/>
      <c r="G901" s="66"/>
      <c r="H901" s="66"/>
      <c r="I901" s="66"/>
      <c r="J901" s="66"/>
      <c r="K901" s="66"/>
      <c r="L901" s="66"/>
      <c r="M901" s="66"/>
      <c r="N901" s="66"/>
    </row>
    <row r="902" spans="1:14" x14ac:dyDescent="0.2">
      <c r="A902" s="84"/>
      <c r="B902" s="84"/>
      <c r="C902" s="60"/>
      <c r="D902" s="66"/>
      <c r="E902" s="66"/>
      <c r="F902" s="66"/>
      <c r="G902" s="66"/>
      <c r="H902" s="66"/>
      <c r="I902" s="66"/>
      <c r="J902" s="66"/>
      <c r="K902" s="66"/>
      <c r="L902" s="66"/>
      <c r="M902" s="66"/>
      <c r="N902" s="66"/>
    </row>
    <row r="903" spans="1:14" x14ac:dyDescent="0.2">
      <c r="A903" s="84"/>
      <c r="B903" s="84"/>
      <c r="C903" s="60"/>
      <c r="D903" s="66"/>
      <c r="E903" s="66"/>
      <c r="F903" s="66"/>
      <c r="G903" s="66"/>
      <c r="H903" s="66"/>
      <c r="I903" s="66"/>
      <c r="J903" s="66"/>
      <c r="K903" s="66"/>
      <c r="L903" s="66"/>
      <c r="M903" s="66"/>
      <c r="N903" s="66"/>
    </row>
    <row r="904" spans="1:14" x14ac:dyDescent="0.2">
      <c r="A904" s="84"/>
      <c r="B904" s="84"/>
      <c r="C904" s="60"/>
      <c r="D904" s="66"/>
      <c r="E904" s="66"/>
      <c r="F904" s="66"/>
      <c r="G904" s="66"/>
      <c r="H904" s="66"/>
      <c r="I904" s="66"/>
      <c r="J904" s="66"/>
      <c r="K904" s="66"/>
      <c r="L904" s="66"/>
      <c r="M904" s="66"/>
      <c r="N904" s="66"/>
    </row>
    <row r="905" spans="1:14" x14ac:dyDescent="0.2">
      <c r="A905" s="84"/>
      <c r="B905" s="84"/>
      <c r="C905" s="60"/>
      <c r="D905" s="66"/>
      <c r="E905" s="66"/>
      <c r="F905" s="66"/>
      <c r="G905" s="66"/>
      <c r="H905" s="66"/>
      <c r="I905" s="66"/>
      <c r="J905" s="66"/>
      <c r="K905" s="66"/>
      <c r="L905" s="66"/>
      <c r="M905" s="66"/>
      <c r="N905" s="66"/>
    </row>
    <row r="906" spans="1:14" x14ac:dyDescent="0.2">
      <c r="A906" s="84"/>
      <c r="B906" s="84"/>
      <c r="C906" s="60"/>
      <c r="D906" s="66"/>
      <c r="E906" s="66"/>
      <c r="F906" s="66"/>
      <c r="G906" s="66"/>
      <c r="H906" s="66"/>
      <c r="I906" s="66"/>
      <c r="J906" s="66"/>
      <c r="K906" s="66"/>
      <c r="L906" s="66"/>
      <c r="M906" s="66"/>
      <c r="N906" s="66"/>
    </row>
    <row r="907" spans="1:14" x14ac:dyDescent="0.2">
      <c r="A907" s="84"/>
      <c r="B907" s="84"/>
      <c r="C907" s="60"/>
      <c r="D907" s="66"/>
      <c r="E907" s="66"/>
      <c r="F907" s="66"/>
      <c r="G907" s="66"/>
      <c r="H907" s="66"/>
      <c r="I907" s="66"/>
      <c r="J907" s="66"/>
      <c r="K907" s="66"/>
      <c r="L907" s="66"/>
      <c r="M907" s="66"/>
      <c r="N907" s="66"/>
    </row>
    <row r="908" spans="1:14" x14ac:dyDescent="0.2">
      <c r="A908" s="84"/>
      <c r="B908" s="84"/>
      <c r="C908" s="60"/>
      <c r="D908" s="66"/>
      <c r="E908" s="66"/>
      <c r="F908" s="66"/>
      <c r="G908" s="66"/>
      <c r="H908" s="66"/>
      <c r="I908" s="66"/>
      <c r="J908" s="66"/>
      <c r="K908" s="66"/>
      <c r="L908" s="66"/>
      <c r="M908" s="66"/>
      <c r="N908" s="66"/>
    </row>
    <row r="909" spans="1:14" x14ac:dyDescent="0.2">
      <c r="A909" s="84"/>
      <c r="B909" s="84"/>
      <c r="C909" s="60"/>
      <c r="D909" s="66"/>
      <c r="E909" s="66"/>
      <c r="F909" s="66"/>
      <c r="G909" s="66"/>
      <c r="H909" s="66"/>
      <c r="I909" s="66"/>
      <c r="J909" s="66"/>
      <c r="K909" s="66"/>
      <c r="L909" s="66"/>
      <c r="M909" s="66"/>
      <c r="N909" s="66"/>
    </row>
    <row r="910" spans="1:14" x14ac:dyDescent="0.2">
      <c r="A910" s="84"/>
      <c r="B910" s="84"/>
      <c r="C910" s="60"/>
      <c r="D910" s="66"/>
      <c r="E910" s="66"/>
      <c r="F910" s="66"/>
      <c r="G910" s="66"/>
      <c r="H910" s="66"/>
      <c r="I910" s="66"/>
      <c r="J910" s="66"/>
      <c r="K910" s="66"/>
      <c r="L910" s="66"/>
      <c r="M910" s="66"/>
      <c r="N910" s="66"/>
    </row>
    <row r="911" spans="1:14" x14ac:dyDescent="0.2">
      <c r="A911" s="84"/>
      <c r="B911" s="84"/>
      <c r="C911" s="60"/>
      <c r="D911" s="66"/>
      <c r="E911" s="66"/>
      <c r="F911" s="66"/>
      <c r="G911" s="66"/>
      <c r="H911" s="66"/>
      <c r="I911" s="66"/>
      <c r="J911" s="66"/>
      <c r="K911" s="66"/>
      <c r="L911" s="66"/>
      <c r="M911" s="66"/>
      <c r="N911" s="66"/>
    </row>
    <row r="912" spans="1:14" x14ac:dyDescent="0.2">
      <c r="A912" s="84"/>
      <c r="B912" s="84"/>
      <c r="C912" s="60"/>
      <c r="D912" s="66"/>
      <c r="E912" s="66"/>
      <c r="F912" s="66"/>
      <c r="G912" s="66"/>
      <c r="H912" s="66"/>
      <c r="I912" s="66"/>
      <c r="J912" s="66"/>
      <c r="K912" s="66"/>
      <c r="L912" s="66"/>
      <c r="M912" s="66"/>
      <c r="N912" s="66"/>
    </row>
    <row r="913" spans="1:14" x14ac:dyDescent="0.2">
      <c r="A913" s="84"/>
      <c r="B913" s="84"/>
      <c r="C913" s="60"/>
      <c r="D913" s="66"/>
      <c r="E913" s="66"/>
      <c r="F913" s="66"/>
      <c r="G913" s="66"/>
      <c r="H913" s="66"/>
      <c r="I913" s="66"/>
      <c r="J913" s="66"/>
      <c r="K913" s="66"/>
      <c r="L913" s="66"/>
      <c r="M913" s="66"/>
      <c r="N913" s="66"/>
    </row>
    <row r="914" spans="1:14" x14ac:dyDescent="0.2">
      <c r="A914" s="84"/>
      <c r="B914" s="84"/>
      <c r="C914" s="60"/>
      <c r="D914" s="66"/>
      <c r="E914" s="66"/>
      <c r="F914" s="66"/>
      <c r="G914" s="66"/>
      <c r="H914" s="66"/>
      <c r="I914" s="66"/>
      <c r="J914" s="66"/>
      <c r="K914" s="66"/>
      <c r="L914" s="66"/>
      <c r="M914" s="66"/>
      <c r="N914" s="66"/>
    </row>
    <row r="915" spans="1:14" x14ac:dyDescent="0.2">
      <c r="A915" s="84"/>
      <c r="B915" s="84"/>
      <c r="C915" s="60"/>
      <c r="D915" s="66"/>
      <c r="E915" s="66"/>
      <c r="F915" s="66"/>
      <c r="G915" s="66"/>
      <c r="H915" s="66"/>
      <c r="I915" s="66"/>
      <c r="J915" s="66"/>
      <c r="K915" s="66"/>
      <c r="L915" s="66"/>
      <c r="M915" s="66"/>
      <c r="N915" s="66"/>
    </row>
    <row r="916" spans="1:14" x14ac:dyDescent="0.2">
      <c r="A916" s="84"/>
      <c r="B916" s="84"/>
      <c r="C916" s="60"/>
      <c r="D916" s="66"/>
      <c r="E916" s="66"/>
      <c r="F916" s="66"/>
      <c r="G916" s="66"/>
      <c r="H916" s="66"/>
      <c r="I916" s="66"/>
      <c r="J916" s="66"/>
      <c r="K916" s="66"/>
      <c r="L916" s="66"/>
      <c r="M916" s="66"/>
      <c r="N916" s="66"/>
    </row>
    <row r="917" spans="1:14" x14ac:dyDescent="0.2">
      <c r="A917" s="84"/>
      <c r="B917" s="84"/>
      <c r="C917" s="60"/>
      <c r="D917" s="66"/>
      <c r="E917" s="66"/>
      <c r="F917" s="66"/>
      <c r="G917" s="66"/>
      <c r="H917" s="66"/>
      <c r="I917" s="66"/>
      <c r="J917" s="66"/>
      <c r="K917" s="66"/>
      <c r="L917" s="66"/>
      <c r="M917" s="66"/>
      <c r="N917" s="66"/>
    </row>
    <row r="918" spans="1:14" x14ac:dyDescent="0.2">
      <c r="A918" s="84"/>
      <c r="B918" s="84"/>
      <c r="C918" s="60"/>
      <c r="D918" s="66"/>
      <c r="E918" s="66"/>
      <c r="F918" s="66"/>
      <c r="G918" s="66"/>
      <c r="H918" s="66"/>
      <c r="I918" s="66"/>
      <c r="J918" s="66"/>
      <c r="K918" s="66"/>
      <c r="L918" s="66"/>
      <c r="M918" s="66"/>
      <c r="N918" s="66"/>
    </row>
    <row r="919" spans="1:14" x14ac:dyDescent="0.2">
      <c r="A919" s="84"/>
      <c r="B919" s="84"/>
      <c r="C919" s="60"/>
      <c r="D919" s="66"/>
      <c r="E919" s="66"/>
      <c r="F919" s="66"/>
      <c r="G919" s="66"/>
      <c r="H919" s="66"/>
      <c r="I919" s="66"/>
      <c r="J919" s="66"/>
      <c r="K919" s="66"/>
      <c r="L919" s="66"/>
      <c r="M919" s="66"/>
      <c r="N919" s="66"/>
    </row>
    <row r="920" spans="1:14" x14ac:dyDescent="0.2">
      <c r="A920" s="84"/>
      <c r="B920" s="84"/>
      <c r="C920" s="60"/>
      <c r="D920" s="66"/>
      <c r="E920" s="66"/>
      <c r="F920" s="66"/>
      <c r="G920" s="66"/>
      <c r="H920" s="66"/>
      <c r="I920" s="66"/>
      <c r="J920" s="66"/>
      <c r="K920" s="66"/>
      <c r="L920" s="66"/>
      <c r="M920" s="66"/>
      <c r="N920" s="66"/>
    </row>
    <row r="921" spans="1:14" x14ac:dyDescent="0.2">
      <c r="A921" s="84"/>
      <c r="B921" s="84"/>
      <c r="C921" s="60"/>
      <c r="D921" s="66"/>
      <c r="E921" s="66"/>
      <c r="F921" s="66"/>
      <c r="G921" s="66"/>
      <c r="H921" s="66"/>
      <c r="I921" s="66"/>
      <c r="J921" s="66"/>
      <c r="K921" s="66"/>
      <c r="L921" s="66"/>
      <c r="M921" s="66"/>
      <c r="N921" s="66"/>
    </row>
    <row r="922" spans="1:14" x14ac:dyDescent="0.2">
      <c r="A922" s="84"/>
      <c r="B922" s="84"/>
      <c r="C922" s="60"/>
      <c r="D922" s="66"/>
      <c r="E922" s="66"/>
      <c r="F922" s="66"/>
      <c r="G922" s="66"/>
      <c r="H922" s="66"/>
      <c r="I922" s="66"/>
      <c r="J922" s="66"/>
      <c r="K922" s="66"/>
      <c r="L922" s="66"/>
      <c r="M922" s="66"/>
      <c r="N922" s="66"/>
    </row>
    <row r="923" spans="1:14" x14ac:dyDescent="0.2">
      <c r="A923" s="84"/>
      <c r="B923" s="84"/>
      <c r="C923" s="60"/>
      <c r="D923" s="66"/>
      <c r="E923" s="66"/>
      <c r="F923" s="66"/>
      <c r="G923" s="66"/>
      <c r="H923" s="66"/>
      <c r="I923" s="66"/>
      <c r="J923" s="66"/>
      <c r="K923" s="66"/>
      <c r="L923" s="66"/>
      <c r="M923" s="66"/>
      <c r="N923" s="66"/>
    </row>
    <row r="924" spans="1:14" x14ac:dyDescent="0.2">
      <c r="A924" s="84"/>
      <c r="B924" s="84"/>
      <c r="C924" s="60"/>
      <c r="D924" s="66"/>
      <c r="E924" s="66"/>
      <c r="F924" s="66"/>
      <c r="G924" s="66"/>
      <c r="H924" s="66"/>
      <c r="I924" s="66"/>
      <c r="J924" s="66"/>
      <c r="K924" s="66"/>
      <c r="L924" s="66"/>
      <c r="M924" s="66"/>
      <c r="N924" s="66"/>
    </row>
    <row r="925" spans="1:14" x14ac:dyDescent="0.2">
      <c r="A925" s="84"/>
      <c r="B925" s="84"/>
      <c r="C925" s="60"/>
      <c r="D925" s="66"/>
      <c r="E925" s="66"/>
      <c r="F925" s="66"/>
      <c r="G925" s="66"/>
      <c r="H925" s="66"/>
      <c r="I925" s="66"/>
      <c r="J925" s="66"/>
      <c r="K925" s="66"/>
      <c r="L925" s="66"/>
      <c r="M925" s="66"/>
      <c r="N925" s="66"/>
    </row>
    <row r="926" spans="1:14" x14ac:dyDescent="0.2">
      <c r="A926" s="84"/>
      <c r="B926" s="84"/>
      <c r="C926" s="60"/>
      <c r="D926" s="66"/>
      <c r="E926" s="66"/>
      <c r="F926" s="66"/>
      <c r="G926" s="66"/>
      <c r="H926" s="66"/>
      <c r="I926" s="66"/>
      <c r="J926" s="66"/>
      <c r="K926" s="66"/>
      <c r="L926" s="66"/>
      <c r="M926" s="66"/>
      <c r="N926" s="66"/>
    </row>
    <row r="927" spans="1:14" x14ac:dyDescent="0.2">
      <c r="A927" s="84"/>
      <c r="B927" s="84"/>
      <c r="C927" s="60"/>
      <c r="D927" s="66"/>
      <c r="E927" s="66"/>
      <c r="F927" s="66"/>
      <c r="G927" s="66"/>
      <c r="H927" s="66"/>
      <c r="I927" s="66"/>
      <c r="J927" s="66"/>
      <c r="K927" s="66"/>
      <c r="L927" s="66"/>
      <c r="M927" s="66"/>
      <c r="N927" s="66"/>
    </row>
    <row r="928" spans="1:14" x14ac:dyDescent="0.2">
      <c r="A928" s="84"/>
      <c r="B928" s="84"/>
      <c r="C928" s="60"/>
      <c r="D928" s="66"/>
      <c r="E928" s="66"/>
      <c r="F928" s="66"/>
      <c r="G928" s="66"/>
      <c r="H928" s="66"/>
      <c r="I928" s="66"/>
      <c r="J928" s="66"/>
      <c r="K928" s="66"/>
      <c r="L928" s="66"/>
      <c r="M928" s="66"/>
      <c r="N928" s="66"/>
    </row>
    <row r="929" spans="1:14" x14ac:dyDescent="0.2">
      <c r="A929" s="84"/>
      <c r="B929" s="84"/>
      <c r="C929" s="60"/>
      <c r="D929" s="66"/>
      <c r="E929" s="66"/>
      <c r="F929" s="66"/>
      <c r="G929" s="66"/>
      <c r="H929" s="66"/>
      <c r="I929" s="66"/>
      <c r="J929" s="66"/>
      <c r="K929" s="66"/>
      <c r="L929" s="66"/>
      <c r="M929" s="66"/>
      <c r="N929" s="66"/>
    </row>
    <row r="930" spans="1:14" x14ac:dyDescent="0.2">
      <c r="A930" s="84"/>
      <c r="B930" s="84"/>
      <c r="C930" s="60"/>
      <c r="D930" s="66"/>
      <c r="E930" s="66"/>
      <c r="F930" s="66"/>
      <c r="G930" s="66"/>
      <c r="H930" s="66"/>
      <c r="I930" s="66"/>
      <c r="J930" s="66"/>
      <c r="K930" s="66"/>
      <c r="L930" s="66"/>
      <c r="M930" s="66"/>
      <c r="N930" s="66"/>
    </row>
    <row r="931" spans="1:14" x14ac:dyDescent="0.2">
      <c r="A931" s="84"/>
      <c r="B931" s="84"/>
      <c r="C931" s="60"/>
      <c r="D931" s="66"/>
      <c r="E931" s="66"/>
      <c r="F931" s="66"/>
      <c r="G931" s="66"/>
      <c r="H931" s="66"/>
      <c r="I931" s="66"/>
      <c r="J931" s="66"/>
      <c r="K931" s="66"/>
      <c r="L931" s="66"/>
      <c r="M931" s="66"/>
      <c r="N931" s="66"/>
    </row>
    <row r="932" spans="1:14" x14ac:dyDescent="0.2">
      <c r="A932" s="84"/>
      <c r="B932" s="84"/>
      <c r="C932" s="60"/>
      <c r="D932" s="66"/>
      <c r="E932" s="66"/>
      <c r="F932" s="66"/>
      <c r="G932" s="66"/>
      <c r="H932" s="66"/>
      <c r="I932" s="66"/>
      <c r="J932" s="66"/>
      <c r="K932" s="66"/>
      <c r="L932" s="66"/>
      <c r="M932" s="66"/>
      <c r="N932" s="66"/>
    </row>
    <row r="933" spans="1:14" x14ac:dyDescent="0.2">
      <c r="A933" s="84"/>
      <c r="B933" s="84"/>
      <c r="C933" s="60"/>
      <c r="D933" s="66"/>
      <c r="E933" s="66"/>
      <c r="F933" s="66"/>
      <c r="G933" s="66"/>
      <c r="H933" s="66"/>
      <c r="I933" s="66"/>
      <c r="J933" s="66"/>
      <c r="K933" s="66"/>
      <c r="L933" s="66"/>
      <c r="M933" s="66"/>
      <c r="N933" s="66"/>
    </row>
    <row r="934" spans="1:14" x14ac:dyDescent="0.2">
      <c r="A934" s="84"/>
      <c r="B934" s="84"/>
      <c r="C934" s="60"/>
      <c r="D934" s="66"/>
      <c r="E934" s="66"/>
      <c r="F934" s="66"/>
      <c r="G934" s="66"/>
      <c r="H934" s="66"/>
      <c r="I934" s="66"/>
      <c r="J934" s="66"/>
      <c r="K934" s="66"/>
      <c r="L934" s="66"/>
      <c r="M934" s="66"/>
      <c r="N934" s="66"/>
    </row>
    <row r="935" spans="1:14" x14ac:dyDescent="0.2">
      <c r="A935" s="84"/>
      <c r="B935" s="84"/>
      <c r="C935" s="60"/>
      <c r="D935" s="66"/>
      <c r="E935" s="66"/>
      <c r="F935" s="66"/>
      <c r="G935" s="66"/>
      <c r="H935" s="66"/>
      <c r="I935" s="66"/>
      <c r="J935" s="66"/>
      <c r="K935" s="66"/>
      <c r="L935" s="66"/>
      <c r="M935" s="66"/>
      <c r="N935" s="66"/>
    </row>
    <row r="936" spans="1:14" x14ac:dyDescent="0.2">
      <c r="A936" s="84"/>
      <c r="B936" s="84"/>
      <c r="C936" s="60"/>
      <c r="D936" s="66"/>
      <c r="E936" s="66"/>
      <c r="F936" s="66"/>
      <c r="G936" s="66"/>
      <c r="H936" s="66"/>
      <c r="I936" s="66"/>
      <c r="J936" s="66"/>
      <c r="K936" s="66"/>
      <c r="L936" s="66"/>
      <c r="M936" s="66"/>
      <c r="N936" s="66"/>
    </row>
    <row r="937" spans="1:14" x14ac:dyDescent="0.2">
      <c r="A937" s="84"/>
      <c r="B937" s="84"/>
      <c r="C937" s="60"/>
      <c r="D937" s="66"/>
      <c r="E937" s="66"/>
      <c r="F937" s="66"/>
      <c r="G937" s="66"/>
      <c r="H937" s="66"/>
      <c r="I937" s="66"/>
      <c r="J937" s="66"/>
      <c r="K937" s="66"/>
      <c r="L937" s="66"/>
      <c r="M937" s="66"/>
      <c r="N937" s="66"/>
    </row>
    <row r="938" spans="1:14" x14ac:dyDescent="0.2">
      <c r="A938" s="84"/>
      <c r="B938" s="84"/>
      <c r="C938" s="60"/>
      <c r="D938" s="66"/>
      <c r="E938" s="66"/>
      <c r="F938" s="66"/>
      <c r="G938" s="66"/>
      <c r="H938" s="66"/>
      <c r="I938" s="66"/>
      <c r="J938" s="66"/>
      <c r="K938" s="66"/>
      <c r="L938" s="66"/>
      <c r="M938" s="66"/>
      <c r="N938" s="66"/>
    </row>
    <row r="939" spans="1:14" x14ac:dyDescent="0.2">
      <c r="A939" s="84"/>
      <c r="B939" s="84"/>
      <c r="C939" s="60"/>
      <c r="D939" s="66"/>
      <c r="E939" s="66"/>
      <c r="F939" s="66"/>
      <c r="G939" s="66"/>
      <c r="H939" s="66"/>
      <c r="I939" s="66"/>
      <c r="J939" s="66"/>
      <c r="K939" s="66"/>
      <c r="L939" s="66"/>
      <c r="M939" s="66"/>
      <c r="N939" s="66"/>
    </row>
    <row r="940" spans="1:14" x14ac:dyDescent="0.2">
      <c r="A940" s="84"/>
      <c r="B940" s="84"/>
      <c r="C940" s="60"/>
      <c r="D940" s="66"/>
      <c r="E940" s="66"/>
      <c r="F940" s="66"/>
      <c r="G940" s="66"/>
      <c r="H940" s="66"/>
      <c r="I940" s="66"/>
      <c r="J940" s="66"/>
      <c r="K940" s="66"/>
      <c r="L940" s="66"/>
      <c r="M940" s="66"/>
      <c r="N940" s="66"/>
    </row>
    <row r="941" spans="1:14" x14ac:dyDescent="0.2">
      <c r="A941" s="84"/>
      <c r="B941" s="84"/>
      <c r="C941" s="60"/>
      <c r="D941" s="66"/>
      <c r="E941" s="66"/>
      <c r="F941" s="66"/>
      <c r="G941" s="66"/>
      <c r="H941" s="66"/>
      <c r="I941" s="66"/>
      <c r="J941" s="66"/>
      <c r="K941" s="66"/>
      <c r="L941" s="66"/>
      <c r="M941" s="66"/>
      <c r="N941" s="66"/>
    </row>
    <row r="942" spans="1:14" x14ac:dyDescent="0.2">
      <c r="A942" s="84"/>
      <c r="B942" s="84"/>
      <c r="C942" s="60"/>
      <c r="D942" s="66"/>
      <c r="E942" s="66"/>
      <c r="F942" s="66"/>
      <c r="G942" s="66"/>
      <c r="H942" s="66"/>
      <c r="I942" s="66"/>
      <c r="J942" s="66"/>
      <c r="K942" s="66"/>
      <c r="L942" s="66"/>
      <c r="M942" s="66"/>
      <c r="N942" s="66"/>
    </row>
    <row r="943" spans="1:14" x14ac:dyDescent="0.2">
      <c r="A943" s="84"/>
      <c r="B943" s="84"/>
      <c r="C943" s="60"/>
      <c r="D943" s="66"/>
      <c r="E943" s="66"/>
      <c r="F943" s="66"/>
      <c r="G943" s="66"/>
      <c r="H943" s="66"/>
      <c r="I943" s="66"/>
      <c r="J943" s="66"/>
      <c r="K943" s="66"/>
      <c r="L943" s="66"/>
      <c r="M943" s="66"/>
      <c r="N943" s="66"/>
    </row>
    <row r="944" spans="1:14" x14ac:dyDescent="0.2">
      <c r="A944" s="84"/>
      <c r="B944" s="84"/>
      <c r="C944" s="60"/>
      <c r="D944" s="66"/>
      <c r="E944" s="66"/>
      <c r="F944" s="66"/>
      <c r="G944" s="66"/>
      <c r="H944" s="66"/>
      <c r="I944" s="66"/>
      <c r="J944" s="66"/>
      <c r="K944" s="66"/>
      <c r="L944" s="66"/>
      <c r="M944" s="66"/>
      <c r="N944" s="66"/>
    </row>
    <row r="945" spans="1:14" x14ac:dyDescent="0.2">
      <c r="A945" s="84"/>
      <c r="B945" s="84"/>
      <c r="C945" s="60"/>
      <c r="D945" s="66"/>
      <c r="E945" s="66"/>
      <c r="F945" s="66"/>
      <c r="G945" s="66"/>
      <c r="H945" s="66"/>
      <c r="I945" s="66"/>
      <c r="J945" s="66"/>
      <c r="K945" s="66"/>
      <c r="L945" s="66"/>
      <c r="M945" s="66"/>
      <c r="N945" s="66"/>
    </row>
    <row r="946" spans="1:14" x14ac:dyDescent="0.2">
      <c r="A946" s="84"/>
      <c r="B946" s="84"/>
      <c r="C946" s="60"/>
      <c r="D946" s="66"/>
      <c r="E946" s="66"/>
      <c r="F946" s="66"/>
      <c r="G946" s="66"/>
      <c r="H946" s="66"/>
      <c r="I946" s="66"/>
      <c r="J946" s="66"/>
      <c r="K946" s="66"/>
      <c r="L946" s="66"/>
      <c r="M946" s="66"/>
      <c r="N946" s="66"/>
    </row>
    <row r="947" spans="1:14" x14ac:dyDescent="0.2">
      <c r="A947" s="84"/>
      <c r="B947" s="84"/>
      <c r="C947" s="60"/>
      <c r="D947" s="66"/>
      <c r="E947" s="66"/>
      <c r="F947" s="66"/>
      <c r="G947" s="66"/>
      <c r="H947" s="66"/>
      <c r="I947" s="66"/>
      <c r="J947" s="66"/>
      <c r="K947" s="66"/>
      <c r="L947" s="66"/>
      <c r="M947" s="66"/>
      <c r="N947" s="66"/>
    </row>
    <row r="948" spans="1:14" x14ac:dyDescent="0.2">
      <c r="A948" s="84"/>
      <c r="B948" s="84"/>
      <c r="C948" s="60"/>
      <c r="D948" s="66"/>
      <c r="E948" s="66"/>
      <c r="F948" s="66"/>
      <c r="G948" s="66"/>
      <c r="H948" s="66"/>
      <c r="I948" s="66"/>
      <c r="J948" s="66"/>
      <c r="K948" s="66"/>
      <c r="L948" s="66"/>
      <c r="M948" s="66"/>
      <c r="N948" s="66"/>
    </row>
    <row r="949" spans="1:14" x14ac:dyDescent="0.2">
      <c r="A949" s="84"/>
      <c r="B949" s="84"/>
      <c r="C949" s="60"/>
      <c r="D949" s="66"/>
      <c r="E949" s="66"/>
      <c r="F949" s="66"/>
      <c r="G949" s="66"/>
      <c r="H949" s="66"/>
      <c r="I949" s="66"/>
      <c r="J949" s="66"/>
      <c r="K949" s="66"/>
      <c r="L949" s="66"/>
      <c r="M949" s="66"/>
      <c r="N949" s="66"/>
    </row>
    <row r="950" spans="1:14" x14ac:dyDescent="0.2">
      <c r="A950" s="84"/>
      <c r="B950" s="84"/>
      <c r="C950" s="60"/>
      <c r="D950" s="66"/>
      <c r="E950" s="66"/>
      <c r="F950" s="66"/>
      <c r="G950" s="66"/>
      <c r="H950" s="66"/>
      <c r="I950" s="66"/>
      <c r="J950" s="66"/>
      <c r="K950" s="66"/>
      <c r="L950" s="66"/>
      <c r="M950" s="66"/>
      <c r="N950" s="66"/>
    </row>
    <row r="951" spans="1:14" x14ac:dyDescent="0.2">
      <c r="A951" s="84"/>
      <c r="B951" s="84"/>
      <c r="C951" s="60"/>
      <c r="D951" s="66"/>
      <c r="E951" s="66"/>
      <c r="F951" s="66"/>
      <c r="G951" s="66"/>
      <c r="H951" s="66"/>
      <c r="I951" s="66"/>
      <c r="J951" s="66"/>
      <c r="K951" s="66"/>
      <c r="L951" s="66"/>
      <c r="M951" s="66"/>
      <c r="N951" s="66"/>
    </row>
    <row r="952" spans="1:14" x14ac:dyDescent="0.2">
      <c r="A952" s="84"/>
      <c r="B952" s="84"/>
      <c r="C952" s="60"/>
      <c r="D952" s="66"/>
      <c r="E952" s="66"/>
      <c r="F952" s="66"/>
      <c r="G952" s="66"/>
      <c r="H952" s="66"/>
      <c r="I952" s="66"/>
      <c r="J952" s="66"/>
      <c r="K952" s="66"/>
      <c r="L952" s="66"/>
      <c r="M952" s="66"/>
      <c r="N952" s="66"/>
    </row>
    <row r="953" spans="1:14" x14ac:dyDescent="0.2">
      <c r="A953" s="84"/>
      <c r="B953" s="84"/>
      <c r="C953" s="60"/>
      <c r="D953" s="66"/>
      <c r="E953" s="66"/>
      <c r="F953" s="66"/>
      <c r="G953" s="66"/>
      <c r="H953" s="66"/>
      <c r="I953" s="66"/>
      <c r="J953" s="66"/>
      <c r="K953" s="66"/>
      <c r="L953" s="66"/>
      <c r="M953" s="66"/>
      <c r="N953" s="66"/>
    </row>
    <row r="954" spans="1:14" x14ac:dyDescent="0.2">
      <c r="A954" s="84"/>
      <c r="B954" s="84"/>
      <c r="C954" s="60"/>
      <c r="D954" s="66"/>
      <c r="E954" s="66"/>
      <c r="F954" s="66"/>
      <c r="G954" s="66"/>
      <c r="H954" s="66"/>
      <c r="I954" s="66"/>
      <c r="J954" s="66"/>
      <c r="K954" s="66"/>
      <c r="L954" s="66"/>
      <c r="M954" s="66"/>
      <c r="N954" s="66"/>
    </row>
    <row r="955" spans="1:14" x14ac:dyDescent="0.2">
      <c r="A955" s="84"/>
      <c r="B955" s="84"/>
      <c r="C955" s="60"/>
      <c r="D955" s="66"/>
      <c r="E955" s="66"/>
      <c r="F955" s="66"/>
      <c r="G955" s="66"/>
      <c r="H955" s="66"/>
      <c r="I955" s="66"/>
      <c r="J955" s="66"/>
      <c r="K955" s="66"/>
      <c r="L955" s="66"/>
      <c r="M955" s="66"/>
      <c r="N955" s="66"/>
    </row>
    <row r="956" spans="1:14" x14ac:dyDescent="0.2">
      <c r="A956" s="84"/>
      <c r="B956" s="84"/>
      <c r="C956" s="60"/>
      <c r="D956" s="66"/>
      <c r="E956" s="66"/>
      <c r="F956" s="66"/>
      <c r="G956" s="66"/>
      <c r="H956" s="66"/>
      <c r="I956" s="66"/>
      <c r="J956" s="66"/>
      <c r="K956" s="66"/>
      <c r="L956" s="66"/>
      <c r="M956" s="66"/>
      <c r="N956" s="66"/>
    </row>
    <row r="957" spans="1:14" x14ac:dyDescent="0.2">
      <c r="A957" s="84"/>
      <c r="B957" s="84"/>
      <c r="C957" s="60"/>
      <c r="D957" s="66"/>
      <c r="E957" s="66"/>
      <c r="F957" s="66"/>
      <c r="G957" s="66"/>
      <c r="H957" s="66"/>
      <c r="I957" s="66"/>
      <c r="J957" s="66"/>
      <c r="K957" s="66"/>
      <c r="L957" s="66"/>
      <c r="M957" s="66"/>
      <c r="N957" s="66"/>
    </row>
    <row r="958" spans="1:14" x14ac:dyDescent="0.2">
      <c r="A958" s="84"/>
      <c r="B958" s="84"/>
      <c r="C958" s="60"/>
      <c r="D958" s="66"/>
      <c r="E958" s="66"/>
      <c r="F958" s="66"/>
      <c r="G958" s="66"/>
      <c r="H958" s="66"/>
      <c r="I958" s="66"/>
      <c r="J958" s="66"/>
      <c r="K958" s="66"/>
      <c r="L958" s="66"/>
      <c r="M958" s="66"/>
      <c r="N958" s="66"/>
    </row>
    <row r="959" spans="1:14" x14ac:dyDescent="0.2">
      <c r="A959" s="84"/>
      <c r="B959" s="84"/>
      <c r="C959" s="60"/>
      <c r="D959" s="66"/>
      <c r="E959" s="66"/>
      <c r="F959" s="66"/>
      <c r="G959" s="66"/>
      <c r="H959" s="66"/>
      <c r="I959" s="66"/>
      <c r="J959" s="66"/>
      <c r="K959" s="66"/>
      <c r="L959" s="66"/>
      <c r="M959" s="66"/>
      <c r="N959" s="66"/>
    </row>
    <row r="960" spans="1:14" x14ac:dyDescent="0.2">
      <c r="A960" s="84"/>
      <c r="B960" s="84"/>
      <c r="C960" s="60"/>
      <c r="D960" s="66"/>
      <c r="E960" s="66"/>
      <c r="F960" s="66"/>
      <c r="G960" s="66"/>
      <c r="H960" s="66"/>
      <c r="I960" s="66"/>
      <c r="J960" s="66"/>
      <c r="K960" s="66"/>
      <c r="L960" s="66"/>
      <c r="M960" s="66"/>
      <c r="N960" s="66"/>
    </row>
    <row r="961" spans="1:14" x14ac:dyDescent="0.2">
      <c r="A961" s="84"/>
      <c r="B961" s="84"/>
      <c r="C961" s="60"/>
      <c r="D961" s="66"/>
      <c r="E961" s="66"/>
      <c r="F961" s="66"/>
      <c r="G961" s="66"/>
      <c r="H961" s="66"/>
      <c r="I961" s="66"/>
      <c r="J961" s="66"/>
      <c r="K961" s="66"/>
      <c r="L961" s="66"/>
      <c r="M961" s="66"/>
      <c r="N961" s="66"/>
    </row>
    <row r="962" spans="1:14" x14ac:dyDescent="0.2">
      <c r="A962" s="84"/>
      <c r="B962" s="84"/>
      <c r="C962" s="60"/>
      <c r="D962" s="66"/>
      <c r="E962" s="66"/>
      <c r="F962" s="66"/>
      <c r="G962" s="66"/>
      <c r="H962" s="66"/>
      <c r="I962" s="66"/>
      <c r="J962" s="66"/>
      <c r="K962" s="66"/>
      <c r="L962" s="66"/>
      <c r="M962" s="66"/>
      <c r="N962" s="66"/>
    </row>
    <row r="963" spans="1:14" x14ac:dyDescent="0.2">
      <c r="A963" s="84"/>
      <c r="B963" s="84"/>
      <c r="C963" s="60"/>
      <c r="D963" s="66"/>
      <c r="E963" s="66"/>
      <c r="F963" s="66"/>
      <c r="G963" s="66"/>
      <c r="H963" s="66"/>
      <c r="I963" s="66"/>
      <c r="J963" s="66"/>
      <c r="K963" s="66"/>
      <c r="L963" s="66"/>
      <c r="M963" s="66"/>
      <c r="N963" s="66"/>
    </row>
    <row r="964" spans="1:14" x14ac:dyDescent="0.2">
      <c r="A964" s="84"/>
      <c r="B964" s="84"/>
      <c r="C964" s="60"/>
      <c r="D964" s="66"/>
      <c r="E964" s="66"/>
      <c r="F964" s="66"/>
      <c r="G964" s="66"/>
      <c r="H964" s="66"/>
      <c r="I964" s="66"/>
      <c r="J964" s="66"/>
      <c r="K964" s="66"/>
      <c r="L964" s="66"/>
      <c r="M964" s="66"/>
      <c r="N964" s="66"/>
    </row>
    <row r="965" spans="1:14" x14ac:dyDescent="0.2">
      <c r="A965" s="84"/>
      <c r="B965" s="84"/>
      <c r="C965" s="60"/>
      <c r="D965" s="66"/>
      <c r="E965" s="66"/>
      <c r="F965" s="66"/>
      <c r="G965" s="66"/>
      <c r="H965" s="66"/>
      <c r="I965" s="66"/>
      <c r="J965" s="66"/>
      <c r="K965" s="66"/>
      <c r="L965" s="66"/>
      <c r="M965" s="66"/>
      <c r="N965" s="66"/>
    </row>
    <row r="966" spans="1:14" x14ac:dyDescent="0.2">
      <c r="A966" s="84"/>
      <c r="B966" s="84"/>
      <c r="C966" s="60"/>
      <c r="D966" s="66"/>
      <c r="E966" s="66"/>
      <c r="F966" s="66"/>
      <c r="G966" s="66"/>
      <c r="H966" s="66"/>
      <c r="I966" s="66"/>
      <c r="J966" s="66"/>
      <c r="K966" s="66"/>
      <c r="L966" s="66"/>
      <c r="M966" s="66"/>
      <c r="N966" s="66"/>
    </row>
    <row r="967" spans="1:14" x14ac:dyDescent="0.2">
      <c r="A967" s="84"/>
      <c r="B967" s="84"/>
      <c r="C967" s="60"/>
      <c r="D967" s="66"/>
      <c r="E967" s="66"/>
      <c r="F967" s="66"/>
      <c r="G967" s="66"/>
      <c r="H967" s="66"/>
      <c r="I967" s="66"/>
      <c r="J967" s="66"/>
      <c r="K967" s="66"/>
      <c r="L967" s="66"/>
      <c r="M967" s="66"/>
      <c r="N967" s="66"/>
    </row>
    <row r="968" spans="1:14" x14ac:dyDescent="0.2">
      <c r="A968" s="84"/>
      <c r="B968" s="84"/>
      <c r="C968" s="60"/>
      <c r="D968" s="66"/>
      <c r="E968" s="66"/>
      <c r="F968" s="66"/>
      <c r="G968" s="66"/>
      <c r="H968" s="66"/>
      <c r="I968" s="66"/>
      <c r="J968" s="66"/>
      <c r="K968" s="66"/>
      <c r="L968" s="66"/>
      <c r="M968" s="66"/>
      <c r="N968" s="66"/>
    </row>
    <row r="969" spans="1:14" x14ac:dyDescent="0.2">
      <c r="A969" s="84"/>
      <c r="B969" s="84"/>
      <c r="C969" s="60"/>
      <c r="D969" s="66"/>
      <c r="E969" s="66"/>
      <c r="F969" s="66"/>
      <c r="G969" s="66"/>
      <c r="H969" s="66"/>
      <c r="I969" s="66"/>
      <c r="J969" s="66"/>
      <c r="K969" s="66"/>
      <c r="L969" s="66"/>
      <c r="M969" s="66"/>
      <c r="N969" s="66"/>
    </row>
    <row r="970" spans="1:14" x14ac:dyDescent="0.2">
      <c r="A970" s="84"/>
      <c r="B970" s="84"/>
      <c r="C970" s="60"/>
      <c r="D970" s="66"/>
      <c r="E970" s="66"/>
      <c r="F970" s="66"/>
      <c r="G970" s="66"/>
      <c r="H970" s="66"/>
      <c r="I970" s="66"/>
      <c r="J970" s="66"/>
      <c r="K970" s="66"/>
      <c r="L970" s="66"/>
      <c r="M970" s="66"/>
      <c r="N970" s="66"/>
    </row>
    <row r="971" spans="1:14" x14ac:dyDescent="0.2">
      <c r="A971" s="84"/>
      <c r="B971" s="84"/>
      <c r="C971" s="60"/>
      <c r="D971" s="66"/>
      <c r="E971" s="66"/>
      <c r="F971" s="66"/>
      <c r="G971" s="66"/>
      <c r="H971" s="66"/>
      <c r="I971" s="66"/>
      <c r="J971" s="66"/>
      <c r="K971" s="66"/>
      <c r="L971" s="66"/>
      <c r="M971" s="66"/>
      <c r="N971" s="66"/>
    </row>
    <row r="972" spans="1:14" x14ac:dyDescent="0.2">
      <c r="A972" s="84"/>
      <c r="B972" s="84"/>
      <c r="C972" s="60"/>
      <c r="D972" s="66"/>
      <c r="E972" s="66"/>
      <c r="F972" s="66"/>
      <c r="G972" s="66"/>
      <c r="H972" s="66"/>
      <c r="I972" s="66"/>
      <c r="J972" s="66"/>
      <c r="K972" s="66"/>
      <c r="L972" s="66"/>
      <c r="M972" s="66"/>
      <c r="N972" s="66"/>
    </row>
    <row r="973" spans="1:14" x14ac:dyDescent="0.2">
      <c r="A973" s="84"/>
      <c r="B973" s="84"/>
      <c r="C973" s="60"/>
      <c r="D973" s="66"/>
      <c r="E973" s="66"/>
      <c r="F973" s="66"/>
      <c r="G973" s="66"/>
      <c r="H973" s="66"/>
      <c r="I973" s="66"/>
      <c r="J973" s="66"/>
      <c r="K973" s="66"/>
      <c r="L973" s="66"/>
      <c r="M973" s="66"/>
      <c r="N973" s="66"/>
    </row>
    <row r="974" spans="1:14" x14ac:dyDescent="0.2">
      <c r="A974" s="84"/>
      <c r="B974" s="84"/>
      <c r="C974" s="60"/>
      <c r="D974" s="66"/>
      <c r="E974" s="66"/>
      <c r="F974" s="66"/>
      <c r="G974" s="66"/>
      <c r="H974" s="66"/>
      <c r="I974" s="66"/>
      <c r="J974" s="66"/>
      <c r="K974" s="66"/>
      <c r="L974" s="66"/>
      <c r="M974" s="66"/>
      <c r="N974" s="66"/>
    </row>
    <row r="975" spans="1:14" x14ac:dyDescent="0.2">
      <c r="A975" s="84"/>
      <c r="B975" s="84"/>
      <c r="C975" s="60"/>
      <c r="D975" s="66"/>
      <c r="E975" s="66"/>
      <c r="F975" s="66"/>
      <c r="G975" s="66"/>
      <c r="H975" s="66"/>
      <c r="I975" s="66"/>
      <c r="J975" s="66"/>
      <c r="K975" s="66"/>
      <c r="L975" s="66"/>
      <c r="M975" s="66"/>
      <c r="N975" s="66"/>
    </row>
    <row r="976" spans="1:14" x14ac:dyDescent="0.2">
      <c r="A976" s="84"/>
      <c r="B976" s="84"/>
      <c r="C976" s="60"/>
      <c r="D976" s="66"/>
      <c r="E976" s="66"/>
      <c r="F976" s="66"/>
      <c r="G976" s="66"/>
      <c r="H976" s="66"/>
      <c r="I976" s="66"/>
      <c r="J976" s="66"/>
      <c r="K976" s="66"/>
      <c r="L976" s="66"/>
      <c r="M976" s="66"/>
      <c r="N976" s="66"/>
    </row>
    <row r="977" spans="1:14" x14ac:dyDescent="0.2">
      <c r="A977" s="84"/>
      <c r="B977" s="84"/>
      <c r="C977" s="60"/>
      <c r="D977" s="66"/>
      <c r="E977" s="66"/>
      <c r="F977" s="66"/>
      <c r="G977" s="66"/>
      <c r="H977" s="66"/>
      <c r="I977" s="66"/>
      <c r="J977" s="66"/>
      <c r="K977" s="66"/>
      <c r="L977" s="66"/>
      <c r="M977" s="66"/>
      <c r="N977" s="66"/>
    </row>
    <row r="978" spans="1:14" x14ac:dyDescent="0.2">
      <c r="A978" s="84"/>
      <c r="B978" s="84"/>
      <c r="C978" s="60"/>
      <c r="D978" s="66"/>
      <c r="E978" s="66"/>
      <c r="F978" s="66"/>
      <c r="G978" s="66"/>
      <c r="H978" s="66"/>
      <c r="I978" s="66"/>
      <c r="J978" s="66"/>
      <c r="K978" s="66"/>
      <c r="L978" s="66"/>
      <c r="M978" s="66"/>
      <c r="N978" s="66"/>
    </row>
    <row r="979" spans="1:14" x14ac:dyDescent="0.2">
      <c r="A979" s="84"/>
      <c r="B979" s="84"/>
      <c r="C979" s="60"/>
      <c r="D979" s="66"/>
      <c r="E979" s="66"/>
      <c r="F979" s="66"/>
      <c r="G979" s="66"/>
      <c r="H979" s="66"/>
      <c r="I979" s="66"/>
      <c r="J979" s="66"/>
      <c r="K979" s="66"/>
      <c r="L979" s="66"/>
      <c r="M979" s="66"/>
      <c r="N979" s="66"/>
    </row>
    <row r="980" spans="1:14" x14ac:dyDescent="0.2">
      <c r="A980" s="84"/>
      <c r="B980" s="84"/>
      <c r="C980" s="60"/>
      <c r="D980" s="66"/>
      <c r="E980" s="66"/>
      <c r="F980" s="66"/>
      <c r="G980" s="66"/>
      <c r="H980" s="66"/>
      <c r="I980" s="66"/>
      <c r="J980" s="66"/>
      <c r="K980" s="66"/>
      <c r="L980" s="66"/>
      <c r="M980" s="66"/>
      <c r="N980" s="66"/>
    </row>
    <row r="981" spans="1:14" x14ac:dyDescent="0.2">
      <c r="A981" s="84"/>
      <c r="B981" s="84"/>
      <c r="C981" s="60"/>
      <c r="D981" s="66"/>
      <c r="E981" s="66"/>
      <c r="F981" s="66"/>
      <c r="G981" s="66"/>
      <c r="H981" s="66"/>
      <c r="I981" s="66"/>
      <c r="J981" s="66"/>
      <c r="K981" s="66"/>
      <c r="L981" s="66"/>
      <c r="M981" s="66"/>
      <c r="N981" s="66"/>
    </row>
    <row r="982" spans="1:14" x14ac:dyDescent="0.2">
      <c r="A982" s="84"/>
      <c r="B982" s="84"/>
      <c r="C982" s="60"/>
      <c r="D982" s="66"/>
      <c r="E982" s="66"/>
      <c r="F982" s="66"/>
      <c r="G982" s="66"/>
      <c r="H982" s="66"/>
      <c r="I982" s="66"/>
      <c r="J982" s="66"/>
      <c r="K982" s="66"/>
      <c r="L982" s="66"/>
      <c r="M982" s="66"/>
      <c r="N982" s="66"/>
    </row>
    <row r="983" spans="1:14" x14ac:dyDescent="0.2">
      <c r="A983" s="84"/>
      <c r="B983" s="84"/>
      <c r="C983" s="60"/>
      <c r="D983" s="66"/>
      <c r="E983" s="66"/>
      <c r="F983" s="66"/>
      <c r="G983" s="66"/>
      <c r="H983" s="66"/>
      <c r="I983" s="66"/>
      <c r="J983" s="66"/>
      <c r="K983" s="66"/>
      <c r="L983" s="66"/>
      <c r="M983" s="66"/>
      <c r="N983" s="66"/>
    </row>
    <row r="984" spans="1:14" x14ac:dyDescent="0.2">
      <c r="A984" s="84"/>
      <c r="B984" s="84"/>
      <c r="C984" s="60"/>
      <c r="D984" s="66"/>
      <c r="E984" s="66"/>
      <c r="F984" s="66"/>
      <c r="G984" s="66"/>
      <c r="H984" s="66"/>
      <c r="I984" s="66"/>
      <c r="J984" s="66"/>
      <c r="K984" s="66"/>
      <c r="L984" s="66"/>
      <c r="M984" s="66"/>
      <c r="N984" s="66"/>
    </row>
    <row r="985" spans="1:14" x14ac:dyDescent="0.2">
      <c r="A985" s="84"/>
      <c r="B985" s="84"/>
      <c r="C985" s="60"/>
      <c r="D985" s="66"/>
      <c r="E985" s="66"/>
      <c r="F985" s="66"/>
      <c r="G985" s="66"/>
      <c r="H985" s="66"/>
      <c r="I985" s="66"/>
      <c r="J985" s="66"/>
      <c r="K985" s="66"/>
      <c r="L985" s="66"/>
      <c r="M985" s="66"/>
      <c r="N985" s="66"/>
    </row>
    <row r="986" spans="1:14" x14ac:dyDescent="0.2">
      <c r="A986" s="84"/>
      <c r="B986" s="84"/>
      <c r="C986" s="60"/>
      <c r="D986" s="66"/>
      <c r="E986" s="66"/>
      <c r="F986" s="66"/>
      <c r="G986" s="66"/>
      <c r="H986" s="66"/>
      <c r="I986" s="66"/>
      <c r="J986" s="66"/>
      <c r="K986" s="66"/>
      <c r="L986" s="66"/>
      <c r="M986" s="66"/>
      <c r="N986" s="66"/>
    </row>
    <row r="987" spans="1:14" x14ac:dyDescent="0.2">
      <c r="A987" s="84"/>
      <c r="B987" s="84"/>
      <c r="C987" s="60"/>
      <c r="D987" s="66"/>
      <c r="E987" s="66"/>
      <c r="F987" s="66"/>
      <c r="G987" s="66"/>
      <c r="H987" s="66"/>
      <c r="I987" s="66"/>
      <c r="J987" s="66"/>
      <c r="K987" s="66"/>
      <c r="L987" s="66"/>
      <c r="M987" s="66"/>
      <c r="N987" s="66"/>
    </row>
    <row r="988" spans="1:14" x14ac:dyDescent="0.2">
      <c r="A988" s="84"/>
      <c r="B988" s="84"/>
      <c r="C988" s="60"/>
      <c r="D988" s="66"/>
      <c r="E988" s="66"/>
      <c r="F988" s="66"/>
      <c r="G988" s="66"/>
      <c r="H988" s="66"/>
      <c r="I988" s="66"/>
      <c r="J988" s="66"/>
      <c r="K988" s="66"/>
      <c r="L988" s="66"/>
      <c r="M988" s="66"/>
      <c r="N988" s="66"/>
    </row>
    <row r="989" spans="1:14" x14ac:dyDescent="0.2">
      <c r="A989" s="84"/>
      <c r="B989" s="84"/>
      <c r="C989" s="60"/>
      <c r="D989" s="66"/>
      <c r="E989" s="66"/>
      <c r="F989" s="66"/>
      <c r="G989" s="66"/>
      <c r="H989" s="66"/>
      <c r="I989" s="66"/>
      <c r="J989" s="66"/>
      <c r="K989" s="66"/>
      <c r="L989" s="66"/>
      <c r="M989" s="66"/>
      <c r="N989" s="66"/>
    </row>
    <row r="990" spans="1:14" x14ac:dyDescent="0.2">
      <c r="A990" s="84"/>
      <c r="B990" s="84"/>
      <c r="C990" s="60"/>
      <c r="D990" s="66"/>
      <c r="E990" s="66"/>
      <c r="F990" s="66"/>
      <c r="G990" s="66"/>
      <c r="H990" s="66"/>
      <c r="I990" s="66"/>
      <c r="J990" s="66"/>
      <c r="K990" s="66"/>
      <c r="L990" s="66"/>
      <c r="M990" s="66"/>
      <c r="N990" s="66"/>
    </row>
    <row r="991" spans="1:14" x14ac:dyDescent="0.2">
      <c r="A991" s="84"/>
      <c r="B991" s="84"/>
      <c r="C991" s="60"/>
      <c r="D991" s="66"/>
      <c r="E991" s="66"/>
      <c r="F991" s="66"/>
      <c r="G991" s="66"/>
      <c r="H991" s="66"/>
      <c r="I991" s="66"/>
      <c r="J991" s="66"/>
      <c r="K991" s="66"/>
      <c r="L991" s="66"/>
      <c r="M991" s="66"/>
      <c r="N991" s="66"/>
    </row>
    <row r="992" spans="1:14" x14ac:dyDescent="0.2">
      <c r="A992" s="84"/>
      <c r="B992" s="84"/>
      <c r="C992" s="60"/>
      <c r="D992" s="66"/>
      <c r="E992" s="66"/>
      <c r="F992" s="66"/>
      <c r="G992" s="66"/>
      <c r="H992" s="66"/>
      <c r="I992" s="66"/>
      <c r="J992" s="66"/>
      <c r="K992" s="66"/>
      <c r="L992" s="66"/>
      <c r="M992" s="66"/>
      <c r="N992" s="66"/>
    </row>
    <row r="993" spans="1:14" x14ac:dyDescent="0.2">
      <c r="A993" s="84"/>
      <c r="B993" s="84"/>
      <c r="C993" s="60"/>
      <c r="D993" s="66"/>
      <c r="E993" s="66"/>
      <c r="F993" s="66"/>
      <c r="G993" s="66"/>
      <c r="H993" s="66"/>
      <c r="I993" s="66"/>
      <c r="J993" s="66"/>
      <c r="K993" s="66"/>
      <c r="L993" s="66"/>
      <c r="M993" s="66"/>
      <c r="N993" s="66"/>
    </row>
    <row r="994" spans="1:14" x14ac:dyDescent="0.2">
      <c r="A994" s="84"/>
      <c r="B994" s="84"/>
      <c r="C994" s="60"/>
      <c r="D994" s="66"/>
      <c r="E994" s="66"/>
      <c r="F994" s="66"/>
      <c r="G994" s="66"/>
      <c r="H994" s="66"/>
      <c r="I994" s="66"/>
      <c r="J994" s="66"/>
      <c r="K994" s="66"/>
      <c r="L994" s="66"/>
      <c r="M994" s="66"/>
      <c r="N994" s="66"/>
    </row>
    <row r="995" spans="1:14" x14ac:dyDescent="0.2">
      <c r="A995" s="84"/>
      <c r="B995" s="84"/>
      <c r="C995" s="60"/>
      <c r="D995" s="66"/>
      <c r="E995" s="66"/>
      <c r="F995" s="66"/>
      <c r="G995" s="66"/>
      <c r="H995" s="66"/>
      <c r="I995" s="66"/>
      <c r="J995" s="66"/>
      <c r="K995" s="66"/>
      <c r="L995" s="66"/>
      <c r="M995" s="66"/>
      <c r="N995" s="66"/>
    </row>
    <row r="996" spans="1:14" x14ac:dyDescent="0.2">
      <c r="A996" s="84"/>
      <c r="B996" s="84"/>
      <c r="C996" s="60"/>
      <c r="D996" s="66"/>
      <c r="E996" s="66"/>
      <c r="F996" s="66"/>
      <c r="G996" s="66"/>
      <c r="H996" s="66"/>
      <c r="I996" s="66"/>
      <c r="J996" s="66"/>
      <c r="K996" s="66"/>
      <c r="L996" s="66"/>
      <c r="M996" s="66"/>
      <c r="N996" s="66"/>
    </row>
    <row r="997" spans="1:14" x14ac:dyDescent="0.2">
      <c r="A997" s="84"/>
      <c r="B997" s="84"/>
      <c r="C997" s="60"/>
      <c r="D997" s="66"/>
      <c r="E997" s="66"/>
      <c r="F997" s="66"/>
      <c r="G997" s="66"/>
      <c r="H997" s="66"/>
      <c r="I997" s="66"/>
      <c r="J997" s="66"/>
      <c r="K997" s="66"/>
      <c r="L997" s="66"/>
      <c r="M997" s="66"/>
      <c r="N997" s="66"/>
    </row>
    <row r="998" spans="1:14" x14ac:dyDescent="0.2">
      <c r="A998" s="84"/>
      <c r="B998" s="84"/>
      <c r="C998" s="60"/>
      <c r="D998" s="66"/>
      <c r="E998" s="66"/>
      <c r="F998" s="66"/>
      <c r="G998" s="66"/>
      <c r="H998" s="66"/>
      <c r="I998" s="66"/>
      <c r="J998" s="66"/>
      <c r="K998" s="66"/>
      <c r="L998" s="66"/>
      <c r="M998" s="66"/>
      <c r="N998" s="66"/>
    </row>
    <row r="999" spans="1:14" x14ac:dyDescent="0.2">
      <c r="A999" s="84"/>
      <c r="B999" s="84"/>
      <c r="C999" s="60"/>
      <c r="D999" s="66"/>
      <c r="E999" s="66"/>
      <c r="F999" s="66"/>
      <c r="G999" s="66"/>
      <c r="H999" s="66"/>
      <c r="I999" s="66"/>
      <c r="J999" s="66"/>
      <c r="K999" s="66"/>
      <c r="L999" s="66"/>
      <c r="M999" s="66"/>
      <c r="N999" s="66"/>
    </row>
    <row r="1000" spans="1:14" x14ac:dyDescent="0.2">
      <c r="A1000" s="84"/>
      <c r="B1000" s="84"/>
      <c r="C1000" s="60"/>
      <c r="D1000" s="66"/>
      <c r="E1000" s="66"/>
      <c r="F1000" s="66"/>
      <c r="G1000" s="66"/>
      <c r="H1000" s="66"/>
      <c r="I1000" s="66"/>
      <c r="J1000" s="66"/>
      <c r="K1000" s="66"/>
      <c r="L1000" s="66"/>
      <c r="M1000" s="66"/>
      <c r="N1000" s="66"/>
    </row>
    <row r="1001" spans="1:14" x14ac:dyDescent="0.2">
      <c r="A1001" s="84"/>
      <c r="B1001" s="84"/>
      <c r="C1001" s="60"/>
      <c r="D1001" s="66"/>
      <c r="E1001" s="66"/>
      <c r="F1001" s="66"/>
      <c r="G1001" s="66"/>
      <c r="H1001" s="66"/>
      <c r="I1001" s="66"/>
      <c r="J1001" s="66"/>
      <c r="K1001" s="66"/>
      <c r="L1001" s="66"/>
      <c r="M1001" s="66"/>
      <c r="N1001" s="66"/>
    </row>
    <row r="1002" spans="1:14" x14ac:dyDescent="0.2">
      <c r="A1002" s="84"/>
      <c r="B1002" s="84"/>
      <c r="C1002" s="60"/>
      <c r="D1002" s="66"/>
      <c r="E1002" s="66"/>
      <c r="F1002" s="66"/>
      <c r="G1002" s="66"/>
      <c r="H1002" s="66"/>
      <c r="I1002" s="66"/>
      <c r="J1002" s="66"/>
      <c r="K1002" s="66"/>
      <c r="L1002" s="66"/>
      <c r="M1002" s="66"/>
      <c r="N1002" s="66"/>
    </row>
    <row r="1003" spans="1:14" x14ac:dyDescent="0.2">
      <c r="A1003" s="84"/>
      <c r="B1003" s="84"/>
      <c r="C1003" s="60"/>
      <c r="D1003" s="66"/>
      <c r="E1003" s="66"/>
      <c r="F1003" s="66"/>
      <c r="G1003" s="66"/>
      <c r="H1003" s="66"/>
      <c r="I1003" s="66"/>
      <c r="J1003" s="66"/>
      <c r="K1003" s="66"/>
      <c r="L1003" s="66"/>
      <c r="M1003" s="66"/>
      <c r="N1003" s="66"/>
    </row>
    <row r="1004" spans="1:14" x14ac:dyDescent="0.2">
      <c r="A1004" s="84"/>
      <c r="B1004" s="84"/>
      <c r="C1004" s="60"/>
      <c r="D1004" s="66"/>
      <c r="E1004" s="66"/>
      <c r="F1004" s="66"/>
      <c r="G1004" s="66"/>
      <c r="H1004" s="66"/>
      <c r="I1004" s="66"/>
      <c r="J1004" s="66"/>
      <c r="K1004" s="66"/>
      <c r="L1004" s="66"/>
      <c r="M1004" s="66"/>
      <c r="N1004" s="66"/>
    </row>
    <row r="1005" spans="1:14" x14ac:dyDescent="0.2">
      <c r="A1005" s="84"/>
      <c r="B1005" s="84"/>
      <c r="C1005" s="60"/>
      <c r="D1005" s="66"/>
      <c r="E1005" s="66"/>
      <c r="F1005" s="66"/>
      <c r="G1005" s="66"/>
      <c r="H1005" s="66"/>
      <c r="I1005" s="66"/>
      <c r="J1005" s="66"/>
      <c r="K1005" s="66"/>
      <c r="L1005" s="66"/>
      <c r="M1005" s="66"/>
      <c r="N1005" s="66"/>
    </row>
    <row r="1006" spans="1:14" x14ac:dyDescent="0.2">
      <c r="A1006" s="84"/>
      <c r="B1006" s="84"/>
      <c r="C1006" s="60"/>
      <c r="D1006" s="66"/>
      <c r="E1006" s="66"/>
      <c r="F1006" s="66"/>
      <c r="G1006" s="66"/>
      <c r="H1006" s="66"/>
      <c r="I1006" s="66"/>
      <c r="J1006" s="66"/>
      <c r="K1006" s="66"/>
      <c r="L1006" s="66"/>
      <c r="M1006" s="66"/>
      <c r="N1006" s="66"/>
    </row>
    <row r="1007" spans="1:14" x14ac:dyDescent="0.2">
      <c r="A1007" s="84"/>
      <c r="B1007" s="84"/>
      <c r="C1007" s="60"/>
      <c r="D1007" s="66"/>
      <c r="E1007" s="66"/>
      <c r="F1007" s="66"/>
      <c r="G1007" s="66"/>
      <c r="H1007" s="66"/>
      <c r="I1007" s="66"/>
      <c r="J1007" s="66"/>
      <c r="K1007" s="66"/>
      <c r="L1007" s="66"/>
      <c r="M1007" s="66"/>
      <c r="N1007" s="66"/>
    </row>
    <row r="1008" spans="1:14" x14ac:dyDescent="0.2">
      <c r="A1008" s="84"/>
      <c r="B1008" s="84"/>
      <c r="C1008" s="60"/>
      <c r="D1008" s="66"/>
      <c r="E1008" s="66"/>
      <c r="F1008" s="66"/>
      <c r="G1008" s="66"/>
      <c r="H1008" s="66"/>
      <c r="I1008" s="66"/>
      <c r="J1008" s="66"/>
      <c r="K1008" s="66"/>
      <c r="L1008" s="66"/>
      <c r="M1008" s="66"/>
      <c r="N1008" s="66"/>
    </row>
    <row r="1009" spans="1:14" x14ac:dyDescent="0.2">
      <c r="A1009" s="84"/>
      <c r="B1009" s="84"/>
      <c r="C1009" s="60"/>
      <c r="D1009" s="66"/>
      <c r="E1009" s="66"/>
      <c r="F1009" s="66"/>
      <c r="G1009" s="66"/>
      <c r="H1009" s="66"/>
      <c r="I1009" s="66"/>
      <c r="J1009" s="66"/>
      <c r="K1009" s="66"/>
      <c r="L1009" s="66"/>
      <c r="M1009" s="66"/>
      <c r="N1009" s="66"/>
    </row>
    <row r="1010" spans="1:14" x14ac:dyDescent="0.2">
      <c r="A1010" s="84"/>
      <c r="B1010" s="84"/>
      <c r="C1010" s="60"/>
      <c r="D1010" s="66"/>
      <c r="E1010" s="66"/>
      <c r="F1010" s="66"/>
      <c r="G1010" s="66"/>
      <c r="H1010" s="66"/>
      <c r="I1010" s="66"/>
      <c r="J1010" s="66"/>
      <c r="K1010" s="66"/>
      <c r="L1010" s="66"/>
      <c r="M1010" s="66"/>
      <c r="N1010" s="66"/>
    </row>
    <row r="1011" spans="1:14" x14ac:dyDescent="0.2">
      <c r="A1011" s="84"/>
      <c r="B1011" s="84"/>
      <c r="C1011" s="60"/>
      <c r="D1011" s="66"/>
      <c r="E1011" s="66"/>
      <c r="F1011" s="66"/>
      <c r="G1011" s="66"/>
      <c r="H1011" s="66"/>
      <c r="I1011" s="66"/>
      <c r="J1011" s="66"/>
      <c r="K1011" s="66"/>
      <c r="L1011" s="66"/>
      <c r="M1011" s="66"/>
      <c r="N1011" s="66"/>
    </row>
    <row r="1012" spans="1:14" x14ac:dyDescent="0.2">
      <c r="A1012" s="84"/>
      <c r="B1012" s="84"/>
      <c r="C1012" s="60"/>
      <c r="D1012" s="66"/>
      <c r="E1012" s="66"/>
      <c r="F1012" s="66"/>
      <c r="G1012" s="66"/>
      <c r="H1012" s="66"/>
      <c r="I1012" s="66"/>
      <c r="J1012" s="66"/>
      <c r="K1012" s="66"/>
      <c r="L1012" s="66"/>
      <c r="M1012" s="66"/>
      <c r="N1012" s="66"/>
    </row>
    <row r="1013" spans="1:14" x14ac:dyDescent="0.2">
      <c r="A1013" s="84"/>
      <c r="B1013" s="84"/>
      <c r="C1013" s="60"/>
      <c r="D1013" s="66"/>
      <c r="E1013" s="66"/>
      <c r="F1013" s="66"/>
      <c r="G1013" s="66"/>
      <c r="H1013" s="66"/>
      <c r="I1013" s="66"/>
      <c r="J1013" s="66"/>
      <c r="K1013" s="66"/>
      <c r="L1013" s="66"/>
      <c r="M1013" s="66"/>
      <c r="N1013" s="66"/>
    </row>
    <row r="1014" spans="1:14" x14ac:dyDescent="0.2">
      <c r="A1014" s="84"/>
      <c r="B1014" s="84"/>
      <c r="C1014" s="60"/>
      <c r="D1014" s="66"/>
      <c r="E1014" s="66"/>
      <c r="F1014" s="66"/>
      <c r="G1014" s="66"/>
      <c r="H1014" s="66"/>
      <c r="I1014" s="66"/>
      <c r="J1014" s="66"/>
      <c r="K1014" s="66"/>
      <c r="L1014" s="66"/>
      <c r="M1014" s="66"/>
      <c r="N1014" s="66"/>
    </row>
    <row r="1015" spans="1:14" x14ac:dyDescent="0.2">
      <c r="A1015" s="84"/>
      <c r="B1015" s="84"/>
      <c r="C1015" s="60"/>
      <c r="D1015" s="66"/>
      <c r="E1015" s="66"/>
      <c r="F1015" s="66"/>
      <c r="G1015" s="66"/>
      <c r="H1015" s="66"/>
      <c r="I1015" s="66"/>
      <c r="J1015" s="66"/>
      <c r="K1015" s="66"/>
      <c r="L1015" s="66"/>
      <c r="M1015" s="66"/>
      <c r="N1015" s="66"/>
    </row>
    <row r="1016" spans="1:14" x14ac:dyDescent="0.2">
      <c r="A1016" s="84"/>
      <c r="B1016" s="84"/>
      <c r="C1016" s="60"/>
      <c r="D1016" s="66"/>
      <c r="E1016" s="66"/>
      <c r="F1016" s="66"/>
      <c r="G1016" s="66"/>
      <c r="H1016" s="66"/>
      <c r="I1016" s="66"/>
      <c r="J1016" s="66"/>
      <c r="K1016" s="66"/>
      <c r="L1016" s="66"/>
      <c r="M1016" s="66"/>
      <c r="N1016" s="66"/>
    </row>
    <row r="1017" spans="1:14" x14ac:dyDescent="0.2">
      <c r="A1017" s="84"/>
      <c r="B1017" s="84"/>
      <c r="C1017" s="60"/>
      <c r="D1017" s="66"/>
      <c r="E1017" s="66"/>
      <c r="F1017" s="66"/>
      <c r="G1017" s="66"/>
      <c r="H1017" s="66"/>
      <c r="I1017" s="66"/>
      <c r="J1017" s="66"/>
      <c r="K1017" s="66"/>
      <c r="L1017" s="66"/>
      <c r="M1017" s="66"/>
      <c r="N1017" s="66"/>
    </row>
    <row r="1018" spans="1:14" x14ac:dyDescent="0.2">
      <c r="A1018" s="84"/>
      <c r="B1018" s="84"/>
      <c r="C1018" s="60"/>
      <c r="D1018" s="66"/>
      <c r="E1018" s="66"/>
      <c r="F1018" s="66"/>
      <c r="G1018" s="66"/>
      <c r="H1018" s="66"/>
      <c r="I1018" s="66"/>
      <c r="J1018" s="66"/>
      <c r="K1018" s="66"/>
      <c r="L1018" s="66"/>
      <c r="M1018" s="66"/>
      <c r="N1018" s="66"/>
    </row>
    <row r="1019" spans="1:14" x14ac:dyDescent="0.2">
      <c r="A1019" s="84"/>
      <c r="B1019" s="84"/>
      <c r="C1019" s="60"/>
      <c r="D1019" s="66"/>
      <c r="E1019" s="66"/>
      <c r="F1019" s="66"/>
      <c r="G1019" s="66"/>
      <c r="H1019" s="66"/>
      <c r="I1019" s="66"/>
      <c r="J1019" s="66"/>
      <c r="K1019" s="66"/>
      <c r="L1019" s="66"/>
      <c r="M1019" s="66"/>
      <c r="N1019" s="66"/>
    </row>
    <row r="1020" spans="1:14" x14ac:dyDescent="0.2">
      <c r="A1020" s="84"/>
      <c r="B1020" s="84"/>
      <c r="C1020" s="60"/>
      <c r="D1020" s="66"/>
      <c r="E1020" s="66"/>
      <c r="F1020" s="66"/>
      <c r="G1020" s="66"/>
      <c r="H1020" s="66"/>
      <c r="I1020" s="66"/>
      <c r="J1020" s="66"/>
      <c r="K1020" s="66"/>
      <c r="L1020" s="66"/>
      <c r="M1020" s="66"/>
      <c r="N1020" s="66"/>
    </row>
    <row r="1021" spans="1:14" x14ac:dyDescent="0.2">
      <c r="A1021" s="84"/>
      <c r="B1021" s="84"/>
      <c r="C1021" s="60"/>
      <c r="D1021" s="66"/>
      <c r="E1021" s="66"/>
      <c r="F1021" s="66"/>
      <c r="G1021" s="66"/>
      <c r="H1021" s="66"/>
      <c r="I1021" s="66"/>
      <c r="J1021" s="66"/>
      <c r="K1021" s="66"/>
      <c r="L1021" s="66"/>
      <c r="M1021" s="66"/>
      <c r="N1021" s="66"/>
    </row>
    <row r="1022" spans="1:14" x14ac:dyDescent="0.2">
      <c r="A1022" s="84"/>
      <c r="B1022" s="84"/>
      <c r="C1022" s="60"/>
      <c r="D1022" s="66"/>
      <c r="E1022" s="66"/>
      <c r="F1022" s="66"/>
      <c r="G1022" s="66"/>
      <c r="H1022" s="66"/>
      <c r="I1022" s="66"/>
      <c r="J1022" s="66"/>
      <c r="K1022" s="66"/>
      <c r="L1022" s="66"/>
      <c r="M1022" s="66"/>
      <c r="N1022" s="66"/>
    </row>
    <row r="1023" spans="1:14" x14ac:dyDescent="0.2">
      <c r="A1023" s="84"/>
      <c r="B1023" s="84"/>
      <c r="C1023" s="60"/>
      <c r="D1023" s="66"/>
      <c r="E1023" s="66"/>
      <c r="F1023" s="66"/>
      <c r="G1023" s="66"/>
      <c r="H1023" s="66"/>
      <c r="I1023" s="66"/>
      <c r="J1023" s="66"/>
      <c r="K1023" s="66"/>
      <c r="L1023" s="66"/>
      <c r="M1023" s="66"/>
      <c r="N1023" s="66"/>
    </row>
    <row r="1024" spans="1:14" x14ac:dyDescent="0.2">
      <c r="A1024" s="84"/>
      <c r="B1024" s="84"/>
      <c r="C1024" s="60"/>
      <c r="D1024" s="66"/>
      <c r="E1024" s="66"/>
      <c r="F1024" s="66"/>
      <c r="G1024" s="66"/>
      <c r="H1024" s="66"/>
      <c r="I1024" s="66"/>
      <c r="J1024" s="66"/>
      <c r="K1024" s="66"/>
      <c r="L1024" s="66"/>
      <c r="M1024" s="66"/>
      <c r="N1024" s="66"/>
    </row>
    <row r="1025" spans="1:14" x14ac:dyDescent="0.2">
      <c r="A1025" s="84"/>
      <c r="B1025" s="84"/>
      <c r="C1025" s="60"/>
      <c r="D1025" s="66"/>
      <c r="E1025" s="66"/>
      <c r="F1025" s="66"/>
      <c r="G1025" s="66"/>
      <c r="H1025" s="66"/>
      <c r="I1025" s="66"/>
      <c r="J1025" s="66"/>
      <c r="K1025" s="66"/>
      <c r="L1025" s="66"/>
      <c r="M1025" s="66"/>
      <c r="N1025" s="66"/>
    </row>
    <row r="1026" spans="1:14" x14ac:dyDescent="0.2">
      <c r="A1026" s="84"/>
      <c r="B1026" s="84"/>
      <c r="C1026" s="60"/>
      <c r="D1026" s="66"/>
      <c r="E1026" s="66"/>
      <c r="F1026" s="66"/>
      <c r="G1026" s="66"/>
      <c r="H1026" s="66"/>
      <c r="I1026" s="66"/>
      <c r="J1026" s="66"/>
      <c r="K1026" s="66"/>
      <c r="L1026" s="66"/>
      <c r="M1026" s="66"/>
      <c r="N1026" s="66"/>
    </row>
    <row r="1027" spans="1:14" x14ac:dyDescent="0.2">
      <c r="A1027" s="84"/>
      <c r="B1027" s="84"/>
      <c r="C1027" s="60"/>
      <c r="D1027" s="66"/>
      <c r="E1027" s="66"/>
      <c r="F1027" s="66"/>
      <c r="G1027" s="66"/>
      <c r="H1027" s="66"/>
      <c r="I1027" s="66"/>
      <c r="J1027" s="66"/>
      <c r="K1027" s="66"/>
      <c r="L1027" s="66"/>
      <c r="M1027" s="66"/>
      <c r="N1027" s="66"/>
    </row>
    <row r="1028" spans="1:14" x14ac:dyDescent="0.2">
      <c r="A1028" s="84"/>
      <c r="B1028" s="84"/>
      <c r="C1028" s="60"/>
      <c r="D1028" s="66"/>
      <c r="E1028" s="66"/>
      <c r="F1028" s="66"/>
      <c r="G1028" s="66"/>
      <c r="H1028" s="66"/>
      <c r="I1028" s="66"/>
      <c r="J1028" s="66"/>
      <c r="K1028" s="66"/>
      <c r="L1028" s="66"/>
      <c r="M1028" s="66"/>
      <c r="N1028" s="66"/>
    </row>
    <row r="1029" spans="1:14" x14ac:dyDescent="0.2">
      <c r="A1029" s="84"/>
      <c r="B1029" s="84"/>
      <c r="C1029" s="60"/>
      <c r="D1029" s="66"/>
      <c r="E1029" s="66"/>
      <c r="F1029" s="66"/>
      <c r="G1029" s="66"/>
      <c r="H1029" s="66"/>
      <c r="I1029" s="66"/>
      <c r="J1029" s="66"/>
      <c r="K1029" s="66"/>
      <c r="L1029" s="66"/>
      <c r="M1029" s="66"/>
      <c r="N1029" s="66"/>
    </row>
    <row r="1030" spans="1:14" x14ac:dyDescent="0.2">
      <c r="A1030" s="84"/>
      <c r="B1030" s="84"/>
      <c r="C1030" s="60"/>
      <c r="D1030" s="66"/>
      <c r="E1030" s="66"/>
      <c r="F1030" s="66"/>
      <c r="G1030" s="66"/>
      <c r="H1030" s="66"/>
      <c r="I1030" s="66"/>
      <c r="J1030" s="66"/>
      <c r="K1030" s="66"/>
      <c r="L1030" s="66"/>
      <c r="M1030" s="66"/>
      <c r="N1030" s="66"/>
    </row>
    <row r="1031" spans="1:14" x14ac:dyDescent="0.2">
      <c r="A1031" s="84"/>
      <c r="B1031" s="84"/>
      <c r="C1031" s="60"/>
      <c r="D1031" s="66"/>
      <c r="E1031" s="66"/>
      <c r="F1031" s="66"/>
      <c r="G1031" s="66"/>
      <c r="H1031" s="66"/>
      <c r="I1031" s="66"/>
      <c r="J1031" s="66"/>
      <c r="K1031" s="66"/>
      <c r="L1031" s="66"/>
      <c r="M1031" s="66"/>
      <c r="N1031" s="66"/>
    </row>
    <row r="1032" spans="1:14" x14ac:dyDescent="0.2">
      <c r="A1032" s="84"/>
      <c r="B1032" s="84"/>
      <c r="C1032" s="60"/>
      <c r="D1032" s="66"/>
      <c r="E1032" s="66"/>
      <c r="F1032" s="66"/>
      <c r="G1032" s="66"/>
      <c r="H1032" s="66"/>
      <c r="I1032" s="66"/>
      <c r="J1032" s="66"/>
      <c r="K1032" s="66"/>
      <c r="L1032" s="66"/>
      <c r="M1032" s="66"/>
      <c r="N1032" s="66"/>
    </row>
    <row r="1033" spans="1:14" x14ac:dyDescent="0.2">
      <c r="A1033" s="84"/>
      <c r="B1033" s="84"/>
      <c r="C1033" s="60"/>
      <c r="D1033" s="66"/>
      <c r="E1033" s="66"/>
      <c r="F1033" s="66"/>
      <c r="G1033" s="66"/>
      <c r="H1033" s="66"/>
      <c r="I1033" s="66"/>
      <c r="J1033" s="66"/>
      <c r="K1033" s="66"/>
      <c r="L1033" s="66"/>
      <c r="M1033" s="66"/>
      <c r="N1033" s="66"/>
    </row>
    <row r="1034" spans="1:14" x14ac:dyDescent="0.2">
      <c r="A1034" s="84"/>
      <c r="B1034" s="84"/>
      <c r="C1034" s="60"/>
      <c r="D1034" s="66"/>
      <c r="E1034" s="66"/>
      <c r="F1034" s="66"/>
      <c r="G1034" s="66"/>
      <c r="H1034" s="66"/>
      <c r="I1034" s="66"/>
      <c r="J1034" s="66"/>
      <c r="K1034" s="66"/>
      <c r="L1034" s="66"/>
      <c r="M1034" s="66"/>
      <c r="N1034" s="66"/>
    </row>
    <row r="1035" spans="1:14" x14ac:dyDescent="0.2">
      <c r="A1035" s="84"/>
      <c r="B1035" s="84"/>
      <c r="C1035" s="60"/>
      <c r="D1035" s="66"/>
      <c r="E1035" s="66"/>
      <c r="F1035" s="66"/>
      <c r="G1035" s="66"/>
      <c r="H1035" s="66"/>
      <c r="I1035" s="66"/>
      <c r="J1035" s="66"/>
      <c r="K1035" s="66"/>
      <c r="L1035" s="66"/>
      <c r="M1035" s="66"/>
      <c r="N1035" s="66"/>
    </row>
    <row r="1036" spans="1:14" x14ac:dyDescent="0.2">
      <c r="A1036" s="84"/>
      <c r="B1036" s="84"/>
      <c r="C1036" s="60"/>
      <c r="D1036" s="66"/>
      <c r="E1036" s="66"/>
      <c r="F1036" s="66"/>
      <c r="G1036" s="66"/>
      <c r="H1036" s="66"/>
      <c r="I1036" s="66"/>
      <c r="J1036" s="66"/>
      <c r="K1036" s="66"/>
      <c r="L1036" s="66"/>
      <c r="M1036" s="66"/>
      <c r="N1036" s="66"/>
    </row>
    <row r="1037" spans="1:14" x14ac:dyDescent="0.2">
      <c r="A1037" s="84"/>
      <c r="B1037" s="84"/>
      <c r="C1037" s="60"/>
      <c r="D1037" s="66"/>
      <c r="E1037" s="66"/>
      <c r="F1037" s="66"/>
      <c r="G1037" s="66"/>
      <c r="H1037" s="66"/>
      <c r="I1037" s="66"/>
      <c r="J1037" s="66"/>
      <c r="K1037" s="66"/>
      <c r="L1037" s="66"/>
      <c r="M1037" s="66"/>
      <c r="N1037" s="66"/>
    </row>
    <row r="1038" spans="1:14" x14ac:dyDescent="0.2">
      <c r="A1038" s="84"/>
      <c r="B1038" s="84"/>
      <c r="C1038" s="60"/>
      <c r="D1038" s="66"/>
      <c r="E1038" s="66"/>
      <c r="F1038" s="66"/>
      <c r="G1038" s="66"/>
      <c r="H1038" s="66"/>
      <c r="I1038" s="66"/>
      <c r="J1038" s="66"/>
      <c r="K1038" s="66"/>
      <c r="L1038" s="66"/>
      <c r="M1038" s="66"/>
      <c r="N1038" s="66"/>
    </row>
    <row r="1039" spans="1:14" x14ac:dyDescent="0.2">
      <c r="A1039" s="84"/>
      <c r="B1039" s="84"/>
      <c r="C1039" s="60"/>
      <c r="D1039" s="66"/>
      <c r="E1039" s="66"/>
      <c r="F1039" s="66"/>
      <c r="G1039" s="66"/>
      <c r="H1039" s="66"/>
      <c r="I1039" s="66"/>
      <c r="J1039" s="66"/>
      <c r="K1039" s="66"/>
      <c r="L1039" s="66"/>
      <c r="M1039" s="66"/>
      <c r="N1039" s="66"/>
    </row>
    <row r="1040" spans="1:14" x14ac:dyDescent="0.2">
      <c r="A1040" s="84"/>
      <c r="B1040" s="84"/>
      <c r="C1040" s="60"/>
      <c r="D1040" s="66"/>
      <c r="E1040" s="66"/>
      <c r="F1040" s="66"/>
      <c r="G1040" s="66"/>
      <c r="H1040" s="66"/>
      <c r="I1040" s="66"/>
      <c r="J1040" s="66"/>
      <c r="K1040" s="66"/>
      <c r="L1040" s="66"/>
      <c r="M1040" s="66"/>
      <c r="N1040" s="66"/>
    </row>
    <row r="1041" spans="1:14" x14ac:dyDescent="0.2">
      <c r="A1041" s="84"/>
      <c r="B1041" s="84"/>
      <c r="C1041" s="60"/>
      <c r="D1041" s="66"/>
      <c r="E1041" s="66"/>
      <c r="F1041" s="66"/>
      <c r="G1041" s="66"/>
      <c r="H1041" s="66"/>
      <c r="I1041" s="66"/>
      <c r="J1041" s="66"/>
      <c r="K1041" s="66"/>
      <c r="L1041" s="66"/>
      <c r="M1041" s="66"/>
      <c r="N1041" s="66"/>
    </row>
    <row r="1042" spans="1:14" x14ac:dyDescent="0.2">
      <c r="A1042" s="84"/>
      <c r="B1042" s="84"/>
      <c r="C1042" s="60"/>
      <c r="D1042" s="66"/>
      <c r="E1042" s="66"/>
      <c r="F1042" s="66"/>
      <c r="G1042" s="66"/>
      <c r="H1042" s="66"/>
      <c r="I1042" s="66"/>
      <c r="J1042" s="66"/>
      <c r="K1042" s="66"/>
      <c r="L1042" s="66"/>
      <c r="M1042" s="66"/>
      <c r="N1042" s="66"/>
    </row>
    <row r="1043" spans="1:14" x14ac:dyDescent="0.2">
      <c r="A1043" s="84"/>
      <c r="B1043" s="84"/>
      <c r="C1043" s="60"/>
      <c r="D1043" s="66"/>
      <c r="E1043" s="66"/>
      <c r="F1043" s="66"/>
      <c r="G1043" s="66"/>
      <c r="H1043" s="66"/>
      <c r="I1043" s="66"/>
      <c r="J1043" s="66"/>
      <c r="K1043" s="66"/>
      <c r="L1043" s="66"/>
      <c r="M1043" s="66"/>
      <c r="N1043" s="66"/>
    </row>
    <row r="1044" spans="1:14" x14ac:dyDescent="0.2">
      <c r="A1044" s="84"/>
      <c r="B1044" s="84"/>
      <c r="C1044" s="60"/>
      <c r="D1044" s="66"/>
      <c r="E1044" s="66"/>
      <c r="F1044" s="66"/>
      <c r="G1044" s="66"/>
      <c r="H1044" s="66"/>
      <c r="I1044" s="66"/>
      <c r="J1044" s="66"/>
      <c r="K1044" s="66"/>
      <c r="L1044" s="66"/>
      <c r="M1044" s="66"/>
      <c r="N1044" s="66"/>
    </row>
    <row r="1045" spans="1:14" x14ac:dyDescent="0.2">
      <c r="A1045" s="84"/>
      <c r="B1045" s="84"/>
      <c r="C1045" s="60"/>
      <c r="D1045" s="66"/>
      <c r="E1045" s="66"/>
      <c r="F1045" s="66"/>
      <c r="G1045" s="66"/>
      <c r="H1045" s="66"/>
      <c r="I1045" s="66"/>
      <c r="J1045" s="66"/>
      <c r="K1045" s="66"/>
      <c r="L1045" s="66"/>
      <c r="M1045" s="66"/>
      <c r="N1045" s="66"/>
    </row>
    <row r="1046" spans="1:14" x14ac:dyDescent="0.2">
      <c r="A1046" s="84"/>
      <c r="B1046" s="84"/>
      <c r="C1046" s="60"/>
      <c r="D1046" s="66"/>
      <c r="E1046" s="66"/>
      <c r="F1046" s="66"/>
      <c r="G1046" s="66"/>
      <c r="H1046" s="66"/>
      <c r="I1046" s="66"/>
      <c r="J1046" s="66"/>
      <c r="K1046" s="66"/>
      <c r="L1046" s="66"/>
      <c r="M1046" s="66"/>
      <c r="N1046" s="66"/>
    </row>
    <row r="1047" spans="1:14" x14ac:dyDescent="0.2">
      <c r="A1047" s="84"/>
      <c r="B1047" s="84"/>
      <c r="C1047" s="60"/>
      <c r="D1047" s="66"/>
      <c r="E1047" s="66"/>
      <c r="F1047" s="66"/>
      <c r="G1047" s="66"/>
      <c r="H1047" s="66"/>
      <c r="I1047" s="66"/>
      <c r="J1047" s="66"/>
      <c r="K1047" s="66"/>
      <c r="L1047" s="66"/>
      <c r="M1047" s="66"/>
      <c r="N1047" s="66"/>
    </row>
    <row r="1048" spans="1:14" x14ac:dyDescent="0.2">
      <c r="A1048" s="84"/>
      <c r="B1048" s="84"/>
      <c r="C1048" s="60"/>
      <c r="D1048" s="66"/>
      <c r="E1048" s="66"/>
      <c r="F1048" s="66"/>
      <c r="G1048" s="66"/>
      <c r="H1048" s="66"/>
      <c r="I1048" s="66"/>
      <c r="J1048" s="66"/>
      <c r="K1048" s="66"/>
      <c r="L1048" s="66"/>
      <c r="M1048" s="66"/>
      <c r="N1048" s="66"/>
    </row>
    <row r="1049" spans="1:14" x14ac:dyDescent="0.2">
      <c r="A1049" s="84"/>
      <c r="B1049" s="84"/>
      <c r="C1049" s="60"/>
      <c r="D1049" s="66"/>
      <c r="E1049" s="66"/>
      <c r="F1049" s="66"/>
      <c r="G1049" s="66"/>
      <c r="H1049" s="66"/>
      <c r="I1049" s="66"/>
      <c r="J1049" s="66"/>
      <c r="K1049" s="66"/>
      <c r="L1049" s="66"/>
      <c r="M1049" s="66"/>
      <c r="N1049" s="66"/>
    </row>
    <row r="1050" spans="1:14" x14ac:dyDescent="0.2">
      <c r="A1050" s="84"/>
      <c r="B1050" s="84"/>
      <c r="C1050" s="60"/>
      <c r="D1050" s="66"/>
      <c r="E1050" s="66"/>
      <c r="F1050" s="66"/>
      <c r="G1050" s="66"/>
      <c r="H1050" s="66"/>
      <c r="I1050" s="66"/>
      <c r="J1050" s="66"/>
      <c r="K1050" s="66"/>
      <c r="L1050" s="66"/>
      <c r="M1050" s="66"/>
      <c r="N1050" s="66"/>
    </row>
    <row r="1051" spans="1:14" x14ac:dyDescent="0.2">
      <c r="A1051" s="84"/>
      <c r="B1051" s="84"/>
      <c r="C1051" s="60"/>
      <c r="D1051" s="66"/>
      <c r="E1051" s="66"/>
      <c r="F1051" s="66"/>
      <c r="G1051" s="66"/>
      <c r="H1051" s="66"/>
      <c r="I1051" s="66"/>
      <c r="J1051" s="66"/>
      <c r="K1051" s="66"/>
      <c r="L1051" s="66"/>
      <c r="M1051" s="66"/>
      <c r="N1051" s="66"/>
    </row>
    <row r="1052" spans="1:14" x14ac:dyDescent="0.2">
      <c r="A1052" s="84"/>
      <c r="B1052" s="84"/>
      <c r="C1052" s="60"/>
      <c r="D1052" s="66"/>
      <c r="E1052" s="66"/>
      <c r="F1052" s="66"/>
      <c r="G1052" s="66"/>
      <c r="H1052" s="66"/>
      <c r="I1052" s="66"/>
      <c r="J1052" s="66"/>
      <c r="K1052" s="66"/>
      <c r="L1052" s="66"/>
      <c r="M1052" s="66"/>
      <c r="N1052" s="66"/>
    </row>
    <row r="1053" spans="1:14" x14ac:dyDescent="0.2">
      <c r="A1053" s="84"/>
      <c r="B1053" s="84"/>
      <c r="C1053" s="60"/>
      <c r="D1053" s="66"/>
      <c r="E1053" s="66"/>
      <c r="F1053" s="66"/>
      <c r="G1053" s="66"/>
      <c r="H1053" s="66"/>
      <c r="I1053" s="66"/>
      <c r="J1053" s="66"/>
      <c r="K1053" s="66"/>
      <c r="L1053" s="66"/>
      <c r="M1053" s="66"/>
      <c r="N1053" s="66"/>
    </row>
    <row r="1054" spans="1:14" x14ac:dyDescent="0.2">
      <c r="A1054" s="84"/>
      <c r="B1054" s="84"/>
      <c r="C1054" s="60"/>
      <c r="D1054" s="66"/>
      <c r="E1054" s="66"/>
      <c r="F1054" s="66"/>
      <c r="G1054" s="66"/>
      <c r="H1054" s="66"/>
      <c r="I1054" s="66"/>
      <c r="J1054" s="66"/>
      <c r="K1054" s="66"/>
      <c r="L1054" s="66"/>
      <c r="M1054" s="66"/>
      <c r="N1054" s="66"/>
    </row>
    <row r="1055" spans="1:14" x14ac:dyDescent="0.2">
      <c r="A1055" s="84"/>
      <c r="B1055" s="84"/>
      <c r="C1055" s="60"/>
      <c r="D1055" s="66"/>
      <c r="E1055" s="66"/>
      <c r="F1055" s="66"/>
      <c r="G1055" s="66"/>
      <c r="H1055" s="66"/>
      <c r="I1055" s="66"/>
      <c r="J1055" s="66"/>
      <c r="K1055" s="66"/>
      <c r="L1055" s="66"/>
      <c r="M1055" s="66"/>
      <c r="N1055" s="66"/>
    </row>
    <row r="1056" spans="1:14" x14ac:dyDescent="0.2">
      <c r="A1056" s="84"/>
      <c r="B1056" s="84"/>
      <c r="C1056" s="60"/>
      <c r="D1056" s="66"/>
      <c r="E1056" s="66"/>
      <c r="F1056" s="66"/>
      <c r="G1056" s="66"/>
      <c r="H1056" s="66"/>
      <c r="I1056" s="66"/>
      <c r="J1056" s="66"/>
      <c r="K1056" s="66"/>
      <c r="L1056" s="66"/>
      <c r="M1056" s="66"/>
      <c r="N1056" s="66"/>
    </row>
    <row r="1057" spans="1:14" x14ac:dyDescent="0.2">
      <c r="A1057" s="84"/>
      <c r="B1057" s="84"/>
      <c r="C1057" s="60"/>
      <c r="D1057" s="66"/>
      <c r="E1057" s="66"/>
      <c r="F1057" s="66"/>
      <c r="G1057" s="66"/>
      <c r="H1057" s="66"/>
      <c r="I1057" s="66"/>
      <c r="J1057" s="66"/>
      <c r="K1057" s="66"/>
      <c r="L1057" s="66"/>
      <c r="M1057" s="66"/>
      <c r="N1057" s="66"/>
    </row>
    <row r="1058" spans="1:14" x14ac:dyDescent="0.2">
      <c r="A1058" s="84"/>
      <c r="B1058" s="84"/>
      <c r="C1058" s="60"/>
      <c r="D1058" s="66"/>
      <c r="E1058" s="66"/>
      <c r="F1058" s="66"/>
      <c r="G1058" s="66"/>
      <c r="H1058" s="66"/>
      <c r="I1058" s="66"/>
      <c r="J1058" s="66"/>
      <c r="K1058" s="66"/>
      <c r="L1058" s="66"/>
      <c r="M1058" s="66"/>
      <c r="N1058" s="66"/>
    </row>
    <row r="1059" spans="1:14" x14ac:dyDescent="0.2">
      <c r="A1059" s="84"/>
      <c r="B1059" s="84"/>
      <c r="C1059" s="60"/>
      <c r="D1059" s="66"/>
      <c r="E1059" s="66"/>
      <c r="F1059" s="66"/>
      <c r="G1059" s="66"/>
      <c r="H1059" s="66"/>
      <c r="I1059" s="66"/>
      <c r="J1059" s="66"/>
      <c r="K1059" s="66"/>
      <c r="L1059" s="66"/>
      <c r="M1059" s="66"/>
      <c r="N1059" s="66"/>
    </row>
    <row r="1060" spans="1:14" x14ac:dyDescent="0.2">
      <c r="A1060" s="84"/>
      <c r="B1060" s="84"/>
      <c r="C1060" s="60"/>
      <c r="D1060" s="66"/>
      <c r="E1060" s="66"/>
      <c r="F1060" s="66"/>
      <c r="G1060" s="66"/>
      <c r="H1060" s="66"/>
      <c r="I1060" s="66"/>
      <c r="J1060" s="66"/>
      <c r="K1060" s="66"/>
      <c r="L1060" s="66"/>
      <c r="M1060" s="66"/>
      <c r="N1060" s="66"/>
    </row>
    <row r="1061" spans="1:14" x14ac:dyDescent="0.2">
      <c r="A1061" s="84"/>
      <c r="B1061" s="84"/>
      <c r="C1061" s="60"/>
      <c r="D1061" s="66"/>
      <c r="E1061" s="66"/>
      <c r="F1061" s="66"/>
      <c r="G1061" s="66"/>
      <c r="H1061" s="66"/>
      <c r="I1061" s="66"/>
      <c r="J1061" s="66"/>
      <c r="K1061" s="66"/>
      <c r="L1061" s="66"/>
      <c r="M1061" s="66"/>
      <c r="N1061" s="66"/>
    </row>
    <row r="1062" spans="1:14" x14ac:dyDescent="0.2">
      <c r="A1062" s="84"/>
      <c r="B1062" s="84"/>
      <c r="C1062" s="60"/>
      <c r="D1062" s="66"/>
      <c r="E1062" s="66"/>
      <c r="F1062" s="66"/>
      <c r="G1062" s="66"/>
      <c r="H1062" s="66"/>
      <c r="I1062" s="66"/>
      <c r="J1062" s="66"/>
      <c r="K1062" s="66"/>
      <c r="L1062" s="66"/>
      <c r="M1062" s="66"/>
      <c r="N1062" s="66"/>
    </row>
    <row r="1063" spans="1:14" x14ac:dyDescent="0.2">
      <c r="A1063" s="84"/>
      <c r="B1063" s="84"/>
      <c r="C1063" s="60"/>
      <c r="D1063" s="66"/>
      <c r="E1063" s="66"/>
      <c r="F1063" s="66"/>
      <c r="G1063" s="66"/>
      <c r="H1063" s="66"/>
      <c r="I1063" s="66"/>
      <c r="J1063" s="66"/>
      <c r="K1063" s="66"/>
      <c r="L1063" s="66"/>
      <c r="M1063" s="66"/>
      <c r="N1063" s="66"/>
    </row>
    <row r="1064" spans="1:14" x14ac:dyDescent="0.2">
      <c r="A1064" s="84"/>
      <c r="B1064" s="84"/>
      <c r="C1064" s="60"/>
      <c r="D1064" s="66"/>
      <c r="E1064" s="66"/>
      <c r="F1064" s="66"/>
      <c r="G1064" s="66"/>
      <c r="H1064" s="66"/>
      <c r="I1064" s="66"/>
      <c r="J1064" s="66"/>
      <c r="K1064" s="66"/>
      <c r="L1064" s="66"/>
      <c r="M1064" s="66"/>
      <c r="N1064" s="66"/>
    </row>
    <row r="1065" spans="1:14" x14ac:dyDescent="0.2">
      <c r="A1065" s="84"/>
      <c r="B1065" s="84"/>
      <c r="C1065" s="60"/>
      <c r="D1065" s="66"/>
      <c r="E1065" s="66"/>
      <c r="F1065" s="66"/>
      <c r="G1065" s="66"/>
      <c r="H1065" s="66"/>
      <c r="I1065" s="66"/>
      <c r="J1065" s="66"/>
      <c r="K1065" s="66"/>
      <c r="L1065" s="66"/>
      <c r="M1065" s="66"/>
      <c r="N1065" s="66"/>
    </row>
    <row r="1066" spans="1:14" x14ac:dyDescent="0.2">
      <c r="A1066" s="84"/>
      <c r="B1066" s="84"/>
      <c r="C1066" s="60"/>
      <c r="D1066" s="66"/>
      <c r="E1066" s="66"/>
      <c r="F1066" s="66"/>
      <c r="G1066" s="66"/>
      <c r="H1066" s="66"/>
      <c r="I1066" s="66"/>
      <c r="J1066" s="66"/>
      <c r="K1066" s="66"/>
      <c r="L1066" s="66"/>
      <c r="M1066" s="66"/>
      <c r="N1066" s="66"/>
    </row>
    <row r="1067" spans="1:14" x14ac:dyDescent="0.2">
      <c r="A1067" s="84"/>
      <c r="B1067" s="84"/>
      <c r="C1067" s="60"/>
      <c r="D1067" s="66"/>
      <c r="E1067" s="66"/>
      <c r="F1067" s="66"/>
      <c r="G1067" s="66"/>
      <c r="H1067" s="66"/>
      <c r="I1067" s="66"/>
      <c r="J1067" s="66"/>
      <c r="K1067" s="66"/>
      <c r="L1067" s="66"/>
      <c r="M1067" s="66"/>
      <c r="N1067" s="66"/>
    </row>
    <row r="1068" spans="1:14" x14ac:dyDescent="0.2">
      <c r="A1068" s="84"/>
      <c r="B1068" s="84"/>
      <c r="C1068" s="60"/>
      <c r="D1068" s="66"/>
      <c r="E1068" s="66"/>
      <c r="F1068" s="66"/>
      <c r="G1068" s="66"/>
      <c r="H1068" s="66"/>
      <c r="I1068" s="66"/>
      <c r="J1068" s="66"/>
      <c r="K1068" s="66"/>
      <c r="L1068" s="66"/>
      <c r="M1068" s="66"/>
      <c r="N1068" s="66"/>
    </row>
    <row r="1069" spans="1:14" x14ac:dyDescent="0.2">
      <c r="A1069" s="84"/>
      <c r="B1069" s="84"/>
      <c r="C1069" s="60"/>
      <c r="D1069" s="66"/>
      <c r="E1069" s="66"/>
      <c r="F1069" s="66"/>
      <c r="G1069" s="66"/>
      <c r="H1069" s="66"/>
      <c r="I1069" s="66"/>
      <c r="J1069" s="66"/>
      <c r="K1069" s="66"/>
      <c r="L1069" s="66"/>
      <c r="M1069" s="66"/>
      <c r="N1069" s="66"/>
    </row>
    <row r="1070" spans="1:14" x14ac:dyDescent="0.2">
      <c r="A1070" s="84"/>
      <c r="B1070" s="84"/>
      <c r="C1070" s="60"/>
      <c r="D1070" s="66"/>
      <c r="E1070" s="66"/>
      <c r="F1070" s="66"/>
      <c r="G1070" s="66"/>
      <c r="H1070" s="66"/>
      <c r="I1070" s="66"/>
      <c r="J1070" s="66"/>
      <c r="K1070" s="66"/>
      <c r="L1070" s="66"/>
      <c r="M1070" s="66"/>
      <c r="N1070" s="66"/>
    </row>
    <row r="1071" spans="1:14" x14ac:dyDescent="0.2">
      <c r="A1071" s="84"/>
      <c r="B1071" s="84"/>
      <c r="C1071" s="60"/>
      <c r="D1071" s="66"/>
      <c r="E1071" s="66"/>
      <c r="F1071" s="66"/>
      <c r="G1071" s="66"/>
      <c r="H1071" s="66"/>
      <c r="I1071" s="66"/>
      <c r="J1071" s="66"/>
      <c r="K1071" s="66"/>
      <c r="L1071" s="66"/>
      <c r="M1071" s="66"/>
      <c r="N1071" s="66"/>
    </row>
    <row r="1072" spans="1:14" x14ac:dyDescent="0.2">
      <c r="A1072" s="84"/>
      <c r="B1072" s="84"/>
      <c r="C1072" s="60"/>
      <c r="D1072" s="66"/>
      <c r="E1072" s="66"/>
      <c r="F1072" s="66"/>
      <c r="G1072" s="66"/>
      <c r="H1072" s="66"/>
      <c r="I1072" s="66"/>
      <c r="J1072" s="66"/>
      <c r="K1072" s="66"/>
      <c r="L1072" s="66"/>
      <c r="M1072" s="66"/>
      <c r="N1072" s="66"/>
    </row>
    <row r="1073" spans="1:14" x14ac:dyDescent="0.2">
      <c r="A1073" s="84"/>
      <c r="B1073" s="84"/>
      <c r="C1073" s="60"/>
      <c r="D1073" s="66"/>
      <c r="E1073" s="66"/>
      <c r="F1073" s="66"/>
      <c r="G1073" s="66"/>
      <c r="H1073" s="66"/>
      <c r="I1073" s="66"/>
      <c r="J1073" s="66"/>
      <c r="K1073" s="66"/>
      <c r="L1073" s="66"/>
      <c r="M1073" s="66"/>
      <c r="N1073" s="66"/>
    </row>
    <row r="1074" spans="1:14" x14ac:dyDescent="0.2">
      <c r="A1074" s="84"/>
      <c r="B1074" s="84"/>
      <c r="C1074" s="60"/>
      <c r="D1074" s="66"/>
      <c r="E1074" s="66"/>
      <c r="F1074" s="66"/>
      <c r="G1074" s="66"/>
      <c r="H1074" s="66"/>
      <c r="I1074" s="66"/>
      <c r="J1074" s="66"/>
      <c r="K1074" s="66"/>
      <c r="L1074" s="66"/>
      <c r="M1074" s="66"/>
      <c r="N1074" s="66"/>
    </row>
    <row r="1075" spans="1:14" x14ac:dyDescent="0.2">
      <c r="A1075" s="84"/>
      <c r="B1075" s="84"/>
      <c r="C1075" s="60"/>
      <c r="D1075" s="66"/>
      <c r="E1075" s="66"/>
      <c r="F1075" s="66"/>
      <c r="G1075" s="66"/>
      <c r="H1075" s="66"/>
      <c r="I1075" s="66"/>
      <c r="J1075" s="66"/>
      <c r="K1075" s="66"/>
      <c r="L1075" s="66"/>
      <c r="M1075" s="66"/>
      <c r="N1075" s="66"/>
    </row>
    <row r="1076" spans="1:14" x14ac:dyDescent="0.2">
      <c r="A1076" s="84"/>
      <c r="B1076" s="84"/>
      <c r="C1076" s="60"/>
      <c r="D1076" s="66"/>
      <c r="E1076" s="66"/>
      <c r="F1076" s="66"/>
      <c r="G1076" s="66"/>
      <c r="H1076" s="66"/>
      <c r="I1076" s="66"/>
      <c r="J1076" s="66"/>
      <c r="K1076" s="66"/>
      <c r="L1076" s="66"/>
      <c r="M1076" s="66"/>
      <c r="N1076" s="66"/>
    </row>
    <row r="1077" spans="1:14" x14ac:dyDescent="0.2">
      <c r="A1077" s="84"/>
      <c r="B1077" s="84"/>
      <c r="C1077" s="60"/>
      <c r="D1077" s="66"/>
      <c r="E1077" s="66"/>
      <c r="F1077" s="66"/>
      <c r="G1077" s="66"/>
      <c r="H1077" s="66"/>
      <c r="I1077" s="66"/>
      <c r="J1077" s="66"/>
      <c r="K1077" s="66"/>
      <c r="L1077" s="66"/>
      <c r="M1077" s="66"/>
      <c r="N1077" s="66"/>
    </row>
    <row r="1078" spans="1:14" x14ac:dyDescent="0.2">
      <c r="A1078" s="84"/>
      <c r="B1078" s="84"/>
      <c r="C1078" s="60"/>
      <c r="D1078" s="66"/>
      <c r="E1078" s="66"/>
      <c r="F1078" s="66"/>
      <c r="G1078" s="66"/>
      <c r="H1078" s="66"/>
      <c r="I1078" s="66"/>
      <c r="J1078" s="66"/>
      <c r="K1078" s="66"/>
      <c r="L1078" s="66"/>
      <c r="M1078" s="66"/>
      <c r="N1078" s="66"/>
    </row>
    <row r="1079" spans="1:14" x14ac:dyDescent="0.2">
      <c r="A1079" s="84"/>
      <c r="B1079" s="84"/>
      <c r="C1079" s="60"/>
      <c r="D1079" s="66"/>
      <c r="E1079" s="66"/>
      <c r="F1079" s="66"/>
      <c r="G1079" s="66"/>
      <c r="H1079" s="66"/>
      <c r="I1079" s="66"/>
      <c r="J1079" s="66"/>
      <c r="K1079" s="66"/>
      <c r="L1079" s="66"/>
      <c r="M1079" s="66"/>
      <c r="N1079" s="66"/>
    </row>
    <row r="1080" spans="1:14" x14ac:dyDescent="0.2">
      <c r="A1080" s="84"/>
      <c r="B1080" s="84"/>
      <c r="C1080" s="60"/>
      <c r="D1080" s="66"/>
      <c r="E1080" s="66"/>
      <c r="F1080" s="66"/>
      <c r="G1080" s="66"/>
      <c r="H1080" s="66"/>
      <c r="I1080" s="66"/>
      <c r="J1080" s="66"/>
      <c r="K1080" s="66"/>
      <c r="L1080" s="66"/>
      <c r="M1080" s="66"/>
      <c r="N1080" s="66"/>
    </row>
    <row r="1081" spans="1:14" x14ac:dyDescent="0.2">
      <c r="A1081" s="84"/>
      <c r="B1081" s="84"/>
      <c r="C1081" s="60"/>
      <c r="D1081" s="66"/>
      <c r="E1081" s="66"/>
      <c r="F1081" s="66"/>
      <c r="G1081" s="66"/>
      <c r="H1081" s="66"/>
      <c r="I1081" s="66"/>
      <c r="J1081" s="66"/>
      <c r="K1081" s="66"/>
      <c r="L1081" s="66"/>
      <c r="M1081" s="66"/>
      <c r="N1081" s="66"/>
    </row>
    <row r="1082" spans="1:14" x14ac:dyDescent="0.2">
      <c r="A1082" s="84"/>
      <c r="B1082" s="84"/>
      <c r="C1082" s="60"/>
      <c r="D1082" s="66"/>
      <c r="E1082" s="66"/>
      <c r="F1082" s="66"/>
      <c r="G1082" s="66"/>
      <c r="H1082" s="66"/>
      <c r="I1082" s="66"/>
      <c r="J1082" s="66"/>
      <c r="K1082" s="66"/>
      <c r="L1082" s="66"/>
      <c r="M1082" s="66"/>
      <c r="N1082" s="66"/>
    </row>
    <row r="1083" spans="1:14" x14ac:dyDescent="0.2">
      <c r="A1083" s="84"/>
      <c r="B1083" s="84"/>
      <c r="C1083" s="60"/>
      <c r="D1083" s="66"/>
      <c r="E1083" s="66"/>
      <c r="F1083" s="66"/>
      <c r="G1083" s="66"/>
      <c r="H1083" s="66"/>
      <c r="I1083" s="66"/>
      <c r="J1083" s="66"/>
      <c r="K1083" s="66"/>
      <c r="L1083" s="66"/>
      <c r="M1083" s="66"/>
      <c r="N1083" s="66"/>
    </row>
    <row r="1084" spans="1:14" x14ac:dyDescent="0.2">
      <c r="A1084" s="84"/>
      <c r="B1084" s="84"/>
      <c r="C1084" s="60"/>
      <c r="D1084" s="66"/>
      <c r="E1084" s="66"/>
      <c r="F1084" s="66"/>
      <c r="G1084" s="66"/>
      <c r="H1084" s="66"/>
      <c r="I1084" s="66"/>
      <c r="J1084" s="66"/>
      <c r="K1084" s="66"/>
      <c r="L1084" s="66"/>
      <c r="M1084" s="66"/>
      <c r="N1084" s="66"/>
    </row>
    <row r="1085" spans="1:14" x14ac:dyDescent="0.2">
      <c r="A1085" s="84"/>
      <c r="B1085" s="84"/>
      <c r="C1085" s="60"/>
      <c r="D1085" s="66"/>
      <c r="E1085" s="66"/>
      <c r="F1085" s="66"/>
      <c r="G1085" s="66"/>
      <c r="H1085" s="66"/>
      <c r="I1085" s="66"/>
      <c r="J1085" s="66"/>
      <c r="K1085" s="66"/>
      <c r="L1085" s="66"/>
      <c r="M1085" s="66"/>
      <c r="N1085" s="66"/>
    </row>
    <row r="1086" spans="1:14" x14ac:dyDescent="0.2">
      <c r="A1086" s="84"/>
      <c r="B1086" s="84"/>
      <c r="C1086" s="60"/>
      <c r="D1086" s="66"/>
      <c r="E1086" s="66"/>
      <c r="F1086" s="66"/>
      <c r="G1086" s="66"/>
      <c r="H1086" s="66"/>
      <c r="I1086" s="66"/>
      <c r="J1086" s="66"/>
      <c r="K1086" s="66"/>
      <c r="L1086" s="66"/>
      <c r="M1086" s="66"/>
      <c r="N1086" s="66"/>
    </row>
    <row r="1087" spans="1:14" x14ac:dyDescent="0.2">
      <c r="A1087" s="84"/>
      <c r="B1087" s="84"/>
      <c r="C1087" s="60"/>
      <c r="D1087" s="66"/>
      <c r="E1087" s="66"/>
      <c r="F1087" s="66"/>
      <c r="G1087" s="66"/>
      <c r="H1087" s="66"/>
      <c r="I1087" s="66"/>
      <c r="J1087" s="66"/>
      <c r="K1087" s="66"/>
      <c r="L1087" s="66"/>
      <c r="M1087" s="66"/>
      <c r="N1087" s="66"/>
    </row>
    <row r="1088" spans="1:14" x14ac:dyDescent="0.2">
      <c r="A1088" s="84"/>
      <c r="B1088" s="84"/>
      <c r="C1088" s="60"/>
      <c r="D1088" s="66"/>
      <c r="E1088" s="66"/>
      <c r="F1088" s="66"/>
      <c r="G1088" s="66"/>
      <c r="H1088" s="66"/>
      <c r="I1088" s="66"/>
      <c r="J1088" s="66"/>
      <c r="K1088" s="66"/>
      <c r="L1088" s="66"/>
      <c r="M1088" s="66"/>
      <c r="N1088" s="66"/>
    </row>
    <row r="1089" spans="1:14" x14ac:dyDescent="0.2">
      <c r="A1089" s="84"/>
      <c r="B1089" s="84"/>
      <c r="C1089" s="60"/>
      <c r="D1089" s="66"/>
      <c r="E1089" s="66"/>
      <c r="F1089" s="66"/>
      <c r="G1089" s="66"/>
      <c r="H1089" s="66"/>
      <c r="I1089" s="66"/>
      <c r="J1089" s="66"/>
      <c r="K1089" s="66"/>
      <c r="L1089" s="66"/>
      <c r="M1089" s="66"/>
      <c r="N1089" s="66"/>
    </row>
    <row r="1090" spans="1:14" x14ac:dyDescent="0.2">
      <c r="A1090" s="84"/>
      <c r="B1090" s="84"/>
      <c r="C1090" s="60"/>
      <c r="D1090" s="66"/>
      <c r="E1090" s="66"/>
      <c r="F1090" s="66"/>
      <c r="G1090" s="66"/>
      <c r="H1090" s="66"/>
      <c r="I1090" s="66"/>
      <c r="J1090" s="66"/>
      <c r="K1090" s="66"/>
      <c r="L1090" s="66"/>
      <c r="M1090" s="66"/>
      <c r="N1090" s="66"/>
    </row>
    <row r="1091" spans="1:14" x14ac:dyDescent="0.2">
      <c r="A1091" s="84"/>
      <c r="B1091" s="84"/>
      <c r="C1091" s="60"/>
      <c r="D1091" s="66"/>
      <c r="E1091" s="66"/>
      <c r="F1091" s="66"/>
      <c r="G1091" s="66"/>
      <c r="H1091" s="66"/>
      <c r="I1091" s="66"/>
      <c r="J1091" s="66"/>
      <c r="K1091" s="66"/>
      <c r="L1091" s="66"/>
      <c r="M1091" s="66"/>
      <c r="N1091" s="66"/>
    </row>
    <row r="1092" spans="1:14" x14ac:dyDescent="0.2">
      <c r="A1092" s="84"/>
      <c r="B1092" s="84"/>
      <c r="C1092" s="60"/>
      <c r="D1092" s="66"/>
      <c r="E1092" s="66"/>
      <c r="F1092" s="66"/>
      <c r="G1092" s="66"/>
      <c r="H1092" s="66"/>
      <c r="I1092" s="66"/>
      <c r="J1092" s="66"/>
      <c r="K1092" s="66"/>
      <c r="L1092" s="66"/>
      <c r="M1092" s="66"/>
      <c r="N1092" s="66"/>
    </row>
    <row r="1093" spans="1:14" x14ac:dyDescent="0.2">
      <c r="A1093" s="84"/>
      <c r="B1093" s="84"/>
      <c r="C1093" s="60"/>
      <c r="D1093" s="66"/>
      <c r="E1093" s="66"/>
      <c r="F1093" s="66"/>
      <c r="G1093" s="66"/>
      <c r="H1093" s="66"/>
      <c r="I1093" s="66"/>
      <c r="J1093" s="66"/>
      <c r="K1093" s="66"/>
      <c r="L1093" s="66"/>
      <c r="M1093" s="66"/>
      <c r="N1093" s="66"/>
    </row>
    <row r="1094" spans="1:14" x14ac:dyDescent="0.2">
      <c r="A1094" s="84"/>
      <c r="B1094" s="84"/>
      <c r="C1094" s="60"/>
      <c r="D1094" s="66"/>
      <c r="E1094" s="66"/>
      <c r="F1094" s="66"/>
      <c r="G1094" s="66"/>
      <c r="H1094" s="66"/>
      <c r="I1094" s="66"/>
      <c r="J1094" s="66"/>
      <c r="K1094" s="66"/>
      <c r="L1094" s="66"/>
      <c r="M1094" s="66"/>
      <c r="N1094" s="66"/>
    </row>
    <row r="1095" spans="1:14" x14ac:dyDescent="0.2">
      <c r="A1095" s="84"/>
      <c r="B1095" s="84"/>
      <c r="C1095" s="60"/>
      <c r="D1095" s="66"/>
      <c r="E1095" s="66"/>
      <c r="F1095" s="66"/>
      <c r="G1095" s="66"/>
      <c r="H1095" s="66"/>
      <c r="I1095" s="66"/>
      <c r="J1095" s="66"/>
      <c r="K1095" s="66"/>
      <c r="L1095" s="66"/>
      <c r="M1095" s="66"/>
      <c r="N1095" s="66"/>
    </row>
    <row r="1096" spans="1:14" x14ac:dyDescent="0.2">
      <c r="A1096" s="84"/>
      <c r="B1096" s="84"/>
      <c r="C1096" s="60"/>
      <c r="D1096" s="66"/>
      <c r="E1096" s="66"/>
      <c r="F1096" s="66"/>
      <c r="G1096" s="66"/>
      <c r="H1096" s="66"/>
      <c r="I1096" s="66"/>
      <c r="J1096" s="66"/>
      <c r="K1096" s="66"/>
      <c r="L1096" s="66"/>
      <c r="M1096" s="66"/>
      <c r="N1096" s="66"/>
    </row>
    <row r="1097" spans="1:14" x14ac:dyDescent="0.2">
      <c r="A1097" s="84"/>
      <c r="B1097" s="84"/>
      <c r="C1097" s="60"/>
      <c r="D1097" s="66"/>
      <c r="E1097" s="66"/>
      <c r="F1097" s="66"/>
      <c r="G1097" s="66"/>
      <c r="H1097" s="66"/>
      <c r="I1097" s="66"/>
      <c r="J1097" s="66"/>
      <c r="K1097" s="66"/>
      <c r="L1097" s="66"/>
      <c r="M1097" s="66"/>
      <c r="N1097" s="66"/>
    </row>
    <row r="1098" spans="1:14" x14ac:dyDescent="0.2">
      <c r="A1098" s="84"/>
      <c r="B1098" s="84"/>
      <c r="C1098" s="60"/>
      <c r="D1098" s="66"/>
      <c r="E1098" s="66"/>
      <c r="F1098" s="66"/>
      <c r="G1098" s="66"/>
      <c r="H1098" s="66"/>
      <c r="I1098" s="66"/>
      <c r="J1098" s="66"/>
      <c r="K1098" s="66"/>
      <c r="L1098" s="66"/>
      <c r="M1098" s="66"/>
      <c r="N1098" s="66"/>
    </row>
    <row r="1099" spans="1:14" x14ac:dyDescent="0.2">
      <c r="A1099" s="84"/>
      <c r="B1099" s="84"/>
      <c r="C1099" s="60"/>
      <c r="D1099" s="66"/>
      <c r="E1099" s="66"/>
      <c r="F1099" s="66"/>
      <c r="G1099" s="66"/>
      <c r="H1099" s="66"/>
      <c r="I1099" s="66"/>
      <c r="J1099" s="66"/>
      <c r="K1099" s="66"/>
      <c r="L1099" s="66"/>
      <c r="M1099" s="66"/>
      <c r="N1099" s="66"/>
    </row>
    <row r="1100" spans="1:14" x14ac:dyDescent="0.2">
      <c r="A1100" s="84"/>
      <c r="B1100" s="84"/>
      <c r="C1100" s="60"/>
      <c r="D1100" s="66"/>
      <c r="E1100" s="66"/>
      <c r="F1100" s="66"/>
      <c r="G1100" s="66"/>
      <c r="H1100" s="66"/>
      <c r="I1100" s="66"/>
      <c r="J1100" s="66"/>
      <c r="K1100" s="66"/>
      <c r="L1100" s="66"/>
      <c r="M1100" s="66"/>
      <c r="N1100" s="66"/>
    </row>
    <row r="1101" spans="1:14" x14ac:dyDescent="0.2">
      <c r="A1101" s="84"/>
      <c r="B1101" s="84"/>
      <c r="C1101" s="60"/>
      <c r="D1101" s="66"/>
      <c r="E1101" s="66"/>
      <c r="F1101" s="66"/>
      <c r="G1101" s="66"/>
      <c r="H1101" s="66"/>
      <c r="I1101" s="66"/>
      <c r="J1101" s="66"/>
      <c r="K1101" s="66"/>
      <c r="L1101" s="66"/>
      <c r="M1101" s="66"/>
      <c r="N1101" s="66"/>
    </row>
    <row r="1102" spans="1:14" x14ac:dyDescent="0.2">
      <c r="A1102" s="84"/>
      <c r="B1102" s="84"/>
      <c r="C1102" s="60"/>
      <c r="D1102" s="66"/>
      <c r="E1102" s="66"/>
      <c r="F1102" s="66"/>
      <c r="G1102" s="66"/>
      <c r="H1102" s="66"/>
      <c r="I1102" s="66"/>
      <c r="J1102" s="66"/>
      <c r="K1102" s="66"/>
      <c r="L1102" s="66"/>
      <c r="M1102" s="66"/>
      <c r="N1102" s="66"/>
    </row>
    <row r="1103" spans="1:14" x14ac:dyDescent="0.2">
      <c r="A1103" s="84"/>
      <c r="B1103" s="84"/>
      <c r="C1103" s="60"/>
      <c r="D1103" s="66"/>
      <c r="E1103" s="66"/>
      <c r="F1103" s="66"/>
      <c r="G1103" s="66"/>
      <c r="H1103" s="66"/>
      <c r="I1103" s="66"/>
      <c r="J1103" s="66"/>
      <c r="K1103" s="66"/>
      <c r="L1103" s="66"/>
      <c r="M1103" s="66"/>
      <c r="N1103" s="66"/>
    </row>
    <row r="1104" spans="1:14" x14ac:dyDescent="0.2">
      <c r="A1104" s="84"/>
      <c r="B1104" s="84"/>
      <c r="C1104" s="60"/>
      <c r="D1104" s="66"/>
      <c r="E1104" s="66"/>
      <c r="F1104" s="66"/>
      <c r="G1104" s="66"/>
      <c r="H1104" s="66"/>
      <c r="I1104" s="66"/>
      <c r="J1104" s="66"/>
      <c r="K1104" s="66"/>
      <c r="L1104" s="66"/>
      <c r="M1104" s="66"/>
      <c r="N1104" s="66"/>
    </row>
    <row r="1105" spans="1:14" x14ac:dyDescent="0.2">
      <c r="A1105" s="84"/>
      <c r="B1105" s="84"/>
      <c r="C1105" s="60"/>
      <c r="D1105" s="66"/>
      <c r="E1105" s="66"/>
      <c r="F1105" s="66"/>
      <c r="G1105" s="66"/>
      <c r="H1105" s="66"/>
      <c r="I1105" s="66"/>
      <c r="J1105" s="66"/>
      <c r="K1105" s="66"/>
      <c r="L1105" s="66"/>
      <c r="M1105" s="66"/>
      <c r="N1105" s="66"/>
    </row>
    <row r="1106" spans="1:14" x14ac:dyDescent="0.2">
      <c r="A1106" s="84"/>
      <c r="B1106" s="84"/>
      <c r="C1106" s="60"/>
      <c r="D1106" s="66"/>
      <c r="E1106" s="66"/>
      <c r="F1106" s="66"/>
      <c r="G1106" s="66"/>
      <c r="H1106" s="66"/>
      <c r="I1106" s="66"/>
      <c r="J1106" s="66"/>
      <c r="K1106" s="66"/>
      <c r="L1106" s="66"/>
      <c r="M1106" s="66"/>
      <c r="N1106" s="66"/>
    </row>
    <row r="1107" spans="1:14" x14ac:dyDescent="0.2">
      <c r="A1107" s="84"/>
      <c r="B1107" s="84"/>
      <c r="C1107" s="60"/>
      <c r="D1107" s="66"/>
      <c r="E1107" s="66"/>
      <c r="F1107" s="66"/>
      <c r="G1107" s="66"/>
      <c r="H1107" s="66"/>
      <c r="I1107" s="66"/>
      <c r="J1107" s="66"/>
      <c r="K1107" s="66"/>
      <c r="L1107" s="66"/>
      <c r="M1107" s="66"/>
      <c r="N1107" s="66"/>
    </row>
    <row r="1108" spans="1:14" x14ac:dyDescent="0.2">
      <c r="A1108" s="84"/>
      <c r="B1108" s="84"/>
      <c r="C1108" s="60"/>
      <c r="D1108" s="66"/>
      <c r="E1108" s="66"/>
      <c r="F1108" s="66"/>
      <c r="G1108" s="66"/>
      <c r="H1108" s="66"/>
      <c r="I1108" s="66"/>
      <c r="J1108" s="66"/>
      <c r="K1108" s="66"/>
      <c r="L1108" s="66"/>
      <c r="M1108" s="66"/>
      <c r="N1108" s="66"/>
    </row>
    <row r="1109" spans="1:14" x14ac:dyDescent="0.2">
      <c r="A1109" s="84"/>
      <c r="B1109" s="84"/>
      <c r="C1109" s="60"/>
      <c r="D1109" s="66"/>
      <c r="E1109" s="66"/>
      <c r="F1109" s="66"/>
      <c r="G1109" s="66"/>
      <c r="H1109" s="66"/>
      <c r="I1109" s="66"/>
      <c r="J1109" s="66"/>
      <c r="K1109" s="66"/>
      <c r="L1109" s="66"/>
      <c r="M1109" s="66"/>
      <c r="N1109" s="66"/>
    </row>
    <row r="1110" spans="1:14" x14ac:dyDescent="0.2">
      <c r="A1110" s="84"/>
      <c r="B1110" s="84"/>
      <c r="C1110" s="60"/>
      <c r="D1110" s="66"/>
      <c r="E1110" s="66"/>
      <c r="F1110" s="66"/>
      <c r="G1110" s="66"/>
      <c r="H1110" s="66"/>
      <c r="I1110" s="66"/>
      <c r="J1110" s="66"/>
      <c r="K1110" s="66"/>
      <c r="L1110" s="66"/>
      <c r="M1110" s="66"/>
      <c r="N1110" s="66"/>
    </row>
    <row r="1111" spans="1:14" x14ac:dyDescent="0.2">
      <c r="A1111" s="84"/>
      <c r="B1111" s="84"/>
      <c r="C1111" s="60"/>
      <c r="D1111" s="66"/>
      <c r="E1111" s="66"/>
      <c r="F1111" s="66"/>
      <c r="G1111" s="66"/>
      <c r="H1111" s="66"/>
      <c r="I1111" s="66"/>
      <c r="J1111" s="66"/>
      <c r="K1111" s="66"/>
      <c r="L1111" s="66"/>
      <c r="M1111" s="66"/>
      <c r="N1111" s="66"/>
    </row>
    <row r="1112" spans="1:14" x14ac:dyDescent="0.2">
      <c r="A1112" s="84"/>
      <c r="B1112" s="84"/>
      <c r="C1112" s="60"/>
      <c r="D1112" s="66"/>
      <c r="E1112" s="66"/>
      <c r="F1112" s="66"/>
      <c r="G1112" s="66"/>
      <c r="H1112" s="66"/>
      <c r="I1112" s="66"/>
      <c r="J1112" s="66"/>
      <c r="K1112" s="66"/>
      <c r="L1112" s="66"/>
      <c r="M1112" s="66"/>
      <c r="N1112" s="66"/>
    </row>
    <row r="1113" spans="1:14" x14ac:dyDescent="0.2">
      <c r="A1113" s="84"/>
      <c r="B1113" s="84"/>
      <c r="C1113" s="60"/>
      <c r="D1113" s="66"/>
      <c r="E1113" s="66"/>
      <c r="F1113" s="66"/>
      <c r="G1113" s="66"/>
      <c r="H1113" s="66"/>
      <c r="I1113" s="66"/>
      <c r="J1113" s="66"/>
      <c r="K1113" s="66"/>
      <c r="L1113" s="66"/>
      <c r="M1113" s="66"/>
      <c r="N1113" s="66"/>
    </row>
    <row r="1114" spans="1:14" x14ac:dyDescent="0.2">
      <c r="A1114" s="84"/>
      <c r="B1114" s="84"/>
      <c r="C1114" s="60"/>
      <c r="D1114" s="66"/>
      <c r="E1114" s="66"/>
      <c r="F1114" s="66"/>
      <c r="G1114" s="66"/>
      <c r="H1114" s="66"/>
      <c r="I1114" s="66"/>
      <c r="J1114" s="66"/>
      <c r="K1114" s="66"/>
      <c r="L1114" s="66"/>
      <c r="M1114" s="66"/>
      <c r="N1114" s="66"/>
    </row>
    <row r="1115" spans="1:14" x14ac:dyDescent="0.2">
      <c r="A1115" s="84"/>
      <c r="B1115" s="84"/>
      <c r="C1115" s="60"/>
      <c r="D1115" s="66"/>
      <c r="E1115" s="66"/>
      <c r="F1115" s="66"/>
      <c r="G1115" s="66"/>
      <c r="H1115" s="66"/>
      <c r="I1115" s="66"/>
      <c r="J1115" s="66"/>
      <c r="K1115" s="66"/>
      <c r="L1115" s="66"/>
      <c r="M1115" s="66"/>
      <c r="N1115" s="66"/>
    </row>
    <row r="1116" spans="1:14" x14ac:dyDescent="0.2">
      <c r="A1116" s="84"/>
      <c r="B1116" s="84"/>
      <c r="C1116" s="60"/>
      <c r="D1116" s="66"/>
      <c r="E1116" s="66"/>
      <c r="F1116" s="66"/>
      <c r="G1116" s="66"/>
      <c r="H1116" s="66"/>
      <c r="I1116" s="66"/>
      <c r="J1116" s="66"/>
      <c r="K1116" s="66"/>
      <c r="L1116" s="66"/>
      <c r="M1116" s="66"/>
      <c r="N1116" s="66"/>
    </row>
    <row r="1117" spans="1:14" x14ac:dyDescent="0.2">
      <c r="A1117" s="84"/>
      <c r="B1117" s="84"/>
      <c r="C1117" s="60"/>
      <c r="D1117" s="66"/>
      <c r="E1117" s="66"/>
      <c r="F1117" s="66"/>
      <c r="G1117" s="66"/>
      <c r="H1117" s="66"/>
      <c r="I1117" s="66"/>
      <c r="J1117" s="66"/>
      <c r="K1117" s="66"/>
      <c r="L1117" s="66"/>
      <c r="M1117" s="66"/>
      <c r="N1117" s="66"/>
    </row>
    <row r="1118" spans="1:14" x14ac:dyDescent="0.2">
      <c r="A1118" s="84"/>
      <c r="B1118" s="84"/>
      <c r="C1118" s="60"/>
      <c r="D1118" s="66"/>
      <c r="E1118" s="66"/>
      <c r="F1118" s="66"/>
      <c r="G1118" s="66"/>
      <c r="H1118" s="66"/>
      <c r="I1118" s="66"/>
      <c r="J1118" s="66"/>
      <c r="K1118" s="66"/>
      <c r="L1118" s="66"/>
      <c r="M1118" s="66"/>
      <c r="N1118" s="66"/>
    </row>
    <row r="1119" spans="1:14" x14ac:dyDescent="0.2">
      <c r="A1119" s="84"/>
      <c r="B1119" s="84"/>
      <c r="C1119" s="60"/>
      <c r="D1119" s="66"/>
      <c r="E1119" s="66"/>
      <c r="F1119" s="66"/>
      <c r="G1119" s="66"/>
      <c r="H1119" s="66"/>
      <c r="I1119" s="66"/>
      <c r="J1119" s="66"/>
      <c r="K1119" s="66"/>
      <c r="L1119" s="66"/>
      <c r="M1119" s="66"/>
      <c r="N1119" s="66"/>
    </row>
    <row r="1120" spans="1:14" x14ac:dyDescent="0.2">
      <c r="A1120" s="84"/>
      <c r="B1120" s="84"/>
      <c r="C1120" s="60"/>
      <c r="D1120" s="66"/>
      <c r="E1120" s="66"/>
      <c r="F1120" s="66"/>
      <c r="G1120" s="66"/>
      <c r="H1120" s="66"/>
      <c r="I1120" s="66"/>
      <c r="J1120" s="66"/>
      <c r="K1120" s="66"/>
      <c r="L1120" s="66"/>
      <c r="M1120" s="66"/>
      <c r="N1120" s="66"/>
    </row>
    <row r="1121" spans="1:14" x14ac:dyDescent="0.2">
      <c r="A1121" s="84"/>
      <c r="B1121" s="84"/>
      <c r="C1121" s="60"/>
      <c r="D1121" s="66"/>
      <c r="E1121" s="66"/>
      <c r="F1121" s="66"/>
      <c r="G1121" s="66"/>
      <c r="H1121" s="66"/>
      <c r="I1121" s="66"/>
      <c r="J1121" s="66"/>
      <c r="K1121" s="66"/>
      <c r="L1121" s="66"/>
      <c r="M1121" s="66"/>
      <c r="N1121" s="66"/>
    </row>
    <row r="1122" spans="1:14" x14ac:dyDescent="0.2">
      <c r="A1122" s="84"/>
      <c r="B1122" s="84"/>
      <c r="C1122" s="60"/>
      <c r="D1122" s="66"/>
      <c r="E1122" s="66"/>
      <c r="F1122" s="66"/>
      <c r="G1122" s="66"/>
      <c r="H1122" s="66"/>
      <c r="I1122" s="66"/>
      <c r="J1122" s="66"/>
      <c r="K1122" s="66"/>
      <c r="L1122" s="66"/>
      <c r="M1122" s="66"/>
      <c r="N1122" s="66"/>
    </row>
    <row r="1123" spans="1:14" x14ac:dyDescent="0.2">
      <c r="A1123" s="84"/>
      <c r="B1123" s="84"/>
      <c r="C1123" s="60"/>
      <c r="D1123" s="66"/>
      <c r="E1123" s="66"/>
      <c r="F1123" s="66"/>
      <c r="G1123" s="66"/>
      <c r="H1123" s="66"/>
      <c r="I1123" s="66"/>
      <c r="J1123" s="66"/>
      <c r="K1123" s="66"/>
      <c r="L1123" s="66"/>
      <c r="M1123" s="66"/>
      <c r="N1123" s="66"/>
    </row>
    <row r="1124" spans="1:14" x14ac:dyDescent="0.2">
      <c r="A1124" s="84"/>
      <c r="B1124" s="84"/>
      <c r="C1124" s="60"/>
      <c r="D1124" s="66"/>
      <c r="E1124" s="66"/>
      <c r="F1124" s="66"/>
      <c r="G1124" s="66"/>
      <c r="H1124" s="66"/>
      <c r="I1124" s="66"/>
      <c r="J1124" s="66"/>
      <c r="K1124" s="66"/>
      <c r="L1124" s="66"/>
      <c r="M1124" s="66"/>
      <c r="N1124" s="66"/>
    </row>
    <row r="1125" spans="1:14" x14ac:dyDescent="0.2">
      <c r="A1125" s="84"/>
      <c r="B1125" s="84"/>
      <c r="C1125" s="60"/>
      <c r="D1125" s="66"/>
      <c r="E1125" s="66"/>
      <c r="F1125" s="66"/>
      <c r="G1125" s="66"/>
      <c r="H1125" s="66"/>
      <c r="I1125" s="66"/>
      <c r="J1125" s="66"/>
      <c r="K1125" s="66"/>
      <c r="L1125" s="66"/>
      <c r="M1125" s="66"/>
      <c r="N1125" s="66"/>
    </row>
    <row r="1126" spans="1:14" x14ac:dyDescent="0.2">
      <c r="A1126" s="84"/>
      <c r="B1126" s="84"/>
      <c r="C1126" s="60"/>
      <c r="D1126" s="66"/>
      <c r="E1126" s="66"/>
      <c r="F1126" s="66"/>
      <c r="G1126" s="66"/>
      <c r="H1126" s="66"/>
      <c r="I1126" s="66"/>
      <c r="J1126" s="66"/>
      <c r="K1126" s="66"/>
      <c r="L1126" s="66"/>
      <c r="M1126" s="66"/>
      <c r="N1126" s="66"/>
    </row>
    <row r="1127" spans="1:14" x14ac:dyDescent="0.2">
      <c r="A1127" s="84"/>
      <c r="B1127" s="84"/>
      <c r="C1127" s="60"/>
      <c r="D1127" s="66"/>
      <c r="E1127" s="66"/>
      <c r="F1127" s="66"/>
      <c r="G1127" s="66"/>
      <c r="H1127" s="66"/>
      <c r="I1127" s="66"/>
      <c r="J1127" s="66"/>
      <c r="K1127" s="66"/>
      <c r="L1127" s="66"/>
      <c r="M1127" s="66"/>
      <c r="N1127" s="66"/>
    </row>
    <row r="1128" spans="1:14" x14ac:dyDescent="0.2">
      <c r="A1128" s="84"/>
      <c r="B1128" s="84"/>
      <c r="C1128" s="60"/>
      <c r="D1128" s="66"/>
      <c r="E1128" s="66"/>
      <c r="F1128" s="66"/>
      <c r="G1128" s="66"/>
      <c r="H1128" s="66"/>
      <c r="I1128" s="66"/>
      <c r="J1128" s="66"/>
      <c r="K1128" s="66"/>
      <c r="L1128" s="66"/>
      <c r="M1128" s="66"/>
      <c r="N1128" s="66"/>
    </row>
    <row r="1129" spans="1:14" x14ac:dyDescent="0.2">
      <c r="A1129" s="84"/>
      <c r="B1129" s="84"/>
      <c r="C1129" s="60"/>
      <c r="D1129" s="66"/>
      <c r="E1129" s="66"/>
      <c r="F1129" s="66"/>
      <c r="G1129" s="66"/>
      <c r="H1129" s="66"/>
      <c r="I1129" s="66"/>
      <c r="J1129" s="66"/>
      <c r="K1129" s="66"/>
      <c r="L1129" s="66"/>
      <c r="M1129" s="66"/>
      <c r="N1129" s="66"/>
    </row>
    <row r="1130" spans="1:14" x14ac:dyDescent="0.2">
      <c r="A1130" s="84"/>
      <c r="B1130" s="84"/>
      <c r="C1130" s="60"/>
      <c r="D1130" s="66"/>
      <c r="E1130" s="66"/>
      <c r="F1130" s="66"/>
      <c r="G1130" s="66"/>
      <c r="H1130" s="66"/>
      <c r="I1130" s="66"/>
      <c r="J1130" s="66"/>
      <c r="K1130" s="66"/>
      <c r="L1130" s="66"/>
      <c r="M1130" s="66"/>
      <c r="N1130" s="66"/>
    </row>
    <row r="1131" spans="1:14" x14ac:dyDescent="0.2">
      <c r="A1131" s="84"/>
      <c r="B1131" s="84"/>
      <c r="C1131" s="60"/>
      <c r="D1131" s="66"/>
      <c r="E1131" s="66"/>
      <c r="F1131" s="66"/>
      <c r="G1131" s="66"/>
      <c r="H1131" s="66"/>
      <c r="I1131" s="66"/>
      <c r="J1131" s="66"/>
      <c r="K1131" s="66"/>
      <c r="L1131" s="66"/>
      <c r="M1131" s="66"/>
      <c r="N1131" s="66"/>
    </row>
    <row r="1132" spans="1:14" x14ac:dyDescent="0.2">
      <c r="A1132" s="84"/>
      <c r="B1132" s="84"/>
      <c r="C1132" s="60"/>
      <c r="D1132" s="66"/>
      <c r="E1132" s="66"/>
      <c r="F1132" s="66"/>
      <c r="G1132" s="66"/>
      <c r="H1132" s="66"/>
      <c r="I1132" s="66"/>
      <c r="J1132" s="66"/>
      <c r="K1132" s="66"/>
      <c r="L1132" s="66"/>
      <c r="M1132" s="66"/>
      <c r="N1132" s="66"/>
    </row>
    <row r="1133" spans="1:14" x14ac:dyDescent="0.2">
      <c r="A1133" s="84"/>
      <c r="B1133" s="84"/>
      <c r="C1133" s="60"/>
      <c r="D1133" s="66"/>
      <c r="E1133" s="66"/>
      <c r="F1133" s="66"/>
      <c r="G1133" s="66"/>
      <c r="H1133" s="66"/>
      <c r="I1133" s="66"/>
      <c r="J1133" s="66"/>
      <c r="K1133" s="66"/>
      <c r="L1133" s="66"/>
      <c r="M1133" s="66"/>
      <c r="N1133" s="66"/>
    </row>
    <row r="1134" spans="1:14" x14ac:dyDescent="0.2">
      <c r="A1134" s="84"/>
      <c r="B1134" s="84"/>
      <c r="C1134" s="60"/>
      <c r="D1134" s="66"/>
      <c r="E1134" s="66"/>
      <c r="F1134" s="66"/>
      <c r="G1134" s="66"/>
      <c r="H1134" s="66"/>
      <c r="I1134" s="66"/>
      <c r="J1134" s="66"/>
      <c r="K1134" s="66"/>
      <c r="L1134" s="66"/>
      <c r="M1134" s="66"/>
      <c r="N1134" s="66"/>
    </row>
    <row r="1135" spans="1:14" x14ac:dyDescent="0.2">
      <c r="A1135" s="84"/>
      <c r="B1135" s="84"/>
      <c r="C1135" s="60"/>
      <c r="D1135" s="66"/>
      <c r="E1135" s="66"/>
      <c r="F1135" s="66"/>
      <c r="G1135" s="66"/>
      <c r="H1135" s="66"/>
      <c r="I1135" s="66"/>
      <c r="J1135" s="66"/>
      <c r="K1135" s="66"/>
      <c r="L1135" s="66"/>
      <c r="M1135" s="66"/>
      <c r="N1135" s="66"/>
    </row>
    <row r="1136" spans="1:14" x14ac:dyDescent="0.2">
      <c r="A1136" s="84"/>
      <c r="B1136" s="84"/>
      <c r="C1136" s="60"/>
      <c r="D1136" s="66"/>
      <c r="E1136" s="66"/>
      <c r="F1136" s="66"/>
      <c r="G1136" s="66"/>
      <c r="H1136" s="66"/>
      <c r="I1136" s="66"/>
      <c r="J1136" s="66"/>
      <c r="K1136" s="66"/>
      <c r="L1136" s="66"/>
      <c r="M1136" s="66"/>
      <c r="N1136" s="66"/>
    </row>
    <row r="1137" spans="1:14" x14ac:dyDescent="0.2">
      <c r="A1137" s="84"/>
      <c r="B1137" s="84"/>
      <c r="C1137" s="60"/>
      <c r="D1137" s="66"/>
      <c r="E1137" s="66"/>
      <c r="F1137" s="66"/>
      <c r="G1137" s="66"/>
      <c r="H1137" s="66"/>
      <c r="I1137" s="66"/>
      <c r="J1137" s="66"/>
      <c r="K1137" s="66"/>
      <c r="L1137" s="66"/>
      <c r="M1137" s="66"/>
      <c r="N1137" s="66"/>
    </row>
    <row r="1138" spans="1:14" x14ac:dyDescent="0.2">
      <c r="A1138" s="84"/>
      <c r="B1138" s="84"/>
      <c r="C1138" s="60"/>
      <c r="D1138" s="66"/>
      <c r="E1138" s="66"/>
      <c r="F1138" s="66"/>
      <c r="G1138" s="66"/>
      <c r="H1138" s="66"/>
      <c r="I1138" s="66"/>
      <c r="J1138" s="66"/>
      <c r="K1138" s="66"/>
      <c r="L1138" s="66"/>
      <c r="M1138" s="66"/>
      <c r="N1138" s="66"/>
    </row>
    <row r="1139" spans="1:14" x14ac:dyDescent="0.2">
      <c r="A1139" s="84"/>
      <c r="B1139" s="84"/>
      <c r="C1139" s="60"/>
      <c r="D1139" s="66"/>
      <c r="E1139" s="66"/>
      <c r="F1139" s="66"/>
      <c r="G1139" s="66"/>
      <c r="H1139" s="66"/>
      <c r="I1139" s="66"/>
      <c r="J1139" s="66"/>
      <c r="K1139" s="66"/>
      <c r="L1139" s="66"/>
      <c r="M1139" s="66"/>
      <c r="N1139" s="66"/>
    </row>
    <row r="1140" spans="1:14" x14ac:dyDescent="0.2">
      <c r="A1140" s="84"/>
      <c r="B1140" s="84"/>
      <c r="C1140" s="60"/>
      <c r="D1140" s="66"/>
      <c r="E1140" s="66"/>
      <c r="F1140" s="66"/>
      <c r="G1140" s="66"/>
      <c r="H1140" s="66"/>
      <c r="I1140" s="66"/>
      <c r="J1140" s="66"/>
      <c r="K1140" s="66"/>
      <c r="L1140" s="66"/>
      <c r="M1140" s="66"/>
      <c r="N1140" s="66"/>
    </row>
    <row r="1141" spans="1:14" x14ac:dyDescent="0.2">
      <c r="A1141" s="84"/>
      <c r="B1141" s="84"/>
      <c r="C1141" s="60"/>
      <c r="D1141" s="66"/>
      <c r="E1141" s="66"/>
      <c r="F1141" s="66"/>
      <c r="G1141" s="66"/>
      <c r="H1141" s="66"/>
      <c r="I1141" s="66"/>
      <c r="J1141" s="66"/>
      <c r="K1141" s="66"/>
      <c r="L1141" s="66"/>
      <c r="M1141" s="66"/>
      <c r="N1141" s="66"/>
    </row>
    <row r="1142" spans="1:14" x14ac:dyDescent="0.2">
      <c r="A1142" s="84"/>
      <c r="B1142" s="84"/>
      <c r="C1142" s="60"/>
      <c r="D1142" s="66"/>
      <c r="E1142" s="66"/>
      <c r="F1142" s="66"/>
      <c r="G1142" s="66"/>
      <c r="H1142" s="66"/>
      <c r="I1142" s="66"/>
      <c r="J1142" s="66"/>
      <c r="K1142" s="66"/>
      <c r="L1142" s="66"/>
      <c r="M1142" s="66"/>
      <c r="N1142" s="66"/>
    </row>
    <row r="1143" spans="1:14" x14ac:dyDescent="0.2">
      <c r="A1143" s="84"/>
      <c r="B1143" s="84"/>
      <c r="C1143" s="60"/>
      <c r="D1143" s="66"/>
      <c r="E1143" s="66"/>
      <c r="F1143" s="66"/>
      <c r="G1143" s="66"/>
      <c r="H1143" s="66"/>
      <c r="I1143" s="66"/>
      <c r="J1143" s="66"/>
      <c r="K1143" s="66"/>
      <c r="L1143" s="66"/>
      <c r="M1143" s="66"/>
      <c r="N1143" s="66"/>
    </row>
    <row r="1144" spans="1:14" x14ac:dyDescent="0.2">
      <c r="A1144" s="84"/>
      <c r="B1144" s="84"/>
      <c r="C1144" s="60"/>
      <c r="D1144" s="66"/>
      <c r="E1144" s="66"/>
      <c r="F1144" s="66"/>
      <c r="G1144" s="66"/>
      <c r="H1144" s="66"/>
      <c r="I1144" s="66"/>
      <c r="J1144" s="66"/>
      <c r="K1144" s="66"/>
      <c r="L1144" s="66"/>
      <c r="M1144" s="66"/>
      <c r="N1144" s="66"/>
    </row>
    <row r="1145" spans="1:14" x14ac:dyDescent="0.2">
      <c r="A1145" s="84"/>
      <c r="B1145" s="84"/>
      <c r="C1145" s="60"/>
      <c r="D1145" s="66"/>
      <c r="E1145" s="66"/>
      <c r="F1145" s="66"/>
      <c r="G1145" s="66"/>
      <c r="H1145" s="66"/>
      <c r="I1145" s="66"/>
      <c r="J1145" s="66"/>
      <c r="K1145" s="66"/>
      <c r="L1145" s="66"/>
      <c r="M1145" s="66"/>
      <c r="N1145" s="66"/>
    </row>
    <row r="1146" spans="1:14" x14ac:dyDescent="0.2">
      <c r="A1146" s="84"/>
      <c r="B1146" s="84"/>
      <c r="C1146" s="60"/>
      <c r="D1146" s="66"/>
      <c r="E1146" s="66"/>
      <c r="F1146" s="66"/>
      <c r="G1146" s="66"/>
      <c r="H1146" s="66"/>
      <c r="I1146" s="66"/>
      <c r="J1146" s="66"/>
      <c r="K1146" s="66"/>
      <c r="L1146" s="66"/>
      <c r="M1146" s="66"/>
      <c r="N1146" s="66"/>
    </row>
    <row r="1147" spans="1:14" x14ac:dyDescent="0.2">
      <c r="A1147" s="84"/>
      <c r="B1147" s="84"/>
      <c r="C1147" s="60"/>
      <c r="D1147" s="66"/>
      <c r="E1147" s="66"/>
      <c r="F1147" s="66"/>
      <c r="G1147" s="66"/>
      <c r="H1147" s="66"/>
      <c r="I1147" s="66"/>
      <c r="J1147" s="66"/>
      <c r="K1147" s="66"/>
      <c r="L1147" s="66"/>
      <c r="M1147" s="66"/>
      <c r="N1147" s="66"/>
    </row>
    <row r="1148" spans="1:14" x14ac:dyDescent="0.2">
      <c r="A1148" s="84"/>
      <c r="B1148" s="84"/>
      <c r="C1148" s="60"/>
      <c r="D1148" s="66"/>
      <c r="E1148" s="66"/>
      <c r="F1148" s="66"/>
      <c r="G1148" s="66"/>
      <c r="H1148" s="66"/>
      <c r="I1148" s="66"/>
      <c r="J1148" s="66"/>
      <c r="K1148" s="66"/>
      <c r="L1148" s="66"/>
      <c r="M1148" s="66"/>
      <c r="N1148" s="66"/>
    </row>
    <row r="1149" spans="1:14" x14ac:dyDescent="0.2">
      <c r="A1149" s="84"/>
      <c r="B1149" s="84"/>
      <c r="C1149" s="60"/>
      <c r="D1149" s="66"/>
      <c r="E1149" s="66"/>
      <c r="F1149" s="66"/>
      <c r="G1149" s="66"/>
      <c r="H1149" s="66"/>
      <c r="I1149" s="66"/>
      <c r="J1149" s="66"/>
      <c r="K1149" s="66"/>
      <c r="L1149" s="66"/>
      <c r="M1149" s="66"/>
      <c r="N1149" s="66"/>
    </row>
    <row r="1150" spans="1:14" x14ac:dyDescent="0.2">
      <c r="A1150" s="84"/>
      <c r="B1150" s="84"/>
      <c r="C1150" s="60"/>
      <c r="D1150" s="66"/>
      <c r="E1150" s="66"/>
      <c r="F1150" s="66"/>
      <c r="G1150" s="66"/>
      <c r="H1150" s="66"/>
      <c r="I1150" s="66"/>
      <c r="J1150" s="66"/>
      <c r="K1150" s="66"/>
      <c r="L1150" s="66"/>
      <c r="M1150" s="66"/>
      <c r="N1150" s="66"/>
    </row>
    <row r="1151" spans="1:14" x14ac:dyDescent="0.2">
      <c r="A1151" s="84"/>
      <c r="B1151" s="84"/>
      <c r="C1151" s="60"/>
      <c r="D1151" s="66"/>
      <c r="E1151" s="66"/>
      <c r="F1151" s="66"/>
      <c r="G1151" s="66"/>
      <c r="H1151" s="66"/>
      <c r="I1151" s="66"/>
      <c r="J1151" s="66"/>
      <c r="K1151" s="66"/>
      <c r="L1151" s="66"/>
      <c r="M1151" s="66"/>
      <c r="N1151" s="66"/>
    </row>
    <row r="1152" spans="1:14" x14ac:dyDescent="0.2">
      <c r="A1152" s="84"/>
      <c r="B1152" s="84"/>
      <c r="C1152" s="60"/>
      <c r="D1152" s="66"/>
      <c r="E1152" s="66"/>
      <c r="F1152" s="66"/>
      <c r="G1152" s="66"/>
      <c r="H1152" s="66"/>
      <c r="I1152" s="66"/>
      <c r="J1152" s="66"/>
      <c r="K1152" s="66"/>
      <c r="L1152" s="66"/>
      <c r="M1152" s="66"/>
      <c r="N1152" s="66"/>
    </row>
    <row r="1153" spans="1:14" x14ac:dyDescent="0.2">
      <c r="A1153" s="84"/>
      <c r="B1153" s="84"/>
      <c r="C1153" s="60"/>
      <c r="D1153" s="66"/>
      <c r="E1153" s="66"/>
      <c r="F1153" s="66"/>
      <c r="G1153" s="66"/>
      <c r="H1153" s="66"/>
      <c r="I1153" s="66"/>
      <c r="J1153" s="66"/>
      <c r="K1153" s="66"/>
      <c r="L1153" s="66"/>
      <c r="M1153" s="66"/>
      <c r="N1153" s="66"/>
    </row>
    <row r="1154" spans="1:14" x14ac:dyDescent="0.2">
      <c r="A1154" s="84"/>
      <c r="B1154" s="84"/>
      <c r="C1154" s="60"/>
      <c r="D1154" s="66"/>
      <c r="E1154" s="66"/>
      <c r="F1154" s="66"/>
      <c r="G1154" s="66"/>
      <c r="H1154" s="66"/>
      <c r="I1154" s="66"/>
      <c r="J1154" s="66"/>
      <c r="K1154" s="66"/>
      <c r="L1154" s="66"/>
      <c r="M1154" s="66"/>
      <c r="N1154" s="66"/>
    </row>
    <row r="1155" spans="1:14" x14ac:dyDescent="0.2">
      <c r="A1155" s="84"/>
      <c r="B1155" s="84"/>
      <c r="C1155" s="60"/>
      <c r="D1155" s="66"/>
      <c r="E1155" s="66"/>
      <c r="F1155" s="66"/>
      <c r="G1155" s="66"/>
      <c r="H1155" s="66"/>
      <c r="I1155" s="66"/>
      <c r="J1155" s="66"/>
      <c r="K1155" s="66"/>
      <c r="L1155" s="66"/>
      <c r="M1155" s="66"/>
      <c r="N1155" s="66"/>
    </row>
    <row r="1156" spans="1:14" x14ac:dyDescent="0.2">
      <c r="A1156" s="84"/>
      <c r="B1156" s="84"/>
      <c r="C1156" s="60"/>
      <c r="D1156" s="66"/>
      <c r="E1156" s="66"/>
      <c r="F1156" s="66"/>
      <c r="G1156" s="66"/>
      <c r="H1156" s="66"/>
      <c r="I1156" s="66"/>
      <c r="J1156" s="66"/>
      <c r="K1156" s="66"/>
      <c r="L1156" s="66"/>
      <c r="M1156" s="66"/>
      <c r="N1156" s="66"/>
    </row>
    <row r="1157" spans="1:14" x14ac:dyDescent="0.2">
      <c r="A1157" s="84"/>
      <c r="B1157" s="84"/>
      <c r="C1157" s="60"/>
      <c r="D1157" s="66"/>
      <c r="E1157" s="66"/>
      <c r="F1157" s="66"/>
      <c r="G1157" s="66"/>
      <c r="H1157" s="66"/>
      <c r="I1157" s="66"/>
      <c r="J1157" s="66"/>
      <c r="K1157" s="66"/>
      <c r="L1157" s="66"/>
      <c r="M1157" s="66"/>
      <c r="N1157" s="66"/>
    </row>
    <row r="1158" spans="1:14" x14ac:dyDescent="0.2">
      <c r="A1158" s="84"/>
      <c r="B1158" s="84"/>
      <c r="C1158" s="60"/>
      <c r="D1158" s="66"/>
      <c r="E1158" s="66"/>
      <c r="F1158" s="66"/>
      <c r="G1158" s="66"/>
      <c r="H1158" s="66"/>
      <c r="I1158" s="66"/>
      <c r="J1158" s="66"/>
      <c r="K1158" s="66"/>
      <c r="L1158" s="66"/>
      <c r="M1158" s="66"/>
      <c r="N1158" s="66"/>
    </row>
    <row r="1159" spans="1:14" x14ac:dyDescent="0.2">
      <c r="A1159" s="84"/>
      <c r="B1159" s="84"/>
      <c r="C1159" s="60"/>
      <c r="D1159" s="66"/>
      <c r="E1159" s="66"/>
      <c r="F1159" s="66"/>
      <c r="G1159" s="66"/>
      <c r="H1159" s="66"/>
      <c r="I1159" s="66"/>
      <c r="J1159" s="66"/>
      <c r="K1159" s="66"/>
      <c r="L1159" s="66"/>
      <c r="M1159" s="66"/>
      <c r="N1159" s="66"/>
    </row>
    <row r="1160" spans="1:14" x14ac:dyDescent="0.2">
      <c r="A1160" s="84"/>
      <c r="B1160" s="84"/>
      <c r="C1160" s="60"/>
      <c r="D1160" s="66"/>
      <c r="E1160" s="66"/>
      <c r="F1160" s="66"/>
      <c r="G1160" s="66"/>
      <c r="H1160" s="66"/>
      <c r="I1160" s="66"/>
      <c r="J1160" s="66"/>
      <c r="K1160" s="66"/>
      <c r="L1160" s="66"/>
      <c r="M1160" s="66"/>
      <c r="N1160" s="66"/>
    </row>
    <row r="1161" spans="1:14" x14ac:dyDescent="0.2">
      <c r="A1161" s="84"/>
      <c r="B1161" s="84"/>
      <c r="C1161" s="60"/>
      <c r="D1161" s="66"/>
      <c r="E1161" s="66"/>
      <c r="F1161" s="66"/>
      <c r="G1161" s="66"/>
      <c r="H1161" s="66"/>
      <c r="I1161" s="66"/>
      <c r="J1161" s="66"/>
      <c r="K1161" s="66"/>
      <c r="L1161" s="66"/>
      <c r="M1161" s="66"/>
      <c r="N1161" s="66"/>
    </row>
    <row r="1162" spans="1:14" x14ac:dyDescent="0.2">
      <c r="A1162" s="84"/>
      <c r="B1162" s="84"/>
      <c r="C1162" s="60"/>
      <c r="D1162" s="66"/>
      <c r="E1162" s="66"/>
      <c r="F1162" s="66"/>
      <c r="G1162" s="66"/>
      <c r="H1162" s="66"/>
      <c r="I1162" s="66"/>
      <c r="J1162" s="66"/>
      <c r="K1162" s="66"/>
      <c r="L1162" s="66"/>
      <c r="M1162" s="66"/>
      <c r="N1162" s="66"/>
    </row>
    <row r="1163" spans="1:14" x14ac:dyDescent="0.2">
      <c r="A1163" s="84"/>
      <c r="B1163" s="84"/>
      <c r="C1163" s="60"/>
      <c r="D1163" s="66"/>
      <c r="E1163" s="66"/>
      <c r="F1163" s="66"/>
      <c r="G1163" s="66"/>
      <c r="H1163" s="66"/>
      <c r="I1163" s="66"/>
      <c r="J1163" s="66"/>
      <c r="K1163" s="66"/>
      <c r="L1163" s="66"/>
      <c r="M1163" s="66"/>
      <c r="N1163" s="66"/>
    </row>
    <row r="1164" spans="1:14" x14ac:dyDescent="0.2">
      <c r="A1164" s="84"/>
      <c r="B1164" s="84"/>
      <c r="C1164" s="60"/>
      <c r="D1164" s="66"/>
      <c r="E1164" s="66"/>
      <c r="F1164" s="66"/>
      <c r="G1164" s="66"/>
      <c r="H1164" s="66"/>
      <c r="I1164" s="66"/>
      <c r="J1164" s="66"/>
      <c r="K1164" s="66"/>
      <c r="L1164" s="66"/>
      <c r="M1164" s="66"/>
      <c r="N1164" s="66"/>
    </row>
    <row r="1165" spans="1:14" x14ac:dyDescent="0.2">
      <c r="A1165" s="84"/>
      <c r="B1165" s="84"/>
      <c r="C1165" s="60"/>
      <c r="D1165" s="66"/>
      <c r="E1165" s="66"/>
      <c r="F1165" s="66"/>
      <c r="G1165" s="66"/>
      <c r="H1165" s="66"/>
      <c r="I1165" s="66"/>
      <c r="J1165" s="66"/>
      <c r="K1165" s="66"/>
      <c r="L1165" s="66"/>
      <c r="M1165" s="66"/>
      <c r="N1165" s="66"/>
    </row>
    <row r="1166" spans="1:14" x14ac:dyDescent="0.2">
      <c r="A1166" s="84"/>
      <c r="B1166" s="84"/>
      <c r="C1166" s="60"/>
      <c r="D1166" s="66"/>
      <c r="E1166" s="66"/>
      <c r="F1166" s="66"/>
      <c r="G1166" s="66"/>
      <c r="H1166" s="66"/>
      <c r="I1166" s="66"/>
      <c r="J1166" s="66"/>
      <c r="K1166" s="66"/>
      <c r="L1166" s="66"/>
      <c r="M1166" s="66"/>
      <c r="N1166" s="66"/>
    </row>
    <row r="1167" spans="1:14" x14ac:dyDescent="0.2">
      <c r="A1167" s="84"/>
      <c r="B1167" s="84"/>
      <c r="C1167" s="60"/>
      <c r="D1167" s="66"/>
      <c r="E1167" s="66"/>
      <c r="F1167" s="66"/>
      <c r="G1167" s="66"/>
      <c r="H1167" s="66"/>
      <c r="I1167" s="66"/>
      <c r="J1167" s="66"/>
      <c r="K1167" s="66"/>
      <c r="L1167" s="66"/>
      <c r="M1167" s="66"/>
      <c r="N1167" s="66"/>
    </row>
    <row r="1168" spans="1:14" x14ac:dyDescent="0.2">
      <c r="A1168" s="84"/>
      <c r="B1168" s="84"/>
      <c r="C1168" s="60"/>
      <c r="D1168" s="66"/>
      <c r="E1168" s="66"/>
      <c r="F1168" s="66"/>
      <c r="G1168" s="66"/>
      <c r="H1168" s="66"/>
      <c r="I1168" s="66"/>
      <c r="J1168" s="66"/>
      <c r="K1168" s="66"/>
      <c r="L1168" s="66"/>
      <c r="M1168" s="66"/>
      <c r="N1168" s="66"/>
    </row>
    <row r="1169" spans="1:14" x14ac:dyDescent="0.2">
      <c r="A1169" s="84"/>
      <c r="B1169" s="84"/>
      <c r="C1169" s="60"/>
      <c r="D1169" s="66"/>
      <c r="E1169" s="66"/>
      <c r="F1169" s="66"/>
      <c r="G1169" s="66"/>
      <c r="H1169" s="66"/>
      <c r="I1169" s="66"/>
      <c r="J1169" s="66"/>
      <c r="K1169" s="66"/>
      <c r="L1169" s="66"/>
      <c r="M1169" s="66"/>
      <c r="N1169" s="66"/>
    </row>
    <row r="1170" spans="1:14" x14ac:dyDescent="0.2">
      <c r="A1170" s="84"/>
      <c r="B1170" s="84"/>
      <c r="C1170" s="60"/>
      <c r="D1170" s="66"/>
      <c r="E1170" s="66"/>
      <c r="F1170" s="66"/>
      <c r="G1170" s="66"/>
      <c r="H1170" s="66"/>
      <c r="I1170" s="66"/>
      <c r="J1170" s="66"/>
      <c r="K1170" s="66"/>
      <c r="L1170" s="66"/>
      <c r="M1170" s="66"/>
      <c r="N1170" s="66"/>
    </row>
    <row r="1171" spans="1:14" x14ac:dyDescent="0.2">
      <c r="A1171" s="84"/>
      <c r="B1171" s="84"/>
      <c r="C1171" s="60"/>
      <c r="D1171" s="66"/>
      <c r="E1171" s="66"/>
      <c r="F1171" s="66"/>
      <c r="G1171" s="66"/>
      <c r="H1171" s="66"/>
      <c r="I1171" s="66"/>
      <c r="J1171" s="66"/>
      <c r="K1171" s="66"/>
      <c r="L1171" s="66"/>
      <c r="M1171" s="66"/>
      <c r="N1171" s="66"/>
    </row>
    <row r="1172" spans="1:14" x14ac:dyDescent="0.2">
      <c r="A1172" s="84"/>
      <c r="B1172" s="84"/>
      <c r="C1172" s="60"/>
      <c r="D1172" s="66"/>
      <c r="E1172" s="66"/>
      <c r="F1172" s="66"/>
      <c r="G1172" s="66"/>
      <c r="H1172" s="66"/>
      <c r="I1172" s="66"/>
      <c r="J1172" s="66"/>
      <c r="K1172" s="66"/>
      <c r="L1172" s="66"/>
      <c r="M1172" s="66"/>
      <c r="N1172" s="66"/>
    </row>
    <row r="1173" spans="1:14" x14ac:dyDescent="0.2">
      <c r="A1173" s="84"/>
      <c r="B1173" s="84"/>
      <c r="C1173" s="60"/>
      <c r="D1173" s="66"/>
      <c r="E1173" s="66"/>
      <c r="F1173" s="66"/>
      <c r="G1173" s="66"/>
      <c r="H1173" s="66"/>
      <c r="I1173" s="66"/>
      <c r="J1173" s="66"/>
      <c r="K1173" s="66"/>
      <c r="L1173" s="66"/>
      <c r="M1173" s="66"/>
      <c r="N1173" s="66"/>
    </row>
    <row r="1174" spans="1:14" x14ac:dyDescent="0.2">
      <c r="A1174" s="84"/>
      <c r="B1174" s="84"/>
      <c r="C1174" s="60"/>
      <c r="D1174" s="66"/>
      <c r="E1174" s="66"/>
      <c r="F1174" s="66"/>
      <c r="G1174" s="66"/>
      <c r="H1174" s="66"/>
      <c r="I1174" s="66"/>
      <c r="J1174" s="66"/>
      <c r="K1174" s="66"/>
      <c r="L1174" s="66"/>
      <c r="M1174" s="66"/>
      <c r="N1174" s="66"/>
    </row>
    <row r="1175" spans="1:14" x14ac:dyDescent="0.2">
      <c r="A1175" s="84"/>
      <c r="B1175" s="84"/>
      <c r="C1175" s="60"/>
      <c r="D1175" s="66"/>
      <c r="E1175" s="66"/>
      <c r="F1175" s="66"/>
      <c r="G1175" s="66"/>
      <c r="H1175" s="66"/>
      <c r="I1175" s="66"/>
      <c r="J1175" s="66"/>
      <c r="K1175" s="66"/>
      <c r="L1175" s="66"/>
      <c r="M1175" s="66"/>
      <c r="N1175" s="66"/>
    </row>
    <row r="1176" spans="1:14" x14ac:dyDescent="0.2">
      <c r="A1176" s="84"/>
      <c r="B1176" s="84"/>
      <c r="C1176" s="60"/>
      <c r="D1176" s="66"/>
      <c r="E1176" s="66"/>
      <c r="F1176" s="66"/>
      <c r="G1176" s="66"/>
      <c r="H1176" s="66"/>
      <c r="I1176" s="66"/>
      <c r="J1176" s="66"/>
      <c r="K1176" s="66"/>
      <c r="L1176" s="66"/>
      <c r="M1176" s="66"/>
      <c r="N1176" s="66"/>
    </row>
    <row r="1177" spans="1:14" x14ac:dyDescent="0.2">
      <c r="A1177" s="84"/>
      <c r="B1177" s="84"/>
      <c r="C1177" s="60"/>
      <c r="D1177" s="66"/>
      <c r="E1177" s="66"/>
      <c r="F1177" s="66"/>
      <c r="G1177" s="66"/>
      <c r="H1177" s="66"/>
      <c r="I1177" s="66"/>
      <c r="J1177" s="66"/>
      <c r="K1177" s="66"/>
      <c r="L1177" s="66"/>
      <c r="M1177" s="66"/>
      <c r="N1177" s="66"/>
    </row>
    <row r="1178" spans="1:14" x14ac:dyDescent="0.2">
      <c r="A1178" s="84"/>
      <c r="B1178" s="84"/>
      <c r="C1178" s="60"/>
      <c r="D1178" s="66"/>
      <c r="E1178" s="66"/>
      <c r="F1178" s="66"/>
      <c r="G1178" s="66"/>
      <c r="H1178" s="66"/>
      <c r="I1178" s="66"/>
      <c r="J1178" s="66"/>
      <c r="K1178" s="66"/>
      <c r="L1178" s="66"/>
      <c r="M1178" s="66"/>
      <c r="N1178" s="66"/>
    </row>
    <row r="1179" spans="1:14" x14ac:dyDescent="0.2">
      <c r="A1179" s="84"/>
      <c r="B1179" s="84"/>
      <c r="C1179" s="60"/>
      <c r="D1179" s="66"/>
      <c r="E1179" s="66"/>
      <c r="F1179" s="66"/>
      <c r="G1179" s="66"/>
      <c r="H1179" s="66"/>
      <c r="I1179" s="66"/>
      <c r="J1179" s="66"/>
      <c r="K1179" s="66"/>
      <c r="L1179" s="66"/>
      <c r="M1179" s="66"/>
      <c r="N1179" s="66"/>
    </row>
    <row r="1180" spans="1:14" x14ac:dyDescent="0.2">
      <c r="A1180" s="84"/>
      <c r="B1180" s="84"/>
      <c r="C1180" s="60"/>
      <c r="D1180" s="66"/>
      <c r="E1180" s="66"/>
      <c r="F1180" s="66"/>
      <c r="G1180" s="66"/>
      <c r="H1180" s="66"/>
      <c r="I1180" s="66"/>
      <c r="J1180" s="66"/>
      <c r="K1180" s="66"/>
      <c r="L1180" s="66"/>
      <c r="M1180" s="66"/>
      <c r="N1180" s="66"/>
    </row>
    <row r="1181" spans="1:14" x14ac:dyDescent="0.2">
      <c r="A1181" s="84"/>
      <c r="B1181" s="84"/>
      <c r="C1181" s="60"/>
      <c r="D1181" s="66"/>
      <c r="E1181" s="66"/>
      <c r="F1181" s="66"/>
      <c r="G1181" s="66"/>
      <c r="H1181" s="66"/>
      <c r="I1181" s="66"/>
      <c r="J1181" s="66"/>
      <c r="K1181" s="66"/>
      <c r="L1181" s="66"/>
      <c r="M1181" s="66"/>
      <c r="N1181" s="66"/>
    </row>
    <row r="1182" spans="1:14" x14ac:dyDescent="0.2">
      <c r="A1182" s="84"/>
      <c r="B1182" s="84"/>
      <c r="C1182" s="60"/>
      <c r="D1182" s="66"/>
      <c r="E1182" s="66"/>
      <c r="F1182" s="66"/>
      <c r="G1182" s="66"/>
      <c r="H1182" s="66"/>
      <c r="I1182" s="66"/>
      <c r="J1182" s="66"/>
      <c r="K1182" s="66"/>
      <c r="L1182" s="66"/>
      <c r="M1182" s="66"/>
      <c r="N1182" s="66"/>
    </row>
    <row r="1183" spans="1:14" x14ac:dyDescent="0.2">
      <c r="A1183" s="84"/>
      <c r="B1183" s="84"/>
      <c r="C1183" s="60"/>
      <c r="D1183" s="66"/>
      <c r="E1183" s="66"/>
      <c r="F1183" s="66"/>
      <c r="G1183" s="66"/>
      <c r="H1183" s="66"/>
      <c r="I1183" s="66"/>
      <c r="J1183" s="66"/>
      <c r="K1183" s="66"/>
      <c r="L1183" s="66"/>
      <c r="M1183" s="66"/>
      <c r="N1183" s="66"/>
    </row>
    <row r="1184" spans="1:14" x14ac:dyDescent="0.2">
      <c r="A1184" s="84"/>
      <c r="B1184" s="84"/>
      <c r="C1184" s="60"/>
      <c r="D1184" s="66"/>
      <c r="E1184" s="66"/>
      <c r="F1184" s="66"/>
      <c r="G1184" s="66"/>
      <c r="H1184" s="66"/>
      <c r="I1184" s="66"/>
      <c r="J1184" s="66"/>
      <c r="K1184" s="66"/>
      <c r="L1184" s="66"/>
      <c r="M1184" s="66"/>
      <c r="N1184" s="66"/>
    </row>
    <row r="1185" spans="1:14" x14ac:dyDescent="0.2">
      <c r="A1185" s="84"/>
      <c r="B1185" s="84"/>
      <c r="C1185" s="60"/>
      <c r="D1185" s="66"/>
      <c r="E1185" s="66"/>
      <c r="F1185" s="66"/>
      <c r="G1185" s="66"/>
      <c r="H1185" s="66"/>
      <c r="I1185" s="66"/>
      <c r="J1185" s="66"/>
      <c r="K1185" s="66"/>
      <c r="L1185" s="66"/>
      <c r="M1185" s="66"/>
      <c r="N1185" s="66"/>
    </row>
    <row r="1186" spans="1:14" x14ac:dyDescent="0.2">
      <c r="A1186" s="84"/>
      <c r="B1186" s="84"/>
      <c r="C1186" s="60"/>
      <c r="D1186" s="66"/>
      <c r="E1186" s="66"/>
      <c r="F1186" s="66"/>
      <c r="G1186" s="66"/>
      <c r="H1186" s="66"/>
      <c r="I1186" s="66"/>
      <c r="J1186" s="66"/>
      <c r="K1186" s="66"/>
      <c r="L1186" s="66"/>
      <c r="M1186" s="66"/>
      <c r="N1186" s="66"/>
    </row>
    <row r="1187" spans="1:14" x14ac:dyDescent="0.2">
      <c r="A1187" s="84"/>
      <c r="B1187" s="84"/>
      <c r="C1187" s="60"/>
      <c r="D1187" s="66"/>
      <c r="E1187" s="66"/>
      <c r="F1187" s="66"/>
      <c r="G1187" s="66"/>
      <c r="H1187" s="66"/>
      <c r="I1187" s="66"/>
      <c r="J1187" s="66"/>
      <c r="K1187" s="66"/>
      <c r="L1187" s="66"/>
      <c r="M1187" s="66"/>
      <c r="N1187" s="66"/>
    </row>
    <row r="1188" spans="1:14" x14ac:dyDescent="0.2">
      <c r="A1188" s="84"/>
      <c r="B1188" s="84"/>
      <c r="C1188" s="60"/>
      <c r="D1188" s="66"/>
      <c r="E1188" s="66"/>
      <c r="F1188" s="66"/>
      <c r="G1188" s="66"/>
      <c r="H1188" s="66"/>
      <c r="I1188" s="66"/>
      <c r="J1188" s="66"/>
      <c r="K1188" s="66"/>
      <c r="L1188" s="66"/>
      <c r="M1188" s="66"/>
      <c r="N1188" s="66"/>
    </row>
    <row r="1189" spans="1:14" x14ac:dyDescent="0.2">
      <c r="A1189" s="84"/>
      <c r="B1189" s="84"/>
      <c r="C1189" s="60"/>
      <c r="D1189" s="66"/>
      <c r="E1189" s="66"/>
      <c r="F1189" s="66"/>
      <c r="G1189" s="66"/>
      <c r="H1189" s="66"/>
      <c r="I1189" s="66"/>
      <c r="J1189" s="66"/>
      <c r="K1189" s="66"/>
      <c r="L1189" s="66"/>
      <c r="M1189" s="66"/>
      <c r="N1189" s="66"/>
    </row>
    <row r="1190" spans="1:14" x14ac:dyDescent="0.2">
      <c r="A1190" s="84"/>
      <c r="B1190" s="84"/>
      <c r="C1190" s="60"/>
      <c r="D1190" s="66"/>
      <c r="E1190" s="66"/>
      <c r="F1190" s="66"/>
      <c r="G1190" s="66"/>
      <c r="H1190" s="66"/>
      <c r="I1190" s="66"/>
      <c r="J1190" s="66"/>
      <c r="K1190" s="66"/>
      <c r="L1190" s="66"/>
      <c r="M1190" s="66"/>
      <c r="N1190" s="66"/>
    </row>
    <row r="1191" spans="1:14" x14ac:dyDescent="0.2">
      <c r="A1191" s="84"/>
      <c r="B1191" s="84"/>
      <c r="C1191" s="60"/>
      <c r="D1191" s="66"/>
      <c r="E1191" s="66"/>
      <c r="F1191" s="66"/>
      <c r="G1191" s="66"/>
      <c r="H1191" s="66"/>
      <c r="I1191" s="66"/>
      <c r="J1191" s="66"/>
      <c r="K1191" s="66"/>
      <c r="L1191" s="66"/>
      <c r="M1191" s="66"/>
      <c r="N1191" s="66"/>
    </row>
    <row r="1192" spans="1:14" x14ac:dyDescent="0.2">
      <c r="A1192" s="84"/>
      <c r="B1192" s="84"/>
      <c r="C1192" s="60"/>
      <c r="D1192" s="66"/>
      <c r="E1192" s="66"/>
      <c r="F1192" s="66"/>
      <c r="G1192" s="66"/>
      <c r="H1192" s="66"/>
      <c r="I1192" s="66"/>
      <c r="J1192" s="66"/>
      <c r="K1192" s="66"/>
      <c r="L1192" s="66"/>
      <c r="M1192" s="66"/>
      <c r="N1192" s="66"/>
    </row>
    <row r="1193" spans="1:14" x14ac:dyDescent="0.2">
      <c r="A1193" s="84"/>
      <c r="B1193" s="84"/>
      <c r="C1193" s="60"/>
      <c r="D1193" s="66"/>
      <c r="E1193" s="66"/>
      <c r="F1193" s="66"/>
      <c r="G1193" s="66"/>
      <c r="H1193" s="66"/>
      <c r="I1193" s="66"/>
      <c r="J1193" s="66"/>
      <c r="K1193" s="66"/>
      <c r="L1193" s="66"/>
      <c r="M1193" s="66"/>
      <c r="N1193" s="66"/>
    </row>
    <row r="1194" spans="1:14" x14ac:dyDescent="0.2">
      <c r="A1194" s="84"/>
      <c r="B1194" s="84"/>
      <c r="C1194" s="60"/>
      <c r="D1194" s="66"/>
      <c r="E1194" s="66"/>
      <c r="F1194" s="66"/>
      <c r="G1194" s="66"/>
      <c r="H1194" s="66"/>
      <c r="I1194" s="66"/>
      <c r="J1194" s="66"/>
      <c r="K1194" s="66"/>
      <c r="L1194" s="66"/>
      <c r="M1194" s="66"/>
      <c r="N1194" s="66"/>
    </row>
    <row r="1195" spans="1:14" x14ac:dyDescent="0.2">
      <c r="A1195" s="84"/>
      <c r="B1195" s="84"/>
      <c r="C1195" s="60"/>
      <c r="D1195" s="66"/>
      <c r="E1195" s="66"/>
      <c r="F1195" s="66"/>
      <c r="G1195" s="66"/>
      <c r="H1195" s="66"/>
      <c r="I1195" s="66"/>
      <c r="J1195" s="66"/>
      <c r="K1195" s="66"/>
      <c r="L1195" s="66"/>
      <c r="M1195" s="66"/>
      <c r="N1195" s="66"/>
    </row>
    <row r="1196" spans="1:14" x14ac:dyDescent="0.2">
      <c r="A1196" s="84"/>
      <c r="B1196" s="84"/>
      <c r="C1196" s="60"/>
      <c r="D1196" s="66"/>
      <c r="E1196" s="66"/>
      <c r="F1196" s="66"/>
      <c r="G1196" s="66"/>
      <c r="H1196" s="66"/>
      <c r="I1196" s="66"/>
      <c r="J1196" s="66"/>
      <c r="K1196" s="66"/>
      <c r="L1196" s="66"/>
      <c r="M1196" s="66"/>
      <c r="N1196" s="66"/>
    </row>
    <row r="1197" spans="1:14" x14ac:dyDescent="0.2">
      <c r="A1197" s="84"/>
      <c r="B1197" s="84"/>
      <c r="C1197" s="60"/>
      <c r="D1197" s="66"/>
      <c r="E1197" s="66"/>
      <c r="F1197" s="66"/>
      <c r="G1197" s="66"/>
      <c r="H1197" s="66"/>
      <c r="I1197" s="66"/>
      <c r="J1197" s="66"/>
      <c r="K1197" s="66"/>
      <c r="L1197" s="66"/>
      <c r="M1197" s="66"/>
      <c r="N1197" s="66"/>
    </row>
    <row r="1198" spans="1:14" x14ac:dyDescent="0.2">
      <c r="A1198" s="84"/>
      <c r="B1198" s="84"/>
      <c r="C1198" s="60"/>
      <c r="D1198" s="66"/>
      <c r="E1198" s="66"/>
      <c r="F1198" s="66"/>
      <c r="G1198" s="66"/>
      <c r="H1198" s="66"/>
      <c r="I1198" s="66"/>
      <c r="J1198" s="66"/>
      <c r="K1198" s="66"/>
      <c r="L1198" s="66"/>
      <c r="M1198" s="66"/>
      <c r="N1198" s="66"/>
    </row>
    <row r="1199" spans="1:14" x14ac:dyDescent="0.2">
      <c r="A1199" s="84"/>
      <c r="B1199" s="84"/>
      <c r="C1199" s="60"/>
      <c r="D1199" s="66"/>
      <c r="E1199" s="66"/>
      <c r="F1199" s="66"/>
      <c r="G1199" s="66"/>
      <c r="H1199" s="66"/>
      <c r="I1199" s="66"/>
      <c r="J1199" s="66"/>
      <c r="K1199" s="66"/>
      <c r="L1199" s="66"/>
      <c r="M1199" s="66"/>
      <c r="N1199" s="66"/>
    </row>
    <row r="1200" spans="1:14" x14ac:dyDescent="0.2">
      <c r="A1200" s="84"/>
      <c r="B1200" s="84"/>
      <c r="C1200" s="60"/>
      <c r="D1200" s="66"/>
      <c r="E1200" s="66"/>
      <c r="F1200" s="66"/>
      <c r="G1200" s="66"/>
      <c r="H1200" s="66"/>
      <c r="I1200" s="66"/>
      <c r="J1200" s="66"/>
      <c r="K1200" s="66"/>
      <c r="L1200" s="66"/>
      <c r="M1200" s="66"/>
      <c r="N1200" s="66"/>
    </row>
    <row r="1201" spans="1:14" x14ac:dyDescent="0.2">
      <c r="A1201" s="84"/>
      <c r="B1201" s="84"/>
      <c r="C1201" s="60"/>
      <c r="D1201" s="66"/>
      <c r="E1201" s="66"/>
      <c r="F1201" s="66"/>
      <c r="G1201" s="66"/>
      <c r="H1201" s="66"/>
      <c r="I1201" s="66"/>
      <c r="J1201" s="66"/>
      <c r="K1201" s="66"/>
      <c r="L1201" s="66"/>
      <c r="M1201" s="66"/>
      <c r="N1201" s="66"/>
    </row>
    <row r="1202" spans="1:14" x14ac:dyDescent="0.2">
      <c r="A1202" s="84"/>
      <c r="B1202" s="84"/>
      <c r="C1202" s="60"/>
      <c r="D1202" s="66"/>
      <c r="E1202" s="66"/>
      <c r="F1202" s="66"/>
      <c r="G1202" s="66"/>
      <c r="H1202" s="66"/>
      <c r="I1202" s="66"/>
      <c r="J1202" s="66"/>
      <c r="K1202" s="66"/>
      <c r="L1202" s="66"/>
      <c r="M1202" s="66"/>
      <c r="N1202" s="66"/>
    </row>
    <row r="1203" spans="1:14" x14ac:dyDescent="0.2">
      <c r="A1203" s="84"/>
      <c r="B1203" s="84"/>
      <c r="C1203" s="60"/>
      <c r="D1203" s="66"/>
      <c r="E1203" s="66"/>
      <c r="F1203" s="66"/>
      <c r="G1203" s="66"/>
      <c r="H1203" s="66"/>
      <c r="I1203" s="66"/>
      <c r="J1203" s="66"/>
      <c r="K1203" s="66"/>
      <c r="L1203" s="66"/>
      <c r="M1203" s="66"/>
      <c r="N1203" s="66"/>
    </row>
    <row r="1204" spans="1:14" x14ac:dyDescent="0.2">
      <c r="A1204" s="84"/>
      <c r="B1204" s="84"/>
      <c r="C1204" s="60"/>
      <c r="D1204" s="66"/>
      <c r="E1204" s="66"/>
      <c r="F1204" s="66"/>
      <c r="G1204" s="66"/>
      <c r="H1204" s="66"/>
      <c r="I1204" s="66"/>
      <c r="J1204" s="66"/>
      <c r="K1204" s="66"/>
      <c r="L1204" s="66"/>
      <c r="M1204" s="66"/>
      <c r="N1204" s="66"/>
    </row>
    <row r="1205" spans="1:14" x14ac:dyDescent="0.2">
      <c r="A1205" s="84"/>
      <c r="B1205" s="84"/>
      <c r="C1205" s="60"/>
      <c r="D1205" s="66"/>
      <c r="E1205" s="66"/>
      <c r="F1205" s="66"/>
      <c r="G1205" s="66"/>
      <c r="H1205" s="66"/>
      <c r="I1205" s="66"/>
      <c r="J1205" s="66"/>
      <c r="K1205" s="66"/>
      <c r="L1205" s="66"/>
      <c r="M1205" s="66"/>
      <c r="N1205" s="66"/>
    </row>
    <row r="1206" spans="1:14" x14ac:dyDescent="0.2">
      <c r="A1206" s="84"/>
      <c r="B1206" s="84"/>
      <c r="C1206" s="60"/>
      <c r="D1206" s="66"/>
      <c r="E1206" s="66"/>
      <c r="F1206" s="66"/>
      <c r="G1206" s="66"/>
      <c r="H1206" s="66"/>
      <c r="I1206" s="66"/>
      <c r="J1206" s="66"/>
      <c r="K1206" s="66"/>
      <c r="L1206" s="66"/>
      <c r="M1206" s="66"/>
      <c r="N1206" s="66"/>
    </row>
    <row r="1207" spans="1:14" x14ac:dyDescent="0.2">
      <c r="A1207" s="84"/>
      <c r="B1207" s="84"/>
      <c r="C1207" s="60"/>
      <c r="D1207" s="66"/>
      <c r="E1207" s="66"/>
      <c r="F1207" s="66"/>
      <c r="G1207" s="66"/>
      <c r="H1207" s="66"/>
      <c r="I1207" s="66"/>
      <c r="J1207" s="66"/>
      <c r="K1207" s="66"/>
      <c r="L1207" s="66"/>
      <c r="M1207" s="66"/>
      <c r="N1207" s="66"/>
    </row>
    <row r="1208" spans="1:14" x14ac:dyDescent="0.2">
      <c r="A1208" s="84"/>
      <c r="B1208" s="84"/>
      <c r="C1208" s="60"/>
      <c r="D1208" s="66"/>
      <c r="E1208" s="66"/>
      <c r="F1208" s="66"/>
      <c r="G1208" s="66"/>
      <c r="H1208" s="66"/>
      <c r="I1208" s="66"/>
      <c r="J1208" s="66"/>
      <c r="K1208" s="66"/>
      <c r="L1208" s="66"/>
      <c r="M1208" s="66"/>
      <c r="N1208" s="66"/>
    </row>
    <row r="1209" spans="1:14" x14ac:dyDescent="0.2">
      <c r="A1209" s="84"/>
      <c r="B1209" s="84"/>
      <c r="C1209" s="60"/>
      <c r="D1209" s="66"/>
      <c r="E1209" s="66"/>
      <c r="F1209" s="66"/>
      <c r="G1209" s="66"/>
      <c r="H1209" s="66"/>
      <c r="I1209" s="66"/>
      <c r="J1209" s="66"/>
      <c r="K1209" s="66"/>
      <c r="L1209" s="66"/>
      <c r="M1209" s="66"/>
      <c r="N1209" s="66"/>
    </row>
    <row r="1210" spans="1:14" x14ac:dyDescent="0.2">
      <c r="A1210" s="84"/>
      <c r="B1210" s="84"/>
      <c r="C1210" s="60"/>
      <c r="D1210" s="66"/>
      <c r="E1210" s="66"/>
      <c r="F1210" s="66"/>
      <c r="G1210" s="66"/>
      <c r="H1210" s="66"/>
      <c r="I1210" s="66"/>
      <c r="J1210" s="66"/>
      <c r="K1210" s="66"/>
      <c r="L1210" s="66"/>
      <c r="M1210" s="66"/>
      <c r="N1210" s="66"/>
    </row>
  </sheetData>
  <pageMargins left="0.25" right="0.25" top="0.75" bottom="0.75" header="0.3" footer="0.3"/>
  <pageSetup scale="80" fitToHeight="0" orientation="landscape" r:id="rId1"/>
  <headerFooter>
    <oddFooter>&amp;LRev &amp;D&amp;C&amp;P</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
  <sheetViews>
    <sheetView workbookViewId="0">
      <selection activeCell="H2" sqref="H2"/>
    </sheetView>
  </sheetViews>
  <sheetFormatPr defaultRowHeight="15.75" x14ac:dyDescent="0.25"/>
  <cols>
    <col min="4" max="4" width="9.625" bestFit="1" customWidth="1"/>
    <col min="6" max="6" width="12" bestFit="1" customWidth="1"/>
    <col min="7" max="7" width="16.125" bestFit="1" customWidth="1"/>
    <col min="8" max="8" width="9.625" bestFit="1" customWidth="1"/>
  </cols>
  <sheetData>
    <row r="1" spans="1:13" s="54" customFormat="1" ht="94.5" x14ac:dyDescent="0.25">
      <c r="A1" s="151" t="s">
        <v>201</v>
      </c>
      <c r="B1" s="152" t="s">
        <v>202</v>
      </c>
      <c r="C1" s="152" t="s">
        <v>203</v>
      </c>
      <c r="D1" s="152" t="s">
        <v>204</v>
      </c>
      <c r="E1" s="153" t="s">
        <v>205</v>
      </c>
      <c r="F1" s="152" t="s">
        <v>206</v>
      </c>
      <c r="G1" s="154" t="s">
        <v>207</v>
      </c>
      <c r="H1" s="155" t="s">
        <v>208</v>
      </c>
      <c r="I1" s="154" t="s">
        <v>209</v>
      </c>
    </row>
    <row r="2" spans="1:13" s="54" customFormat="1" x14ac:dyDescent="0.25">
      <c r="A2" s="156">
        <v>3537</v>
      </c>
      <c r="B2" s="157">
        <v>995</v>
      </c>
      <c r="C2" s="156">
        <v>1700</v>
      </c>
      <c r="D2" s="158">
        <f>SUM(H14*0.85)</f>
        <v>146161.75</v>
      </c>
      <c r="E2" s="159">
        <f>SUM(H14*0.15)</f>
        <v>25793.25</v>
      </c>
      <c r="F2" s="160">
        <v>28291</v>
      </c>
      <c r="G2" s="161">
        <f>SUM(D2/9)</f>
        <v>16240.194444444445</v>
      </c>
      <c r="H2" s="162">
        <v>113164</v>
      </c>
      <c r="I2" s="163">
        <v>25793</v>
      </c>
    </row>
    <row r="3" spans="1:13" s="54" customFormat="1" ht="63" x14ac:dyDescent="0.25">
      <c r="A3" s="164"/>
      <c r="B3" s="165"/>
      <c r="C3" s="165"/>
      <c r="D3" s="164"/>
      <c r="E3" s="166"/>
      <c r="F3" s="167"/>
      <c r="G3" s="168">
        <f>SUM(G2*9)</f>
        <v>146161.75</v>
      </c>
      <c r="H3" s="169"/>
      <c r="I3" s="169" t="s">
        <v>210</v>
      </c>
      <c r="J3" s="170"/>
      <c r="K3" s="170"/>
    </row>
    <row r="4" spans="1:13" s="54" customFormat="1" x14ac:dyDescent="0.25">
      <c r="A4" s="164"/>
      <c r="B4" s="165"/>
      <c r="C4" s="165"/>
      <c r="D4" s="164"/>
      <c r="E4" s="166"/>
      <c r="F4" s="167"/>
      <c r="G4" s="168"/>
      <c r="H4" s="169"/>
      <c r="I4" s="169"/>
      <c r="J4" s="170"/>
      <c r="K4" s="170"/>
    </row>
    <row r="5" spans="1:13" s="54" customFormat="1" ht="47.25" customHeight="1" x14ac:dyDescent="0.25">
      <c r="B5" s="171"/>
      <c r="C5" s="165"/>
      <c r="D5" s="164"/>
      <c r="E5" s="517" t="s">
        <v>211</v>
      </c>
      <c r="F5" s="517"/>
      <c r="G5" s="172" t="s">
        <v>212</v>
      </c>
      <c r="H5" s="173"/>
      <c r="I5" s="171"/>
      <c r="J5" s="171"/>
    </row>
    <row r="6" spans="1:13" s="54" customFormat="1" ht="75" x14ac:dyDescent="0.3">
      <c r="A6" s="174"/>
      <c r="B6" s="175" t="s">
        <v>213</v>
      </c>
      <c r="C6" s="518" t="s">
        <v>214</v>
      </c>
      <c r="D6" s="518"/>
      <c r="E6" s="519" t="s">
        <v>215</v>
      </c>
      <c r="F6" s="520"/>
      <c r="G6" s="521" t="s">
        <v>216</v>
      </c>
      <c r="H6" s="522"/>
      <c r="I6" s="156"/>
      <c r="L6" s="156" t="s">
        <v>217</v>
      </c>
      <c r="M6" s="176" t="s">
        <v>218</v>
      </c>
    </row>
    <row r="7" spans="1:13" s="54" customFormat="1" ht="18.75" x14ac:dyDescent="0.3">
      <c r="A7" s="156" t="s">
        <v>219</v>
      </c>
      <c r="B7" s="177">
        <v>0.01</v>
      </c>
      <c r="C7" s="178">
        <v>446</v>
      </c>
      <c r="D7" s="179">
        <v>28530</v>
      </c>
      <c r="E7" s="180">
        <f>SUM(B7*20000)</f>
        <v>200</v>
      </c>
      <c r="F7" s="181">
        <f>SUM(B7*2023000)</f>
        <v>20230</v>
      </c>
      <c r="G7" s="182">
        <v>100</v>
      </c>
      <c r="H7" s="183">
        <f>SUM(0.005*B15)</f>
        <v>10115</v>
      </c>
      <c r="I7" s="156"/>
      <c r="L7" s="156" t="s">
        <v>220</v>
      </c>
      <c r="M7" s="156">
        <v>394</v>
      </c>
    </row>
    <row r="8" spans="1:13" s="54" customFormat="1" ht="18.75" x14ac:dyDescent="0.3">
      <c r="A8" s="156" t="s">
        <v>221</v>
      </c>
      <c r="B8" s="177">
        <v>2E-3</v>
      </c>
      <c r="C8" s="178">
        <v>93</v>
      </c>
      <c r="D8" s="179">
        <v>5920</v>
      </c>
      <c r="E8" s="180">
        <f>SUM(B8*20000)</f>
        <v>40</v>
      </c>
      <c r="F8" s="181">
        <f>SUM(B8*2023000)</f>
        <v>4046</v>
      </c>
      <c r="G8" s="182">
        <v>20</v>
      </c>
      <c r="H8" s="184">
        <f>SUM(0.001*B15)</f>
        <v>2023</v>
      </c>
      <c r="I8" s="156"/>
      <c r="L8" s="156" t="s">
        <v>222</v>
      </c>
      <c r="M8" s="156">
        <v>84</v>
      </c>
    </row>
    <row r="9" spans="1:13" s="54" customFormat="1" ht="18.75" x14ac:dyDescent="0.3">
      <c r="A9" s="156" t="s">
        <v>223</v>
      </c>
      <c r="B9" s="177">
        <v>1.6E-2</v>
      </c>
      <c r="C9" s="178">
        <v>705</v>
      </c>
      <c r="D9" s="179">
        <v>45090</v>
      </c>
      <c r="E9" s="180">
        <f>SUM(B9*20000)</f>
        <v>320</v>
      </c>
      <c r="F9" s="181">
        <f>SUM(B9*2023000)</f>
        <v>32368</v>
      </c>
      <c r="G9" s="182">
        <v>160</v>
      </c>
      <c r="H9" s="183">
        <f>SUM(0.008*B15)</f>
        <v>16184</v>
      </c>
      <c r="I9" s="156" t="s">
        <v>224</v>
      </c>
      <c r="L9" s="156" t="s">
        <v>225</v>
      </c>
      <c r="M9" s="156">
        <v>373</v>
      </c>
    </row>
    <row r="10" spans="1:13" s="54" customFormat="1" ht="18.75" x14ac:dyDescent="0.3">
      <c r="A10" s="156" t="s">
        <v>226</v>
      </c>
      <c r="B10" s="177">
        <v>0.106</v>
      </c>
      <c r="C10" s="178">
        <v>4513</v>
      </c>
      <c r="D10" s="179">
        <v>288813</v>
      </c>
      <c r="E10" s="180">
        <f>SUM(B10*20000)</f>
        <v>2120</v>
      </c>
      <c r="F10" s="181">
        <f>SUM(B10*2023000)</f>
        <v>214438</v>
      </c>
      <c r="G10" s="182">
        <v>1060</v>
      </c>
      <c r="H10" s="183">
        <f>SUM(0.053*B15)</f>
        <v>107219</v>
      </c>
      <c r="I10" s="185" t="s">
        <v>227</v>
      </c>
      <c r="J10" s="186"/>
      <c r="K10" s="186"/>
      <c r="L10" s="156"/>
      <c r="M10" s="187">
        <f>SUM(M7:M9)</f>
        <v>851</v>
      </c>
    </row>
    <row r="11" spans="1:13" s="54" customFormat="1" ht="18.75" x14ac:dyDescent="0.3">
      <c r="A11" s="156" t="s">
        <v>225</v>
      </c>
      <c r="B11" s="177">
        <v>2.9000000000000001E-2</v>
      </c>
      <c r="C11" s="178">
        <v>1318</v>
      </c>
      <c r="D11" s="179">
        <v>84303</v>
      </c>
      <c r="E11" s="180">
        <f>SUM(B11*20000)</f>
        <v>580</v>
      </c>
      <c r="F11" s="181">
        <f>SUM(B11*2023000)</f>
        <v>58667</v>
      </c>
      <c r="G11" s="182">
        <v>290</v>
      </c>
      <c r="H11" s="183">
        <f>SUM(0.015*B15)</f>
        <v>30345</v>
      </c>
      <c r="I11" s="156" t="s">
        <v>224</v>
      </c>
    </row>
    <row r="12" spans="1:13" s="54" customFormat="1" ht="18.75" x14ac:dyDescent="0.3">
      <c r="A12" s="174"/>
      <c r="B12" s="177"/>
      <c r="C12" s="178"/>
      <c r="D12" s="188"/>
      <c r="E12" s="180"/>
      <c r="F12" s="181"/>
      <c r="G12" s="182"/>
      <c r="H12" s="183"/>
      <c r="I12" s="156"/>
      <c r="L12" s="156" t="s">
        <v>228</v>
      </c>
      <c r="M12" s="156">
        <v>387</v>
      </c>
    </row>
    <row r="13" spans="1:13" s="54" customFormat="1" ht="32.25" x14ac:dyDescent="0.3">
      <c r="A13" s="156"/>
      <c r="B13" s="189">
        <f>SUM(B7:B12)</f>
        <v>0.16300000000000001</v>
      </c>
      <c r="C13" s="178">
        <v>7075</v>
      </c>
      <c r="D13" s="190">
        <f>SUM(D7:D12)</f>
        <v>452656</v>
      </c>
      <c r="E13" s="180">
        <f>SUM(E7:E11)</f>
        <v>3260</v>
      </c>
      <c r="F13" s="181">
        <f>SUM(F7:F12)</f>
        <v>329749</v>
      </c>
      <c r="G13" s="191">
        <v>1700</v>
      </c>
      <c r="H13" s="191">
        <f>SUM(H7:H12)</f>
        <v>165886</v>
      </c>
      <c r="I13" s="182" t="s">
        <v>229</v>
      </c>
      <c r="J13" s="171"/>
    </row>
    <row r="14" spans="1:13" s="54" customFormat="1" x14ac:dyDescent="0.25">
      <c r="B14" s="171"/>
      <c r="C14" s="192"/>
      <c r="E14" s="193">
        <f>SUM(E13/20000)</f>
        <v>0.16300000000000001</v>
      </c>
      <c r="F14" s="194"/>
      <c r="G14" s="195">
        <v>8.5000000000000006E-2</v>
      </c>
      <c r="H14" s="196">
        <f>SUM(B15*0.085)</f>
        <v>171955</v>
      </c>
      <c r="I14" s="171"/>
      <c r="J14" s="171"/>
    </row>
    <row r="15" spans="1:13" s="54" customFormat="1" x14ac:dyDescent="0.25">
      <c r="A15" s="197" t="s">
        <v>230</v>
      </c>
      <c r="B15" s="198">
        <v>2023000</v>
      </c>
      <c r="C15" s="171"/>
      <c r="E15" s="171"/>
      <c r="G15" s="172"/>
      <c r="H15" s="173"/>
      <c r="I15" s="171"/>
      <c r="J15" s="171"/>
    </row>
    <row r="16" spans="1:13" s="54" customFormat="1" x14ac:dyDescent="0.25">
      <c r="A16" s="197" t="s">
        <v>231</v>
      </c>
      <c r="B16" s="199">
        <f>SUM(B15*0.085)</f>
        <v>171955</v>
      </c>
      <c r="C16" s="171"/>
      <c r="E16" s="171"/>
      <c r="G16" s="172"/>
      <c r="H16" s="173"/>
      <c r="I16" s="171"/>
      <c r="J16" s="171"/>
    </row>
    <row r="17" spans="1:10" s="54" customFormat="1" x14ac:dyDescent="0.25">
      <c r="A17" s="197" t="s">
        <v>232</v>
      </c>
      <c r="B17" s="200">
        <v>20000</v>
      </c>
      <c r="C17" s="171"/>
      <c r="E17" s="171"/>
      <c r="G17" s="172"/>
      <c r="H17" s="173"/>
      <c r="I17" s="171"/>
      <c r="J17" s="171"/>
    </row>
    <row r="18" spans="1:10" s="54" customFormat="1" x14ac:dyDescent="0.25">
      <c r="A18" s="197" t="s">
        <v>231</v>
      </c>
      <c r="B18" s="200">
        <f>SUM(B17*0.085)</f>
        <v>1700.0000000000002</v>
      </c>
      <c r="C18" s="171"/>
      <c r="E18" s="171"/>
      <c r="G18" s="172"/>
      <c r="H18" s="173"/>
      <c r="I18" s="171"/>
      <c r="J18" s="171"/>
    </row>
    <row r="19" spans="1:10" s="54" customFormat="1" x14ac:dyDescent="0.25">
      <c r="A19" s="201"/>
      <c r="B19" s="202"/>
      <c r="C19" s="171"/>
      <c r="E19" s="171"/>
      <c r="G19" s="172"/>
      <c r="H19" s="173"/>
      <c r="I19" s="171"/>
      <c r="J19" s="171"/>
    </row>
    <row r="20" spans="1:10" s="54" customFormat="1" ht="60.75" customHeight="1" x14ac:dyDescent="0.25">
      <c r="A20" s="523" t="s">
        <v>233</v>
      </c>
      <c r="B20" s="523"/>
      <c r="C20" s="523"/>
      <c r="D20" s="523"/>
      <c r="E20" s="523"/>
      <c r="F20" s="523"/>
      <c r="G20" s="172"/>
      <c r="H20" s="173"/>
      <c r="I20" s="171"/>
      <c r="J20" s="171"/>
    </row>
    <row r="21" spans="1:10" s="54" customFormat="1" x14ac:dyDescent="0.25">
      <c r="B21" s="171"/>
      <c r="C21" s="171"/>
      <c r="E21" s="171"/>
      <c r="G21" s="172"/>
      <c r="H21" s="173"/>
      <c r="I21" s="171"/>
      <c r="J21" s="171"/>
    </row>
  </sheetData>
  <mergeCells count="5">
    <mergeCell ref="E5:F5"/>
    <mergeCell ref="C6:D6"/>
    <mergeCell ref="E6:F6"/>
    <mergeCell ref="G6:H6"/>
    <mergeCell ref="A20:F2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1210"/>
  <sheetViews>
    <sheetView topLeftCell="A162" workbookViewId="0">
      <selection sqref="A1:N216"/>
    </sheetView>
  </sheetViews>
  <sheetFormatPr defaultColWidth="9" defaultRowHeight="12.75" x14ac:dyDescent="0.2"/>
  <cols>
    <col min="1" max="1" width="32" style="59" customWidth="1"/>
    <col min="2" max="2" width="9.5" style="60" customWidth="1"/>
    <col min="3" max="4" width="9" style="84" customWidth="1"/>
    <col min="5" max="14" width="9" style="84"/>
    <col min="15" max="15" width="11.625" style="84" bestFit="1" customWidth="1"/>
    <col min="16" max="16" width="10" style="84" bestFit="1" customWidth="1"/>
    <col min="17" max="16384" width="9" style="84"/>
  </cols>
  <sheetData>
    <row r="1" spans="1:16" s="58" customFormat="1" ht="13.5" thickBot="1" x14ac:dyDescent="0.25">
      <c r="A1" s="67" t="str">
        <f>CMS!A1</f>
        <v>Northwest Youth Services Budget - 2018 - APPROVED BY BOARD NOV 30, 2017</v>
      </c>
      <c r="B1" s="79"/>
      <c r="C1" s="67"/>
      <c r="D1" s="67"/>
      <c r="E1" s="67"/>
      <c r="F1" s="67"/>
      <c r="G1" s="67"/>
      <c r="H1" s="67"/>
      <c r="I1" s="67"/>
      <c r="J1" s="67"/>
      <c r="K1" s="67"/>
      <c r="L1" s="67"/>
      <c r="M1" s="67"/>
      <c r="N1" s="67"/>
    </row>
    <row r="2" spans="1:16" s="58" customFormat="1" x14ac:dyDescent="0.2">
      <c r="A2" s="80"/>
      <c r="B2" s="81"/>
    </row>
    <row r="3" spans="1:16" s="58" customFormat="1" x14ac:dyDescent="0.2">
      <c r="A3" s="81" t="s">
        <v>234</v>
      </c>
      <c r="B3" s="81"/>
      <c r="D3" s="223"/>
      <c r="E3" s="223"/>
    </row>
    <row r="5" spans="1:16" s="70" customFormat="1" ht="13.5" thickBot="1" x14ac:dyDescent="0.25">
      <c r="A5" s="82" t="s">
        <v>143</v>
      </c>
      <c r="B5" s="83" t="s">
        <v>144</v>
      </c>
      <c r="C5" s="83" t="str">
        <f>CMS!C5</f>
        <v>January</v>
      </c>
      <c r="D5" s="83" t="str">
        <f>CMS!D5</f>
        <v>February</v>
      </c>
      <c r="E5" s="83" t="str">
        <f>CMS!E5</f>
        <v>March</v>
      </c>
      <c r="F5" s="83" t="str">
        <f>CMS!F5</f>
        <v>April</v>
      </c>
      <c r="G5" s="83" t="str">
        <f>CMS!G5</f>
        <v>May</v>
      </c>
      <c r="H5" s="83" t="str">
        <f>CMS!H5</f>
        <v>June</v>
      </c>
      <c r="I5" s="83" t="str">
        <f>CMS!I5</f>
        <v>July</v>
      </c>
      <c r="J5" s="83" t="str">
        <f>CMS!J5</f>
        <v>August</v>
      </c>
      <c r="K5" s="83" t="str">
        <f>CMS!K5</f>
        <v>September</v>
      </c>
      <c r="L5" s="83" t="str">
        <f>CMS!L5</f>
        <v>October</v>
      </c>
      <c r="M5" s="83" t="str">
        <f>CMS!M5</f>
        <v>November</v>
      </c>
      <c r="N5" s="83" t="str">
        <f>CMS!N5</f>
        <v>December</v>
      </c>
    </row>
    <row r="6" spans="1:16" s="70" customFormat="1" x14ac:dyDescent="0.2">
      <c r="A6" s="28"/>
      <c r="B6" s="86"/>
      <c r="C6" s="86"/>
      <c r="D6" s="26"/>
      <c r="E6" s="26"/>
      <c r="F6" s="26"/>
      <c r="G6" s="26"/>
      <c r="H6" s="26"/>
      <c r="I6" s="26"/>
      <c r="J6" s="26"/>
      <c r="K6" s="26"/>
      <c r="L6" s="26"/>
      <c r="M6" s="26"/>
      <c r="N6" s="26"/>
      <c r="P6" s="205"/>
    </row>
    <row r="7" spans="1:16" s="70" customFormat="1" x14ac:dyDescent="0.2">
      <c r="A7" s="58" t="s">
        <v>14</v>
      </c>
      <c r="B7" s="60"/>
      <c r="C7" s="60"/>
      <c r="D7" s="94"/>
      <c r="E7" s="94"/>
      <c r="F7" s="94"/>
      <c r="G7" s="94"/>
      <c r="H7" s="94"/>
      <c r="I7" s="94"/>
      <c r="J7" s="94"/>
      <c r="K7" s="94"/>
      <c r="L7" s="94"/>
      <c r="M7" s="94"/>
      <c r="N7" s="94"/>
    </row>
    <row r="8" spans="1:16" x14ac:dyDescent="0.2">
      <c r="A8" s="350" t="s">
        <v>555</v>
      </c>
      <c r="B8" s="63">
        <f>SUM(C8:N8)</f>
        <v>49064.1546525862</v>
      </c>
      <c r="C8" s="349">
        <f>SUM(C53)</f>
        <v>4918.02996525862</v>
      </c>
      <c r="D8" s="349">
        <f t="shared" ref="D8:H8" si="0">SUM(D53)</f>
        <v>4918.02996525862</v>
      </c>
      <c r="E8" s="349">
        <f t="shared" si="0"/>
        <v>4918.02996525862</v>
      </c>
      <c r="F8" s="349">
        <f t="shared" si="0"/>
        <v>4918.02996525862</v>
      </c>
      <c r="G8" s="349">
        <f t="shared" si="0"/>
        <v>4918.02996525862</v>
      </c>
      <c r="H8" s="349">
        <f t="shared" si="0"/>
        <v>4918.02996525862</v>
      </c>
      <c r="I8" s="93"/>
      <c r="J8" s="93"/>
      <c r="K8" s="349">
        <f>SUM(K53)</f>
        <v>4888.9937152586208</v>
      </c>
      <c r="L8" s="349">
        <f t="shared" ref="L8:N8" si="1">SUM(L53)</f>
        <v>4888.9937152586208</v>
      </c>
      <c r="M8" s="349">
        <f t="shared" si="1"/>
        <v>4888.9937152586208</v>
      </c>
      <c r="N8" s="349">
        <f t="shared" si="1"/>
        <v>4888.9937152586208</v>
      </c>
      <c r="O8" s="366"/>
      <c r="P8" s="366"/>
    </row>
    <row r="9" spans="1:16" x14ac:dyDescent="0.2">
      <c r="A9" s="353" t="s">
        <v>410</v>
      </c>
      <c r="B9" s="63">
        <f>SUM(C9:N9)</f>
        <v>0</v>
      </c>
      <c r="C9" s="351"/>
      <c r="D9" s="351"/>
      <c r="E9" s="351"/>
      <c r="F9" s="351"/>
      <c r="G9" s="351"/>
      <c r="H9" s="351"/>
      <c r="I9" s="93"/>
      <c r="J9" s="93"/>
      <c r="K9" s="351"/>
      <c r="L9" s="351"/>
      <c r="M9" s="351"/>
      <c r="N9" s="351"/>
      <c r="O9" s="366"/>
      <c r="P9" s="366"/>
    </row>
    <row r="10" spans="1:16" x14ac:dyDescent="0.2">
      <c r="A10" s="354" t="s">
        <v>411</v>
      </c>
      <c r="B10" s="63">
        <f t="shared" ref="B10:B44" si="2">SUM(C10:N10)</f>
        <v>9750</v>
      </c>
      <c r="C10" s="352">
        <f>SUM(9750/10)</f>
        <v>975</v>
      </c>
      <c r="D10" s="352">
        <f t="shared" ref="D10:H10" si="3">SUM(9750/10)</f>
        <v>975</v>
      </c>
      <c r="E10" s="352">
        <f t="shared" si="3"/>
        <v>975</v>
      </c>
      <c r="F10" s="352">
        <f t="shared" si="3"/>
        <v>975</v>
      </c>
      <c r="G10" s="352">
        <f t="shared" si="3"/>
        <v>975</v>
      </c>
      <c r="H10" s="352">
        <f t="shared" si="3"/>
        <v>975</v>
      </c>
      <c r="I10" s="93"/>
      <c r="J10" s="93"/>
      <c r="K10" s="352">
        <f t="shared" ref="K10:N10" si="4">SUM(9750/10)</f>
        <v>975</v>
      </c>
      <c r="L10" s="352">
        <f t="shared" si="4"/>
        <v>975</v>
      </c>
      <c r="M10" s="352">
        <f t="shared" si="4"/>
        <v>975</v>
      </c>
      <c r="N10" s="352">
        <f t="shared" si="4"/>
        <v>975</v>
      </c>
      <c r="O10" s="366"/>
      <c r="P10" s="366"/>
    </row>
    <row r="11" spans="1:16" x14ac:dyDescent="0.2">
      <c r="A11" s="355" t="s">
        <v>412</v>
      </c>
      <c r="B11" s="63">
        <f t="shared" si="2"/>
        <v>11250</v>
      </c>
      <c r="C11" s="356">
        <f>SUM(11250/10)</f>
        <v>1125</v>
      </c>
      <c r="D11" s="356">
        <f t="shared" ref="D11:H11" si="5">SUM(11250/10)</f>
        <v>1125</v>
      </c>
      <c r="E11" s="356">
        <f t="shared" si="5"/>
        <v>1125</v>
      </c>
      <c r="F11" s="356">
        <f t="shared" si="5"/>
        <v>1125</v>
      </c>
      <c r="G11" s="356">
        <f t="shared" si="5"/>
        <v>1125</v>
      </c>
      <c r="H11" s="356">
        <f t="shared" si="5"/>
        <v>1125</v>
      </c>
      <c r="I11" s="93"/>
      <c r="J11" s="93"/>
      <c r="K11" s="356">
        <f t="shared" ref="K11:N11" si="6">SUM(11250/10)</f>
        <v>1125</v>
      </c>
      <c r="L11" s="356">
        <f t="shared" si="6"/>
        <v>1125</v>
      </c>
      <c r="M11" s="356">
        <f t="shared" si="6"/>
        <v>1125</v>
      </c>
      <c r="N11" s="356">
        <f t="shared" si="6"/>
        <v>1125</v>
      </c>
      <c r="O11" s="366"/>
      <c r="P11" s="366"/>
    </row>
    <row r="12" spans="1:16" x14ac:dyDescent="0.2">
      <c r="A12" s="61" t="s">
        <v>145</v>
      </c>
      <c r="B12" s="63">
        <f t="shared" si="2"/>
        <v>0</v>
      </c>
      <c r="C12" s="63"/>
      <c r="D12" s="62"/>
      <c r="E12" s="62"/>
      <c r="F12" s="62"/>
      <c r="G12" s="62"/>
      <c r="H12" s="62"/>
      <c r="I12" s="62"/>
      <c r="J12" s="93"/>
      <c r="K12" s="93"/>
      <c r="L12" s="93"/>
      <c r="M12" s="93"/>
      <c r="N12" s="93"/>
      <c r="O12" s="366"/>
      <c r="P12" s="366"/>
    </row>
    <row r="13" spans="1:16" hidden="1" x14ac:dyDescent="0.2">
      <c r="A13" s="61" t="s">
        <v>145</v>
      </c>
      <c r="B13" s="63">
        <f t="shared" si="2"/>
        <v>0</v>
      </c>
      <c r="C13" s="63"/>
      <c r="D13" s="62"/>
      <c r="E13" s="62"/>
      <c r="F13" s="62"/>
      <c r="G13" s="62"/>
      <c r="H13" s="62"/>
      <c r="I13" s="62"/>
      <c r="J13" s="62"/>
      <c r="K13" s="62"/>
      <c r="L13" s="62"/>
      <c r="M13" s="62"/>
      <c r="N13" s="62"/>
    </row>
    <row r="14" spans="1:16" hidden="1" x14ac:dyDescent="0.2">
      <c r="A14" s="61" t="s">
        <v>145</v>
      </c>
      <c r="B14" s="63">
        <f t="shared" si="2"/>
        <v>0</v>
      </c>
      <c r="C14" s="63"/>
      <c r="D14" s="62"/>
      <c r="E14" s="62"/>
      <c r="F14" s="62"/>
      <c r="G14" s="62"/>
      <c r="H14" s="62"/>
      <c r="I14" s="62"/>
      <c r="J14" s="62"/>
      <c r="K14" s="62"/>
      <c r="L14" s="62"/>
      <c r="M14" s="62"/>
      <c r="N14" s="62"/>
    </row>
    <row r="15" spans="1:16" hidden="1" x14ac:dyDescent="0.2">
      <c r="A15" s="61" t="s">
        <v>145</v>
      </c>
      <c r="B15" s="63">
        <f t="shared" si="2"/>
        <v>0</v>
      </c>
      <c r="C15" s="63"/>
      <c r="D15" s="62"/>
      <c r="E15" s="62"/>
      <c r="F15" s="62"/>
      <c r="G15" s="62"/>
      <c r="H15" s="62"/>
      <c r="I15" s="62"/>
      <c r="J15" s="62"/>
      <c r="K15" s="62"/>
      <c r="L15" s="62"/>
      <c r="M15" s="62"/>
      <c r="N15" s="62"/>
    </row>
    <row r="16" spans="1:16" hidden="1" x14ac:dyDescent="0.2">
      <c r="A16" s="61" t="s">
        <v>145</v>
      </c>
      <c r="B16" s="63">
        <f t="shared" si="2"/>
        <v>0</v>
      </c>
      <c r="C16" s="63"/>
      <c r="D16" s="62"/>
      <c r="E16" s="62"/>
      <c r="F16" s="62"/>
      <c r="G16" s="62"/>
      <c r="H16" s="62"/>
      <c r="I16" s="62"/>
      <c r="J16" s="62"/>
      <c r="K16" s="62"/>
      <c r="L16" s="62"/>
      <c r="M16" s="62"/>
      <c r="N16" s="62"/>
    </row>
    <row r="17" spans="1:14" hidden="1" x14ac:dyDescent="0.2">
      <c r="A17" s="61" t="s">
        <v>145</v>
      </c>
      <c r="B17" s="63">
        <f t="shared" si="2"/>
        <v>0</v>
      </c>
      <c r="C17" s="63"/>
      <c r="D17" s="62"/>
      <c r="E17" s="62"/>
      <c r="F17" s="62"/>
      <c r="G17" s="62"/>
      <c r="H17" s="62"/>
      <c r="I17" s="62"/>
      <c r="J17" s="62"/>
      <c r="K17" s="62"/>
      <c r="L17" s="62"/>
      <c r="M17" s="62"/>
      <c r="N17" s="62"/>
    </row>
    <row r="18" spans="1:14" hidden="1" x14ac:dyDescent="0.2">
      <c r="A18" s="61" t="s">
        <v>145</v>
      </c>
      <c r="B18" s="63">
        <f t="shared" si="2"/>
        <v>0</v>
      </c>
      <c r="C18" s="63"/>
      <c r="D18" s="62"/>
      <c r="E18" s="62"/>
      <c r="F18" s="62"/>
      <c r="G18" s="62"/>
      <c r="H18" s="62"/>
      <c r="I18" s="62"/>
      <c r="J18" s="62"/>
      <c r="K18" s="62"/>
      <c r="L18" s="62"/>
      <c r="M18" s="62"/>
      <c r="N18" s="62"/>
    </row>
    <row r="19" spans="1:14" hidden="1" x14ac:dyDescent="0.2">
      <c r="A19" s="61" t="s">
        <v>145</v>
      </c>
      <c r="B19" s="63">
        <f t="shared" si="2"/>
        <v>0</v>
      </c>
      <c r="C19" s="63"/>
      <c r="D19" s="62"/>
      <c r="E19" s="62"/>
      <c r="F19" s="62"/>
      <c r="G19" s="62"/>
      <c r="H19" s="62"/>
      <c r="I19" s="62"/>
      <c r="J19" s="62"/>
      <c r="K19" s="62"/>
      <c r="L19" s="62"/>
      <c r="M19" s="62"/>
      <c r="N19" s="62"/>
    </row>
    <row r="20" spans="1:14" hidden="1" x14ac:dyDescent="0.2">
      <c r="A20" s="61" t="s">
        <v>145</v>
      </c>
      <c r="B20" s="63">
        <f t="shared" si="2"/>
        <v>0</v>
      </c>
      <c r="C20" s="63"/>
      <c r="D20" s="62"/>
      <c r="E20" s="62"/>
      <c r="F20" s="62"/>
      <c r="G20" s="62"/>
      <c r="H20" s="62"/>
      <c r="I20" s="62"/>
      <c r="J20" s="62"/>
      <c r="K20" s="62"/>
      <c r="L20" s="62"/>
      <c r="M20" s="62"/>
      <c r="N20" s="62"/>
    </row>
    <row r="21" spans="1:14" hidden="1" x14ac:dyDescent="0.2">
      <c r="A21" s="61" t="s">
        <v>145</v>
      </c>
      <c r="B21" s="63">
        <f t="shared" si="2"/>
        <v>0</v>
      </c>
      <c r="C21" s="63"/>
      <c r="D21" s="62"/>
      <c r="E21" s="62"/>
      <c r="F21" s="62"/>
      <c r="G21" s="62"/>
      <c r="H21" s="62"/>
      <c r="I21" s="62"/>
      <c r="J21" s="62"/>
      <c r="K21" s="62"/>
      <c r="L21" s="62"/>
      <c r="M21" s="62"/>
      <c r="N21" s="62"/>
    </row>
    <row r="22" spans="1:14" hidden="1" x14ac:dyDescent="0.2">
      <c r="A22" s="61" t="s">
        <v>145</v>
      </c>
      <c r="B22" s="63">
        <f t="shared" si="2"/>
        <v>0</v>
      </c>
      <c r="C22" s="63"/>
      <c r="D22" s="62"/>
      <c r="E22" s="62"/>
      <c r="F22" s="62"/>
      <c r="G22" s="62"/>
      <c r="H22" s="62"/>
      <c r="I22" s="62"/>
      <c r="J22" s="62"/>
      <c r="K22" s="62"/>
      <c r="L22" s="62"/>
      <c r="M22" s="62"/>
      <c r="N22" s="62"/>
    </row>
    <row r="23" spans="1:14" hidden="1" x14ac:dyDescent="0.2">
      <c r="A23" s="61" t="s">
        <v>146</v>
      </c>
      <c r="B23" s="63">
        <f t="shared" si="2"/>
        <v>0</v>
      </c>
      <c r="C23" s="63"/>
      <c r="D23" s="62"/>
      <c r="E23" s="62"/>
      <c r="F23" s="62"/>
      <c r="G23" s="62"/>
      <c r="H23" s="62"/>
      <c r="I23" s="62"/>
      <c r="J23" s="62"/>
      <c r="K23" s="62"/>
      <c r="L23" s="93"/>
      <c r="M23" s="93"/>
      <c r="N23" s="93"/>
    </row>
    <row r="24" spans="1:14" hidden="1" x14ac:dyDescent="0.2">
      <c r="A24" s="61" t="s">
        <v>146</v>
      </c>
      <c r="B24" s="63">
        <f t="shared" si="2"/>
        <v>0</v>
      </c>
      <c r="C24" s="63"/>
      <c r="D24" s="62"/>
      <c r="E24" s="62"/>
      <c r="F24" s="62"/>
      <c r="G24" s="62"/>
      <c r="H24" s="62"/>
      <c r="I24" s="62"/>
      <c r="J24" s="62"/>
      <c r="K24" s="62"/>
      <c r="L24" s="62"/>
      <c r="M24" s="62"/>
      <c r="N24" s="62"/>
    </row>
    <row r="25" spans="1:14" hidden="1" x14ac:dyDescent="0.2">
      <c r="A25" s="61" t="s">
        <v>146</v>
      </c>
      <c r="B25" s="63">
        <f t="shared" si="2"/>
        <v>0</v>
      </c>
      <c r="C25" s="63"/>
      <c r="D25" s="62"/>
      <c r="E25" s="62"/>
      <c r="F25" s="62"/>
      <c r="G25" s="62"/>
      <c r="H25" s="62"/>
      <c r="I25" s="62"/>
      <c r="J25" s="62"/>
      <c r="K25" s="62"/>
      <c r="L25" s="62"/>
      <c r="M25" s="62"/>
      <c r="N25" s="62"/>
    </row>
    <row r="26" spans="1:14" hidden="1" x14ac:dyDescent="0.2">
      <c r="A26" s="61" t="s">
        <v>146</v>
      </c>
      <c r="B26" s="63">
        <f t="shared" si="2"/>
        <v>0</v>
      </c>
      <c r="C26" s="63"/>
      <c r="D26" s="62"/>
      <c r="E26" s="62"/>
      <c r="F26" s="62"/>
      <c r="G26" s="62"/>
      <c r="H26" s="62"/>
      <c r="I26" s="62"/>
      <c r="J26" s="62"/>
      <c r="K26" s="62"/>
      <c r="L26" s="62"/>
      <c r="M26" s="62"/>
      <c r="N26" s="62"/>
    </row>
    <row r="27" spans="1:14" hidden="1" x14ac:dyDescent="0.2">
      <c r="A27" s="61" t="s">
        <v>146</v>
      </c>
      <c r="B27" s="63">
        <f t="shared" si="2"/>
        <v>0</v>
      </c>
      <c r="C27" s="63"/>
      <c r="D27" s="62"/>
      <c r="E27" s="62"/>
      <c r="F27" s="62"/>
      <c r="G27" s="62"/>
      <c r="H27" s="62"/>
      <c r="I27" s="62"/>
      <c r="J27" s="62"/>
      <c r="K27" s="62"/>
      <c r="L27" s="62"/>
      <c r="M27" s="62"/>
      <c r="N27" s="62"/>
    </row>
    <row r="28" spans="1:14" hidden="1" x14ac:dyDescent="0.2">
      <c r="A28" s="61" t="s">
        <v>146</v>
      </c>
      <c r="B28" s="63">
        <f t="shared" si="2"/>
        <v>0</v>
      </c>
      <c r="C28" s="63"/>
      <c r="D28" s="62"/>
      <c r="E28" s="62"/>
      <c r="F28" s="62"/>
      <c r="G28" s="62"/>
      <c r="H28" s="62"/>
      <c r="I28" s="62"/>
      <c r="J28" s="62"/>
      <c r="K28" s="62"/>
      <c r="L28" s="62"/>
      <c r="M28" s="62"/>
      <c r="N28" s="62"/>
    </row>
    <row r="29" spans="1:14" hidden="1" x14ac:dyDescent="0.2">
      <c r="A29" s="61" t="s">
        <v>146</v>
      </c>
      <c r="B29" s="63">
        <f t="shared" si="2"/>
        <v>0</v>
      </c>
      <c r="C29" s="63"/>
      <c r="D29" s="62"/>
      <c r="E29" s="62"/>
      <c r="F29" s="62"/>
      <c r="G29" s="62"/>
      <c r="H29" s="62"/>
      <c r="I29" s="62"/>
      <c r="J29" s="62"/>
      <c r="K29" s="62"/>
      <c r="L29" s="62"/>
      <c r="M29" s="62"/>
      <c r="N29" s="62"/>
    </row>
    <row r="30" spans="1:14" hidden="1" x14ac:dyDescent="0.2">
      <c r="A30" s="61" t="s">
        <v>146</v>
      </c>
      <c r="B30" s="63">
        <f t="shared" si="2"/>
        <v>0</v>
      </c>
      <c r="C30" s="63"/>
      <c r="D30" s="62"/>
      <c r="E30" s="62"/>
      <c r="F30" s="62"/>
      <c r="G30" s="62"/>
      <c r="H30" s="62"/>
      <c r="I30" s="62"/>
      <c r="J30" s="62"/>
      <c r="K30" s="62"/>
      <c r="L30" s="62"/>
      <c r="M30" s="62"/>
      <c r="N30" s="62"/>
    </row>
    <row r="31" spans="1:14" hidden="1" x14ac:dyDescent="0.2">
      <c r="A31" s="61" t="s">
        <v>146</v>
      </c>
      <c r="B31" s="63">
        <f t="shared" si="2"/>
        <v>0</v>
      </c>
      <c r="C31" s="63"/>
      <c r="D31" s="62"/>
      <c r="E31" s="62"/>
      <c r="F31" s="62"/>
      <c r="G31" s="62"/>
      <c r="H31" s="62"/>
      <c r="I31" s="62"/>
      <c r="J31" s="62"/>
      <c r="K31" s="62"/>
      <c r="L31" s="62"/>
      <c r="M31" s="62"/>
      <c r="N31" s="62"/>
    </row>
    <row r="32" spans="1:14" hidden="1" x14ac:dyDescent="0.2">
      <c r="A32" s="61" t="s">
        <v>146</v>
      </c>
      <c r="B32" s="63">
        <f t="shared" si="2"/>
        <v>0</v>
      </c>
      <c r="C32" s="63"/>
      <c r="D32" s="62"/>
      <c r="E32" s="62"/>
      <c r="F32" s="62"/>
      <c r="G32" s="62"/>
      <c r="H32" s="62"/>
      <c r="I32" s="62"/>
      <c r="J32" s="62"/>
      <c r="K32" s="62"/>
      <c r="L32" s="62"/>
      <c r="M32" s="62"/>
      <c r="N32" s="62"/>
    </row>
    <row r="33" spans="1:14" hidden="1" x14ac:dyDescent="0.2">
      <c r="A33" s="61" t="s">
        <v>146</v>
      </c>
      <c r="B33" s="63">
        <f t="shared" si="2"/>
        <v>0</v>
      </c>
      <c r="C33" s="63"/>
      <c r="D33" s="62"/>
      <c r="E33" s="62"/>
      <c r="F33" s="62"/>
      <c r="G33" s="62"/>
      <c r="H33" s="62"/>
      <c r="I33" s="62"/>
      <c r="J33" s="62"/>
      <c r="K33" s="62"/>
      <c r="L33" s="62"/>
      <c r="M33" s="62"/>
      <c r="N33" s="62"/>
    </row>
    <row r="34" spans="1:14" hidden="1" x14ac:dyDescent="0.2">
      <c r="A34" s="61" t="s">
        <v>146</v>
      </c>
      <c r="B34" s="63">
        <f t="shared" si="2"/>
        <v>0</v>
      </c>
      <c r="C34" s="63"/>
      <c r="D34" s="62"/>
      <c r="E34" s="62"/>
      <c r="F34" s="62"/>
      <c r="G34" s="62"/>
      <c r="H34" s="62"/>
      <c r="I34" s="62"/>
      <c r="J34" s="62"/>
      <c r="K34" s="62"/>
      <c r="L34" s="62"/>
      <c r="M34" s="62"/>
      <c r="N34" s="62"/>
    </row>
    <row r="35" spans="1:14" hidden="1" x14ac:dyDescent="0.2">
      <c r="A35" s="61" t="s">
        <v>146</v>
      </c>
      <c r="B35" s="63">
        <f t="shared" si="2"/>
        <v>0</v>
      </c>
      <c r="C35" s="63"/>
      <c r="D35" s="62"/>
      <c r="E35" s="62"/>
      <c r="F35" s="62"/>
      <c r="G35" s="62"/>
      <c r="H35" s="62"/>
      <c r="I35" s="62"/>
      <c r="J35" s="62"/>
      <c r="K35" s="62"/>
      <c r="L35" s="62"/>
      <c r="M35" s="62"/>
      <c r="N35" s="62"/>
    </row>
    <row r="36" spans="1:14" hidden="1" x14ac:dyDescent="0.2">
      <c r="A36" s="61" t="s">
        <v>146</v>
      </c>
      <c r="B36" s="63">
        <f t="shared" si="2"/>
        <v>0</v>
      </c>
      <c r="C36" s="62"/>
      <c r="D36" s="62"/>
      <c r="E36" s="62"/>
      <c r="F36" s="62"/>
      <c r="G36" s="62"/>
      <c r="H36" s="62"/>
      <c r="I36" s="62"/>
      <c r="J36" s="62"/>
      <c r="K36" s="62"/>
      <c r="L36" s="62"/>
      <c r="M36" s="62"/>
      <c r="N36" s="62"/>
    </row>
    <row r="37" spans="1:14" hidden="1" x14ac:dyDescent="0.2">
      <c r="A37" s="61" t="s">
        <v>146</v>
      </c>
      <c r="B37" s="63">
        <f t="shared" si="2"/>
        <v>0</v>
      </c>
      <c r="C37" s="63"/>
      <c r="D37" s="62"/>
      <c r="E37" s="62"/>
      <c r="F37" s="62"/>
      <c r="G37" s="62"/>
      <c r="H37" s="62"/>
      <c r="I37" s="62"/>
      <c r="J37" s="62"/>
      <c r="K37" s="62"/>
      <c r="L37" s="62"/>
      <c r="M37" s="62"/>
      <c r="N37" s="62"/>
    </row>
    <row r="38" spans="1:14" x14ac:dyDescent="0.2">
      <c r="A38" s="61" t="s">
        <v>146</v>
      </c>
      <c r="B38" s="63">
        <f t="shared" si="2"/>
        <v>0</v>
      </c>
      <c r="C38" s="63"/>
      <c r="D38" s="62"/>
      <c r="E38" s="62"/>
      <c r="F38" s="62"/>
      <c r="G38" s="62"/>
      <c r="H38" s="62"/>
      <c r="I38" s="62"/>
      <c r="J38" s="62"/>
      <c r="K38" s="62"/>
      <c r="L38" s="62"/>
      <c r="M38" s="62"/>
      <c r="N38" s="62"/>
    </row>
    <row r="39" spans="1:14" x14ac:dyDescent="0.2">
      <c r="A39" s="61" t="s">
        <v>16</v>
      </c>
      <c r="B39" s="63">
        <f t="shared" si="2"/>
        <v>0</v>
      </c>
      <c r="C39" s="63"/>
      <c r="D39" s="62"/>
      <c r="E39" s="62"/>
      <c r="F39" s="62"/>
      <c r="G39" s="62"/>
      <c r="H39" s="62"/>
      <c r="I39" s="62"/>
      <c r="J39" s="62"/>
      <c r="K39" s="62"/>
      <c r="L39" s="62"/>
      <c r="M39" s="62"/>
      <c r="N39" s="62"/>
    </row>
    <row r="40" spans="1:14" x14ac:dyDescent="0.2">
      <c r="A40" s="61" t="s">
        <v>17</v>
      </c>
      <c r="B40" s="63">
        <f t="shared" si="2"/>
        <v>0</v>
      </c>
      <c r="C40" s="63"/>
      <c r="D40" s="62"/>
      <c r="E40" s="62"/>
      <c r="F40" s="62"/>
      <c r="G40" s="62"/>
      <c r="H40" s="62"/>
      <c r="I40" s="62"/>
      <c r="J40" s="62"/>
      <c r="K40" s="62"/>
      <c r="L40" s="62"/>
      <c r="M40" s="62"/>
      <c r="N40" s="62"/>
    </row>
    <row r="41" spans="1:14" x14ac:dyDescent="0.2">
      <c r="A41" s="61" t="s">
        <v>147</v>
      </c>
      <c r="B41" s="63">
        <f t="shared" si="2"/>
        <v>0</v>
      </c>
      <c r="C41" s="62"/>
      <c r="D41" s="62"/>
      <c r="E41" s="62"/>
      <c r="F41" s="62"/>
      <c r="G41" s="62"/>
      <c r="H41" s="62"/>
      <c r="I41" s="62"/>
      <c r="J41" s="62"/>
      <c r="K41" s="62"/>
      <c r="L41" s="62"/>
      <c r="M41" s="62"/>
      <c r="N41" s="62"/>
    </row>
    <row r="42" spans="1:14" x14ac:dyDescent="0.2">
      <c r="A42" s="61" t="s">
        <v>148</v>
      </c>
      <c r="B42" s="63">
        <f t="shared" si="2"/>
        <v>0</v>
      </c>
      <c r="C42" s="63"/>
      <c r="D42" s="62"/>
      <c r="E42" s="62"/>
      <c r="F42" s="62"/>
      <c r="G42" s="62"/>
      <c r="H42" s="62"/>
      <c r="I42" s="62"/>
      <c r="J42" s="62"/>
      <c r="K42" s="62"/>
      <c r="L42" s="62"/>
      <c r="M42" s="62"/>
      <c r="N42" s="62"/>
    </row>
    <row r="43" spans="1:14" x14ac:dyDescent="0.2">
      <c r="A43" s="61" t="s">
        <v>149</v>
      </c>
      <c r="B43" s="63">
        <f t="shared" si="2"/>
        <v>0</v>
      </c>
      <c r="C43" s="63"/>
      <c r="D43" s="62"/>
      <c r="E43" s="62"/>
      <c r="F43" s="62"/>
      <c r="G43" s="62"/>
      <c r="H43" s="62"/>
      <c r="I43" s="62"/>
      <c r="J43" s="62"/>
      <c r="K43" s="62"/>
      <c r="L43" s="62"/>
      <c r="M43" s="62"/>
      <c r="N43" s="62"/>
    </row>
    <row r="44" spans="1:14" x14ac:dyDescent="0.2">
      <c r="A44" s="61" t="s">
        <v>150</v>
      </c>
      <c r="B44" s="63">
        <f t="shared" si="2"/>
        <v>0</v>
      </c>
      <c r="C44" s="63"/>
      <c r="D44" s="62"/>
      <c r="E44" s="62"/>
      <c r="F44" s="62"/>
      <c r="G44" s="62"/>
      <c r="H44" s="62"/>
      <c r="I44" s="62"/>
      <c r="J44" s="62"/>
      <c r="K44" s="62"/>
      <c r="L44" s="62"/>
      <c r="M44" s="62"/>
      <c r="N44" s="62"/>
    </row>
    <row r="45" spans="1:14" ht="13.5" thickBot="1" x14ac:dyDescent="0.25">
      <c r="A45" s="61" t="s">
        <v>18</v>
      </c>
      <c r="B45" s="63">
        <f>SUM(C45:N45)</f>
        <v>0</v>
      </c>
      <c r="C45" s="62"/>
      <c r="D45" s="62"/>
      <c r="E45" s="62"/>
      <c r="F45" s="62"/>
      <c r="G45" s="62"/>
      <c r="H45" s="62"/>
      <c r="I45" s="62"/>
      <c r="J45" s="62"/>
      <c r="K45" s="62"/>
      <c r="L45" s="62"/>
      <c r="M45" s="62"/>
      <c r="N45" s="62"/>
    </row>
    <row r="46" spans="1:14" x14ac:dyDescent="0.2">
      <c r="A46" s="64" t="s">
        <v>151</v>
      </c>
      <c r="B46" s="65">
        <f t="shared" ref="B46:N46" si="7">SUM(B8:B45)</f>
        <v>70064.154652586207</v>
      </c>
      <c r="C46" s="65">
        <f t="shared" si="7"/>
        <v>7018.02996525862</v>
      </c>
      <c r="D46" s="65">
        <f t="shared" si="7"/>
        <v>7018.02996525862</v>
      </c>
      <c r="E46" s="65">
        <f t="shared" si="7"/>
        <v>7018.02996525862</v>
      </c>
      <c r="F46" s="65">
        <f t="shared" si="7"/>
        <v>7018.02996525862</v>
      </c>
      <c r="G46" s="65">
        <f t="shared" si="7"/>
        <v>7018.02996525862</v>
      </c>
      <c r="H46" s="65">
        <f t="shared" si="7"/>
        <v>7018.02996525862</v>
      </c>
      <c r="I46" s="65">
        <f t="shared" si="7"/>
        <v>0</v>
      </c>
      <c r="J46" s="65">
        <f t="shared" si="7"/>
        <v>0</v>
      </c>
      <c r="K46" s="65">
        <f t="shared" si="7"/>
        <v>6988.9937152586208</v>
      </c>
      <c r="L46" s="65">
        <f t="shared" si="7"/>
        <v>6988.9937152586208</v>
      </c>
      <c r="M46" s="65">
        <f t="shared" si="7"/>
        <v>6988.9937152586208</v>
      </c>
      <c r="N46" s="65">
        <f t="shared" si="7"/>
        <v>6988.9937152586208</v>
      </c>
    </row>
    <row r="47" spans="1:14" x14ac:dyDescent="0.2">
      <c r="C47" s="60"/>
      <c r="D47" s="66"/>
      <c r="E47" s="66"/>
      <c r="F47" s="66"/>
      <c r="G47" s="66"/>
      <c r="H47" s="66"/>
      <c r="I47" s="66"/>
      <c r="J47" s="66"/>
      <c r="K47" s="66"/>
      <c r="L47" s="66"/>
      <c r="M47" s="66"/>
      <c r="N47" s="66"/>
    </row>
    <row r="48" spans="1:14" x14ac:dyDescent="0.2">
      <c r="A48" s="58"/>
      <c r="C48" s="60"/>
      <c r="D48" s="100"/>
      <c r="E48" s="100"/>
      <c r="F48" s="100"/>
      <c r="G48" s="100"/>
      <c r="H48" s="100"/>
      <c r="I48" s="100"/>
      <c r="J48" s="100"/>
      <c r="K48" s="100"/>
      <c r="L48" s="100"/>
      <c r="M48" s="100"/>
      <c r="N48" s="100"/>
    </row>
    <row r="49" spans="1:15" x14ac:dyDescent="0.2">
      <c r="A49" s="58" t="s">
        <v>152</v>
      </c>
      <c r="B49" s="85"/>
      <c r="C49" s="85"/>
      <c r="D49" s="85"/>
      <c r="E49" s="85"/>
      <c r="F49" s="85"/>
      <c r="G49" s="85"/>
      <c r="H49" s="85"/>
      <c r="I49" s="85"/>
      <c r="J49" s="85"/>
      <c r="K49" s="85"/>
      <c r="L49" s="85"/>
      <c r="M49" s="85"/>
      <c r="N49" s="85"/>
    </row>
    <row r="50" spans="1:15" x14ac:dyDescent="0.2">
      <c r="A50" s="61" t="s">
        <v>153</v>
      </c>
      <c r="B50" s="63">
        <f>SUM(C50:N50)</f>
        <v>41183.112000000001</v>
      </c>
      <c r="C50" s="93">
        <f>SUM(C213)</f>
        <v>3993.8009999999999</v>
      </c>
      <c r="D50" s="93">
        <f t="shared" ref="D50:N52" si="8">SUM(D213)</f>
        <v>3993.8009999999999</v>
      </c>
      <c r="E50" s="93">
        <f t="shared" si="8"/>
        <v>3993.8009999999999</v>
      </c>
      <c r="F50" s="93">
        <f t="shared" si="8"/>
        <v>3993.8009999999999</v>
      </c>
      <c r="G50" s="93">
        <f t="shared" si="8"/>
        <v>3993.8009999999999</v>
      </c>
      <c r="H50" s="93">
        <f t="shared" si="8"/>
        <v>3993.8009999999999</v>
      </c>
      <c r="I50" s="93">
        <f t="shared" si="8"/>
        <v>687.80100000000016</v>
      </c>
      <c r="J50" s="93">
        <f t="shared" si="8"/>
        <v>661.70100000000002</v>
      </c>
      <c r="K50" s="93">
        <f t="shared" si="8"/>
        <v>3967.701</v>
      </c>
      <c r="L50" s="93">
        <f t="shared" si="8"/>
        <v>3967.701</v>
      </c>
      <c r="M50" s="93">
        <f t="shared" si="8"/>
        <v>3967.701</v>
      </c>
      <c r="N50" s="93">
        <f t="shared" si="8"/>
        <v>3967.701</v>
      </c>
    </row>
    <row r="51" spans="1:15" x14ac:dyDescent="0.2">
      <c r="A51" s="61" t="s">
        <v>22</v>
      </c>
      <c r="B51" s="63">
        <f>SUM(C51:N51)</f>
        <v>3559.5970199999992</v>
      </c>
      <c r="C51" s="62">
        <f>SUM(C214)</f>
        <v>345.24542249999996</v>
      </c>
      <c r="D51" s="62">
        <f t="shared" si="8"/>
        <v>345.24542249999996</v>
      </c>
      <c r="E51" s="62">
        <f t="shared" si="8"/>
        <v>345.24542249999996</v>
      </c>
      <c r="F51" s="62">
        <f t="shared" si="8"/>
        <v>345.24542249999996</v>
      </c>
      <c r="G51" s="62">
        <f t="shared" si="8"/>
        <v>345.24542249999996</v>
      </c>
      <c r="H51" s="62">
        <f t="shared" si="8"/>
        <v>345.24542249999996</v>
      </c>
      <c r="I51" s="62">
        <f t="shared" si="8"/>
        <v>58.95452250000001</v>
      </c>
      <c r="J51" s="62">
        <f t="shared" si="8"/>
        <v>56.80127250000001</v>
      </c>
      <c r="K51" s="62">
        <f t="shared" si="8"/>
        <v>343.09217249999995</v>
      </c>
      <c r="L51" s="62">
        <f t="shared" si="8"/>
        <v>343.09217249999995</v>
      </c>
      <c r="M51" s="62">
        <f t="shared" si="8"/>
        <v>343.09217249999995</v>
      </c>
      <c r="N51" s="62">
        <f t="shared" si="8"/>
        <v>343.09217249999995</v>
      </c>
    </row>
    <row r="52" spans="1:15" s="101" customFormat="1" ht="13.5" thickBot="1" x14ac:dyDescent="0.25">
      <c r="A52" s="90" t="s">
        <v>23</v>
      </c>
      <c r="B52" s="63">
        <f>SUM(C52:N52)</f>
        <v>6745.5275131034496</v>
      </c>
      <c r="C52" s="62">
        <f>SUM(C215)</f>
        <v>578.98354275862073</v>
      </c>
      <c r="D52" s="62">
        <f t="shared" si="8"/>
        <v>578.98354275862073</v>
      </c>
      <c r="E52" s="62">
        <f t="shared" si="8"/>
        <v>578.98354275862073</v>
      </c>
      <c r="F52" s="62">
        <f t="shared" si="8"/>
        <v>578.98354275862073</v>
      </c>
      <c r="G52" s="62">
        <f t="shared" si="8"/>
        <v>578.98354275862073</v>
      </c>
      <c r="H52" s="62">
        <f t="shared" si="8"/>
        <v>578.98354275862073</v>
      </c>
      <c r="I52" s="62">
        <f t="shared" si="8"/>
        <v>479.80354275862067</v>
      </c>
      <c r="J52" s="62">
        <f t="shared" si="8"/>
        <v>479.02054275862065</v>
      </c>
      <c r="K52" s="62">
        <f t="shared" si="8"/>
        <v>578.20054275862071</v>
      </c>
      <c r="L52" s="62">
        <f t="shared" si="8"/>
        <v>578.20054275862071</v>
      </c>
      <c r="M52" s="62">
        <f t="shared" si="8"/>
        <v>578.20054275862071</v>
      </c>
      <c r="N52" s="62">
        <f t="shared" si="8"/>
        <v>578.20054275862071</v>
      </c>
    </row>
    <row r="53" spans="1:15" x14ac:dyDescent="0.2">
      <c r="A53" s="64" t="s">
        <v>154</v>
      </c>
      <c r="B53" s="65">
        <f>SUM(B50:B52)</f>
        <v>51488.236533103453</v>
      </c>
      <c r="C53" s="357">
        <f>SUM(C50:C52)</f>
        <v>4918.02996525862</v>
      </c>
      <c r="D53" s="357">
        <f t="shared" ref="D53:N53" si="9">SUM(D50:D52)</f>
        <v>4918.02996525862</v>
      </c>
      <c r="E53" s="357">
        <f t="shared" si="9"/>
        <v>4918.02996525862</v>
      </c>
      <c r="F53" s="357">
        <f t="shared" si="9"/>
        <v>4918.02996525862</v>
      </c>
      <c r="G53" s="357">
        <f t="shared" si="9"/>
        <v>4918.02996525862</v>
      </c>
      <c r="H53" s="357">
        <f t="shared" si="9"/>
        <v>4918.02996525862</v>
      </c>
      <c r="I53" s="357">
        <f t="shared" si="9"/>
        <v>1226.5590652586209</v>
      </c>
      <c r="J53" s="357">
        <f t="shared" si="9"/>
        <v>1197.5228152586205</v>
      </c>
      <c r="K53" s="357">
        <f t="shared" si="9"/>
        <v>4888.9937152586208</v>
      </c>
      <c r="L53" s="357">
        <f t="shared" si="9"/>
        <v>4888.9937152586208</v>
      </c>
      <c r="M53" s="357">
        <f t="shared" si="9"/>
        <v>4888.9937152586208</v>
      </c>
      <c r="N53" s="357">
        <f t="shared" si="9"/>
        <v>4888.9937152586208</v>
      </c>
      <c r="O53" s="140"/>
    </row>
    <row r="54" spans="1:15" x14ac:dyDescent="0.2">
      <c r="C54" s="60"/>
      <c r="D54" s="66"/>
      <c r="E54" s="66"/>
      <c r="F54" s="66"/>
      <c r="G54" s="66"/>
      <c r="H54" s="66"/>
      <c r="I54" s="66"/>
      <c r="J54" s="66"/>
      <c r="K54" s="66"/>
      <c r="L54" s="66"/>
      <c r="M54" s="66"/>
      <c r="N54" s="66"/>
    </row>
    <row r="55" spans="1:15" x14ac:dyDescent="0.2">
      <c r="C55" s="60"/>
      <c r="D55" s="66"/>
      <c r="E55" s="66"/>
      <c r="F55" s="66"/>
      <c r="G55" s="66"/>
      <c r="H55" s="66"/>
      <c r="I55" s="66"/>
      <c r="J55" s="66"/>
      <c r="K55" s="66"/>
      <c r="L55" s="66"/>
      <c r="M55" s="66"/>
      <c r="N55" s="66"/>
    </row>
    <row r="56" spans="1:15" x14ac:dyDescent="0.2">
      <c r="A56" s="58" t="s">
        <v>155</v>
      </c>
      <c r="C56" s="60"/>
      <c r="D56" s="66"/>
      <c r="E56" s="66"/>
      <c r="F56" s="66"/>
      <c r="G56" s="66"/>
      <c r="H56" s="66"/>
      <c r="I56" s="66"/>
      <c r="J56" s="66"/>
      <c r="K56" s="66"/>
      <c r="L56" s="66"/>
      <c r="M56" s="66"/>
      <c r="N56" s="66"/>
    </row>
    <row r="57" spans="1:15" x14ac:dyDescent="0.2">
      <c r="A57" s="61" t="str">
        <f>CMS!A57</f>
        <v>Training</v>
      </c>
      <c r="B57" s="63">
        <f>SUM(C57:N57)</f>
        <v>250.00000000000003</v>
      </c>
      <c r="C57" s="62">
        <f>SUM(250/12)</f>
        <v>20.833333333333332</v>
      </c>
      <c r="D57" s="62">
        <f t="shared" ref="D57:N57" si="10">SUM(250/12)</f>
        <v>20.833333333333332</v>
      </c>
      <c r="E57" s="62">
        <f t="shared" si="10"/>
        <v>20.833333333333332</v>
      </c>
      <c r="F57" s="62">
        <f t="shared" si="10"/>
        <v>20.833333333333332</v>
      </c>
      <c r="G57" s="62">
        <f t="shared" si="10"/>
        <v>20.833333333333332</v>
      </c>
      <c r="H57" s="62">
        <f t="shared" si="10"/>
        <v>20.833333333333332</v>
      </c>
      <c r="I57" s="62">
        <f t="shared" si="10"/>
        <v>20.833333333333332</v>
      </c>
      <c r="J57" s="62">
        <f t="shared" si="10"/>
        <v>20.833333333333332</v>
      </c>
      <c r="K57" s="62">
        <f t="shared" si="10"/>
        <v>20.833333333333332</v>
      </c>
      <c r="L57" s="62">
        <f t="shared" si="10"/>
        <v>20.833333333333332</v>
      </c>
      <c r="M57" s="62">
        <f t="shared" si="10"/>
        <v>20.833333333333332</v>
      </c>
      <c r="N57" s="62">
        <f t="shared" si="10"/>
        <v>20.833333333333332</v>
      </c>
    </row>
    <row r="58" spans="1:15" x14ac:dyDescent="0.2">
      <c r="A58" s="61" t="str">
        <f>CMS!A58</f>
        <v>Travel</v>
      </c>
      <c r="B58" s="419">
        <f>SUM(C58:N58)</f>
        <v>2500</v>
      </c>
      <c r="C58" s="62">
        <v>250</v>
      </c>
      <c r="D58" s="62">
        <v>250</v>
      </c>
      <c r="E58" s="62">
        <v>250</v>
      </c>
      <c r="F58" s="62">
        <v>250</v>
      </c>
      <c r="G58" s="62">
        <v>250</v>
      </c>
      <c r="H58" s="62">
        <v>250</v>
      </c>
      <c r="I58" s="62">
        <f>SUM(10*'Data Links'!$B$20)</f>
        <v>0</v>
      </c>
      <c r="J58" s="62">
        <f>SUM(10*'Data Links'!$B$20)</f>
        <v>0</v>
      </c>
      <c r="K58" s="62">
        <v>250</v>
      </c>
      <c r="L58" s="62">
        <v>250</v>
      </c>
      <c r="M58" s="62">
        <v>250</v>
      </c>
      <c r="N58" s="62">
        <v>250</v>
      </c>
    </row>
    <row r="59" spans="1:15" x14ac:dyDescent="0.2">
      <c r="A59" s="61" t="str">
        <f>CMS!A59</f>
        <v>Recognition</v>
      </c>
      <c r="B59" s="63">
        <f>SUM(C59:N59)</f>
        <v>0</v>
      </c>
      <c r="C59" s="62"/>
      <c r="D59" s="62"/>
      <c r="E59" s="62"/>
      <c r="F59" s="62"/>
      <c r="G59" s="62"/>
      <c r="H59" s="62"/>
      <c r="I59" s="62"/>
      <c r="J59" s="62"/>
      <c r="K59" s="62"/>
      <c r="L59" s="62"/>
      <c r="M59" s="62"/>
      <c r="N59" s="62"/>
    </row>
    <row r="60" spans="1:15" x14ac:dyDescent="0.2">
      <c r="A60" s="61" t="str">
        <f>CMS!A60</f>
        <v>Communications</v>
      </c>
      <c r="B60" s="63">
        <f t="shared" ref="B60:B82" si="11">SUM(C60:N60)</f>
        <v>250</v>
      </c>
      <c r="C60" s="62">
        <v>25</v>
      </c>
      <c r="D60" s="62">
        <v>25</v>
      </c>
      <c r="E60" s="62">
        <v>25</v>
      </c>
      <c r="F60" s="62">
        <v>25</v>
      </c>
      <c r="G60" s="62">
        <v>25</v>
      </c>
      <c r="H60" s="62">
        <v>25</v>
      </c>
      <c r="I60" s="62"/>
      <c r="J60" s="62"/>
      <c r="K60" s="62">
        <v>25</v>
      </c>
      <c r="L60" s="62">
        <v>25</v>
      </c>
      <c r="M60" s="62">
        <v>25</v>
      </c>
      <c r="N60" s="62">
        <v>25</v>
      </c>
    </row>
    <row r="61" spans="1:15" x14ac:dyDescent="0.2">
      <c r="A61" s="61" t="str">
        <f>CMS!A61</f>
        <v>Dues &amp; Subscriptions</v>
      </c>
      <c r="B61" s="63">
        <f t="shared" si="11"/>
        <v>0</v>
      </c>
      <c r="C61" s="62"/>
      <c r="D61" s="62"/>
      <c r="E61" s="62"/>
      <c r="F61" s="62"/>
      <c r="G61" s="62"/>
      <c r="H61" s="62"/>
      <c r="I61" s="62"/>
      <c r="J61" s="62"/>
      <c r="K61" s="62"/>
      <c r="L61" s="62"/>
      <c r="M61" s="62"/>
      <c r="N61" s="62"/>
    </row>
    <row r="62" spans="1:15" x14ac:dyDescent="0.2">
      <c r="A62" s="61" t="str">
        <f>CMS!A62</f>
        <v>Liability Insurance</v>
      </c>
      <c r="B62" s="63">
        <f t="shared" si="11"/>
        <v>747.46830906209914</v>
      </c>
      <c r="C62" s="62">
        <f>SUM('Data Links'!$B$5/'All Employees'!$I$65)/12*HSSP!C102</f>
        <v>72.70645220788586</v>
      </c>
      <c r="D62" s="62">
        <f>SUM('Data Links'!$B$5/'All Employees'!$I$65)/12*HSSP!D102</f>
        <v>72.70645220788586</v>
      </c>
      <c r="E62" s="62">
        <f>SUM('Data Links'!$B$5/'All Employees'!$I$65)/12*HSSP!E102</f>
        <v>72.70645220788586</v>
      </c>
      <c r="F62" s="62">
        <f>SUM('Data Links'!$B$5/'All Employees'!$I$65)/12*HSSP!F102</f>
        <v>72.70645220788586</v>
      </c>
      <c r="G62" s="62">
        <f>SUM('Data Links'!$B$5/'All Employees'!$I$65)/12*HSSP!G102</f>
        <v>72.70645220788586</v>
      </c>
      <c r="H62" s="62">
        <f>SUM('Data Links'!$B$5/'All Employees'!$I$65)/12*HSSP!H102</f>
        <v>72.70645220788586</v>
      </c>
      <c r="I62" s="62">
        <f>SUM('Data Links'!$B$5/'All Employees'!$I$65)/12*HSSP!I102</f>
        <v>10.201893491620346</v>
      </c>
      <c r="J62" s="62">
        <f>SUM('Data Links'!$B$5/'All Employees'!$I$65)/12*HSSP!J102</f>
        <v>10.201893491620346</v>
      </c>
      <c r="K62" s="62">
        <f>SUM('Data Links'!$B$5/'All Employees'!$I$65)/12*HSSP!K102</f>
        <v>72.70645220788586</v>
      </c>
      <c r="L62" s="62">
        <f>SUM('Data Links'!$B$5/'All Employees'!$I$65)/12*HSSP!L102</f>
        <v>72.70645220788586</v>
      </c>
      <c r="M62" s="62">
        <f>SUM('Data Links'!$B$5/'All Employees'!$I$65)/12*HSSP!M102</f>
        <v>72.70645220788586</v>
      </c>
      <c r="N62" s="62">
        <f>SUM('Data Links'!$B$5/'All Employees'!$I$65)/12*HSSP!N102</f>
        <v>72.70645220788586</v>
      </c>
    </row>
    <row r="63" spans="1:15" x14ac:dyDescent="0.2">
      <c r="A63" s="61" t="str">
        <f>CMS!A63</f>
        <v>Professional Services</v>
      </c>
      <c r="B63" s="63">
        <f t="shared" si="11"/>
        <v>0</v>
      </c>
      <c r="C63" s="62"/>
      <c r="D63" s="62"/>
      <c r="E63" s="62"/>
      <c r="F63" s="62"/>
      <c r="G63" s="62"/>
      <c r="H63" s="62"/>
      <c r="I63" s="62"/>
      <c r="J63" s="62"/>
      <c r="K63" s="62"/>
      <c r="L63" s="62"/>
      <c r="M63" s="62"/>
      <c r="N63" s="62"/>
    </row>
    <row r="64" spans="1:15" x14ac:dyDescent="0.2">
      <c r="A64" s="61" t="str">
        <f>CMS!A64</f>
        <v>Legal Fees</v>
      </c>
      <c r="B64" s="63">
        <f t="shared" si="11"/>
        <v>0</v>
      </c>
      <c r="C64" s="62"/>
      <c r="D64" s="62"/>
      <c r="E64" s="62"/>
      <c r="F64" s="62"/>
      <c r="G64" s="62"/>
      <c r="H64" s="62"/>
      <c r="I64" s="62"/>
      <c r="J64" s="62"/>
      <c r="K64" s="62"/>
      <c r="L64" s="62"/>
      <c r="M64" s="62"/>
      <c r="N64" s="62"/>
    </row>
    <row r="65" spans="1:14" x14ac:dyDescent="0.2">
      <c r="A65" s="61" t="str">
        <f>CMS!A65</f>
        <v>Technical Services</v>
      </c>
      <c r="B65" s="63">
        <f t="shared" si="11"/>
        <v>0</v>
      </c>
      <c r="C65" s="62"/>
      <c r="D65" s="62"/>
      <c r="E65" s="62"/>
      <c r="F65" s="62"/>
      <c r="G65" s="62"/>
      <c r="H65" s="62"/>
      <c r="I65" s="62"/>
      <c r="J65" s="62"/>
      <c r="K65" s="62"/>
      <c r="L65" s="62"/>
      <c r="M65" s="62"/>
      <c r="N65" s="62"/>
    </row>
    <row r="66" spans="1:14" x14ac:dyDescent="0.2">
      <c r="A66" s="61" t="str">
        <f>CMS!A66</f>
        <v>Taxes/Licenses &amp; Permits</v>
      </c>
      <c r="B66" s="63">
        <f t="shared" si="11"/>
        <v>0</v>
      </c>
      <c r="C66" s="62"/>
      <c r="D66" s="62"/>
      <c r="E66" s="62"/>
      <c r="F66" s="62"/>
      <c r="G66" s="62"/>
      <c r="H66" s="62"/>
      <c r="I66" s="62"/>
      <c r="J66" s="62"/>
      <c r="K66" s="62"/>
      <c r="L66" s="62"/>
      <c r="M66" s="62"/>
      <c r="N66" s="62"/>
    </row>
    <row r="67" spans="1:14" x14ac:dyDescent="0.2">
      <c r="A67" s="61" t="str">
        <f>CMS!A67</f>
        <v>Small Tools &amp; Equip</v>
      </c>
      <c r="B67" s="63">
        <f t="shared" si="11"/>
        <v>210</v>
      </c>
      <c r="C67" s="62">
        <v>100</v>
      </c>
      <c r="D67" s="62">
        <v>10</v>
      </c>
      <c r="E67" s="62">
        <v>10</v>
      </c>
      <c r="F67" s="62">
        <v>10</v>
      </c>
      <c r="G67" s="62">
        <v>10</v>
      </c>
      <c r="H67" s="62">
        <v>10</v>
      </c>
      <c r="I67" s="62">
        <v>10</v>
      </c>
      <c r="J67" s="62">
        <v>10</v>
      </c>
      <c r="K67" s="62">
        <v>10</v>
      </c>
      <c r="L67" s="62">
        <v>10</v>
      </c>
      <c r="M67" s="62">
        <v>10</v>
      </c>
      <c r="N67" s="62">
        <v>10</v>
      </c>
    </row>
    <row r="68" spans="1:14" x14ac:dyDescent="0.2">
      <c r="A68" s="61" t="str">
        <f>CMS!A68</f>
        <v>Office Supplies</v>
      </c>
      <c r="B68" s="63">
        <f t="shared" si="11"/>
        <v>0</v>
      </c>
      <c r="C68" s="62"/>
      <c r="D68" s="62"/>
      <c r="E68" s="62"/>
      <c r="F68" s="62"/>
      <c r="G68" s="62"/>
      <c r="H68" s="62"/>
      <c r="I68" s="62"/>
      <c r="J68" s="62"/>
      <c r="K68" s="62"/>
      <c r="L68" s="62"/>
      <c r="M68" s="62"/>
      <c r="N68" s="62"/>
    </row>
    <row r="69" spans="1:14" x14ac:dyDescent="0.2">
      <c r="A69" s="61" t="str">
        <f>CMS!A69</f>
        <v>Program Supplies</v>
      </c>
      <c r="B69" s="63">
        <f t="shared" si="11"/>
        <v>0</v>
      </c>
      <c r="C69" s="62"/>
      <c r="D69" s="62"/>
      <c r="E69" s="62"/>
      <c r="F69" s="62"/>
      <c r="G69" s="62"/>
      <c r="H69" s="62"/>
      <c r="I69" s="62"/>
      <c r="J69" s="62"/>
      <c r="K69" s="62"/>
      <c r="L69" s="62"/>
      <c r="M69" s="62"/>
      <c r="N69" s="62"/>
    </row>
    <row r="70" spans="1:14" x14ac:dyDescent="0.2">
      <c r="A70" s="61" t="str">
        <f>CMS!A70</f>
        <v>Advertising</v>
      </c>
      <c r="B70" s="63">
        <f t="shared" si="11"/>
        <v>0</v>
      </c>
      <c r="C70" s="62"/>
      <c r="D70" s="62"/>
      <c r="E70" s="62"/>
      <c r="F70" s="62"/>
      <c r="G70" s="62"/>
      <c r="H70" s="62"/>
      <c r="I70" s="62"/>
      <c r="J70" s="62"/>
      <c r="K70" s="62"/>
      <c r="L70" s="62"/>
      <c r="M70" s="62"/>
      <c r="N70" s="62"/>
    </row>
    <row r="71" spans="1:14" x14ac:dyDescent="0.2">
      <c r="A71" s="61" t="str">
        <f>CMS!A71</f>
        <v>Repairs &amp; Maintenance</v>
      </c>
      <c r="B71" s="63">
        <f t="shared" si="11"/>
        <v>0</v>
      </c>
      <c r="C71" s="62"/>
      <c r="D71" s="62"/>
      <c r="E71" s="62"/>
      <c r="F71" s="62"/>
      <c r="G71" s="62"/>
      <c r="H71" s="62"/>
      <c r="I71" s="62"/>
      <c r="J71" s="62"/>
      <c r="K71" s="62"/>
      <c r="L71" s="62"/>
      <c r="M71" s="62"/>
      <c r="N71" s="62"/>
    </row>
    <row r="72" spans="1:14" x14ac:dyDescent="0.2">
      <c r="A72" s="354" t="str">
        <f>CMS!A72</f>
        <v>Client Expense</v>
      </c>
      <c r="B72" s="63">
        <f t="shared" si="11"/>
        <v>9750</v>
      </c>
      <c r="C72" s="352">
        <f>SUM(C10)</f>
        <v>975</v>
      </c>
      <c r="D72" s="352">
        <f t="shared" ref="D72:N72" si="12">SUM(D10)</f>
        <v>975</v>
      </c>
      <c r="E72" s="352">
        <f t="shared" si="12"/>
        <v>975</v>
      </c>
      <c r="F72" s="352">
        <f t="shared" si="12"/>
        <v>975</v>
      </c>
      <c r="G72" s="352">
        <f t="shared" si="12"/>
        <v>975</v>
      </c>
      <c r="H72" s="352">
        <f t="shared" si="12"/>
        <v>975</v>
      </c>
      <c r="I72" s="352">
        <f t="shared" si="12"/>
        <v>0</v>
      </c>
      <c r="J72" s="352">
        <f t="shared" si="12"/>
        <v>0</v>
      </c>
      <c r="K72" s="352">
        <f t="shared" si="12"/>
        <v>975</v>
      </c>
      <c r="L72" s="352">
        <f t="shared" si="12"/>
        <v>975</v>
      </c>
      <c r="M72" s="352">
        <f t="shared" si="12"/>
        <v>975</v>
      </c>
      <c r="N72" s="352">
        <f t="shared" si="12"/>
        <v>975</v>
      </c>
    </row>
    <row r="73" spans="1:14" x14ac:dyDescent="0.2">
      <c r="A73" s="61" t="str">
        <f>CMS!A73</f>
        <v>Printing</v>
      </c>
      <c r="B73" s="63">
        <f t="shared" si="11"/>
        <v>0</v>
      </c>
      <c r="C73" s="62"/>
      <c r="D73" s="62"/>
      <c r="E73" s="62"/>
      <c r="F73" s="62"/>
      <c r="G73" s="62"/>
      <c r="H73" s="62"/>
      <c r="I73" s="62"/>
      <c r="J73" s="62"/>
      <c r="K73" s="62"/>
      <c r="L73" s="62"/>
      <c r="M73" s="62"/>
      <c r="N73" s="62"/>
    </row>
    <row r="74" spans="1:14" x14ac:dyDescent="0.2">
      <c r="A74" s="61" t="str">
        <f>CMS!A74</f>
        <v>Postage</v>
      </c>
      <c r="B74" s="63">
        <f t="shared" si="11"/>
        <v>0</v>
      </c>
      <c r="C74" s="62"/>
      <c r="D74" s="62"/>
      <c r="E74" s="62"/>
      <c r="F74" s="62"/>
      <c r="G74" s="62"/>
      <c r="H74" s="62"/>
      <c r="I74" s="62"/>
      <c r="J74" s="62"/>
      <c r="K74" s="62"/>
      <c r="L74" s="62"/>
      <c r="M74" s="62"/>
      <c r="N74" s="62"/>
    </row>
    <row r="75" spans="1:14" ht="12.75" customHeight="1" x14ac:dyDescent="0.2">
      <c r="A75" s="90" t="str">
        <f>CMS!A75</f>
        <v>Rent/Lease Expense</v>
      </c>
      <c r="B75" s="419">
        <f t="shared" si="11"/>
        <v>0</v>
      </c>
      <c r="C75" s="93">
        <f>SUM(C9)</f>
        <v>0</v>
      </c>
      <c r="D75" s="93">
        <f t="shared" ref="D75:N75" si="13">SUM(D9)</f>
        <v>0</v>
      </c>
      <c r="E75" s="93">
        <f t="shared" si="13"/>
        <v>0</v>
      </c>
      <c r="F75" s="93">
        <f t="shared" si="13"/>
        <v>0</v>
      </c>
      <c r="G75" s="93">
        <f t="shared" si="13"/>
        <v>0</v>
      </c>
      <c r="H75" s="93">
        <f t="shared" si="13"/>
        <v>0</v>
      </c>
      <c r="I75" s="93">
        <f t="shared" si="13"/>
        <v>0</v>
      </c>
      <c r="J75" s="93">
        <f t="shared" si="13"/>
        <v>0</v>
      </c>
      <c r="K75" s="93">
        <f t="shared" si="13"/>
        <v>0</v>
      </c>
      <c r="L75" s="93">
        <f t="shared" si="13"/>
        <v>0</v>
      </c>
      <c r="M75" s="93">
        <f t="shared" si="13"/>
        <v>0</v>
      </c>
      <c r="N75" s="93">
        <f t="shared" si="13"/>
        <v>0</v>
      </c>
    </row>
    <row r="76" spans="1:14" x14ac:dyDescent="0.2">
      <c r="A76" s="61" t="str">
        <f>CMS!A76</f>
        <v>Utilities</v>
      </c>
      <c r="B76" s="63">
        <f t="shared" si="11"/>
        <v>0</v>
      </c>
      <c r="C76" s="62"/>
      <c r="D76" s="62"/>
      <c r="E76" s="62"/>
      <c r="F76" s="62"/>
      <c r="G76" s="62"/>
      <c r="H76" s="62"/>
      <c r="I76" s="62"/>
      <c r="J76" s="62"/>
      <c r="K76" s="62"/>
      <c r="L76" s="62"/>
      <c r="M76" s="62"/>
      <c r="N76" s="62"/>
    </row>
    <row r="77" spans="1:14" x14ac:dyDescent="0.2">
      <c r="A77" s="61" t="str">
        <f>CMS!A77</f>
        <v>Bank Fees/Late Fees</v>
      </c>
      <c r="B77" s="63">
        <f t="shared" si="11"/>
        <v>0</v>
      </c>
      <c r="C77" s="62"/>
      <c r="D77" s="62"/>
      <c r="E77" s="62"/>
      <c r="F77" s="62"/>
      <c r="G77" s="62"/>
      <c r="H77" s="62"/>
      <c r="I77" s="62"/>
      <c r="J77" s="62"/>
      <c r="K77" s="62"/>
      <c r="L77" s="62"/>
      <c r="M77" s="62"/>
      <c r="N77" s="62"/>
    </row>
    <row r="78" spans="1:14" x14ac:dyDescent="0.2">
      <c r="A78" s="61" t="str">
        <f>CMS!A78</f>
        <v>Bad Debt Expense</v>
      </c>
      <c r="B78" s="63">
        <f t="shared" si="11"/>
        <v>0</v>
      </c>
      <c r="C78" s="62"/>
      <c r="D78" s="62"/>
      <c r="E78" s="62"/>
      <c r="F78" s="62"/>
      <c r="G78" s="62"/>
      <c r="H78" s="62"/>
      <c r="I78" s="62"/>
      <c r="J78" s="62"/>
      <c r="K78" s="62"/>
      <c r="L78" s="62"/>
      <c r="M78" s="62"/>
      <c r="N78" s="62"/>
    </row>
    <row r="79" spans="1:14" x14ac:dyDescent="0.2">
      <c r="A79" s="61" t="str">
        <f>CMS!A79</f>
        <v>Interest Expense</v>
      </c>
      <c r="B79" s="63">
        <f t="shared" si="11"/>
        <v>0</v>
      </c>
      <c r="C79" s="62"/>
      <c r="D79" s="62"/>
      <c r="E79" s="62"/>
      <c r="F79" s="62"/>
      <c r="G79" s="62"/>
      <c r="H79" s="62"/>
      <c r="I79" s="62"/>
      <c r="J79" s="62"/>
      <c r="K79" s="62"/>
      <c r="L79" s="62"/>
      <c r="M79" s="62"/>
      <c r="N79" s="62"/>
    </row>
    <row r="80" spans="1:14" x14ac:dyDescent="0.2">
      <c r="A80" s="61" t="str">
        <f>CMS!A80</f>
        <v>Meeting Expense</v>
      </c>
      <c r="B80" s="63">
        <f t="shared" si="11"/>
        <v>0</v>
      </c>
      <c r="C80" s="62"/>
      <c r="D80" s="62"/>
      <c r="E80" s="62"/>
      <c r="F80" s="62"/>
      <c r="G80" s="62"/>
      <c r="H80" s="62"/>
      <c r="I80" s="62"/>
      <c r="J80" s="62"/>
      <c r="K80" s="62"/>
      <c r="L80" s="62"/>
      <c r="M80" s="62"/>
      <c r="N80" s="62"/>
    </row>
    <row r="81" spans="1:15" x14ac:dyDescent="0.2">
      <c r="A81" s="61" t="str">
        <f>CMS!A81</f>
        <v>In Kind Expense</v>
      </c>
      <c r="B81" s="63">
        <f t="shared" si="11"/>
        <v>0</v>
      </c>
      <c r="C81" s="62"/>
      <c r="D81" s="62"/>
      <c r="E81" s="62"/>
      <c r="F81" s="62"/>
      <c r="G81" s="62"/>
      <c r="H81" s="62"/>
      <c r="I81" s="62"/>
      <c r="J81" s="62"/>
      <c r="K81" s="62"/>
      <c r="L81" s="62"/>
      <c r="M81" s="62"/>
      <c r="N81" s="62"/>
    </row>
    <row r="82" spans="1:15" s="101" customFormat="1" ht="13.5" thickBot="1" x14ac:dyDescent="0.25">
      <c r="A82" s="244" t="str">
        <f>CMS!A82</f>
        <v>Misc Expense</v>
      </c>
      <c r="B82" s="63">
        <f t="shared" si="11"/>
        <v>1661.0000000000002</v>
      </c>
      <c r="C82" s="62">
        <f>SUM(1661/12)</f>
        <v>138.41666666666666</v>
      </c>
      <c r="D82" s="62">
        <f t="shared" ref="D82:N82" si="14">SUM(1661/12)</f>
        <v>138.41666666666666</v>
      </c>
      <c r="E82" s="62">
        <f t="shared" si="14"/>
        <v>138.41666666666666</v>
      </c>
      <c r="F82" s="62">
        <f t="shared" si="14"/>
        <v>138.41666666666666</v>
      </c>
      <c r="G82" s="62">
        <f t="shared" si="14"/>
        <v>138.41666666666666</v>
      </c>
      <c r="H82" s="62">
        <f t="shared" si="14"/>
        <v>138.41666666666666</v>
      </c>
      <c r="I82" s="62">
        <f t="shared" si="14"/>
        <v>138.41666666666666</v>
      </c>
      <c r="J82" s="62">
        <f t="shared" si="14"/>
        <v>138.41666666666666</v>
      </c>
      <c r="K82" s="62">
        <f t="shared" si="14"/>
        <v>138.41666666666666</v>
      </c>
      <c r="L82" s="62">
        <f t="shared" si="14"/>
        <v>138.41666666666666</v>
      </c>
      <c r="M82" s="62">
        <f t="shared" si="14"/>
        <v>138.41666666666666</v>
      </c>
      <c r="N82" s="62">
        <f t="shared" si="14"/>
        <v>138.41666666666666</v>
      </c>
    </row>
    <row r="83" spans="1:15" x14ac:dyDescent="0.2">
      <c r="A83" s="64" t="s">
        <v>24</v>
      </c>
      <c r="B83" s="65">
        <f>SUM(B57:B82)</f>
        <v>15368.4683090621</v>
      </c>
      <c r="C83" s="65">
        <f t="shared" ref="C83:N83" si="15">SUM(C57:C82)</f>
        <v>1581.9564522078861</v>
      </c>
      <c r="D83" s="65">
        <f t="shared" si="15"/>
        <v>1491.9564522078861</v>
      </c>
      <c r="E83" s="65">
        <f t="shared" si="15"/>
        <v>1491.9564522078861</v>
      </c>
      <c r="F83" s="65">
        <f t="shared" si="15"/>
        <v>1491.9564522078861</v>
      </c>
      <c r="G83" s="65">
        <f t="shared" si="15"/>
        <v>1491.9564522078861</v>
      </c>
      <c r="H83" s="65">
        <f t="shared" si="15"/>
        <v>1491.9564522078861</v>
      </c>
      <c r="I83" s="65">
        <f t="shared" si="15"/>
        <v>179.45189349162035</v>
      </c>
      <c r="J83" s="65">
        <f t="shared" si="15"/>
        <v>179.45189349162035</v>
      </c>
      <c r="K83" s="65">
        <f t="shared" si="15"/>
        <v>1491.9564522078861</v>
      </c>
      <c r="L83" s="65">
        <f t="shared" si="15"/>
        <v>1491.9564522078861</v>
      </c>
      <c r="M83" s="65">
        <f t="shared" si="15"/>
        <v>1491.9564522078861</v>
      </c>
      <c r="N83" s="65">
        <f t="shared" si="15"/>
        <v>1491.9564522078861</v>
      </c>
    </row>
    <row r="84" spans="1:15" x14ac:dyDescent="0.2">
      <c r="C84" s="60"/>
      <c r="D84" s="66"/>
      <c r="E84" s="66"/>
      <c r="F84" s="66"/>
      <c r="G84" s="66"/>
      <c r="H84" s="66"/>
      <c r="I84" s="66"/>
      <c r="J84" s="66"/>
      <c r="K84" s="66"/>
      <c r="L84" s="66"/>
      <c r="M84" s="66"/>
      <c r="N84" s="66"/>
    </row>
    <row r="85" spans="1:15" x14ac:dyDescent="0.2">
      <c r="C85" s="60"/>
      <c r="D85" s="66"/>
      <c r="E85" s="66"/>
      <c r="F85" s="66"/>
      <c r="G85" s="66"/>
      <c r="H85" s="66"/>
      <c r="I85" s="66"/>
      <c r="J85" s="66"/>
      <c r="K85" s="66"/>
      <c r="L85" s="66"/>
      <c r="M85" s="66"/>
      <c r="N85" s="66"/>
    </row>
    <row r="86" spans="1:15" x14ac:dyDescent="0.2">
      <c r="A86" s="58" t="s">
        <v>25</v>
      </c>
      <c r="C86" s="60"/>
      <c r="D86" s="66"/>
      <c r="E86" s="66"/>
      <c r="F86" s="66"/>
      <c r="G86" s="66"/>
      <c r="H86" s="66"/>
      <c r="I86" s="66"/>
      <c r="J86" s="66"/>
      <c r="K86" s="66"/>
      <c r="L86" s="66"/>
      <c r="M86" s="66"/>
      <c r="N86" s="66"/>
    </row>
    <row r="87" spans="1:15" x14ac:dyDescent="0.2">
      <c r="A87" s="90" t="s">
        <v>329</v>
      </c>
      <c r="B87" s="63">
        <f>SUM(C87:N87)</f>
        <v>-3556.5401536765494</v>
      </c>
      <c r="C87" s="62">
        <f>SUM('CMS &amp; Fundraising Allocations'!B50)</f>
        <v>-674.5469974084906</v>
      </c>
      <c r="D87" s="62">
        <f>SUM('CMS &amp; Fundraising Allocations'!C50)</f>
        <v>-1162.8210119631947</v>
      </c>
      <c r="E87" s="62">
        <f>SUM('CMS &amp; Fundraising Allocations'!D50)</f>
        <v>-1742.2267813360595</v>
      </c>
      <c r="F87" s="62">
        <f>SUM('CMS &amp; Fundraising Allocations'!E50)</f>
        <v>-1164.0938018349568</v>
      </c>
      <c r="G87" s="62">
        <f>SUM('CMS &amp; Fundraising Allocations'!F50)</f>
        <v>-1105.5136479871098</v>
      </c>
      <c r="H87" s="62">
        <f>SUM('CMS &amp; Fundraising Allocations'!G50)</f>
        <v>-1321.9197459334471</v>
      </c>
      <c r="I87" s="62">
        <f>SUM('CMS &amp; Fundraising Allocations'!H50)</f>
        <v>-42.612326571525877</v>
      </c>
      <c r="J87" s="62">
        <f>SUM('CMS &amp; Fundraising Allocations'!I50)</f>
        <v>-156.46539291664121</v>
      </c>
      <c r="K87" s="62">
        <f>SUM('CMS &amp; Fundraising Allocations'!J50)</f>
        <v>-1140.9926656624762</v>
      </c>
      <c r="L87" s="62">
        <f>SUM('CMS &amp; Fundraising Allocations'!K50)</f>
        <v>-1006.5860552044071</v>
      </c>
      <c r="M87" s="62">
        <f>SUM('CMS &amp; Fundraising Allocations'!L50)</f>
        <v>976.00690829249459</v>
      </c>
      <c r="N87" s="62">
        <f>SUM('CMS &amp; Fundraising Allocations'!M50)</f>
        <v>4985.2313648492654</v>
      </c>
    </row>
    <row r="88" spans="1:15" x14ac:dyDescent="0.2">
      <c r="A88" s="61" t="s">
        <v>330</v>
      </c>
      <c r="B88" s="63">
        <f>SUM(C88:N88)</f>
        <v>-1323.0954385764153</v>
      </c>
      <c r="C88" s="62">
        <f>SUM(-'1020 N State Allocations'!B50)</f>
        <v>-132.55521795238931</v>
      </c>
      <c r="D88" s="62">
        <f>SUM(-'1020 N State Allocations'!C50)</f>
        <v>-132.55521795238931</v>
      </c>
      <c r="E88" s="62">
        <f>SUM(-'1020 N State Allocations'!D50)</f>
        <v>-132.55521795238931</v>
      </c>
      <c r="F88" s="62">
        <f>SUM(-'1020 N State Allocations'!E50)</f>
        <v>-132.98549729683344</v>
      </c>
      <c r="G88" s="62">
        <f>SUM(-'1020 N State Allocations'!F50)</f>
        <v>-131.91499441142292</v>
      </c>
      <c r="H88" s="62">
        <f>SUM(-'1020 N State Allocations'!G50)</f>
        <v>-128.72351413722993</v>
      </c>
      <c r="I88" s="62">
        <f>SUM(-'1020 N State Allocations'!H50)</f>
        <v>-17.565282748495907</v>
      </c>
      <c r="J88" s="62">
        <f>SUM(-'1020 N State Allocations'!I50)</f>
        <v>-17.565282748495907</v>
      </c>
      <c r="K88" s="62">
        <f>SUM(-'1020 N State Allocations'!J50)</f>
        <v>-124.02767797645254</v>
      </c>
      <c r="L88" s="62">
        <f>SUM(-'1020 N State Allocations'!K50)</f>
        <v>-124.02767797645254</v>
      </c>
      <c r="M88" s="62">
        <f>SUM(-'1020 N State Allocations'!L50)</f>
        <v>-124.30992871193206</v>
      </c>
      <c r="N88" s="62">
        <f>SUM(-'1020 N State Allocations'!M50)</f>
        <v>-124.30992871193206</v>
      </c>
    </row>
    <row r="89" spans="1:15" ht="13.5" thickBot="1" x14ac:dyDescent="0.25">
      <c r="A89" s="61"/>
      <c r="B89" s="63">
        <f>SUM(C89:N89)</f>
        <v>0</v>
      </c>
      <c r="C89" s="63"/>
      <c r="D89" s="62"/>
      <c r="E89" s="62"/>
      <c r="F89" s="62"/>
      <c r="G89" s="62"/>
      <c r="H89" s="62"/>
      <c r="I89" s="62"/>
      <c r="J89" s="62"/>
      <c r="K89" s="62"/>
      <c r="L89" s="62"/>
      <c r="M89" s="62"/>
      <c r="N89" s="62"/>
    </row>
    <row r="90" spans="1:15" x14ac:dyDescent="0.2">
      <c r="A90" s="64" t="s">
        <v>26</v>
      </c>
      <c r="B90" s="65">
        <f t="shared" ref="B90:N90" si="16">SUM(B87:B89)</f>
        <v>-4879.6355922529647</v>
      </c>
      <c r="C90" s="65">
        <f t="shared" si="16"/>
        <v>-807.10221536087988</v>
      </c>
      <c r="D90" s="65">
        <f t="shared" si="16"/>
        <v>-1295.376229915584</v>
      </c>
      <c r="E90" s="65">
        <f t="shared" si="16"/>
        <v>-1874.7819992884488</v>
      </c>
      <c r="F90" s="65">
        <f t="shared" si="16"/>
        <v>-1297.0792991317903</v>
      </c>
      <c r="G90" s="65">
        <f t="shared" si="16"/>
        <v>-1237.4286423985327</v>
      </c>
      <c r="H90" s="65">
        <f t="shared" si="16"/>
        <v>-1450.6432600706771</v>
      </c>
      <c r="I90" s="65">
        <f t="shared" si="16"/>
        <v>-60.177609320021787</v>
      </c>
      <c r="J90" s="65">
        <f t="shared" si="16"/>
        <v>-174.03067566513712</v>
      </c>
      <c r="K90" s="65">
        <f t="shared" si="16"/>
        <v>-1265.0203436389288</v>
      </c>
      <c r="L90" s="65">
        <f t="shared" si="16"/>
        <v>-1130.6137331808595</v>
      </c>
      <c r="M90" s="65">
        <f t="shared" si="16"/>
        <v>851.69697958056258</v>
      </c>
      <c r="N90" s="65">
        <f t="shared" si="16"/>
        <v>4860.9214361373333</v>
      </c>
      <c r="O90" s="140">
        <f>SUM(C87:N88)</f>
        <v>-4879.6355922529647</v>
      </c>
    </row>
    <row r="91" spans="1:15" x14ac:dyDescent="0.2">
      <c r="C91" s="60"/>
      <c r="D91" s="66"/>
      <c r="E91" s="60"/>
      <c r="F91" s="66"/>
      <c r="G91" s="66"/>
      <c r="H91" s="66"/>
      <c r="I91" s="66"/>
      <c r="J91" s="66"/>
      <c r="K91" s="66"/>
      <c r="L91" s="66"/>
      <c r="M91" s="66"/>
      <c r="N91" s="66"/>
    </row>
    <row r="92" spans="1:15" x14ac:dyDescent="0.2">
      <c r="A92" s="265" t="s">
        <v>405</v>
      </c>
      <c r="B92" s="266"/>
      <c r="C92" s="266">
        <f>SUM(C46-C53-C83-C90)</f>
        <v>1325.1457631529938</v>
      </c>
      <c r="D92" s="266">
        <f t="shared" ref="D92:N92" si="17">SUM(D46-D53-D83-D90)</f>
        <v>1903.4197777076979</v>
      </c>
      <c r="E92" s="266">
        <f t="shared" si="17"/>
        <v>2482.8255470805625</v>
      </c>
      <c r="F92" s="266">
        <f t="shared" si="17"/>
        <v>1905.1228469239043</v>
      </c>
      <c r="G92" s="266">
        <f t="shared" si="17"/>
        <v>1845.4721901906466</v>
      </c>
      <c r="H92" s="266">
        <f t="shared" si="17"/>
        <v>2058.6868078627913</v>
      </c>
      <c r="I92" s="266">
        <f t="shared" si="17"/>
        <v>-1345.8333494302194</v>
      </c>
      <c r="J92" s="266">
        <f t="shared" si="17"/>
        <v>-1202.9440330851039</v>
      </c>
      <c r="K92" s="266">
        <f t="shared" si="17"/>
        <v>1873.0638914310427</v>
      </c>
      <c r="L92" s="266">
        <f t="shared" si="17"/>
        <v>1738.6572809729735</v>
      </c>
      <c r="M92" s="266">
        <f t="shared" si="17"/>
        <v>-243.65343178844864</v>
      </c>
      <c r="N92" s="267">
        <f t="shared" si="17"/>
        <v>-4252.8778883452196</v>
      </c>
    </row>
    <row r="93" spans="1:15" x14ac:dyDescent="0.2">
      <c r="C93" s="60"/>
      <c r="D93" s="66"/>
      <c r="E93" s="60"/>
      <c r="F93" s="66"/>
      <c r="G93" s="66"/>
      <c r="H93" s="66"/>
      <c r="I93" s="66"/>
      <c r="J93" s="66"/>
      <c r="K93" s="66"/>
      <c r="L93" s="66"/>
      <c r="M93" s="66"/>
      <c r="N93" s="66"/>
    </row>
    <row r="94" spans="1:15" x14ac:dyDescent="0.2">
      <c r="B94" s="86" t="str">
        <f>B5</f>
        <v>Total</v>
      </c>
      <c r="C94" s="86"/>
      <c r="D94" s="66"/>
      <c r="E94" s="66"/>
      <c r="F94" s="66"/>
      <c r="G94" s="66"/>
      <c r="H94" s="66"/>
      <c r="I94" s="66"/>
      <c r="J94" s="66"/>
      <c r="K94" s="66"/>
      <c r="L94" s="66"/>
      <c r="M94" s="66"/>
      <c r="N94" s="66"/>
    </row>
    <row r="95" spans="1:15" x14ac:dyDescent="0.2">
      <c r="A95" s="58" t="s">
        <v>31</v>
      </c>
      <c r="B95" s="60">
        <f>SUM(B46)</f>
        <v>70064.154652586207</v>
      </c>
      <c r="C95" s="81"/>
      <c r="D95" s="66"/>
      <c r="E95" s="66"/>
      <c r="F95" s="66"/>
      <c r="G95" s="66"/>
      <c r="H95" s="66"/>
      <c r="I95" s="66"/>
      <c r="J95" s="66"/>
      <c r="K95" s="66"/>
      <c r="L95" s="66"/>
      <c r="M95" s="66"/>
      <c r="N95" s="66"/>
    </row>
    <row r="96" spans="1:15" x14ac:dyDescent="0.2">
      <c r="A96" s="58" t="s">
        <v>32</v>
      </c>
      <c r="B96" s="60">
        <f>-B53</f>
        <v>-51488.236533103453</v>
      </c>
      <c r="C96" s="81"/>
      <c r="D96" s="66"/>
      <c r="E96" s="66"/>
      <c r="F96" s="66"/>
      <c r="G96" s="66"/>
      <c r="H96" s="66"/>
      <c r="I96" s="66"/>
      <c r="J96" s="66"/>
      <c r="K96" s="66"/>
      <c r="L96" s="66"/>
      <c r="M96" s="66"/>
      <c r="N96" s="66"/>
    </row>
    <row r="97" spans="1:14" x14ac:dyDescent="0.2">
      <c r="A97" s="58" t="s">
        <v>33</v>
      </c>
      <c r="B97" s="60">
        <f>SUM(-B83)</f>
        <v>-15368.4683090621</v>
      </c>
      <c r="C97" s="81"/>
      <c r="D97" s="66"/>
      <c r="E97" s="66"/>
      <c r="F97" s="66"/>
      <c r="G97" s="66"/>
      <c r="H97" s="66"/>
      <c r="I97" s="66"/>
      <c r="J97" s="66"/>
      <c r="K97" s="66"/>
      <c r="L97" s="66"/>
      <c r="M97" s="66"/>
      <c r="N97" s="66"/>
    </row>
    <row r="98" spans="1:14" x14ac:dyDescent="0.2">
      <c r="A98" s="58" t="s">
        <v>182</v>
      </c>
      <c r="B98" s="60">
        <f>SUM(B90)</f>
        <v>-4879.6355922529647</v>
      </c>
      <c r="C98" s="81"/>
      <c r="D98" s="66"/>
      <c r="E98" s="66"/>
      <c r="F98" s="73"/>
      <c r="G98" s="66"/>
      <c r="H98" s="66"/>
      <c r="I98" s="66"/>
      <c r="J98" s="66"/>
      <c r="K98" s="66"/>
      <c r="L98" s="66"/>
      <c r="M98" s="66"/>
      <c r="N98" s="66"/>
    </row>
    <row r="99" spans="1:14" x14ac:dyDescent="0.2">
      <c r="A99" s="87" t="s">
        <v>35</v>
      </c>
      <c r="B99" s="88">
        <f>SUM(B95:B98)</f>
        <v>-1672.1857818323106</v>
      </c>
      <c r="C99" s="81"/>
      <c r="D99" s="66"/>
      <c r="E99" s="73"/>
      <c r="F99" s="73"/>
      <c r="G99" s="208"/>
      <c r="H99" s="81"/>
      <c r="I99" s="66"/>
      <c r="J99" s="66"/>
      <c r="K99" s="66"/>
      <c r="L99" s="66"/>
      <c r="M99" s="66"/>
      <c r="N99" s="66"/>
    </row>
    <row r="100" spans="1:14" x14ac:dyDescent="0.2">
      <c r="C100" s="81"/>
      <c r="D100" s="66"/>
      <c r="E100" s="66"/>
      <c r="F100" s="209"/>
      <c r="G100" s="73"/>
      <c r="H100" s="66"/>
      <c r="I100" s="66"/>
      <c r="J100" s="66"/>
      <c r="K100" s="66"/>
      <c r="L100" s="66"/>
      <c r="M100" s="66"/>
      <c r="N100" s="66"/>
    </row>
    <row r="101" spans="1:14" x14ac:dyDescent="0.2">
      <c r="C101" s="60"/>
      <c r="D101" s="66"/>
      <c r="E101" s="66"/>
      <c r="F101" s="66"/>
      <c r="G101" s="66"/>
      <c r="H101" s="66"/>
      <c r="I101" s="66"/>
      <c r="J101" s="66"/>
      <c r="K101" s="66"/>
      <c r="L101" s="66"/>
      <c r="M101" s="66"/>
      <c r="N101" s="66"/>
    </row>
    <row r="102" spans="1:14" x14ac:dyDescent="0.2">
      <c r="A102" s="58"/>
      <c r="B102" s="60" t="s">
        <v>183</v>
      </c>
      <c r="C102" s="75">
        <f>SUM(C108+C121+C134+C147+C160+C173+C186+C199)</f>
        <v>1.1632183908045979</v>
      </c>
      <c r="D102" s="75">
        <f t="shared" ref="D102:N102" si="18">SUM(D108+D121+D134+D147+D160+D173+D186+D199)</f>
        <v>1.1632183908045979</v>
      </c>
      <c r="E102" s="75">
        <f t="shared" si="18"/>
        <v>1.1632183908045979</v>
      </c>
      <c r="F102" s="75">
        <f t="shared" si="18"/>
        <v>1.1632183908045979</v>
      </c>
      <c r="G102" s="75">
        <f t="shared" si="18"/>
        <v>1.1632183908045979</v>
      </c>
      <c r="H102" s="75">
        <f t="shared" si="18"/>
        <v>1.1632183908045979</v>
      </c>
      <c r="I102" s="75">
        <f t="shared" si="18"/>
        <v>0.16321839080459771</v>
      </c>
      <c r="J102" s="75">
        <f t="shared" si="18"/>
        <v>0.16321839080459771</v>
      </c>
      <c r="K102" s="75">
        <f t="shared" si="18"/>
        <v>1.1632183908045979</v>
      </c>
      <c r="L102" s="75">
        <f t="shared" si="18"/>
        <v>1.1632183908045979</v>
      </c>
      <c r="M102" s="75">
        <f t="shared" si="18"/>
        <v>1.1632183908045979</v>
      </c>
      <c r="N102" s="75">
        <f t="shared" si="18"/>
        <v>1.1632183908045979</v>
      </c>
    </row>
    <row r="103" spans="1:14" x14ac:dyDescent="0.2">
      <c r="A103" s="58"/>
      <c r="C103" s="73"/>
      <c r="D103" s="66"/>
      <c r="E103" s="66"/>
      <c r="F103" s="66"/>
      <c r="G103" s="66"/>
      <c r="H103" s="66"/>
      <c r="I103" s="66"/>
      <c r="J103" s="66"/>
      <c r="K103" s="66"/>
      <c r="L103" s="66"/>
      <c r="M103" s="66"/>
    </row>
    <row r="104" spans="1:14" x14ac:dyDescent="0.2">
      <c r="A104" s="116" t="s">
        <v>184</v>
      </c>
      <c r="B104" s="92"/>
      <c r="C104" s="25"/>
      <c r="D104" s="91"/>
      <c r="E104" s="91"/>
      <c r="F104" s="91"/>
      <c r="G104" s="91"/>
      <c r="H104" s="91"/>
      <c r="I104" s="91"/>
      <c r="J104" s="91"/>
      <c r="K104" s="91"/>
      <c r="L104" s="91"/>
      <c r="M104" s="91"/>
      <c r="N104" s="27"/>
    </row>
    <row r="105" spans="1:14" x14ac:dyDescent="0.2">
      <c r="C105" s="89" t="str">
        <f t="shared" ref="C105:N105" si="19">C5</f>
        <v>January</v>
      </c>
      <c r="D105" s="89" t="str">
        <f t="shared" si="19"/>
        <v>February</v>
      </c>
      <c r="E105" s="89" t="str">
        <f t="shared" si="19"/>
        <v>March</v>
      </c>
      <c r="F105" s="89" t="str">
        <f t="shared" si="19"/>
        <v>April</v>
      </c>
      <c r="G105" s="89" t="str">
        <f t="shared" si="19"/>
        <v>May</v>
      </c>
      <c r="H105" s="89" t="str">
        <f t="shared" si="19"/>
        <v>June</v>
      </c>
      <c r="I105" s="89" t="str">
        <f t="shared" si="19"/>
        <v>July</v>
      </c>
      <c r="J105" s="89" t="str">
        <f t="shared" si="19"/>
        <v>August</v>
      </c>
      <c r="K105" s="89" t="str">
        <f t="shared" si="19"/>
        <v>September</v>
      </c>
      <c r="L105" s="89" t="str">
        <f t="shared" si="19"/>
        <v>October</v>
      </c>
      <c r="M105" s="89" t="str">
        <f t="shared" si="19"/>
        <v>November</v>
      </c>
      <c r="N105" s="89" t="str">
        <f t="shared" si="19"/>
        <v>December</v>
      </c>
    </row>
    <row r="106" spans="1:14" x14ac:dyDescent="0.2">
      <c r="C106" s="72">
        <v>30</v>
      </c>
      <c r="D106" s="72">
        <v>31</v>
      </c>
      <c r="E106" s="72">
        <v>30</v>
      </c>
      <c r="F106" s="72">
        <v>31</v>
      </c>
      <c r="G106" s="72">
        <v>31</v>
      </c>
      <c r="H106" s="72">
        <v>30</v>
      </c>
      <c r="I106" s="72">
        <v>31</v>
      </c>
      <c r="J106" s="72">
        <v>30</v>
      </c>
      <c r="K106" s="72">
        <v>31</v>
      </c>
      <c r="L106" s="72">
        <v>31</v>
      </c>
      <c r="M106" s="72">
        <v>28</v>
      </c>
      <c r="N106" s="71">
        <v>31</v>
      </c>
    </row>
    <row r="107" spans="1:14" x14ac:dyDescent="0.2">
      <c r="B107" s="89" t="s">
        <v>185</v>
      </c>
      <c r="C107" s="53"/>
      <c r="D107" s="53">
        <v>1</v>
      </c>
      <c r="E107" s="53"/>
      <c r="F107" s="53">
        <v>1</v>
      </c>
      <c r="G107" s="53"/>
      <c r="H107" s="53">
        <v>1</v>
      </c>
      <c r="I107" s="53">
        <v>1</v>
      </c>
      <c r="J107" s="53">
        <v>1</v>
      </c>
      <c r="K107" s="53">
        <v>1</v>
      </c>
      <c r="L107" s="53">
        <v>2</v>
      </c>
      <c r="M107" s="53">
        <v>1</v>
      </c>
      <c r="N107" s="59"/>
    </row>
    <row r="108" spans="1:14" x14ac:dyDescent="0.2">
      <c r="B108" s="89" t="s">
        <v>44</v>
      </c>
      <c r="C108" s="49">
        <v>1</v>
      </c>
      <c r="D108" s="49">
        <v>1</v>
      </c>
      <c r="E108" s="49">
        <v>1</v>
      </c>
      <c r="F108" s="49">
        <v>1</v>
      </c>
      <c r="G108" s="49">
        <v>1</v>
      </c>
      <c r="H108" s="49">
        <v>1</v>
      </c>
      <c r="I108" s="49"/>
      <c r="J108" s="49"/>
      <c r="K108" s="49">
        <v>1</v>
      </c>
      <c r="L108" s="49">
        <v>1</v>
      </c>
      <c r="M108" s="49">
        <v>1</v>
      </c>
      <c r="N108" s="49">
        <v>1</v>
      </c>
    </row>
    <row r="109" spans="1:14" x14ac:dyDescent="0.2">
      <c r="B109" s="89" t="s">
        <v>186</v>
      </c>
      <c r="C109" s="53">
        <f>SUM(174*C108)</f>
        <v>174</v>
      </c>
      <c r="D109" s="53">
        <f t="shared" ref="D109:N109" si="20">SUM(174*D108)</f>
        <v>174</v>
      </c>
      <c r="E109" s="53">
        <f t="shared" si="20"/>
        <v>174</v>
      </c>
      <c r="F109" s="53">
        <f t="shared" si="20"/>
        <v>174</v>
      </c>
      <c r="G109" s="53">
        <f t="shared" si="20"/>
        <v>174</v>
      </c>
      <c r="H109" s="53">
        <f t="shared" si="20"/>
        <v>174</v>
      </c>
      <c r="I109" s="53">
        <f t="shared" si="20"/>
        <v>0</v>
      </c>
      <c r="J109" s="53">
        <f t="shared" si="20"/>
        <v>0</v>
      </c>
      <c r="K109" s="53">
        <f t="shared" si="20"/>
        <v>174</v>
      </c>
      <c r="L109" s="53">
        <f t="shared" si="20"/>
        <v>174</v>
      </c>
      <c r="M109" s="53">
        <f t="shared" si="20"/>
        <v>174</v>
      </c>
      <c r="N109" s="53">
        <f t="shared" si="20"/>
        <v>174</v>
      </c>
    </row>
    <row r="110" spans="1:14" x14ac:dyDescent="0.2">
      <c r="A110" s="59" t="s">
        <v>277</v>
      </c>
      <c r="B110" s="78" t="s">
        <v>273</v>
      </c>
      <c r="C110" s="66">
        <f>SUM(C109*$B$111)</f>
        <v>3306</v>
      </c>
      <c r="D110" s="66">
        <f t="shared" ref="D110:M110" si="21">SUM(D109*$B$111)</f>
        <v>3306</v>
      </c>
      <c r="E110" s="66">
        <f t="shared" si="21"/>
        <v>3306</v>
      </c>
      <c r="F110" s="66">
        <f t="shared" si="21"/>
        <v>3306</v>
      </c>
      <c r="G110" s="66">
        <f t="shared" si="21"/>
        <v>3306</v>
      </c>
      <c r="H110" s="66">
        <f t="shared" si="21"/>
        <v>3306</v>
      </c>
      <c r="I110" s="66">
        <f t="shared" si="21"/>
        <v>0</v>
      </c>
      <c r="J110" s="66">
        <f t="shared" si="21"/>
        <v>0</v>
      </c>
      <c r="K110" s="66">
        <f t="shared" si="21"/>
        <v>3306</v>
      </c>
      <c r="L110" s="66">
        <f t="shared" si="21"/>
        <v>3306</v>
      </c>
      <c r="M110" s="66">
        <f t="shared" si="21"/>
        <v>3306</v>
      </c>
      <c r="N110" s="66">
        <f>SUM(N109*$B$111)</f>
        <v>3306</v>
      </c>
    </row>
    <row r="111" spans="1:14" x14ac:dyDescent="0.2">
      <c r="A111" s="59" t="s">
        <v>188</v>
      </c>
      <c r="B111" s="74">
        <v>19</v>
      </c>
      <c r="C111" s="66">
        <f>SUM(C110)*'Data Links'!$B$15</f>
        <v>252.90899999999999</v>
      </c>
      <c r="D111" s="66">
        <f>SUM(D110)*'Data Links'!$B$15</f>
        <v>252.90899999999999</v>
      </c>
      <c r="E111" s="66">
        <f>SUM(E110)*'Data Links'!$B$15</f>
        <v>252.90899999999999</v>
      </c>
      <c r="F111" s="66">
        <f>SUM(F110)*'Data Links'!$B$15</f>
        <v>252.90899999999999</v>
      </c>
      <c r="G111" s="66">
        <f>SUM(G110)*'Data Links'!$B$15</f>
        <v>252.90899999999999</v>
      </c>
      <c r="H111" s="66">
        <f>SUM(H110)*'Data Links'!$B$15</f>
        <v>252.90899999999999</v>
      </c>
      <c r="I111" s="66">
        <f>SUM(I110)*'Data Links'!$B$15</f>
        <v>0</v>
      </c>
      <c r="J111" s="66">
        <f>SUM(J110)*'Data Links'!$B$15</f>
        <v>0</v>
      </c>
      <c r="K111" s="66">
        <f>SUM(K110)*'Data Links'!$B$15</f>
        <v>252.90899999999999</v>
      </c>
      <c r="L111" s="66">
        <f>SUM(L110)*'Data Links'!$B$15</f>
        <v>252.90899999999999</v>
      </c>
      <c r="M111" s="66">
        <f>SUM(M110)*'Data Links'!$B$15</f>
        <v>252.90899999999999</v>
      </c>
      <c r="N111" s="66">
        <f>SUM(N110)*'Data Links'!$B$15</f>
        <v>252.90899999999999</v>
      </c>
    </row>
    <row r="112" spans="1:14" x14ac:dyDescent="0.2">
      <c r="A112" s="59" t="s">
        <v>189</v>
      </c>
      <c r="B112" s="74">
        <v>17.72</v>
      </c>
      <c r="C112" s="66">
        <f>SUM(C110*'Data Links'!$B$13)</f>
        <v>19.836000000000002</v>
      </c>
      <c r="D112" s="66">
        <f>SUM(D110*'Data Links'!$B$13)</f>
        <v>19.836000000000002</v>
      </c>
      <c r="E112" s="66">
        <f>SUM(E110*'Data Links'!$B$13)</f>
        <v>19.836000000000002</v>
      </c>
      <c r="F112" s="66">
        <f>SUM(F110*'Data Links'!$B$13)</f>
        <v>19.836000000000002</v>
      </c>
      <c r="G112" s="66">
        <f>SUM(G110*'Data Links'!$B$13)</f>
        <v>19.836000000000002</v>
      </c>
      <c r="H112" s="66">
        <f>SUM(H110*'Data Links'!$B$13)</f>
        <v>19.836000000000002</v>
      </c>
      <c r="I112" s="66">
        <f>SUM(I110*'Data Links'!$B$13)</f>
        <v>0</v>
      </c>
      <c r="J112" s="66">
        <f>SUM(J110*'Data Links'!$B$13)</f>
        <v>0</v>
      </c>
      <c r="K112" s="66">
        <f>SUM(K110*'Data Links'!$B$13)</f>
        <v>19.836000000000002</v>
      </c>
      <c r="L112" s="66">
        <f>SUM(L110*'Data Links'!$B$13)</f>
        <v>19.836000000000002</v>
      </c>
      <c r="M112" s="66">
        <f>SUM(M110*'Data Links'!$B$13)</f>
        <v>19.836000000000002</v>
      </c>
      <c r="N112" s="66">
        <f>SUM(N110*'Data Links'!$B$13)</f>
        <v>19.836000000000002</v>
      </c>
    </row>
    <row r="113" spans="1:14" x14ac:dyDescent="0.2">
      <c r="A113" s="59" t="s">
        <v>190</v>
      </c>
      <c r="C113" s="66">
        <f>SUM(C109*'Data Links'!$B$8)</f>
        <v>13.5459</v>
      </c>
      <c r="D113" s="66">
        <f>SUM(D109*'Data Links'!$B$8)</f>
        <v>13.5459</v>
      </c>
      <c r="E113" s="66">
        <f>SUM(E109*'Data Links'!$B$8)</f>
        <v>13.5459</v>
      </c>
      <c r="F113" s="66">
        <f>SUM(F109*'Data Links'!$B$8)</f>
        <v>13.5459</v>
      </c>
      <c r="G113" s="66">
        <f>SUM(G109*'Data Links'!$B$8)</f>
        <v>13.5459</v>
      </c>
      <c r="H113" s="66">
        <f>SUM(H109*'Data Links'!$B$8)</f>
        <v>13.5459</v>
      </c>
      <c r="I113" s="66">
        <f>SUM(I109*'Data Links'!$B$8)</f>
        <v>0</v>
      </c>
      <c r="J113" s="66">
        <f>SUM(J109*'Data Links'!$B$8)</f>
        <v>0</v>
      </c>
      <c r="K113" s="66">
        <f>SUM(K109*'Data Links'!$B$8)</f>
        <v>13.5459</v>
      </c>
      <c r="L113" s="66">
        <f>SUM(L109*'Data Links'!$B$8)</f>
        <v>13.5459</v>
      </c>
      <c r="M113" s="66">
        <f>SUM(M109*'Data Links'!$B$8)</f>
        <v>13.5459</v>
      </c>
      <c r="N113" s="66">
        <f>SUM(N109*'Data Links'!$B$8)</f>
        <v>13.5459</v>
      </c>
    </row>
    <row r="114" spans="1:14" x14ac:dyDescent="0.2">
      <c r="A114" s="59" t="s">
        <v>191</v>
      </c>
      <c r="C114" s="66">
        <f>SUM('All Employees'!$P$15)</f>
        <v>393</v>
      </c>
      <c r="D114" s="66">
        <f>SUM('All Employees'!$P$15)</f>
        <v>393</v>
      </c>
      <c r="E114" s="66">
        <f>SUM('All Employees'!$P$15)</f>
        <v>393</v>
      </c>
      <c r="F114" s="66">
        <f>SUM('All Employees'!$P$15)</f>
        <v>393</v>
      </c>
      <c r="G114" s="66">
        <f>SUM('All Employees'!$P$15)</f>
        <v>393</v>
      </c>
      <c r="H114" s="66">
        <f>SUM('All Employees'!$P$15)</f>
        <v>393</v>
      </c>
      <c r="I114" s="66">
        <f>SUM('All Employees'!$P$15)</f>
        <v>393</v>
      </c>
      <c r="J114" s="66">
        <f>SUM('All Employees'!$P$15)</f>
        <v>393</v>
      </c>
      <c r="K114" s="66">
        <f>SUM('All Employees'!$P$15)</f>
        <v>393</v>
      </c>
      <c r="L114" s="66">
        <f>SUM('All Employees'!$P$15)</f>
        <v>393</v>
      </c>
      <c r="M114" s="66">
        <f>SUM('All Employees'!$P$15)</f>
        <v>393</v>
      </c>
      <c r="N114" s="66">
        <f>SUM('All Employees'!$P$15)</f>
        <v>393</v>
      </c>
    </row>
    <row r="115" spans="1:14" x14ac:dyDescent="0.2">
      <c r="A115" s="59" t="s">
        <v>192</v>
      </c>
      <c r="C115" s="66">
        <f>SUM(C110*'Data Links'!$B$17)</f>
        <v>99.179999999999993</v>
      </c>
      <c r="D115" s="66">
        <f>SUM(D110*'Data Links'!$B$17)</f>
        <v>99.179999999999993</v>
      </c>
      <c r="E115" s="66">
        <f>SUM(E110*'Data Links'!$B$17)</f>
        <v>99.179999999999993</v>
      </c>
      <c r="F115" s="66">
        <f>SUM(F110*'Data Links'!$B$17)</f>
        <v>99.179999999999993</v>
      </c>
      <c r="G115" s="66">
        <f>SUM(G110*'Data Links'!$B$17)</f>
        <v>99.179999999999993</v>
      </c>
      <c r="H115" s="66">
        <f>SUM(H110*'Data Links'!$B$17)</f>
        <v>99.179999999999993</v>
      </c>
      <c r="I115" s="66">
        <f>SUM(I110*'Data Links'!$B$17)</f>
        <v>0</v>
      </c>
      <c r="J115" s="66">
        <f>SUM(J110*'Data Links'!$B$17)</f>
        <v>0</v>
      </c>
      <c r="K115" s="66">
        <f>SUM(K110*'Data Links'!$B$17)</f>
        <v>99.179999999999993</v>
      </c>
      <c r="L115" s="66">
        <f>SUM(L110*'Data Links'!$B$17)</f>
        <v>99.179999999999993</v>
      </c>
      <c r="M115" s="66">
        <f>SUM(M110*'Data Links'!$B$17)</f>
        <v>99.179999999999993</v>
      </c>
      <c r="N115" s="66">
        <f>SUM(N110*'Data Links'!$B$17)</f>
        <v>99.179999999999993</v>
      </c>
    </row>
    <row r="116" spans="1:14" s="58" customFormat="1" x14ac:dyDescent="0.2">
      <c r="A116" s="58" t="s">
        <v>144</v>
      </c>
      <c r="B116" s="60"/>
      <c r="C116" s="60">
        <f t="shared" ref="C116:N116" si="22">SUM(C110:C115)</f>
        <v>4084.4708999999998</v>
      </c>
      <c r="D116" s="60">
        <f t="shared" si="22"/>
        <v>4084.4708999999998</v>
      </c>
      <c r="E116" s="60">
        <f t="shared" si="22"/>
        <v>4084.4708999999998</v>
      </c>
      <c r="F116" s="60">
        <f t="shared" si="22"/>
        <v>4084.4708999999998</v>
      </c>
      <c r="G116" s="60">
        <f t="shared" si="22"/>
        <v>4084.4708999999998</v>
      </c>
      <c r="H116" s="60">
        <f t="shared" si="22"/>
        <v>4084.4708999999998</v>
      </c>
      <c r="I116" s="60">
        <f t="shared" si="22"/>
        <v>393</v>
      </c>
      <c r="J116" s="60">
        <f t="shared" si="22"/>
        <v>393</v>
      </c>
      <c r="K116" s="60">
        <f t="shared" si="22"/>
        <v>4084.4708999999998</v>
      </c>
      <c r="L116" s="60">
        <f t="shared" si="22"/>
        <v>4084.4708999999998</v>
      </c>
      <c r="M116" s="60">
        <f t="shared" si="22"/>
        <v>4084.4708999999998</v>
      </c>
      <c r="N116" s="60">
        <f t="shared" si="22"/>
        <v>4084.4708999999998</v>
      </c>
    </row>
    <row r="117" spans="1:14" x14ac:dyDescent="0.2">
      <c r="C117" s="60"/>
      <c r="D117" s="66"/>
      <c r="E117" s="66"/>
      <c r="F117" s="66"/>
      <c r="G117" s="66"/>
      <c r="H117" s="66"/>
      <c r="I117" s="66"/>
      <c r="J117" s="66"/>
      <c r="K117" s="66"/>
      <c r="L117" s="66"/>
      <c r="M117" s="66"/>
      <c r="N117" s="66"/>
    </row>
    <row r="118" spans="1:14" x14ac:dyDescent="0.2">
      <c r="C118" s="89" t="str">
        <f>C105</f>
        <v>January</v>
      </c>
      <c r="D118" s="89" t="str">
        <f t="shared" ref="D118:N118" si="23">D105</f>
        <v>February</v>
      </c>
      <c r="E118" s="89" t="str">
        <f t="shared" si="23"/>
        <v>March</v>
      </c>
      <c r="F118" s="89" t="str">
        <f t="shared" si="23"/>
        <v>April</v>
      </c>
      <c r="G118" s="89" t="str">
        <f t="shared" si="23"/>
        <v>May</v>
      </c>
      <c r="H118" s="89" t="str">
        <f t="shared" si="23"/>
        <v>June</v>
      </c>
      <c r="I118" s="89" t="str">
        <f t="shared" si="23"/>
        <v>July</v>
      </c>
      <c r="J118" s="89" t="str">
        <f t="shared" si="23"/>
        <v>August</v>
      </c>
      <c r="K118" s="89" t="str">
        <f t="shared" si="23"/>
        <v>September</v>
      </c>
      <c r="L118" s="89" t="str">
        <f t="shared" si="23"/>
        <v>October</v>
      </c>
      <c r="M118" s="89" t="str">
        <f t="shared" si="23"/>
        <v>November</v>
      </c>
      <c r="N118" s="89" t="str">
        <f t="shared" si="23"/>
        <v>December</v>
      </c>
    </row>
    <row r="119" spans="1:14" x14ac:dyDescent="0.2">
      <c r="C119" s="72">
        <v>31</v>
      </c>
      <c r="D119" s="72">
        <v>31</v>
      </c>
      <c r="E119" s="72">
        <v>30</v>
      </c>
      <c r="F119" s="72">
        <v>31</v>
      </c>
      <c r="G119" s="72">
        <v>30</v>
      </c>
      <c r="H119" s="72">
        <v>31</v>
      </c>
      <c r="I119" s="72">
        <v>31</v>
      </c>
      <c r="J119" s="72">
        <v>28</v>
      </c>
      <c r="K119" s="72">
        <v>31</v>
      </c>
      <c r="L119" s="72">
        <v>30</v>
      </c>
      <c r="M119" s="72">
        <v>31</v>
      </c>
      <c r="N119" s="71">
        <v>30</v>
      </c>
    </row>
    <row r="120" spans="1:14" x14ac:dyDescent="0.2">
      <c r="B120" s="89" t="s">
        <v>185</v>
      </c>
      <c r="C120" s="78">
        <v>1</v>
      </c>
      <c r="D120" s="78">
        <v>0</v>
      </c>
      <c r="E120" s="78">
        <v>1</v>
      </c>
      <c r="F120" s="78">
        <f>F107</f>
        <v>1</v>
      </c>
      <c r="G120" s="78">
        <v>2</v>
      </c>
      <c r="H120" s="78">
        <f>H107</f>
        <v>1</v>
      </c>
      <c r="I120" s="78">
        <v>2</v>
      </c>
      <c r="J120" s="78">
        <v>1</v>
      </c>
      <c r="K120" s="78">
        <v>0</v>
      </c>
      <c r="L120" s="78">
        <v>0</v>
      </c>
      <c r="M120" s="78">
        <v>1</v>
      </c>
      <c r="N120" s="78">
        <f>N107</f>
        <v>0</v>
      </c>
    </row>
    <row r="121" spans="1:14" x14ac:dyDescent="0.2">
      <c r="B121" s="89" t="s">
        <v>44</v>
      </c>
      <c r="C121" s="49">
        <v>0.1</v>
      </c>
      <c r="D121" s="49">
        <v>0.1</v>
      </c>
      <c r="E121" s="49">
        <v>0.1</v>
      </c>
      <c r="F121" s="49">
        <v>0.1</v>
      </c>
      <c r="G121" s="49">
        <v>0.1</v>
      </c>
      <c r="H121" s="49">
        <v>0.1</v>
      </c>
      <c r="I121" s="49">
        <v>0.1</v>
      </c>
      <c r="J121" s="49">
        <v>0.1</v>
      </c>
      <c r="K121" s="49">
        <v>0.1</v>
      </c>
      <c r="L121" s="49">
        <v>0.1</v>
      </c>
      <c r="M121" s="49">
        <v>0.1</v>
      </c>
      <c r="N121" s="49">
        <v>0.1</v>
      </c>
    </row>
    <row r="122" spans="1:14" x14ac:dyDescent="0.2">
      <c r="B122" s="89" t="s">
        <v>186</v>
      </c>
      <c r="C122" s="53">
        <f>SUM(174*C121)</f>
        <v>17.400000000000002</v>
      </c>
      <c r="D122" s="53">
        <f t="shared" ref="D122:N122" si="24">SUM(174*D121)</f>
        <v>17.400000000000002</v>
      </c>
      <c r="E122" s="53">
        <f t="shared" si="24"/>
        <v>17.400000000000002</v>
      </c>
      <c r="F122" s="53">
        <f t="shared" si="24"/>
        <v>17.400000000000002</v>
      </c>
      <c r="G122" s="53">
        <f t="shared" si="24"/>
        <v>17.400000000000002</v>
      </c>
      <c r="H122" s="53">
        <f t="shared" si="24"/>
        <v>17.400000000000002</v>
      </c>
      <c r="I122" s="53">
        <f t="shared" si="24"/>
        <v>17.400000000000002</v>
      </c>
      <c r="J122" s="53">
        <f t="shared" si="24"/>
        <v>17.400000000000002</v>
      </c>
      <c r="K122" s="53">
        <f t="shared" si="24"/>
        <v>17.400000000000002</v>
      </c>
      <c r="L122" s="53">
        <f t="shared" si="24"/>
        <v>17.400000000000002</v>
      </c>
      <c r="M122" s="53">
        <f t="shared" si="24"/>
        <v>17.400000000000002</v>
      </c>
      <c r="N122" s="53">
        <f t="shared" si="24"/>
        <v>17.400000000000002</v>
      </c>
    </row>
    <row r="123" spans="1:14" x14ac:dyDescent="0.2">
      <c r="A123" s="59" t="s">
        <v>556</v>
      </c>
      <c r="B123" s="227" t="s">
        <v>361</v>
      </c>
      <c r="C123" s="210">
        <f>SUM(C122)*($B$124+1.5)</f>
        <v>431.34600000000006</v>
      </c>
      <c r="D123" s="210">
        <f t="shared" ref="D123:I123" si="25">SUM(D122)*($B$124+1.5)</f>
        <v>431.34600000000006</v>
      </c>
      <c r="E123" s="210">
        <f t="shared" si="25"/>
        <v>431.34600000000006</v>
      </c>
      <c r="F123" s="210">
        <f t="shared" si="25"/>
        <v>431.34600000000006</v>
      </c>
      <c r="G123" s="210">
        <f t="shared" si="25"/>
        <v>431.34600000000006</v>
      </c>
      <c r="H123" s="210">
        <f t="shared" si="25"/>
        <v>431.34600000000006</v>
      </c>
      <c r="I123" s="210">
        <f t="shared" si="25"/>
        <v>431.34600000000006</v>
      </c>
      <c r="J123" s="210">
        <f>SUM(J122)*($B$124)</f>
        <v>405.24600000000004</v>
      </c>
      <c r="K123" s="210">
        <f>SUM(K122)*($B$124)</f>
        <v>405.24600000000004</v>
      </c>
      <c r="L123" s="210">
        <f t="shared" ref="L123:N123" si="26">SUM(L122)*($B$124)</f>
        <v>405.24600000000004</v>
      </c>
      <c r="M123" s="210">
        <f t="shared" si="26"/>
        <v>405.24600000000004</v>
      </c>
      <c r="N123" s="210">
        <f t="shared" si="26"/>
        <v>405.24600000000004</v>
      </c>
    </row>
    <row r="124" spans="1:14" x14ac:dyDescent="0.2">
      <c r="A124" s="59" t="s">
        <v>188</v>
      </c>
      <c r="B124" s="367">
        <v>23.29</v>
      </c>
      <c r="C124" s="210">
        <f>SUM(C123)*'Data Links'!$B$15</f>
        <v>32.997969000000005</v>
      </c>
      <c r="D124" s="210">
        <f>SUM(D123)*'Data Links'!$B$15</f>
        <v>32.997969000000005</v>
      </c>
      <c r="E124" s="210">
        <f>SUM(E123)*'Data Links'!$B$15</f>
        <v>32.997969000000005</v>
      </c>
      <c r="F124" s="210">
        <f>SUM(F123)*'Data Links'!$B$15</f>
        <v>32.997969000000005</v>
      </c>
      <c r="G124" s="210">
        <f>SUM(G123)*'Data Links'!$B$15</f>
        <v>32.997969000000005</v>
      </c>
      <c r="H124" s="210">
        <f>SUM(H123)*'Data Links'!$B$15</f>
        <v>32.997969000000005</v>
      </c>
      <c r="I124" s="210">
        <f>SUM(I123)*'Data Links'!$B$15</f>
        <v>32.997969000000005</v>
      </c>
      <c r="J124" s="210">
        <f>SUM(J123)*'Data Links'!$B$15</f>
        <v>31.001319000000002</v>
      </c>
      <c r="K124" s="210">
        <f>SUM(K123)*'Data Links'!$B$15</f>
        <v>31.001319000000002</v>
      </c>
      <c r="L124" s="210">
        <f>SUM(L123)*'Data Links'!$B$15</f>
        <v>31.001319000000002</v>
      </c>
      <c r="M124" s="210">
        <f>SUM(M123)*'Data Links'!$B$15</f>
        <v>31.001319000000002</v>
      </c>
      <c r="N124" s="210">
        <f>SUM(N123)*'Data Links'!$B$15</f>
        <v>31.001319000000002</v>
      </c>
    </row>
    <row r="125" spans="1:14" x14ac:dyDescent="0.2">
      <c r="A125" s="59" t="s">
        <v>189</v>
      </c>
      <c r="C125" s="210">
        <f>SUM(C123*'Data Links'!$B$13)</f>
        <v>2.5880760000000005</v>
      </c>
      <c r="D125" s="210">
        <f>SUM(D123*'Data Links'!$B$13)</f>
        <v>2.5880760000000005</v>
      </c>
      <c r="E125" s="210">
        <f>SUM(E123*'Data Links'!$B$13)</f>
        <v>2.5880760000000005</v>
      </c>
      <c r="F125" s="210">
        <f>SUM(F123*'Data Links'!$B$13)</f>
        <v>2.5880760000000005</v>
      </c>
      <c r="G125" s="210">
        <f>SUM(G123*'Data Links'!$B$13)</f>
        <v>2.5880760000000005</v>
      </c>
      <c r="H125" s="210">
        <f>SUM(H123*'Data Links'!$B$13)</f>
        <v>2.5880760000000005</v>
      </c>
      <c r="I125" s="210">
        <f>SUM(I123*'Data Links'!$B$13)</f>
        <v>2.5880760000000005</v>
      </c>
      <c r="J125" s="210">
        <f>SUM(J123*'Data Links'!$B$13)</f>
        <v>2.4314760000000004</v>
      </c>
      <c r="K125" s="210">
        <f>SUM(K123*'Data Links'!$B$13)</f>
        <v>2.4314760000000004</v>
      </c>
      <c r="L125" s="210">
        <f>SUM(L123*'Data Links'!$B$13)</f>
        <v>2.4314760000000004</v>
      </c>
      <c r="M125" s="210">
        <f>SUM(M123*'Data Links'!$B$13)</f>
        <v>2.4314760000000004</v>
      </c>
      <c r="N125" s="210">
        <f>SUM(N123*'Data Links'!$B$13)</f>
        <v>2.4314760000000004</v>
      </c>
    </row>
    <row r="126" spans="1:14" x14ac:dyDescent="0.2">
      <c r="A126" s="59" t="s">
        <v>190</v>
      </c>
      <c r="C126" s="210">
        <f>SUM(C122*'Data Links'!$B$8)</f>
        <v>1.3545900000000002</v>
      </c>
      <c r="D126" s="210">
        <f>SUM(D122*'Data Links'!$B$8)</f>
        <v>1.3545900000000002</v>
      </c>
      <c r="E126" s="210">
        <f>SUM(E122*'Data Links'!$B$8)</f>
        <v>1.3545900000000002</v>
      </c>
      <c r="F126" s="210">
        <f>SUM(F122*'Data Links'!$B$8)</f>
        <v>1.3545900000000002</v>
      </c>
      <c r="G126" s="210">
        <f>SUM(G122*'Data Links'!$B$8)</f>
        <v>1.3545900000000002</v>
      </c>
      <c r="H126" s="210">
        <f>SUM(H122*'Data Links'!$B$8)</f>
        <v>1.3545900000000002</v>
      </c>
      <c r="I126" s="210">
        <f>SUM(I122*'Data Links'!$B$8)</f>
        <v>1.3545900000000002</v>
      </c>
      <c r="J126" s="210">
        <f>SUM(J122*'Data Links'!$B$8)</f>
        <v>1.3545900000000002</v>
      </c>
      <c r="K126" s="210">
        <f>SUM(K122*'Data Links'!$B$8)</f>
        <v>1.3545900000000002</v>
      </c>
      <c r="L126" s="210">
        <f>SUM(L122*'Data Links'!$B$8)</f>
        <v>1.3545900000000002</v>
      </c>
      <c r="M126" s="210">
        <f>SUM(M122*'Data Links'!$B$8)</f>
        <v>1.3545900000000002</v>
      </c>
      <c r="N126" s="210">
        <f>SUM(N122*'Data Links'!$B$8)</f>
        <v>1.3545900000000002</v>
      </c>
    </row>
    <row r="127" spans="1:14" x14ac:dyDescent="0.2">
      <c r="A127" s="59" t="s">
        <v>191</v>
      </c>
      <c r="C127" s="210">
        <f>SUM('All Employees'!$P$30*HSSP!C121)</f>
        <v>39.660780000000003</v>
      </c>
      <c r="D127" s="210">
        <f>SUM('All Employees'!$P$30*HSSP!D121)</f>
        <v>39.660780000000003</v>
      </c>
      <c r="E127" s="210">
        <f>SUM('All Employees'!$P$30*HSSP!E121)</f>
        <v>39.660780000000003</v>
      </c>
      <c r="F127" s="210">
        <f>SUM('All Employees'!$P$30*HSSP!F121)</f>
        <v>39.660780000000003</v>
      </c>
      <c r="G127" s="210">
        <f>SUM('All Employees'!$P$30*HSSP!G121)</f>
        <v>39.660780000000003</v>
      </c>
      <c r="H127" s="210">
        <f>SUM('All Employees'!$P$30*HSSP!H121)</f>
        <v>39.660780000000003</v>
      </c>
      <c r="I127" s="210">
        <f>SUM('All Employees'!$P$30*HSSP!I121)</f>
        <v>39.660780000000003</v>
      </c>
      <c r="J127" s="210">
        <f>SUM('All Employees'!$P$30*HSSP!J121)</f>
        <v>39.660780000000003</v>
      </c>
      <c r="K127" s="210">
        <f>SUM('All Employees'!$P$30*HSSP!K121)</f>
        <v>39.660780000000003</v>
      </c>
      <c r="L127" s="210">
        <f>SUM('All Employees'!$P$30*HSSP!L121)</f>
        <v>39.660780000000003</v>
      </c>
      <c r="M127" s="210">
        <f>SUM('All Employees'!$P$30*HSSP!M121)</f>
        <v>39.660780000000003</v>
      </c>
      <c r="N127" s="210">
        <f>SUM('All Employees'!$P$30*HSSP!N121)</f>
        <v>39.660780000000003</v>
      </c>
    </row>
    <row r="128" spans="1:14" x14ac:dyDescent="0.2">
      <c r="A128" s="59" t="s">
        <v>192</v>
      </c>
      <c r="C128" s="66">
        <f>SUM(C123*'Data Links'!$B$17)</f>
        <v>12.940380000000001</v>
      </c>
      <c r="D128" s="66">
        <f>SUM(D123*'Data Links'!$B$17)</f>
        <v>12.940380000000001</v>
      </c>
      <c r="E128" s="66">
        <f>SUM(E123*'Data Links'!$B$17)</f>
        <v>12.940380000000001</v>
      </c>
      <c r="F128" s="66">
        <f>SUM(F123*'Data Links'!$B$17)</f>
        <v>12.940380000000001</v>
      </c>
      <c r="G128" s="66">
        <f>SUM(G123*'Data Links'!$B$17)</f>
        <v>12.940380000000001</v>
      </c>
      <c r="H128" s="66">
        <f>SUM(H123*'Data Links'!$B$17)</f>
        <v>12.940380000000001</v>
      </c>
      <c r="I128" s="66">
        <f>SUM(I123*'Data Links'!$B$17)</f>
        <v>12.940380000000001</v>
      </c>
      <c r="J128" s="66">
        <f>SUM(J123*'Data Links'!$B$17)</f>
        <v>12.15738</v>
      </c>
      <c r="K128" s="66">
        <f>SUM(K123*'Data Links'!$B$17)</f>
        <v>12.15738</v>
      </c>
      <c r="L128" s="66">
        <f>SUM(L123*'Data Links'!$B$17)</f>
        <v>12.15738</v>
      </c>
      <c r="M128" s="66">
        <f>SUM(M123*'Data Links'!$B$17)</f>
        <v>12.15738</v>
      </c>
      <c r="N128" s="66">
        <f>SUM(N123*'Data Links'!$B$17)</f>
        <v>12.15738</v>
      </c>
    </row>
    <row r="129" spans="1:14" s="58" customFormat="1" x14ac:dyDescent="0.2">
      <c r="A129" s="58" t="s">
        <v>144</v>
      </c>
      <c r="B129" s="60"/>
      <c r="C129" s="212">
        <f t="shared" ref="C129:N129" si="27">SUM(C123:C128)</f>
        <v>520.88779499999998</v>
      </c>
      <c r="D129" s="212">
        <f t="shared" si="27"/>
        <v>520.88779499999998</v>
      </c>
      <c r="E129" s="212">
        <f t="shared" si="27"/>
        <v>520.88779499999998</v>
      </c>
      <c r="F129" s="212">
        <f t="shared" si="27"/>
        <v>520.88779499999998</v>
      </c>
      <c r="G129" s="212">
        <f t="shared" si="27"/>
        <v>520.88779499999998</v>
      </c>
      <c r="H129" s="212">
        <f t="shared" si="27"/>
        <v>520.88779499999998</v>
      </c>
      <c r="I129" s="212">
        <f t="shared" si="27"/>
        <v>520.88779499999998</v>
      </c>
      <c r="J129" s="212">
        <f t="shared" si="27"/>
        <v>491.85154499999999</v>
      </c>
      <c r="K129" s="212">
        <f t="shared" si="27"/>
        <v>491.85154499999999</v>
      </c>
      <c r="L129" s="212">
        <f t="shared" si="27"/>
        <v>491.85154499999999</v>
      </c>
      <c r="M129" s="212">
        <f t="shared" si="27"/>
        <v>491.85154499999999</v>
      </c>
      <c r="N129" s="212">
        <f t="shared" si="27"/>
        <v>491.85154499999999</v>
      </c>
    </row>
    <row r="130" spans="1:14" x14ac:dyDescent="0.2">
      <c r="C130" s="212"/>
      <c r="D130" s="210"/>
      <c r="E130" s="210"/>
      <c r="F130" s="210"/>
      <c r="G130" s="210"/>
      <c r="H130" s="210"/>
      <c r="I130" s="210"/>
      <c r="J130" s="210"/>
      <c r="K130" s="210"/>
      <c r="L130" s="210"/>
      <c r="M130" s="210"/>
      <c r="N130" s="210"/>
    </row>
    <row r="131" spans="1:14" x14ac:dyDescent="0.2">
      <c r="C131" s="224" t="str">
        <f>C118</f>
        <v>January</v>
      </c>
      <c r="D131" s="224" t="str">
        <f t="shared" ref="D131:N131" si="28">D118</f>
        <v>February</v>
      </c>
      <c r="E131" s="224" t="str">
        <f t="shared" si="28"/>
        <v>March</v>
      </c>
      <c r="F131" s="224" t="str">
        <f t="shared" si="28"/>
        <v>April</v>
      </c>
      <c r="G131" s="224" t="str">
        <f t="shared" si="28"/>
        <v>May</v>
      </c>
      <c r="H131" s="224" t="str">
        <f t="shared" si="28"/>
        <v>June</v>
      </c>
      <c r="I131" s="224" t="str">
        <f t="shared" si="28"/>
        <v>July</v>
      </c>
      <c r="J131" s="224" t="str">
        <f t="shared" si="28"/>
        <v>August</v>
      </c>
      <c r="K131" s="224" t="str">
        <f t="shared" si="28"/>
        <v>September</v>
      </c>
      <c r="L131" s="224" t="str">
        <f t="shared" si="28"/>
        <v>October</v>
      </c>
      <c r="M131" s="224" t="str">
        <f t="shared" si="28"/>
        <v>November</v>
      </c>
      <c r="N131" s="224" t="str">
        <f t="shared" si="28"/>
        <v>December</v>
      </c>
    </row>
    <row r="132" spans="1:14" x14ac:dyDescent="0.2">
      <c r="C132" s="225">
        <v>31</v>
      </c>
      <c r="D132" s="225">
        <v>31</v>
      </c>
      <c r="E132" s="225">
        <v>30</v>
      </c>
      <c r="F132" s="225">
        <v>31</v>
      </c>
      <c r="G132" s="225">
        <v>30</v>
      </c>
      <c r="H132" s="225">
        <v>31</v>
      </c>
      <c r="I132" s="225">
        <v>31</v>
      </c>
      <c r="J132" s="225">
        <v>28</v>
      </c>
      <c r="K132" s="225">
        <v>31</v>
      </c>
      <c r="L132" s="225">
        <v>30</v>
      </c>
      <c r="M132" s="225">
        <v>31</v>
      </c>
      <c r="N132" s="226">
        <v>30</v>
      </c>
    </row>
    <row r="133" spans="1:14" x14ac:dyDescent="0.2">
      <c r="B133" s="89" t="s">
        <v>185</v>
      </c>
      <c r="C133" s="227">
        <f t="shared" ref="C133:N133" si="29">C120</f>
        <v>1</v>
      </c>
      <c r="D133" s="227">
        <f t="shared" si="29"/>
        <v>0</v>
      </c>
      <c r="E133" s="227">
        <f t="shared" si="29"/>
        <v>1</v>
      </c>
      <c r="F133" s="227">
        <f t="shared" si="29"/>
        <v>1</v>
      </c>
      <c r="G133" s="227">
        <f t="shared" si="29"/>
        <v>2</v>
      </c>
      <c r="H133" s="227">
        <f t="shared" si="29"/>
        <v>1</v>
      </c>
      <c r="I133" s="227">
        <f t="shared" si="29"/>
        <v>2</v>
      </c>
      <c r="J133" s="227">
        <f t="shared" si="29"/>
        <v>1</v>
      </c>
      <c r="K133" s="227">
        <f t="shared" si="29"/>
        <v>0</v>
      </c>
      <c r="L133" s="227">
        <f t="shared" si="29"/>
        <v>0</v>
      </c>
      <c r="M133" s="227">
        <f t="shared" si="29"/>
        <v>1</v>
      </c>
      <c r="N133" s="227">
        <f t="shared" si="29"/>
        <v>0</v>
      </c>
    </row>
    <row r="134" spans="1:14" x14ac:dyDescent="0.2">
      <c r="B134" s="89" t="s">
        <v>44</v>
      </c>
      <c r="C134" s="228">
        <f>SUM('Program Support Allocations'!$C$11)</f>
        <v>1.4367816091954023E-2</v>
      </c>
      <c r="D134" s="228">
        <f>SUM('Program Support Allocations'!$C$11)</f>
        <v>1.4367816091954023E-2</v>
      </c>
      <c r="E134" s="228">
        <f>SUM('Program Support Allocations'!$C$11)</f>
        <v>1.4367816091954023E-2</v>
      </c>
      <c r="F134" s="228">
        <f>SUM('Program Support Allocations'!$C$11)</f>
        <v>1.4367816091954023E-2</v>
      </c>
      <c r="G134" s="228">
        <f>SUM('Program Support Allocations'!$C$11)</f>
        <v>1.4367816091954023E-2</v>
      </c>
      <c r="H134" s="228">
        <f>SUM('Program Support Allocations'!$C$11)</f>
        <v>1.4367816091954023E-2</v>
      </c>
      <c r="I134" s="228">
        <f>SUM('Program Support Allocations'!$C$11)</f>
        <v>1.4367816091954023E-2</v>
      </c>
      <c r="J134" s="228">
        <f>SUM('Program Support Allocations'!$C$11)</f>
        <v>1.4367816091954023E-2</v>
      </c>
      <c r="K134" s="228">
        <f>SUM('Program Support Allocations'!$C$11)</f>
        <v>1.4367816091954023E-2</v>
      </c>
      <c r="L134" s="228">
        <f>SUM('Program Support Allocations'!$C$11)</f>
        <v>1.4367816091954023E-2</v>
      </c>
      <c r="M134" s="228">
        <f>SUM('Program Support Allocations'!$C$11)</f>
        <v>1.4367816091954023E-2</v>
      </c>
      <c r="N134" s="228">
        <f>SUM('Program Support Allocations'!$C$11)</f>
        <v>1.4367816091954023E-2</v>
      </c>
    </row>
    <row r="135" spans="1:14" x14ac:dyDescent="0.2">
      <c r="B135" s="78" t="s">
        <v>186</v>
      </c>
      <c r="C135" s="229">
        <f>SUM(174*C134)</f>
        <v>2.5</v>
      </c>
      <c r="D135" s="229">
        <f t="shared" ref="D135:N135" si="30">SUM(174*D134)</f>
        <v>2.5</v>
      </c>
      <c r="E135" s="229">
        <f t="shared" si="30"/>
        <v>2.5</v>
      </c>
      <c r="F135" s="229">
        <f t="shared" si="30"/>
        <v>2.5</v>
      </c>
      <c r="G135" s="229">
        <f t="shared" si="30"/>
        <v>2.5</v>
      </c>
      <c r="H135" s="229">
        <f t="shared" si="30"/>
        <v>2.5</v>
      </c>
      <c r="I135" s="229">
        <f t="shared" si="30"/>
        <v>2.5</v>
      </c>
      <c r="J135" s="229">
        <f t="shared" si="30"/>
        <v>2.5</v>
      </c>
      <c r="K135" s="229">
        <f t="shared" si="30"/>
        <v>2.5</v>
      </c>
      <c r="L135" s="229">
        <f t="shared" si="30"/>
        <v>2.5</v>
      </c>
      <c r="M135" s="229">
        <f t="shared" si="30"/>
        <v>2.5</v>
      </c>
      <c r="N135" s="229">
        <f t="shared" si="30"/>
        <v>2.5</v>
      </c>
    </row>
    <row r="136" spans="1:14" x14ac:dyDescent="0.2">
      <c r="A136" s="59" t="s">
        <v>349</v>
      </c>
      <c r="B136" s="78" t="s">
        <v>348</v>
      </c>
      <c r="C136" s="210">
        <f>SUM(C135)*($B$137)</f>
        <v>39.375</v>
      </c>
      <c r="D136" s="210">
        <f t="shared" ref="D136:N136" si="31">SUM(D135)*($B$137)</f>
        <v>39.375</v>
      </c>
      <c r="E136" s="210">
        <f t="shared" si="31"/>
        <v>39.375</v>
      </c>
      <c r="F136" s="210">
        <f t="shared" si="31"/>
        <v>39.375</v>
      </c>
      <c r="G136" s="210">
        <f t="shared" si="31"/>
        <v>39.375</v>
      </c>
      <c r="H136" s="210">
        <f t="shared" si="31"/>
        <v>39.375</v>
      </c>
      <c r="I136" s="210">
        <f t="shared" si="31"/>
        <v>39.375</v>
      </c>
      <c r="J136" s="210">
        <f t="shared" si="31"/>
        <v>39.375</v>
      </c>
      <c r="K136" s="210">
        <f t="shared" si="31"/>
        <v>39.375</v>
      </c>
      <c r="L136" s="210">
        <f t="shared" si="31"/>
        <v>39.375</v>
      </c>
      <c r="M136" s="210">
        <f t="shared" si="31"/>
        <v>39.375</v>
      </c>
      <c r="N136" s="210">
        <f t="shared" si="31"/>
        <v>39.375</v>
      </c>
    </row>
    <row r="137" spans="1:14" x14ac:dyDescent="0.2">
      <c r="A137" s="59" t="s">
        <v>188</v>
      </c>
      <c r="B137" s="74">
        <v>15.75</v>
      </c>
      <c r="C137" s="210">
        <f>SUM(C136)*'Data Links'!$B$15</f>
        <v>3.0121875</v>
      </c>
      <c r="D137" s="210">
        <f>SUM(D136)*'Data Links'!$B$15</f>
        <v>3.0121875</v>
      </c>
      <c r="E137" s="210">
        <f>SUM(E136)*'Data Links'!$B$15</f>
        <v>3.0121875</v>
      </c>
      <c r="F137" s="210">
        <f>SUM(F136)*'Data Links'!$B$15</f>
        <v>3.0121875</v>
      </c>
      <c r="G137" s="210">
        <f>SUM(G136)*'Data Links'!$B$15</f>
        <v>3.0121875</v>
      </c>
      <c r="H137" s="210">
        <f>SUM(H136)*'Data Links'!$B$15</f>
        <v>3.0121875</v>
      </c>
      <c r="I137" s="210">
        <f>SUM(I136)*'Data Links'!$B$15</f>
        <v>3.0121875</v>
      </c>
      <c r="J137" s="210">
        <f>SUM(J136)*'Data Links'!$B$15</f>
        <v>3.0121875</v>
      </c>
      <c r="K137" s="210">
        <f>SUM(K136)*'Data Links'!$B$15</f>
        <v>3.0121875</v>
      </c>
      <c r="L137" s="210">
        <f>SUM(L136)*'Data Links'!$B$15</f>
        <v>3.0121875</v>
      </c>
      <c r="M137" s="210">
        <f>SUM(M136)*'Data Links'!$B$15</f>
        <v>3.0121875</v>
      </c>
      <c r="N137" s="210">
        <f>SUM(N136)*'Data Links'!$B$15</f>
        <v>3.0121875</v>
      </c>
    </row>
    <row r="138" spans="1:14" x14ac:dyDescent="0.2">
      <c r="A138" s="59" t="s">
        <v>189</v>
      </c>
      <c r="B138" s="74">
        <v>14.66</v>
      </c>
      <c r="C138" s="210">
        <f>SUM(C136*'Data Links'!$B$13)</f>
        <v>0.23625000000000002</v>
      </c>
      <c r="D138" s="210">
        <f>SUM(D136*'Data Links'!$B$13)</f>
        <v>0.23625000000000002</v>
      </c>
      <c r="E138" s="210">
        <f>SUM(E136*'Data Links'!$B$13)</f>
        <v>0.23625000000000002</v>
      </c>
      <c r="F138" s="210">
        <f>SUM(F136*'Data Links'!$B$13)</f>
        <v>0.23625000000000002</v>
      </c>
      <c r="G138" s="210">
        <f>SUM(G136*'Data Links'!$B$13)</f>
        <v>0.23625000000000002</v>
      </c>
      <c r="H138" s="210">
        <f>SUM(H136*'Data Links'!$B$13)</f>
        <v>0.23625000000000002</v>
      </c>
      <c r="I138" s="210">
        <f>SUM(I136*'Data Links'!$B$13)</f>
        <v>0.23625000000000002</v>
      </c>
      <c r="J138" s="210">
        <f>SUM(J136*'Data Links'!$B$13)</f>
        <v>0.23625000000000002</v>
      </c>
      <c r="K138" s="210">
        <f>SUM(K136*'Data Links'!$B$13)</f>
        <v>0.23625000000000002</v>
      </c>
      <c r="L138" s="210">
        <f>SUM(L136*'Data Links'!$B$13)</f>
        <v>0.23625000000000002</v>
      </c>
      <c r="M138" s="210">
        <f>SUM(M136*'Data Links'!$B$13)</f>
        <v>0.23625000000000002</v>
      </c>
      <c r="N138" s="210">
        <f>SUM(N136*'Data Links'!$B$13)</f>
        <v>0.23625000000000002</v>
      </c>
    </row>
    <row r="139" spans="1:14" x14ac:dyDescent="0.2">
      <c r="A139" s="59" t="s">
        <v>190</v>
      </c>
      <c r="C139" s="210">
        <f>SUM(C135*'Data Links'!$B$8)</f>
        <v>0.19462499999999999</v>
      </c>
      <c r="D139" s="210">
        <f>SUM(D135*'Data Links'!$B$8)</f>
        <v>0.19462499999999999</v>
      </c>
      <c r="E139" s="210">
        <f>SUM(E135*'Data Links'!$B$8)</f>
        <v>0.19462499999999999</v>
      </c>
      <c r="F139" s="210">
        <f>SUM(F135*'Data Links'!$B$8)</f>
        <v>0.19462499999999999</v>
      </c>
      <c r="G139" s="210">
        <f>SUM(G135*'Data Links'!$B$8)</f>
        <v>0.19462499999999999</v>
      </c>
      <c r="H139" s="210">
        <f>SUM(H135*'Data Links'!$B$8)</f>
        <v>0.19462499999999999</v>
      </c>
      <c r="I139" s="210">
        <f>SUM(I135*'Data Links'!$B$8)</f>
        <v>0.19462499999999999</v>
      </c>
      <c r="J139" s="210">
        <f>SUM(J135*'Data Links'!$B$8)</f>
        <v>0.19462499999999999</v>
      </c>
      <c r="K139" s="210">
        <f>SUM(K135*'Data Links'!$B$8)</f>
        <v>0.19462499999999999</v>
      </c>
      <c r="L139" s="210">
        <f>SUM(L135*'Data Links'!$B$8)</f>
        <v>0.19462499999999999</v>
      </c>
      <c r="M139" s="210">
        <f>SUM(M135*'Data Links'!$B$8)</f>
        <v>0.19462499999999999</v>
      </c>
      <c r="N139" s="210">
        <f>SUM(N135*'Data Links'!$B$8)</f>
        <v>0.19462499999999999</v>
      </c>
    </row>
    <row r="140" spans="1:14" x14ac:dyDescent="0.2">
      <c r="A140" s="59" t="s">
        <v>191</v>
      </c>
      <c r="C140" s="66">
        <f>SUM('All Employees'!$P$47*C134)</f>
        <v>5.6983879310344827</v>
      </c>
      <c r="D140" s="66">
        <f>SUM('All Employees'!$P$47*D134)</f>
        <v>5.6983879310344827</v>
      </c>
      <c r="E140" s="66">
        <f>SUM('All Employees'!$P$47*E134)</f>
        <v>5.6983879310344827</v>
      </c>
      <c r="F140" s="66">
        <f>SUM('All Employees'!$P$47*F134)</f>
        <v>5.6983879310344827</v>
      </c>
      <c r="G140" s="66">
        <f>SUM('All Employees'!$P$47*G134)</f>
        <v>5.6983879310344827</v>
      </c>
      <c r="H140" s="66">
        <f>SUM('All Employees'!$P$47*H134)</f>
        <v>5.6983879310344827</v>
      </c>
      <c r="I140" s="66">
        <f>SUM('All Employees'!$P$47*I134)</f>
        <v>5.6983879310344827</v>
      </c>
      <c r="J140" s="66">
        <f>SUM('All Employees'!$P$47*J134)</f>
        <v>5.6983879310344827</v>
      </c>
      <c r="K140" s="66">
        <f>SUM('All Employees'!$P$47*K134)</f>
        <v>5.6983879310344827</v>
      </c>
      <c r="L140" s="66">
        <f>SUM('All Employees'!$P$47*L134)</f>
        <v>5.6983879310344827</v>
      </c>
      <c r="M140" s="66">
        <f>SUM('All Employees'!$P$47*M134)</f>
        <v>5.6983879310344827</v>
      </c>
      <c r="N140" s="66">
        <f>SUM('All Employees'!$P$47*N134)</f>
        <v>5.6983879310344827</v>
      </c>
    </row>
    <row r="141" spans="1:14" x14ac:dyDescent="0.2">
      <c r="A141" s="59" t="s">
        <v>192</v>
      </c>
      <c r="C141" s="66">
        <f>SUM(C136*'Data Links'!$B$17)</f>
        <v>1.1812499999999999</v>
      </c>
      <c r="D141" s="66">
        <f>SUM(D136*'Data Links'!$B$17)</f>
        <v>1.1812499999999999</v>
      </c>
      <c r="E141" s="66">
        <f>SUM(E136*'Data Links'!$B$17)</f>
        <v>1.1812499999999999</v>
      </c>
      <c r="F141" s="66">
        <f>SUM(F136*'Data Links'!$B$17)</f>
        <v>1.1812499999999999</v>
      </c>
      <c r="G141" s="66">
        <f>SUM(G136*'Data Links'!$B$17)</f>
        <v>1.1812499999999999</v>
      </c>
      <c r="H141" s="66">
        <f>SUM(H136*'Data Links'!$B$17)</f>
        <v>1.1812499999999999</v>
      </c>
      <c r="I141" s="66">
        <f>SUM(I136*'Data Links'!$B$17)</f>
        <v>1.1812499999999999</v>
      </c>
      <c r="J141" s="66">
        <f>SUM(J136*'Data Links'!$B$17)</f>
        <v>1.1812499999999999</v>
      </c>
      <c r="K141" s="66">
        <f>SUM(K136*'Data Links'!$B$17)</f>
        <v>1.1812499999999999</v>
      </c>
      <c r="L141" s="66">
        <f>SUM(L136*'Data Links'!$B$17)</f>
        <v>1.1812499999999999</v>
      </c>
      <c r="M141" s="66">
        <f>SUM(M136*'Data Links'!$B$17)</f>
        <v>1.1812499999999999</v>
      </c>
      <c r="N141" s="66">
        <f>SUM(N136*'Data Links'!$B$17)</f>
        <v>1.1812499999999999</v>
      </c>
    </row>
    <row r="142" spans="1:14" s="58" customFormat="1" x14ac:dyDescent="0.2">
      <c r="A142" s="58" t="s">
        <v>144</v>
      </c>
      <c r="B142" s="60"/>
      <c r="C142" s="212">
        <f t="shared" ref="C142:N142" si="32">SUM(C136:C141)</f>
        <v>49.697700431034484</v>
      </c>
      <c r="D142" s="212">
        <f t="shared" si="32"/>
        <v>49.697700431034484</v>
      </c>
      <c r="E142" s="212">
        <f t="shared" si="32"/>
        <v>49.697700431034484</v>
      </c>
      <c r="F142" s="212">
        <f t="shared" si="32"/>
        <v>49.697700431034484</v>
      </c>
      <c r="G142" s="212">
        <f t="shared" si="32"/>
        <v>49.697700431034484</v>
      </c>
      <c r="H142" s="212">
        <f t="shared" si="32"/>
        <v>49.697700431034484</v>
      </c>
      <c r="I142" s="212">
        <f t="shared" si="32"/>
        <v>49.697700431034484</v>
      </c>
      <c r="J142" s="212">
        <f t="shared" si="32"/>
        <v>49.697700431034484</v>
      </c>
      <c r="K142" s="212">
        <f t="shared" si="32"/>
        <v>49.697700431034484</v>
      </c>
      <c r="L142" s="212">
        <f t="shared" si="32"/>
        <v>49.697700431034484</v>
      </c>
      <c r="M142" s="212">
        <f t="shared" si="32"/>
        <v>49.697700431034484</v>
      </c>
      <c r="N142" s="212">
        <f t="shared" si="32"/>
        <v>49.697700431034484</v>
      </c>
    </row>
    <row r="143" spans="1:14" x14ac:dyDescent="0.2">
      <c r="C143" s="212"/>
      <c r="D143" s="210"/>
      <c r="E143" s="210"/>
      <c r="F143" s="210"/>
      <c r="G143" s="210"/>
      <c r="H143" s="210"/>
      <c r="I143" s="210"/>
      <c r="J143" s="210"/>
      <c r="K143" s="210"/>
      <c r="L143" s="210"/>
      <c r="M143" s="210"/>
      <c r="N143" s="210"/>
    </row>
    <row r="144" spans="1:14" x14ac:dyDescent="0.2">
      <c r="C144" s="224" t="str">
        <f>C131</f>
        <v>January</v>
      </c>
      <c r="D144" s="224" t="str">
        <f t="shared" ref="D144:N144" si="33">D131</f>
        <v>February</v>
      </c>
      <c r="E144" s="224" t="str">
        <f t="shared" si="33"/>
        <v>March</v>
      </c>
      <c r="F144" s="224" t="str">
        <f t="shared" si="33"/>
        <v>April</v>
      </c>
      <c r="G144" s="224" t="str">
        <f t="shared" si="33"/>
        <v>May</v>
      </c>
      <c r="H144" s="224" t="str">
        <f t="shared" si="33"/>
        <v>June</v>
      </c>
      <c r="I144" s="224" t="str">
        <f t="shared" si="33"/>
        <v>July</v>
      </c>
      <c r="J144" s="224" t="str">
        <f t="shared" si="33"/>
        <v>August</v>
      </c>
      <c r="K144" s="224" t="str">
        <f t="shared" si="33"/>
        <v>September</v>
      </c>
      <c r="L144" s="224" t="str">
        <f t="shared" si="33"/>
        <v>October</v>
      </c>
      <c r="M144" s="224" t="str">
        <f t="shared" si="33"/>
        <v>November</v>
      </c>
      <c r="N144" s="224" t="str">
        <f t="shared" si="33"/>
        <v>December</v>
      </c>
    </row>
    <row r="145" spans="1:14" x14ac:dyDescent="0.2">
      <c r="C145" s="225">
        <v>31</v>
      </c>
      <c r="D145" s="225">
        <v>31</v>
      </c>
      <c r="E145" s="225">
        <v>30</v>
      </c>
      <c r="F145" s="225">
        <v>31</v>
      </c>
      <c r="G145" s="225">
        <v>30</v>
      </c>
      <c r="H145" s="225">
        <v>31</v>
      </c>
      <c r="I145" s="225">
        <v>31</v>
      </c>
      <c r="J145" s="225">
        <v>28</v>
      </c>
      <c r="K145" s="225">
        <v>31</v>
      </c>
      <c r="L145" s="225">
        <v>30</v>
      </c>
      <c r="M145" s="225">
        <v>31</v>
      </c>
      <c r="N145" s="226">
        <v>30</v>
      </c>
    </row>
    <row r="146" spans="1:14" x14ac:dyDescent="0.2">
      <c r="B146" s="89" t="s">
        <v>185</v>
      </c>
      <c r="C146" s="227">
        <f t="shared" ref="C146:N146" si="34">C133</f>
        <v>1</v>
      </c>
      <c r="D146" s="227">
        <f t="shared" si="34"/>
        <v>0</v>
      </c>
      <c r="E146" s="227">
        <f t="shared" si="34"/>
        <v>1</v>
      </c>
      <c r="F146" s="227">
        <f t="shared" si="34"/>
        <v>1</v>
      </c>
      <c r="G146" s="227">
        <f t="shared" si="34"/>
        <v>2</v>
      </c>
      <c r="H146" s="227">
        <f t="shared" si="34"/>
        <v>1</v>
      </c>
      <c r="I146" s="227">
        <f t="shared" si="34"/>
        <v>2</v>
      </c>
      <c r="J146" s="227">
        <f t="shared" si="34"/>
        <v>1</v>
      </c>
      <c r="K146" s="227">
        <f t="shared" si="34"/>
        <v>0</v>
      </c>
      <c r="L146" s="227">
        <f t="shared" si="34"/>
        <v>0</v>
      </c>
      <c r="M146" s="227">
        <f t="shared" si="34"/>
        <v>1</v>
      </c>
      <c r="N146" s="227">
        <f t="shared" si="34"/>
        <v>0</v>
      </c>
    </row>
    <row r="147" spans="1:14" x14ac:dyDescent="0.2">
      <c r="B147" s="89" t="s">
        <v>44</v>
      </c>
      <c r="C147" s="228">
        <f>C134</f>
        <v>1.4367816091954023E-2</v>
      </c>
      <c r="D147" s="228">
        <f t="shared" ref="D147:N147" si="35">D134</f>
        <v>1.4367816091954023E-2</v>
      </c>
      <c r="E147" s="228">
        <f t="shared" si="35"/>
        <v>1.4367816091954023E-2</v>
      </c>
      <c r="F147" s="228">
        <f t="shared" si="35"/>
        <v>1.4367816091954023E-2</v>
      </c>
      <c r="G147" s="228">
        <f t="shared" si="35"/>
        <v>1.4367816091954023E-2</v>
      </c>
      <c r="H147" s="228">
        <f t="shared" si="35"/>
        <v>1.4367816091954023E-2</v>
      </c>
      <c r="I147" s="228">
        <f t="shared" si="35"/>
        <v>1.4367816091954023E-2</v>
      </c>
      <c r="J147" s="228">
        <f t="shared" si="35"/>
        <v>1.4367816091954023E-2</v>
      </c>
      <c r="K147" s="228">
        <f t="shared" si="35"/>
        <v>1.4367816091954023E-2</v>
      </c>
      <c r="L147" s="228">
        <f t="shared" si="35"/>
        <v>1.4367816091954023E-2</v>
      </c>
      <c r="M147" s="228">
        <f t="shared" si="35"/>
        <v>1.4367816091954023E-2</v>
      </c>
      <c r="N147" s="228">
        <f t="shared" si="35"/>
        <v>1.4367816091954023E-2</v>
      </c>
    </row>
    <row r="148" spans="1:14" x14ac:dyDescent="0.2">
      <c r="B148" s="89" t="s">
        <v>186</v>
      </c>
      <c r="C148" s="229">
        <f>SUM(174*C147)</f>
        <v>2.5</v>
      </c>
      <c r="D148" s="229">
        <f t="shared" ref="D148:N148" si="36">SUM(174*D147)</f>
        <v>2.5</v>
      </c>
      <c r="E148" s="229">
        <f t="shared" si="36"/>
        <v>2.5</v>
      </c>
      <c r="F148" s="229">
        <f t="shared" si="36"/>
        <v>2.5</v>
      </c>
      <c r="G148" s="229">
        <f t="shared" si="36"/>
        <v>2.5</v>
      </c>
      <c r="H148" s="229">
        <f t="shared" si="36"/>
        <v>2.5</v>
      </c>
      <c r="I148" s="229">
        <f t="shared" si="36"/>
        <v>2.5</v>
      </c>
      <c r="J148" s="229">
        <f t="shared" si="36"/>
        <v>2.5</v>
      </c>
      <c r="K148" s="229">
        <f t="shared" si="36"/>
        <v>2.5</v>
      </c>
      <c r="L148" s="229">
        <f t="shared" si="36"/>
        <v>2.5</v>
      </c>
      <c r="M148" s="229">
        <f t="shared" si="36"/>
        <v>2.5</v>
      </c>
      <c r="N148" s="229">
        <f t="shared" si="36"/>
        <v>2.5</v>
      </c>
    </row>
    <row r="149" spans="1:14" x14ac:dyDescent="0.2">
      <c r="A149" s="59" t="s">
        <v>557</v>
      </c>
      <c r="B149" s="78" t="s">
        <v>187</v>
      </c>
      <c r="C149" s="210">
        <f>SUM(C148*$B$150)</f>
        <v>45.9</v>
      </c>
      <c r="D149" s="210">
        <f t="shared" ref="D149:N149" si="37">SUM(D148*$B$150)</f>
        <v>45.9</v>
      </c>
      <c r="E149" s="210">
        <f t="shared" si="37"/>
        <v>45.9</v>
      </c>
      <c r="F149" s="210">
        <f t="shared" si="37"/>
        <v>45.9</v>
      </c>
      <c r="G149" s="210">
        <f t="shared" si="37"/>
        <v>45.9</v>
      </c>
      <c r="H149" s="210">
        <f t="shared" si="37"/>
        <v>45.9</v>
      </c>
      <c r="I149" s="210">
        <f t="shared" si="37"/>
        <v>45.9</v>
      </c>
      <c r="J149" s="210">
        <f t="shared" si="37"/>
        <v>45.9</v>
      </c>
      <c r="K149" s="210">
        <f t="shared" si="37"/>
        <v>45.9</v>
      </c>
      <c r="L149" s="210">
        <f t="shared" si="37"/>
        <v>45.9</v>
      </c>
      <c r="M149" s="210">
        <f t="shared" si="37"/>
        <v>45.9</v>
      </c>
      <c r="N149" s="210">
        <f t="shared" si="37"/>
        <v>45.9</v>
      </c>
    </row>
    <row r="150" spans="1:14" x14ac:dyDescent="0.2">
      <c r="A150" s="59" t="s">
        <v>188</v>
      </c>
      <c r="B150" s="74">
        <v>18.36</v>
      </c>
      <c r="C150" s="210">
        <f>SUM(C149)*'Data Links'!$B$15</f>
        <v>3.5113499999999997</v>
      </c>
      <c r="D150" s="210">
        <f>SUM(D149)*'Data Links'!$B$15</f>
        <v>3.5113499999999997</v>
      </c>
      <c r="E150" s="210">
        <f>SUM(E149)*'Data Links'!$B$15</f>
        <v>3.5113499999999997</v>
      </c>
      <c r="F150" s="210">
        <f>SUM(F149)*'Data Links'!$B$15</f>
        <v>3.5113499999999997</v>
      </c>
      <c r="G150" s="210">
        <f>SUM(G149)*'Data Links'!$B$15</f>
        <v>3.5113499999999997</v>
      </c>
      <c r="H150" s="210">
        <f>SUM(H149)*'Data Links'!$B$15</f>
        <v>3.5113499999999997</v>
      </c>
      <c r="I150" s="210">
        <f>SUM(I149)*'Data Links'!$B$15</f>
        <v>3.5113499999999997</v>
      </c>
      <c r="J150" s="210">
        <f>SUM(J149)*'Data Links'!$B$15</f>
        <v>3.5113499999999997</v>
      </c>
      <c r="K150" s="210">
        <f>SUM(K149)*'Data Links'!$B$15</f>
        <v>3.5113499999999997</v>
      </c>
      <c r="L150" s="210">
        <f>SUM(L149)*'Data Links'!$B$15</f>
        <v>3.5113499999999997</v>
      </c>
      <c r="M150" s="210">
        <f>SUM(M149)*'Data Links'!$B$15</f>
        <v>3.5113499999999997</v>
      </c>
      <c r="N150" s="210">
        <f>SUM(N149)*'Data Links'!$B$15</f>
        <v>3.5113499999999997</v>
      </c>
    </row>
    <row r="151" spans="1:14" x14ac:dyDescent="0.2">
      <c r="A151" s="59" t="s">
        <v>189</v>
      </c>
      <c r="C151" s="210">
        <f>SUM(C149*'Data Links'!$B$13)</f>
        <v>0.27539999999999998</v>
      </c>
      <c r="D151" s="210">
        <f>SUM(D149*'Data Links'!$B$13)</f>
        <v>0.27539999999999998</v>
      </c>
      <c r="E151" s="210">
        <f>SUM(E149*'Data Links'!$B$13)</f>
        <v>0.27539999999999998</v>
      </c>
      <c r="F151" s="210">
        <f>SUM(F149*'Data Links'!$B$13)</f>
        <v>0.27539999999999998</v>
      </c>
      <c r="G151" s="210">
        <f>SUM(G149*'Data Links'!$B$13)</f>
        <v>0.27539999999999998</v>
      </c>
      <c r="H151" s="210">
        <f>SUM(H149*'Data Links'!$B$13)</f>
        <v>0.27539999999999998</v>
      </c>
      <c r="I151" s="210">
        <f>SUM(I149*'Data Links'!$B$13)</f>
        <v>0.27539999999999998</v>
      </c>
      <c r="J151" s="210">
        <f>SUM(J149*'Data Links'!$B$13)</f>
        <v>0.27539999999999998</v>
      </c>
      <c r="K151" s="210">
        <f>SUM(K149*'Data Links'!$B$13)</f>
        <v>0.27539999999999998</v>
      </c>
      <c r="L151" s="210">
        <f>SUM(L149*'Data Links'!$B$13)</f>
        <v>0.27539999999999998</v>
      </c>
      <c r="M151" s="210">
        <f>SUM(M149*'Data Links'!$B$13)</f>
        <v>0.27539999999999998</v>
      </c>
      <c r="N151" s="210">
        <f>SUM(N149*'Data Links'!$B$13)</f>
        <v>0.27539999999999998</v>
      </c>
    </row>
    <row r="152" spans="1:14" x14ac:dyDescent="0.2">
      <c r="A152" s="59" t="s">
        <v>190</v>
      </c>
      <c r="C152" s="210">
        <f>SUM(C148*'Data Links'!$B$8)</f>
        <v>0.19462499999999999</v>
      </c>
      <c r="D152" s="210">
        <f>SUM(D148*'Data Links'!$B$8)</f>
        <v>0.19462499999999999</v>
      </c>
      <c r="E152" s="210">
        <f>SUM(E148*'Data Links'!$B$8)</f>
        <v>0.19462499999999999</v>
      </c>
      <c r="F152" s="210">
        <f>SUM(F148*'Data Links'!$B$8)</f>
        <v>0.19462499999999999</v>
      </c>
      <c r="G152" s="210">
        <f>SUM(G148*'Data Links'!$B$8)</f>
        <v>0.19462499999999999</v>
      </c>
      <c r="H152" s="210">
        <f>SUM(H148*'Data Links'!$B$8)</f>
        <v>0.19462499999999999</v>
      </c>
      <c r="I152" s="210">
        <f>SUM(I148*'Data Links'!$B$8)</f>
        <v>0.19462499999999999</v>
      </c>
      <c r="J152" s="210">
        <f>SUM(J148*'Data Links'!$B$8)</f>
        <v>0.19462499999999999</v>
      </c>
      <c r="K152" s="210">
        <f>SUM(K148*'Data Links'!$B$8)</f>
        <v>0.19462499999999999</v>
      </c>
      <c r="L152" s="210">
        <f>SUM(L148*'Data Links'!$B$8)</f>
        <v>0.19462499999999999</v>
      </c>
      <c r="M152" s="210">
        <f>SUM(M148*'Data Links'!$B$8)</f>
        <v>0.19462499999999999</v>
      </c>
      <c r="N152" s="210">
        <f>SUM(N148*'Data Links'!$B$8)</f>
        <v>0.19462499999999999</v>
      </c>
    </row>
    <row r="153" spans="1:14" x14ac:dyDescent="0.2">
      <c r="A153" s="59" t="s">
        <v>191</v>
      </c>
      <c r="C153" s="210">
        <f>SUM('All Employees'!$P$50*C147)</f>
        <v>6.1206896551724137</v>
      </c>
      <c r="D153" s="210">
        <f>SUM('All Employees'!$P$50*D147)</f>
        <v>6.1206896551724137</v>
      </c>
      <c r="E153" s="210">
        <f>SUM('All Employees'!$P$50*E147)</f>
        <v>6.1206896551724137</v>
      </c>
      <c r="F153" s="210">
        <f>SUM('All Employees'!$P$50*F147)</f>
        <v>6.1206896551724137</v>
      </c>
      <c r="G153" s="210">
        <f>SUM('All Employees'!$P$50*G147)</f>
        <v>6.1206896551724137</v>
      </c>
      <c r="H153" s="210">
        <f>SUM('All Employees'!$P$50*H147)</f>
        <v>6.1206896551724137</v>
      </c>
      <c r="I153" s="210">
        <f>SUM('All Employees'!$P$50*I147)</f>
        <v>6.1206896551724137</v>
      </c>
      <c r="J153" s="210">
        <f>SUM('All Employees'!$P$50*J147)</f>
        <v>6.1206896551724137</v>
      </c>
      <c r="K153" s="210">
        <f>SUM('All Employees'!$P$50*K147)</f>
        <v>6.1206896551724137</v>
      </c>
      <c r="L153" s="210">
        <f>SUM('All Employees'!$P$50*L147)</f>
        <v>6.1206896551724137</v>
      </c>
      <c r="M153" s="210">
        <f>SUM('All Employees'!$P$50*M147)</f>
        <v>6.1206896551724137</v>
      </c>
      <c r="N153" s="210">
        <f>SUM('All Employees'!$P$50*N147)</f>
        <v>6.1206896551724137</v>
      </c>
    </row>
    <row r="154" spans="1:14" x14ac:dyDescent="0.2">
      <c r="A154" s="59" t="s">
        <v>192</v>
      </c>
      <c r="C154" s="66">
        <f>SUM(C149*'Data Links'!$B$17)</f>
        <v>1.377</v>
      </c>
      <c r="D154" s="66">
        <f>SUM(D149*'Data Links'!$B$17)</f>
        <v>1.377</v>
      </c>
      <c r="E154" s="66">
        <f>SUM(E149*'Data Links'!$B$17)</f>
        <v>1.377</v>
      </c>
      <c r="F154" s="66">
        <f>SUM(F149*'Data Links'!$B$17)</f>
        <v>1.377</v>
      </c>
      <c r="G154" s="66">
        <f>SUM(G149*'Data Links'!$B$17)</f>
        <v>1.377</v>
      </c>
      <c r="H154" s="66">
        <f>SUM(H149*'Data Links'!$B$17)</f>
        <v>1.377</v>
      </c>
      <c r="I154" s="66">
        <f>SUM(I149*'Data Links'!$B$17)</f>
        <v>1.377</v>
      </c>
      <c r="J154" s="66">
        <f>SUM(J149*'Data Links'!$B$17)</f>
        <v>1.377</v>
      </c>
      <c r="K154" s="66">
        <f>SUM(K149*'Data Links'!$B$17)</f>
        <v>1.377</v>
      </c>
      <c r="L154" s="66">
        <f>SUM(L149*'Data Links'!$B$17)</f>
        <v>1.377</v>
      </c>
      <c r="M154" s="66">
        <f>SUM(M149*'Data Links'!$B$17)</f>
        <v>1.377</v>
      </c>
      <c r="N154" s="66">
        <f>SUM(N149*'Data Links'!$B$17)</f>
        <v>1.377</v>
      </c>
    </row>
    <row r="155" spans="1:14" s="58" customFormat="1" x14ac:dyDescent="0.2">
      <c r="A155" s="58" t="s">
        <v>144</v>
      </c>
      <c r="B155" s="60"/>
      <c r="C155" s="212">
        <f t="shared" ref="C155:N155" si="38">SUM(C149:C154)</f>
        <v>57.379064655172414</v>
      </c>
      <c r="D155" s="212">
        <f t="shared" si="38"/>
        <v>57.379064655172414</v>
      </c>
      <c r="E155" s="212">
        <f t="shared" si="38"/>
        <v>57.379064655172414</v>
      </c>
      <c r="F155" s="212">
        <f t="shared" si="38"/>
        <v>57.379064655172414</v>
      </c>
      <c r="G155" s="212">
        <f t="shared" si="38"/>
        <v>57.379064655172414</v>
      </c>
      <c r="H155" s="212">
        <f t="shared" si="38"/>
        <v>57.379064655172414</v>
      </c>
      <c r="I155" s="212">
        <f t="shared" si="38"/>
        <v>57.379064655172414</v>
      </c>
      <c r="J155" s="212">
        <f t="shared" si="38"/>
        <v>57.379064655172414</v>
      </c>
      <c r="K155" s="212">
        <f t="shared" si="38"/>
        <v>57.379064655172414</v>
      </c>
      <c r="L155" s="212">
        <f t="shared" si="38"/>
        <v>57.379064655172414</v>
      </c>
      <c r="M155" s="212">
        <f t="shared" si="38"/>
        <v>57.379064655172414</v>
      </c>
      <c r="N155" s="212">
        <f t="shared" si="38"/>
        <v>57.379064655172414</v>
      </c>
    </row>
    <row r="156" spans="1:14" x14ac:dyDescent="0.2">
      <c r="C156" s="212"/>
      <c r="D156" s="210"/>
      <c r="E156" s="210"/>
      <c r="F156" s="210"/>
      <c r="G156" s="210"/>
      <c r="H156" s="210"/>
      <c r="I156" s="210">
        <f>SUM(I155*5)</f>
        <v>286.8953232758621</v>
      </c>
      <c r="J156" s="210"/>
      <c r="K156" s="210"/>
      <c r="L156" s="210"/>
      <c r="M156" s="210"/>
      <c r="N156" s="210"/>
    </row>
    <row r="157" spans="1:14" x14ac:dyDescent="0.2">
      <c r="C157" s="224" t="str">
        <f>C144</f>
        <v>January</v>
      </c>
      <c r="D157" s="224" t="str">
        <f t="shared" ref="D157:N157" si="39">D144</f>
        <v>February</v>
      </c>
      <c r="E157" s="224" t="str">
        <f t="shared" si="39"/>
        <v>March</v>
      </c>
      <c r="F157" s="224" t="str">
        <f t="shared" si="39"/>
        <v>April</v>
      </c>
      <c r="G157" s="224" t="str">
        <f t="shared" si="39"/>
        <v>May</v>
      </c>
      <c r="H157" s="224" t="str">
        <f t="shared" si="39"/>
        <v>June</v>
      </c>
      <c r="I157" s="224" t="str">
        <f t="shared" si="39"/>
        <v>July</v>
      </c>
      <c r="J157" s="224" t="str">
        <f t="shared" si="39"/>
        <v>August</v>
      </c>
      <c r="K157" s="224" t="str">
        <f t="shared" si="39"/>
        <v>September</v>
      </c>
      <c r="L157" s="224" t="str">
        <f t="shared" si="39"/>
        <v>October</v>
      </c>
      <c r="M157" s="224" t="str">
        <f t="shared" si="39"/>
        <v>November</v>
      </c>
      <c r="N157" s="224" t="str">
        <f t="shared" si="39"/>
        <v>December</v>
      </c>
    </row>
    <row r="158" spans="1:14" x14ac:dyDescent="0.2">
      <c r="C158" s="225">
        <v>31</v>
      </c>
      <c r="D158" s="225">
        <v>31</v>
      </c>
      <c r="E158" s="225">
        <v>30</v>
      </c>
      <c r="F158" s="225">
        <v>31</v>
      </c>
      <c r="G158" s="225">
        <v>30</v>
      </c>
      <c r="H158" s="225">
        <v>31</v>
      </c>
      <c r="I158" s="225">
        <v>31</v>
      </c>
      <c r="J158" s="225">
        <v>28</v>
      </c>
      <c r="K158" s="225">
        <v>31</v>
      </c>
      <c r="L158" s="225">
        <v>30</v>
      </c>
      <c r="M158" s="225">
        <v>31</v>
      </c>
      <c r="N158" s="226">
        <v>30</v>
      </c>
    </row>
    <row r="159" spans="1:14" x14ac:dyDescent="0.2">
      <c r="B159" s="89" t="s">
        <v>185</v>
      </c>
      <c r="C159" s="227">
        <f t="shared" ref="C159:N159" si="40">C146</f>
        <v>1</v>
      </c>
      <c r="D159" s="227">
        <f t="shared" si="40"/>
        <v>0</v>
      </c>
      <c r="E159" s="227">
        <f t="shared" si="40"/>
        <v>1</v>
      </c>
      <c r="F159" s="227">
        <f t="shared" si="40"/>
        <v>1</v>
      </c>
      <c r="G159" s="227">
        <f t="shared" si="40"/>
        <v>2</v>
      </c>
      <c r="H159" s="227">
        <f t="shared" si="40"/>
        <v>1</v>
      </c>
      <c r="I159" s="227">
        <f t="shared" si="40"/>
        <v>2</v>
      </c>
      <c r="J159" s="227">
        <f t="shared" si="40"/>
        <v>1</v>
      </c>
      <c r="K159" s="227">
        <f t="shared" si="40"/>
        <v>0</v>
      </c>
      <c r="L159" s="227">
        <f t="shared" si="40"/>
        <v>0</v>
      </c>
      <c r="M159" s="227">
        <f t="shared" si="40"/>
        <v>1</v>
      </c>
      <c r="N159" s="227">
        <f t="shared" si="40"/>
        <v>0</v>
      </c>
    </row>
    <row r="160" spans="1:14" x14ac:dyDescent="0.2">
      <c r="B160" s="89" t="s">
        <v>44</v>
      </c>
      <c r="C160" s="228">
        <f>SUM('Program Support Allocations'!$C$26)</f>
        <v>3.4482758620689655E-2</v>
      </c>
      <c r="D160" s="228">
        <f>SUM('Program Support Allocations'!$C$26)</f>
        <v>3.4482758620689655E-2</v>
      </c>
      <c r="E160" s="228">
        <f>SUM('Program Support Allocations'!$C$26)</f>
        <v>3.4482758620689655E-2</v>
      </c>
      <c r="F160" s="228">
        <f>SUM('Program Support Allocations'!$C$26)</f>
        <v>3.4482758620689655E-2</v>
      </c>
      <c r="G160" s="228">
        <f>SUM('Program Support Allocations'!$C$26)</f>
        <v>3.4482758620689655E-2</v>
      </c>
      <c r="H160" s="228">
        <f>SUM('Program Support Allocations'!$C$26)</f>
        <v>3.4482758620689655E-2</v>
      </c>
      <c r="I160" s="228">
        <f>SUM('Program Support Allocations'!$C$26)</f>
        <v>3.4482758620689655E-2</v>
      </c>
      <c r="J160" s="228">
        <f>SUM('Program Support Allocations'!$C$26)</f>
        <v>3.4482758620689655E-2</v>
      </c>
      <c r="K160" s="228">
        <f>SUM('Program Support Allocations'!$C$26)</f>
        <v>3.4482758620689655E-2</v>
      </c>
      <c r="L160" s="228">
        <f>SUM('Program Support Allocations'!$C$26)</f>
        <v>3.4482758620689655E-2</v>
      </c>
      <c r="M160" s="228">
        <f>SUM('Program Support Allocations'!$C$26)</f>
        <v>3.4482758620689655E-2</v>
      </c>
      <c r="N160" s="228">
        <f>SUM('Program Support Allocations'!$C$26)</f>
        <v>3.4482758620689655E-2</v>
      </c>
    </row>
    <row r="161" spans="1:16" x14ac:dyDescent="0.2">
      <c r="B161" s="89" t="s">
        <v>186</v>
      </c>
      <c r="C161" s="229">
        <f>SUM(174*C160)</f>
        <v>6</v>
      </c>
      <c r="D161" s="229">
        <f t="shared" ref="D161:N161" si="41">SUM(174*D160)</f>
        <v>6</v>
      </c>
      <c r="E161" s="229">
        <f t="shared" si="41"/>
        <v>6</v>
      </c>
      <c r="F161" s="229">
        <f t="shared" si="41"/>
        <v>6</v>
      </c>
      <c r="G161" s="229">
        <f t="shared" si="41"/>
        <v>6</v>
      </c>
      <c r="H161" s="229">
        <f t="shared" si="41"/>
        <v>6</v>
      </c>
      <c r="I161" s="229">
        <f t="shared" si="41"/>
        <v>6</v>
      </c>
      <c r="J161" s="229">
        <f t="shared" si="41"/>
        <v>6</v>
      </c>
      <c r="K161" s="229">
        <f t="shared" si="41"/>
        <v>6</v>
      </c>
      <c r="L161" s="229">
        <f t="shared" si="41"/>
        <v>6</v>
      </c>
      <c r="M161" s="229">
        <f t="shared" si="41"/>
        <v>6</v>
      </c>
      <c r="N161" s="229">
        <f t="shared" si="41"/>
        <v>6</v>
      </c>
    </row>
    <row r="162" spans="1:16" x14ac:dyDescent="0.2">
      <c r="A162" s="59" t="s">
        <v>623</v>
      </c>
      <c r="B162" s="78" t="s">
        <v>187</v>
      </c>
      <c r="C162" s="210">
        <f>SUM(C161*$B$163)</f>
        <v>171.18</v>
      </c>
      <c r="D162" s="210">
        <f t="shared" ref="D162:N162" si="42">SUM(D161*$B$163)</f>
        <v>171.18</v>
      </c>
      <c r="E162" s="210">
        <f t="shared" si="42"/>
        <v>171.18</v>
      </c>
      <c r="F162" s="210">
        <f t="shared" si="42"/>
        <v>171.18</v>
      </c>
      <c r="G162" s="210">
        <f t="shared" si="42"/>
        <v>171.18</v>
      </c>
      <c r="H162" s="210">
        <f t="shared" si="42"/>
        <v>171.18</v>
      </c>
      <c r="I162" s="210">
        <f t="shared" si="42"/>
        <v>171.18</v>
      </c>
      <c r="J162" s="210">
        <f t="shared" si="42"/>
        <v>171.18</v>
      </c>
      <c r="K162" s="210">
        <f t="shared" si="42"/>
        <v>171.18</v>
      </c>
      <c r="L162" s="210">
        <f t="shared" si="42"/>
        <v>171.18</v>
      </c>
      <c r="M162" s="210">
        <f t="shared" si="42"/>
        <v>171.18</v>
      </c>
      <c r="N162" s="210">
        <f t="shared" si="42"/>
        <v>171.18</v>
      </c>
    </row>
    <row r="163" spans="1:16" x14ac:dyDescent="0.2">
      <c r="A163" s="59" t="s">
        <v>188</v>
      </c>
      <c r="B163" s="74">
        <v>28.53</v>
      </c>
      <c r="C163" s="210">
        <f>SUM(C162)*'Data Links'!$B$15</f>
        <v>13.095270000000001</v>
      </c>
      <c r="D163" s="210">
        <f>SUM(D162)*'Data Links'!$B$15</f>
        <v>13.095270000000001</v>
      </c>
      <c r="E163" s="210">
        <f>SUM(E162)*'Data Links'!$B$15</f>
        <v>13.095270000000001</v>
      </c>
      <c r="F163" s="210">
        <f>SUM(F162)*'Data Links'!$B$15</f>
        <v>13.095270000000001</v>
      </c>
      <c r="G163" s="210">
        <f>SUM(G162)*'Data Links'!$B$15</f>
        <v>13.095270000000001</v>
      </c>
      <c r="H163" s="210">
        <f>SUM(H162)*'Data Links'!$B$15</f>
        <v>13.095270000000001</v>
      </c>
      <c r="I163" s="210">
        <f>SUM(I162)*'Data Links'!$B$15</f>
        <v>13.095270000000001</v>
      </c>
      <c r="J163" s="210">
        <f>SUM(J162)*'Data Links'!$B$15</f>
        <v>13.095270000000001</v>
      </c>
      <c r="K163" s="210">
        <f>SUM(K162)*'Data Links'!$B$15</f>
        <v>13.095270000000001</v>
      </c>
      <c r="L163" s="210">
        <f>SUM(L162)*'Data Links'!$B$15</f>
        <v>13.095270000000001</v>
      </c>
      <c r="M163" s="210">
        <f>SUM(M162)*'Data Links'!$B$15</f>
        <v>13.095270000000001</v>
      </c>
      <c r="N163" s="210">
        <f>SUM(N162)*'Data Links'!$B$15</f>
        <v>13.095270000000001</v>
      </c>
    </row>
    <row r="164" spans="1:16" x14ac:dyDescent="0.2">
      <c r="A164" s="59" t="s">
        <v>189</v>
      </c>
      <c r="C164" s="210">
        <f>SUM(C162*'Data Links'!$B$13)</f>
        <v>1.02708</v>
      </c>
      <c r="D164" s="210">
        <f>SUM(D162*'Data Links'!$B$13)</f>
        <v>1.02708</v>
      </c>
      <c r="E164" s="210">
        <f>SUM(E162*'Data Links'!$B$13)</f>
        <v>1.02708</v>
      </c>
      <c r="F164" s="210">
        <f>SUM(F162*'Data Links'!$B$13)</f>
        <v>1.02708</v>
      </c>
      <c r="G164" s="210">
        <f>SUM(G162*'Data Links'!$B$13)</f>
        <v>1.02708</v>
      </c>
      <c r="H164" s="210">
        <f>SUM(H162*'Data Links'!$B$13)</f>
        <v>1.02708</v>
      </c>
      <c r="I164" s="210">
        <f>SUM(I162*'Data Links'!$B$13)</f>
        <v>1.02708</v>
      </c>
      <c r="J164" s="210">
        <f>SUM(J162*'Data Links'!$B$13)</f>
        <v>1.02708</v>
      </c>
      <c r="K164" s="210">
        <f>SUM(K162*'Data Links'!$B$13)</f>
        <v>1.02708</v>
      </c>
      <c r="L164" s="210">
        <f>SUM(L162*'Data Links'!$B$13)</f>
        <v>1.02708</v>
      </c>
      <c r="M164" s="210">
        <f>SUM(M162*'Data Links'!$B$13)</f>
        <v>1.02708</v>
      </c>
      <c r="N164" s="210">
        <f>SUM(N162*'Data Links'!$B$13)</f>
        <v>1.02708</v>
      </c>
    </row>
    <row r="165" spans="1:16" x14ac:dyDescent="0.2">
      <c r="A165" s="59" t="s">
        <v>190</v>
      </c>
      <c r="C165" s="210">
        <f>SUM(C161*'Data Links'!$B$8)</f>
        <v>0.46710000000000002</v>
      </c>
      <c r="D165" s="210">
        <f>SUM(D161*'Data Links'!$B$8)</f>
        <v>0.46710000000000002</v>
      </c>
      <c r="E165" s="210">
        <f>SUM(E161*'Data Links'!$B$8)</f>
        <v>0.46710000000000002</v>
      </c>
      <c r="F165" s="210">
        <f>SUM(F161*'Data Links'!$B$8)</f>
        <v>0.46710000000000002</v>
      </c>
      <c r="G165" s="210">
        <f>SUM(G161*'Data Links'!$B$8)</f>
        <v>0.46710000000000002</v>
      </c>
      <c r="H165" s="210">
        <f>SUM(H161*'Data Links'!$B$8)</f>
        <v>0.46710000000000002</v>
      </c>
      <c r="I165" s="210">
        <f>SUM(I161*'Data Links'!$B$8)</f>
        <v>0.46710000000000002</v>
      </c>
      <c r="J165" s="210">
        <f>SUM(J161*'Data Links'!$B$8)</f>
        <v>0.46710000000000002</v>
      </c>
      <c r="K165" s="210">
        <f>SUM(K161*'Data Links'!$B$8)</f>
        <v>0.46710000000000002</v>
      </c>
      <c r="L165" s="210">
        <f>SUM(L161*'Data Links'!$B$8)</f>
        <v>0.46710000000000002</v>
      </c>
      <c r="M165" s="210">
        <f>SUM(M161*'Data Links'!$B$8)</f>
        <v>0.46710000000000002</v>
      </c>
      <c r="N165" s="210">
        <f>SUM(N161*'Data Links'!$B$8)</f>
        <v>0.46710000000000002</v>
      </c>
    </row>
    <row r="166" spans="1:16" x14ac:dyDescent="0.2">
      <c r="A166" s="59" t="s">
        <v>191</v>
      </c>
      <c r="C166" s="210">
        <f>SUM('All Employees'!$P$51*C160)</f>
        <v>14.689655172413794</v>
      </c>
      <c r="D166" s="210">
        <f>SUM('All Employees'!$P$51*D160)</f>
        <v>14.689655172413794</v>
      </c>
      <c r="E166" s="210">
        <f>SUM('All Employees'!$P$51*E160)</f>
        <v>14.689655172413794</v>
      </c>
      <c r="F166" s="210">
        <f>SUM('All Employees'!$P$51*F160)</f>
        <v>14.689655172413794</v>
      </c>
      <c r="G166" s="210">
        <f>SUM('All Employees'!$P$51*G160)</f>
        <v>14.689655172413794</v>
      </c>
      <c r="H166" s="210">
        <f>SUM('All Employees'!$P$51*H160)</f>
        <v>14.689655172413794</v>
      </c>
      <c r="I166" s="210">
        <f>SUM('All Employees'!$P$51*I160)</f>
        <v>14.689655172413794</v>
      </c>
      <c r="J166" s="210">
        <f>SUM('All Employees'!$P$51*J160)</f>
        <v>14.689655172413794</v>
      </c>
      <c r="K166" s="210">
        <f>SUM('All Employees'!$P$51*K160)</f>
        <v>14.689655172413794</v>
      </c>
      <c r="L166" s="210">
        <f>SUM('All Employees'!$P$51*L160)</f>
        <v>14.689655172413794</v>
      </c>
      <c r="M166" s="210">
        <f>SUM('All Employees'!$P$51*M160)</f>
        <v>14.689655172413794</v>
      </c>
      <c r="N166" s="210">
        <f>SUM('All Employees'!$P$51*N160)</f>
        <v>14.689655172413794</v>
      </c>
      <c r="O166" s="66"/>
      <c r="P166" s="66"/>
    </row>
    <row r="167" spans="1:16" x14ac:dyDescent="0.2">
      <c r="A167" s="59" t="s">
        <v>192</v>
      </c>
      <c r="C167" s="66">
        <f>SUM(C162*'Data Links'!$B$17)</f>
        <v>5.1353999999999997</v>
      </c>
      <c r="D167" s="66">
        <f>SUM(D162*'Data Links'!$B$17)</f>
        <v>5.1353999999999997</v>
      </c>
      <c r="E167" s="66">
        <f>SUM(E162*'Data Links'!$B$17)</f>
        <v>5.1353999999999997</v>
      </c>
      <c r="F167" s="66">
        <f>SUM(F162*'Data Links'!$B$17)</f>
        <v>5.1353999999999997</v>
      </c>
      <c r="G167" s="66">
        <f>SUM(G162*'Data Links'!$B$17)</f>
        <v>5.1353999999999997</v>
      </c>
      <c r="H167" s="66">
        <f>SUM(H162*'Data Links'!$B$17)</f>
        <v>5.1353999999999997</v>
      </c>
      <c r="I167" s="66">
        <f>SUM(I162*'Data Links'!$B$17)</f>
        <v>5.1353999999999997</v>
      </c>
      <c r="J167" s="66">
        <f>SUM(J162*'Data Links'!$B$17)</f>
        <v>5.1353999999999997</v>
      </c>
      <c r="K167" s="66">
        <f>SUM(K162*'Data Links'!$B$17)</f>
        <v>5.1353999999999997</v>
      </c>
      <c r="L167" s="66">
        <f>SUM(L162*'Data Links'!$B$17)</f>
        <v>5.1353999999999997</v>
      </c>
      <c r="M167" s="66">
        <f>SUM(M162*'Data Links'!$B$17)</f>
        <v>5.1353999999999997</v>
      </c>
      <c r="N167" s="66">
        <f>SUM(N162*'Data Links'!$B$17)</f>
        <v>5.1353999999999997</v>
      </c>
    </row>
    <row r="168" spans="1:16" s="58" customFormat="1" x14ac:dyDescent="0.2">
      <c r="A168" s="58" t="s">
        <v>144</v>
      </c>
      <c r="B168" s="60"/>
      <c r="C168" s="212">
        <f t="shared" ref="C168:N168" si="43">SUM(C162:C167)</f>
        <v>205.59450517241379</v>
      </c>
      <c r="D168" s="212">
        <f t="shared" si="43"/>
        <v>205.59450517241379</v>
      </c>
      <c r="E168" s="212">
        <f t="shared" si="43"/>
        <v>205.59450517241379</v>
      </c>
      <c r="F168" s="212">
        <f t="shared" si="43"/>
        <v>205.59450517241379</v>
      </c>
      <c r="G168" s="212">
        <f t="shared" si="43"/>
        <v>205.59450517241379</v>
      </c>
      <c r="H168" s="212">
        <f t="shared" si="43"/>
        <v>205.59450517241379</v>
      </c>
      <c r="I168" s="212">
        <f t="shared" si="43"/>
        <v>205.59450517241379</v>
      </c>
      <c r="J168" s="212">
        <f t="shared" si="43"/>
        <v>205.59450517241379</v>
      </c>
      <c r="K168" s="212">
        <f t="shared" si="43"/>
        <v>205.59450517241379</v>
      </c>
      <c r="L168" s="212">
        <f t="shared" si="43"/>
        <v>205.59450517241379</v>
      </c>
      <c r="M168" s="212">
        <f t="shared" si="43"/>
        <v>205.59450517241379</v>
      </c>
      <c r="N168" s="212">
        <f t="shared" si="43"/>
        <v>205.59450517241379</v>
      </c>
    </row>
    <row r="169" spans="1:16" x14ac:dyDescent="0.2">
      <c r="C169" s="212"/>
      <c r="D169" s="210"/>
      <c r="E169" s="210"/>
      <c r="F169" s="210"/>
      <c r="G169" s="210"/>
      <c r="H169" s="210"/>
      <c r="I169" s="210"/>
      <c r="J169" s="210"/>
      <c r="K169" s="210"/>
      <c r="L169" s="210"/>
      <c r="M169" s="210"/>
      <c r="N169" s="210"/>
    </row>
    <row r="170" spans="1:16" hidden="1" x14ac:dyDescent="0.2">
      <c r="C170" s="224" t="str">
        <f>C157</f>
        <v>January</v>
      </c>
      <c r="D170" s="224" t="str">
        <f t="shared" ref="D170:N170" si="44">D157</f>
        <v>February</v>
      </c>
      <c r="E170" s="224" t="str">
        <f t="shared" si="44"/>
        <v>March</v>
      </c>
      <c r="F170" s="224" t="str">
        <f t="shared" si="44"/>
        <v>April</v>
      </c>
      <c r="G170" s="224" t="str">
        <f t="shared" si="44"/>
        <v>May</v>
      </c>
      <c r="H170" s="224" t="str">
        <f t="shared" si="44"/>
        <v>June</v>
      </c>
      <c r="I170" s="224" t="str">
        <f t="shared" si="44"/>
        <v>July</v>
      </c>
      <c r="J170" s="224" t="str">
        <f t="shared" si="44"/>
        <v>August</v>
      </c>
      <c r="K170" s="224" t="str">
        <f t="shared" si="44"/>
        <v>September</v>
      </c>
      <c r="L170" s="224" t="str">
        <f t="shared" si="44"/>
        <v>October</v>
      </c>
      <c r="M170" s="224" t="str">
        <f t="shared" si="44"/>
        <v>November</v>
      </c>
      <c r="N170" s="224" t="str">
        <f t="shared" si="44"/>
        <v>December</v>
      </c>
    </row>
    <row r="171" spans="1:16" hidden="1" x14ac:dyDescent="0.2">
      <c r="C171" s="225">
        <v>31</v>
      </c>
      <c r="D171" s="225">
        <v>31</v>
      </c>
      <c r="E171" s="225">
        <v>30</v>
      </c>
      <c r="F171" s="225">
        <v>31</v>
      </c>
      <c r="G171" s="225">
        <v>30</v>
      </c>
      <c r="H171" s="225">
        <v>31</v>
      </c>
      <c r="I171" s="225">
        <v>31</v>
      </c>
      <c r="J171" s="225">
        <v>28</v>
      </c>
      <c r="K171" s="225">
        <v>31</v>
      </c>
      <c r="L171" s="225">
        <v>30</v>
      </c>
      <c r="M171" s="225">
        <v>31</v>
      </c>
      <c r="N171" s="226">
        <v>30</v>
      </c>
    </row>
    <row r="172" spans="1:16" hidden="1" x14ac:dyDescent="0.2">
      <c r="B172" s="89" t="s">
        <v>185</v>
      </c>
      <c r="C172" s="227">
        <f t="shared" ref="C172:N172" si="45">C159</f>
        <v>1</v>
      </c>
      <c r="D172" s="227">
        <f t="shared" si="45"/>
        <v>0</v>
      </c>
      <c r="E172" s="227">
        <f t="shared" si="45"/>
        <v>1</v>
      </c>
      <c r="F172" s="227">
        <f t="shared" si="45"/>
        <v>1</v>
      </c>
      <c r="G172" s="227">
        <f t="shared" si="45"/>
        <v>2</v>
      </c>
      <c r="H172" s="227">
        <f t="shared" si="45"/>
        <v>1</v>
      </c>
      <c r="I172" s="227">
        <f t="shared" si="45"/>
        <v>2</v>
      </c>
      <c r="J172" s="227">
        <f t="shared" si="45"/>
        <v>1</v>
      </c>
      <c r="K172" s="227">
        <f t="shared" si="45"/>
        <v>0</v>
      </c>
      <c r="L172" s="227">
        <f t="shared" si="45"/>
        <v>0</v>
      </c>
      <c r="M172" s="227">
        <f t="shared" si="45"/>
        <v>1</v>
      </c>
      <c r="N172" s="227">
        <f t="shared" si="45"/>
        <v>0</v>
      </c>
    </row>
    <row r="173" spans="1:16" hidden="1" x14ac:dyDescent="0.2">
      <c r="B173" s="89" t="s">
        <v>44</v>
      </c>
      <c r="C173" s="228"/>
      <c r="D173" s="228"/>
      <c r="E173" s="228"/>
      <c r="F173" s="228"/>
      <c r="G173" s="228"/>
      <c r="H173" s="228"/>
      <c r="I173" s="228"/>
      <c r="J173" s="228"/>
      <c r="K173" s="228"/>
      <c r="L173" s="228"/>
      <c r="M173" s="228"/>
      <c r="N173" s="228"/>
    </row>
    <row r="174" spans="1:16" hidden="1" x14ac:dyDescent="0.2">
      <c r="B174" s="89" t="s">
        <v>186</v>
      </c>
      <c r="C174" s="229">
        <f>SUM(174*C173)</f>
        <v>0</v>
      </c>
      <c r="D174" s="229">
        <f t="shared" ref="D174:N174" si="46">SUM(174*D173)</f>
        <v>0</v>
      </c>
      <c r="E174" s="229">
        <f t="shared" si="46"/>
        <v>0</v>
      </c>
      <c r="F174" s="229">
        <f t="shared" si="46"/>
        <v>0</v>
      </c>
      <c r="G174" s="229">
        <f t="shared" si="46"/>
        <v>0</v>
      </c>
      <c r="H174" s="229">
        <f t="shared" si="46"/>
        <v>0</v>
      </c>
      <c r="I174" s="229">
        <f t="shared" si="46"/>
        <v>0</v>
      </c>
      <c r="J174" s="229">
        <f t="shared" si="46"/>
        <v>0</v>
      </c>
      <c r="K174" s="229">
        <f t="shared" si="46"/>
        <v>0</v>
      </c>
      <c r="L174" s="229">
        <f t="shared" si="46"/>
        <v>0</v>
      </c>
      <c r="M174" s="229">
        <f t="shared" si="46"/>
        <v>0</v>
      </c>
      <c r="N174" s="229">
        <f t="shared" si="46"/>
        <v>0</v>
      </c>
    </row>
    <row r="175" spans="1:16" hidden="1" x14ac:dyDescent="0.2">
      <c r="A175" s="59" t="s">
        <v>193</v>
      </c>
      <c r="B175" s="78" t="s">
        <v>187</v>
      </c>
      <c r="C175" s="210">
        <f>SUM(C174*$B$176)</f>
        <v>0</v>
      </c>
      <c r="D175" s="210">
        <f t="shared" ref="D175:K175" si="47">SUM(D174*$B$176)</f>
        <v>0</v>
      </c>
      <c r="E175" s="210">
        <f t="shared" si="47"/>
        <v>0</v>
      </c>
      <c r="F175" s="210">
        <f t="shared" si="47"/>
        <v>0</v>
      </c>
      <c r="G175" s="210">
        <f t="shared" si="47"/>
        <v>0</v>
      </c>
      <c r="H175" s="210">
        <f t="shared" si="47"/>
        <v>0</v>
      </c>
      <c r="I175" s="210">
        <f t="shared" si="47"/>
        <v>0</v>
      </c>
      <c r="J175" s="210">
        <f t="shared" si="47"/>
        <v>0</v>
      </c>
      <c r="K175" s="210">
        <f t="shared" si="47"/>
        <v>0</v>
      </c>
      <c r="L175" s="210">
        <f>SUM(L174*$B$176)*'Data Links'!$B$3</f>
        <v>0</v>
      </c>
      <c r="M175" s="210">
        <f>SUM(M174*$B$176)*'Data Links'!$B$3</f>
        <v>0</v>
      </c>
      <c r="N175" s="210">
        <f>SUM(N174*$B$176)*'Data Links'!$B$3</f>
        <v>0</v>
      </c>
    </row>
    <row r="176" spans="1:16" hidden="1" x14ac:dyDescent="0.2">
      <c r="A176" s="59" t="s">
        <v>188</v>
      </c>
      <c r="B176" s="74">
        <v>0</v>
      </c>
      <c r="C176" s="210">
        <f>SUM(C175)*'Data Links'!$B$15</f>
        <v>0</v>
      </c>
      <c r="D176" s="210">
        <f>SUM(D175)*'Data Links'!$B$15</f>
        <v>0</v>
      </c>
      <c r="E176" s="210">
        <f>SUM(E175)*'Data Links'!$B$15</f>
        <v>0</v>
      </c>
      <c r="F176" s="210">
        <f>SUM(F175)*'Data Links'!$B$15</f>
        <v>0</v>
      </c>
      <c r="G176" s="210">
        <f>SUM(G175)*'Data Links'!$B$15</f>
        <v>0</v>
      </c>
      <c r="H176" s="210">
        <f>SUM(H175)*'Data Links'!$B$15</f>
        <v>0</v>
      </c>
      <c r="I176" s="210">
        <f>SUM(I175)*'Data Links'!$B$15</f>
        <v>0</v>
      </c>
      <c r="J176" s="210">
        <f>SUM(J175)*'Data Links'!$B$15</f>
        <v>0</v>
      </c>
      <c r="K176" s="210">
        <f>SUM(K175)*'Data Links'!$B$15</f>
        <v>0</v>
      </c>
      <c r="L176" s="210">
        <f>SUM(L175)*'Data Links'!$B$15</f>
        <v>0</v>
      </c>
      <c r="M176" s="210">
        <f>SUM(M175)*'Data Links'!$B$15</f>
        <v>0</v>
      </c>
      <c r="N176" s="210">
        <f>SUM(N175)*'Data Links'!$B$15</f>
        <v>0</v>
      </c>
    </row>
    <row r="177" spans="1:14" hidden="1" x14ac:dyDescent="0.2">
      <c r="A177" s="59" t="s">
        <v>189</v>
      </c>
      <c r="C177" s="66">
        <f>SUM(C175*'Data Links'!$B$13)</f>
        <v>0</v>
      </c>
      <c r="D177" s="66">
        <f>SUM(D175*'Data Links'!$B$13)</f>
        <v>0</v>
      </c>
      <c r="E177" s="66">
        <f>SUM(E175*'Data Links'!$B$13)</f>
        <v>0</v>
      </c>
      <c r="F177" s="66">
        <f>SUM(F175*'Data Links'!$B$13)</f>
        <v>0</v>
      </c>
      <c r="G177" s="66">
        <f>SUM(G175*'Data Links'!$B$13)</f>
        <v>0</v>
      </c>
      <c r="H177" s="66">
        <f>SUM(H175*'Data Links'!$B$13)</f>
        <v>0</v>
      </c>
      <c r="I177" s="66">
        <f>SUM(I175*'Data Links'!$B$13)</f>
        <v>0</v>
      </c>
      <c r="J177" s="66">
        <f>SUM(J175*'Data Links'!$B$13)</f>
        <v>0</v>
      </c>
      <c r="K177" s="66">
        <f>SUM(K175*'Data Links'!$B$13)</f>
        <v>0</v>
      </c>
      <c r="L177" s="66">
        <f>SUM(L175*'Data Links'!$B$13)</f>
        <v>0</v>
      </c>
      <c r="M177" s="66">
        <f>SUM(M175*'Data Links'!$B$13)</f>
        <v>0</v>
      </c>
      <c r="N177" s="66">
        <f>SUM(N175*'Data Links'!$B$13)</f>
        <v>0</v>
      </c>
    </row>
    <row r="178" spans="1:14" hidden="1" x14ac:dyDescent="0.2">
      <c r="A178" s="59" t="s">
        <v>190</v>
      </c>
      <c r="C178" s="66">
        <f>SUM(C174*'Data Links'!$B$8)</f>
        <v>0</v>
      </c>
      <c r="D178" s="66">
        <f>SUM(D174*'Data Links'!$B$8)</f>
        <v>0</v>
      </c>
      <c r="E178" s="66">
        <f>SUM(E174*'Data Links'!$B$8)</f>
        <v>0</v>
      </c>
      <c r="F178" s="66">
        <f>SUM(F174*'Data Links'!$B$8)</f>
        <v>0</v>
      </c>
      <c r="G178" s="66">
        <f>SUM(G174*'Data Links'!$B$8)</f>
        <v>0</v>
      </c>
      <c r="H178" s="66">
        <f>SUM(H174*'Data Links'!$B$8)</f>
        <v>0</v>
      </c>
      <c r="I178" s="66">
        <f>SUM(I174*'Data Links'!$B$8)</f>
        <v>0</v>
      </c>
      <c r="J178" s="66">
        <f>SUM(J174*'Data Links'!$B$8)</f>
        <v>0</v>
      </c>
      <c r="K178" s="66">
        <f>SUM(K174*'Data Links'!$B$8)</f>
        <v>0</v>
      </c>
      <c r="L178" s="66">
        <f>SUM(L174*'Data Links'!$B$8)</f>
        <v>0</v>
      </c>
      <c r="M178" s="66">
        <f>SUM(M174*'Data Links'!$B$8)</f>
        <v>0</v>
      </c>
      <c r="N178" s="66">
        <f>SUM(N174*'Data Links'!$B$8)</f>
        <v>0</v>
      </c>
    </row>
    <row r="179" spans="1:14" hidden="1" x14ac:dyDescent="0.2">
      <c r="A179" s="59" t="s">
        <v>191</v>
      </c>
      <c r="C179" s="66"/>
      <c r="D179" s="66"/>
      <c r="E179" s="66"/>
      <c r="F179" s="66"/>
      <c r="G179" s="66"/>
      <c r="H179" s="66"/>
      <c r="I179" s="66"/>
      <c r="J179" s="66"/>
      <c r="K179" s="66"/>
      <c r="L179" s="66"/>
      <c r="M179" s="66"/>
      <c r="N179" s="66"/>
    </row>
    <row r="180" spans="1:14" hidden="1" x14ac:dyDescent="0.2">
      <c r="A180" s="59" t="s">
        <v>192</v>
      </c>
      <c r="C180" s="66"/>
      <c r="D180" s="66"/>
      <c r="E180" s="66"/>
      <c r="F180" s="66"/>
      <c r="G180" s="66"/>
      <c r="H180" s="66"/>
      <c r="I180" s="66"/>
      <c r="J180" s="66"/>
      <c r="K180" s="66"/>
      <c r="L180" s="66"/>
      <c r="M180" s="66">
        <f>SUM(M175*'Data Links'!$B$17)</f>
        <v>0</v>
      </c>
      <c r="N180" s="66">
        <f>SUM(N175*'Data Links'!$B$17)</f>
        <v>0</v>
      </c>
    </row>
    <row r="181" spans="1:14" s="58" customFormat="1" hidden="1" x14ac:dyDescent="0.2">
      <c r="A181" s="58" t="s">
        <v>144</v>
      </c>
      <c r="B181" s="60"/>
      <c r="C181" s="60">
        <f t="shared" ref="C181:N181" si="48">SUM(C175:C180)</f>
        <v>0</v>
      </c>
      <c r="D181" s="60">
        <f t="shared" si="48"/>
        <v>0</v>
      </c>
      <c r="E181" s="60">
        <f t="shared" si="48"/>
        <v>0</v>
      </c>
      <c r="F181" s="60">
        <f t="shared" si="48"/>
        <v>0</v>
      </c>
      <c r="G181" s="60">
        <f t="shared" si="48"/>
        <v>0</v>
      </c>
      <c r="H181" s="60">
        <f t="shared" si="48"/>
        <v>0</v>
      </c>
      <c r="I181" s="60">
        <f t="shared" si="48"/>
        <v>0</v>
      </c>
      <c r="J181" s="60">
        <f t="shared" si="48"/>
        <v>0</v>
      </c>
      <c r="K181" s="60">
        <f t="shared" si="48"/>
        <v>0</v>
      </c>
      <c r="L181" s="60">
        <f t="shared" si="48"/>
        <v>0</v>
      </c>
      <c r="M181" s="60">
        <f t="shared" si="48"/>
        <v>0</v>
      </c>
      <c r="N181" s="60">
        <f t="shared" si="48"/>
        <v>0</v>
      </c>
    </row>
    <row r="182" spans="1:14" hidden="1" x14ac:dyDescent="0.2">
      <c r="C182" s="60"/>
      <c r="D182" s="66"/>
      <c r="E182" s="66"/>
      <c r="F182" s="66"/>
      <c r="G182" s="66"/>
      <c r="H182" s="66"/>
      <c r="I182" s="66"/>
      <c r="J182" s="66"/>
      <c r="K182" s="66"/>
      <c r="L182" s="66"/>
      <c r="M182" s="66"/>
      <c r="N182" s="66"/>
    </row>
    <row r="183" spans="1:14" hidden="1" x14ac:dyDescent="0.2">
      <c r="C183" s="89" t="str">
        <f>C170</f>
        <v>January</v>
      </c>
      <c r="D183" s="89" t="str">
        <f t="shared" ref="D183:N183" si="49">D170</f>
        <v>February</v>
      </c>
      <c r="E183" s="89" t="str">
        <f t="shared" si="49"/>
        <v>March</v>
      </c>
      <c r="F183" s="89" t="str">
        <f t="shared" si="49"/>
        <v>April</v>
      </c>
      <c r="G183" s="89" t="str">
        <f t="shared" si="49"/>
        <v>May</v>
      </c>
      <c r="H183" s="89" t="str">
        <f t="shared" si="49"/>
        <v>June</v>
      </c>
      <c r="I183" s="89" t="str">
        <f t="shared" si="49"/>
        <v>July</v>
      </c>
      <c r="J183" s="89" t="str">
        <f t="shared" si="49"/>
        <v>August</v>
      </c>
      <c r="K183" s="89" t="str">
        <f t="shared" si="49"/>
        <v>September</v>
      </c>
      <c r="L183" s="89" t="str">
        <f t="shared" si="49"/>
        <v>October</v>
      </c>
      <c r="M183" s="89" t="str">
        <f t="shared" si="49"/>
        <v>November</v>
      </c>
      <c r="N183" s="89" t="str">
        <f t="shared" si="49"/>
        <v>December</v>
      </c>
    </row>
    <row r="184" spans="1:14" hidden="1" x14ac:dyDescent="0.2">
      <c r="C184" s="72">
        <v>31</v>
      </c>
      <c r="D184" s="72">
        <v>31</v>
      </c>
      <c r="E184" s="72">
        <v>30</v>
      </c>
      <c r="F184" s="72">
        <v>31</v>
      </c>
      <c r="G184" s="72">
        <v>30</v>
      </c>
      <c r="H184" s="72">
        <v>31</v>
      </c>
      <c r="I184" s="72">
        <v>31</v>
      </c>
      <c r="J184" s="72">
        <v>28</v>
      </c>
      <c r="K184" s="72">
        <v>31</v>
      </c>
      <c r="L184" s="72">
        <v>30</v>
      </c>
      <c r="M184" s="72">
        <v>31</v>
      </c>
      <c r="N184" s="71">
        <v>30</v>
      </c>
    </row>
    <row r="185" spans="1:14" hidden="1" x14ac:dyDescent="0.2">
      <c r="B185" s="89" t="s">
        <v>185</v>
      </c>
      <c r="C185" s="78">
        <f t="shared" ref="C185:N185" si="50">C172</f>
        <v>1</v>
      </c>
      <c r="D185" s="78">
        <f t="shared" si="50"/>
        <v>0</v>
      </c>
      <c r="E185" s="78">
        <f t="shared" si="50"/>
        <v>1</v>
      </c>
      <c r="F185" s="78">
        <f t="shared" si="50"/>
        <v>1</v>
      </c>
      <c r="G185" s="78">
        <f t="shared" si="50"/>
        <v>2</v>
      </c>
      <c r="H185" s="78">
        <f t="shared" si="50"/>
        <v>1</v>
      </c>
      <c r="I185" s="78">
        <f t="shared" si="50"/>
        <v>2</v>
      </c>
      <c r="J185" s="78">
        <f t="shared" si="50"/>
        <v>1</v>
      </c>
      <c r="K185" s="78">
        <f t="shared" si="50"/>
        <v>0</v>
      </c>
      <c r="L185" s="78">
        <f t="shared" si="50"/>
        <v>0</v>
      </c>
      <c r="M185" s="78">
        <f t="shared" si="50"/>
        <v>1</v>
      </c>
      <c r="N185" s="78">
        <f t="shared" si="50"/>
        <v>0</v>
      </c>
    </row>
    <row r="186" spans="1:14" hidden="1" x14ac:dyDescent="0.2">
      <c r="B186" s="89" t="s">
        <v>44</v>
      </c>
      <c r="C186" s="49"/>
      <c r="D186" s="49"/>
      <c r="E186" s="49"/>
      <c r="F186" s="49"/>
      <c r="G186" s="49"/>
      <c r="H186" s="49"/>
      <c r="I186" s="49"/>
      <c r="J186" s="49"/>
      <c r="K186" s="49"/>
      <c r="L186" s="49"/>
      <c r="M186" s="49"/>
      <c r="N186" s="49"/>
    </row>
    <row r="187" spans="1:14" hidden="1" x14ac:dyDescent="0.2">
      <c r="B187" s="89" t="s">
        <v>186</v>
      </c>
      <c r="C187" s="53">
        <f>SUM(174*C186)</f>
        <v>0</v>
      </c>
      <c r="D187" s="53">
        <f t="shared" ref="D187:N187" si="51">SUM(174*D186)</f>
        <v>0</v>
      </c>
      <c r="E187" s="53">
        <f t="shared" si="51"/>
        <v>0</v>
      </c>
      <c r="F187" s="53">
        <f t="shared" si="51"/>
        <v>0</v>
      </c>
      <c r="G187" s="53">
        <f t="shared" si="51"/>
        <v>0</v>
      </c>
      <c r="H187" s="53">
        <f t="shared" si="51"/>
        <v>0</v>
      </c>
      <c r="I187" s="53">
        <f t="shared" si="51"/>
        <v>0</v>
      </c>
      <c r="J187" s="53">
        <f t="shared" si="51"/>
        <v>0</v>
      </c>
      <c r="K187" s="53">
        <f t="shared" si="51"/>
        <v>0</v>
      </c>
      <c r="L187" s="53">
        <f t="shared" si="51"/>
        <v>0</v>
      </c>
      <c r="M187" s="53">
        <f t="shared" si="51"/>
        <v>0</v>
      </c>
      <c r="N187" s="53">
        <f t="shared" si="51"/>
        <v>0</v>
      </c>
    </row>
    <row r="188" spans="1:14" hidden="1" x14ac:dyDescent="0.2">
      <c r="A188" s="59" t="s">
        <v>193</v>
      </c>
      <c r="B188" s="78" t="s">
        <v>187</v>
      </c>
      <c r="C188" s="66">
        <f>SUM(C187*$B$189)</f>
        <v>0</v>
      </c>
      <c r="D188" s="66">
        <f t="shared" ref="D188:N188" si="52">SUM(D187*$B$189)</f>
        <v>0</v>
      </c>
      <c r="E188" s="66">
        <f t="shared" si="52"/>
        <v>0</v>
      </c>
      <c r="F188" s="66">
        <f t="shared" si="52"/>
        <v>0</v>
      </c>
      <c r="G188" s="66">
        <f t="shared" si="52"/>
        <v>0</v>
      </c>
      <c r="H188" s="66">
        <f t="shared" si="52"/>
        <v>0</v>
      </c>
      <c r="I188" s="66">
        <f t="shared" si="52"/>
        <v>0</v>
      </c>
      <c r="J188" s="66">
        <f t="shared" si="52"/>
        <v>0</v>
      </c>
      <c r="K188" s="66">
        <f t="shared" si="52"/>
        <v>0</v>
      </c>
      <c r="L188" s="66">
        <f t="shared" si="52"/>
        <v>0</v>
      </c>
      <c r="M188" s="66">
        <f t="shared" si="52"/>
        <v>0</v>
      </c>
      <c r="N188" s="66">
        <f t="shared" si="52"/>
        <v>0</v>
      </c>
    </row>
    <row r="189" spans="1:14" hidden="1" x14ac:dyDescent="0.2">
      <c r="A189" s="59" t="s">
        <v>188</v>
      </c>
      <c r="B189" s="74">
        <v>0</v>
      </c>
      <c r="C189" s="66">
        <f>SUM(C188)*'Data Links'!$B$15</f>
        <v>0</v>
      </c>
      <c r="D189" s="66">
        <f>SUM(D188)*'Data Links'!$B$15</f>
        <v>0</v>
      </c>
      <c r="E189" s="66">
        <f>SUM(E188)*'Data Links'!$B$15</f>
        <v>0</v>
      </c>
      <c r="F189" s="66">
        <f>SUM(F188)*'Data Links'!$B$15</f>
        <v>0</v>
      </c>
      <c r="G189" s="66">
        <f>SUM(G188)*'Data Links'!$B$15</f>
        <v>0</v>
      </c>
      <c r="H189" s="66">
        <f>SUM(H188)*'Data Links'!$B$15</f>
        <v>0</v>
      </c>
      <c r="I189" s="66">
        <f>SUM(I188)*'Data Links'!$B$15</f>
        <v>0</v>
      </c>
      <c r="J189" s="66">
        <f>SUM(J188)*'Data Links'!$B$15</f>
        <v>0</v>
      </c>
      <c r="K189" s="66">
        <f>SUM(K188)*'Data Links'!$B$15</f>
        <v>0</v>
      </c>
      <c r="L189" s="66">
        <f>SUM(L188)*'Data Links'!$B$15</f>
        <v>0</v>
      </c>
      <c r="M189" s="66">
        <f>SUM(M188)*'Data Links'!$B$15</f>
        <v>0</v>
      </c>
      <c r="N189" s="66">
        <f>SUM(N188)*'Data Links'!$B$15</f>
        <v>0</v>
      </c>
    </row>
    <row r="190" spans="1:14" hidden="1" x14ac:dyDescent="0.2">
      <c r="A190" s="59" t="s">
        <v>189</v>
      </c>
      <c r="C190" s="66">
        <f>SUM(C188*'Data Links'!$B$13)</f>
        <v>0</v>
      </c>
      <c r="D190" s="66">
        <f>SUM(D188*'Data Links'!$B$13)</f>
        <v>0</v>
      </c>
      <c r="E190" s="66">
        <f>SUM(E188*'Data Links'!$B$13)</f>
        <v>0</v>
      </c>
      <c r="F190" s="66">
        <f>SUM(F188*'Data Links'!$B$13)</f>
        <v>0</v>
      </c>
      <c r="G190" s="66">
        <f>SUM(G188*'Data Links'!$B$13)</f>
        <v>0</v>
      </c>
      <c r="H190" s="66">
        <f>SUM(H188*'Data Links'!$B$13)</f>
        <v>0</v>
      </c>
      <c r="I190" s="66">
        <f>SUM(I188*'Data Links'!$B$13)</f>
        <v>0</v>
      </c>
      <c r="J190" s="66">
        <f>SUM(J188*'Data Links'!$B$13)</f>
        <v>0</v>
      </c>
      <c r="K190" s="66">
        <f>SUM(K188*'Data Links'!$B$13)</f>
        <v>0</v>
      </c>
      <c r="L190" s="66">
        <f>SUM(L188*'Data Links'!$B$13)</f>
        <v>0</v>
      </c>
      <c r="M190" s="66">
        <f>SUM(M188*'Data Links'!$B$13)</f>
        <v>0</v>
      </c>
      <c r="N190" s="66">
        <f>SUM(N188*'Data Links'!$B$13)</f>
        <v>0</v>
      </c>
    </row>
    <row r="191" spans="1:14" hidden="1" x14ac:dyDescent="0.2">
      <c r="A191" s="59" t="s">
        <v>190</v>
      </c>
      <c r="C191" s="66">
        <f>SUM(C187*'Data Links'!$B$8)</f>
        <v>0</v>
      </c>
      <c r="D191" s="66">
        <f>SUM(D187*'Data Links'!$B$8)</f>
        <v>0</v>
      </c>
      <c r="E191" s="66">
        <f>SUM(E187*'Data Links'!$B$8)</f>
        <v>0</v>
      </c>
      <c r="F191" s="66">
        <f>SUM(F187*'Data Links'!$B$8)</f>
        <v>0</v>
      </c>
      <c r="G191" s="66">
        <f>SUM(G187*'Data Links'!$B$8)</f>
        <v>0</v>
      </c>
      <c r="H191" s="66">
        <f>SUM(H187*'Data Links'!$B$8)</f>
        <v>0</v>
      </c>
      <c r="I191" s="66">
        <f>SUM(I187*'Data Links'!$B$8)</f>
        <v>0</v>
      </c>
      <c r="J191" s="66">
        <f>SUM(J187*'Data Links'!$B$8)</f>
        <v>0</v>
      </c>
      <c r="K191" s="66">
        <f>SUM(K187*'Data Links'!$B$8)</f>
        <v>0</v>
      </c>
      <c r="L191" s="66">
        <f>SUM(L187*'Data Links'!$B$8)</f>
        <v>0</v>
      </c>
      <c r="M191" s="66">
        <f>SUM(M187*'Data Links'!$B$8)</f>
        <v>0</v>
      </c>
      <c r="N191" s="66">
        <f>SUM(N187*'Data Links'!$B$8)</f>
        <v>0</v>
      </c>
    </row>
    <row r="192" spans="1:14" hidden="1" x14ac:dyDescent="0.2">
      <c r="A192" s="59" t="s">
        <v>191</v>
      </c>
      <c r="C192" s="66"/>
      <c r="D192" s="66"/>
      <c r="E192" s="66"/>
      <c r="F192" s="66"/>
      <c r="G192" s="66"/>
      <c r="H192" s="66"/>
      <c r="I192" s="66"/>
      <c r="J192" s="66"/>
      <c r="K192" s="66"/>
      <c r="L192" s="66"/>
      <c r="M192" s="66"/>
      <c r="N192" s="66"/>
    </row>
    <row r="193" spans="1:14" hidden="1" x14ac:dyDescent="0.2">
      <c r="A193" s="59" t="s">
        <v>192</v>
      </c>
      <c r="C193" s="66"/>
      <c r="D193" s="66"/>
      <c r="E193" s="66"/>
      <c r="F193" s="66"/>
      <c r="G193" s="66"/>
      <c r="H193" s="66"/>
      <c r="I193" s="66"/>
      <c r="J193" s="66"/>
      <c r="K193" s="66"/>
      <c r="L193" s="66"/>
      <c r="M193" s="66"/>
      <c r="N193" s="66"/>
    </row>
    <row r="194" spans="1:14" s="58" customFormat="1" hidden="1" x14ac:dyDescent="0.2">
      <c r="A194" s="58" t="s">
        <v>144</v>
      </c>
      <c r="B194" s="60"/>
      <c r="C194" s="60">
        <f t="shared" ref="C194:N194" si="53">SUM(C188:C193)</f>
        <v>0</v>
      </c>
      <c r="D194" s="60">
        <f t="shared" si="53"/>
        <v>0</v>
      </c>
      <c r="E194" s="60">
        <f t="shared" si="53"/>
        <v>0</v>
      </c>
      <c r="F194" s="60">
        <f t="shared" si="53"/>
        <v>0</v>
      </c>
      <c r="G194" s="60">
        <f t="shared" si="53"/>
        <v>0</v>
      </c>
      <c r="H194" s="60">
        <f t="shared" si="53"/>
        <v>0</v>
      </c>
      <c r="I194" s="60">
        <f t="shared" si="53"/>
        <v>0</v>
      </c>
      <c r="J194" s="60">
        <f t="shared" si="53"/>
        <v>0</v>
      </c>
      <c r="K194" s="60">
        <f t="shared" si="53"/>
        <v>0</v>
      </c>
      <c r="L194" s="60">
        <f t="shared" si="53"/>
        <v>0</v>
      </c>
      <c r="M194" s="60">
        <f t="shared" si="53"/>
        <v>0</v>
      </c>
      <c r="N194" s="60">
        <f t="shared" si="53"/>
        <v>0</v>
      </c>
    </row>
    <row r="195" spans="1:14" hidden="1" x14ac:dyDescent="0.2">
      <c r="C195" s="60"/>
      <c r="D195" s="66"/>
      <c r="E195" s="66"/>
      <c r="F195" s="66"/>
      <c r="G195" s="66"/>
      <c r="H195" s="66"/>
      <c r="I195" s="66"/>
      <c r="J195" s="66"/>
      <c r="K195" s="66"/>
      <c r="L195" s="66"/>
      <c r="M195" s="66"/>
      <c r="N195" s="66"/>
    </row>
    <row r="196" spans="1:14" hidden="1" x14ac:dyDescent="0.2">
      <c r="C196" s="89" t="str">
        <f>C183</f>
        <v>January</v>
      </c>
      <c r="D196" s="89" t="str">
        <f t="shared" ref="D196:M196" si="54">D183</f>
        <v>February</v>
      </c>
      <c r="E196" s="89" t="str">
        <f t="shared" si="54"/>
        <v>March</v>
      </c>
      <c r="F196" s="89" t="str">
        <f t="shared" si="54"/>
        <v>April</v>
      </c>
      <c r="G196" s="89" t="str">
        <f t="shared" si="54"/>
        <v>May</v>
      </c>
      <c r="H196" s="89" t="str">
        <f t="shared" si="54"/>
        <v>June</v>
      </c>
      <c r="I196" s="89" t="str">
        <f t="shared" si="54"/>
        <v>July</v>
      </c>
      <c r="J196" s="89" t="str">
        <f t="shared" si="54"/>
        <v>August</v>
      </c>
      <c r="K196" s="89" t="str">
        <f t="shared" si="54"/>
        <v>September</v>
      </c>
      <c r="L196" s="89" t="str">
        <f t="shared" si="54"/>
        <v>October</v>
      </c>
      <c r="M196" s="89" t="str">
        <f t="shared" si="54"/>
        <v>November</v>
      </c>
      <c r="N196" s="89" t="str">
        <f>N183</f>
        <v>December</v>
      </c>
    </row>
    <row r="197" spans="1:14" hidden="1" x14ac:dyDescent="0.2">
      <c r="C197" s="72">
        <v>31</v>
      </c>
      <c r="D197" s="72">
        <v>31</v>
      </c>
      <c r="E197" s="72">
        <v>30</v>
      </c>
      <c r="F197" s="72">
        <v>31</v>
      </c>
      <c r="G197" s="72">
        <v>30</v>
      </c>
      <c r="H197" s="72">
        <v>31</v>
      </c>
      <c r="I197" s="72">
        <v>31</v>
      </c>
      <c r="J197" s="72">
        <v>28</v>
      </c>
      <c r="K197" s="72">
        <v>31</v>
      </c>
      <c r="L197" s="72">
        <v>30</v>
      </c>
      <c r="M197" s="72">
        <v>31</v>
      </c>
      <c r="N197" s="71">
        <v>30</v>
      </c>
    </row>
    <row r="198" spans="1:14" hidden="1" x14ac:dyDescent="0.2">
      <c r="B198" s="89" t="s">
        <v>185</v>
      </c>
      <c r="C198" s="78">
        <f t="shared" ref="C198:N198" si="55">C185</f>
        <v>1</v>
      </c>
      <c r="D198" s="78">
        <f t="shared" si="55"/>
        <v>0</v>
      </c>
      <c r="E198" s="78">
        <f t="shared" si="55"/>
        <v>1</v>
      </c>
      <c r="F198" s="78">
        <f t="shared" si="55"/>
        <v>1</v>
      </c>
      <c r="G198" s="78">
        <f t="shared" si="55"/>
        <v>2</v>
      </c>
      <c r="H198" s="78">
        <f t="shared" si="55"/>
        <v>1</v>
      </c>
      <c r="I198" s="78">
        <f t="shared" si="55"/>
        <v>2</v>
      </c>
      <c r="J198" s="78">
        <f t="shared" si="55"/>
        <v>1</v>
      </c>
      <c r="K198" s="78">
        <f t="shared" si="55"/>
        <v>0</v>
      </c>
      <c r="L198" s="78">
        <f t="shared" si="55"/>
        <v>0</v>
      </c>
      <c r="M198" s="78">
        <f t="shared" si="55"/>
        <v>1</v>
      </c>
      <c r="N198" s="78">
        <f t="shared" si="55"/>
        <v>0</v>
      </c>
    </row>
    <row r="199" spans="1:14" hidden="1" x14ac:dyDescent="0.2">
      <c r="B199" s="89" t="s">
        <v>44</v>
      </c>
      <c r="C199" s="49"/>
      <c r="D199" s="49"/>
      <c r="E199" s="49"/>
      <c r="F199" s="49"/>
      <c r="G199" s="49"/>
      <c r="H199" s="49"/>
      <c r="I199" s="49"/>
      <c r="J199" s="49"/>
      <c r="K199" s="49"/>
      <c r="L199" s="49"/>
      <c r="M199" s="49"/>
      <c r="N199" s="49"/>
    </row>
    <row r="200" spans="1:14" hidden="1" x14ac:dyDescent="0.2">
      <c r="B200" s="78" t="s">
        <v>186</v>
      </c>
      <c r="C200" s="53">
        <f>SUM(174*C199)</f>
        <v>0</v>
      </c>
      <c r="D200" s="53">
        <f t="shared" ref="D200:N200" si="56">SUM(174*D199)</f>
        <v>0</v>
      </c>
      <c r="E200" s="53">
        <f t="shared" si="56"/>
        <v>0</v>
      </c>
      <c r="F200" s="53">
        <f t="shared" si="56"/>
        <v>0</v>
      </c>
      <c r="G200" s="53">
        <f t="shared" si="56"/>
        <v>0</v>
      </c>
      <c r="H200" s="53">
        <f t="shared" si="56"/>
        <v>0</v>
      </c>
      <c r="I200" s="53">
        <f t="shared" si="56"/>
        <v>0</v>
      </c>
      <c r="J200" s="53">
        <f t="shared" si="56"/>
        <v>0</v>
      </c>
      <c r="K200" s="53">
        <f t="shared" si="56"/>
        <v>0</v>
      </c>
      <c r="L200" s="53">
        <f t="shared" si="56"/>
        <v>0</v>
      </c>
      <c r="M200" s="53">
        <f t="shared" si="56"/>
        <v>0</v>
      </c>
      <c r="N200" s="53">
        <f t="shared" si="56"/>
        <v>0</v>
      </c>
    </row>
    <row r="201" spans="1:14" hidden="1" x14ac:dyDescent="0.2">
      <c r="A201" s="59" t="s">
        <v>193</v>
      </c>
      <c r="B201" s="78" t="s">
        <v>187</v>
      </c>
      <c r="C201" s="66">
        <f>SUM(C200*$B$202)</f>
        <v>0</v>
      </c>
      <c r="D201" s="66">
        <f t="shared" ref="D201:N201" si="57">SUM(D200*$B$202)</f>
        <v>0</v>
      </c>
      <c r="E201" s="66">
        <f t="shared" si="57"/>
        <v>0</v>
      </c>
      <c r="F201" s="66">
        <f t="shared" si="57"/>
        <v>0</v>
      </c>
      <c r="G201" s="66">
        <f t="shared" si="57"/>
        <v>0</v>
      </c>
      <c r="H201" s="66">
        <f t="shared" si="57"/>
        <v>0</v>
      </c>
      <c r="I201" s="66">
        <f t="shared" si="57"/>
        <v>0</v>
      </c>
      <c r="J201" s="66">
        <f t="shared" si="57"/>
        <v>0</v>
      </c>
      <c r="K201" s="66">
        <f t="shared" si="57"/>
        <v>0</v>
      </c>
      <c r="L201" s="66">
        <f t="shared" si="57"/>
        <v>0</v>
      </c>
      <c r="M201" s="66">
        <f t="shared" si="57"/>
        <v>0</v>
      </c>
      <c r="N201" s="66">
        <f t="shared" si="57"/>
        <v>0</v>
      </c>
    </row>
    <row r="202" spans="1:14" hidden="1" x14ac:dyDescent="0.2">
      <c r="A202" s="59" t="s">
        <v>188</v>
      </c>
      <c r="B202" s="74">
        <v>0</v>
      </c>
      <c r="C202" s="66">
        <f>SUM(C201)*'Data Links'!$B$15</f>
        <v>0</v>
      </c>
      <c r="D202" s="66">
        <f>SUM(D201)*'Data Links'!$B$15</f>
        <v>0</v>
      </c>
      <c r="E202" s="66">
        <f>SUM(E201)*'Data Links'!$B$15</f>
        <v>0</v>
      </c>
      <c r="F202" s="66">
        <f>SUM(F201)*'Data Links'!$B$15</f>
        <v>0</v>
      </c>
      <c r="G202" s="66">
        <f>SUM(G201)*'Data Links'!$B$15</f>
        <v>0</v>
      </c>
      <c r="H202" s="66">
        <f>SUM(H201)*'Data Links'!$B$15</f>
        <v>0</v>
      </c>
      <c r="I202" s="66">
        <f>SUM(I201)*'Data Links'!$B$15</f>
        <v>0</v>
      </c>
      <c r="J202" s="66">
        <f>SUM(J201)*'Data Links'!$B$15</f>
        <v>0</v>
      </c>
      <c r="K202" s="66">
        <f>SUM(K201)*'Data Links'!$B$15</f>
        <v>0</v>
      </c>
      <c r="L202" s="66">
        <f>SUM(L201)*'Data Links'!$B$15</f>
        <v>0</v>
      </c>
      <c r="M202" s="66">
        <f>SUM(M201)*'Data Links'!$B$15</f>
        <v>0</v>
      </c>
      <c r="N202" s="66">
        <f>SUM(N201)*'Data Links'!$B$15</f>
        <v>0</v>
      </c>
    </row>
    <row r="203" spans="1:14" hidden="1" x14ac:dyDescent="0.2">
      <c r="A203" s="59" t="s">
        <v>189</v>
      </c>
      <c r="C203" s="66">
        <f>SUM(C201*'Data Links'!$B$13)</f>
        <v>0</v>
      </c>
      <c r="D203" s="66">
        <f>SUM(D201*'Data Links'!$B$13)</f>
        <v>0</v>
      </c>
      <c r="E203" s="66">
        <f>SUM(E201*'Data Links'!$B$13)</f>
        <v>0</v>
      </c>
      <c r="F203" s="66">
        <f>SUM(F201*'Data Links'!$B$13)</f>
        <v>0</v>
      </c>
      <c r="G203" s="66">
        <f>SUM(G201*'Data Links'!$B$13)</f>
        <v>0</v>
      </c>
      <c r="H203" s="66">
        <f>SUM(H201*'Data Links'!$B$13)</f>
        <v>0</v>
      </c>
      <c r="I203" s="66">
        <f>SUM(I201*'Data Links'!$B$13)</f>
        <v>0</v>
      </c>
      <c r="J203" s="66">
        <f>SUM(J201*'Data Links'!$B$13)</f>
        <v>0</v>
      </c>
      <c r="K203" s="66">
        <f>SUM(K201*'Data Links'!$B$13)</f>
        <v>0</v>
      </c>
      <c r="L203" s="66">
        <f>SUM(L201*'Data Links'!$B$13)</f>
        <v>0</v>
      </c>
      <c r="M203" s="66">
        <f>SUM(M201*'Data Links'!$B$13)</f>
        <v>0</v>
      </c>
      <c r="N203" s="66">
        <f>SUM(N201*'Data Links'!$B$13)</f>
        <v>0</v>
      </c>
    </row>
    <row r="204" spans="1:14" hidden="1" x14ac:dyDescent="0.2">
      <c r="A204" s="59" t="s">
        <v>190</v>
      </c>
      <c r="C204" s="66">
        <f>SUM(C200*'Data Links'!$B$8)</f>
        <v>0</v>
      </c>
      <c r="D204" s="66">
        <f>SUM(D200*'Data Links'!$B$8)</f>
        <v>0</v>
      </c>
      <c r="E204" s="66">
        <f>SUM(E200*'Data Links'!$B$8)</f>
        <v>0</v>
      </c>
      <c r="F204" s="66">
        <f>SUM(F200*'Data Links'!$B$8)</f>
        <v>0</v>
      </c>
      <c r="G204" s="66">
        <f>SUM(G200*'Data Links'!$B$8)</f>
        <v>0</v>
      </c>
      <c r="H204" s="66">
        <f>SUM(H200*'Data Links'!$B$8)</f>
        <v>0</v>
      </c>
      <c r="I204" s="66">
        <f>SUM(I200*'Data Links'!$B$8)</f>
        <v>0</v>
      </c>
      <c r="J204" s="66">
        <f>SUM(J200*'Data Links'!$B$8)</f>
        <v>0</v>
      </c>
      <c r="K204" s="66">
        <f>SUM(K200*'Data Links'!$B$8)</f>
        <v>0</v>
      </c>
      <c r="L204" s="66">
        <f>SUM(L200*'Data Links'!$B$8)</f>
        <v>0</v>
      </c>
      <c r="M204" s="66">
        <f>SUM(M200*'Data Links'!$B$8)</f>
        <v>0</v>
      </c>
      <c r="N204" s="66">
        <f>SUM(N200*'Data Links'!$B$8)</f>
        <v>0</v>
      </c>
    </row>
    <row r="205" spans="1:14" hidden="1" x14ac:dyDescent="0.2">
      <c r="A205" s="59" t="s">
        <v>191</v>
      </c>
      <c r="C205" s="66"/>
      <c r="D205" s="66"/>
      <c r="E205" s="66"/>
      <c r="F205" s="66"/>
      <c r="G205" s="66"/>
      <c r="H205" s="66"/>
      <c r="I205" s="66"/>
      <c r="J205" s="66"/>
      <c r="K205" s="66"/>
      <c r="L205" s="66"/>
      <c r="M205" s="66"/>
      <c r="N205" s="66"/>
    </row>
    <row r="206" spans="1:14" hidden="1" x14ac:dyDescent="0.2">
      <c r="A206" s="59" t="s">
        <v>192</v>
      </c>
      <c r="C206" s="66"/>
      <c r="D206" s="66"/>
      <c r="E206" s="66"/>
      <c r="F206" s="66"/>
      <c r="G206" s="66"/>
      <c r="H206" s="66"/>
      <c r="I206" s="66"/>
      <c r="J206" s="66"/>
      <c r="K206" s="66"/>
      <c r="L206" s="66"/>
      <c r="M206" s="66"/>
      <c r="N206" s="66"/>
    </row>
    <row r="207" spans="1:14" s="58" customFormat="1" hidden="1" x14ac:dyDescent="0.2">
      <c r="A207" s="58" t="s">
        <v>144</v>
      </c>
      <c r="B207" s="60"/>
      <c r="C207" s="60">
        <f t="shared" ref="C207:N207" si="58">SUM(C201:C206)</f>
        <v>0</v>
      </c>
      <c r="D207" s="60">
        <f t="shared" si="58"/>
        <v>0</v>
      </c>
      <c r="E207" s="60">
        <f t="shared" si="58"/>
        <v>0</v>
      </c>
      <c r="F207" s="60">
        <f t="shared" si="58"/>
        <v>0</v>
      </c>
      <c r="G207" s="60">
        <f t="shared" si="58"/>
        <v>0</v>
      </c>
      <c r="H207" s="60">
        <f t="shared" si="58"/>
        <v>0</v>
      </c>
      <c r="I207" s="60">
        <f t="shared" si="58"/>
        <v>0</v>
      </c>
      <c r="J207" s="60">
        <f t="shared" si="58"/>
        <v>0</v>
      </c>
      <c r="K207" s="60">
        <f t="shared" si="58"/>
        <v>0</v>
      </c>
      <c r="L207" s="60">
        <f t="shared" si="58"/>
        <v>0</v>
      </c>
      <c r="M207" s="60">
        <f t="shared" si="58"/>
        <v>0</v>
      </c>
      <c r="N207" s="60">
        <f t="shared" si="58"/>
        <v>0</v>
      </c>
    </row>
    <row r="208" spans="1:14" hidden="1" x14ac:dyDescent="0.2">
      <c r="C208" s="60"/>
      <c r="D208" s="66"/>
      <c r="E208" s="66"/>
      <c r="F208" s="66"/>
      <c r="G208" s="66"/>
      <c r="H208" s="66"/>
      <c r="I208" s="66"/>
      <c r="J208" s="66"/>
      <c r="K208" s="66"/>
      <c r="L208" s="66"/>
      <c r="M208" s="66"/>
      <c r="N208" s="66"/>
    </row>
    <row r="209" spans="1:14" hidden="1" x14ac:dyDescent="0.2">
      <c r="C209" s="60"/>
      <c r="D209" s="66"/>
      <c r="E209" s="66"/>
      <c r="F209" s="66"/>
      <c r="G209" s="66"/>
      <c r="H209" s="66"/>
      <c r="I209" s="66"/>
      <c r="J209" s="66"/>
      <c r="K209" s="66"/>
      <c r="L209" s="66"/>
      <c r="M209" s="66"/>
      <c r="N209" s="66"/>
    </row>
    <row r="210" spans="1:14" x14ac:dyDescent="0.2">
      <c r="C210" s="60"/>
      <c r="D210" s="66"/>
      <c r="E210" s="66"/>
      <c r="F210" s="66"/>
      <c r="G210" s="66"/>
      <c r="H210" s="66"/>
      <c r="I210" s="66"/>
      <c r="J210" s="66"/>
      <c r="K210" s="66"/>
      <c r="L210" s="66"/>
      <c r="M210" s="66"/>
      <c r="N210" s="66"/>
    </row>
    <row r="211" spans="1:14" x14ac:dyDescent="0.2">
      <c r="C211" s="60"/>
      <c r="D211" s="66"/>
      <c r="E211" s="66"/>
      <c r="F211" s="66"/>
      <c r="G211" s="66"/>
      <c r="H211" s="66"/>
      <c r="I211" s="66"/>
      <c r="J211" s="66"/>
      <c r="K211" s="66"/>
      <c r="L211" s="66"/>
      <c r="M211" s="66"/>
      <c r="N211" s="66"/>
    </row>
    <row r="212" spans="1:14" x14ac:dyDescent="0.2">
      <c r="A212" s="58" t="s">
        <v>194</v>
      </c>
      <c r="C212" s="60"/>
      <c r="D212" s="66"/>
      <c r="E212" s="66"/>
      <c r="F212" s="66"/>
      <c r="G212" s="66"/>
      <c r="H212" s="66"/>
      <c r="I212" s="66"/>
      <c r="J212" s="66"/>
      <c r="K212" s="66"/>
      <c r="L212" s="66"/>
      <c r="M212" s="66"/>
      <c r="N212" s="66"/>
    </row>
    <row r="213" spans="1:14" x14ac:dyDescent="0.2">
      <c r="A213" s="59" t="s">
        <v>195</v>
      </c>
      <c r="C213" s="66">
        <f>SUM(C110+C123+C136+C149+C162+C175+C188+C201)</f>
        <v>3993.8009999999999</v>
      </c>
      <c r="D213" s="66">
        <f t="shared" ref="D213:N213" si="59">SUM(D110+D123+D136+D149+D162+D175+D188+D201)</f>
        <v>3993.8009999999999</v>
      </c>
      <c r="E213" s="66">
        <f t="shared" si="59"/>
        <v>3993.8009999999999</v>
      </c>
      <c r="F213" s="66">
        <f t="shared" si="59"/>
        <v>3993.8009999999999</v>
      </c>
      <c r="G213" s="66">
        <f t="shared" si="59"/>
        <v>3993.8009999999999</v>
      </c>
      <c r="H213" s="66">
        <f t="shared" si="59"/>
        <v>3993.8009999999999</v>
      </c>
      <c r="I213" s="66">
        <f t="shared" si="59"/>
        <v>687.80100000000016</v>
      </c>
      <c r="J213" s="66">
        <f t="shared" si="59"/>
        <v>661.70100000000002</v>
      </c>
      <c r="K213" s="66">
        <f t="shared" si="59"/>
        <v>3967.701</v>
      </c>
      <c r="L213" s="66">
        <f t="shared" si="59"/>
        <v>3967.701</v>
      </c>
      <c r="M213" s="66">
        <f t="shared" si="59"/>
        <v>3967.701</v>
      </c>
      <c r="N213" s="66">
        <f t="shared" si="59"/>
        <v>3967.701</v>
      </c>
    </row>
    <row r="214" spans="1:14" x14ac:dyDescent="0.2">
      <c r="A214" s="59" t="s">
        <v>22</v>
      </c>
      <c r="C214" s="66">
        <f>SUM(C111+C112+C113+C124+C125+C126+C137+C138+C139+C150+C151+C152+C163+C164+C165+C176+C177+C178+C189+C190+C191+C202+C203+C204)</f>
        <v>345.24542249999996</v>
      </c>
      <c r="D214" s="66">
        <f t="shared" ref="D214:N214" si="60">SUM(D111+D112+D113+D124+D125+D126+D137+D138+D139+D150+D151+D152+D163+D164+D165+D176+D177+D178+D189+D190+D191+D202+D203+D204)</f>
        <v>345.24542249999996</v>
      </c>
      <c r="E214" s="66">
        <f t="shared" si="60"/>
        <v>345.24542249999996</v>
      </c>
      <c r="F214" s="66">
        <f t="shared" si="60"/>
        <v>345.24542249999996</v>
      </c>
      <c r="G214" s="66">
        <f t="shared" si="60"/>
        <v>345.24542249999996</v>
      </c>
      <c r="H214" s="66">
        <f t="shared" si="60"/>
        <v>345.24542249999996</v>
      </c>
      <c r="I214" s="66">
        <f t="shared" si="60"/>
        <v>58.95452250000001</v>
      </c>
      <c r="J214" s="66">
        <f t="shared" si="60"/>
        <v>56.80127250000001</v>
      </c>
      <c r="K214" s="66">
        <f t="shared" si="60"/>
        <v>343.09217249999995</v>
      </c>
      <c r="L214" s="66">
        <f t="shared" si="60"/>
        <v>343.09217249999995</v>
      </c>
      <c r="M214" s="66">
        <f t="shared" si="60"/>
        <v>343.09217249999995</v>
      </c>
      <c r="N214" s="66">
        <f t="shared" si="60"/>
        <v>343.09217249999995</v>
      </c>
    </row>
    <row r="215" spans="1:14" x14ac:dyDescent="0.2">
      <c r="A215" s="59" t="s">
        <v>23</v>
      </c>
      <c r="C215" s="66">
        <f>SUM(C114+C115+C127+C128+C140+C141+C153+C154+C167+C166+C179+C180+C192+C193+C205+C206)</f>
        <v>578.98354275862073</v>
      </c>
      <c r="D215" s="66">
        <f t="shared" ref="D215:N215" si="61">SUM(D114+D115+D127+D128+D140+D141+D153+D154+D167+D166+D179+D180+D192+D193+D205+D206)</f>
        <v>578.98354275862073</v>
      </c>
      <c r="E215" s="66">
        <f t="shared" si="61"/>
        <v>578.98354275862073</v>
      </c>
      <c r="F215" s="66">
        <f t="shared" si="61"/>
        <v>578.98354275862073</v>
      </c>
      <c r="G215" s="66">
        <f t="shared" si="61"/>
        <v>578.98354275862073</v>
      </c>
      <c r="H215" s="66">
        <f t="shared" si="61"/>
        <v>578.98354275862073</v>
      </c>
      <c r="I215" s="66">
        <f t="shared" si="61"/>
        <v>479.80354275862067</v>
      </c>
      <c r="J215" s="66">
        <f t="shared" si="61"/>
        <v>479.02054275862065</v>
      </c>
      <c r="K215" s="66">
        <f t="shared" si="61"/>
        <v>578.20054275862071</v>
      </c>
      <c r="L215" s="66">
        <f t="shared" si="61"/>
        <v>578.20054275862071</v>
      </c>
      <c r="M215" s="66">
        <f t="shared" si="61"/>
        <v>578.20054275862071</v>
      </c>
      <c r="N215" s="66">
        <f t="shared" si="61"/>
        <v>578.20054275862071</v>
      </c>
    </row>
    <row r="216" spans="1:14" s="58" customFormat="1" x14ac:dyDescent="0.2">
      <c r="A216" s="58" t="s">
        <v>196</v>
      </c>
      <c r="B216" s="60"/>
      <c r="C216" s="60">
        <f>SUM(C213:C215)</f>
        <v>4918.02996525862</v>
      </c>
      <c r="D216" s="60">
        <f t="shared" ref="D216:N216" si="62">SUM(D213:D215)</f>
        <v>4918.02996525862</v>
      </c>
      <c r="E216" s="60">
        <f t="shared" si="62"/>
        <v>4918.02996525862</v>
      </c>
      <c r="F216" s="60">
        <f t="shared" si="62"/>
        <v>4918.02996525862</v>
      </c>
      <c r="G216" s="60">
        <f t="shared" si="62"/>
        <v>4918.02996525862</v>
      </c>
      <c r="H216" s="60">
        <f t="shared" si="62"/>
        <v>4918.02996525862</v>
      </c>
      <c r="I216" s="60">
        <f t="shared" si="62"/>
        <v>1226.5590652586209</v>
      </c>
      <c r="J216" s="60">
        <f t="shared" si="62"/>
        <v>1197.5228152586205</v>
      </c>
      <c r="K216" s="60">
        <f t="shared" si="62"/>
        <v>4888.9937152586208</v>
      </c>
      <c r="L216" s="60">
        <f t="shared" si="62"/>
        <v>4888.9937152586208</v>
      </c>
      <c r="M216" s="60">
        <f t="shared" si="62"/>
        <v>4888.9937152586208</v>
      </c>
      <c r="N216" s="60">
        <f t="shared" si="62"/>
        <v>4888.9937152586208</v>
      </c>
    </row>
    <row r="217" spans="1:14" x14ac:dyDescent="0.2">
      <c r="C217" s="60"/>
      <c r="D217" s="66"/>
      <c r="E217" s="66"/>
      <c r="F217" s="66"/>
      <c r="G217" s="66"/>
      <c r="H217" s="66"/>
      <c r="I217" s="66"/>
      <c r="J217" s="66"/>
      <c r="K217" s="66"/>
      <c r="L217" s="66"/>
      <c r="M217" s="66"/>
      <c r="N217" s="66"/>
    </row>
    <row r="218" spans="1:14" x14ac:dyDescent="0.2">
      <c r="C218" s="60"/>
      <c r="D218" s="66"/>
      <c r="E218" s="66"/>
      <c r="F218" s="66"/>
      <c r="G218" s="66"/>
      <c r="H218" s="66"/>
      <c r="I218" s="66"/>
      <c r="J218" s="66"/>
      <c r="K218" s="66"/>
      <c r="L218" s="66"/>
      <c r="M218" s="66"/>
      <c r="N218" s="66"/>
    </row>
    <row r="219" spans="1:14" x14ac:dyDescent="0.2">
      <c r="C219" s="60"/>
      <c r="D219" s="66"/>
      <c r="E219" s="66"/>
      <c r="F219" s="66"/>
      <c r="G219" s="66"/>
      <c r="H219" s="66"/>
      <c r="I219" s="66"/>
      <c r="J219" s="66"/>
      <c r="K219" s="66"/>
      <c r="L219" s="66"/>
      <c r="M219" s="66"/>
      <c r="N219" s="66"/>
    </row>
    <row r="220" spans="1:14" x14ac:dyDescent="0.2">
      <c r="C220" s="60"/>
      <c r="D220" s="66"/>
      <c r="E220" s="66"/>
      <c r="F220" s="66"/>
      <c r="G220" s="66"/>
      <c r="H220" s="66"/>
      <c r="I220" s="66"/>
      <c r="J220" s="66"/>
      <c r="K220" s="66"/>
      <c r="L220" s="66"/>
      <c r="M220" s="66"/>
      <c r="N220" s="66"/>
    </row>
    <row r="221" spans="1:14" x14ac:dyDescent="0.2">
      <c r="A221" s="84"/>
      <c r="B221" s="84"/>
      <c r="C221" s="60"/>
      <c r="D221" s="66"/>
      <c r="E221" s="66"/>
      <c r="F221" s="66"/>
      <c r="G221" s="66"/>
      <c r="H221" s="66"/>
      <c r="I221" s="66"/>
      <c r="J221" s="66"/>
      <c r="K221" s="66"/>
      <c r="L221" s="66"/>
      <c r="M221" s="66"/>
      <c r="N221" s="66"/>
    </row>
    <row r="222" spans="1:14" x14ac:dyDescent="0.2">
      <c r="A222" s="84"/>
      <c r="B222" s="84"/>
      <c r="C222" s="60"/>
      <c r="D222" s="66"/>
      <c r="E222" s="66"/>
      <c r="F222" s="66"/>
      <c r="G222" s="66"/>
      <c r="H222" s="66"/>
      <c r="I222" s="66"/>
      <c r="J222" s="66"/>
      <c r="K222" s="66"/>
      <c r="L222" s="66"/>
      <c r="M222" s="66"/>
      <c r="N222" s="66"/>
    </row>
    <row r="223" spans="1:14" x14ac:dyDescent="0.2">
      <c r="A223" s="84"/>
      <c r="B223" s="84"/>
      <c r="C223" s="60"/>
      <c r="D223" s="66"/>
      <c r="E223" s="66"/>
      <c r="F223" s="66"/>
      <c r="G223" s="66"/>
      <c r="H223" s="66"/>
      <c r="I223" s="66"/>
      <c r="J223" s="66"/>
      <c r="K223" s="66"/>
      <c r="L223" s="66"/>
      <c r="M223" s="66"/>
      <c r="N223" s="66"/>
    </row>
    <row r="224" spans="1:14" x14ac:dyDescent="0.2">
      <c r="A224" s="84"/>
      <c r="B224" s="84"/>
      <c r="C224" s="60"/>
      <c r="D224" s="66"/>
      <c r="E224" s="66"/>
      <c r="F224" s="66"/>
      <c r="G224" s="66"/>
      <c r="H224" s="66"/>
      <c r="I224" s="66"/>
      <c r="J224" s="66"/>
      <c r="K224" s="66"/>
      <c r="L224" s="66"/>
      <c r="M224" s="66"/>
      <c r="N224" s="66"/>
    </row>
    <row r="225" spans="1:14" x14ac:dyDescent="0.2">
      <c r="A225" s="84"/>
      <c r="B225" s="84"/>
      <c r="C225" s="60"/>
      <c r="D225" s="66"/>
      <c r="E225" s="66"/>
      <c r="F225" s="66"/>
      <c r="G225" s="66"/>
      <c r="H225" s="66"/>
      <c r="I225" s="66"/>
      <c r="J225" s="66"/>
      <c r="K225" s="66"/>
      <c r="L225" s="66"/>
      <c r="M225" s="66"/>
      <c r="N225" s="66"/>
    </row>
    <row r="226" spans="1:14" x14ac:dyDescent="0.2">
      <c r="A226" s="84"/>
      <c r="B226" s="84"/>
      <c r="C226" s="60"/>
      <c r="D226" s="66"/>
      <c r="E226" s="66"/>
      <c r="F226" s="66"/>
      <c r="G226" s="66"/>
      <c r="H226" s="66"/>
      <c r="I226" s="66"/>
      <c r="J226" s="66"/>
      <c r="K226" s="66"/>
      <c r="L226" s="66"/>
      <c r="M226" s="66"/>
      <c r="N226" s="66"/>
    </row>
    <row r="227" spans="1:14" x14ac:dyDescent="0.2">
      <c r="A227" s="84"/>
      <c r="B227" s="84"/>
      <c r="C227" s="60"/>
      <c r="D227" s="66"/>
      <c r="E227" s="66"/>
      <c r="F227" s="66"/>
      <c r="G227" s="66"/>
      <c r="H227" s="66"/>
      <c r="I227" s="66"/>
      <c r="J227" s="66"/>
      <c r="K227" s="66"/>
      <c r="L227" s="66"/>
      <c r="M227" s="66"/>
      <c r="N227" s="66"/>
    </row>
    <row r="228" spans="1:14" x14ac:dyDescent="0.2">
      <c r="A228" s="84"/>
      <c r="B228" s="84"/>
      <c r="C228" s="60"/>
      <c r="D228" s="66"/>
      <c r="E228" s="66"/>
      <c r="F228" s="66"/>
      <c r="G228" s="66"/>
      <c r="H228" s="66"/>
      <c r="I228" s="66"/>
      <c r="J228" s="66"/>
      <c r="K228" s="66"/>
      <c r="L228" s="66"/>
      <c r="M228" s="66"/>
      <c r="N228" s="66"/>
    </row>
    <row r="229" spans="1:14" x14ac:dyDescent="0.2">
      <c r="A229" s="84"/>
      <c r="B229" s="84"/>
      <c r="C229" s="60"/>
      <c r="D229" s="66"/>
      <c r="E229" s="66"/>
      <c r="F229" s="66"/>
      <c r="G229" s="66"/>
      <c r="H229" s="66"/>
      <c r="I229" s="66"/>
      <c r="J229" s="66"/>
      <c r="K229" s="66"/>
      <c r="L229" s="66"/>
      <c r="M229" s="66"/>
      <c r="N229" s="66"/>
    </row>
    <row r="230" spans="1:14" x14ac:dyDescent="0.2">
      <c r="A230" s="84"/>
      <c r="B230" s="84"/>
      <c r="C230" s="60"/>
      <c r="D230" s="66"/>
      <c r="E230" s="66"/>
      <c r="F230" s="66"/>
      <c r="G230" s="66"/>
      <c r="H230" s="66"/>
      <c r="I230" s="66"/>
      <c r="J230" s="66"/>
      <c r="K230" s="66"/>
      <c r="L230" s="66"/>
      <c r="M230" s="66"/>
      <c r="N230" s="66"/>
    </row>
    <row r="231" spans="1:14" x14ac:dyDescent="0.2">
      <c r="A231" s="84"/>
      <c r="B231" s="84"/>
      <c r="C231" s="60"/>
      <c r="D231" s="66"/>
      <c r="E231" s="66"/>
      <c r="F231" s="66"/>
      <c r="G231" s="66"/>
      <c r="H231" s="66"/>
      <c r="I231" s="66"/>
      <c r="J231" s="66"/>
      <c r="K231" s="66"/>
      <c r="L231" s="66"/>
      <c r="M231" s="66"/>
      <c r="N231" s="66"/>
    </row>
    <row r="232" spans="1:14" x14ac:dyDescent="0.2">
      <c r="A232" s="84"/>
      <c r="B232" s="84"/>
      <c r="C232" s="60"/>
      <c r="D232" s="66"/>
      <c r="E232" s="66"/>
      <c r="F232" s="66"/>
      <c r="G232" s="66"/>
      <c r="H232" s="66"/>
      <c r="I232" s="66"/>
      <c r="J232" s="66"/>
      <c r="K232" s="66"/>
      <c r="L232" s="66"/>
      <c r="M232" s="66"/>
      <c r="N232" s="66"/>
    </row>
    <row r="233" spans="1:14" x14ac:dyDescent="0.2">
      <c r="A233" s="84"/>
      <c r="B233" s="84"/>
      <c r="C233" s="60"/>
      <c r="D233" s="66"/>
      <c r="E233" s="66"/>
      <c r="F233" s="66"/>
      <c r="G233" s="66"/>
      <c r="H233" s="66"/>
      <c r="I233" s="66"/>
      <c r="J233" s="66"/>
      <c r="K233" s="66"/>
      <c r="L233" s="66"/>
      <c r="M233" s="66"/>
      <c r="N233" s="66"/>
    </row>
    <row r="234" spans="1:14" x14ac:dyDescent="0.2">
      <c r="A234" s="84"/>
      <c r="B234" s="84"/>
      <c r="C234" s="60"/>
      <c r="D234" s="66"/>
      <c r="E234" s="66"/>
      <c r="F234" s="66"/>
      <c r="G234" s="66"/>
      <c r="H234" s="66"/>
      <c r="I234" s="66"/>
      <c r="J234" s="66"/>
      <c r="K234" s="66"/>
      <c r="L234" s="66"/>
      <c r="M234" s="66"/>
      <c r="N234" s="66"/>
    </row>
    <row r="235" spans="1:14" x14ac:dyDescent="0.2">
      <c r="A235" s="84"/>
      <c r="B235" s="84"/>
      <c r="C235" s="60"/>
      <c r="D235" s="66"/>
      <c r="E235" s="66"/>
      <c r="F235" s="66"/>
      <c r="G235" s="66"/>
      <c r="H235" s="66"/>
      <c r="I235" s="66"/>
      <c r="J235" s="66"/>
      <c r="K235" s="66"/>
      <c r="L235" s="66"/>
      <c r="M235" s="66"/>
      <c r="N235" s="66"/>
    </row>
    <row r="236" spans="1:14" x14ac:dyDescent="0.2">
      <c r="A236" s="84"/>
      <c r="B236" s="84"/>
      <c r="C236" s="60"/>
      <c r="D236" s="66"/>
      <c r="E236" s="66"/>
      <c r="F236" s="66"/>
      <c r="G236" s="66"/>
      <c r="H236" s="66"/>
      <c r="I236" s="66"/>
      <c r="J236" s="66"/>
      <c r="K236" s="66"/>
      <c r="L236" s="66"/>
      <c r="M236" s="66"/>
      <c r="N236" s="66"/>
    </row>
    <row r="237" spans="1:14" x14ac:dyDescent="0.2">
      <c r="A237" s="84"/>
      <c r="B237" s="84"/>
      <c r="C237" s="60"/>
      <c r="D237" s="66"/>
      <c r="E237" s="66"/>
      <c r="F237" s="66"/>
      <c r="G237" s="66"/>
      <c r="H237" s="66"/>
      <c r="I237" s="66"/>
      <c r="J237" s="66"/>
      <c r="K237" s="66"/>
      <c r="L237" s="66"/>
      <c r="M237" s="66"/>
      <c r="N237" s="66"/>
    </row>
    <row r="238" spans="1:14" x14ac:dyDescent="0.2">
      <c r="A238" s="84"/>
      <c r="B238" s="84"/>
      <c r="C238" s="60"/>
      <c r="D238" s="66"/>
      <c r="E238" s="66"/>
      <c r="F238" s="66"/>
      <c r="G238" s="66"/>
      <c r="H238" s="66"/>
      <c r="I238" s="66"/>
      <c r="J238" s="66"/>
      <c r="K238" s="66"/>
      <c r="L238" s="66"/>
      <c r="M238" s="66"/>
      <c r="N238" s="66"/>
    </row>
    <row r="239" spans="1:14" x14ac:dyDescent="0.2">
      <c r="A239" s="84"/>
      <c r="B239" s="84"/>
      <c r="C239" s="60"/>
      <c r="D239" s="66"/>
      <c r="E239" s="66"/>
      <c r="F239" s="66"/>
      <c r="G239" s="66"/>
      <c r="H239" s="66"/>
      <c r="I239" s="66"/>
      <c r="J239" s="66"/>
      <c r="K239" s="66"/>
      <c r="L239" s="66"/>
      <c r="M239" s="66"/>
      <c r="N239" s="66"/>
    </row>
    <row r="240" spans="1:14" x14ac:dyDescent="0.2">
      <c r="A240" s="84"/>
      <c r="B240" s="84"/>
      <c r="C240" s="60"/>
      <c r="D240" s="66"/>
      <c r="E240" s="66"/>
      <c r="F240" s="66"/>
      <c r="G240" s="66"/>
      <c r="H240" s="66"/>
      <c r="I240" s="66"/>
      <c r="J240" s="66"/>
      <c r="K240" s="66"/>
      <c r="L240" s="66"/>
      <c r="M240" s="66"/>
      <c r="N240" s="66"/>
    </row>
    <row r="241" spans="1:14" x14ac:dyDescent="0.2">
      <c r="A241" s="84"/>
      <c r="B241" s="84"/>
      <c r="C241" s="60"/>
      <c r="D241" s="66"/>
      <c r="E241" s="66"/>
      <c r="F241" s="66"/>
      <c r="G241" s="66"/>
      <c r="H241" s="66"/>
      <c r="I241" s="66"/>
      <c r="J241" s="66"/>
      <c r="K241" s="66"/>
      <c r="L241" s="66"/>
      <c r="M241" s="66"/>
      <c r="N241" s="66"/>
    </row>
    <row r="242" spans="1:14" x14ac:dyDescent="0.2">
      <c r="A242" s="84"/>
      <c r="B242" s="84"/>
      <c r="C242" s="60"/>
      <c r="D242" s="66"/>
      <c r="E242" s="66"/>
      <c r="F242" s="66"/>
      <c r="G242" s="66"/>
      <c r="H242" s="66"/>
      <c r="I242" s="66"/>
      <c r="J242" s="66"/>
      <c r="K242" s="66"/>
      <c r="L242" s="66"/>
      <c r="M242" s="66"/>
      <c r="N242" s="66"/>
    </row>
    <row r="243" spans="1:14" x14ac:dyDescent="0.2">
      <c r="A243" s="84"/>
      <c r="B243" s="84"/>
      <c r="C243" s="60"/>
      <c r="D243" s="66"/>
      <c r="E243" s="66"/>
      <c r="F243" s="66"/>
      <c r="G243" s="66"/>
      <c r="H243" s="66"/>
      <c r="I243" s="66"/>
      <c r="J243" s="66"/>
      <c r="K243" s="66"/>
      <c r="L243" s="66"/>
      <c r="M243" s="66"/>
      <c r="N243" s="66"/>
    </row>
    <row r="244" spans="1:14" x14ac:dyDescent="0.2">
      <c r="A244" s="84"/>
      <c r="B244" s="84"/>
      <c r="C244" s="60"/>
      <c r="D244" s="66"/>
      <c r="E244" s="66"/>
      <c r="F244" s="66"/>
      <c r="G244" s="66"/>
      <c r="H244" s="66"/>
      <c r="I244" s="66"/>
      <c r="J244" s="66"/>
      <c r="K244" s="66"/>
      <c r="L244" s="66"/>
      <c r="M244" s="66"/>
      <c r="N244" s="66"/>
    </row>
    <row r="245" spans="1:14" x14ac:dyDescent="0.2">
      <c r="A245" s="84"/>
      <c r="B245" s="84"/>
      <c r="C245" s="60"/>
      <c r="D245" s="66"/>
      <c r="E245" s="66"/>
      <c r="F245" s="66"/>
      <c r="G245" s="66"/>
      <c r="H245" s="66"/>
      <c r="I245" s="66"/>
      <c r="J245" s="66"/>
      <c r="K245" s="66"/>
      <c r="L245" s="66"/>
      <c r="M245" s="66"/>
      <c r="N245" s="66"/>
    </row>
    <row r="246" spans="1:14" x14ac:dyDescent="0.2">
      <c r="A246" s="84"/>
      <c r="B246" s="84"/>
      <c r="C246" s="60"/>
      <c r="D246" s="66"/>
      <c r="E246" s="66"/>
      <c r="F246" s="66"/>
      <c r="G246" s="66"/>
      <c r="H246" s="66"/>
      <c r="I246" s="66"/>
      <c r="J246" s="66"/>
      <c r="K246" s="66"/>
      <c r="L246" s="66"/>
      <c r="M246" s="66"/>
      <c r="N246" s="66"/>
    </row>
    <row r="247" spans="1:14" x14ac:dyDescent="0.2">
      <c r="A247" s="84"/>
      <c r="B247" s="84"/>
      <c r="C247" s="60"/>
      <c r="D247" s="66"/>
      <c r="E247" s="66"/>
      <c r="F247" s="66"/>
      <c r="G247" s="66"/>
      <c r="H247" s="66"/>
      <c r="I247" s="66"/>
      <c r="J247" s="66"/>
      <c r="K247" s="66"/>
      <c r="L247" s="66"/>
      <c r="M247" s="66"/>
      <c r="N247" s="66"/>
    </row>
    <row r="248" spans="1:14" x14ac:dyDescent="0.2">
      <c r="A248" s="84"/>
      <c r="B248" s="84"/>
      <c r="C248" s="60"/>
      <c r="D248" s="66"/>
      <c r="E248" s="66"/>
      <c r="F248" s="66"/>
      <c r="G248" s="66"/>
      <c r="H248" s="66"/>
      <c r="I248" s="66"/>
      <c r="J248" s="66"/>
      <c r="K248" s="66"/>
      <c r="L248" s="66"/>
      <c r="M248" s="66"/>
      <c r="N248" s="66"/>
    </row>
    <row r="249" spans="1:14" x14ac:dyDescent="0.2">
      <c r="A249" s="84"/>
      <c r="B249" s="84"/>
      <c r="C249" s="60"/>
      <c r="D249" s="66"/>
      <c r="E249" s="66"/>
      <c r="F249" s="66"/>
      <c r="G249" s="66"/>
      <c r="H249" s="66"/>
      <c r="I249" s="66"/>
      <c r="J249" s="66"/>
      <c r="K249" s="66"/>
      <c r="L249" s="66"/>
      <c r="M249" s="66"/>
      <c r="N249" s="66"/>
    </row>
    <row r="250" spans="1:14" x14ac:dyDescent="0.2">
      <c r="A250" s="84"/>
      <c r="B250" s="84"/>
      <c r="C250" s="60"/>
      <c r="D250" s="66"/>
      <c r="E250" s="66"/>
      <c r="F250" s="66"/>
      <c r="G250" s="66"/>
      <c r="H250" s="66"/>
      <c r="I250" s="66"/>
      <c r="J250" s="66"/>
      <c r="K250" s="66"/>
      <c r="L250" s="66"/>
      <c r="M250" s="66"/>
      <c r="N250" s="66"/>
    </row>
    <row r="251" spans="1:14" x14ac:dyDescent="0.2">
      <c r="A251" s="84"/>
      <c r="B251" s="84"/>
      <c r="C251" s="60"/>
      <c r="D251" s="66"/>
      <c r="E251" s="66"/>
      <c r="F251" s="66"/>
      <c r="G251" s="66"/>
      <c r="H251" s="66"/>
      <c r="I251" s="66"/>
      <c r="J251" s="66"/>
      <c r="K251" s="66"/>
      <c r="L251" s="66"/>
      <c r="M251" s="66"/>
      <c r="N251" s="66"/>
    </row>
    <row r="252" spans="1:14" x14ac:dyDescent="0.2">
      <c r="A252" s="84"/>
      <c r="B252" s="84"/>
      <c r="C252" s="60"/>
      <c r="D252" s="66"/>
      <c r="E252" s="66"/>
      <c r="F252" s="66"/>
      <c r="G252" s="66"/>
      <c r="H252" s="66"/>
      <c r="I252" s="66"/>
      <c r="J252" s="66"/>
      <c r="K252" s="66"/>
      <c r="L252" s="66"/>
      <c r="M252" s="66"/>
      <c r="N252" s="66"/>
    </row>
    <row r="253" spans="1:14" x14ac:dyDescent="0.2">
      <c r="A253" s="84"/>
      <c r="B253" s="84"/>
      <c r="C253" s="60"/>
      <c r="D253" s="66"/>
      <c r="E253" s="66"/>
      <c r="F253" s="66"/>
      <c r="G253" s="66"/>
      <c r="H253" s="66"/>
      <c r="I253" s="66"/>
      <c r="J253" s="66"/>
      <c r="K253" s="66"/>
      <c r="L253" s="66"/>
      <c r="M253" s="66"/>
      <c r="N253" s="66"/>
    </row>
    <row r="254" spans="1:14" x14ac:dyDescent="0.2">
      <c r="A254" s="84"/>
      <c r="B254" s="84"/>
      <c r="C254" s="60"/>
      <c r="D254" s="66"/>
      <c r="E254" s="66"/>
      <c r="F254" s="66"/>
      <c r="G254" s="66"/>
      <c r="H254" s="66"/>
      <c r="I254" s="66"/>
      <c r="J254" s="66"/>
      <c r="K254" s="66"/>
      <c r="L254" s="66"/>
      <c r="M254" s="66"/>
      <c r="N254" s="66"/>
    </row>
    <row r="255" spans="1:14" x14ac:dyDescent="0.2">
      <c r="A255" s="84"/>
      <c r="B255" s="84"/>
      <c r="C255" s="60"/>
      <c r="D255" s="66"/>
      <c r="E255" s="66"/>
      <c r="F255" s="66"/>
      <c r="G255" s="66"/>
      <c r="H255" s="66"/>
      <c r="I255" s="66"/>
      <c r="J255" s="66"/>
      <c r="K255" s="66"/>
      <c r="L255" s="66"/>
      <c r="M255" s="66"/>
      <c r="N255" s="66"/>
    </row>
    <row r="256" spans="1:14" x14ac:dyDescent="0.2">
      <c r="A256" s="84"/>
      <c r="B256" s="84"/>
      <c r="C256" s="60"/>
      <c r="D256" s="66"/>
      <c r="E256" s="66"/>
      <c r="F256" s="66"/>
      <c r="G256" s="66"/>
      <c r="H256" s="66"/>
      <c r="I256" s="66"/>
      <c r="J256" s="66"/>
      <c r="K256" s="66"/>
      <c r="L256" s="66"/>
      <c r="M256" s="66"/>
      <c r="N256" s="66"/>
    </row>
    <row r="257" spans="1:14" x14ac:dyDescent="0.2">
      <c r="A257" s="84"/>
      <c r="B257" s="84"/>
      <c r="C257" s="60"/>
      <c r="D257" s="66"/>
      <c r="E257" s="66"/>
      <c r="F257" s="66"/>
      <c r="G257" s="66"/>
      <c r="H257" s="66"/>
      <c r="I257" s="66"/>
      <c r="J257" s="66"/>
      <c r="K257" s="66"/>
      <c r="L257" s="66"/>
      <c r="M257" s="66"/>
      <c r="N257" s="66"/>
    </row>
    <row r="258" spans="1:14" x14ac:dyDescent="0.2">
      <c r="A258" s="84"/>
      <c r="B258" s="84"/>
      <c r="C258" s="60"/>
      <c r="D258" s="66"/>
      <c r="E258" s="66"/>
      <c r="F258" s="66"/>
      <c r="G258" s="66"/>
      <c r="H258" s="66"/>
      <c r="I258" s="66"/>
      <c r="J258" s="66"/>
      <c r="K258" s="66"/>
      <c r="L258" s="66"/>
      <c r="M258" s="66"/>
      <c r="N258" s="66"/>
    </row>
    <row r="259" spans="1:14" x14ac:dyDescent="0.2">
      <c r="A259" s="84"/>
      <c r="B259" s="84"/>
      <c r="C259" s="60"/>
      <c r="D259" s="66"/>
      <c r="E259" s="66"/>
      <c r="F259" s="66"/>
      <c r="G259" s="66"/>
      <c r="H259" s="66"/>
      <c r="I259" s="66"/>
      <c r="J259" s="66"/>
      <c r="K259" s="66"/>
      <c r="L259" s="66"/>
      <c r="M259" s="66"/>
      <c r="N259" s="66"/>
    </row>
    <row r="260" spans="1:14" x14ac:dyDescent="0.2">
      <c r="A260" s="84"/>
      <c r="B260" s="84"/>
      <c r="C260" s="60"/>
      <c r="D260" s="66"/>
      <c r="E260" s="66"/>
      <c r="F260" s="66"/>
      <c r="G260" s="66"/>
      <c r="H260" s="66"/>
      <c r="I260" s="66"/>
      <c r="J260" s="66"/>
      <c r="K260" s="66"/>
      <c r="L260" s="66"/>
      <c r="M260" s="66"/>
      <c r="N260" s="66"/>
    </row>
    <row r="261" spans="1:14" x14ac:dyDescent="0.2">
      <c r="A261" s="84"/>
      <c r="B261" s="84"/>
      <c r="C261" s="60"/>
      <c r="D261" s="66"/>
      <c r="E261" s="66"/>
      <c r="F261" s="66"/>
      <c r="G261" s="66"/>
      <c r="H261" s="66"/>
      <c r="I261" s="66"/>
      <c r="J261" s="66"/>
      <c r="K261" s="66"/>
      <c r="L261" s="66"/>
      <c r="M261" s="66"/>
      <c r="N261" s="66"/>
    </row>
    <row r="262" spans="1:14" x14ac:dyDescent="0.2">
      <c r="A262" s="84"/>
      <c r="B262" s="84"/>
      <c r="C262" s="60"/>
      <c r="D262" s="66"/>
      <c r="E262" s="66"/>
      <c r="F262" s="66"/>
      <c r="G262" s="66"/>
      <c r="H262" s="66"/>
      <c r="I262" s="66"/>
      <c r="J262" s="66"/>
      <c r="K262" s="66"/>
      <c r="L262" s="66"/>
      <c r="M262" s="66"/>
      <c r="N262" s="66"/>
    </row>
    <row r="263" spans="1:14" x14ac:dyDescent="0.2">
      <c r="A263" s="84"/>
      <c r="B263" s="84"/>
      <c r="C263" s="60"/>
      <c r="D263" s="66"/>
      <c r="E263" s="66"/>
      <c r="F263" s="66"/>
      <c r="G263" s="66"/>
      <c r="H263" s="66"/>
      <c r="I263" s="66"/>
      <c r="J263" s="66"/>
      <c r="K263" s="66"/>
      <c r="L263" s="66"/>
      <c r="M263" s="66"/>
      <c r="N263" s="66"/>
    </row>
    <row r="264" spans="1:14" x14ac:dyDescent="0.2">
      <c r="A264" s="84"/>
      <c r="B264" s="84"/>
      <c r="C264" s="60"/>
      <c r="D264" s="66"/>
      <c r="E264" s="66"/>
      <c r="F264" s="66"/>
      <c r="G264" s="66"/>
      <c r="H264" s="66"/>
      <c r="I264" s="66"/>
      <c r="J264" s="66"/>
      <c r="K264" s="66"/>
      <c r="L264" s="66"/>
      <c r="M264" s="66"/>
      <c r="N264" s="66"/>
    </row>
    <row r="265" spans="1:14" x14ac:dyDescent="0.2">
      <c r="A265" s="84"/>
      <c r="B265" s="84"/>
      <c r="C265" s="60"/>
      <c r="D265" s="66"/>
      <c r="E265" s="66"/>
      <c r="F265" s="66"/>
      <c r="G265" s="66"/>
      <c r="H265" s="66"/>
      <c r="I265" s="66"/>
      <c r="J265" s="66"/>
      <c r="K265" s="66"/>
      <c r="L265" s="66"/>
      <c r="M265" s="66"/>
      <c r="N265" s="66"/>
    </row>
    <row r="266" spans="1:14" x14ac:dyDescent="0.2">
      <c r="A266" s="84"/>
      <c r="B266" s="84"/>
      <c r="C266" s="60"/>
      <c r="D266" s="66"/>
      <c r="E266" s="66"/>
      <c r="F266" s="66"/>
      <c r="G266" s="66"/>
      <c r="H266" s="66"/>
      <c r="I266" s="66"/>
      <c r="J266" s="66"/>
      <c r="K266" s="66"/>
      <c r="L266" s="66"/>
      <c r="M266" s="66"/>
      <c r="N266" s="66"/>
    </row>
    <row r="267" spans="1:14" x14ac:dyDescent="0.2">
      <c r="A267" s="84"/>
      <c r="B267" s="84"/>
      <c r="C267" s="60"/>
      <c r="D267" s="66"/>
      <c r="E267" s="66"/>
      <c r="F267" s="66"/>
      <c r="G267" s="66"/>
      <c r="H267" s="66"/>
      <c r="I267" s="66"/>
      <c r="J267" s="66"/>
      <c r="K267" s="66"/>
      <c r="L267" s="66"/>
      <c r="M267" s="66"/>
      <c r="N267" s="66"/>
    </row>
    <row r="268" spans="1:14" x14ac:dyDescent="0.2">
      <c r="A268" s="84"/>
      <c r="B268" s="84"/>
      <c r="C268" s="60"/>
      <c r="D268" s="66"/>
      <c r="E268" s="66"/>
      <c r="F268" s="66"/>
      <c r="G268" s="66"/>
      <c r="H268" s="66"/>
      <c r="I268" s="66"/>
      <c r="J268" s="66"/>
      <c r="K268" s="66"/>
      <c r="L268" s="66"/>
      <c r="M268" s="66"/>
      <c r="N268" s="66"/>
    </row>
    <row r="269" spans="1:14" x14ac:dyDescent="0.2">
      <c r="A269" s="84"/>
      <c r="B269" s="84"/>
      <c r="C269" s="60"/>
      <c r="D269" s="66"/>
      <c r="E269" s="66"/>
      <c r="F269" s="66"/>
      <c r="G269" s="66"/>
      <c r="H269" s="66"/>
      <c r="I269" s="66"/>
      <c r="J269" s="66"/>
      <c r="K269" s="66"/>
      <c r="L269" s="66"/>
      <c r="M269" s="66"/>
      <c r="N269" s="66"/>
    </row>
    <row r="270" spans="1:14" x14ac:dyDescent="0.2">
      <c r="A270" s="84"/>
      <c r="B270" s="84"/>
      <c r="C270" s="60"/>
      <c r="D270" s="66"/>
      <c r="E270" s="66"/>
      <c r="F270" s="66"/>
      <c r="G270" s="66"/>
      <c r="H270" s="66"/>
      <c r="I270" s="66"/>
      <c r="J270" s="66"/>
      <c r="K270" s="66"/>
      <c r="L270" s="66"/>
      <c r="M270" s="66"/>
      <c r="N270" s="66"/>
    </row>
    <row r="271" spans="1:14" x14ac:dyDescent="0.2">
      <c r="A271" s="84"/>
      <c r="B271" s="84"/>
      <c r="C271" s="60"/>
      <c r="D271" s="66"/>
      <c r="E271" s="66"/>
      <c r="F271" s="66"/>
      <c r="G271" s="66"/>
      <c r="H271" s="66"/>
      <c r="I271" s="66"/>
      <c r="J271" s="66"/>
      <c r="K271" s="66"/>
      <c r="L271" s="66"/>
      <c r="M271" s="66"/>
      <c r="N271" s="66"/>
    </row>
    <row r="272" spans="1:14" x14ac:dyDescent="0.2">
      <c r="A272" s="84"/>
      <c r="B272" s="84"/>
      <c r="C272" s="60"/>
      <c r="D272" s="66"/>
      <c r="E272" s="66"/>
      <c r="F272" s="66"/>
      <c r="G272" s="66"/>
      <c r="H272" s="66"/>
      <c r="I272" s="66"/>
      <c r="J272" s="66"/>
      <c r="K272" s="66"/>
      <c r="L272" s="66"/>
      <c r="M272" s="66"/>
      <c r="N272" s="66"/>
    </row>
    <row r="273" spans="1:14" x14ac:dyDescent="0.2">
      <c r="A273" s="84"/>
      <c r="B273" s="84"/>
      <c r="C273" s="60"/>
      <c r="D273" s="66"/>
      <c r="E273" s="66"/>
      <c r="F273" s="66"/>
      <c r="G273" s="66"/>
      <c r="H273" s="66"/>
      <c r="I273" s="66"/>
      <c r="J273" s="66"/>
      <c r="K273" s="66"/>
      <c r="L273" s="66"/>
      <c r="M273" s="66"/>
      <c r="N273" s="66"/>
    </row>
    <row r="274" spans="1:14" x14ac:dyDescent="0.2">
      <c r="A274" s="84"/>
      <c r="B274" s="84"/>
      <c r="C274" s="60"/>
      <c r="D274" s="66"/>
      <c r="E274" s="66"/>
      <c r="F274" s="66"/>
      <c r="G274" s="66"/>
      <c r="H274" s="66"/>
      <c r="I274" s="66"/>
      <c r="J274" s="66"/>
      <c r="K274" s="66"/>
      <c r="L274" s="66"/>
      <c r="M274" s="66"/>
      <c r="N274" s="66"/>
    </row>
    <row r="275" spans="1:14" x14ac:dyDescent="0.2">
      <c r="A275" s="84"/>
      <c r="B275" s="84"/>
      <c r="C275" s="60"/>
      <c r="D275" s="66"/>
      <c r="E275" s="66"/>
      <c r="F275" s="66"/>
      <c r="G275" s="66"/>
      <c r="H275" s="66"/>
      <c r="I275" s="66"/>
      <c r="J275" s="66"/>
      <c r="K275" s="66"/>
      <c r="L275" s="66"/>
      <c r="M275" s="66"/>
      <c r="N275" s="66"/>
    </row>
    <row r="276" spans="1:14" x14ac:dyDescent="0.2">
      <c r="A276" s="84"/>
      <c r="B276" s="84"/>
      <c r="C276" s="60"/>
      <c r="D276" s="66"/>
      <c r="E276" s="66"/>
      <c r="F276" s="66"/>
      <c r="G276" s="66"/>
      <c r="H276" s="66"/>
      <c r="I276" s="66"/>
      <c r="J276" s="66"/>
      <c r="K276" s="66"/>
      <c r="L276" s="66"/>
      <c r="M276" s="66"/>
      <c r="N276" s="66"/>
    </row>
    <row r="277" spans="1:14" x14ac:dyDescent="0.2">
      <c r="A277" s="84"/>
      <c r="B277" s="84"/>
      <c r="C277" s="60"/>
      <c r="D277" s="66"/>
      <c r="E277" s="66"/>
      <c r="F277" s="66"/>
      <c r="G277" s="66"/>
      <c r="H277" s="66"/>
      <c r="I277" s="66"/>
      <c r="J277" s="66"/>
      <c r="K277" s="66"/>
      <c r="L277" s="66"/>
      <c r="M277" s="66"/>
      <c r="N277" s="66"/>
    </row>
    <row r="278" spans="1:14" x14ac:dyDescent="0.2">
      <c r="A278" s="84"/>
      <c r="B278" s="84"/>
      <c r="C278" s="60"/>
      <c r="D278" s="66"/>
      <c r="E278" s="66"/>
      <c r="F278" s="66"/>
      <c r="G278" s="66"/>
      <c r="H278" s="66"/>
      <c r="I278" s="66"/>
      <c r="J278" s="66"/>
      <c r="K278" s="66"/>
      <c r="L278" s="66"/>
      <c r="M278" s="66"/>
      <c r="N278" s="66"/>
    </row>
    <row r="279" spans="1:14" x14ac:dyDescent="0.2">
      <c r="A279" s="84"/>
      <c r="B279" s="84"/>
      <c r="C279" s="60"/>
      <c r="D279" s="66"/>
      <c r="E279" s="66"/>
      <c r="F279" s="66"/>
      <c r="G279" s="66"/>
      <c r="H279" s="66"/>
      <c r="I279" s="66"/>
      <c r="J279" s="66"/>
      <c r="K279" s="66"/>
      <c r="L279" s="66"/>
      <c r="M279" s="66"/>
      <c r="N279" s="66"/>
    </row>
    <row r="280" spans="1:14" x14ac:dyDescent="0.2">
      <c r="A280" s="84"/>
      <c r="B280" s="84"/>
      <c r="C280" s="60"/>
      <c r="D280" s="66"/>
      <c r="E280" s="66"/>
      <c r="F280" s="66"/>
      <c r="G280" s="66"/>
      <c r="H280" s="66"/>
      <c r="I280" s="66"/>
      <c r="J280" s="66"/>
      <c r="K280" s="66"/>
      <c r="L280" s="66"/>
      <c r="M280" s="66"/>
      <c r="N280" s="66"/>
    </row>
    <row r="281" spans="1:14" x14ac:dyDescent="0.2">
      <c r="A281" s="84"/>
      <c r="B281" s="84"/>
      <c r="C281" s="60"/>
      <c r="D281" s="66"/>
      <c r="E281" s="66"/>
      <c r="F281" s="66"/>
      <c r="G281" s="66"/>
      <c r="H281" s="66"/>
      <c r="I281" s="66"/>
      <c r="J281" s="66"/>
      <c r="K281" s="66"/>
      <c r="L281" s="66"/>
      <c r="M281" s="66"/>
      <c r="N281" s="66"/>
    </row>
    <row r="282" spans="1:14" x14ac:dyDescent="0.2">
      <c r="A282" s="84"/>
      <c r="B282" s="84"/>
      <c r="C282" s="60"/>
      <c r="D282" s="66"/>
      <c r="E282" s="66"/>
      <c r="F282" s="66"/>
      <c r="G282" s="66"/>
      <c r="H282" s="66"/>
      <c r="I282" s="66"/>
      <c r="J282" s="66"/>
      <c r="K282" s="66"/>
      <c r="L282" s="66"/>
      <c r="M282" s="66"/>
      <c r="N282" s="66"/>
    </row>
    <row r="283" spans="1:14" x14ac:dyDescent="0.2">
      <c r="A283" s="84"/>
      <c r="B283" s="84"/>
      <c r="C283" s="60"/>
      <c r="D283" s="66"/>
      <c r="E283" s="66"/>
      <c r="F283" s="66"/>
      <c r="G283" s="66"/>
      <c r="H283" s="66"/>
      <c r="I283" s="66"/>
      <c r="J283" s="66"/>
      <c r="K283" s="66"/>
      <c r="L283" s="66"/>
      <c r="M283" s="66"/>
      <c r="N283" s="66"/>
    </row>
    <row r="284" spans="1:14" x14ac:dyDescent="0.2">
      <c r="A284" s="84"/>
      <c r="B284" s="84"/>
      <c r="C284" s="60"/>
      <c r="D284" s="66"/>
      <c r="E284" s="66"/>
      <c r="F284" s="66"/>
      <c r="G284" s="66"/>
      <c r="H284" s="66"/>
      <c r="I284" s="66"/>
      <c r="J284" s="66"/>
      <c r="K284" s="66"/>
      <c r="L284" s="66"/>
      <c r="M284" s="66"/>
      <c r="N284" s="66"/>
    </row>
    <row r="285" spans="1:14" x14ac:dyDescent="0.2">
      <c r="A285" s="84"/>
      <c r="B285" s="84"/>
      <c r="C285" s="60"/>
      <c r="D285" s="66"/>
      <c r="E285" s="66"/>
      <c r="F285" s="66"/>
      <c r="G285" s="66"/>
      <c r="H285" s="66"/>
      <c r="I285" s="66"/>
      <c r="J285" s="66"/>
      <c r="K285" s="66"/>
      <c r="L285" s="66"/>
      <c r="M285" s="66"/>
      <c r="N285" s="66"/>
    </row>
    <row r="286" spans="1:14" x14ac:dyDescent="0.2">
      <c r="A286" s="84"/>
      <c r="B286" s="84"/>
      <c r="C286" s="60"/>
      <c r="D286" s="66"/>
      <c r="E286" s="66"/>
      <c r="F286" s="66"/>
      <c r="G286" s="66"/>
      <c r="H286" s="66"/>
      <c r="I286" s="66"/>
      <c r="J286" s="66"/>
      <c r="K286" s="66"/>
      <c r="L286" s="66"/>
      <c r="M286" s="66"/>
      <c r="N286" s="66"/>
    </row>
    <row r="287" spans="1:14" x14ac:dyDescent="0.2">
      <c r="A287" s="84"/>
      <c r="B287" s="84"/>
      <c r="C287" s="60"/>
      <c r="D287" s="66"/>
      <c r="E287" s="66"/>
      <c r="F287" s="66"/>
      <c r="G287" s="66"/>
      <c r="H287" s="66"/>
      <c r="I287" s="66"/>
      <c r="J287" s="66"/>
      <c r="K287" s="66"/>
      <c r="L287" s="66"/>
      <c r="M287" s="66"/>
      <c r="N287" s="66"/>
    </row>
    <row r="288" spans="1:14" x14ac:dyDescent="0.2">
      <c r="A288" s="84"/>
      <c r="B288" s="84"/>
      <c r="C288" s="60"/>
      <c r="D288" s="66"/>
      <c r="E288" s="66"/>
      <c r="F288" s="66"/>
      <c r="G288" s="66"/>
      <c r="H288" s="66"/>
      <c r="I288" s="66"/>
      <c r="J288" s="66"/>
      <c r="K288" s="66"/>
      <c r="L288" s="66"/>
      <c r="M288" s="66"/>
      <c r="N288" s="66"/>
    </row>
    <row r="289" spans="1:14" x14ac:dyDescent="0.2">
      <c r="A289" s="84"/>
      <c r="B289" s="84"/>
      <c r="C289" s="60"/>
      <c r="D289" s="66"/>
      <c r="E289" s="66"/>
      <c r="F289" s="66"/>
      <c r="G289" s="66"/>
      <c r="H289" s="66"/>
      <c r="I289" s="66"/>
      <c r="J289" s="66"/>
      <c r="K289" s="66"/>
      <c r="L289" s="66"/>
      <c r="M289" s="66"/>
      <c r="N289" s="66"/>
    </row>
    <row r="290" spans="1:14" x14ac:dyDescent="0.2">
      <c r="A290" s="84"/>
      <c r="B290" s="84"/>
      <c r="C290" s="60"/>
      <c r="D290" s="66"/>
      <c r="E290" s="66"/>
      <c r="F290" s="66"/>
      <c r="G290" s="66"/>
      <c r="H290" s="66"/>
      <c r="I290" s="66"/>
      <c r="J290" s="66"/>
      <c r="K290" s="66"/>
      <c r="L290" s="66"/>
      <c r="M290" s="66"/>
      <c r="N290" s="66"/>
    </row>
    <row r="291" spans="1:14" x14ac:dyDescent="0.2">
      <c r="A291" s="84"/>
      <c r="B291" s="84"/>
      <c r="C291" s="60"/>
      <c r="D291" s="66"/>
      <c r="E291" s="66"/>
      <c r="F291" s="66"/>
      <c r="G291" s="66"/>
      <c r="H291" s="66"/>
      <c r="I291" s="66"/>
      <c r="J291" s="66"/>
      <c r="K291" s="66"/>
      <c r="L291" s="66"/>
      <c r="M291" s="66"/>
      <c r="N291" s="66"/>
    </row>
    <row r="292" spans="1:14" x14ac:dyDescent="0.2">
      <c r="A292" s="84"/>
      <c r="B292" s="84"/>
      <c r="C292" s="60"/>
      <c r="D292" s="66"/>
      <c r="E292" s="66"/>
      <c r="F292" s="66"/>
      <c r="G292" s="66"/>
      <c r="H292" s="66"/>
      <c r="I292" s="66"/>
      <c r="J292" s="66"/>
      <c r="K292" s="66"/>
      <c r="L292" s="66"/>
      <c r="M292" s="66"/>
      <c r="N292" s="66"/>
    </row>
    <row r="293" spans="1:14" x14ac:dyDescent="0.2">
      <c r="A293" s="84"/>
      <c r="B293" s="84"/>
      <c r="C293" s="60"/>
      <c r="D293" s="66"/>
      <c r="E293" s="66"/>
      <c r="F293" s="66"/>
      <c r="G293" s="66"/>
      <c r="H293" s="66"/>
      <c r="I293" s="66"/>
      <c r="J293" s="66"/>
      <c r="K293" s="66"/>
      <c r="L293" s="66"/>
      <c r="M293" s="66"/>
      <c r="N293" s="66"/>
    </row>
    <row r="294" spans="1:14" x14ac:dyDescent="0.2">
      <c r="A294" s="84"/>
      <c r="B294" s="84"/>
      <c r="C294" s="60"/>
      <c r="D294" s="66"/>
      <c r="E294" s="66"/>
      <c r="F294" s="66"/>
      <c r="G294" s="66"/>
      <c r="H294" s="66"/>
      <c r="I294" s="66"/>
      <c r="J294" s="66"/>
      <c r="K294" s="66"/>
      <c r="L294" s="66"/>
      <c r="M294" s="66"/>
      <c r="N294" s="66"/>
    </row>
    <row r="295" spans="1:14" x14ac:dyDescent="0.2">
      <c r="A295" s="84"/>
      <c r="B295" s="84"/>
      <c r="C295" s="60"/>
      <c r="D295" s="66"/>
      <c r="E295" s="66"/>
      <c r="F295" s="66"/>
      <c r="G295" s="66"/>
      <c r="H295" s="66"/>
      <c r="I295" s="66"/>
      <c r="J295" s="66"/>
      <c r="K295" s="66"/>
      <c r="L295" s="66"/>
      <c r="M295" s="66"/>
      <c r="N295" s="66"/>
    </row>
    <row r="296" spans="1:14" x14ac:dyDescent="0.2">
      <c r="A296" s="84"/>
      <c r="B296" s="84"/>
      <c r="C296" s="60"/>
      <c r="D296" s="66"/>
      <c r="E296" s="66"/>
      <c r="F296" s="66"/>
      <c r="G296" s="66"/>
      <c r="H296" s="66"/>
      <c r="I296" s="66"/>
      <c r="J296" s="66"/>
      <c r="K296" s="66"/>
      <c r="L296" s="66"/>
      <c r="M296" s="66"/>
      <c r="N296" s="66"/>
    </row>
    <row r="297" spans="1:14" x14ac:dyDescent="0.2">
      <c r="A297" s="84"/>
      <c r="B297" s="84"/>
      <c r="C297" s="60"/>
      <c r="D297" s="66"/>
      <c r="E297" s="66"/>
      <c r="F297" s="66"/>
      <c r="G297" s="66"/>
      <c r="H297" s="66"/>
      <c r="I297" s="66"/>
      <c r="J297" s="66"/>
      <c r="K297" s="66"/>
      <c r="L297" s="66"/>
      <c r="M297" s="66"/>
      <c r="N297" s="66"/>
    </row>
    <row r="298" spans="1:14" x14ac:dyDescent="0.2">
      <c r="A298" s="84"/>
      <c r="B298" s="84"/>
      <c r="C298" s="60"/>
      <c r="D298" s="66"/>
      <c r="E298" s="66"/>
      <c r="F298" s="66"/>
      <c r="G298" s="66"/>
      <c r="H298" s="66"/>
      <c r="I298" s="66"/>
      <c r="J298" s="66"/>
      <c r="K298" s="66"/>
      <c r="L298" s="66"/>
      <c r="M298" s="66"/>
      <c r="N298" s="66"/>
    </row>
    <row r="299" spans="1:14" x14ac:dyDescent="0.2">
      <c r="A299" s="84"/>
      <c r="B299" s="84"/>
      <c r="C299" s="60"/>
      <c r="D299" s="66"/>
      <c r="E299" s="66"/>
      <c r="F299" s="66"/>
      <c r="G299" s="66"/>
      <c r="H299" s="66"/>
      <c r="I299" s="66"/>
      <c r="J299" s="66"/>
      <c r="K299" s="66"/>
      <c r="L299" s="66"/>
      <c r="M299" s="66"/>
      <c r="N299" s="66"/>
    </row>
    <row r="300" spans="1:14" x14ac:dyDescent="0.2">
      <c r="A300" s="84"/>
      <c r="B300" s="84"/>
      <c r="C300" s="60"/>
      <c r="D300" s="66"/>
      <c r="E300" s="66"/>
      <c r="F300" s="66"/>
      <c r="G300" s="66"/>
      <c r="H300" s="66"/>
      <c r="I300" s="66"/>
      <c r="J300" s="66"/>
      <c r="K300" s="66"/>
      <c r="L300" s="66"/>
      <c r="M300" s="66"/>
      <c r="N300" s="66"/>
    </row>
    <row r="301" spans="1:14" x14ac:dyDescent="0.2">
      <c r="A301" s="84"/>
      <c r="B301" s="84"/>
      <c r="C301" s="60"/>
      <c r="D301" s="66"/>
      <c r="E301" s="66"/>
      <c r="F301" s="66"/>
      <c r="G301" s="66"/>
      <c r="H301" s="66"/>
      <c r="I301" s="66"/>
      <c r="J301" s="66"/>
      <c r="K301" s="66"/>
      <c r="L301" s="66"/>
      <c r="M301" s="66"/>
      <c r="N301" s="66"/>
    </row>
    <row r="302" spans="1:14" x14ac:dyDescent="0.2">
      <c r="A302" s="84"/>
      <c r="B302" s="84"/>
      <c r="C302" s="60"/>
      <c r="D302" s="66"/>
      <c r="E302" s="66"/>
      <c r="F302" s="66"/>
      <c r="G302" s="66"/>
      <c r="H302" s="66"/>
      <c r="I302" s="66"/>
      <c r="J302" s="66"/>
      <c r="K302" s="66"/>
      <c r="L302" s="66"/>
      <c r="M302" s="66"/>
      <c r="N302" s="66"/>
    </row>
    <row r="303" spans="1:14" x14ac:dyDescent="0.2">
      <c r="A303" s="84"/>
      <c r="B303" s="84"/>
      <c r="C303" s="60"/>
      <c r="D303" s="66"/>
      <c r="E303" s="66"/>
      <c r="F303" s="66"/>
      <c r="G303" s="66"/>
      <c r="H303" s="66"/>
      <c r="I303" s="66"/>
      <c r="J303" s="66"/>
      <c r="K303" s="66"/>
      <c r="L303" s="66"/>
      <c r="M303" s="66"/>
      <c r="N303" s="66"/>
    </row>
    <row r="304" spans="1:14" x14ac:dyDescent="0.2">
      <c r="A304" s="84"/>
      <c r="B304" s="84"/>
      <c r="C304" s="60"/>
      <c r="D304" s="66"/>
      <c r="E304" s="66"/>
      <c r="F304" s="66"/>
      <c r="G304" s="66"/>
      <c r="H304" s="66"/>
      <c r="I304" s="66"/>
      <c r="J304" s="66"/>
      <c r="K304" s="66"/>
      <c r="L304" s="66"/>
      <c r="M304" s="66"/>
      <c r="N304" s="66"/>
    </row>
    <row r="305" spans="1:14" x14ac:dyDescent="0.2">
      <c r="A305" s="84"/>
      <c r="B305" s="84"/>
      <c r="C305" s="60"/>
      <c r="D305" s="66"/>
      <c r="E305" s="66"/>
      <c r="F305" s="66"/>
      <c r="G305" s="66"/>
      <c r="H305" s="66"/>
      <c r="I305" s="66"/>
      <c r="J305" s="66"/>
      <c r="K305" s="66"/>
      <c r="L305" s="66"/>
      <c r="M305" s="66"/>
      <c r="N305" s="66"/>
    </row>
    <row r="306" spans="1:14" x14ac:dyDescent="0.2">
      <c r="A306" s="84"/>
      <c r="B306" s="84"/>
      <c r="C306" s="60"/>
      <c r="D306" s="66"/>
      <c r="E306" s="66"/>
      <c r="F306" s="66"/>
      <c r="G306" s="66"/>
      <c r="H306" s="66"/>
      <c r="I306" s="66"/>
      <c r="J306" s="66"/>
      <c r="K306" s="66"/>
      <c r="L306" s="66"/>
      <c r="M306" s="66"/>
      <c r="N306" s="66"/>
    </row>
    <row r="307" spans="1:14" x14ac:dyDescent="0.2">
      <c r="A307" s="84"/>
      <c r="B307" s="84"/>
      <c r="C307" s="60"/>
      <c r="D307" s="66"/>
      <c r="E307" s="66"/>
      <c r="F307" s="66"/>
      <c r="G307" s="66"/>
      <c r="H307" s="66"/>
      <c r="I307" s="66"/>
      <c r="J307" s="66"/>
      <c r="K307" s="66"/>
      <c r="L307" s="66"/>
      <c r="M307" s="66"/>
      <c r="N307" s="66"/>
    </row>
    <row r="308" spans="1:14" x14ac:dyDescent="0.2">
      <c r="A308" s="84"/>
      <c r="B308" s="84"/>
      <c r="C308" s="60"/>
      <c r="D308" s="66"/>
      <c r="E308" s="66"/>
      <c r="F308" s="66"/>
      <c r="G308" s="66"/>
      <c r="H308" s="66"/>
      <c r="I308" s="66"/>
      <c r="J308" s="66"/>
      <c r="K308" s="66"/>
      <c r="L308" s="66"/>
      <c r="M308" s="66"/>
      <c r="N308" s="66"/>
    </row>
    <row r="309" spans="1:14" x14ac:dyDescent="0.2">
      <c r="A309" s="84"/>
      <c r="B309" s="84"/>
      <c r="C309" s="60"/>
      <c r="D309" s="66"/>
      <c r="E309" s="66"/>
      <c r="F309" s="66"/>
      <c r="G309" s="66"/>
      <c r="H309" s="66"/>
      <c r="I309" s="66"/>
      <c r="J309" s="66"/>
      <c r="K309" s="66"/>
      <c r="L309" s="66"/>
      <c r="M309" s="66"/>
      <c r="N309" s="66"/>
    </row>
    <row r="310" spans="1:14" x14ac:dyDescent="0.2">
      <c r="A310" s="84"/>
      <c r="B310" s="84"/>
      <c r="C310" s="60"/>
      <c r="D310" s="66"/>
      <c r="E310" s="66"/>
      <c r="F310" s="66"/>
      <c r="G310" s="66"/>
      <c r="H310" s="66"/>
      <c r="I310" s="66"/>
      <c r="J310" s="66"/>
      <c r="K310" s="66"/>
      <c r="L310" s="66"/>
      <c r="M310" s="66"/>
      <c r="N310" s="66"/>
    </row>
    <row r="311" spans="1:14" x14ac:dyDescent="0.2">
      <c r="A311" s="84"/>
      <c r="B311" s="84"/>
      <c r="C311" s="60"/>
      <c r="D311" s="66"/>
      <c r="E311" s="66"/>
      <c r="F311" s="66"/>
      <c r="G311" s="66"/>
      <c r="H311" s="66"/>
      <c r="I311" s="66"/>
      <c r="J311" s="66"/>
      <c r="K311" s="66"/>
      <c r="L311" s="66"/>
      <c r="M311" s="66"/>
      <c r="N311" s="66"/>
    </row>
    <row r="312" spans="1:14" x14ac:dyDescent="0.2">
      <c r="A312" s="84"/>
      <c r="B312" s="84"/>
      <c r="C312" s="60"/>
      <c r="D312" s="66"/>
      <c r="E312" s="66"/>
      <c r="F312" s="66"/>
      <c r="G312" s="66"/>
      <c r="H312" s="66"/>
      <c r="I312" s="66"/>
      <c r="J312" s="66"/>
      <c r="K312" s="66"/>
      <c r="L312" s="66"/>
      <c r="M312" s="66"/>
      <c r="N312" s="66"/>
    </row>
    <row r="313" spans="1:14" x14ac:dyDescent="0.2">
      <c r="A313" s="84"/>
      <c r="B313" s="84"/>
      <c r="C313" s="60"/>
      <c r="D313" s="66"/>
      <c r="E313" s="66"/>
      <c r="F313" s="66"/>
      <c r="G313" s="66"/>
      <c r="H313" s="66"/>
      <c r="I313" s="66"/>
      <c r="J313" s="66"/>
      <c r="K313" s="66"/>
      <c r="L313" s="66"/>
      <c r="M313" s="66"/>
      <c r="N313" s="66"/>
    </row>
    <row r="314" spans="1:14" x14ac:dyDescent="0.2">
      <c r="A314" s="84"/>
      <c r="B314" s="84"/>
      <c r="C314" s="60"/>
      <c r="D314" s="66"/>
      <c r="E314" s="66"/>
      <c r="F314" s="66"/>
      <c r="G314" s="66"/>
      <c r="H314" s="66"/>
      <c r="I314" s="66"/>
      <c r="J314" s="66"/>
      <c r="K314" s="66"/>
      <c r="L314" s="66"/>
      <c r="M314" s="66"/>
      <c r="N314" s="66"/>
    </row>
    <row r="315" spans="1:14" x14ac:dyDescent="0.2">
      <c r="A315" s="84"/>
      <c r="B315" s="84"/>
      <c r="C315" s="60"/>
      <c r="D315" s="66"/>
      <c r="E315" s="66"/>
      <c r="F315" s="66"/>
      <c r="G315" s="66"/>
      <c r="H315" s="66"/>
      <c r="I315" s="66"/>
      <c r="J315" s="66"/>
      <c r="K315" s="66"/>
      <c r="L315" s="66"/>
      <c r="M315" s="66"/>
      <c r="N315" s="66"/>
    </row>
    <row r="316" spans="1:14" x14ac:dyDescent="0.2">
      <c r="A316" s="84"/>
      <c r="B316" s="84"/>
      <c r="C316" s="60"/>
      <c r="D316" s="66"/>
      <c r="E316" s="66"/>
      <c r="F316" s="66"/>
      <c r="G316" s="66"/>
      <c r="H316" s="66"/>
      <c r="I316" s="66"/>
      <c r="J316" s="66"/>
      <c r="K316" s="66"/>
      <c r="L316" s="66"/>
      <c r="M316" s="66"/>
      <c r="N316" s="66"/>
    </row>
    <row r="317" spans="1:14" x14ac:dyDescent="0.2">
      <c r="A317" s="84"/>
      <c r="B317" s="84"/>
      <c r="C317" s="60"/>
      <c r="D317" s="66"/>
      <c r="E317" s="66"/>
      <c r="F317" s="66"/>
      <c r="G317" s="66"/>
      <c r="H317" s="66"/>
      <c r="I317" s="66"/>
      <c r="J317" s="66"/>
      <c r="K317" s="66"/>
      <c r="L317" s="66"/>
      <c r="M317" s="66"/>
      <c r="N317" s="66"/>
    </row>
    <row r="318" spans="1:14" x14ac:dyDescent="0.2">
      <c r="A318" s="84"/>
      <c r="B318" s="84"/>
      <c r="C318" s="60"/>
      <c r="D318" s="66"/>
      <c r="E318" s="66"/>
      <c r="F318" s="66"/>
      <c r="G318" s="66"/>
      <c r="H318" s="66"/>
      <c r="I318" s="66"/>
      <c r="J318" s="66"/>
      <c r="K318" s="66"/>
      <c r="L318" s="66"/>
      <c r="M318" s="66"/>
      <c r="N318" s="66"/>
    </row>
    <row r="319" spans="1:14" x14ac:dyDescent="0.2">
      <c r="A319" s="84"/>
      <c r="B319" s="84"/>
      <c r="C319" s="60"/>
      <c r="D319" s="66"/>
      <c r="E319" s="66"/>
      <c r="F319" s="66"/>
      <c r="G319" s="66"/>
      <c r="H319" s="66"/>
      <c r="I319" s="66"/>
      <c r="J319" s="66"/>
      <c r="K319" s="66"/>
      <c r="L319" s="66"/>
      <c r="M319" s="66"/>
      <c r="N319" s="66"/>
    </row>
    <row r="320" spans="1:14" x14ac:dyDescent="0.2">
      <c r="A320" s="84"/>
      <c r="B320" s="84"/>
      <c r="C320" s="60"/>
      <c r="D320" s="66"/>
      <c r="E320" s="66"/>
      <c r="F320" s="66"/>
      <c r="G320" s="66"/>
      <c r="H320" s="66"/>
      <c r="I320" s="66"/>
      <c r="J320" s="66"/>
      <c r="K320" s="66"/>
      <c r="L320" s="66"/>
      <c r="M320" s="66"/>
      <c r="N320" s="66"/>
    </row>
    <row r="321" spans="1:14" x14ac:dyDescent="0.2">
      <c r="A321" s="84"/>
      <c r="B321" s="84"/>
      <c r="C321" s="60"/>
      <c r="D321" s="66"/>
      <c r="E321" s="66"/>
      <c r="F321" s="66"/>
      <c r="G321" s="66"/>
      <c r="H321" s="66"/>
      <c r="I321" s="66"/>
      <c r="J321" s="66"/>
      <c r="K321" s="66"/>
      <c r="L321" s="66"/>
      <c r="M321" s="66"/>
      <c r="N321" s="66"/>
    </row>
    <row r="322" spans="1:14" x14ac:dyDescent="0.2">
      <c r="A322" s="84"/>
      <c r="B322" s="84"/>
      <c r="C322" s="60"/>
      <c r="D322" s="66"/>
      <c r="E322" s="66"/>
      <c r="F322" s="66"/>
      <c r="G322" s="66"/>
      <c r="H322" s="66"/>
      <c r="I322" s="66"/>
      <c r="J322" s="66"/>
      <c r="K322" s="66"/>
      <c r="L322" s="66"/>
      <c r="M322" s="66"/>
      <c r="N322" s="66"/>
    </row>
    <row r="323" spans="1:14" x14ac:dyDescent="0.2">
      <c r="A323" s="84"/>
      <c r="B323" s="84"/>
      <c r="C323" s="60"/>
      <c r="D323" s="66"/>
      <c r="E323" s="66"/>
      <c r="F323" s="66"/>
      <c r="G323" s="66"/>
      <c r="H323" s="66"/>
      <c r="I323" s="66"/>
      <c r="J323" s="66"/>
      <c r="K323" s="66"/>
      <c r="L323" s="66"/>
      <c r="M323" s="66"/>
      <c r="N323" s="66"/>
    </row>
    <row r="324" spans="1:14" x14ac:dyDescent="0.2">
      <c r="A324" s="84"/>
      <c r="B324" s="84"/>
      <c r="C324" s="60"/>
      <c r="D324" s="66"/>
      <c r="E324" s="66"/>
      <c r="F324" s="66"/>
      <c r="G324" s="66"/>
      <c r="H324" s="66"/>
      <c r="I324" s="66"/>
      <c r="J324" s="66"/>
      <c r="K324" s="66"/>
      <c r="L324" s="66"/>
      <c r="M324" s="66"/>
      <c r="N324" s="66"/>
    </row>
    <row r="325" spans="1:14" x14ac:dyDescent="0.2">
      <c r="A325" s="84"/>
      <c r="B325" s="84"/>
      <c r="C325" s="60"/>
      <c r="D325" s="66"/>
      <c r="E325" s="66"/>
      <c r="F325" s="66"/>
      <c r="G325" s="66"/>
      <c r="H325" s="66"/>
      <c r="I325" s="66"/>
      <c r="J325" s="66"/>
      <c r="K325" s="66"/>
      <c r="L325" s="66"/>
      <c r="M325" s="66"/>
      <c r="N325" s="66"/>
    </row>
    <row r="326" spans="1:14" x14ac:dyDescent="0.2">
      <c r="A326" s="84"/>
      <c r="B326" s="84"/>
      <c r="C326" s="60"/>
      <c r="D326" s="66"/>
      <c r="E326" s="66"/>
      <c r="F326" s="66"/>
      <c r="G326" s="66"/>
      <c r="H326" s="66"/>
      <c r="I326" s="66"/>
      <c r="J326" s="66"/>
      <c r="K326" s="66"/>
      <c r="L326" s="66"/>
      <c r="M326" s="66"/>
      <c r="N326" s="66"/>
    </row>
    <row r="327" spans="1:14" x14ac:dyDescent="0.2">
      <c r="A327" s="84"/>
      <c r="B327" s="84"/>
      <c r="C327" s="60"/>
      <c r="D327" s="66"/>
      <c r="E327" s="66"/>
      <c r="F327" s="66"/>
      <c r="G327" s="66"/>
      <c r="H327" s="66"/>
      <c r="I327" s="66"/>
      <c r="J327" s="66"/>
      <c r="K327" s="66"/>
      <c r="L327" s="66"/>
      <c r="M327" s="66"/>
      <c r="N327" s="66"/>
    </row>
    <row r="328" spans="1:14" x14ac:dyDescent="0.2">
      <c r="A328" s="84"/>
      <c r="B328" s="84"/>
      <c r="C328" s="60"/>
      <c r="D328" s="66"/>
      <c r="E328" s="66"/>
      <c r="F328" s="66"/>
      <c r="G328" s="66"/>
      <c r="H328" s="66"/>
      <c r="I328" s="66"/>
      <c r="J328" s="66"/>
      <c r="K328" s="66"/>
      <c r="L328" s="66"/>
      <c r="M328" s="66"/>
      <c r="N328" s="66"/>
    </row>
    <row r="329" spans="1:14" x14ac:dyDescent="0.2">
      <c r="A329" s="84"/>
      <c r="B329" s="84"/>
      <c r="C329" s="60"/>
      <c r="D329" s="66"/>
      <c r="E329" s="66"/>
      <c r="F329" s="66"/>
      <c r="G329" s="66"/>
      <c r="H329" s="66"/>
      <c r="I329" s="66"/>
      <c r="J329" s="66"/>
      <c r="K329" s="66"/>
      <c r="L329" s="66"/>
      <c r="M329" s="66"/>
      <c r="N329" s="66"/>
    </row>
    <row r="330" spans="1:14" x14ac:dyDescent="0.2">
      <c r="A330" s="84"/>
      <c r="B330" s="84"/>
      <c r="C330" s="60"/>
      <c r="D330" s="66"/>
      <c r="E330" s="66"/>
      <c r="F330" s="66"/>
      <c r="G330" s="66"/>
      <c r="H330" s="66"/>
      <c r="I330" s="66"/>
      <c r="J330" s="66"/>
      <c r="K330" s="66"/>
      <c r="L330" s="66"/>
      <c r="M330" s="66"/>
      <c r="N330" s="66"/>
    </row>
    <row r="331" spans="1:14" x14ac:dyDescent="0.2">
      <c r="A331" s="84"/>
      <c r="B331" s="84"/>
      <c r="C331" s="60"/>
      <c r="D331" s="66"/>
      <c r="E331" s="66"/>
      <c r="F331" s="66"/>
      <c r="G331" s="66"/>
      <c r="H331" s="66"/>
      <c r="I331" s="66"/>
      <c r="J331" s="66"/>
      <c r="K331" s="66"/>
      <c r="L331" s="66"/>
      <c r="M331" s="66"/>
      <c r="N331" s="66"/>
    </row>
    <row r="332" spans="1:14" x14ac:dyDescent="0.2">
      <c r="A332" s="84"/>
      <c r="B332" s="84"/>
      <c r="C332" s="60"/>
      <c r="D332" s="66"/>
      <c r="E332" s="66"/>
      <c r="F332" s="66"/>
      <c r="G332" s="66"/>
      <c r="H332" s="66"/>
      <c r="I332" s="66"/>
      <c r="J332" s="66"/>
      <c r="K332" s="66"/>
      <c r="L332" s="66"/>
      <c r="M332" s="66"/>
      <c r="N332" s="66"/>
    </row>
    <row r="333" spans="1:14" x14ac:dyDescent="0.2">
      <c r="A333" s="84"/>
      <c r="B333" s="84"/>
      <c r="C333" s="60"/>
      <c r="D333" s="66"/>
      <c r="E333" s="66"/>
      <c r="F333" s="66"/>
      <c r="G333" s="66"/>
      <c r="H333" s="66"/>
      <c r="I333" s="66"/>
      <c r="J333" s="66"/>
      <c r="K333" s="66"/>
      <c r="L333" s="66"/>
      <c r="M333" s="66"/>
      <c r="N333" s="66"/>
    </row>
    <row r="334" spans="1:14" x14ac:dyDescent="0.2">
      <c r="A334" s="84"/>
      <c r="B334" s="84"/>
      <c r="C334" s="60"/>
      <c r="D334" s="66"/>
      <c r="E334" s="66"/>
      <c r="F334" s="66"/>
      <c r="G334" s="66"/>
      <c r="H334" s="66"/>
      <c r="I334" s="66"/>
      <c r="J334" s="66"/>
      <c r="K334" s="66"/>
      <c r="L334" s="66"/>
      <c r="M334" s="66"/>
      <c r="N334" s="66"/>
    </row>
    <row r="335" spans="1:14" x14ac:dyDescent="0.2">
      <c r="A335" s="84"/>
      <c r="B335" s="84"/>
      <c r="C335" s="60"/>
      <c r="D335" s="66"/>
      <c r="E335" s="66"/>
      <c r="F335" s="66"/>
      <c r="G335" s="66"/>
      <c r="H335" s="66"/>
      <c r="I335" s="66"/>
      <c r="J335" s="66"/>
      <c r="K335" s="66"/>
      <c r="L335" s="66"/>
      <c r="M335" s="66"/>
      <c r="N335" s="66"/>
    </row>
    <row r="336" spans="1:14" x14ac:dyDescent="0.2">
      <c r="A336" s="84"/>
      <c r="B336" s="84"/>
      <c r="C336" s="60"/>
      <c r="D336" s="66"/>
      <c r="E336" s="66"/>
      <c r="F336" s="66"/>
      <c r="G336" s="66"/>
      <c r="H336" s="66"/>
      <c r="I336" s="66"/>
      <c r="J336" s="66"/>
      <c r="K336" s="66"/>
      <c r="L336" s="66"/>
      <c r="M336" s="66"/>
      <c r="N336" s="66"/>
    </row>
    <row r="337" spans="1:14" x14ac:dyDescent="0.2">
      <c r="A337" s="84"/>
      <c r="B337" s="84"/>
      <c r="C337" s="60"/>
      <c r="D337" s="66"/>
      <c r="E337" s="66"/>
      <c r="F337" s="66"/>
      <c r="G337" s="66"/>
      <c r="H337" s="66"/>
      <c r="I337" s="66"/>
      <c r="J337" s="66"/>
      <c r="K337" s="66"/>
      <c r="L337" s="66"/>
      <c r="M337" s="66"/>
      <c r="N337" s="66"/>
    </row>
    <row r="338" spans="1:14" x14ac:dyDescent="0.2">
      <c r="A338" s="84"/>
      <c r="B338" s="84"/>
      <c r="C338" s="60"/>
      <c r="D338" s="66"/>
      <c r="E338" s="66"/>
      <c r="F338" s="66"/>
      <c r="G338" s="66"/>
      <c r="H338" s="66"/>
      <c r="I338" s="66"/>
      <c r="J338" s="66"/>
      <c r="K338" s="66"/>
      <c r="L338" s="66"/>
      <c r="M338" s="66"/>
      <c r="N338" s="66"/>
    </row>
    <row r="339" spans="1:14" x14ac:dyDescent="0.2">
      <c r="A339" s="84"/>
      <c r="B339" s="84"/>
      <c r="C339" s="60"/>
      <c r="D339" s="66"/>
      <c r="E339" s="66"/>
      <c r="F339" s="66"/>
      <c r="G339" s="66"/>
      <c r="H339" s="66"/>
      <c r="I339" s="66"/>
      <c r="J339" s="66"/>
      <c r="K339" s="66"/>
      <c r="L339" s="66"/>
      <c r="M339" s="66"/>
      <c r="N339" s="66"/>
    </row>
    <row r="340" spans="1:14" x14ac:dyDescent="0.2">
      <c r="A340" s="84"/>
      <c r="B340" s="84"/>
      <c r="C340" s="60"/>
      <c r="D340" s="66"/>
      <c r="E340" s="66"/>
      <c r="F340" s="66"/>
      <c r="G340" s="66"/>
      <c r="H340" s="66"/>
      <c r="I340" s="66"/>
      <c r="J340" s="66"/>
      <c r="K340" s="66"/>
      <c r="L340" s="66"/>
      <c r="M340" s="66"/>
      <c r="N340" s="66"/>
    </row>
    <row r="341" spans="1:14" x14ac:dyDescent="0.2">
      <c r="A341" s="84"/>
      <c r="B341" s="84"/>
      <c r="C341" s="60"/>
      <c r="D341" s="66"/>
      <c r="E341" s="66"/>
      <c r="F341" s="66"/>
      <c r="G341" s="66"/>
      <c r="H341" s="66"/>
      <c r="I341" s="66"/>
      <c r="J341" s="66"/>
      <c r="K341" s="66"/>
      <c r="L341" s="66"/>
      <c r="M341" s="66"/>
      <c r="N341" s="66"/>
    </row>
    <row r="342" spans="1:14" x14ac:dyDescent="0.2">
      <c r="A342" s="84"/>
      <c r="B342" s="84"/>
      <c r="C342" s="60"/>
      <c r="D342" s="66"/>
      <c r="E342" s="66"/>
      <c r="F342" s="66"/>
      <c r="G342" s="66"/>
      <c r="H342" s="66"/>
      <c r="I342" s="66"/>
      <c r="J342" s="66"/>
      <c r="K342" s="66"/>
      <c r="L342" s="66"/>
      <c r="M342" s="66"/>
      <c r="N342" s="66"/>
    </row>
    <row r="343" spans="1:14" x14ac:dyDescent="0.2">
      <c r="A343" s="84"/>
      <c r="B343" s="84"/>
      <c r="C343" s="60"/>
      <c r="D343" s="66"/>
      <c r="E343" s="66"/>
      <c r="F343" s="66"/>
      <c r="G343" s="66"/>
      <c r="H343" s="66"/>
      <c r="I343" s="66"/>
      <c r="J343" s="66"/>
      <c r="K343" s="66"/>
      <c r="L343" s="66"/>
      <c r="M343" s="66"/>
      <c r="N343" s="66"/>
    </row>
    <row r="344" spans="1:14" x14ac:dyDescent="0.2">
      <c r="A344" s="84"/>
      <c r="B344" s="84"/>
      <c r="C344" s="60"/>
      <c r="D344" s="66"/>
      <c r="E344" s="66"/>
      <c r="F344" s="66"/>
      <c r="G344" s="66"/>
      <c r="H344" s="66"/>
      <c r="I344" s="66"/>
      <c r="J344" s="66"/>
      <c r="K344" s="66"/>
      <c r="L344" s="66"/>
      <c r="M344" s="66"/>
      <c r="N344" s="66"/>
    </row>
    <row r="345" spans="1:14" x14ac:dyDescent="0.2">
      <c r="A345" s="84"/>
      <c r="B345" s="84"/>
      <c r="C345" s="60"/>
      <c r="D345" s="66"/>
      <c r="E345" s="66"/>
      <c r="F345" s="66"/>
      <c r="G345" s="66"/>
      <c r="H345" s="66"/>
      <c r="I345" s="66"/>
      <c r="J345" s="66"/>
      <c r="K345" s="66"/>
      <c r="L345" s="66"/>
      <c r="M345" s="66"/>
      <c r="N345" s="66"/>
    </row>
    <row r="346" spans="1:14" x14ac:dyDescent="0.2">
      <c r="A346" s="84"/>
      <c r="B346" s="84"/>
      <c r="C346" s="60"/>
      <c r="D346" s="66"/>
      <c r="E346" s="66"/>
      <c r="F346" s="66"/>
      <c r="G346" s="66"/>
      <c r="H346" s="66"/>
      <c r="I346" s="66"/>
      <c r="J346" s="66"/>
      <c r="K346" s="66"/>
      <c r="L346" s="66"/>
      <c r="M346" s="66"/>
      <c r="N346" s="66"/>
    </row>
    <row r="347" spans="1:14" x14ac:dyDescent="0.2">
      <c r="A347" s="84"/>
      <c r="B347" s="84"/>
      <c r="C347" s="60"/>
      <c r="D347" s="66"/>
      <c r="E347" s="66"/>
      <c r="F347" s="66"/>
      <c r="G347" s="66"/>
      <c r="H347" s="66"/>
      <c r="I347" s="66"/>
      <c r="J347" s="66"/>
      <c r="K347" s="66"/>
      <c r="L347" s="66"/>
      <c r="M347" s="66"/>
      <c r="N347" s="66"/>
    </row>
    <row r="348" spans="1:14" x14ac:dyDescent="0.2">
      <c r="A348" s="84"/>
      <c r="B348" s="84"/>
      <c r="C348" s="60"/>
      <c r="D348" s="66"/>
      <c r="E348" s="66"/>
      <c r="F348" s="66"/>
      <c r="G348" s="66"/>
      <c r="H348" s="66"/>
      <c r="I348" s="66"/>
      <c r="J348" s="66"/>
      <c r="K348" s="66"/>
      <c r="L348" s="66"/>
      <c r="M348" s="66"/>
      <c r="N348" s="66"/>
    </row>
    <row r="349" spans="1:14" x14ac:dyDescent="0.2">
      <c r="A349" s="84"/>
      <c r="B349" s="84"/>
      <c r="C349" s="60"/>
      <c r="D349" s="66"/>
      <c r="E349" s="66"/>
      <c r="F349" s="66"/>
      <c r="G349" s="66"/>
      <c r="H349" s="66"/>
      <c r="I349" s="66"/>
      <c r="J349" s="66"/>
      <c r="K349" s="66"/>
      <c r="L349" s="66"/>
      <c r="M349" s="66"/>
      <c r="N349" s="66"/>
    </row>
    <row r="350" spans="1:14" x14ac:dyDescent="0.2">
      <c r="A350" s="84"/>
      <c r="B350" s="84"/>
      <c r="C350" s="60"/>
      <c r="D350" s="66"/>
      <c r="E350" s="66"/>
      <c r="F350" s="66"/>
      <c r="G350" s="66"/>
      <c r="H350" s="66"/>
      <c r="I350" s="66"/>
      <c r="J350" s="66"/>
      <c r="K350" s="66"/>
      <c r="L350" s="66"/>
      <c r="M350" s="66"/>
      <c r="N350" s="66"/>
    </row>
    <row r="351" spans="1:14" x14ac:dyDescent="0.2">
      <c r="A351" s="84"/>
      <c r="B351" s="84"/>
      <c r="C351" s="60"/>
      <c r="D351" s="66"/>
      <c r="E351" s="66"/>
      <c r="F351" s="66"/>
      <c r="G351" s="66"/>
      <c r="H351" s="66"/>
      <c r="I351" s="66"/>
      <c r="J351" s="66"/>
      <c r="K351" s="66"/>
      <c r="L351" s="66"/>
      <c r="M351" s="66"/>
      <c r="N351" s="66"/>
    </row>
    <row r="352" spans="1:14" x14ac:dyDescent="0.2">
      <c r="A352" s="84"/>
      <c r="B352" s="84"/>
      <c r="C352" s="60"/>
      <c r="D352" s="66"/>
      <c r="E352" s="66"/>
      <c r="F352" s="66"/>
      <c r="G352" s="66"/>
      <c r="H352" s="66"/>
      <c r="I352" s="66"/>
      <c r="J352" s="66"/>
      <c r="K352" s="66"/>
      <c r="L352" s="66"/>
      <c r="M352" s="66"/>
      <c r="N352" s="66"/>
    </row>
    <row r="353" spans="1:14" x14ac:dyDescent="0.2">
      <c r="A353" s="84"/>
      <c r="B353" s="84"/>
      <c r="C353" s="60"/>
      <c r="D353" s="66"/>
      <c r="E353" s="66"/>
      <c r="F353" s="66"/>
      <c r="G353" s="66"/>
      <c r="H353" s="66"/>
      <c r="I353" s="66"/>
      <c r="J353" s="66"/>
      <c r="K353" s="66"/>
      <c r="L353" s="66"/>
      <c r="M353" s="66"/>
      <c r="N353" s="66"/>
    </row>
    <row r="354" spans="1:14" x14ac:dyDescent="0.2">
      <c r="A354" s="84"/>
      <c r="B354" s="84"/>
      <c r="C354" s="60"/>
      <c r="D354" s="66"/>
      <c r="E354" s="66"/>
      <c r="F354" s="66"/>
      <c r="G354" s="66"/>
      <c r="H354" s="66"/>
      <c r="I354" s="66"/>
      <c r="J354" s="66"/>
      <c r="K354" s="66"/>
      <c r="L354" s="66"/>
      <c r="M354" s="66"/>
      <c r="N354" s="66"/>
    </row>
    <row r="355" spans="1:14" x14ac:dyDescent="0.2">
      <c r="A355" s="84"/>
      <c r="B355" s="84"/>
      <c r="C355" s="60"/>
      <c r="D355" s="66"/>
      <c r="E355" s="66"/>
      <c r="F355" s="66"/>
      <c r="G355" s="66"/>
      <c r="H355" s="66"/>
      <c r="I355" s="66"/>
      <c r="J355" s="66"/>
      <c r="K355" s="66"/>
      <c r="L355" s="66"/>
      <c r="M355" s="66"/>
      <c r="N355" s="66"/>
    </row>
    <row r="356" spans="1:14" x14ac:dyDescent="0.2">
      <c r="A356" s="84"/>
      <c r="B356" s="84"/>
      <c r="C356" s="60"/>
      <c r="D356" s="66"/>
      <c r="E356" s="66"/>
      <c r="F356" s="66"/>
      <c r="G356" s="66"/>
      <c r="H356" s="66"/>
      <c r="I356" s="66"/>
      <c r="J356" s="66"/>
      <c r="K356" s="66"/>
      <c r="L356" s="66"/>
      <c r="M356" s="66"/>
      <c r="N356" s="66"/>
    </row>
    <row r="357" spans="1:14" x14ac:dyDescent="0.2">
      <c r="A357" s="84"/>
      <c r="B357" s="84"/>
      <c r="C357" s="60"/>
      <c r="D357" s="66"/>
      <c r="E357" s="66"/>
      <c r="F357" s="66"/>
      <c r="G357" s="66"/>
      <c r="H357" s="66"/>
      <c r="I357" s="66"/>
      <c r="J357" s="66"/>
      <c r="K357" s="66"/>
      <c r="L357" s="66"/>
      <c r="M357" s="66"/>
      <c r="N357" s="66"/>
    </row>
    <row r="358" spans="1:14" x14ac:dyDescent="0.2">
      <c r="A358" s="84"/>
      <c r="B358" s="84"/>
      <c r="C358" s="60"/>
      <c r="D358" s="66"/>
      <c r="E358" s="66"/>
      <c r="F358" s="66"/>
      <c r="G358" s="66"/>
      <c r="H358" s="66"/>
      <c r="I358" s="66"/>
      <c r="J358" s="66"/>
      <c r="K358" s="66"/>
      <c r="L358" s="66"/>
      <c r="M358" s="66"/>
      <c r="N358" s="66"/>
    </row>
    <row r="359" spans="1:14" x14ac:dyDescent="0.2">
      <c r="A359" s="84"/>
      <c r="B359" s="84"/>
      <c r="C359" s="60"/>
      <c r="D359" s="66"/>
      <c r="E359" s="66"/>
      <c r="F359" s="66"/>
      <c r="G359" s="66"/>
      <c r="H359" s="66"/>
      <c r="I359" s="66"/>
      <c r="J359" s="66"/>
      <c r="K359" s="66"/>
      <c r="L359" s="66"/>
      <c r="M359" s="66"/>
      <c r="N359" s="66"/>
    </row>
    <row r="360" spans="1:14" x14ac:dyDescent="0.2">
      <c r="A360" s="84"/>
      <c r="B360" s="84"/>
      <c r="C360" s="60"/>
      <c r="D360" s="66"/>
      <c r="E360" s="66"/>
      <c r="F360" s="66"/>
      <c r="G360" s="66"/>
      <c r="H360" s="66"/>
      <c r="I360" s="66"/>
      <c r="J360" s="66"/>
      <c r="K360" s="66"/>
      <c r="L360" s="66"/>
      <c r="M360" s="66"/>
      <c r="N360" s="66"/>
    </row>
    <row r="361" spans="1:14" x14ac:dyDescent="0.2">
      <c r="A361" s="84"/>
      <c r="B361" s="84"/>
      <c r="C361" s="60"/>
      <c r="D361" s="66"/>
      <c r="E361" s="66"/>
      <c r="F361" s="66"/>
      <c r="G361" s="66"/>
      <c r="H361" s="66"/>
      <c r="I361" s="66"/>
      <c r="J361" s="66"/>
      <c r="K361" s="66"/>
      <c r="L361" s="66"/>
      <c r="M361" s="66"/>
      <c r="N361" s="66"/>
    </row>
    <row r="362" spans="1:14" x14ac:dyDescent="0.2">
      <c r="A362" s="84"/>
      <c r="B362" s="84"/>
      <c r="C362" s="60"/>
      <c r="D362" s="66"/>
      <c r="E362" s="66"/>
      <c r="F362" s="66"/>
      <c r="G362" s="66"/>
      <c r="H362" s="66"/>
      <c r="I362" s="66"/>
      <c r="J362" s="66"/>
      <c r="K362" s="66"/>
      <c r="L362" s="66"/>
      <c r="M362" s="66"/>
      <c r="N362" s="66"/>
    </row>
    <row r="363" spans="1:14" x14ac:dyDescent="0.2">
      <c r="A363" s="84"/>
      <c r="B363" s="84"/>
      <c r="C363" s="60"/>
      <c r="D363" s="66"/>
      <c r="E363" s="66"/>
      <c r="F363" s="66"/>
      <c r="G363" s="66"/>
      <c r="H363" s="66"/>
      <c r="I363" s="66"/>
      <c r="J363" s="66"/>
      <c r="K363" s="66"/>
      <c r="L363" s="66"/>
      <c r="M363" s="66"/>
      <c r="N363" s="66"/>
    </row>
    <row r="364" spans="1:14" x14ac:dyDescent="0.2">
      <c r="A364" s="84"/>
      <c r="B364" s="84"/>
      <c r="C364" s="60"/>
      <c r="D364" s="66"/>
      <c r="E364" s="66"/>
      <c r="F364" s="66"/>
      <c r="G364" s="66"/>
      <c r="H364" s="66"/>
      <c r="I364" s="66"/>
      <c r="J364" s="66"/>
      <c r="K364" s="66"/>
      <c r="L364" s="66"/>
      <c r="M364" s="66"/>
      <c r="N364" s="66"/>
    </row>
    <row r="365" spans="1:14" x14ac:dyDescent="0.2">
      <c r="A365" s="84"/>
      <c r="B365" s="84"/>
      <c r="C365" s="60"/>
      <c r="D365" s="66"/>
      <c r="E365" s="66"/>
      <c r="F365" s="66"/>
      <c r="G365" s="66"/>
      <c r="H365" s="66"/>
      <c r="I365" s="66"/>
      <c r="J365" s="66"/>
      <c r="K365" s="66"/>
      <c r="L365" s="66"/>
      <c r="M365" s="66"/>
      <c r="N365" s="66"/>
    </row>
    <row r="366" spans="1:14" x14ac:dyDescent="0.2">
      <c r="A366" s="84"/>
      <c r="B366" s="84"/>
      <c r="C366" s="60"/>
      <c r="D366" s="66"/>
      <c r="E366" s="66"/>
      <c r="F366" s="66"/>
      <c r="G366" s="66"/>
      <c r="H366" s="66"/>
      <c r="I366" s="66"/>
      <c r="J366" s="66"/>
      <c r="K366" s="66"/>
      <c r="L366" s="66"/>
      <c r="M366" s="66"/>
      <c r="N366" s="66"/>
    </row>
    <row r="367" spans="1:14" x14ac:dyDescent="0.2">
      <c r="A367" s="84"/>
      <c r="B367" s="84"/>
      <c r="C367" s="60"/>
      <c r="D367" s="66"/>
      <c r="E367" s="66"/>
      <c r="F367" s="66"/>
      <c r="G367" s="66"/>
      <c r="H367" s="66"/>
      <c r="I367" s="66"/>
      <c r="J367" s="66"/>
      <c r="K367" s="66"/>
      <c r="L367" s="66"/>
      <c r="M367" s="66"/>
      <c r="N367" s="66"/>
    </row>
    <row r="368" spans="1:14" x14ac:dyDescent="0.2">
      <c r="A368" s="84"/>
      <c r="B368" s="84"/>
      <c r="C368" s="60"/>
      <c r="D368" s="66"/>
      <c r="E368" s="66"/>
      <c r="F368" s="66"/>
      <c r="G368" s="66"/>
      <c r="H368" s="66"/>
      <c r="I368" s="66"/>
      <c r="J368" s="66"/>
      <c r="K368" s="66"/>
      <c r="L368" s="66"/>
      <c r="M368" s="66"/>
      <c r="N368" s="66"/>
    </row>
    <row r="369" spans="1:14" x14ac:dyDescent="0.2">
      <c r="A369" s="84"/>
      <c r="B369" s="84"/>
      <c r="C369" s="60"/>
      <c r="D369" s="66"/>
      <c r="E369" s="66"/>
      <c r="F369" s="66"/>
      <c r="G369" s="66"/>
      <c r="H369" s="66"/>
      <c r="I369" s="66"/>
      <c r="J369" s="66"/>
      <c r="K369" s="66"/>
      <c r="L369" s="66"/>
      <c r="M369" s="66"/>
      <c r="N369" s="66"/>
    </row>
    <row r="370" spans="1:14" x14ac:dyDescent="0.2">
      <c r="A370" s="84"/>
      <c r="B370" s="84"/>
      <c r="C370" s="60"/>
      <c r="D370" s="66"/>
      <c r="E370" s="66"/>
      <c r="F370" s="66"/>
      <c r="G370" s="66"/>
      <c r="H370" s="66"/>
      <c r="I370" s="66"/>
      <c r="J370" s="66"/>
      <c r="K370" s="66"/>
      <c r="L370" s="66"/>
      <c r="M370" s="66"/>
      <c r="N370" s="66"/>
    </row>
    <row r="371" spans="1:14" x14ac:dyDescent="0.2">
      <c r="A371" s="84"/>
      <c r="B371" s="84"/>
      <c r="C371" s="60"/>
      <c r="D371" s="66"/>
      <c r="E371" s="66"/>
      <c r="F371" s="66"/>
      <c r="G371" s="66"/>
      <c r="H371" s="66"/>
      <c r="I371" s="66"/>
      <c r="J371" s="66"/>
      <c r="K371" s="66"/>
      <c r="L371" s="66"/>
      <c r="M371" s="66"/>
      <c r="N371" s="66"/>
    </row>
    <row r="372" spans="1:14" x14ac:dyDescent="0.2">
      <c r="A372" s="84"/>
      <c r="B372" s="84"/>
      <c r="C372" s="60"/>
      <c r="D372" s="66"/>
      <c r="E372" s="66"/>
      <c r="F372" s="66"/>
      <c r="G372" s="66"/>
      <c r="H372" s="66"/>
      <c r="I372" s="66"/>
      <c r="J372" s="66"/>
      <c r="K372" s="66"/>
      <c r="L372" s="66"/>
      <c r="M372" s="66"/>
      <c r="N372" s="66"/>
    </row>
    <row r="373" spans="1:14" x14ac:dyDescent="0.2">
      <c r="A373" s="84"/>
      <c r="B373" s="84"/>
      <c r="C373" s="60"/>
      <c r="D373" s="66"/>
      <c r="E373" s="66"/>
      <c r="F373" s="66"/>
      <c r="G373" s="66"/>
      <c r="H373" s="66"/>
      <c r="I373" s="66"/>
      <c r="J373" s="66"/>
      <c r="K373" s="66"/>
      <c r="L373" s="66"/>
      <c r="M373" s="66"/>
      <c r="N373" s="66"/>
    </row>
    <row r="374" spans="1:14" x14ac:dyDescent="0.2">
      <c r="A374" s="84"/>
      <c r="B374" s="84"/>
      <c r="C374" s="60"/>
      <c r="D374" s="66"/>
      <c r="E374" s="66"/>
      <c r="F374" s="66"/>
      <c r="G374" s="66"/>
      <c r="H374" s="66"/>
      <c r="I374" s="66"/>
      <c r="J374" s="66"/>
      <c r="K374" s="66"/>
      <c r="L374" s="66"/>
      <c r="M374" s="66"/>
      <c r="N374" s="66"/>
    </row>
    <row r="375" spans="1:14" x14ac:dyDescent="0.2">
      <c r="A375" s="84"/>
      <c r="B375" s="84"/>
      <c r="C375" s="60"/>
      <c r="D375" s="66"/>
      <c r="E375" s="66"/>
      <c r="F375" s="66"/>
      <c r="G375" s="66"/>
      <c r="H375" s="66"/>
      <c r="I375" s="66"/>
      <c r="J375" s="66"/>
      <c r="K375" s="66"/>
      <c r="L375" s="66"/>
      <c r="M375" s="66"/>
      <c r="N375" s="66"/>
    </row>
    <row r="376" spans="1:14" x14ac:dyDescent="0.2">
      <c r="A376" s="84"/>
      <c r="B376" s="84"/>
      <c r="C376" s="60"/>
      <c r="D376" s="66"/>
      <c r="E376" s="66"/>
      <c r="F376" s="66"/>
      <c r="G376" s="66"/>
      <c r="H376" s="66"/>
      <c r="I376" s="66"/>
      <c r="J376" s="66"/>
      <c r="K376" s="66"/>
      <c r="L376" s="66"/>
      <c r="M376" s="66"/>
      <c r="N376" s="66"/>
    </row>
    <row r="377" spans="1:14" x14ac:dyDescent="0.2">
      <c r="A377" s="84"/>
      <c r="B377" s="84"/>
      <c r="C377" s="60"/>
      <c r="D377" s="66"/>
      <c r="E377" s="66"/>
      <c r="F377" s="66"/>
      <c r="G377" s="66"/>
      <c r="H377" s="66"/>
      <c r="I377" s="66"/>
      <c r="J377" s="66"/>
      <c r="K377" s="66"/>
      <c r="L377" s="66"/>
      <c r="M377" s="66"/>
      <c r="N377" s="66"/>
    </row>
    <row r="378" spans="1:14" x14ac:dyDescent="0.2">
      <c r="A378" s="84"/>
      <c r="B378" s="84"/>
      <c r="C378" s="60"/>
      <c r="D378" s="66"/>
      <c r="E378" s="66"/>
      <c r="F378" s="66"/>
      <c r="G378" s="66"/>
      <c r="H378" s="66"/>
      <c r="I378" s="66"/>
      <c r="J378" s="66"/>
      <c r="K378" s="66"/>
      <c r="L378" s="66"/>
      <c r="M378" s="66"/>
      <c r="N378" s="66"/>
    </row>
    <row r="379" spans="1:14" x14ac:dyDescent="0.2">
      <c r="A379" s="84"/>
      <c r="B379" s="84"/>
      <c r="C379" s="60"/>
      <c r="D379" s="66"/>
      <c r="E379" s="66"/>
      <c r="F379" s="66"/>
      <c r="G379" s="66"/>
      <c r="H379" s="66"/>
      <c r="I379" s="66"/>
      <c r="J379" s="66"/>
      <c r="K379" s="66"/>
      <c r="L379" s="66"/>
      <c r="M379" s="66"/>
      <c r="N379" s="66"/>
    </row>
    <row r="380" spans="1:14" x14ac:dyDescent="0.2">
      <c r="A380" s="84"/>
      <c r="B380" s="84"/>
      <c r="C380" s="60"/>
      <c r="D380" s="66"/>
      <c r="E380" s="66"/>
      <c r="F380" s="66"/>
      <c r="G380" s="66"/>
      <c r="H380" s="66"/>
      <c r="I380" s="66"/>
      <c r="J380" s="66"/>
      <c r="K380" s="66"/>
      <c r="L380" s="66"/>
      <c r="M380" s="66"/>
      <c r="N380" s="66"/>
    </row>
    <row r="381" spans="1:14" x14ac:dyDescent="0.2">
      <c r="A381" s="84"/>
      <c r="B381" s="84"/>
      <c r="C381" s="60"/>
      <c r="D381" s="66"/>
      <c r="E381" s="66"/>
      <c r="F381" s="66"/>
      <c r="G381" s="66"/>
      <c r="H381" s="66"/>
      <c r="I381" s="66"/>
      <c r="J381" s="66"/>
      <c r="K381" s="66"/>
      <c r="L381" s="66"/>
      <c r="M381" s="66"/>
      <c r="N381" s="66"/>
    </row>
    <row r="382" spans="1:14" x14ac:dyDescent="0.2">
      <c r="A382" s="84"/>
      <c r="B382" s="84"/>
      <c r="C382" s="60"/>
      <c r="D382" s="66"/>
      <c r="E382" s="66"/>
      <c r="F382" s="66"/>
      <c r="G382" s="66"/>
      <c r="H382" s="66"/>
      <c r="I382" s="66"/>
      <c r="J382" s="66"/>
      <c r="K382" s="66"/>
      <c r="L382" s="66"/>
      <c r="M382" s="66"/>
      <c r="N382" s="66"/>
    </row>
    <row r="383" spans="1:14" x14ac:dyDescent="0.2">
      <c r="A383" s="84"/>
      <c r="B383" s="84"/>
      <c r="C383" s="60"/>
      <c r="D383" s="66"/>
      <c r="E383" s="66"/>
      <c r="F383" s="66"/>
      <c r="G383" s="66"/>
      <c r="H383" s="66"/>
      <c r="I383" s="66"/>
      <c r="J383" s="66"/>
      <c r="K383" s="66"/>
      <c r="L383" s="66"/>
      <c r="M383" s="66"/>
      <c r="N383" s="66"/>
    </row>
    <row r="384" spans="1:14" x14ac:dyDescent="0.2">
      <c r="A384" s="84"/>
      <c r="B384" s="84"/>
      <c r="C384" s="60"/>
      <c r="D384" s="66"/>
      <c r="E384" s="66"/>
      <c r="F384" s="66"/>
      <c r="G384" s="66"/>
      <c r="H384" s="66"/>
      <c r="I384" s="66"/>
      <c r="J384" s="66"/>
      <c r="K384" s="66"/>
      <c r="L384" s="66"/>
      <c r="M384" s="66"/>
      <c r="N384" s="66"/>
    </row>
    <row r="385" spans="1:14" x14ac:dyDescent="0.2">
      <c r="A385" s="84"/>
      <c r="B385" s="84"/>
      <c r="C385" s="60"/>
      <c r="D385" s="66"/>
      <c r="E385" s="66"/>
      <c r="F385" s="66"/>
      <c r="G385" s="66"/>
      <c r="H385" s="66"/>
      <c r="I385" s="66"/>
      <c r="J385" s="66"/>
      <c r="K385" s="66"/>
      <c r="L385" s="66"/>
      <c r="M385" s="66"/>
      <c r="N385" s="66"/>
    </row>
    <row r="386" spans="1:14" x14ac:dyDescent="0.2">
      <c r="A386" s="84"/>
      <c r="B386" s="84"/>
      <c r="C386" s="60"/>
      <c r="D386" s="66"/>
      <c r="E386" s="66"/>
      <c r="F386" s="66"/>
      <c r="G386" s="66"/>
      <c r="H386" s="66"/>
      <c r="I386" s="66"/>
      <c r="J386" s="66"/>
      <c r="K386" s="66"/>
      <c r="L386" s="66"/>
      <c r="M386" s="66"/>
      <c r="N386" s="66"/>
    </row>
    <row r="387" spans="1:14" x14ac:dyDescent="0.2">
      <c r="A387" s="84"/>
      <c r="B387" s="84"/>
      <c r="C387" s="60"/>
      <c r="D387" s="66"/>
      <c r="E387" s="66"/>
      <c r="F387" s="66"/>
      <c r="G387" s="66"/>
      <c r="H387" s="66"/>
      <c r="I387" s="66"/>
      <c r="J387" s="66"/>
      <c r="K387" s="66"/>
      <c r="L387" s="66"/>
      <c r="M387" s="66"/>
      <c r="N387" s="66"/>
    </row>
    <row r="388" spans="1:14" x14ac:dyDescent="0.2">
      <c r="A388" s="84"/>
      <c r="B388" s="84"/>
      <c r="C388" s="60"/>
      <c r="D388" s="66"/>
      <c r="E388" s="66"/>
      <c r="F388" s="66"/>
      <c r="G388" s="66"/>
      <c r="H388" s="66"/>
      <c r="I388" s="66"/>
      <c r="J388" s="66"/>
      <c r="K388" s="66"/>
      <c r="L388" s="66"/>
      <c r="M388" s="66"/>
      <c r="N388" s="66"/>
    </row>
    <row r="389" spans="1:14" x14ac:dyDescent="0.2">
      <c r="A389" s="84"/>
      <c r="B389" s="84"/>
      <c r="C389" s="60"/>
      <c r="D389" s="66"/>
      <c r="E389" s="66"/>
      <c r="F389" s="66"/>
      <c r="G389" s="66"/>
      <c r="H389" s="66"/>
      <c r="I389" s="66"/>
      <c r="J389" s="66"/>
      <c r="K389" s="66"/>
      <c r="L389" s="66"/>
      <c r="M389" s="66"/>
      <c r="N389" s="66"/>
    </row>
    <row r="390" spans="1:14" x14ac:dyDescent="0.2">
      <c r="A390" s="84"/>
      <c r="B390" s="84"/>
      <c r="C390" s="60"/>
      <c r="D390" s="66"/>
      <c r="E390" s="66"/>
      <c r="F390" s="66"/>
      <c r="G390" s="66"/>
      <c r="H390" s="66"/>
      <c r="I390" s="66"/>
      <c r="J390" s="66"/>
      <c r="K390" s="66"/>
      <c r="L390" s="66"/>
      <c r="M390" s="66"/>
      <c r="N390" s="66"/>
    </row>
    <row r="391" spans="1:14" x14ac:dyDescent="0.2">
      <c r="A391" s="84"/>
      <c r="B391" s="84"/>
      <c r="C391" s="60"/>
      <c r="D391" s="66"/>
      <c r="E391" s="66"/>
      <c r="F391" s="66"/>
      <c r="G391" s="66"/>
      <c r="H391" s="66"/>
      <c r="I391" s="66"/>
      <c r="J391" s="66"/>
      <c r="K391" s="66"/>
      <c r="L391" s="66"/>
      <c r="M391" s="66"/>
      <c r="N391" s="66"/>
    </row>
    <row r="392" spans="1:14" x14ac:dyDescent="0.2">
      <c r="A392" s="84"/>
      <c r="B392" s="84"/>
      <c r="C392" s="60"/>
      <c r="D392" s="66"/>
      <c r="E392" s="66"/>
      <c r="F392" s="66"/>
      <c r="G392" s="66"/>
      <c r="H392" s="66"/>
      <c r="I392" s="66"/>
      <c r="J392" s="66"/>
      <c r="K392" s="66"/>
      <c r="L392" s="66"/>
      <c r="M392" s="66"/>
      <c r="N392" s="66"/>
    </row>
    <row r="393" spans="1:14" x14ac:dyDescent="0.2">
      <c r="A393" s="84"/>
      <c r="B393" s="84"/>
      <c r="C393" s="60"/>
      <c r="D393" s="66"/>
      <c r="E393" s="66"/>
      <c r="F393" s="66"/>
      <c r="G393" s="66"/>
      <c r="H393" s="66"/>
      <c r="I393" s="66"/>
      <c r="J393" s="66"/>
      <c r="K393" s="66"/>
      <c r="L393" s="66"/>
      <c r="M393" s="66"/>
      <c r="N393" s="66"/>
    </row>
    <row r="394" spans="1:14" x14ac:dyDescent="0.2">
      <c r="A394" s="84"/>
      <c r="B394" s="84"/>
      <c r="C394" s="60"/>
      <c r="D394" s="66"/>
      <c r="E394" s="66"/>
      <c r="F394" s="66"/>
      <c r="G394" s="66"/>
      <c r="H394" s="66"/>
      <c r="I394" s="66"/>
      <c r="J394" s="66"/>
      <c r="K394" s="66"/>
      <c r="L394" s="66"/>
      <c r="M394" s="66"/>
      <c r="N394" s="66"/>
    </row>
    <row r="395" spans="1:14" x14ac:dyDescent="0.2">
      <c r="A395" s="84"/>
      <c r="B395" s="84"/>
      <c r="C395" s="60"/>
      <c r="D395" s="66"/>
      <c r="E395" s="66"/>
      <c r="F395" s="66"/>
      <c r="G395" s="66"/>
      <c r="H395" s="66"/>
      <c r="I395" s="66"/>
      <c r="J395" s="66"/>
      <c r="K395" s="66"/>
      <c r="L395" s="66"/>
      <c r="M395" s="66"/>
      <c r="N395" s="66"/>
    </row>
    <row r="396" spans="1:14" x14ac:dyDescent="0.2">
      <c r="A396" s="84"/>
      <c r="B396" s="84"/>
      <c r="C396" s="60"/>
      <c r="D396" s="66"/>
      <c r="E396" s="66"/>
      <c r="F396" s="66"/>
      <c r="G396" s="66"/>
      <c r="H396" s="66"/>
      <c r="I396" s="66"/>
      <c r="J396" s="66"/>
      <c r="K396" s="66"/>
      <c r="L396" s="66"/>
      <c r="M396" s="66"/>
      <c r="N396" s="66"/>
    </row>
    <row r="397" spans="1:14" x14ac:dyDescent="0.2">
      <c r="A397" s="84"/>
      <c r="B397" s="84"/>
      <c r="C397" s="60"/>
      <c r="D397" s="66"/>
      <c r="E397" s="66"/>
      <c r="F397" s="66"/>
      <c r="G397" s="66"/>
      <c r="H397" s="66"/>
      <c r="I397" s="66"/>
      <c r="J397" s="66"/>
      <c r="K397" s="66"/>
      <c r="L397" s="66"/>
      <c r="M397" s="66"/>
      <c r="N397" s="66"/>
    </row>
    <row r="398" spans="1:14" x14ac:dyDescent="0.2">
      <c r="A398" s="84"/>
      <c r="B398" s="84"/>
      <c r="C398" s="60"/>
      <c r="D398" s="66"/>
      <c r="E398" s="66"/>
      <c r="F398" s="66"/>
      <c r="G398" s="66"/>
      <c r="H398" s="66"/>
      <c r="I398" s="66"/>
      <c r="J398" s="66"/>
      <c r="K398" s="66"/>
      <c r="L398" s="66"/>
      <c r="M398" s="66"/>
      <c r="N398" s="66"/>
    </row>
    <row r="399" spans="1:14" x14ac:dyDescent="0.2">
      <c r="A399" s="84"/>
      <c r="B399" s="84"/>
      <c r="C399" s="60"/>
      <c r="D399" s="66"/>
      <c r="E399" s="66"/>
      <c r="F399" s="66"/>
      <c r="G399" s="66"/>
      <c r="H399" s="66"/>
      <c r="I399" s="66"/>
      <c r="J399" s="66"/>
      <c r="K399" s="66"/>
      <c r="L399" s="66"/>
      <c r="M399" s="66"/>
      <c r="N399" s="66"/>
    </row>
    <row r="400" spans="1:14" x14ac:dyDescent="0.2">
      <c r="A400" s="84"/>
      <c r="B400" s="84"/>
      <c r="C400" s="60"/>
      <c r="D400" s="66"/>
      <c r="E400" s="66"/>
      <c r="F400" s="66"/>
      <c r="G400" s="66"/>
      <c r="H400" s="66"/>
      <c r="I400" s="66"/>
      <c r="J400" s="66"/>
      <c r="K400" s="66"/>
      <c r="L400" s="66"/>
      <c r="M400" s="66"/>
      <c r="N400" s="66"/>
    </row>
    <row r="401" spans="1:14" x14ac:dyDescent="0.2">
      <c r="A401" s="84"/>
      <c r="B401" s="84"/>
      <c r="C401" s="60"/>
      <c r="D401" s="66"/>
      <c r="E401" s="66"/>
      <c r="F401" s="66"/>
      <c r="G401" s="66"/>
      <c r="H401" s="66"/>
      <c r="I401" s="66"/>
      <c r="J401" s="66"/>
      <c r="K401" s="66"/>
      <c r="L401" s="66"/>
      <c r="M401" s="66"/>
      <c r="N401" s="66"/>
    </row>
    <row r="402" spans="1:14" x14ac:dyDescent="0.2">
      <c r="A402" s="84"/>
      <c r="B402" s="84"/>
      <c r="C402" s="60"/>
      <c r="D402" s="66"/>
      <c r="E402" s="66"/>
      <c r="F402" s="66"/>
      <c r="G402" s="66"/>
      <c r="H402" s="66"/>
      <c r="I402" s="66"/>
      <c r="J402" s="66"/>
      <c r="K402" s="66"/>
      <c r="L402" s="66"/>
      <c r="M402" s="66"/>
      <c r="N402" s="66"/>
    </row>
    <row r="403" spans="1:14" x14ac:dyDescent="0.2">
      <c r="A403" s="84"/>
      <c r="B403" s="84"/>
      <c r="C403" s="60"/>
      <c r="D403" s="66"/>
      <c r="E403" s="66"/>
      <c r="F403" s="66"/>
      <c r="G403" s="66"/>
      <c r="H403" s="66"/>
      <c r="I403" s="66"/>
      <c r="J403" s="66"/>
      <c r="K403" s="66"/>
      <c r="L403" s="66"/>
      <c r="M403" s="66"/>
      <c r="N403" s="66"/>
    </row>
    <row r="404" spans="1:14" x14ac:dyDescent="0.2">
      <c r="A404" s="84"/>
      <c r="B404" s="84"/>
      <c r="C404" s="60"/>
      <c r="D404" s="66"/>
      <c r="E404" s="66"/>
      <c r="F404" s="66"/>
      <c r="G404" s="66"/>
      <c r="H404" s="66"/>
      <c r="I404" s="66"/>
      <c r="J404" s="66"/>
      <c r="K404" s="66"/>
      <c r="L404" s="66"/>
      <c r="M404" s="66"/>
      <c r="N404" s="66"/>
    </row>
    <row r="405" spans="1:14" x14ac:dyDescent="0.2">
      <c r="A405" s="84"/>
      <c r="B405" s="84"/>
      <c r="C405" s="60"/>
      <c r="D405" s="66"/>
      <c r="E405" s="66"/>
      <c r="F405" s="66"/>
      <c r="G405" s="66"/>
      <c r="H405" s="66"/>
      <c r="I405" s="66"/>
      <c r="J405" s="66"/>
      <c r="K405" s="66"/>
      <c r="L405" s="66"/>
      <c r="M405" s="66"/>
      <c r="N405" s="66"/>
    </row>
    <row r="406" spans="1:14" x14ac:dyDescent="0.2">
      <c r="A406" s="84"/>
      <c r="B406" s="84"/>
      <c r="C406" s="60"/>
      <c r="D406" s="66"/>
      <c r="E406" s="66"/>
      <c r="F406" s="66"/>
      <c r="G406" s="66"/>
      <c r="H406" s="66"/>
      <c r="I406" s="66"/>
      <c r="J406" s="66"/>
      <c r="K406" s="66"/>
      <c r="L406" s="66"/>
      <c r="M406" s="66"/>
      <c r="N406" s="66"/>
    </row>
    <row r="407" spans="1:14" x14ac:dyDescent="0.2">
      <c r="A407" s="84"/>
      <c r="B407" s="84"/>
      <c r="C407" s="60"/>
      <c r="D407" s="66"/>
      <c r="E407" s="66"/>
      <c r="F407" s="66"/>
      <c r="G407" s="66"/>
      <c r="H407" s="66"/>
      <c r="I407" s="66"/>
      <c r="J407" s="66"/>
      <c r="K407" s="66"/>
      <c r="L407" s="66"/>
      <c r="M407" s="66"/>
      <c r="N407" s="66"/>
    </row>
    <row r="408" spans="1:14" x14ac:dyDescent="0.2">
      <c r="A408" s="84"/>
      <c r="B408" s="84"/>
      <c r="C408" s="60"/>
      <c r="D408" s="66"/>
      <c r="E408" s="66"/>
      <c r="F408" s="66"/>
      <c r="G408" s="66"/>
      <c r="H408" s="66"/>
      <c r="I408" s="66"/>
      <c r="J408" s="66"/>
      <c r="K408" s="66"/>
      <c r="L408" s="66"/>
      <c r="M408" s="66"/>
      <c r="N408" s="66"/>
    </row>
    <row r="409" spans="1:14" x14ac:dyDescent="0.2">
      <c r="A409" s="84"/>
      <c r="B409" s="84"/>
      <c r="C409" s="60"/>
      <c r="D409" s="66"/>
      <c r="E409" s="66"/>
      <c r="F409" s="66"/>
      <c r="G409" s="66"/>
      <c r="H409" s="66"/>
      <c r="I409" s="66"/>
      <c r="J409" s="66"/>
      <c r="K409" s="66"/>
      <c r="L409" s="66"/>
      <c r="M409" s="66"/>
      <c r="N409" s="66"/>
    </row>
    <row r="410" spans="1:14" x14ac:dyDescent="0.2">
      <c r="A410" s="84"/>
      <c r="B410" s="84"/>
      <c r="C410" s="60"/>
      <c r="D410" s="66"/>
      <c r="E410" s="66"/>
      <c r="F410" s="66"/>
      <c r="G410" s="66"/>
      <c r="H410" s="66"/>
      <c r="I410" s="66"/>
      <c r="J410" s="66"/>
      <c r="K410" s="66"/>
      <c r="L410" s="66"/>
      <c r="M410" s="66"/>
      <c r="N410" s="66"/>
    </row>
    <row r="411" spans="1:14" x14ac:dyDescent="0.2">
      <c r="A411" s="84"/>
      <c r="B411" s="84"/>
      <c r="C411" s="60"/>
      <c r="D411" s="66"/>
      <c r="E411" s="66"/>
      <c r="F411" s="66"/>
      <c r="G411" s="66"/>
      <c r="H411" s="66"/>
      <c r="I411" s="66"/>
      <c r="J411" s="66"/>
      <c r="K411" s="66"/>
      <c r="L411" s="66"/>
      <c r="M411" s="66"/>
      <c r="N411" s="66"/>
    </row>
    <row r="412" spans="1:14" x14ac:dyDescent="0.2">
      <c r="A412" s="84"/>
      <c r="B412" s="84"/>
      <c r="C412" s="60"/>
      <c r="D412" s="66"/>
      <c r="E412" s="66"/>
      <c r="F412" s="66"/>
      <c r="G412" s="66"/>
      <c r="H412" s="66"/>
      <c r="I412" s="66"/>
      <c r="J412" s="66"/>
      <c r="K412" s="66"/>
      <c r="L412" s="66"/>
      <c r="M412" s="66"/>
      <c r="N412" s="66"/>
    </row>
    <row r="413" spans="1:14" x14ac:dyDescent="0.2">
      <c r="A413" s="84"/>
      <c r="B413" s="84"/>
      <c r="C413" s="60"/>
      <c r="D413" s="66"/>
      <c r="E413" s="66"/>
      <c r="F413" s="66"/>
      <c r="G413" s="66"/>
      <c r="H413" s="66"/>
      <c r="I413" s="66"/>
      <c r="J413" s="66"/>
      <c r="K413" s="66"/>
      <c r="L413" s="66"/>
      <c r="M413" s="66"/>
      <c r="N413" s="66"/>
    </row>
    <row r="414" spans="1:14" x14ac:dyDescent="0.2">
      <c r="A414" s="84"/>
      <c r="B414" s="84"/>
      <c r="C414" s="60"/>
      <c r="D414" s="66"/>
      <c r="E414" s="66"/>
      <c r="F414" s="66"/>
      <c r="G414" s="66"/>
      <c r="H414" s="66"/>
      <c r="I414" s="66"/>
      <c r="J414" s="66"/>
      <c r="K414" s="66"/>
      <c r="L414" s="66"/>
      <c r="M414" s="66"/>
      <c r="N414" s="66"/>
    </row>
    <row r="415" spans="1:14" x14ac:dyDescent="0.2">
      <c r="A415" s="84"/>
      <c r="B415" s="84"/>
      <c r="C415" s="60"/>
      <c r="D415" s="66"/>
      <c r="E415" s="66"/>
      <c r="F415" s="66"/>
      <c r="G415" s="66"/>
      <c r="H415" s="66"/>
      <c r="I415" s="66"/>
      <c r="J415" s="66"/>
      <c r="K415" s="66"/>
      <c r="L415" s="66"/>
      <c r="M415" s="66"/>
      <c r="N415" s="66"/>
    </row>
    <row r="416" spans="1:14" x14ac:dyDescent="0.2">
      <c r="A416" s="84"/>
      <c r="B416" s="84"/>
      <c r="C416" s="60"/>
      <c r="D416" s="66"/>
      <c r="E416" s="66"/>
      <c r="F416" s="66"/>
      <c r="G416" s="66"/>
      <c r="H416" s="66"/>
      <c r="I416" s="66"/>
      <c r="J416" s="66"/>
      <c r="K416" s="66"/>
      <c r="L416" s="66"/>
      <c r="M416" s="66"/>
      <c r="N416" s="66"/>
    </row>
    <row r="417" spans="1:14" x14ac:dyDescent="0.2">
      <c r="A417" s="84"/>
      <c r="B417" s="84"/>
      <c r="C417" s="60"/>
      <c r="D417" s="66"/>
      <c r="E417" s="66"/>
      <c r="F417" s="66"/>
      <c r="G417" s="66"/>
      <c r="H417" s="66"/>
      <c r="I417" s="66"/>
      <c r="J417" s="66"/>
      <c r="K417" s="66"/>
      <c r="L417" s="66"/>
      <c r="M417" s="66"/>
      <c r="N417" s="66"/>
    </row>
    <row r="418" spans="1:14" x14ac:dyDescent="0.2">
      <c r="A418" s="84"/>
      <c r="B418" s="84"/>
      <c r="C418" s="60"/>
      <c r="D418" s="66"/>
      <c r="E418" s="66"/>
      <c r="F418" s="66"/>
      <c r="G418" s="66"/>
      <c r="H418" s="66"/>
      <c r="I418" s="66"/>
      <c r="J418" s="66"/>
      <c r="K418" s="66"/>
      <c r="L418" s="66"/>
      <c r="M418" s="66"/>
      <c r="N418" s="66"/>
    </row>
    <row r="419" spans="1:14" x14ac:dyDescent="0.2">
      <c r="A419" s="84"/>
      <c r="B419" s="84"/>
      <c r="C419" s="60"/>
      <c r="D419" s="66"/>
      <c r="E419" s="66"/>
      <c r="F419" s="66"/>
      <c r="G419" s="66"/>
      <c r="H419" s="66"/>
      <c r="I419" s="66"/>
      <c r="J419" s="66"/>
      <c r="K419" s="66"/>
      <c r="L419" s="66"/>
      <c r="M419" s="66"/>
      <c r="N419" s="66"/>
    </row>
    <row r="420" spans="1:14" x14ac:dyDescent="0.2">
      <c r="A420" s="84"/>
      <c r="B420" s="84"/>
      <c r="C420" s="60"/>
      <c r="D420" s="66"/>
      <c r="E420" s="66"/>
      <c r="F420" s="66"/>
      <c r="G420" s="66"/>
      <c r="H420" s="66"/>
      <c r="I420" s="66"/>
      <c r="J420" s="66"/>
      <c r="K420" s="66"/>
      <c r="L420" s="66"/>
      <c r="M420" s="66"/>
      <c r="N420" s="66"/>
    </row>
    <row r="421" spans="1:14" x14ac:dyDescent="0.2">
      <c r="A421" s="84"/>
      <c r="B421" s="84"/>
      <c r="C421" s="60"/>
      <c r="D421" s="66"/>
      <c r="E421" s="66"/>
      <c r="F421" s="66"/>
      <c r="G421" s="66"/>
      <c r="H421" s="66"/>
      <c r="I421" s="66"/>
      <c r="J421" s="66"/>
      <c r="K421" s="66"/>
      <c r="L421" s="66"/>
      <c r="M421" s="66"/>
      <c r="N421" s="66"/>
    </row>
    <row r="422" spans="1:14" x14ac:dyDescent="0.2">
      <c r="A422" s="84"/>
      <c r="B422" s="84"/>
      <c r="C422" s="60"/>
      <c r="D422" s="66"/>
      <c r="E422" s="66"/>
      <c r="F422" s="66"/>
      <c r="G422" s="66"/>
      <c r="H422" s="66"/>
      <c r="I422" s="66"/>
      <c r="J422" s="66"/>
      <c r="K422" s="66"/>
      <c r="L422" s="66"/>
      <c r="M422" s="66"/>
      <c r="N422" s="66"/>
    </row>
    <row r="423" spans="1:14" x14ac:dyDescent="0.2">
      <c r="A423" s="84"/>
      <c r="B423" s="84"/>
      <c r="C423" s="60"/>
      <c r="D423" s="66"/>
      <c r="E423" s="66"/>
      <c r="F423" s="66"/>
      <c r="G423" s="66"/>
      <c r="H423" s="66"/>
      <c r="I423" s="66"/>
      <c r="J423" s="66"/>
      <c r="K423" s="66"/>
      <c r="L423" s="66"/>
      <c r="M423" s="66"/>
      <c r="N423" s="66"/>
    </row>
    <row r="424" spans="1:14" x14ac:dyDescent="0.2">
      <c r="A424" s="84"/>
      <c r="B424" s="84"/>
      <c r="C424" s="60"/>
      <c r="D424" s="66"/>
      <c r="E424" s="66"/>
      <c r="F424" s="66"/>
      <c r="G424" s="66"/>
      <c r="H424" s="66"/>
      <c r="I424" s="66"/>
      <c r="J424" s="66"/>
      <c r="K424" s="66"/>
      <c r="L424" s="66"/>
      <c r="M424" s="66"/>
      <c r="N424" s="66"/>
    </row>
    <row r="425" spans="1:14" x14ac:dyDescent="0.2">
      <c r="A425" s="84"/>
      <c r="B425" s="84"/>
      <c r="C425" s="60"/>
      <c r="D425" s="66"/>
      <c r="E425" s="66"/>
      <c r="F425" s="66"/>
      <c r="G425" s="66"/>
      <c r="H425" s="66"/>
      <c r="I425" s="66"/>
      <c r="J425" s="66"/>
      <c r="K425" s="66"/>
      <c r="L425" s="66"/>
      <c r="M425" s="66"/>
      <c r="N425" s="66"/>
    </row>
    <row r="426" spans="1:14" x14ac:dyDescent="0.2">
      <c r="A426" s="84"/>
      <c r="B426" s="84"/>
      <c r="C426" s="60"/>
      <c r="D426" s="66"/>
      <c r="E426" s="66"/>
      <c r="F426" s="66"/>
      <c r="G426" s="66"/>
      <c r="H426" s="66"/>
      <c r="I426" s="66"/>
      <c r="J426" s="66"/>
      <c r="K426" s="66"/>
      <c r="L426" s="66"/>
      <c r="M426" s="66"/>
      <c r="N426" s="66"/>
    </row>
    <row r="427" spans="1:14" x14ac:dyDescent="0.2">
      <c r="A427" s="84"/>
      <c r="B427" s="84"/>
      <c r="C427" s="60"/>
      <c r="D427" s="66"/>
      <c r="E427" s="66"/>
      <c r="F427" s="66"/>
      <c r="G427" s="66"/>
      <c r="H427" s="66"/>
      <c r="I427" s="66"/>
      <c r="J427" s="66"/>
      <c r="K427" s="66"/>
      <c r="L427" s="66"/>
      <c r="M427" s="66"/>
      <c r="N427" s="66"/>
    </row>
    <row r="428" spans="1:14" x14ac:dyDescent="0.2">
      <c r="A428" s="84"/>
      <c r="B428" s="84"/>
      <c r="C428" s="60"/>
      <c r="D428" s="66"/>
      <c r="E428" s="66"/>
      <c r="F428" s="66"/>
      <c r="G428" s="66"/>
      <c r="H428" s="66"/>
      <c r="I428" s="66"/>
      <c r="J428" s="66"/>
      <c r="K428" s="66"/>
      <c r="L428" s="66"/>
      <c r="M428" s="66"/>
      <c r="N428" s="66"/>
    </row>
    <row r="429" spans="1:14" x14ac:dyDescent="0.2">
      <c r="A429" s="84"/>
      <c r="B429" s="84"/>
      <c r="C429" s="60"/>
      <c r="D429" s="66"/>
      <c r="E429" s="66"/>
      <c r="F429" s="66"/>
      <c r="G429" s="66"/>
      <c r="H429" s="66"/>
      <c r="I429" s="66"/>
      <c r="J429" s="66"/>
      <c r="K429" s="66"/>
      <c r="L429" s="66"/>
      <c r="M429" s="66"/>
      <c r="N429" s="66"/>
    </row>
    <row r="430" spans="1:14" x14ac:dyDescent="0.2">
      <c r="A430" s="84"/>
      <c r="B430" s="84"/>
      <c r="C430" s="60"/>
      <c r="D430" s="66"/>
      <c r="E430" s="66"/>
      <c r="F430" s="66"/>
      <c r="G430" s="66"/>
      <c r="H430" s="66"/>
      <c r="I430" s="66"/>
      <c r="J430" s="66"/>
      <c r="K430" s="66"/>
      <c r="L430" s="66"/>
      <c r="M430" s="66"/>
      <c r="N430" s="66"/>
    </row>
    <row r="431" spans="1:14" x14ac:dyDescent="0.2">
      <c r="A431" s="84"/>
      <c r="B431" s="84"/>
      <c r="C431" s="60"/>
      <c r="D431" s="66"/>
      <c r="E431" s="66"/>
      <c r="F431" s="66"/>
      <c r="G431" s="66"/>
      <c r="H431" s="66"/>
      <c r="I431" s="66"/>
      <c r="J431" s="66"/>
      <c r="K431" s="66"/>
      <c r="L431" s="66"/>
      <c r="M431" s="66"/>
      <c r="N431" s="66"/>
    </row>
    <row r="432" spans="1:14" x14ac:dyDescent="0.2">
      <c r="A432" s="84"/>
      <c r="B432" s="84"/>
      <c r="C432" s="60"/>
      <c r="D432" s="66"/>
      <c r="E432" s="66"/>
      <c r="F432" s="66"/>
      <c r="G432" s="66"/>
      <c r="H432" s="66"/>
      <c r="I432" s="66"/>
      <c r="J432" s="66"/>
      <c r="K432" s="66"/>
      <c r="L432" s="66"/>
      <c r="M432" s="66"/>
      <c r="N432" s="66"/>
    </row>
    <row r="433" spans="1:14" x14ac:dyDescent="0.2">
      <c r="A433" s="84"/>
      <c r="B433" s="84"/>
      <c r="C433" s="60"/>
      <c r="D433" s="66"/>
      <c r="E433" s="66"/>
      <c r="F433" s="66"/>
      <c r="G433" s="66"/>
      <c r="H433" s="66"/>
      <c r="I433" s="66"/>
      <c r="J433" s="66"/>
      <c r="K433" s="66"/>
      <c r="L433" s="66"/>
      <c r="M433" s="66"/>
      <c r="N433" s="66"/>
    </row>
    <row r="434" spans="1:14" x14ac:dyDescent="0.2">
      <c r="A434" s="84"/>
      <c r="B434" s="84"/>
      <c r="C434" s="60"/>
      <c r="D434" s="66"/>
      <c r="E434" s="66"/>
      <c r="F434" s="66"/>
      <c r="G434" s="66"/>
      <c r="H434" s="66"/>
      <c r="I434" s="66"/>
      <c r="J434" s="66"/>
      <c r="K434" s="66"/>
      <c r="L434" s="66"/>
      <c r="M434" s="66"/>
      <c r="N434" s="66"/>
    </row>
    <row r="435" spans="1:14" x14ac:dyDescent="0.2">
      <c r="A435" s="84"/>
      <c r="B435" s="84"/>
      <c r="C435" s="60"/>
      <c r="D435" s="66"/>
      <c r="E435" s="66"/>
      <c r="F435" s="66"/>
      <c r="G435" s="66"/>
      <c r="H435" s="66"/>
      <c r="I435" s="66"/>
      <c r="J435" s="66"/>
      <c r="K435" s="66"/>
      <c r="L435" s="66"/>
      <c r="M435" s="66"/>
      <c r="N435" s="66"/>
    </row>
    <row r="436" spans="1:14" x14ac:dyDescent="0.2">
      <c r="A436" s="84"/>
      <c r="B436" s="84"/>
      <c r="C436" s="60"/>
      <c r="D436" s="66"/>
      <c r="E436" s="66"/>
      <c r="F436" s="66"/>
      <c r="G436" s="66"/>
      <c r="H436" s="66"/>
      <c r="I436" s="66"/>
      <c r="J436" s="66"/>
      <c r="K436" s="66"/>
      <c r="L436" s="66"/>
      <c r="M436" s="66"/>
      <c r="N436" s="66"/>
    </row>
    <row r="437" spans="1:14" x14ac:dyDescent="0.2">
      <c r="A437" s="84"/>
      <c r="B437" s="84"/>
      <c r="C437" s="60"/>
      <c r="D437" s="66"/>
      <c r="E437" s="66"/>
      <c r="F437" s="66"/>
      <c r="G437" s="66"/>
      <c r="H437" s="66"/>
      <c r="I437" s="66"/>
      <c r="J437" s="66"/>
      <c r="K437" s="66"/>
      <c r="L437" s="66"/>
      <c r="M437" s="66"/>
      <c r="N437" s="66"/>
    </row>
    <row r="438" spans="1:14" x14ac:dyDescent="0.2">
      <c r="A438" s="84"/>
      <c r="B438" s="84"/>
      <c r="C438" s="60"/>
      <c r="D438" s="66"/>
      <c r="E438" s="66"/>
      <c r="F438" s="66"/>
      <c r="G438" s="66"/>
      <c r="H438" s="66"/>
      <c r="I438" s="66"/>
      <c r="J438" s="66"/>
      <c r="K438" s="66"/>
      <c r="L438" s="66"/>
      <c r="M438" s="66"/>
      <c r="N438" s="66"/>
    </row>
    <row r="439" spans="1:14" x14ac:dyDescent="0.2">
      <c r="A439" s="84"/>
      <c r="B439" s="84"/>
      <c r="C439" s="60"/>
      <c r="D439" s="66"/>
      <c r="E439" s="66"/>
      <c r="F439" s="66"/>
      <c r="G439" s="66"/>
      <c r="H439" s="66"/>
      <c r="I439" s="66"/>
      <c r="J439" s="66"/>
      <c r="K439" s="66"/>
      <c r="L439" s="66"/>
      <c r="M439" s="66"/>
      <c r="N439" s="66"/>
    </row>
    <row r="440" spans="1:14" x14ac:dyDescent="0.2">
      <c r="A440" s="84"/>
      <c r="B440" s="84"/>
      <c r="C440" s="60"/>
      <c r="D440" s="66"/>
      <c r="E440" s="66"/>
      <c r="F440" s="66"/>
      <c r="G440" s="66"/>
      <c r="H440" s="66"/>
      <c r="I440" s="66"/>
      <c r="J440" s="66"/>
      <c r="K440" s="66"/>
      <c r="L440" s="66"/>
      <c r="M440" s="66"/>
      <c r="N440" s="66"/>
    </row>
    <row r="441" spans="1:14" x14ac:dyDescent="0.2">
      <c r="A441" s="84"/>
      <c r="B441" s="84"/>
      <c r="C441" s="60"/>
      <c r="D441" s="66"/>
      <c r="E441" s="66"/>
      <c r="F441" s="66"/>
      <c r="G441" s="66"/>
      <c r="H441" s="66"/>
      <c r="I441" s="66"/>
      <c r="J441" s="66"/>
      <c r="K441" s="66"/>
      <c r="L441" s="66"/>
      <c r="M441" s="66"/>
      <c r="N441" s="66"/>
    </row>
    <row r="442" spans="1:14" x14ac:dyDescent="0.2">
      <c r="A442" s="84"/>
      <c r="B442" s="84"/>
      <c r="C442" s="60"/>
      <c r="D442" s="66"/>
      <c r="E442" s="66"/>
      <c r="F442" s="66"/>
      <c r="G442" s="66"/>
      <c r="H442" s="66"/>
      <c r="I442" s="66"/>
      <c r="J442" s="66"/>
      <c r="K442" s="66"/>
      <c r="L442" s="66"/>
      <c r="M442" s="66"/>
      <c r="N442" s="66"/>
    </row>
    <row r="443" spans="1:14" x14ac:dyDescent="0.2">
      <c r="A443" s="84"/>
      <c r="B443" s="84"/>
      <c r="C443" s="60"/>
      <c r="D443" s="66"/>
      <c r="E443" s="66"/>
      <c r="F443" s="66"/>
      <c r="G443" s="66"/>
      <c r="H443" s="66"/>
      <c r="I443" s="66"/>
      <c r="J443" s="66"/>
      <c r="K443" s="66"/>
      <c r="L443" s="66"/>
      <c r="M443" s="66"/>
      <c r="N443" s="66"/>
    </row>
    <row r="444" spans="1:14" x14ac:dyDescent="0.2">
      <c r="A444" s="84"/>
      <c r="B444" s="84"/>
      <c r="C444" s="60"/>
      <c r="D444" s="66"/>
      <c r="E444" s="66"/>
      <c r="F444" s="66"/>
      <c r="G444" s="66"/>
      <c r="H444" s="66"/>
      <c r="I444" s="66"/>
      <c r="J444" s="66"/>
      <c r="K444" s="66"/>
      <c r="L444" s="66"/>
      <c r="M444" s="66"/>
      <c r="N444" s="66"/>
    </row>
    <row r="445" spans="1:14" x14ac:dyDescent="0.2">
      <c r="A445" s="84"/>
      <c r="B445" s="84"/>
      <c r="C445" s="60"/>
      <c r="D445" s="66"/>
      <c r="E445" s="66"/>
      <c r="F445" s="66"/>
      <c r="G445" s="66"/>
      <c r="H445" s="66"/>
      <c r="I445" s="66"/>
      <c r="J445" s="66"/>
      <c r="K445" s="66"/>
      <c r="L445" s="66"/>
      <c r="M445" s="66"/>
      <c r="N445" s="66"/>
    </row>
    <row r="446" spans="1:14" x14ac:dyDescent="0.2">
      <c r="A446" s="84"/>
      <c r="B446" s="84"/>
      <c r="C446" s="60"/>
      <c r="D446" s="66"/>
      <c r="E446" s="66"/>
      <c r="F446" s="66"/>
      <c r="G446" s="66"/>
      <c r="H446" s="66"/>
      <c r="I446" s="66"/>
      <c r="J446" s="66"/>
      <c r="K446" s="66"/>
      <c r="L446" s="66"/>
      <c r="M446" s="66"/>
      <c r="N446" s="66"/>
    </row>
    <row r="447" spans="1:14" x14ac:dyDescent="0.2">
      <c r="A447" s="84"/>
      <c r="B447" s="84"/>
      <c r="C447" s="60"/>
      <c r="D447" s="66"/>
      <c r="E447" s="66"/>
      <c r="F447" s="66"/>
      <c r="G447" s="66"/>
      <c r="H447" s="66"/>
      <c r="I447" s="66"/>
      <c r="J447" s="66"/>
      <c r="K447" s="66"/>
      <c r="L447" s="66"/>
      <c r="M447" s="66"/>
      <c r="N447" s="66"/>
    </row>
    <row r="448" spans="1:14" x14ac:dyDescent="0.2">
      <c r="A448" s="84"/>
      <c r="B448" s="84"/>
      <c r="C448" s="60"/>
      <c r="D448" s="66"/>
      <c r="E448" s="66"/>
      <c r="F448" s="66"/>
      <c r="G448" s="66"/>
      <c r="H448" s="66"/>
      <c r="I448" s="66"/>
      <c r="J448" s="66"/>
      <c r="K448" s="66"/>
      <c r="L448" s="66"/>
      <c r="M448" s="66"/>
      <c r="N448" s="66"/>
    </row>
    <row r="449" spans="1:14" x14ac:dyDescent="0.2">
      <c r="A449" s="84"/>
      <c r="B449" s="84"/>
      <c r="C449" s="60"/>
      <c r="D449" s="66"/>
      <c r="E449" s="66"/>
      <c r="F449" s="66"/>
      <c r="G449" s="66"/>
      <c r="H449" s="66"/>
      <c r="I449" s="66"/>
      <c r="J449" s="66"/>
      <c r="K449" s="66"/>
      <c r="L449" s="66"/>
      <c r="M449" s="66"/>
      <c r="N449" s="66"/>
    </row>
    <row r="450" spans="1:14" x14ac:dyDescent="0.2">
      <c r="A450" s="84"/>
      <c r="B450" s="84"/>
      <c r="C450" s="60"/>
      <c r="D450" s="66"/>
      <c r="E450" s="66"/>
      <c r="F450" s="66"/>
      <c r="G450" s="66"/>
      <c r="H450" s="66"/>
      <c r="I450" s="66"/>
      <c r="J450" s="66"/>
      <c r="K450" s="66"/>
      <c r="L450" s="66"/>
      <c r="M450" s="66"/>
      <c r="N450" s="66"/>
    </row>
    <row r="451" spans="1:14" x14ac:dyDescent="0.2">
      <c r="A451" s="84"/>
      <c r="B451" s="84"/>
      <c r="C451" s="60"/>
      <c r="D451" s="66"/>
      <c r="E451" s="66"/>
      <c r="F451" s="66"/>
      <c r="G451" s="66"/>
      <c r="H451" s="66"/>
      <c r="I451" s="66"/>
      <c r="J451" s="66"/>
      <c r="K451" s="66"/>
      <c r="L451" s="66"/>
      <c r="M451" s="66"/>
      <c r="N451" s="66"/>
    </row>
    <row r="452" spans="1:14" x14ac:dyDescent="0.2">
      <c r="A452" s="84"/>
      <c r="B452" s="84"/>
      <c r="C452" s="60"/>
      <c r="D452" s="66"/>
      <c r="E452" s="66"/>
      <c r="F452" s="66"/>
      <c r="G452" s="66"/>
      <c r="H452" s="66"/>
      <c r="I452" s="66"/>
      <c r="J452" s="66"/>
      <c r="K452" s="66"/>
      <c r="L452" s="66"/>
      <c r="M452" s="66"/>
      <c r="N452" s="66"/>
    </row>
    <row r="453" spans="1:14" x14ac:dyDescent="0.2">
      <c r="A453" s="84"/>
      <c r="B453" s="84"/>
      <c r="C453" s="60"/>
      <c r="D453" s="66"/>
      <c r="E453" s="66"/>
      <c r="F453" s="66"/>
      <c r="G453" s="66"/>
      <c r="H453" s="66"/>
      <c r="I453" s="66"/>
      <c r="J453" s="66"/>
      <c r="K453" s="66"/>
      <c r="L453" s="66"/>
      <c r="M453" s="66"/>
      <c r="N453" s="66"/>
    </row>
    <row r="454" spans="1:14" x14ac:dyDescent="0.2">
      <c r="A454" s="84"/>
      <c r="B454" s="84"/>
      <c r="C454" s="60"/>
      <c r="D454" s="66"/>
      <c r="E454" s="66"/>
      <c r="F454" s="66"/>
      <c r="G454" s="66"/>
      <c r="H454" s="66"/>
      <c r="I454" s="66"/>
      <c r="J454" s="66"/>
      <c r="K454" s="66"/>
      <c r="L454" s="66"/>
      <c r="M454" s="66"/>
      <c r="N454" s="66"/>
    </row>
    <row r="455" spans="1:14" x14ac:dyDescent="0.2">
      <c r="A455" s="84"/>
      <c r="B455" s="84"/>
      <c r="C455" s="60"/>
      <c r="D455" s="66"/>
      <c r="E455" s="66"/>
      <c r="F455" s="66"/>
      <c r="G455" s="66"/>
      <c r="H455" s="66"/>
      <c r="I455" s="66"/>
      <c r="J455" s="66"/>
      <c r="K455" s="66"/>
      <c r="L455" s="66"/>
      <c r="M455" s="66"/>
      <c r="N455" s="66"/>
    </row>
    <row r="456" spans="1:14" x14ac:dyDescent="0.2">
      <c r="A456" s="84"/>
      <c r="B456" s="84"/>
      <c r="C456" s="60"/>
      <c r="D456" s="66"/>
      <c r="E456" s="66"/>
      <c r="F456" s="66"/>
      <c r="G456" s="66"/>
      <c r="H456" s="66"/>
      <c r="I456" s="66"/>
      <c r="J456" s="66"/>
      <c r="K456" s="66"/>
      <c r="L456" s="66"/>
      <c r="M456" s="66"/>
      <c r="N456" s="66"/>
    </row>
    <row r="457" spans="1:14" x14ac:dyDescent="0.2">
      <c r="A457" s="84"/>
      <c r="B457" s="84"/>
      <c r="C457" s="60"/>
      <c r="D457" s="66"/>
      <c r="E457" s="66"/>
      <c r="F457" s="66"/>
      <c r="G457" s="66"/>
      <c r="H457" s="66"/>
      <c r="I457" s="66"/>
      <c r="J457" s="66"/>
      <c r="K457" s="66"/>
      <c r="L457" s="66"/>
      <c r="M457" s="66"/>
      <c r="N457" s="66"/>
    </row>
    <row r="458" spans="1:14" x14ac:dyDescent="0.2">
      <c r="A458" s="84"/>
      <c r="B458" s="84"/>
      <c r="C458" s="60"/>
      <c r="D458" s="66"/>
      <c r="E458" s="66"/>
      <c r="F458" s="66"/>
      <c r="G458" s="66"/>
      <c r="H458" s="66"/>
      <c r="I458" s="66"/>
      <c r="J458" s="66"/>
      <c r="K458" s="66"/>
      <c r="L458" s="66"/>
      <c r="M458" s="66"/>
      <c r="N458" s="66"/>
    </row>
    <row r="459" spans="1:14" x14ac:dyDescent="0.2">
      <c r="A459" s="84"/>
      <c r="B459" s="84"/>
      <c r="C459" s="60"/>
      <c r="D459" s="66"/>
      <c r="E459" s="66"/>
      <c r="F459" s="66"/>
      <c r="G459" s="66"/>
      <c r="H459" s="66"/>
      <c r="I459" s="66"/>
      <c r="J459" s="66"/>
      <c r="K459" s="66"/>
      <c r="L459" s="66"/>
      <c r="M459" s="66"/>
      <c r="N459" s="66"/>
    </row>
    <row r="460" spans="1:14" x14ac:dyDescent="0.2">
      <c r="A460" s="84"/>
      <c r="B460" s="84"/>
      <c r="C460" s="60"/>
      <c r="D460" s="66"/>
      <c r="E460" s="66"/>
      <c r="F460" s="66"/>
      <c r="G460" s="66"/>
      <c r="H460" s="66"/>
      <c r="I460" s="66"/>
      <c r="J460" s="66"/>
      <c r="K460" s="66"/>
      <c r="L460" s="66"/>
      <c r="M460" s="66"/>
      <c r="N460" s="66"/>
    </row>
    <row r="461" spans="1:14" x14ac:dyDescent="0.2">
      <c r="A461" s="84"/>
      <c r="B461" s="84"/>
      <c r="C461" s="60"/>
      <c r="D461" s="66"/>
      <c r="E461" s="66"/>
      <c r="F461" s="66"/>
      <c r="G461" s="66"/>
      <c r="H461" s="66"/>
      <c r="I461" s="66"/>
      <c r="J461" s="66"/>
      <c r="K461" s="66"/>
      <c r="L461" s="66"/>
      <c r="M461" s="66"/>
      <c r="N461" s="66"/>
    </row>
    <row r="462" spans="1:14" x14ac:dyDescent="0.2">
      <c r="A462" s="84"/>
      <c r="B462" s="84"/>
      <c r="C462" s="60"/>
      <c r="D462" s="66"/>
      <c r="E462" s="66"/>
      <c r="F462" s="66"/>
      <c r="G462" s="66"/>
      <c r="H462" s="66"/>
      <c r="I462" s="66"/>
      <c r="J462" s="66"/>
      <c r="K462" s="66"/>
      <c r="L462" s="66"/>
      <c r="M462" s="66"/>
      <c r="N462" s="66"/>
    </row>
    <row r="463" spans="1:14" x14ac:dyDescent="0.2">
      <c r="A463" s="84"/>
      <c r="B463" s="84"/>
      <c r="C463" s="60"/>
      <c r="D463" s="66"/>
      <c r="E463" s="66"/>
      <c r="F463" s="66"/>
      <c r="G463" s="66"/>
      <c r="H463" s="66"/>
      <c r="I463" s="66"/>
      <c r="J463" s="66"/>
      <c r="K463" s="66"/>
      <c r="L463" s="66"/>
      <c r="M463" s="66"/>
      <c r="N463" s="66"/>
    </row>
    <row r="464" spans="1:14" x14ac:dyDescent="0.2">
      <c r="A464" s="84"/>
      <c r="B464" s="84"/>
      <c r="C464" s="60"/>
      <c r="D464" s="66"/>
      <c r="E464" s="66"/>
      <c r="F464" s="66"/>
      <c r="G464" s="66"/>
      <c r="H464" s="66"/>
      <c r="I464" s="66"/>
      <c r="J464" s="66"/>
      <c r="K464" s="66"/>
      <c r="L464" s="66"/>
      <c r="M464" s="66"/>
      <c r="N464" s="66"/>
    </row>
    <row r="465" spans="1:14" x14ac:dyDescent="0.2">
      <c r="A465" s="84"/>
      <c r="B465" s="84"/>
      <c r="C465" s="60"/>
      <c r="D465" s="66"/>
      <c r="E465" s="66"/>
      <c r="F465" s="66"/>
      <c r="G465" s="66"/>
      <c r="H465" s="66"/>
      <c r="I465" s="66"/>
      <c r="J465" s="66"/>
      <c r="K465" s="66"/>
      <c r="L465" s="66"/>
      <c r="M465" s="66"/>
      <c r="N465" s="66"/>
    </row>
    <row r="466" spans="1:14" x14ac:dyDescent="0.2">
      <c r="A466" s="84"/>
      <c r="B466" s="84"/>
      <c r="C466" s="60"/>
      <c r="D466" s="66"/>
      <c r="E466" s="66"/>
      <c r="F466" s="66"/>
      <c r="G466" s="66"/>
      <c r="H466" s="66"/>
      <c r="I466" s="66"/>
      <c r="J466" s="66"/>
      <c r="K466" s="66"/>
      <c r="L466" s="66"/>
      <c r="M466" s="66"/>
      <c r="N466" s="66"/>
    </row>
    <row r="467" spans="1:14" x14ac:dyDescent="0.2">
      <c r="A467" s="84"/>
      <c r="B467" s="84"/>
      <c r="C467" s="60"/>
      <c r="D467" s="66"/>
      <c r="E467" s="66"/>
      <c r="F467" s="66"/>
      <c r="G467" s="66"/>
      <c r="H467" s="66"/>
      <c r="I467" s="66"/>
      <c r="J467" s="66"/>
      <c r="K467" s="66"/>
      <c r="L467" s="66"/>
      <c r="M467" s="66"/>
      <c r="N467" s="66"/>
    </row>
    <row r="468" spans="1:14" x14ac:dyDescent="0.2">
      <c r="A468" s="84"/>
      <c r="B468" s="84"/>
      <c r="C468" s="60"/>
      <c r="D468" s="66"/>
      <c r="E468" s="66"/>
      <c r="F468" s="66"/>
      <c r="G468" s="66"/>
      <c r="H468" s="66"/>
      <c r="I468" s="66"/>
      <c r="J468" s="66"/>
      <c r="K468" s="66"/>
      <c r="L468" s="66"/>
      <c r="M468" s="66"/>
      <c r="N468" s="66"/>
    </row>
    <row r="469" spans="1:14" x14ac:dyDescent="0.2">
      <c r="A469" s="84"/>
      <c r="B469" s="84"/>
      <c r="C469" s="60"/>
      <c r="D469" s="66"/>
      <c r="E469" s="66"/>
      <c r="F469" s="66"/>
      <c r="G469" s="66"/>
      <c r="H469" s="66"/>
      <c r="I469" s="66"/>
      <c r="J469" s="66"/>
      <c r="K469" s="66"/>
      <c r="L469" s="66"/>
      <c r="M469" s="66"/>
      <c r="N469" s="66"/>
    </row>
    <row r="470" spans="1:14" x14ac:dyDescent="0.2">
      <c r="A470" s="84"/>
      <c r="B470" s="84"/>
      <c r="C470" s="60"/>
      <c r="D470" s="66"/>
      <c r="E470" s="66"/>
      <c r="F470" s="66"/>
      <c r="G470" s="66"/>
      <c r="H470" s="66"/>
      <c r="I470" s="66"/>
      <c r="J470" s="66"/>
      <c r="K470" s="66"/>
      <c r="L470" s="66"/>
      <c r="M470" s="66"/>
      <c r="N470" s="66"/>
    </row>
    <row r="471" spans="1:14" x14ac:dyDescent="0.2">
      <c r="A471" s="84"/>
      <c r="B471" s="84"/>
      <c r="C471" s="60"/>
      <c r="D471" s="66"/>
      <c r="E471" s="66"/>
      <c r="F471" s="66"/>
      <c r="G471" s="66"/>
      <c r="H471" s="66"/>
      <c r="I471" s="66"/>
      <c r="J471" s="66"/>
      <c r="K471" s="66"/>
      <c r="L471" s="66"/>
      <c r="M471" s="66"/>
      <c r="N471" s="66"/>
    </row>
    <row r="472" spans="1:14" x14ac:dyDescent="0.2">
      <c r="A472" s="84"/>
      <c r="B472" s="84"/>
      <c r="C472" s="60"/>
      <c r="D472" s="66"/>
      <c r="E472" s="66"/>
      <c r="F472" s="66"/>
      <c r="G472" s="66"/>
      <c r="H472" s="66"/>
      <c r="I472" s="66"/>
      <c r="J472" s="66"/>
      <c r="K472" s="66"/>
      <c r="L472" s="66"/>
      <c r="M472" s="66"/>
      <c r="N472" s="66"/>
    </row>
    <row r="473" spans="1:14" x14ac:dyDescent="0.2">
      <c r="A473" s="84"/>
      <c r="B473" s="84"/>
      <c r="C473" s="60"/>
      <c r="D473" s="66"/>
      <c r="E473" s="66"/>
      <c r="F473" s="66"/>
      <c r="G473" s="66"/>
      <c r="H473" s="66"/>
      <c r="I473" s="66"/>
      <c r="J473" s="66"/>
      <c r="K473" s="66"/>
      <c r="L473" s="66"/>
      <c r="M473" s="66"/>
      <c r="N473" s="66"/>
    </row>
    <row r="474" spans="1:14" x14ac:dyDescent="0.2">
      <c r="A474" s="84"/>
      <c r="B474" s="84"/>
      <c r="C474" s="60"/>
      <c r="D474" s="66"/>
      <c r="E474" s="66"/>
      <c r="F474" s="66"/>
      <c r="G474" s="66"/>
      <c r="H474" s="66"/>
      <c r="I474" s="66"/>
      <c r="J474" s="66"/>
      <c r="K474" s="66"/>
      <c r="L474" s="66"/>
      <c r="M474" s="66"/>
      <c r="N474" s="66"/>
    </row>
    <row r="475" spans="1:14" x14ac:dyDescent="0.2">
      <c r="A475" s="84"/>
      <c r="B475" s="84"/>
      <c r="C475" s="60"/>
      <c r="D475" s="66"/>
      <c r="E475" s="66"/>
      <c r="F475" s="66"/>
      <c r="G475" s="66"/>
      <c r="H475" s="66"/>
      <c r="I475" s="66"/>
      <c r="J475" s="66"/>
      <c r="K475" s="66"/>
      <c r="L475" s="66"/>
      <c r="M475" s="66"/>
      <c r="N475" s="66"/>
    </row>
    <row r="476" spans="1:14" x14ac:dyDescent="0.2">
      <c r="A476" s="84"/>
      <c r="B476" s="84"/>
      <c r="C476" s="60"/>
      <c r="D476" s="66"/>
      <c r="E476" s="66"/>
      <c r="F476" s="66"/>
      <c r="G476" s="66"/>
      <c r="H476" s="66"/>
      <c r="I476" s="66"/>
      <c r="J476" s="66"/>
      <c r="K476" s="66"/>
      <c r="L476" s="66"/>
      <c r="M476" s="66"/>
      <c r="N476" s="66"/>
    </row>
    <row r="477" spans="1:14" x14ac:dyDescent="0.2">
      <c r="A477" s="84"/>
      <c r="B477" s="84"/>
      <c r="C477" s="60"/>
      <c r="D477" s="66"/>
      <c r="E477" s="66"/>
      <c r="F477" s="66"/>
      <c r="G477" s="66"/>
      <c r="H477" s="66"/>
      <c r="I477" s="66"/>
      <c r="J477" s="66"/>
      <c r="K477" s="66"/>
      <c r="L477" s="66"/>
      <c r="M477" s="66"/>
      <c r="N477" s="66"/>
    </row>
    <row r="478" spans="1:14" x14ac:dyDescent="0.2">
      <c r="A478" s="84"/>
      <c r="B478" s="84"/>
      <c r="C478" s="60"/>
      <c r="D478" s="66"/>
      <c r="E478" s="66"/>
      <c r="F478" s="66"/>
      <c r="G478" s="66"/>
      <c r="H478" s="66"/>
      <c r="I478" s="66"/>
      <c r="J478" s="66"/>
      <c r="K478" s="66"/>
      <c r="L478" s="66"/>
      <c r="M478" s="66"/>
      <c r="N478" s="66"/>
    </row>
    <row r="479" spans="1:14" x14ac:dyDescent="0.2">
      <c r="A479" s="84"/>
      <c r="B479" s="84"/>
      <c r="C479" s="60"/>
      <c r="D479" s="66"/>
      <c r="E479" s="66"/>
      <c r="F479" s="66"/>
      <c r="G479" s="66"/>
      <c r="H479" s="66"/>
      <c r="I479" s="66"/>
      <c r="J479" s="66"/>
      <c r="K479" s="66"/>
      <c r="L479" s="66"/>
      <c r="M479" s="66"/>
      <c r="N479" s="66"/>
    </row>
    <row r="480" spans="1:14" x14ac:dyDescent="0.2">
      <c r="A480" s="84"/>
      <c r="B480" s="84"/>
      <c r="C480" s="60"/>
      <c r="D480" s="66"/>
      <c r="E480" s="66"/>
      <c r="F480" s="66"/>
      <c r="G480" s="66"/>
      <c r="H480" s="66"/>
      <c r="I480" s="66"/>
      <c r="J480" s="66"/>
      <c r="K480" s="66"/>
      <c r="L480" s="66"/>
      <c r="M480" s="66"/>
      <c r="N480" s="66"/>
    </row>
    <row r="481" spans="1:14" x14ac:dyDescent="0.2">
      <c r="A481" s="84"/>
      <c r="B481" s="84"/>
      <c r="C481" s="60"/>
      <c r="D481" s="66"/>
      <c r="E481" s="66"/>
      <c r="F481" s="66"/>
      <c r="G481" s="66"/>
      <c r="H481" s="66"/>
      <c r="I481" s="66"/>
      <c r="J481" s="66"/>
      <c r="K481" s="66"/>
      <c r="L481" s="66"/>
      <c r="M481" s="66"/>
      <c r="N481" s="66"/>
    </row>
    <row r="482" spans="1:14" x14ac:dyDescent="0.2">
      <c r="A482" s="84"/>
      <c r="B482" s="84"/>
      <c r="C482" s="60"/>
      <c r="D482" s="66"/>
      <c r="E482" s="66"/>
      <c r="F482" s="66"/>
      <c r="G482" s="66"/>
      <c r="H482" s="66"/>
      <c r="I482" s="66"/>
      <c r="J482" s="66"/>
      <c r="K482" s="66"/>
      <c r="L482" s="66"/>
      <c r="M482" s="66"/>
      <c r="N482" s="66"/>
    </row>
    <row r="483" spans="1:14" x14ac:dyDescent="0.2">
      <c r="A483" s="84"/>
      <c r="B483" s="84"/>
      <c r="C483" s="60"/>
      <c r="D483" s="66"/>
      <c r="E483" s="66"/>
      <c r="F483" s="66"/>
      <c r="G483" s="66"/>
      <c r="H483" s="66"/>
      <c r="I483" s="66"/>
      <c r="J483" s="66"/>
      <c r="K483" s="66"/>
      <c r="L483" s="66"/>
      <c r="M483" s="66"/>
      <c r="N483" s="66"/>
    </row>
    <row r="484" spans="1:14" x14ac:dyDescent="0.2">
      <c r="A484" s="84"/>
      <c r="B484" s="84"/>
      <c r="C484" s="60"/>
      <c r="D484" s="66"/>
      <c r="E484" s="66"/>
      <c r="F484" s="66"/>
      <c r="G484" s="66"/>
      <c r="H484" s="66"/>
      <c r="I484" s="66"/>
      <c r="J484" s="66"/>
      <c r="K484" s="66"/>
      <c r="L484" s="66"/>
      <c r="M484" s="66"/>
      <c r="N484" s="66"/>
    </row>
    <row r="485" spans="1:14" x14ac:dyDescent="0.2">
      <c r="A485" s="84"/>
      <c r="B485" s="84"/>
      <c r="C485" s="60"/>
      <c r="D485" s="66"/>
      <c r="E485" s="66"/>
      <c r="F485" s="66"/>
      <c r="G485" s="66"/>
      <c r="H485" s="66"/>
      <c r="I485" s="66"/>
      <c r="J485" s="66"/>
      <c r="K485" s="66"/>
      <c r="L485" s="66"/>
      <c r="M485" s="66"/>
      <c r="N485" s="66"/>
    </row>
    <row r="486" spans="1:14" x14ac:dyDescent="0.2">
      <c r="A486" s="84"/>
      <c r="B486" s="84"/>
      <c r="C486" s="60"/>
      <c r="D486" s="66"/>
      <c r="E486" s="66"/>
      <c r="F486" s="66"/>
      <c r="G486" s="66"/>
      <c r="H486" s="66"/>
      <c r="I486" s="66"/>
      <c r="J486" s="66"/>
      <c r="K486" s="66"/>
      <c r="L486" s="66"/>
      <c r="M486" s="66"/>
      <c r="N486" s="66"/>
    </row>
    <row r="487" spans="1:14" x14ac:dyDescent="0.2">
      <c r="A487" s="84"/>
      <c r="B487" s="84"/>
      <c r="C487" s="60"/>
      <c r="D487" s="66"/>
      <c r="E487" s="66"/>
      <c r="F487" s="66"/>
      <c r="G487" s="66"/>
      <c r="H487" s="66"/>
      <c r="I487" s="66"/>
      <c r="J487" s="66"/>
      <c r="K487" s="66"/>
      <c r="L487" s="66"/>
      <c r="M487" s="66"/>
      <c r="N487" s="66"/>
    </row>
    <row r="488" spans="1:14" x14ac:dyDescent="0.2">
      <c r="A488" s="84"/>
      <c r="B488" s="84"/>
      <c r="C488" s="60"/>
      <c r="D488" s="66"/>
      <c r="E488" s="66"/>
      <c r="F488" s="66"/>
      <c r="G488" s="66"/>
      <c r="H488" s="66"/>
      <c r="I488" s="66"/>
      <c r="J488" s="66"/>
      <c r="K488" s="66"/>
      <c r="L488" s="66"/>
      <c r="M488" s="66"/>
      <c r="N488" s="66"/>
    </row>
    <row r="489" spans="1:14" x14ac:dyDescent="0.2">
      <c r="A489" s="84"/>
      <c r="B489" s="84"/>
      <c r="C489" s="60"/>
      <c r="D489" s="66"/>
      <c r="E489" s="66"/>
      <c r="F489" s="66"/>
      <c r="G489" s="66"/>
      <c r="H489" s="66"/>
      <c r="I489" s="66"/>
      <c r="J489" s="66"/>
      <c r="K489" s="66"/>
      <c r="L489" s="66"/>
      <c r="M489" s="66"/>
      <c r="N489" s="66"/>
    </row>
    <row r="490" spans="1:14" x14ac:dyDescent="0.2">
      <c r="A490" s="84"/>
      <c r="B490" s="84"/>
      <c r="C490" s="60"/>
      <c r="D490" s="66"/>
      <c r="E490" s="66"/>
      <c r="F490" s="66"/>
      <c r="G490" s="66"/>
      <c r="H490" s="66"/>
      <c r="I490" s="66"/>
      <c r="J490" s="66"/>
      <c r="K490" s="66"/>
      <c r="L490" s="66"/>
      <c r="M490" s="66"/>
      <c r="N490" s="66"/>
    </row>
    <row r="491" spans="1:14" x14ac:dyDescent="0.2">
      <c r="A491" s="84"/>
      <c r="B491" s="84"/>
      <c r="C491" s="60"/>
      <c r="D491" s="66"/>
      <c r="E491" s="66"/>
      <c r="F491" s="66"/>
      <c r="G491" s="66"/>
      <c r="H491" s="66"/>
      <c r="I491" s="66"/>
      <c r="J491" s="66"/>
      <c r="K491" s="66"/>
      <c r="L491" s="66"/>
      <c r="M491" s="66"/>
      <c r="N491" s="66"/>
    </row>
    <row r="492" spans="1:14" x14ac:dyDescent="0.2">
      <c r="A492" s="84"/>
      <c r="B492" s="84"/>
      <c r="C492" s="60"/>
      <c r="D492" s="66"/>
      <c r="E492" s="66"/>
      <c r="F492" s="66"/>
      <c r="G492" s="66"/>
      <c r="H492" s="66"/>
      <c r="I492" s="66"/>
      <c r="J492" s="66"/>
      <c r="K492" s="66"/>
      <c r="L492" s="66"/>
      <c r="M492" s="66"/>
      <c r="N492" s="66"/>
    </row>
    <row r="493" spans="1:14" x14ac:dyDescent="0.2">
      <c r="A493" s="84"/>
      <c r="B493" s="84"/>
      <c r="C493" s="60"/>
      <c r="D493" s="66"/>
      <c r="E493" s="66"/>
      <c r="F493" s="66"/>
      <c r="G493" s="66"/>
      <c r="H493" s="66"/>
      <c r="I493" s="66"/>
      <c r="J493" s="66"/>
      <c r="K493" s="66"/>
      <c r="L493" s="66"/>
      <c r="M493" s="66"/>
      <c r="N493" s="66"/>
    </row>
    <row r="494" spans="1:14" x14ac:dyDescent="0.2">
      <c r="A494" s="84"/>
      <c r="B494" s="84"/>
      <c r="C494" s="60"/>
      <c r="D494" s="66"/>
      <c r="E494" s="66"/>
      <c r="F494" s="66"/>
      <c r="G494" s="66"/>
      <c r="H494" s="66"/>
      <c r="I494" s="66"/>
      <c r="J494" s="66"/>
      <c r="K494" s="66"/>
      <c r="L494" s="66"/>
      <c r="M494" s="66"/>
      <c r="N494" s="66"/>
    </row>
    <row r="495" spans="1:14" x14ac:dyDescent="0.2">
      <c r="A495" s="84"/>
      <c r="B495" s="84"/>
      <c r="C495" s="60"/>
      <c r="D495" s="66"/>
      <c r="E495" s="66"/>
      <c r="F495" s="66"/>
      <c r="G495" s="66"/>
      <c r="H495" s="66"/>
      <c r="I495" s="66"/>
      <c r="J495" s="66"/>
      <c r="K495" s="66"/>
      <c r="L495" s="66"/>
      <c r="M495" s="66"/>
      <c r="N495" s="66"/>
    </row>
    <row r="496" spans="1:14" x14ac:dyDescent="0.2">
      <c r="A496" s="84"/>
      <c r="B496" s="84"/>
      <c r="C496" s="60"/>
      <c r="D496" s="66"/>
      <c r="E496" s="66"/>
      <c r="F496" s="66"/>
      <c r="G496" s="66"/>
      <c r="H496" s="66"/>
      <c r="I496" s="66"/>
      <c r="J496" s="66"/>
      <c r="K496" s="66"/>
      <c r="L496" s="66"/>
      <c r="M496" s="66"/>
      <c r="N496" s="66"/>
    </row>
    <row r="497" spans="1:14" x14ac:dyDescent="0.2">
      <c r="A497" s="84"/>
      <c r="B497" s="84"/>
      <c r="C497" s="60"/>
      <c r="D497" s="66"/>
      <c r="E497" s="66"/>
      <c r="F497" s="66"/>
      <c r="G497" s="66"/>
      <c r="H497" s="66"/>
      <c r="I497" s="66"/>
      <c r="J497" s="66"/>
      <c r="K497" s="66"/>
      <c r="L497" s="66"/>
      <c r="M497" s="66"/>
      <c r="N497" s="66"/>
    </row>
    <row r="498" spans="1:14" x14ac:dyDescent="0.2">
      <c r="A498" s="84"/>
      <c r="B498" s="84"/>
      <c r="C498" s="60"/>
      <c r="D498" s="66"/>
      <c r="E498" s="66"/>
      <c r="F498" s="66"/>
      <c r="G498" s="66"/>
      <c r="H498" s="66"/>
      <c r="I498" s="66"/>
      <c r="J498" s="66"/>
      <c r="K498" s="66"/>
      <c r="L498" s="66"/>
      <c r="M498" s="66"/>
      <c r="N498" s="66"/>
    </row>
    <row r="499" spans="1:14" x14ac:dyDescent="0.2">
      <c r="A499" s="84"/>
      <c r="B499" s="84"/>
      <c r="C499" s="60"/>
      <c r="D499" s="66"/>
      <c r="E499" s="66"/>
      <c r="F499" s="66"/>
      <c r="G499" s="66"/>
      <c r="H499" s="66"/>
      <c r="I499" s="66"/>
      <c r="J499" s="66"/>
      <c r="K499" s="66"/>
      <c r="L499" s="66"/>
      <c r="M499" s="66"/>
      <c r="N499" s="66"/>
    </row>
    <row r="500" spans="1:14" x14ac:dyDescent="0.2">
      <c r="A500" s="84"/>
      <c r="B500" s="84"/>
      <c r="C500" s="60"/>
      <c r="D500" s="66"/>
      <c r="E500" s="66"/>
      <c r="F500" s="66"/>
      <c r="G500" s="66"/>
      <c r="H500" s="66"/>
      <c r="I500" s="66"/>
      <c r="J500" s="66"/>
      <c r="K500" s="66"/>
      <c r="L500" s="66"/>
      <c r="M500" s="66"/>
      <c r="N500" s="66"/>
    </row>
    <row r="501" spans="1:14" x14ac:dyDescent="0.2">
      <c r="A501" s="84"/>
      <c r="B501" s="84"/>
      <c r="C501" s="60"/>
      <c r="D501" s="66"/>
      <c r="E501" s="66"/>
      <c r="F501" s="66"/>
      <c r="G501" s="66"/>
      <c r="H501" s="66"/>
      <c r="I501" s="66"/>
      <c r="J501" s="66"/>
      <c r="K501" s="66"/>
      <c r="L501" s="66"/>
      <c r="M501" s="66"/>
      <c r="N501" s="66"/>
    </row>
    <row r="502" spans="1:14" x14ac:dyDescent="0.2">
      <c r="A502" s="84"/>
      <c r="B502" s="84"/>
      <c r="C502" s="60"/>
      <c r="D502" s="66"/>
      <c r="E502" s="66"/>
      <c r="F502" s="66"/>
      <c r="G502" s="66"/>
      <c r="H502" s="66"/>
      <c r="I502" s="66"/>
      <c r="J502" s="66"/>
      <c r="K502" s="66"/>
      <c r="L502" s="66"/>
      <c r="M502" s="66"/>
      <c r="N502" s="66"/>
    </row>
    <row r="503" spans="1:14" x14ac:dyDescent="0.2">
      <c r="A503" s="84"/>
      <c r="B503" s="84"/>
      <c r="C503" s="60"/>
      <c r="D503" s="66"/>
      <c r="E503" s="66"/>
      <c r="F503" s="66"/>
      <c r="G503" s="66"/>
      <c r="H503" s="66"/>
      <c r="I503" s="66"/>
      <c r="J503" s="66"/>
      <c r="K503" s="66"/>
      <c r="L503" s="66"/>
      <c r="M503" s="66"/>
      <c r="N503" s="66"/>
    </row>
    <row r="504" spans="1:14" x14ac:dyDescent="0.2">
      <c r="A504" s="84"/>
      <c r="B504" s="84"/>
      <c r="C504" s="60"/>
      <c r="D504" s="66"/>
      <c r="E504" s="66"/>
      <c r="F504" s="66"/>
      <c r="G504" s="66"/>
      <c r="H504" s="66"/>
      <c r="I504" s="66"/>
      <c r="J504" s="66"/>
      <c r="K504" s="66"/>
      <c r="L504" s="66"/>
      <c r="M504" s="66"/>
      <c r="N504" s="66"/>
    </row>
    <row r="505" spans="1:14" x14ac:dyDescent="0.2">
      <c r="A505" s="84"/>
      <c r="B505" s="84"/>
      <c r="C505" s="60"/>
      <c r="D505" s="66"/>
      <c r="E505" s="66"/>
      <c r="F505" s="66"/>
      <c r="G505" s="66"/>
      <c r="H505" s="66"/>
      <c r="I505" s="66"/>
      <c r="J505" s="66"/>
      <c r="K505" s="66"/>
      <c r="L505" s="66"/>
      <c r="M505" s="66"/>
      <c r="N505" s="66"/>
    </row>
    <row r="506" spans="1:14" x14ac:dyDescent="0.2">
      <c r="A506" s="84"/>
      <c r="B506" s="84"/>
      <c r="C506" s="60"/>
      <c r="D506" s="66"/>
      <c r="E506" s="66"/>
      <c r="F506" s="66"/>
      <c r="G506" s="66"/>
      <c r="H506" s="66"/>
      <c r="I506" s="66"/>
      <c r="J506" s="66"/>
      <c r="K506" s="66"/>
      <c r="L506" s="66"/>
      <c r="M506" s="66"/>
      <c r="N506" s="66"/>
    </row>
    <row r="507" spans="1:14" x14ac:dyDescent="0.2">
      <c r="A507" s="84"/>
      <c r="B507" s="84"/>
      <c r="C507" s="60"/>
      <c r="D507" s="66"/>
      <c r="E507" s="66"/>
      <c r="F507" s="66"/>
      <c r="G507" s="66"/>
      <c r="H507" s="66"/>
      <c r="I507" s="66"/>
      <c r="J507" s="66"/>
      <c r="K507" s="66"/>
      <c r="L507" s="66"/>
      <c r="M507" s="66"/>
      <c r="N507" s="66"/>
    </row>
    <row r="508" spans="1:14" x14ac:dyDescent="0.2">
      <c r="A508" s="84"/>
      <c r="B508" s="84"/>
      <c r="C508" s="60"/>
      <c r="D508" s="66"/>
      <c r="E508" s="66"/>
      <c r="F508" s="66"/>
      <c r="G508" s="66"/>
      <c r="H508" s="66"/>
      <c r="I508" s="66"/>
      <c r="J508" s="66"/>
      <c r="K508" s="66"/>
      <c r="L508" s="66"/>
      <c r="M508" s="66"/>
      <c r="N508" s="66"/>
    </row>
    <row r="509" spans="1:14" x14ac:dyDescent="0.2">
      <c r="A509" s="84"/>
      <c r="B509" s="84"/>
      <c r="C509" s="60"/>
      <c r="D509" s="66"/>
      <c r="E509" s="66"/>
      <c r="F509" s="66"/>
      <c r="G509" s="66"/>
      <c r="H509" s="66"/>
      <c r="I509" s="66"/>
      <c r="J509" s="66"/>
      <c r="K509" s="66"/>
      <c r="L509" s="66"/>
      <c r="M509" s="66"/>
      <c r="N509" s="66"/>
    </row>
    <row r="510" spans="1:14" x14ac:dyDescent="0.2">
      <c r="A510" s="84"/>
      <c r="B510" s="84"/>
      <c r="C510" s="60"/>
      <c r="D510" s="66"/>
      <c r="E510" s="66"/>
      <c r="F510" s="66"/>
      <c r="G510" s="66"/>
      <c r="H510" s="66"/>
      <c r="I510" s="66"/>
      <c r="J510" s="66"/>
      <c r="K510" s="66"/>
      <c r="L510" s="66"/>
      <c r="M510" s="66"/>
      <c r="N510" s="66"/>
    </row>
    <row r="511" spans="1:14" x14ac:dyDescent="0.2">
      <c r="A511" s="84"/>
      <c r="B511" s="84"/>
      <c r="C511" s="60"/>
      <c r="D511" s="66"/>
      <c r="E511" s="66"/>
      <c r="F511" s="66"/>
      <c r="G511" s="66"/>
      <c r="H511" s="66"/>
      <c r="I511" s="66"/>
      <c r="J511" s="66"/>
      <c r="K511" s="66"/>
      <c r="L511" s="66"/>
      <c r="M511" s="66"/>
      <c r="N511" s="66"/>
    </row>
    <row r="512" spans="1:14" x14ac:dyDescent="0.2">
      <c r="A512" s="84"/>
      <c r="B512" s="84"/>
      <c r="C512" s="60"/>
      <c r="D512" s="66"/>
      <c r="E512" s="66"/>
      <c r="F512" s="66"/>
      <c r="G512" s="66"/>
      <c r="H512" s="66"/>
      <c r="I512" s="66"/>
      <c r="J512" s="66"/>
      <c r="K512" s="66"/>
      <c r="L512" s="66"/>
      <c r="M512" s="66"/>
      <c r="N512" s="66"/>
    </row>
    <row r="513" spans="1:14" x14ac:dyDescent="0.2">
      <c r="A513" s="84"/>
      <c r="B513" s="84"/>
      <c r="C513" s="60"/>
      <c r="D513" s="66"/>
      <c r="E513" s="66"/>
      <c r="F513" s="66"/>
      <c r="G513" s="66"/>
      <c r="H513" s="66"/>
      <c r="I513" s="66"/>
      <c r="J513" s="66"/>
      <c r="K513" s="66"/>
      <c r="L513" s="66"/>
      <c r="M513" s="66"/>
      <c r="N513" s="66"/>
    </row>
    <row r="514" spans="1:14" x14ac:dyDescent="0.2">
      <c r="A514" s="84"/>
      <c r="B514" s="84"/>
      <c r="C514" s="60"/>
      <c r="D514" s="66"/>
      <c r="E514" s="66"/>
      <c r="F514" s="66"/>
      <c r="G514" s="66"/>
      <c r="H514" s="66"/>
      <c r="I514" s="66"/>
      <c r="J514" s="66"/>
      <c r="K514" s="66"/>
      <c r="L514" s="66"/>
      <c r="M514" s="66"/>
      <c r="N514" s="66"/>
    </row>
    <row r="515" spans="1:14" x14ac:dyDescent="0.2">
      <c r="A515" s="84"/>
      <c r="B515" s="84"/>
      <c r="C515" s="60"/>
      <c r="D515" s="66"/>
      <c r="E515" s="66"/>
      <c r="F515" s="66"/>
      <c r="G515" s="66"/>
      <c r="H515" s="66"/>
      <c r="I515" s="66"/>
      <c r="J515" s="66"/>
      <c r="K515" s="66"/>
      <c r="L515" s="66"/>
      <c r="M515" s="66"/>
      <c r="N515" s="66"/>
    </row>
    <row r="516" spans="1:14" x14ac:dyDescent="0.2">
      <c r="A516" s="84"/>
      <c r="B516" s="84"/>
      <c r="C516" s="60"/>
      <c r="D516" s="66"/>
      <c r="E516" s="66"/>
      <c r="F516" s="66"/>
      <c r="G516" s="66"/>
      <c r="H516" s="66"/>
      <c r="I516" s="66"/>
      <c r="J516" s="66"/>
      <c r="K516" s="66"/>
      <c r="L516" s="66"/>
      <c r="M516" s="66"/>
      <c r="N516" s="66"/>
    </row>
    <row r="517" spans="1:14" x14ac:dyDescent="0.2">
      <c r="A517" s="84"/>
      <c r="B517" s="84"/>
      <c r="C517" s="60"/>
      <c r="D517" s="66"/>
      <c r="E517" s="66"/>
      <c r="F517" s="66"/>
      <c r="G517" s="66"/>
      <c r="H517" s="66"/>
      <c r="I517" s="66"/>
      <c r="J517" s="66"/>
      <c r="K517" s="66"/>
      <c r="L517" s="66"/>
      <c r="M517" s="66"/>
      <c r="N517" s="66"/>
    </row>
    <row r="518" spans="1:14" x14ac:dyDescent="0.2">
      <c r="A518" s="84"/>
      <c r="B518" s="84"/>
      <c r="C518" s="60"/>
      <c r="D518" s="66"/>
      <c r="E518" s="66"/>
      <c r="F518" s="66"/>
      <c r="G518" s="66"/>
      <c r="H518" s="66"/>
      <c r="I518" s="66"/>
      <c r="J518" s="66"/>
      <c r="K518" s="66"/>
      <c r="L518" s="66"/>
      <c r="M518" s="66"/>
      <c r="N518" s="66"/>
    </row>
    <row r="519" spans="1:14" x14ac:dyDescent="0.2">
      <c r="A519" s="84"/>
      <c r="B519" s="84"/>
      <c r="C519" s="60"/>
      <c r="D519" s="66"/>
      <c r="E519" s="66"/>
      <c r="F519" s="66"/>
      <c r="G519" s="66"/>
      <c r="H519" s="66"/>
      <c r="I519" s="66"/>
      <c r="J519" s="66"/>
      <c r="K519" s="66"/>
      <c r="L519" s="66"/>
      <c r="M519" s="66"/>
      <c r="N519" s="66"/>
    </row>
    <row r="520" spans="1:14" x14ac:dyDescent="0.2">
      <c r="A520" s="84"/>
      <c r="B520" s="84"/>
      <c r="C520" s="60"/>
      <c r="D520" s="66"/>
      <c r="E520" s="66"/>
      <c r="F520" s="66"/>
      <c r="G520" s="66"/>
      <c r="H520" s="66"/>
      <c r="I520" s="66"/>
      <c r="J520" s="66"/>
      <c r="K520" s="66"/>
      <c r="L520" s="66"/>
      <c r="M520" s="66"/>
      <c r="N520" s="66"/>
    </row>
    <row r="521" spans="1:14" x14ac:dyDescent="0.2">
      <c r="A521" s="84"/>
      <c r="B521" s="84"/>
      <c r="C521" s="60"/>
      <c r="D521" s="66"/>
      <c r="E521" s="66"/>
      <c r="F521" s="66"/>
      <c r="G521" s="66"/>
      <c r="H521" s="66"/>
      <c r="I521" s="66"/>
      <c r="J521" s="66"/>
      <c r="K521" s="66"/>
      <c r="L521" s="66"/>
      <c r="M521" s="66"/>
      <c r="N521" s="66"/>
    </row>
    <row r="522" spans="1:14" x14ac:dyDescent="0.2">
      <c r="A522" s="84"/>
      <c r="B522" s="84"/>
      <c r="C522" s="60"/>
      <c r="D522" s="66"/>
      <c r="E522" s="66"/>
      <c r="F522" s="66"/>
      <c r="G522" s="66"/>
      <c r="H522" s="66"/>
      <c r="I522" s="66"/>
      <c r="J522" s="66"/>
      <c r="K522" s="66"/>
      <c r="L522" s="66"/>
      <c r="M522" s="66"/>
      <c r="N522" s="66"/>
    </row>
    <row r="523" spans="1:14" x14ac:dyDescent="0.2">
      <c r="A523" s="84"/>
      <c r="B523" s="84"/>
      <c r="C523" s="60"/>
      <c r="D523" s="66"/>
      <c r="E523" s="66"/>
      <c r="F523" s="66"/>
      <c r="G523" s="66"/>
      <c r="H523" s="66"/>
      <c r="I523" s="66"/>
      <c r="J523" s="66"/>
      <c r="K523" s="66"/>
      <c r="L523" s="66"/>
      <c r="M523" s="66"/>
      <c r="N523" s="66"/>
    </row>
    <row r="524" spans="1:14" x14ac:dyDescent="0.2">
      <c r="A524" s="84"/>
      <c r="B524" s="84"/>
      <c r="C524" s="60"/>
      <c r="D524" s="66"/>
      <c r="E524" s="66"/>
      <c r="F524" s="66"/>
      <c r="G524" s="66"/>
      <c r="H524" s="66"/>
      <c r="I524" s="66"/>
      <c r="J524" s="66"/>
      <c r="K524" s="66"/>
      <c r="L524" s="66"/>
      <c r="M524" s="66"/>
      <c r="N524" s="66"/>
    </row>
    <row r="525" spans="1:14" x14ac:dyDescent="0.2">
      <c r="A525" s="84"/>
      <c r="B525" s="84"/>
      <c r="C525" s="60"/>
      <c r="D525" s="66"/>
      <c r="E525" s="66"/>
      <c r="F525" s="66"/>
      <c r="G525" s="66"/>
      <c r="H525" s="66"/>
      <c r="I525" s="66"/>
      <c r="J525" s="66"/>
      <c r="K525" s="66"/>
      <c r="L525" s="66"/>
      <c r="M525" s="66"/>
      <c r="N525" s="66"/>
    </row>
    <row r="526" spans="1:14" x14ac:dyDescent="0.2">
      <c r="A526" s="84"/>
      <c r="B526" s="84"/>
      <c r="C526" s="60"/>
      <c r="D526" s="66"/>
      <c r="E526" s="66"/>
      <c r="F526" s="66"/>
      <c r="G526" s="66"/>
      <c r="H526" s="66"/>
      <c r="I526" s="66"/>
      <c r="J526" s="66"/>
      <c r="K526" s="66"/>
      <c r="L526" s="66"/>
      <c r="M526" s="66"/>
      <c r="N526" s="66"/>
    </row>
    <row r="527" spans="1:14" x14ac:dyDescent="0.2">
      <c r="A527" s="84"/>
      <c r="B527" s="84"/>
      <c r="C527" s="60"/>
      <c r="D527" s="66"/>
      <c r="E527" s="66"/>
      <c r="F527" s="66"/>
      <c r="G527" s="66"/>
      <c r="H527" s="66"/>
      <c r="I527" s="66"/>
      <c r="J527" s="66"/>
      <c r="K527" s="66"/>
      <c r="L527" s="66"/>
      <c r="M527" s="66"/>
      <c r="N527" s="66"/>
    </row>
    <row r="528" spans="1:14" x14ac:dyDescent="0.2">
      <c r="A528" s="84"/>
      <c r="B528" s="84"/>
      <c r="C528" s="60"/>
      <c r="D528" s="66"/>
      <c r="E528" s="66"/>
      <c r="F528" s="66"/>
      <c r="G528" s="66"/>
      <c r="H528" s="66"/>
      <c r="I528" s="66"/>
      <c r="J528" s="66"/>
      <c r="K528" s="66"/>
      <c r="L528" s="66"/>
      <c r="M528" s="66"/>
      <c r="N528" s="66"/>
    </row>
    <row r="529" spans="1:14" x14ac:dyDescent="0.2">
      <c r="A529" s="84"/>
      <c r="B529" s="84"/>
      <c r="C529" s="60"/>
      <c r="D529" s="66"/>
      <c r="E529" s="66"/>
      <c r="F529" s="66"/>
      <c r="G529" s="66"/>
      <c r="H529" s="66"/>
      <c r="I529" s="66"/>
      <c r="J529" s="66"/>
      <c r="K529" s="66"/>
      <c r="L529" s="66"/>
      <c r="M529" s="66"/>
      <c r="N529" s="66"/>
    </row>
    <row r="530" spans="1:14" x14ac:dyDescent="0.2">
      <c r="A530" s="84"/>
      <c r="B530" s="84"/>
      <c r="C530" s="60"/>
      <c r="D530" s="66"/>
      <c r="E530" s="66"/>
      <c r="F530" s="66"/>
      <c r="G530" s="66"/>
      <c r="H530" s="66"/>
      <c r="I530" s="66"/>
      <c r="J530" s="66"/>
      <c r="K530" s="66"/>
      <c r="L530" s="66"/>
      <c r="M530" s="66"/>
      <c r="N530" s="66"/>
    </row>
    <row r="531" spans="1:14" x14ac:dyDescent="0.2">
      <c r="A531" s="84"/>
      <c r="B531" s="84"/>
      <c r="C531" s="60"/>
      <c r="D531" s="66"/>
      <c r="E531" s="66"/>
      <c r="F531" s="66"/>
      <c r="G531" s="66"/>
      <c r="H531" s="66"/>
      <c r="I531" s="66"/>
      <c r="J531" s="66"/>
      <c r="K531" s="66"/>
      <c r="L531" s="66"/>
      <c r="M531" s="66"/>
      <c r="N531" s="66"/>
    </row>
    <row r="532" spans="1:14" x14ac:dyDescent="0.2">
      <c r="A532" s="84"/>
      <c r="B532" s="84"/>
      <c r="C532" s="60"/>
      <c r="D532" s="66"/>
      <c r="E532" s="66"/>
      <c r="F532" s="66"/>
      <c r="G532" s="66"/>
      <c r="H532" s="66"/>
      <c r="I532" s="66"/>
      <c r="J532" s="66"/>
      <c r="K532" s="66"/>
      <c r="L532" s="66"/>
      <c r="M532" s="66"/>
      <c r="N532" s="66"/>
    </row>
    <row r="533" spans="1:14" x14ac:dyDescent="0.2">
      <c r="A533" s="84"/>
      <c r="B533" s="84"/>
      <c r="C533" s="60"/>
      <c r="D533" s="66"/>
      <c r="E533" s="66"/>
      <c r="F533" s="66"/>
      <c r="G533" s="66"/>
      <c r="H533" s="66"/>
      <c r="I533" s="66"/>
      <c r="J533" s="66"/>
      <c r="K533" s="66"/>
      <c r="L533" s="66"/>
      <c r="M533" s="66"/>
      <c r="N533" s="66"/>
    </row>
    <row r="534" spans="1:14" x14ac:dyDescent="0.2">
      <c r="A534" s="84"/>
      <c r="B534" s="84"/>
      <c r="C534" s="60"/>
      <c r="D534" s="66"/>
      <c r="E534" s="66"/>
      <c r="F534" s="66"/>
      <c r="G534" s="66"/>
      <c r="H534" s="66"/>
      <c r="I534" s="66"/>
      <c r="J534" s="66"/>
      <c r="K534" s="66"/>
      <c r="L534" s="66"/>
      <c r="M534" s="66"/>
      <c r="N534" s="66"/>
    </row>
    <row r="535" spans="1:14" x14ac:dyDescent="0.2">
      <c r="A535" s="84"/>
      <c r="B535" s="84"/>
      <c r="C535" s="60"/>
      <c r="D535" s="66"/>
      <c r="E535" s="66"/>
      <c r="F535" s="66"/>
      <c r="G535" s="66"/>
      <c r="H535" s="66"/>
      <c r="I535" s="66"/>
      <c r="J535" s="66"/>
      <c r="K535" s="66"/>
      <c r="L535" s="66"/>
      <c r="M535" s="66"/>
      <c r="N535" s="66"/>
    </row>
    <row r="536" spans="1:14" x14ac:dyDescent="0.2">
      <c r="A536" s="84"/>
      <c r="B536" s="84"/>
      <c r="C536" s="60"/>
      <c r="D536" s="66"/>
      <c r="E536" s="66"/>
      <c r="F536" s="66"/>
      <c r="G536" s="66"/>
      <c r="H536" s="66"/>
      <c r="I536" s="66"/>
      <c r="J536" s="66"/>
      <c r="K536" s="66"/>
      <c r="L536" s="66"/>
      <c r="M536" s="66"/>
      <c r="N536" s="66"/>
    </row>
    <row r="537" spans="1:14" x14ac:dyDescent="0.2">
      <c r="A537" s="84"/>
      <c r="B537" s="84"/>
      <c r="C537" s="60"/>
      <c r="D537" s="66"/>
      <c r="E537" s="66"/>
      <c r="F537" s="66"/>
      <c r="G537" s="66"/>
      <c r="H537" s="66"/>
      <c r="I537" s="66"/>
      <c r="J537" s="66"/>
      <c r="K537" s="66"/>
      <c r="L537" s="66"/>
      <c r="M537" s="66"/>
      <c r="N537" s="66"/>
    </row>
    <row r="538" spans="1:14" x14ac:dyDescent="0.2">
      <c r="A538" s="84"/>
      <c r="B538" s="84"/>
      <c r="C538" s="60"/>
      <c r="D538" s="66"/>
      <c r="E538" s="66"/>
      <c r="F538" s="66"/>
      <c r="G538" s="66"/>
      <c r="H538" s="66"/>
      <c r="I538" s="66"/>
      <c r="J538" s="66"/>
      <c r="K538" s="66"/>
      <c r="L538" s="66"/>
      <c r="M538" s="66"/>
      <c r="N538" s="66"/>
    </row>
    <row r="539" spans="1:14" x14ac:dyDescent="0.2">
      <c r="A539" s="84"/>
      <c r="B539" s="84"/>
      <c r="C539" s="60"/>
      <c r="D539" s="66"/>
      <c r="E539" s="66"/>
      <c r="F539" s="66"/>
      <c r="G539" s="66"/>
      <c r="H539" s="66"/>
      <c r="I539" s="66"/>
      <c r="J539" s="66"/>
      <c r="K539" s="66"/>
      <c r="L539" s="66"/>
      <c r="M539" s="66"/>
      <c r="N539" s="66"/>
    </row>
    <row r="540" spans="1:14" x14ac:dyDescent="0.2">
      <c r="A540" s="84"/>
      <c r="B540" s="84"/>
      <c r="C540" s="60"/>
      <c r="D540" s="66"/>
      <c r="E540" s="66"/>
      <c r="F540" s="66"/>
      <c r="G540" s="66"/>
      <c r="H540" s="66"/>
      <c r="I540" s="66"/>
      <c r="J540" s="66"/>
      <c r="K540" s="66"/>
      <c r="L540" s="66"/>
      <c r="M540" s="66"/>
      <c r="N540" s="66"/>
    </row>
    <row r="541" spans="1:14" x14ac:dyDescent="0.2">
      <c r="A541" s="84"/>
      <c r="B541" s="84"/>
      <c r="C541" s="60"/>
      <c r="D541" s="66"/>
      <c r="E541" s="66"/>
      <c r="F541" s="66"/>
      <c r="G541" s="66"/>
      <c r="H541" s="66"/>
      <c r="I541" s="66"/>
      <c r="J541" s="66"/>
      <c r="K541" s="66"/>
      <c r="L541" s="66"/>
      <c r="M541" s="66"/>
      <c r="N541" s="66"/>
    </row>
    <row r="542" spans="1:14" x14ac:dyDescent="0.2">
      <c r="A542" s="84"/>
      <c r="B542" s="84"/>
      <c r="C542" s="60"/>
      <c r="D542" s="66"/>
      <c r="E542" s="66"/>
      <c r="F542" s="66"/>
      <c r="G542" s="66"/>
      <c r="H542" s="66"/>
      <c r="I542" s="66"/>
      <c r="J542" s="66"/>
      <c r="K542" s="66"/>
      <c r="L542" s="66"/>
      <c r="M542" s="66"/>
      <c r="N542" s="66"/>
    </row>
    <row r="543" spans="1:14" x14ac:dyDescent="0.2">
      <c r="A543" s="84"/>
      <c r="B543" s="84"/>
      <c r="C543" s="60"/>
      <c r="D543" s="66"/>
      <c r="E543" s="66"/>
      <c r="F543" s="66"/>
      <c r="G543" s="66"/>
      <c r="H543" s="66"/>
      <c r="I543" s="66"/>
      <c r="J543" s="66"/>
      <c r="K543" s="66"/>
      <c r="L543" s="66"/>
      <c r="M543" s="66"/>
      <c r="N543" s="66"/>
    </row>
    <row r="544" spans="1:14" x14ac:dyDescent="0.2">
      <c r="A544" s="84"/>
      <c r="B544" s="84"/>
      <c r="C544" s="60"/>
      <c r="D544" s="66"/>
      <c r="E544" s="66"/>
      <c r="F544" s="66"/>
      <c r="G544" s="66"/>
      <c r="H544" s="66"/>
      <c r="I544" s="66"/>
      <c r="J544" s="66"/>
      <c r="K544" s="66"/>
      <c r="L544" s="66"/>
      <c r="M544" s="66"/>
      <c r="N544" s="66"/>
    </row>
    <row r="545" spans="1:14" x14ac:dyDescent="0.2">
      <c r="A545" s="84"/>
      <c r="B545" s="84"/>
      <c r="C545" s="60"/>
      <c r="D545" s="66"/>
      <c r="E545" s="66"/>
      <c r="F545" s="66"/>
      <c r="G545" s="66"/>
      <c r="H545" s="66"/>
      <c r="I545" s="66"/>
      <c r="J545" s="66"/>
      <c r="K545" s="66"/>
      <c r="L545" s="66"/>
      <c r="M545" s="66"/>
      <c r="N545" s="66"/>
    </row>
    <row r="546" spans="1:14" x14ac:dyDescent="0.2">
      <c r="A546" s="84"/>
      <c r="B546" s="84"/>
      <c r="C546" s="60"/>
      <c r="D546" s="66"/>
      <c r="E546" s="66"/>
      <c r="F546" s="66"/>
      <c r="G546" s="66"/>
      <c r="H546" s="66"/>
      <c r="I546" s="66"/>
      <c r="J546" s="66"/>
      <c r="K546" s="66"/>
      <c r="L546" s="66"/>
      <c r="M546" s="66"/>
      <c r="N546" s="66"/>
    </row>
    <row r="547" spans="1:14" x14ac:dyDescent="0.2">
      <c r="A547" s="84"/>
      <c r="B547" s="84"/>
      <c r="C547" s="60"/>
      <c r="D547" s="66"/>
      <c r="E547" s="66"/>
      <c r="F547" s="66"/>
      <c r="G547" s="66"/>
      <c r="H547" s="66"/>
      <c r="I547" s="66"/>
      <c r="J547" s="66"/>
      <c r="K547" s="66"/>
      <c r="L547" s="66"/>
      <c r="M547" s="66"/>
      <c r="N547" s="66"/>
    </row>
    <row r="548" spans="1:14" x14ac:dyDescent="0.2">
      <c r="A548" s="84"/>
      <c r="B548" s="84"/>
      <c r="C548" s="60"/>
      <c r="D548" s="66"/>
      <c r="E548" s="66"/>
      <c r="F548" s="66"/>
      <c r="G548" s="66"/>
      <c r="H548" s="66"/>
      <c r="I548" s="66"/>
      <c r="J548" s="66"/>
      <c r="K548" s="66"/>
      <c r="L548" s="66"/>
      <c r="M548" s="66"/>
      <c r="N548" s="66"/>
    </row>
    <row r="549" spans="1:14" x14ac:dyDescent="0.2">
      <c r="A549" s="84"/>
      <c r="B549" s="84"/>
      <c r="C549" s="60"/>
      <c r="D549" s="66"/>
      <c r="E549" s="66"/>
      <c r="F549" s="66"/>
      <c r="G549" s="66"/>
      <c r="H549" s="66"/>
      <c r="I549" s="66"/>
      <c r="J549" s="66"/>
      <c r="K549" s="66"/>
      <c r="L549" s="66"/>
      <c r="M549" s="66"/>
      <c r="N549" s="66"/>
    </row>
    <row r="550" spans="1:14" x14ac:dyDescent="0.2">
      <c r="A550" s="84"/>
      <c r="B550" s="84"/>
      <c r="C550" s="60"/>
      <c r="D550" s="66"/>
      <c r="E550" s="66"/>
      <c r="F550" s="66"/>
      <c r="G550" s="66"/>
      <c r="H550" s="66"/>
      <c r="I550" s="66"/>
      <c r="J550" s="66"/>
      <c r="K550" s="66"/>
      <c r="L550" s="66"/>
      <c r="M550" s="66"/>
      <c r="N550" s="66"/>
    </row>
    <row r="551" spans="1:14" x14ac:dyDescent="0.2">
      <c r="A551" s="84"/>
      <c r="B551" s="84"/>
      <c r="C551" s="60"/>
      <c r="D551" s="66"/>
      <c r="E551" s="66"/>
      <c r="F551" s="66"/>
      <c r="G551" s="66"/>
      <c r="H551" s="66"/>
      <c r="I551" s="66"/>
      <c r="J551" s="66"/>
      <c r="K551" s="66"/>
      <c r="L551" s="66"/>
      <c r="M551" s="66"/>
      <c r="N551" s="66"/>
    </row>
    <row r="552" spans="1:14" x14ac:dyDescent="0.2">
      <c r="A552" s="84"/>
      <c r="B552" s="84"/>
      <c r="C552" s="60"/>
      <c r="D552" s="66"/>
      <c r="E552" s="66"/>
      <c r="F552" s="66"/>
      <c r="G552" s="66"/>
      <c r="H552" s="66"/>
      <c r="I552" s="66"/>
      <c r="J552" s="66"/>
      <c r="K552" s="66"/>
      <c r="L552" s="66"/>
      <c r="M552" s="66"/>
      <c r="N552" s="66"/>
    </row>
    <row r="553" spans="1:14" x14ac:dyDescent="0.2">
      <c r="A553" s="84"/>
      <c r="B553" s="84"/>
      <c r="C553" s="60"/>
      <c r="D553" s="66"/>
      <c r="E553" s="66"/>
      <c r="F553" s="66"/>
      <c r="G553" s="66"/>
      <c r="H553" s="66"/>
      <c r="I553" s="66"/>
      <c r="J553" s="66"/>
      <c r="K553" s="66"/>
      <c r="L553" s="66"/>
      <c r="M553" s="66"/>
      <c r="N553" s="66"/>
    </row>
    <row r="554" spans="1:14" x14ac:dyDescent="0.2">
      <c r="A554" s="84"/>
      <c r="B554" s="84"/>
      <c r="C554" s="60"/>
      <c r="D554" s="66"/>
      <c r="E554" s="66"/>
      <c r="F554" s="66"/>
      <c r="G554" s="66"/>
      <c r="H554" s="66"/>
      <c r="I554" s="66"/>
      <c r="J554" s="66"/>
      <c r="K554" s="66"/>
      <c r="L554" s="66"/>
      <c r="M554" s="66"/>
      <c r="N554" s="66"/>
    </row>
    <row r="555" spans="1:14" x14ac:dyDescent="0.2">
      <c r="A555" s="84"/>
      <c r="B555" s="84"/>
      <c r="C555" s="60"/>
      <c r="D555" s="66"/>
      <c r="E555" s="66"/>
      <c r="F555" s="66"/>
      <c r="G555" s="66"/>
      <c r="H555" s="66"/>
      <c r="I555" s="66"/>
      <c r="J555" s="66"/>
      <c r="K555" s="66"/>
      <c r="L555" s="66"/>
      <c r="M555" s="66"/>
      <c r="N555" s="66"/>
    </row>
    <row r="556" spans="1:14" x14ac:dyDescent="0.2">
      <c r="A556" s="84"/>
      <c r="B556" s="84"/>
      <c r="C556" s="60"/>
      <c r="D556" s="66"/>
      <c r="E556" s="66"/>
      <c r="F556" s="66"/>
      <c r="G556" s="66"/>
      <c r="H556" s="66"/>
      <c r="I556" s="66"/>
      <c r="J556" s="66"/>
      <c r="K556" s="66"/>
      <c r="L556" s="66"/>
      <c r="M556" s="66"/>
      <c r="N556" s="66"/>
    </row>
    <row r="557" spans="1:14" x14ac:dyDescent="0.2">
      <c r="A557" s="84"/>
      <c r="B557" s="84"/>
      <c r="C557" s="60"/>
      <c r="D557" s="66"/>
      <c r="E557" s="66"/>
      <c r="F557" s="66"/>
      <c r="G557" s="66"/>
      <c r="H557" s="66"/>
      <c r="I557" s="66"/>
      <c r="J557" s="66"/>
      <c r="K557" s="66"/>
      <c r="L557" s="66"/>
      <c r="M557" s="66"/>
      <c r="N557" s="66"/>
    </row>
    <row r="558" spans="1:14" x14ac:dyDescent="0.2">
      <c r="A558" s="84"/>
      <c r="B558" s="84"/>
      <c r="C558" s="60"/>
      <c r="D558" s="66"/>
      <c r="E558" s="66"/>
      <c r="F558" s="66"/>
      <c r="G558" s="66"/>
      <c r="H558" s="66"/>
      <c r="I558" s="66"/>
      <c r="J558" s="66"/>
      <c r="K558" s="66"/>
      <c r="L558" s="66"/>
      <c r="M558" s="66"/>
      <c r="N558" s="66"/>
    </row>
    <row r="559" spans="1:14" x14ac:dyDescent="0.2">
      <c r="A559" s="84"/>
      <c r="B559" s="84"/>
      <c r="C559" s="60"/>
      <c r="D559" s="66"/>
      <c r="E559" s="66"/>
      <c r="F559" s="66"/>
      <c r="G559" s="66"/>
      <c r="H559" s="66"/>
      <c r="I559" s="66"/>
      <c r="J559" s="66"/>
      <c r="K559" s="66"/>
      <c r="L559" s="66"/>
      <c r="M559" s="66"/>
      <c r="N559" s="66"/>
    </row>
    <row r="560" spans="1:14" x14ac:dyDescent="0.2">
      <c r="A560" s="84"/>
      <c r="B560" s="84"/>
      <c r="C560" s="60"/>
      <c r="D560" s="66"/>
      <c r="E560" s="66"/>
      <c r="F560" s="66"/>
      <c r="G560" s="66"/>
      <c r="H560" s="66"/>
      <c r="I560" s="66"/>
      <c r="J560" s="66"/>
      <c r="K560" s="66"/>
      <c r="L560" s="66"/>
      <c r="M560" s="66"/>
      <c r="N560" s="66"/>
    </row>
    <row r="561" spans="1:14" x14ac:dyDescent="0.2">
      <c r="A561" s="84"/>
      <c r="B561" s="84"/>
      <c r="C561" s="60"/>
      <c r="D561" s="66"/>
      <c r="E561" s="66"/>
      <c r="F561" s="66"/>
      <c r="G561" s="66"/>
      <c r="H561" s="66"/>
      <c r="I561" s="66"/>
      <c r="J561" s="66"/>
      <c r="K561" s="66"/>
      <c r="L561" s="66"/>
      <c r="M561" s="66"/>
      <c r="N561" s="66"/>
    </row>
    <row r="562" spans="1:14" x14ac:dyDescent="0.2">
      <c r="A562" s="84"/>
      <c r="B562" s="84"/>
      <c r="C562" s="60"/>
      <c r="D562" s="66"/>
      <c r="E562" s="66"/>
      <c r="F562" s="66"/>
      <c r="G562" s="66"/>
      <c r="H562" s="66"/>
      <c r="I562" s="66"/>
      <c r="J562" s="66"/>
      <c r="K562" s="66"/>
      <c r="L562" s="66"/>
      <c r="M562" s="66"/>
      <c r="N562" s="66"/>
    </row>
    <row r="563" spans="1:14" x14ac:dyDescent="0.2">
      <c r="A563" s="84"/>
      <c r="B563" s="84"/>
      <c r="C563" s="60"/>
      <c r="D563" s="66"/>
      <c r="E563" s="66"/>
      <c r="F563" s="66"/>
      <c r="G563" s="66"/>
      <c r="H563" s="66"/>
      <c r="I563" s="66"/>
      <c r="J563" s="66"/>
      <c r="K563" s="66"/>
      <c r="L563" s="66"/>
      <c r="M563" s="66"/>
      <c r="N563" s="66"/>
    </row>
    <row r="564" spans="1:14" x14ac:dyDescent="0.2">
      <c r="A564" s="84"/>
      <c r="B564" s="84"/>
      <c r="C564" s="60"/>
      <c r="D564" s="66"/>
      <c r="E564" s="66"/>
      <c r="F564" s="66"/>
      <c r="G564" s="66"/>
      <c r="H564" s="66"/>
      <c r="I564" s="66"/>
      <c r="J564" s="66"/>
      <c r="K564" s="66"/>
      <c r="L564" s="66"/>
      <c r="M564" s="66"/>
      <c r="N564" s="66"/>
    </row>
    <row r="565" spans="1:14" x14ac:dyDescent="0.2">
      <c r="A565" s="84"/>
      <c r="B565" s="84"/>
      <c r="C565" s="60"/>
      <c r="D565" s="66"/>
      <c r="E565" s="66"/>
      <c r="F565" s="66"/>
      <c r="G565" s="66"/>
      <c r="H565" s="66"/>
      <c r="I565" s="66"/>
      <c r="J565" s="66"/>
      <c r="K565" s="66"/>
      <c r="L565" s="66"/>
      <c r="M565" s="66"/>
      <c r="N565" s="66"/>
    </row>
    <row r="566" spans="1:14" x14ac:dyDescent="0.2">
      <c r="A566" s="84"/>
      <c r="B566" s="84"/>
      <c r="C566" s="60"/>
      <c r="D566" s="66"/>
      <c r="E566" s="66"/>
      <c r="F566" s="66"/>
      <c r="G566" s="66"/>
      <c r="H566" s="66"/>
      <c r="I566" s="66"/>
      <c r="J566" s="66"/>
      <c r="K566" s="66"/>
      <c r="L566" s="66"/>
      <c r="M566" s="66"/>
      <c r="N566" s="66"/>
    </row>
    <row r="567" spans="1:14" x14ac:dyDescent="0.2">
      <c r="A567" s="84"/>
      <c r="B567" s="84"/>
      <c r="C567" s="60"/>
      <c r="D567" s="66"/>
      <c r="E567" s="66"/>
      <c r="F567" s="66"/>
      <c r="G567" s="66"/>
      <c r="H567" s="66"/>
      <c r="I567" s="66"/>
      <c r="J567" s="66"/>
      <c r="K567" s="66"/>
      <c r="L567" s="66"/>
      <c r="M567" s="66"/>
      <c r="N567" s="66"/>
    </row>
    <row r="568" spans="1:14" x14ac:dyDescent="0.2">
      <c r="A568" s="84"/>
      <c r="B568" s="84"/>
      <c r="C568" s="60"/>
      <c r="D568" s="66"/>
      <c r="E568" s="66"/>
      <c r="F568" s="66"/>
      <c r="G568" s="66"/>
      <c r="H568" s="66"/>
      <c r="I568" s="66"/>
      <c r="J568" s="66"/>
      <c r="K568" s="66"/>
      <c r="L568" s="66"/>
      <c r="M568" s="66"/>
      <c r="N568" s="66"/>
    </row>
    <row r="569" spans="1:14" x14ac:dyDescent="0.2">
      <c r="A569" s="84"/>
      <c r="B569" s="84"/>
      <c r="C569" s="60"/>
      <c r="D569" s="66"/>
      <c r="E569" s="66"/>
      <c r="F569" s="66"/>
      <c r="G569" s="66"/>
      <c r="H569" s="66"/>
      <c r="I569" s="66"/>
      <c r="J569" s="66"/>
      <c r="K569" s="66"/>
      <c r="L569" s="66"/>
      <c r="M569" s="66"/>
      <c r="N569" s="66"/>
    </row>
    <row r="570" spans="1:14" x14ac:dyDescent="0.2">
      <c r="A570" s="84"/>
      <c r="B570" s="84"/>
      <c r="C570" s="60"/>
      <c r="D570" s="66"/>
      <c r="E570" s="66"/>
      <c r="F570" s="66"/>
      <c r="G570" s="66"/>
      <c r="H570" s="66"/>
      <c r="I570" s="66"/>
      <c r="J570" s="66"/>
      <c r="K570" s="66"/>
      <c r="L570" s="66"/>
      <c r="M570" s="66"/>
      <c r="N570" s="66"/>
    </row>
    <row r="571" spans="1:14" x14ac:dyDescent="0.2">
      <c r="A571" s="84"/>
      <c r="B571" s="84"/>
      <c r="C571" s="60"/>
      <c r="D571" s="66"/>
      <c r="E571" s="66"/>
      <c r="F571" s="66"/>
      <c r="G571" s="66"/>
      <c r="H571" s="66"/>
      <c r="I571" s="66"/>
      <c r="J571" s="66"/>
      <c r="K571" s="66"/>
      <c r="L571" s="66"/>
      <c r="M571" s="66"/>
      <c r="N571" s="66"/>
    </row>
    <row r="572" spans="1:14" x14ac:dyDescent="0.2">
      <c r="A572" s="84"/>
      <c r="B572" s="84"/>
      <c r="C572" s="60"/>
      <c r="D572" s="66"/>
      <c r="E572" s="66"/>
      <c r="F572" s="66"/>
      <c r="G572" s="66"/>
      <c r="H572" s="66"/>
      <c r="I572" s="66"/>
      <c r="J572" s="66"/>
      <c r="K572" s="66"/>
      <c r="L572" s="66"/>
      <c r="M572" s="66"/>
      <c r="N572" s="66"/>
    </row>
    <row r="573" spans="1:14" x14ac:dyDescent="0.2">
      <c r="A573" s="84"/>
      <c r="B573" s="84"/>
      <c r="C573" s="60"/>
      <c r="D573" s="66"/>
      <c r="E573" s="66"/>
      <c r="F573" s="66"/>
      <c r="G573" s="66"/>
      <c r="H573" s="66"/>
      <c r="I573" s="66"/>
      <c r="J573" s="66"/>
      <c r="K573" s="66"/>
      <c r="L573" s="66"/>
      <c r="M573" s="66"/>
      <c r="N573" s="66"/>
    </row>
    <row r="574" spans="1:14" x14ac:dyDescent="0.2">
      <c r="A574" s="84"/>
      <c r="B574" s="84"/>
      <c r="C574" s="60"/>
      <c r="D574" s="66"/>
      <c r="E574" s="66"/>
      <c r="F574" s="66"/>
      <c r="G574" s="66"/>
      <c r="H574" s="66"/>
      <c r="I574" s="66"/>
      <c r="J574" s="66"/>
      <c r="K574" s="66"/>
      <c r="L574" s="66"/>
      <c r="M574" s="66"/>
      <c r="N574" s="66"/>
    </row>
    <row r="575" spans="1:14" x14ac:dyDescent="0.2">
      <c r="A575" s="84"/>
      <c r="B575" s="84"/>
      <c r="C575" s="60"/>
      <c r="D575" s="66"/>
      <c r="E575" s="66"/>
      <c r="F575" s="66"/>
      <c r="G575" s="66"/>
      <c r="H575" s="66"/>
      <c r="I575" s="66"/>
      <c r="J575" s="66"/>
      <c r="K575" s="66"/>
      <c r="L575" s="66"/>
      <c r="M575" s="66"/>
      <c r="N575" s="66"/>
    </row>
    <row r="576" spans="1:14" x14ac:dyDescent="0.2">
      <c r="A576" s="84"/>
      <c r="B576" s="84"/>
      <c r="C576" s="60"/>
      <c r="D576" s="66"/>
      <c r="E576" s="66"/>
      <c r="F576" s="66"/>
      <c r="G576" s="66"/>
      <c r="H576" s="66"/>
      <c r="I576" s="66"/>
      <c r="J576" s="66"/>
      <c r="K576" s="66"/>
      <c r="L576" s="66"/>
      <c r="M576" s="66"/>
      <c r="N576" s="66"/>
    </row>
    <row r="577" spans="1:14" x14ac:dyDescent="0.2">
      <c r="A577" s="84"/>
      <c r="B577" s="84"/>
      <c r="C577" s="60"/>
      <c r="D577" s="66"/>
      <c r="E577" s="66"/>
      <c r="F577" s="66"/>
      <c r="G577" s="66"/>
      <c r="H577" s="66"/>
      <c r="I577" s="66"/>
      <c r="J577" s="66"/>
      <c r="K577" s="66"/>
      <c r="L577" s="66"/>
      <c r="M577" s="66"/>
      <c r="N577" s="66"/>
    </row>
    <row r="578" spans="1:14" x14ac:dyDescent="0.2">
      <c r="A578" s="84"/>
      <c r="B578" s="84"/>
      <c r="C578" s="60"/>
      <c r="D578" s="66"/>
      <c r="E578" s="66"/>
      <c r="F578" s="66"/>
      <c r="G578" s="66"/>
      <c r="H578" s="66"/>
      <c r="I578" s="66"/>
      <c r="J578" s="66"/>
      <c r="K578" s="66"/>
      <c r="L578" s="66"/>
      <c r="M578" s="66"/>
      <c r="N578" s="66"/>
    </row>
    <row r="579" spans="1:14" x14ac:dyDescent="0.2">
      <c r="A579" s="84"/>
      <c r="B579" s="84"/>
      <c r="C579" s="60"/>
      <c r="D579" s="66"/>
      <c r="E579" s="66"/>
      <c r="F579" s="66"/>
      <c r="G579" s="66"/>
      <c r="H579" s="66"/>
      <c r="I579" s="66"/>
      <c r="J579" s="66"/>
      <c r="K579" s="66"/>
      <c r="L579" s="66"/>
      <c r="M579" s="66"/>
      <c r="N579" s="66"/>
    </row>
    <row r="580" spans="1:14" x14ac:dyDescent="0.2">
      <c r="A580" s="84"/>
      <c r="B580" s="84"/>
      <c r="C580" s="60"/>
      <c r="D580" s="66"/>
      <c r="E580" s="66"/>
      <c r="F580" s="66"/>
      <c r="G580" s="66"/>
      <c r="H580" s="66"/>
      <c r="I580" s="66"/>
      <c r="J580" s="66"/>
      <c r="K580" s="66"/>
      <c r="L580" s="66"/>
      <c r="M580" s="66"/>
      <c r="N580" s="66"/>
    </row>
    <row r="581" spans="1:14" x14ac:dyDescent="0.2">
      <c r="A581" s="84"/>
      <c r="B581" s="84"/>
      <c r="C581" s="60"/>
      <c r="D581" s="66"/>
      <c r="E581" s="66"/>
      <c r="F581" s="66"/>
      <c r="G581" s="66"/>
      <c r="H581" s="66"/>
      <c r="I581" s="66"/>
      <c r="J581" s="66"/>
      <c r="K581" s="66"/>
      <c r="L581" s="66"/>
      <c r="M581" s="66"/>
      <c r="N581" s="66"/>
    </row>
    <row r="582" spans="1:14" x14ac:dyDescent="0.2">
      <c r="A582" s="84"/>
      <c r="B582" s="84"/>
      <c r="C582" s="60"/>
      <c r="D582" s="66"/>
      <c r="E582" s="66"/>
      <c r="F582" s="66"/>
      <c r="G582" s="66"/>
      <c r="H582" s="66"/>
      <c r="I582" s="66"/>
      <c r="J582" s="66"/>
      <c r="K582" s="66"/>
      <c r="L582" s="66"/>
      <c r="M582" s="66"/>
      <c r="N582" s="66"/>
    </row>
    <row r="583" spans="1:14" x14ac:dyDescent="0.2">
      <c r="A583" s="84"/>
      <c r="B583" s="84"/>
      <c r="C583" s="60"/>
      <c r="D583" s="66"/>
      <c r="E583" s="66"/>
      <c r="F583" s="66"/>
      <c r="G583" s="66"/>
      <c r="H583" s="66"/>
      <c r="I583" s="66"/>
      <c r="J583" s="66"/>
      <c r="K583" s="66"/>
      <c r="L583" s="66"/>
      <c r="M583" s="66"/>
      <c r="N583" s="66"/>
    </row>
    <row r="584" spans="1:14" x14ac:dyDescent="0.2">
      <c r="A584" s="84"/>
      <c r="B584" s="84"/>
      <c r="C584" s="60"/>
      <c r="D584" s="66"/>
      <c r="E584" s="66"/>
      <c r="F584" s="66"/>
      <c r="G584" s="66"/>
      <c r="H584" s="66"/>
      <c r="I584" s="66"/>
      <c r="J584" s="66"/>
      <c r="K584" s="66"/>
      <c r="L584" s="66"/>
      <c r="M584" s="66"/>
      <c r="N584" s="66"/>
    </row>
    <row r="585" spans="1:14" x14ac:dyDescent="0.2">
      <c r="A585" s="84"/>
      <c r="B585" s="84"/>
      <c r="C585" s="60"/>
      <c r="D585" s="66"/>
      <c r="E585" s="66"/>
      <c r="F585" s="66"/>
      <c r="G585" s="66"/>
      <c r="H585" s="66"/>
      <c r="I585" s="66"/>
      <c r="J585" s="66"/>
      <c r="K585" s="66"/>
      <c r="L585" s="66"/>
      <c r="M585" s="66"/>
      <c r="N585" s="66"/>
    </row>
    <row r="586" spans="1:14" x14ac:dyDescent="0.2">
      <c r="A586" s="84"/>
      <c r="B586" s="84"/>
      <c r="C586" s="60"/>
      <c r="D586" s="66"/>
      <c r="E586" s="66"/>
      <c r="F586" s="66"/>
      <c r="G586" s="66"/>
      <c r="H586" s="66"/>
      <c r="I586" s="66"/>
      <c r="J586" s="66"/>
      <c r="K586" s="66"/>
      <c r="L586" s="66"/>
      <c r="M586" s="66"/>
      <c r="N586" s="66"/>
    </row>
    <row r="587" spans="1:14" x14ac:dyDescent="0.2">
      <c r="A587" s="84"/>
      <c r="B587" s="84"/>
      <c r="C587" s="60"/>
      <c r="D587" s="66"/>
      <c r="E587" s="66"/>
      <c r="F587" s="66"/>
      <c r="G587" s="66"/>
      <c r="H587" s="66"/>
      <c r="I587" s="66"/>
      <c r="J587" s="66"/>
      <c r="K587" s="66"/>
      <c r="L587" s="66"/>
      <c r="M587" s="66"/>
      <c r="N587" s="66"/>
    </row>
    <row r="588" spans="1:14" x14ac:dyDescent="0.2">
      <c r="A588" s="84"/>
      <c r="B588" s="84"/>
      <c r="C588" s="60"/>
      <c r="D588" s="66"/>
      <c r="E588" s="66"/>
      <c r="F588" s="66"/>
      <c r="G588" s="66"/>
      <c r="H588" s="66"/>
      <c r="I588" s="66"/>
      <c r="J588" s="66"/>
      <c r="K588" s="66"/>
      <c r="L588" s="66"/>
      <c r="M588" s="66"/>
      <c r="N588" s="66"/>
    </row>
    <row r="589" spans="1:14" x14ac:dyDescent="0.2">
      <c r="A589" s="84"/>
      <c r="B589" s="84"/>
      <c r="C589" s="60"/>
      <c r="D589" s="66"/>
      <c r="E589" s="66"/>
      <c r="F589" s="66"/>
      <c r="G589" s="66"/>
      <c r="H589" s="66"/>
      <c r="I589" s="66"/>
      <c r="J589" s="66"/>
      <c r="K589" s="66"/>
      <c r="L589" s="66"/>
      <c r="M589" s="66"/>
      <c r="N589" s="66"/>
    </row>
    <row r="590" spans="1:14" x14ac:dyDescent="0.2">
      <c r="A590" s="84"/>
      <c r="B590" s="84"/>
      <c r="C590" s="60"/>
      <c r="D590" s="66"/>
      <c r="E590" s="66"/>
      <c r="F590" s="66"/>
      <c r="G590" s="66"/>
      <c r="H590" s="66"/>
      <c r="I590" s="66"/>
      <c r="J590" s="66"/>
      <c r="K590" s="66"/>
      <c r="L590" s="66"/>
      <c r="M590" s="66"/>
      <c r="N590" s="66"/>
    </row>
    <row r="591" spans="1:14" x14ac:dyDescent="0.2">
      <c r="A591" s="84"/>
      <c r="B591" s="84"/>
      <c r="C591" s="60"/>
      <c r="D591" s="66"/>
      <c r="E591" s="66"/>
      <c r="F591" s="66"/>
      <c r="G591" s="66"/>
      <c r="H591" s="66"/>
      <c r="I591" s="66"/>
      <c r="J591" s="66"/>
      <c r="K591" s="66"/>
      <c r="L591" s="66"/>
      <c r="M591" s="66"/>
      <c r="N591" s="66"/>
    </row>
    <row r="592" spans="1:14" x14ac:dyDescent="0.2">
      <c r="A592" s="84"/>
      <c r="B592" s="84"/>
      <c r="C592" s="60"/>
      <c r="D592" s="66"/>
      <c r="E592" s="66"/>
      <c r="F592" s="66"/>
      <c r="G592" s="66"/>
      <c r="H592" s="66"/>
      <c r="I592" s="66"/>
      <c r="J592" s="66"/>
      <c r="K592" s="66"/>
      <c r="L592" s="66"/>
      <c r="M592" s="66"/>
      <c r="N592" s="66"/>
    </row>
    <row r="593" spans="1:14" x14ac:dyDescent="0.2">
      <c r="A593" s="84"/>
      <c r="B593" s="84"/>
      <c r="C593" s="60"/>
      <c r="D593" s="66"/>
      <c r="E593" s="66"/>
      <c r="F593" s="66"/>
      <c r="G593" s="66"/>
      <c r="H593" s="66"/>
      <c r="I593" s="66"/>
      <c r="J593" s="66"/>
      <c r="K593" s="66"/>
      <c r="L593" s="66"/>
      <c r="M593" s="66"/>
      <c r="N593" s="66"/>
    </row>
    <row r="594" spans="1:14" x14ac:dyDescent="0.2">
      <c r="A594" s="84"/>
      <c r="B594" s="84"/>
      <c r="C594" s="60"/>
      <c r="D594" s="66"/>
      <c r="E594" s="66"/>
      <c r="F594" s="66"/>
      <c r="G594" s="66"/>
      <c r="H594" s="66"/>
      <c r="I594" s="66"/>
      <c r="J594" s="66"/>
      <c r="K594" s="66"/>
      <c r="L594" s="66"/>
      <c r="M594" s="66"/>
      <c r="N594" s="66"/>
    </row>
    <row r="595" spans="1:14" x14ac:dyDescent="0.2">
      <c r="A595" s="84"/>
      <c r="B595" s="84"/>
      <c r="C595" s="60"/>
      <c r="D595" s="66"/>
      <c r="E595" s="66"/>
      <c r="F595" s="66"/>
      <c r="G595" s="66"/>
      <c r="H595" s="66"/>
      <c r="I595" s="66"/>
      <c r="J595" s="66"/>
      <c r="K595" s="66"/>
      <c r="L595" s="66"/>
      <c r="M595" s="66"/>
      <c r="N595" s="66"/>
    </row>
    <row r="596" spans="1:14" x14ac:dyDescent="0.2">
      <c r="A596" s="84"/>
      <c r="B596" s="84"/>
      <c r="C596" s="60"/>
      <c r="D596" s="66"/>
      <c r="E596" s="66"/>
      <c r="F596" s="66"/>
      <c r="G596" s="66"/>
      <c r="H596" s="66"/>
      <c r="I596" s="66"/>
      <c r="J596" s="66"/>
      <c r="K596" s="66"/>
      <c r="L596" s="66"/>
      <c r="M596" s="66"/>
      <c r="N596" s="66"/>
    </row>
    <row r="597" spans="1:14" x14ac:dyDescent="0.2">
      <c r="A597" s="84"/>
      <c r="B597" s="84"/>
      <c r="C597" s="60"/>
      <c r="D597" s="66"/>
      <c r="E597" s="66"/>
      <c r="F597" s="66"/>
      <c r="G597" s="66"/>
      <c r="H597" s="66"/>
      <c r="I597" s="66"/>
      <c r="J597" s="66"/>
      <c r="K597" s="66"/>
      <c r="L597" s="66"/>
      <c r="M597" s="66"/>
      <c r="N597" s="66"/>
    </row>
    <row r="598" spans="1:14" x14ac:dyDescent="0.2">
      <c r="A598" s="84"/>
      <c r="B598" s="84"/>
      <c r="C598" s="60"/>
      <c r="D598" s="66"/>
      <c r="E598" s="66"/>
      <c r="F598" s="66"/>
      <c r="G598" s="66"/>
      <c r="H598" s="66"/>
      <c r="I598" s="66"/>
      <c r="J598" s="66"/>
      <c r="K598" s="66"/>
      <c r="L598" s="66"/>
      <c r="M598" s="66"/>
      <c r="N598" s="66"/>
    </row>
    <row r="599" spans="1:14" x14ac:dyDescent="0.2">
      <c r="A599" s="84"/>
      <c r="B599" s="84"/>
      <c r="C599" s="60"/>
      <c r="D599" s="66"/>
      <c r="E599" s="66"/>
      <c r="F599" s="66"/>
      <c r="G599" s="66"/>
      <c r="H599" s="66"/>
      <c r="I599" s="66"/>
      <c r="J599" s="66"/>
      <c r="K599" s="66"/>
      <c r="L599" s="66"/>
      <c r="M599" s="66"/>
      <c r="N599" s="66"/>
    </row>
    <row r="600" spans="1:14" x14ac:dyDescent="0.2">
      <c r="A600" s="84"/>
      <c r="B600" s="84"/>
      <c r="C600" s="60"/>
      <c r="D600" s="66"/>
      <c r="E600" s="66"/>
      <c r="F600" s="66"/>
      <c r="G600" s="66"/>
      <c r="H600" s="66"/>
      <c r="I600" s="66"/>
      <c r="J600" s="66"/>
      <c r="K600" s="66"/>
      <c r="L600" s="66"/>
      <c r="M600" s="66"/>
      <c r="N600" s="66"/>
    </row>
    <row r="601" spans="1:14" x14ac:dyDescent="0.2">
      <c r="A601" s="84"/>
      <c r="B601" s="84"/>
      <c r="C601" s="60"/>
      <c r="D601" s="66"/>
      <c r="E601" s="66"/>
      <c r="F601" s="66"/>
      <c r="G601" s="66"/>
      <c r="H601" s="66"/>
      <c r="I601" s="66"/>
      <c r="J601" s="66"/>
      <c r="K601" s="66"/>
      <c r="L601" s="66"/>
      <c r="M601" s="66"/>
      <c r="N601" s="66"/>
    </row>
    <row r="602" spans="1:14" x14ac:dyDescent="0.2">
      <c r="A602" s="84"/>
      <c r="B602" s="84"/>
      <c r="C602" s="60"/>
      <c r="D602" s="66"/>
      <c r="E602" s="66"/>
      <c r="F602" s="66"/>
      <c r="G602" s="66"/>
      <c r="H602" s="66"/>
      <c r="I602" s="66"/>
      <c r="J602" s="66"/>
      <c r="K602" s="66"/>
      <c r="L602" s="66"/>
      <c r="M602" s="66"/>
      <c r="N602" s="66"/>
    </row>
    <row r="603" spans="1:14" x14ac:dyDescent="0.2">
      <c r="A603" s="84"/>
      <c r="B603" s="84"/>
      <c r="C603" s="60"/>
      <c r="D603" s="66"/>
      <c r="E603" s="66"/>
      <c r="F603" s="66"/>
      <c r="G603" s="66"/>
      <c r="H603" s="66"/>
      <c r="I603" s="66"/>
      <c r="J603" s="66"/>
      <c r="K603" s="66"/>
      <c r="L603" s="66"/>
      <c r="M603" s="66"/>
      <c r="N603" s="66"/>
    </row>
    <row r="604" spans="1:14" x14ac:dyDescent="0.2">
      <c r="A604" s="84"/>
      <c r="B604" s="84"/>
      <c r="C604" s="60"/>
      <c r="D604" s="66"/>
      <c r="E604" s="66"/>
      <c r="F604" s="66"/>
      <c r="G604" s="66"/>
      <c r="H604" s="66"/>
      <c r="I604" s="66"/>
      <c r="J604" s="66"/>
      <c r="K604" s="66"/>
      <c r="L604" s="66"/>
      <c r="M604" s="66"/>
      <c r="N604" s="66"/>
    </row>
    <row r="605" spans="1:14" x14ac:dyDescent="0.2">
      <c r="A605" s="84"/>
      <c r="B605" s="84"/>
      <c r="C605" s="60"/>
      <c r="D605" s="66"/>
      <c r="E605" s="66"/>
      <c r="F605" s="66"/>
      <c r="G605" s="66"/>
      <c r="H605" s="66"/>
      <c r="I605" s="66"/>
      <c r="J605" s="66"/>
      <c r="K605" s="66"/>
      <c r="L605" s="66"/>
      <c r="M605" s="66"/>
      <c r="N605" s="66"/>
    </row>
    <row r="606" spans="1:14" x14ac:dyDescent="0.2">
      <c r="A606" s="84"/>
      <c r="B606" s="84"/>
      <c r="C606" s="60"/>
      <c r="D606" s="66"/>
      <c r="E606" s="66"/>
      <c r="F606" s="66"/>
      <c r="G606" s="66"/>
      <c r="H606" s="66"/>
      <c r="I606" s="66"/>
      <c r="J606" s="66"/>
      <c r="K606" s="66"/>
      <c r="L606" s="66"/>
      <c r="M606" s="66"/>
      <c r="N606" s="66"/>
    </row>
    <row r="607" spans="1:14" x14ac:dyDescent="0.2">
      <c r="A607" s="84"/>
      <c r="B607" s="84"/>
      <c r="C607" s="60"/>
      <c r="D607" s="66"/>
      <c r="E607" s="66"/>
      <c r="F607" s="66"/>
      <c r="G607" s="66"/>
      <c r="H607" s="66"/>
      <c r="I607" s="66"/>
      <c r="J607" s="66"/>
      <c r="K607" s="66"/>
      <c r="L607" s="66"/>
      <c r="M607" s="66"/>
      <c r="N607" s="66"/>
    </row>
    <row r="608" spans="1:14" x14ac:dyDescent="0.2">
      <c r="A608" s="84"/>
      <c r="B608" s="84"/>
      <c r="C608" s="60"/>
      <c r="D608" s="66"/>
      <c r="E608" s="66"/>
      <c r="F608" s="66"/>
      <c r="G608" s="66"/>
      <c r="H608" s="66"/>
      <c r="I608" s="66"/>
      <c r="J608" s="66"/>
      <c r="K608" s="66"/>
      <c r="L608" s="66"/>
      <c r="M608" s="66"/>
      <c r="N608" s="66"/>
    </row>
    <row r="609" spans="1:14" x14ac:dyDescent="0.2">
      <c r="A609" s="84"/>
      <c r="B609" s="84"/>
      <c r="C609" s="60"/>
      <c r="D609" s="66"/>
      <c r="E609" s="66"/>
      <c r="F609" s="66"/>
      <c r="G609" s="66"/>
      <c r="H609" s="66"/>
      <c r="I609" s="66"/>
      <c r="J609" s="66"/>
      <c r="K609" s="66"/>
      <c r="L609" s="66"/>
      <c r="M609" s="66"/>
      <c r="N609" s="66"/>
    </row>
    <row r="610" spans="1:14" x14ac:dyDescent="0.2">
      <c r="A610" s="84"/>
      <c r="B610" s="84"/>
      <c r="C610" s="60"/>
      <c r="D610" s="66"/>
      <c r="E610" s="66"/>
      <c r="F610" s="66"/>
      <c r="G610" s="66"/>
      <c r="H610" s="66"/>
      <c r="I610" s="66"/>
      <c r="J610" s="66"/>
      <c r="K610" s="66"/>
      <c r="L610" s="66"/>
      <c r="M610" s="66"/>
      <c r="N610" s="66"/>
    </row>
    <row r="611" spans="1:14" x14ac:dyDescent="0.2">
      <c r="A611" s="84"/>
      <c r="B611" s="84"/>
      <c r="C611" s="60"/>
      <c r="D611" s="66"/>
      <c r="E611" s="66"/>
      <c r="F611" s="66"/>
      <c r="G611" s="66"/>
      <c r="H611" s="66"/>
      <c r="I611" s="66"/>
      <c r="J611" s="66"/>
      <c r="K611" s="66"/>
      <c r="L611" s="66"/>
      <c r="M611" s="66"/>
      <c r="N611" s="66"/>
    </row>
    <row r="612" spans="1:14" x14ac:dyDescent="0.2">
      <c r="A612" s="84"/>
      <c r="B612" s="84"/>
      <c r="C612" s="60"/>
      <c r="D612" s="66"/>
      <c r="E612" s="66"/>
      <c r="F612" s="66"/>
      <c r="G612" s="66"/>
      <c r="H612" s="66"/>
      <c r="I612" s="66"/>
      <c r="J612" s="66"/>
      <c r="K612" s="66"/>
      <c r="L612" s="66"/>
      <c r="M612" s="66"/>
      <c r="N612" s="66"/>
    </row>
    <row r="613" spans="1:14" x14ac:dyDescent="0.2">
      <c r="A613" s="84"/>
      <c r="B613" s="84"/>
      <c r="C613" s="60"/>
      <c r="D613" s="66"/>
      <c r="E613" s="66"/>
      <c r="F613" s="66"/>
      <c r="G613" s="66"/>
      <c r="H613" s="66"/>
      <c r="I613" s="66"/>
      <c r="J613" s="66"/>
      <c r="K613" s="66"/>
      <c r="L613" s="66"/>
      <c r="M613" s="66"/>
      <c r="N613" s="66"/>
    </row>
    <row r="614" spans="1:14" x14ac:dyDescent="0.2">
      <c r="A614" s="84"/>
      <c r="B614" s="84"/>
      <c r="C614" s="60"/>
      <c r="D614" s="66"/>
      <c r="E614" s="66"/>
      <c r="F614" s="66"/>
      <c r="G614" s="66"/>
      <c r="H614" s="66"/>
      <c r="I614" s="66"/>
      <c r="J614" s="66"/>
      <c r="K614" s="66"/>
      <c r="L614" s="66"/>
      <c r="M614" s="66"/>
      <c r="N614" s="66"/>
    </row>
    <row r="615" spans="1:14" x14ac:dyDescent="0.2">
      <c r="A615" s="84"/>
      <c r="B615" s="84"/>
      <c r="C615" s="60"/>
      <c r="D615" s="66"/>
      <c r="E615" s="66"/>
      <c r="F615" s="66"/>
      <c r="G615" s="66"/>
      <c r="H615" s="66"/>
      <c r="I615" s="66"/>
      <c r="J615" s="66"/>
      <c r="K615" s="66"/>
      <c r="L615" s="66"/>
      <c r="M615" s="66"/>
      <c r="N615" s="66"/>
    </row>
    <row r="616" spans="1:14" x14ac:dyDescent="0.2">
      <c r="A616" s="84"/>
      <c r="B616" s="84"/>
      <c r="C616" s="60"/>
      <c r="D616" s="66"/>
      <c r="E616" s="66"/>
      <c r="F616" s="66"/>
      <c r="G616" s="66"/>
      <c r="H616" s="66"/>
      <c r="I616" s="66"/>
      <c r="J616" s="66"/>
      <c r="K616" s="66"/>
      <c r="L616" s="66"/>
      <c r="M616" s="66"/>
      <c r="N616" s="66"/>
    </row>
    <row r="617" spans="1:14" x14ac:dyDescent="0.2">
      <c r="A617" s="84"/>
      <c r="B617" s="84"/>
      <c r="C617" s="60"/>
      <c r="D617" s="66"/>
      <c r="E617" s="66"/>
      <c r="F617" s="66"/>
      <c r="G617" s="66"/>
      <c r="H617" s="66"/>
      <c r="I617" s="66"/>
      <c r="J617" s="66"/>
      <c r="K617" s="66"/>
      <c r="L617" s="66"/>
      <c r="M617" s="66"/>
      <c r="N617" s="66"/>
    </row>
    <row r="618" spans="1:14" x14ac:dyDescent="0.2">
      <c r="A618" s="84"/>
      <c r="B618" s="84"/>
      <c r="C618" s="60"/>
      <c r="D618" s="66"/>
      <c r="E618" s="66"/>
      <c r="F618" s="66"/>
      <c r="G618" s="66"/>
      <c r="H618" s="66"/>
      <c r="I618" s="66"/>
      <c r="J618" s="66"/>
      <c r="K618" s="66"/>
      <c r="L618" s="66"/>
      <c r="M618" s="66"/>
      <c r="N618" s="66"/>
    </row>
    <row r="619" spans="1:14" x14ac:dyDescent="0.2">
      <c r="A619" s="84"/>
      <c r="B619" s="84"/>
      <c r="C619" s="60"/>
      <c r="D619" s="66"/>
      <c r="E619" s="66"/>
      <c r="F619" s="66"/>
      <c r="G619" s="66"/>
      <c r="H619" s="66"/>
      <c r="I619" s="66"/>
      <c r="J619" s="66"/>
      <c r="K619" s="66"/>
      <c r="L619" s="66"/>
      <c r="M619" s="66"/>
      <c r="N619" s="66"/>
    </row>
    <row r="620" spans="1:14" x14ac:dyDescent="0.2">
      <c r="A620" s="84"/>
      <c r="B620" s="84"/>
      <c r="C620" s="60"/>
      <c r="D620" s="66"/>
      <c r="E620" s="66"/>
      <c r="F620" s="66"/>
      <c r="G620" s="66"/>
      <c r="H620" s="66"/>
      <c r="I620" s="66"/>
      <c r="J620" s="66"/>
      <c r="K620" s="66"/>
      <c r="L620" s="66"/>
      <c r="M620" s="66"/>
      <c r="N620" s="66"/>
    </row>
    <row r="621" spans="1:14" x14ac:dyDescent="0.2">
      <c r="A621" s="84"/>
      <c r="B621" s="84"/>
      <c r="C621" s="60"/>
      <c r="D621" s="66"/>
      <c r="E621" s="66"/>
      <c r="F621" s="66"/>
      <c r="G621" s="66"/>
      <c r="H621" s="66"/>
      <c r="I621" s="66"/>
      <c r="J621" s="66"/>
      <c r="K621" s="66"/>
      <c r="L621" s="66"/>
      <c r="M621" s="66"/>
      <c r="N621" s="66"/>
    </row>
    <row r="622" spans="1:14" x14ac:dyDescent="0.2">
      <c r="A622" s="84"/>
      <c r="B622" s="84"/>
      <c r="C622" s="60"/>
      <c r="D622" s="66"/>
      <c r="E622" s="66"/>
      <c r="F622" s="66"/>
      <c r="G622" s="66"/>
      <c r="H622" s="66"/>
      <c r="I622" s="66"/>
      <c r="J622" s="66"/>
      <c r="K622" s="66"/>
      <c r="L622" s="66"/>
      <c r="M622" s="66"/>
      <c r="N622" s="66"/>
    </row>
    <row r="623" spans="1:14" x14ac:dyDescent="0.2">
      <c r="A623" s="84"/>
      <c r="B623" s="84"/>
      <c r="C623" s="60"/>
      <c r="D623" s="66"/>
      <c r="E623" s="66"/>
      <c r="F623" s="66"/>
      <c r="G623" s="66"/>
      <c r="H623" s="66"/>
      <c r="I623" s="66"/>
      <c r="J623" s="66"/>
      <c r="K623" s="66"/>
      <c r="L623" s="66"/>
      <c r="M623" s="66"/>
      <c r="N623" s="66"/>
    </row>
    <row r="624" spans="1:14" x14ac:dyDescent="0.2">
      <c r="A624" s="84"/>
      <c r="B624" s="84"/>
      <c r="C624" s="60"/>
      <c r="D624" s="66"/>
      <c r="E624" s="66"/>
      <c r="F624" s="66"/>
      <c r="G624" s="66"/>
      <c r="H624" s="66"/>
      <c r="I624" s="66"/>
      <c r="J624" s="66"/>
      <c r="K624" s="66"/>
      <c r="L624" s="66"/>
      <c r="M624" s="66"/>
      <c r="N624" s="66"/>
    </row>
    <row r="625" spans="1:14" x14ac:dyDescent="0.2">
      <c r="A625" s="84"/>
      <c r="B625" s="84"/>
      <c r="C625" s="60"/>
      <c r="D625" s="66"/>
      <c r="E625" s="66"/>
      <c r="F625" s="66"/>
      <c r="G625" s="66"/>
      <c r="H625" s="66"/>
      <c r="I625" s="66"/>
      <c r="J625" s="66"/>
      <c r="K625" s="66"/>
      <c r="L625" s="66"/>
      <c r="M625" s="66"/>
      <c r="N625" s="66"/>
    </row>
    <row r="626" spans="1:14" x14ac:dyDescent="0.2">
      <c r="A626" s="84"/>
      <c r="B626" s="84"/>
      <c r="C626" s="60"/>
      <c r="D626" s="66"/>
      <c r="E626" s="66"/>
      <c r="F626" s="66"/>
      <c r="G626" s="66"/>
      <c r="H626" s="66"/>
      <c r="I626" s="66"/>
      <c r="J626" s="66"/>
      <c r="K626" s="66"/>
      <c r="L626" s="66"/>
      <c r="M626" s="66"/>
      <c r="N626" s="66"/>
    </row>
    <row r="627" spans="1:14" x14ac:dyDescent="0.2">
      <c r="A627" s="84"/>
      <c r="B627" s="84"/>
      <c r="C627" s="60"/>
      <c r="D627" s="66"/>
      <c r="E627" s="66"/>
      <c r="F627" s="66"/>
      <c r="G627" s="66"/>
      <c r="H627" s="66"/>
      <c r="I627" s="66"/>
      <c r="J627" s="66"/>
      <c r="K627" s="66"/>
      <c r="L627" s="66"/>
      <c r="M627" s="66"/>
      <c r="N627" s="66"/>
    </row>
    <row r="628" spans="1:14" x14ac:dyDescent="0.2">
      <c r="A628" s="84"/>
      <c r="B628" s="84"/>
      <c r="C628" s="60"/>
      <c r="D628" s="66"/>
      <c r="E628" s="66"/>
      <c r="F628" s="66"/>
      <c r="G628" s="66"/>
      <c r="H628" s="66"/>
      <c r="I628" s="66"/>
      <c r="J628" s="66"/>
      <c r="K628" s="66"/>
      <c r="L628" s="66"/>
      <c r="M628" s="66"/>
      <c r="N628" s="66"/>
    </row>
    <row r="629" spans="1:14" x14ac:dyDescent="0.2">
      <c r="A629" s="84"/>
      <c r="B629" s="84"/>
      <c r="C629" s="60"/>
      <c r="D629" s="66"/>
      <c r="E629" s="66"/>
      <c r="F629" s="66"/>
      <c r="G629" s="66"/>
      <c r="H629" s="66"/>
      <c r="I629" s="66"/>
      <c r="J629" s="66"/>
      <c r="K629" s="66"/>
      <c r="L629" s="66"/>
      <c r="M629" s="66"/>
      <c r="N629" s="66"/>
    </row>
    <row r="630" spans="1:14" x14ac:dyDescent="0.2">
      <c r="A630" s="84"/>
      <c r="B630" s="84"/>
      <c r="C630" s="60"/>
      <c r="D630" s="66"/>
      <c r="E630" s="66"/>
      <c r="F630" s="66"/>
      <c r="G630" s="66"/>
      <c r="H630" s="66"/>
      <c r="I630" s="66"/>
      <c r="J630" s="66"/>
      <c r="K630" s="66"/>
      <c r="L630" s="66"/>
      <c r="M630" s="66"/>
      <c r="N630" s="66"/>
    </row>
    <row r="631" spans="1:14" x14ac:dyDescent="0.2">
      <c r="A631" s="84"/>
      <c r="B631" s="84"/>
      <c r="C631" s="60"/>
      <c r="D631" s="66"/>
      <c r="E631" s="66"/>
      <c r="F631" s="66"/>
      <c r="G631" s="66"/>
      <c r="H631" s="66"/>
      <c r="I631" s="66"/>
      <c r="J631" s="66"/>
      <c r="K631" s="66"/>
      <c r="L631" s="66"/>
      <c r="M631" s="66"/>
      <c r="N631" s="66"/>
    </row>
    <row r="632" spans="1:14" x14ac:dyDescent="0.2">
      <c r="A632" s="84"/>
      <c r="B632" s="84"/>
      <c r="C632" s="60"/>
      <c r="D632" s="66"/>
      <c r="E632" s="66"/>
      <c r="F632" s="66"/>
      <c r="G632" s="66"/>
      <c r="H632" s="66"/>
      <c r="I632" s="66"/>
      <c r="J632" s="66"/>
      <c r="K632" s="66"/>
      <c r="L632" s="66"/>
      <c r="M632" s="66"/>
      <c r="N632" s="66"/>
    </row>
    <row r="633" spans="1:14" x14ac:dyDescent="0.2">
      <c r="A633" s="84"/>
      <c r="B633" s="84"/>
      <c r="C633" s="60"/>
      <c r="D633" s="66"/>
      <c r="E633" s="66"/>
      <c r="F633" s="66"/>
      <c r="G633" s="66"/>
      <c r="H633" s="66"/>
      <c r="I633" s="66"/>
      <c r="J633" s="66"/>
      <c r="K633" s="66"/>
      <c r="L633" s="66"/>
      <c r="M633" s="66"/>
      <c r="N633" s="66"/>
    </row>
    <row r="634" spans="1:14" x14ac:dyDescent="0.2">
      <c r="A634" s="84"/>
      <c r="B634" s="84"/>
      <c r="C634" s="60"/>
      <c r="D634" s="66"/>
      <c r="E634" s="66"/>
      <c r="F634" s="66"/>
      <c r="G634" s="66"/>
      <c r="H634" s="66"/>
      <c r="I634" s="66"/>
      <c r="J634" s="66"/>
      <c r="K634" s="66"/>
      <c r="L634" s="66"/>
      <c r="M634" s="66"/>
      <c r="N634" s="66"/>
    </row>
    <row r="635" spans="1:14" x14ac:dyDescent="0.2">
      <c r="A635" s="84"/>
      <c r="B635" s="84"/>
      <c r="C635" s="60"/>
      <c r="D635" s="66"/>
      <c r="E635" s="66"/>
      <c r="F635" s="66"/>
      <c r="G635" s="66"/>
      <c r="H635" s="66"/>
      <c r="I635" s="66"/>
      <c r="J635" s="66"/>
      <c r="K635" s="66"/>
      <c r="L635" s="66"/>
      <c r="M635" s="66"/>
      <c r="N635" s="66"/>
    </row>
    <row r="636" spans="1:14" x14ac:dyDescent="0.2">
      <c r="A636" s="84"/>
      <c r="B636" s="84"/>
      <c r="C636" s="60"/>
      <c r="D636" s="66"/>
      <c r="E636" s="66"/>
      <c r="F636" s="66"/>
      <c r="G636" s="66"/>
      <c r="H636" s="66"/>
      <c r="I636" s="66"/>
      <c r="J636" s="66"/>
      <c r="K636" s="66"/>
      <c r="L636" s="66"/>
      <c r="M636" s="66"/>
      <c r="N636" s="66"/>
    </row>
    <row r="637" spans="1:14" x14ac:dyDescent="0.2">
      <c r="A637" s="84"/>
      <c r="B637" s="84"/>
      <c r="C637" s="60"/>
      <c r="D637" s="66"/>
      <c r="E637" s="66"/>
      <c r="F637" s="66"/>
      <c r="G637" s="66"/>
      <c r="H637" s="66"/>
      <c r="I637" s="66"/>
      <c r="J637" s="66"/>
      <c r="K637" s="66"/>
      <c r="L637" s="66"/>
      <c r="M637" s="66"/>
      <c r="N637" s="66"/>
    </row>
    <row r="638" spans="1:14" x14ac:dyDescent="0.2">
      <c r="A638" s="84"/>
      <c r="B638" s="84"/>
      <c r="C638" s="60"/>
      <c r="D638" s="66"/>
      <c r="E638" s="66"/>
      <c r="F638" s="66"/>
      <c r="G638" s="66"/>
      <c r="H638" s="66"/>
      <c r="I638" s="66"/>
      <c r="J638" s="66"/>
      <c r="K638" s="66"/>
      <c r="L638" s="66"/>
      <c r="M638" s="66"/>
      <c r="N638" s="66"/>
    </row>
    <row r="639" spans="1:14" x14ac:dyDescent="0.2">
      <c r="A639" s="84"/>
      <c r="B639" s="84"/>
      <c r="C639" s="60"/>
      <c r="D639" s="66"/>
      <c r="E639" s="66"/>
      <c r="F639" s="66"/>
      <c r="G639" s="66"/>
      <c r="H639" s="66"/>
      <c r="I639" s="66"/>
      <c r="J639" s="66"/>
      <c r="K639" s="66"/>
      <c r="L639" s="66"/>
      <c r="M639" s="66"/>
      <c r="N639" s="66"/>
    </row>
    <row r="640" spans="1:14" x14ac:dyDescent="0.2">
      <c r="A640" s="84"/>
      <c r="B640" s="84"/>
      <c r="C640" s="60"/>
      <c r="D640" s="66"/>
      <c r="E640" s="66"/>
      <c r="F640" s="66"/>
      <c r="G640" s="66"/>
      <c r="H640" s="66"/>
      <c r="I640" s="66"/>
      <c r="J640" s="66"/>
      <c r="K640" s="66"/>
      <c r="L640" s="66"/>
      <c r="M640" s="66"/>
      <c r="N640" s="66"/>
    </row>
    <row r="641" spans="1:14" x14ac:dyDescent="0.2">
      <c r="A641" s="84"/>
      <c r="B641" s="84"/>
      <c r="C641" s="60"/>
      <c r="D641" s="66"/>
      <c r="E641" s="66"/>
      <c r="F641" s="66"/>
      <c r="G641" s="66"/>
      <c r="H641" s="66"/>
      <c r="I641" s="66"/>
      <c r="J641" s="66"/>
      <c r="K641" s="66"/>
      <c r="L641" s="66"/>
      <c r="M641" s="66"/>
      <c r="N641" s="66"/>
    </row>
    <row r="642" spans="1:14" x14ac:dyDescent="0.2">
      <c r="A642" s="84"/>
      <c r="B642" s="84"/>
      <c r="C642" s="60"/>
      <c r="D642" s="66"/>
      <c r="E642" s="66"/>
      <c r="F642" s="66"/>
      <c r="G642" s="66"/>
      <c r="H642" s="66"/>
      <c r="I642" s="66"/>
      <c r="J642" s="66"/>
      <c r="K642" s="66"/>
      <c r="L642" s="66"/>
      <c r="M642" s="66"/>
      <c r="N642" s="66"/>
    </row>
    <row r="643" spans="1:14" x14ac:dyDescent="0.2">
      <c r="A643" s="84"/>
      <c r="B643" s="84"/>
      <c r="C643" s="60"/>
      <c r="D643" s="66"/>
      <c r="E643" s="66"/>
      <c r="F643" s="66"/>
      <c r="G643" s="66"/>
      <c r="H643" s="66"/>
      <c r="I643" s="66"/>
      <c r="J643" s="66"/>
      <c r="K643" s="66"/>
      <c r="L643" s="66"/>
      <c r="M643" s="66"/>
      <c r="N643" s="66"/>
    </row>
    <row r="644" spans="1:14" x14ac:dyDescent="0.2">
      <c r="A644" s="84"/>
      <c r="B644" s="84"/>
      <c r="C644" s="60"/>
      <c r="D644" s="66"/>
      <c r="E644" s="66"/>
      <c r="F644" s="66"/>
      <c r="G644" s="66"/>
      <c r="H644" s="66"/>
      <c r="I644" s="66"/>
      <c r="J644" s="66"/>
      <c r="K644" s="66"/>
      <c r="L644" s="66"/>
      <c r="M644" s="66"/>
      <c r="N644" s="66"/>
    </row>
    <row r="645" spans="1:14" x14ac:dyDescent="0.2">
      <c r="A645" s="84"/>
      <c r="B645" s="84"/>
      <c r="C645" s="60"/>
      <c r="D645" s="66"/>
      <c r="E645" s="66"/>
      <c r="F645" s="66"/>
      <c r="G645" s="66"/>
      <c r="H645" s="66"/>
      <c r="I645" s="66"/>
      <c r="J645" s="66"/>
      <c r="K645" s="66"/>
      <c r="L645" s="66"/>
      <c r="M645" s="66"/>
      <c r="N645" s="66"/>
    </row>
    <row r="646" spans="1:14" x14ac:dyDescent="0.2">
      <c r="A646" s="84"/>
      <c r="B646" s="84"/>
      <c r="C646" s="60"/>
      <c r="D646" s="66"/>
      <c r="E646" s="66"/>
      <c r="F646" s="66"/>
      <c r="G646" s="66"/>
      <c r="H646" s="66"/>
      <c r="I646" s="66"/>
      <c r="J646" s="66"/>
      <c r="K646" s="66"/>
      <c r="L646" s="66"/>
      <c r="M646" s="66"/>
      <c r="N646" s="66"/>
    </row>
    <row r="647" spans="1:14" x14ac:dyDescent="0.2">
      <c r="A647" s="84"/>
      <c r="B647" s="84"/>
      <c r="C647" s="60"/>
      <c r="D647" s="66"/>
      <c r="E647" s="66"/>
      <c r="F647" s="66"/>
      <c r="G647" s="66"/>
      <c r="H647" s="66"/>
      <c r="I647" s="66"/>
      <c r="J647" s="66"/>
      <c r="K647" s="66"/>
      <c r="L647" s="66"/>
      <c r="M647" s="66"/>
      <c r="N647" s="66"/>
    </row>
    <row r="648" spans="1:14" x14ac:dyDescent="0.2">
      <c r="A648" s="84"/>
      <c r="B648" s="84"/>
      <c r="C648" s="60"/>
      <c r="D648" s="66"/>
      <c r="E648" s="66"/>
      <c r="F648" s="66"/>
      <c r="G648" s="66"/>
      <c r="H648" s="66"/>
      <c r="I648" s="66"/>
      <c r="J648" s="66"/>
      <c r="K648" s="66"/>
      <c r="L648" s="66"/>
      <c r="M648" s="66"/>
      <c r="N648" s="66"/>
    </row>
    <row r="649" spans="1:14" x14ac:dyDescent="0.2">
      <c r="A649" s="84"/>
      <c r="B649" s="84"/>
      <c r="C649" s="60"/>
      <c r="D649" s="66"/>
      <c r="E649" s="66"/>
      <c r="F649" s="66"/>
      <c r="G649" s="66"/>
      <c r="H649" s="66"/>
      <c r="I649" s="66"/>
      <c r="J649" s="66"/>
      <c r="K649" s="66"/>
      <c r="L649" s="66"/>
      <c r="M649" s="66"/>
      <c r="N649" s="66"/>
    </row>
    <row r="650" spans="1:14" x14ac:dyDescent="0.2">
      <c r="A650" s="84"/>
      <c r="B650" s="84"/>
      <c r="C650" s="60"/>
      <c r="D650" s="66"/>
      <c r="E650" s="66"/>
      <c r="F650" s="66"/>
      <c r="G650" s="66"/>
      <c r="H650" s="66"/>
      <c r="I650" s="66"/>
      <c r="J650" s="66"/>
      <c r="K650" s="66"/>
      <c r="L650" s="66"/>
      <c r="M650" s="66"/>
      <c r="N650" s="66"/>
    </row>
    <row r="651" spans="1:14" x14ac:dyDescent="0.2">
      <c r="A651" s="84"/>
      <c r="B651" s="84"/>
      <c r="C651" s="60"/>
      <c r="D651" s="66"/>
      <c r="E651" s="66"/>
      <c r="F651" s="66"/>
      <c r="G651" s="66"/>
      <c r="H651" s="66"/>
      <c r="I651" s="66"/>
      <c r="J651" s="66"/>
      <c r="K651" s="66"/>
      <c r="L651" s="66"/>
      <c r="M651" s="66"/>
      <c r="N651" s="66"/>
    </row>
    <row r="652" spans="1:14" x14ac:dyDescent="0.2">
      <c r="A652" s="84"/>
      <c r="B652" s="84"/>
      <c r="C652" s="60"/>
      <c r="D652" s="66"/>
      <c r="E652" s="66"/>
      <c r="F652" s="66"/>
      <c r="G652" s="66"/>
      <c r="H652" s="66"/>
      <c r="I652" s="66"/>
      <c r="J652" s="66"/>
      <c r="K652" s="66"/>
      <c r="L652" s="66"/>
      <c r="M652" s="66"/>
      <c r="N652" s="66"/>
    </row>
    <row r="653" spans="1:14" x14ac:dyDescent="0.2">
      <c r="A653" s="84"/>
      <c r="B653" s="84"/>
      <c r="C653" s="60"/>
      <c r="D653" s="66"/>
      <c r="E653" s="66"/>
      <c r="F653" s="66"/>
      <c r="G653" s="66"/>
      <c r="H653" s="66"/>
      <c r="I653" s="66"/>
      <c r="J653" s="66"/>
      <c r="K653" s="66"/>
      <c r="L653" s="66"/>
      <c r="M653" s="66"/>
      <c r="N653" s="66"/>
    </row>
    <row r="654" spans="1:14" x14ac:dyDescent="0.2">
      <c r="A654" s="84"/>
      <c r="B654" s="84"/>
      <c r="C654" s="60"/>
      <c r="D654" s="66"/>
      <c r="E654" s="66"/>
      <c r="F654" s="66"/>
      <c r="G654" s="66"/>
      <c r="H654" s="66"/>
      <c r="I654" s="66"/>
      <c r="J654" s="66"/>
      <c r="K654" s="66"/>
      <c r="L654" s="66"/>
      <c r="M654" s="66"/>
      <c r="N654" s="66"/>
    </row>
    <row r="655" spans="1:14" x14ac:dyDescent="0.2">
      <c r="A655" s="84"/>
      <c r="B655" s="84"/>
      <c r="C655" s="60"/>
      <c r="D655" s="66"/>
      <c r="E655" s="66"/>
      <c r="F655" s="66"/>
      <c r="G655" s="66"/>
      <c r="H655" s="66"/>
      <c r="I655" s="66"/>
      <c r="J655" s="66"/>
      <c r="K655" s="66"/>
      <c r="L655" s="66"/>
      <c r="M655" s="66"/>
      <c r="N655" s="66"/>
    </row>
    <row r="656" spans="1:14" x14ac:dyDescent="0.2">
      <c r="A656" s="84"/>
      <c r="B656" s="84"/>
      <c r="C656" s="60"/>
      <c r="D656" s="66"/>
      <c r="E656" s="66"/>
      <c r="F656" s="66"/>
      <c r="G656" s="66"/>
      <c r="H656" s="66"/>
      <c r="I656" s="66"/>
      <c r="J656" s="66"/>
      <c r="K656" s="66"/>
      <c r="L656" s="66"/>
      <c r="M656" s="66"/>
      <c r="N656" s="66"/>
    </row>
    <row r="657" spans="1:14" x14ac:dyDescent="0.2">
      <c r="A657" s="84"/>
      <c r="B657" s="84"/>
      <c r="C657" s="60"/>
      <c r="D657" s="66"/>
      <c r="E657" s="66"/>
      <c r="F657" s="66"/>
      <c r="G657" s="66"/>
      <c r="H657" s="66"/>
      <c r="I657" s="66"/>
      <c r="J657" s="66"/>
      <c r="K657" s="66"/>
      <c r="L657" s="66"/>
      <c r="M657" s="66"/>
      <c r="N657" s="66"/>
    </row>
    <row r="658" spans="1:14" x14ac:dyDescent="0.2">
      <c r="A658" s="84"/>
      <c r="B658" s="84"/>
      <c r="C658" s="60"/>
      <c r="D658" s="66"/>
      <c r="E658" s="66"/>
      <c r="F658" s="66"/>
      <c r="G658" s="66"/>
      <c r="H658" s="66"/>
      <c r="I658" s="66"/>
      <c r="J658" s="66"/>
      <c r="K658" s="66"/>
      <c r="L658" s="66"/>
      <c r="M658" s="66"/>
      <c r="N658" s="66"/>
    </row>
    <row r="659" spans="1:14" x14ac:dyDescent="0.2">
      <c r="A659" s="84"/>
      <c r="B659" s="84"/>
      <c r="C659" s="60"/>
      <c r="D659" s="66"/>
      <c r="E659" s="66"/>
      <c r="F659" s="66"/>
      <c r="G659" s="66"/>
      <c r="H659" s="66"/>
      <c r="I659" s="66"/>
      <c r="J659" s="66"/>
      <c r="K659" s="66"/>
      <c r="L659" s="66"/>
      <c r="M659" s="66"/>
      <c r="N659" s="66"/>
    </row>
    <row r="660" spans="1:14" x14ac:dyDescent="0.2">
      <c r="A660" s="84"/>
      <c r="B660" s="84"/>
      <c r="C660" s="60"/>
      <c r="D660" s="66"/>
      <c r="E660" s="66"/>
      <c r="F660" s="66"/>
      <c r="G660" s="66"/>
      <c r="H660" s="66"/>
      <c r="I660" s="66"/>
      <c r="J660" s="66"/>
      <c r="K660" s="66"/>
      <c r="L660" s="66"/>
      <c r="M660" s="66"/>
      <c r="N660" s="66"/>
    </row>
    <row r="661" spans="1:14" x14ac:dyDescent="0.2">
      <c r="A661" s="84"/>
      <c r="B661" s="84"/>
      <c r="C661" s="60"/>
      <c r="D661" s="66"/>
      <c r="E661" s="66"/>
      <c r="F661" s="66"/>
      <c r="G661" s="66"/>
      <c r="H661" s="66"/>
      <c r="I661" s="66"/>
      <c r="J661" s="66"/>
      <c r="K661" s="66"/>
      <c r="L661" s="66"/>
      <c r="M661" s="66"/>
      <c r="N661" s="66"/>
    </row>
    <row r="662" spans="1:14" x14ac:dyDescent="0.2">
      <c r="A662" s="84"/>
      <c r="B662" s="84"/>
      <c r="C662" s="60"/>
      <c r="D662" s="66"/>
      <c r="E662" s="66"/>
      <c r="F662" s="66"/>
      <c r="G662" s="66"/>
      <c r="H662" s="66"/>
      <c r="I662" s="66"/>
      <c r="J662" s="66"/>
      <c r="K662" s="66"/>
      <c r="L662" s="66"/>
      <c r="M662" s="66"/>
      <c r="N662" s="66"/>
    </row>
    <row r="663" spans="1:14" x14ac:dyDescent="0.2">
      <c r="A663" s="84"/>
      <c r="B663" s="84"/>
      <c r="C663" s="60"/>
      <c r="D663" s="66"/>
      <c r="E663" s="66"/>
      <c r="F663" s="66"/>
      <c r="G663" s="66"/>
      <c r="H663" s="66"/>
      <c r="I663" s="66"/>
      <c r="J663" s="66"/>
      <c r="K663" s="66"/>
      <c r="L663" s="66"/>
      <c r="M663" s="66"/>
      <c r="N663" s="66"/>
    </row>
    <row r="664" spans="1:14" x14ac:dyDescent="0.2">
      <c r="A664" s="84"/>
      <c r="B664" s="84"/>
      <c r="C664" s="60"/>
      <c r="D664" s="66"/>
      <c r="E664" s="66"/>
      <c r="F664" s="66"/>
      <c r="G664" s="66"/>
      <c r="H664" s="66"/>
      <c r="I664" s="66"/>
      <c r="J664" s="66"/>
      <c r="K664" s="66"/>
      <c r="L664" s="66"/>
      <c r="M664" s="66"/>
      <c r="N664" s="66"/>
    </row>
    <row r="665" spans="1:14" x14ac:dyDescent="0.2">
      <c r="A665" s="84"/>
      <c r="B665" s="84"/>
      <c r="C665" s="60"/>
      <c r="D665" s="66"/>
      <c r="E665" s="66"/>
      <c r="F665" s="66"/>
      <c r="G665" s="66"/>
      <c r="H665" s="66"/>
      <c r="I665" s="66"/>
      <c r="J665" s="66"/>
      <c r="K665" s="66"/>
      <c r="L665" s="66"/>
      <c r="M665" s="66"/>
      <c r="N665" s="66"/>
    </row>
    <row r="666" spans="1:14" x14ac:dyDescent="0.2">
      <c r="A666" s="84"/>
      <c r="B666" s="84"/>
      <c r="C666" s="60"/>
      <c r="D666" s="66"/>
      <c r="E666" s="66"/>
      <c r="F666" s="66"/>
      <c r="G666" s="66"/>
      <c r="H666" s="66"/>
      <c r="I666" s="66"/>
      <c r="J666" s="66"/>
      <c r="K666" s="66"/>
      <c r="L666" s="66"/>
      <c r="M666" s="66"/>
      <c r="N666" s="66"/>
    </row>
    <row r="667" spans="1:14" x14ac:dyDescent="0.2">
      <c r="A667" s="84"/>
      <c r="B667" s="84"/>
      <c r="C667" s="60"/>
      <c r="D667" s="66"/>
      <c r="E667" s="66"/>
      <c r="F667" s="66"/>
      <c r="G667" s="66"/>
      <c r="H667" s="66"/>
      <c r="I667" s="66"/>
      <c r="J667" s="66"/>
      <c r="K667" s="66"/>
      <c r="L667" s="66"/>
      <c r="M667" s="66"/>
      <c r="N667" s="66"/>
    </row>
    <row r="668" spans="1:14" x14ac:dyDescent="0.2">
      <c r="A668" s="84"/>
      <c r="B668" s="84"/>
      <c r="C668" s="60"/>
      <c r="D668" s="66"/>
      <c r="E668" s="66"/>
      <c r="F668" s="66"/>
      <c r="G668" s="66"/>
      <c r="H668" s="66"/>
      <c r="I668" s="66"/>
      <c r="J668" s="66"/>
      <c r="K668" s="66"/>
      <c r="L668" s="66"/>
      <c r="M668" s="66"/>
      <c r="N668" s="66"/>
    </row>
    <row r="669" spans="1:14" x14ac:dyDescent="0.2">
      <c r="A669" s="84"/>
      <c r="B669" s="84"/>
      <c r="C669" s="60"/>
      <c r="D669" s="66"/>
      <c r="E669" s="66"/>
      <c r="F669" s="66"/>
      <c r="G669" s="66"/>
      <c r="H669" s="66"/>
      <c r="I669" s="66"/>
      <c r="J669" s="66"/>
      <c r="K669" s="66"/>
      <c r="L669" s="66"/>
      <c r="M669" s="66"/>
      <c r="N669" s="66"/>
    </row>
    <row r="670" spans="1:14" x14ac:dyDescent="0.2">
      <c r="A670" s="84"/>
      <c r="B670" s="84"/>
      <c r="C670" s="60"/>
      <c r="D670" s="66"/>
      <c r="E670" s="66"/>
      <c r="F670" s="66"/>
      <c r="G670" s="66"/>
      <c r="H670" s="66"/>
      <c r="I670" s="66"/>
      <c r="J670" s="66"/>
      <c r="K670" s="66"/>
      <c r="L670" s="66"/>
      <c r="M670" s="66"/>
      <c r="N670" s="66"/>
    </row>
    <row r="671" spans="1:14" x14ac:dyDescent="0.2">
      <c r="A671" s="84"/>
      <c r="B671" s="84"/>
      <c r="C671" s="60"/>
      <c r="D671" s="66"/>
      <c r="E671" s="66"/>
      <c r="F671" s="66"/>
      <c r="G671" s="66"/>
      <c r="H671" s="66"/>
      <c r="I671" s="66"/>
      <c r="J671" s="66"/>
      <c r="K671" s="66"/>
      <c r="L671" s="66"/>
      <c r="M671" s="66"/>
      <c r="N671" s="66"/>
    </row>
    <row r="672" spans="1:14" x14ac:dyDescent="0.2">
      <c r="A672" s="84"/>
      <c r="B672" s="84"/>
      <c r="C672" s="60"/>
      <c r="D672" s="66"/>
      <c r="E672" s="66"/>
      <c r="F672" s="66"/>
      <c r="G672" s="66"/>
      <c r="H672" s="66"/>
      <c r="I672" s="66"/>
      <c r="J672" s="66"/>
      <c r="K672" s="66"/>
      <c r="L672" s="66"/>
      <c r="M672" s="66"/>
      <c r="N672" s="66"/>
    </row>
    <row r="673" spans="1:14" x14ac:dyDescent="0.2">
      <c r="A673" s="84"/>
      <c r="B673" s="84"/>
      <c r="C673" s="60"/>
      <c r="D673" s="66"/>
      <c r="E673" s="66"/>
      <c r="F673" s="66"/>
      <c r="G673" s="66"/>
      <c r="H673" s="66"/>
      <c r="I673" s="66"/>
      <c r="J673" s="66"/>
      <c r="K673" s="66"/>
      <c r="L673" s="66"/>
      <c r="M673" s="66"/>
      <c r="N673" s="66"/>
    </row>
    <row r="674" spans="1:14" x14ac:dyDescent="0.2">
      <c r="A674" s="84"/>
      <c r="B674" s="84"/>
      <c r="C674" s="60"/>
      <c r="D674" s="66"/>
      <c r="E674" s="66"/>
      <c r="F674" s="66"/>
      <c r="G674" s="66"/>
      <c r="H674" s="66"/>
      <c r="I674" s="66"/>
      <c r="J674" s="66"/>
      <c r="K674" s="66"/>
      <c r="L674" s="66"/>
      <c r="M674" s="66"/>
      <c r="N674" s="66"/>
    </row>
    <row r="675" spans="1:14" x14ac:dyDescent="0.2">
      <c r="A675" s="84"/>
      <c r="B675" s="84"/>
      <c r="C675" s="60"/>
      <c r="D675" s="66"/>
      <c r="E675" s="66"/>
      <c r="F675" s="66"/>
      <c r="G675" s="66"/>
      <c r="H675" s="66"/>
      <c r="I675" s="66"/>
      <c r="J675" s="66"/>
      <c r="K675" s="66"/>
      <c r="L675" s="66"/>
      <c r="M675" s="66"/>
      <c r="N675" s="66"/>
    </row>
    <row r="676" spans="1:14" x14ac:dyDescent="0.2">
      <c r="A676" s="84"/>
      <c r="B676" s="84"/>
      <c r="C676" s="60"/>
      <c r="D676" s="66"/>
      <c r="E676" s="66"/>
      <c r="F676" s="66"/>
      <c r="G676" s="66"/>
      <c r="H676" s="66"/>
      <c r="I676" s="66"/>
      <c r="J676" s="66"/>
      <c r="K676" s="66"/>
      <c r="L676" s="66"/>
      <c r="M676" s="66"/>
      <c r="N676" s="66"/>
    </row>
    <row r="677" spans="1:14" x14ac:dyDescent="0.2">
      <c r="A677" s="84"/>
      <c r="B677" s="84"/>
      <c r="C677" s="60"/>
      <c r="D677" s="66"/>
      <c r="E677" s="66"/>
      <c r="F677" s="66"/>
      <c r="G677" s="66"/>
      <c r="H677" s="66"/>
      <c r="I677" s="66"/>
      <c r="J677" s="66"/>
      <c r="K677" s="66"/>
      <c r="L677" s="66"/>
      <c r="M677" s="66"/>
      <c r="N677" s="66"/>
    </row>
    <row r="678" spans="1:14" x14ac:dyDescent="0.2">
      <c r="A678" s="84"/>
      <c r="B678" s="84"/>
      <c r="C678" s="60"/>
      <c r="D678" s="66"/>
      <c r="E678" s="66"/>
      <c r="F678" s="66"/>
      <c r="G678" s="66"/>
      <c r="H678" s="66"/>
      <c r="I678" s="66"/>
      <c r="J678" s="66"/>
      <c r="K678" s="66"/>
      <c r="L678" s="66"/>
      <c r="M678" s="66"/>
      <c r="N678" s="66"/>
    </row>
    <row r="679" spans="1:14" x14ac:dyDescent="0.2">
      <c r="A679" s="84"/>
      <c r="B679" s="84"/>
      <c r="C679" s="60"/>
      <c r="D679" s="66"/>
      <c r="E679" s="66"/>
      <c r="F679" s="66"/>
      <c r="G679" s="66"/>
      <c r="H679" s="66"/>
      <c r="I679" s="66"/>
      <c r="J679" s="66"/>
      <c r="K679" s="66"/>
      <c r="L679" s="66"/>
      <c r="M679" s="66"/>
      <c r="N679" s="66"/>
    </row>
    <row r="680" spans="1:14" x14ac:dyDescent="0.2">
      <c r="A680" s="84"/>
      <c r="B680" s="84"/>
      <c r="C680" s="60"/>
      <c r="D680" s="66"/>
      <c r="E680" s="66"/>
      <c r="F680" s="66"/>
      <c r="G680" s="66"/>
      <c r="H680" s="66"/>
      <c r="I680" s="66"/>
      <c r="J680" s="66"/>
      <c r="K680" s="66"/>
      <c r="L680" s="66"/>
      <c r="M680" s="66"/>
      <c r="N680" s="66"/>
    </row>
    <row r="681" spans="1:14" x14ac:dyDescent="0.2">
      <c r="A681" s="84"/>
      <c r="B681" s="84"/>
      <c r="C681" s="60"/>
      <c r="D681" s="66"/>
      <c r="E681" s="66"/>
      <c r="F681" s="66"/>
      <c r="G681" s="66"/>
      <c r="H681" s="66"/>
      <c r="I681" s="66"/>
      <c r="J681" s="66"/>
      <c r="K681" s="66"/>
      <c r="L681" s="66"/>
      <c r="M681" s="66"/>
      <c r="N681" s="66"/>
    </row>
    <row r="682" spans="1:14" x14ac:dyDescent="0.2">
      <c r="A682" s="84"/>
      <c r="B682" s="84"/>
      <c r="C682" s="60"/>
      <c r="D682" s="66"/>
      <c r="E682" s="66"/>
      <c r="F682" s="66"/>
      <c r="G682" s="66"/>
      <c r="H682" s="66"/>
      <c r="I682" s="66"/>
      <c r="J682" s="66"/>
      <c r="K682" s="66"/>
      <c r="L682" s="66"/>
      <c r="M682" s="66"/>
      <c r="N682" s="66"/>
    </row>
    <row r="683" spans="1:14" x14ac:dyDescent="0.2">
      <c r="A683" s="84"/>
      <c r="B683" s="84"/>
      <c r="C683" s="60"/>
      <c r="D683" s="66"/>
      <c r="E683" s="66"/>
      <c r="F683" s="66"/>
      <c r="G683" s="66"/>
      <c r="H683" s="66"/>
      <c r="I683" s="66"/>
      <c r="J683" s="66"/>
      <c r="K683" s="66"/>
      <c r="L683" s="66"/>
      <c r="M683" s="66"/>
      <c r="N683" s="66"/>
    </row>
    <row r="684" spans="1:14" x14ac:dyDescent="0.2">
      <c r="A684" s="84"/>
      <c r="B684" s="84"/>
      <c r="C684" s="60"/>
      <c r="D684" s="66"/>
      <c r="E684" s="66"/>
      <c r="F684" s="66"/>
      <c r="G684" s="66"/>
      <c r="H684" s="66"/>
      <c r="I684" s="66"/>
      <c r="J684" s="66"/>
      <c r="K684" s="66"/>
      <c r="L684" s="66"/>
      <c r="M684" s="66"/>
      <c r="N684" s="66"/>
    </row>
    <row r="685" spans="1:14" x14ac:dyDescent="0.2">
      <c r="A685" s="84"/>
      <c r="B685" s="84"/>
      <c r="C685" s="60"/>
      <c r="D685" s="66"/>
      <c r="E685" s="66"/>
      <c r="F685" s="66"/>
      <c r="G685" s="66"/>
      <c r="H685" s="66"/>
      <c r="I685" s="66"/>
      <c r="J685" s="66"/>
      <c r="K685" s="66"/>
      <c r="L685" s="66"/>
      <c r="M685" s="66"/>
      <c r="N685" s="66"/>
    </row>
    <row r="686" spans="1:14" x14ac:dyDescent="0.2">
      <c r="A686" s="84"/>
      <c r="B686" s="84"/>
      <c r="C686" s="60"/>
      <c r="D686" s="66"/>
      <c r="E686" s="66"/>
      <c r="F686" s="66"/>
      <c r="G686" s="66"/>
      <c r="H686" s="66"/>
      <c r="I686" s="66"/>
      <c r="J686" s="66"/>
      <c r="K686" s="66"/>
      <c r="L686" s="66"/>
      <c r="M686" s="66"/>
      <c r="N686" s="66"/>
    </row>
    <row r="687" spans="1:14" x14ac:dyDescent="0.2">
      <c r="A687" s="84"/>
      <c r="B687" s="84"/>
      <c r="C687" s="60"/>
      <c r="D687" s="66"/>
      <c r="E687" s="66"/>
      <c r="F687" s="66"/>
      <c r="G687" s="66"/>
      <c r="H687" s="66"/>
      <c r="I687" s="66"/>
      <c r="J687" s="66"/>
      <c r="K687" s="66"/>
      <c r="L687" s="66"/>
      <c r="M687" s="66"/>
      <c r="N687" s="66"/>
    </row>
    <row r="688" spans="1:14" x14ac:dyDescent="0.2">
      <c r="A688" s="84"/>
      <c r="B688" s="84"/>
      <c r="C688" s="60"/>
      <c r="D688" s="66"/>
      <c r="E688" s="66"/>
      <c r="F688" s="66"/>
      <c r="G688" s="66"/>
      <c r="H688" s="66"/>
      <c r="I688" s="66"/>
      <c r="J688" s="66"/>
      <c r="K688" s="66"/>
      <c r="L688" s="66"/>
      <c r="M688" s="66"/>
      <c r="N688" s="66"/>
    </row>
    <row r="689" spans="1:14" x14ac:dyDescent="0.2">
      <c r="A689" s="84"/>
      <c r="B689" s="84"/>
      <c r="C689" s="60"/>
      <c r="D689" s="66"/>
      <c r="E689" s="66"/>
      <c r="F689" s="66"/>
      <c r="G689" s="66"/>
      <c r="H689" s="66"/>
      <c r="I689" s="66"/>
      <c r="J689" s="66"/>
      <c r="K689" s="66"/>
      <c r="L689" s="66"/>
      <c r="M689" s="66"/>
      <c r="N689" s="66"/>
    </row>
    <row r="690" spans="1:14" x14ac:dyDescent="0.2">
      <c r="A690" s="84"/>
      <c r="B690" s="84"/>
      <c r="C690" s="60"/>
      <c r="D690" s="66"/>
      <c r="E690" s="66"/>
      <c r="F690" s="66"/>
      <c r="G690" s="66"/>
      <c r="H690" s="66"/>
      <c r="I690" s="66"/>
      <c r="J690" s="66"/>
      <c r="K690" s="66"/>
      <c r="L690" s="66"/>
      <c r="M690" s="66"/>
      <c r="N690" s="66"/>
    </row>
    <row r="691" spans="1:14" x14ac:dyDescent="0.2">
      <c r="A691" s="84"/>
      <c r="B691" s="84"/>
      <c r="C691" s="60"/>
      <c r="D691" s="66"/>
      <c r="E691" s="66"/>
      <c r="F691" s="66"/>
      <c r="G691" s="66"/>
      <c r="H691" s="66"/>
      <c r="I691" s="66"/>
      <c r="J691" s="66"/>
      <c r="K691" s="66"/>
      <c r="L691" s="66"/>
      <c r="M691" s="66"/>
      <c r="N691" s="66"/>
    </row>
    <row r="692" spans="1:14" x14ac:dyDescent="0.2">
      <c r="A692" s="84"/>
      <c r="B692" s="84"/>
      <c r="C692" s="60"/>
      <c r="D692" s="66"/>
      <c r="E692" s="66"/>
      <c r="F692" s="66"/>
      <c r="G692" s="66"/>
      <c r="H692" s="66"/>
      <c r="I692" s="66"/>
      <c r="J692" s="66"/>
      <c r="K692" s="66"/>
      <c r="L692" s="66"/>
      <c r="M692" s="66"/>
      <c r="N692" s="66"/>
    </row>
    <row r="693" spans="1:14" x14ac:dyDescent="0.2">
      <c r="A693" s="84"/>
      <c r="B693" s="84"/>
      <c r="C693" s="60"/>
      <c r="D693" s="66"/>
      <c r="E693" s="66"/>
      <c r="F693" s="66"/>
      <c r="G693" s="66"/>
      <c r="H693" s="66"/>
      <c r="I693" s="66"/>
      <c r="J693" s="66"/>
      <c r="K693" s="66"/>
      <c r="L693" s="66"/>
      <c r="M693" s="66"/>
      <c r="N693" s="66"/>
    </row>
    <row r="694" spans="1:14" x14ac:dyDescent="0.2">
      <c r="A694" s="84"/>
      <c r="B694" s="84"/>
      <c r="C694" s="60"/>
      <c r="D694" s="66"/>
      <c r="E694" s="66"/>
      <c r="F694" s="66"/>
      <c r="G694" s="66"/>
      <c r="H694" s="66"/>
      <c r="I694" s="66"/>
      <c r="J694" s="66"/>
      <c r="K694" s="66"/>
      <c r="L694" s="66"/>
      <c r="M694" s="66"/>
      <c r="N694" s="66"/>
    </row>
    <row r="695" spans="1:14" x14ac:dyDescent="0.2">
      <c r="A695" s="84"/>
      <c r="B695" s="84"/>
      <c r="C695" s="60"/>
      <c r="D695" s="66"/>
      <c r="E695" s="66"/>
      <c r="F695" s="66"/>
      <c r="G695" s="66"/>
      <c r="H695" s="66"/>
      <c r="I695" s="66"/>
      <c r="J695" s="66"/>
      <c r="K695" s="66"/>
      <c r="L695" s="66"/>
      <c r="M695" s="66"/>
      <c r="N695" s="66"/>
    </row>
    <row r="696" spans="1:14" x14ac:dyDescent="0.2">
      <c r="A696" s="84"/>
      <c r="B696" s="84"/>
      <c r="C696" s="60"/>
      <c r="D696" s="66"/>
      <c r="E696" s="66"/>
      <c r="F696" s="66"/>
      <c r="G696" s="66"/>
      <c r="H696" s="66"/>
      <c r="I696" s="66"/>
      <c r="J696" s="66"/>
      <c r="K696" s="66"/>
      <c r="L696" s="66"/>
      <c r="M696" s="66"/>
      <c r="N696" s="66"/>
    </row>
    <row r="697" spans="1:14" x14ac:dyDescent="0.2">
      <c r="A697" s="84"/>
      <c r="B697" s="84"/>
      <c r="C697" s="60"/>
      <c r="D697" s="66"/>
      <c r="E697" s="66"/>
      <c r="F697" s="66"/>
      <c r="G697" s="66"/>
      <c r="H697" s="66"/>
      <c r="I697" s="66"/>
      <c r="J697" s="66"/>
      <c r="K697" s="66"/>
      <c r="L697" s="66"/>
      <c r="M697" s="66"/>
      <c r="N697" s="66"/>
    </row>
    <row r="698" spans="1:14" x14ac:dyDescent="0.2">
      <c r="A698" s="84"/>
      <c r="B698" s="84"/>
      <c r="C698" s="60"/>
      <c r="D698" s="66"/>
      <c r="E698" s="66"/>
      <c r="F698" s="66"/>
      <c r="G698" s="66"/>
      <c r="H698" s="66"/>
      <c r="I698" s="66"/>
      <c r="J698" s="66"/>
      <c r="K698" s="66"/>
      <c r="L698" s="66"/>
      <c r="M698" s="66"/>
      <c r="N698" s="66"/>
    </row>
    <row r="699" spans="1:14" x14ac:dyDescent="0.2">
      <c r="A699" s="84"/>
      <c r="B699" s="84"/>
      <c r="C699" s="60"/>
      <c r="D699" s="66"/>
      <c r="E699" s="66"/>
      <c r="F699" s="66"/>
      <c r="G699" s="66"/>
      <c r="H699" s="66"/>
      <c r="I699" s="66"/>
      <c r="J699" s="66"/>
      <c r="K699" s="66"/>
      <c r="L699" s="66"/>
      <c r="M699" s="66"/>
      <c r="N699" s="66"/>
    </row>
    <row r="700" spans="1:14" x14ac:dyDescent="0.2">
      <c r="A700" s="84"/>
      <c r="B700" s="84"/>
      <c r="C700" s="60"/>
      <c r="D700" s="66"/>
      <c r="E700" s="66"/>
      <c r="F700" s="66"/>
      <c r="G700" s="66"/>
      <c r="H700" s="66"/>
      <c r="I700" s="66"/>
      <c r="J700" s="66"/>
      <c r="K700" s="66"/>
      <c r="L700" s="66"/>
      <c r="M700" s="66"/>
      <c r="N700" s="66"/>
    </row>
    <row r="701" spans="1:14" x14ac:dyDescent="0.2">
      <c r="A701" s="84"/>
      <c r="B701" s="84"/>
      <c r="C701" s="60"/>
      <c r="D701" s="66"/>
      <c r="E701" s="66"/>
      <c r="F701" s="66"/>
      <c r="G701" s="66"/>
      <c r="H701" s="66"/>
      <c r="I701" s="66"/>
      <c r="J701" s="66"/>
      <c r="K701" s="66"/>
      <c r="L701" s="66"/>
      <c r="M701" s="66"/>
      <c r="N701" s="66"/>
    </row>
    <row r="702" spans="1:14" x14ac:dyDescent="0.2">
      <c r="A702" s="84"/>
      <c r="B702" s="84"/>
      <c r="C702" s="60"/>
      <c r="D702" s="66"/>
      <c r="E702" s="66"/>
      <c r="F702" s="66"/>
      <c r="G702" s="66"/>
      <c r="H702" s="66"/>
      <c r="I702" s="66"/>
      <c r="J702" s="66"/>
      <c r="K702" s="66"/>
      <c r="L702" s="66"/>
      <c r="M702" s="66"/>
      <c r="N702" s="66"/>
    </row>
    <row r="703" spans="1:14" x14ac:dyDescent="0.2">
      <c r="A703" s="84"/>
      <c r="B703" s="84"/>
      <c r="C703" s="60"/>
      <c r="D703" s="66"/>
      <c r="E703" s="66"/>
      <c r="F703" s="66"/>
      <c r="G703" s="66"/>
      <c r="H703" s="66"/>
      <c r="I703" s="66"/>
      <c r="J703" s="66"/>
      <c r="K703" s="66"/>
      <c r="L703" s="66"/>
      <c r="M703" s="66"/>
      <c r="N703" s="66"/>
    </row>
    <row r="704" spans="1:14" x14ac:dyDescent="0.2">
      <c r="A704" s="84"/>
      <c r="B704" s="84"/>
      <c r="C704" s="60"/>
      <c r="D704" s="66"/>
      <c r="E704" s="66"/>
      <c r="F704" s="66"/>
      <c r="G704" s="66"/>
      <c r="H704" s="66"/>
      <c r="I704" s="66"/>
      <c r="J704" s="66"/>
      <c r="K704" s="66"/>
      <c r="L704" s="66"/>
      <c r="M704" s="66"/>
      <c r="N704" s="66"/>
    </row>
    <row r="705" spans="1:14" x14ac:dyDescent="0.2">
      <c r="A705" s="84"/>
      <c r="B705" s="84"/>
      <c r="C705" s="60"/>
      <c r="D705" s="66"/>
      <c r="E705" s="66"/>
      <c r="F705" s="66"/>
      <c r="G705" s="66"/>
      <c r="H705" s="66"/>
      <c r="I705" s="66"/>
      <c r="J705" s="66"/>
      <c r="K705" s="66"/>
      <c r="L705" s="66"/>
      <c r="M705" s="66"/>
      <c r="N705" s="66"/>
    </row>
    <row r="706" spans="1:14" x14ac:dyDescent="0.2">
      <c r="A706" s="84"/>
      <c r="B706" s="84"/>
      <c r="C706" s="60"/>
      <c r="D706" s="66"/>
      <c r="E706" s="66"/>
      <c r="F706" s="66"/>
      <c r="G706" s="66"/>
      <c r="H706" s="66"/>
      <c r="I706" s="66"/>
      <c r="J706" s="66"/>
      <c r="K706" s="66"/>
      <c r="L706" s="66"/>
      <c r="M706" s="66"/>
      <c r="N706" s="66"/>
    </row>
    <row r="707" spans="1:14" x14ac:dyDescent="0.2">
      <c r="A707" s="84"/>
      <c r="B707" s="84"/>
      <c r="C707" s="60"/>
      <c r="D707" s="66"/>
      <c r="E707" s="66"/>
      <c r="F707" s="66"/>
      <c r="G707" s="66"/>
      <c r="H707" s="66"/>
      <c r="I707" s="66"/>
      <c r="J707" s="66"/>
      <c r="K707" s="66"/>
      <c r="L707" s="66"/>
      <c r="M707" s="66"/>
      <c r="N707" s="66"/>
    </row>
    <row r="708" spans="1:14" x14ac:dyDescent="0.2">
      <c r="A708" s="84"/>
      <c r="B708" s="84"/>
      <c r="C708" s="60"/>
      <c r="D708" s="66"/>
      <c r="E708" s="66"/>
      <c r="F708" s="66"/>
      <c r="G708" s="66"/>
      <c r="H708" s="66"/>
      <c r="I708" s="66"/>
      <c r="J708" s="66"/>
      <c r="K708" s="66"/>
      <c r="L708" s="66"/>
      <c r="M708" s="66"/>
      <c r="N708" s="66"/>
    </row>
    <row r="709" spans="1:14" x14ac:dyDescent="0.2">
      <c r="A709" s="84"/>
      <c r="B709" s="84"/>
      <c r="C709" s="60"/>
      <c r="D709" s="66"/>
      <c r="E709" s="66"/>
      <c r="F709" s="66"/>
      <c r="G709" s="66"/>
      <c r="H709" s="66"/>
      <c r="I709" s="66"/>
      <c r="J709" s="66"/>
      <c r="K709" s="66"/>
      <c r="L709" s="66"/>
      <c r="M709" s="66"/>
      <c r="N709" s="66"/>
    </row>
    <row r="710" spans="1:14" x14ac:dyDescent="0.2">
      <c r="A710" s="84"/>
      <c r="B710" s="84"/>
      <c r="C710" s="60"/>
      <c r="D710" s="66"/>
      <c r="E710" s="66"/>
      <c r="F710" s="66"/>
      <c r="G710" s="66"/>
      <c r="H710" s="66"/>
      <c r="I710" s="66"/>
      <c r="J710" s="66"/>
      <c r="K710" s="66"/>
      <c r="L710" s="66"/>
      <c r="M710" s="66"/>
      <c r="N710" s="66"/>
    </row>
    <row r="711" spans="1:14" x14ac:dyDescent="0.2">
      <c r="A711" s="84"/>
      <c r="B711" s="84"/>
      <c r="C711" s="60"/>
      <c r="D711" s="66"/>
      <c r="E711" s="66"/>
      <c r="F711" s="66"/>
      <c r="G711" s="66"/>
      <c r="H711" s="66"/>
      <c r="I711" s="66"/>
      <c r="J711" s="66"/>
      <c r="K711" s="66"/>
      <c r="L711" s="66"/>
      <c r="M711" s="66"/>
      <c r="N711" s="66"/>
    </row>
    <row r="712" spans="1:14" x14ac:dyDescent="0.2">
      <c r="A712" s="84"/>
      <c r="B712" s="84"/>
      <c r="C712" s="60"/>
      <c r="D712" s="66"/>
      <c r="E712" s="66"/>
      <c r="F712" s="66"/>
      <c r="G712" s="66"/>
      <c r="H712" s="66"/>
      <c r="I712" s="66"/>
      <c r="J712" s="66"/>
      <c r="K712" s="66"/>
      <c r="L712" s="66"/>
      <c r="M712" s="66"/>
      <c r="N712" s="66"/>
    </row>
    <row r="713" spans="1:14" x14ac:dyDescent="0.2">
      <c r="A713" s="84"/>
      <c r="B713" s="84"/>
      <c r="C713" s="60"/>
      <c r="D713" s="66"/>
      <c r="E713" s="66"/>
      <c r="F713" s="66"/>
      <c r="G713" s="66"/>
      <c r="H713" s="66"/>
      <c r="I713" s="66"/>
      <c r="J713" s="66"/>
      <c r="K713" s="66"/>
      <c r="L713" s="66"/>
      <c r="M713" s="66"/>
      <c r="N713" s="66"/>
    </row>
    <row r="714" spans="1:14" x14ac:dyDescent="0.2">
      <c r="A714" s="84"/>
      <c r="B714" s="84"/>
      <c r="C714" s="60"/>
      <c r="D714" s="66"/>
      <c r="E714" s="66"/>
      <c r="F714" s="66"/>
      <c r="G714" s="66"/>
      <c r="H714" s="66"/>
      <c r="I714" s="66"/>
      <c r="J714" s="66"/>
      <c r="K714" s="66"/>
      <c r="L714" s="66"/>
      <c r="M714" s="66"/>
      <c r="N714" s="66"/>
    </row>
    <row r="715" spans="1:14" x14ac:dyDescent="0.2">
      <c r="A715" s="84"/>
      <c r="B715" s="84"/>
      <c r="C715" s="60"/>
      <c r="D715" s="66"/>
      <c r="E715" s="66"/>
      <c r="F715" s="66"/>
      <c r="G715" s="66"/>
      <c r="H715" s="66"/>
      <c r="I715" s="66"/>
      <c r="J715" s="66"/>
      <c r="K715" s="66"/>
      <c r="L715" s="66"/>
      <c r="M715" s="66"/>
      <c r="N715" s="66"/>
    </row>
    <row r="716" spans="1:14" x14ac:dyDescent="0.2">
      <c r="A716" s="84"/>
      <c r="B716" s="84"/>
      <c r="C716" s="60"/>
      <c r="D716" s="66"/>
      <c r="E716" s="66"/>
      <c r="F716" s="66"/>
      <c r="G716" s="66"/>
      <c r="H716" s="66"/>
      <c r="I716" s="66"/>
      <c r="J716" s="66"/>
      <c r="K716" s="66"/>
      <c r="L716" s="66"/>
      <c r="M716" s="66"/>
      <c r="N716" s="66"/>
    </row>
    <row r="717" spans="1:14" x14ac:dyDescent="0.2">
      <c r="A717" s="84"/>
      <c r="B717" s="84"/>
      <c r="C717" s="60"/>
      <c r="D717" s="66"/>
      <c r="E717" s="66"/>
      <c r="F717" s="66"/>
      <c r="G717" s="66"/>
      <c r="H717" s="66"/>
      <c r="I717" s="66"/>
      <c r="J717" s="66"/>
      <c r="K717" s="66"/>
      <c r="L717" s="66"/>
      <c r="M717" s="66"/>
      <c r="N717" s="66"/>
    </row>
    <row r="718" spans="1:14" x14ac:dyDescent="0.2">
      <c r="A718" s="84"/>
      <c r="B718" s="84"/>
      <c r="C718" s="60"/>
      <c r="D718" s="66"/>
      <c r="E718" s="66"/>
      <c r="F718" s="66"/>
      <c r="G718" s="66"/>
      <c r="H718" s="66"/>
      <c r="I718" s="66"/>
      <c r="J718" s="66"/>
      <c r="K718" s="66"/>
      <c r="L718" s="66"/>
      <c r="M718" s="66"/>
      <c r="N718" s="66"/>
    </row>
    <row r="719" spans="1:14" x14ac:dyDescent="0.2">
      <c r="A719" s="84"/>
      <c r="B719" s="84"/>
      <c r="C719" s="60"/>
      <c r="D719" s="66"/>
      <c r="E719" s="66"/>
      <c r="F719" s="66"/>
      <c r="G719" s="66"/>
      <c r="H719" s="66"/>
      <c r="I719" s="66"/>
      <c r="J719" s="66"/>
      <c r="K719" s="66"/>
      <c r="L719" s="66"/>
      <c r="M719" s="66"/>
      <c r="N719" s="66"/>
    </row>
    <row r="720" spans="1:14" x14ac:dyDescent="0.2">
      <c r="A720" s="84"/>
      <c r="B720" s="84"/>
      <c r="C720" s="60"/>
      <c r="D720" s="66"/>
      <c r="E720" s="66"/>
      <c r="F720" s="66"/>
      <c r="G720" s="66"/>
      <c r="H720" s="66"/>
      <c r="I720" s="66"/>
      <c r="J720" s="66"/>
      <c r="K720" s="66"/>
      <c r="L720" s="66"/>
      <c r="M720" s="66"/>
      <c r="N720" s="66"/>
    </row>
    <row r="721" spans="1:14" x14ac:dyDescent="0.2">
      <c r="A721" s="84"/>
      <c r="B721" s="84"/>
      <c r="C721" s="60"/>
      <c r="D721" s="66"/>
      <c r="E721" s="66"/>
      <c r="F721" s="66"/>
      <c r="G721" s="66"/>
      <c r="H721" s="66"/>
      <c r="I721" s="66"/>
      <c r="J721" s="66"/>
      <c r="K721" s="66"/>
      <c r="L721" s="66"/>
      <c r="M721" s="66"/>
      <c r="N721" s="66"/>
    </row>
    <row r="722" spans="1:14" x14ac:dyDescent="0.2">
      <c r="A722" s="84"/>
      <c r="B722" s="84"/>
      <c r="C722" s="60"/>
      <c r="D722" s="66"/>
      <c r="E722" s="66"/>
      <c r="F722" s="66"/>
      <c r="G722" s="66"/>
      <c r="H722" s="66"/>
      <c r="I722" s="66"/>
      <c r="J722" s="66"/>
      <c r="K722" s="66"/>
      <c r="L722" s="66"/>
      <c r="M722" s="66"/>
      <c r="N722" s="66"/>
    </row>
    <row r="723" spans="1:14" x14ac:dyDescent="0.2">
      <c r="A723" s="84"/>
      <c r="B723" s="84"/>
      <c r="C723" s="60"/>
      <c r="D723" s="66"/>
      <c r="E723" s="66"/>
      <c r="F723" s="66"/>
      <c r="G723" s="66"/>
      <c r="H723" s="66"/>
      <c r="I723" s="66"/>
      <c r="J723" s="66"/>
      <c r="K723" s="66"/>
      <c r="L723" s="66"/>
      <c r="M723" s="66"/>
      <c r="N723" s="66"/>
    </row>
    <row r="724" spans="1:14" x14ac:dyDescent="0.2">
      <c r="A724" s="84"/>
      <c r="B724" s="84"/>
      <c r="C724" s="60"/>
      <c r="D724" s="66"/>
      <c r="E724" s="66"/>
      <c r="F724" s="66"/>
      <c r="G724" s="66"/>
      <c r="H724" s="66"/>
      <c r="I724" s="66"/>
      <c r="J724" s="66"/>
      <c r="K724" s="66"/>
      <c r="L724" s="66"/>
      <c r="M724" s="66"/>
      <c r="N724" s="66"/>
    </row>
    <row r="725" spans="1:14" x14ac:dyDescent="0.2">
      <c r="A725" s="84"/>
      <c r="B725" s="84"/>
      <c r="C725" s="60"/>
      <c r="D725" s="66"/>
      <c r="E725" s="66"/>
      <c r="F725" s="66"/>
      <c r="G725" s="66"/>
      <c r="H725" s="66"/>
      <c r="I725" s="66"/>
      <c r="J725" s="66"/>
      <c r="K725" s="66"/>
      <c r="L725" s="66"/>
      <c r="M725" s="66"/>
      <c r="N725" s="66"/>
    </row>
    <row r="726" spans="1:14" x14ac:dyDescent="0.2">
      <c r="A726" s="84"/>
      <c r="B726" s="84"/>
      <c r="C726" s="60"/>
      <c r="D726" s="66"/>
      <c r="E726" s="66"/>
      <c r="F726" s="66"/>
      <c r="G726" s="66"/>
      <c r="H726" s="66"/>
      <c r="I726" s="66"/>
      <c r="J726" s="66"/>
      <c r="K726" s="66"/>
      <c r="L726" s="66"/>
      <c r="M726" s="66"/>
      <c r="N726" s="66"/>
    </row>
    <row r="727" spans="1:14" x14ac:dyDescent="0.2">
      <c r="A727" s="84"/>
      <c r="B727" s="84"/>
      <c r="C727" s="60"/>
      <c r="D727" s="66"/>
      <c r="E727" s="66"/>
      <c r="F727" s="66"/>
      <c r="G727" s="66"/>
      <c r="H727" s="66"/>
      <c r="I727" s="66"/>
      <c r="J727" s="66"/>
      <c r="K727" s="66"/>
      <c r="L727" s="66"/>
      <c r="M727" s="66"/>
      <c r="N727" s="66"/>
    </row>
    <row r="728" spans="1:14" x14ac:dyDescent="0.2">
      <c r="A728" s="84"/>
      <c r="B728" s="84"/>
      <c r="C728" s="60"/>
      <c r="D728" s="66"/>
      <c r="E728" s="66"/>
      <c r="F728" s="66"/>
      <c r="G728" s="66"/>
      <c r="H728" s="66"/>
      <c r="I728" s="66"/>
      <c r="J728" s="66"/>
      <c r="K728" s="66"/>
      <c r="L728" s="66"/>
      <c r="M728" s="66"/>
      <c r="N728" s="66"/>
    </row>
    <row r="729" spans="1:14" x14ac:dyDescent="0.2">
      <c r="A729" s="84"/>
      <c r="B729" s="84"/>
      <c r="C729" s="60"/>
      <c r="D729" s="66"/>
      <c r="E729" s="66"/>
      <c r="F729" s="66"/>
      <c r="G729" s="66"/>
      <c r="H729" s="66"/>
      <c r="I729" s="66"/>
      <c r="J729" s="66"/>
      <c r="K729" s="66"/>
      <c r="L729" s="66"/>
      <c r="M729" s="66"/>
      <c r="N729" s="66"/>
    </row>
    <row r="730" spans="1:14" x14ac:dyDescent="0.2">
      <c r="A730" s="84"/>
      <c r="B730" s="84"/>
      <c r="C730" s="60"/>
      <c r="D730" s="66"/>
      <c r="E730" s="66"/>
      <c r="F730" s="66"/>
      <c r="G730" s="66"/>
      <c r="H730" s="66"/>
      <c r="I730" s="66"/>
      <c r="J730" s="66"/>
      <c r="K730" s="66"/>
      <c r="L730" s="66"/>
      <c r="M730" s="66"/>
      <c r="N730" s="66"/>
    </row>
    <row r="731" spans="1:14" x14ac:dyDescent="0.2">
      <c r="A731" s="84"/>
      <c r="B731" s="84"/>
      <c r="C731" s="60"/>
      <c r="D731" s="66"/>
      <c r="E731" s="66"/>
      <c r="F731" s="66"/>
      <c r="G731" s="66"/>
      <c r="H731" s="66"/>
      <c r="I731" s="66"/>
      <c r="J731" s="66"/>
      <c r="K731" s="66"/>
      <c r="L731" s="66"/>
      <c r="M731" s="66"/>
      <c r="N731" s="66"/>
    </row>
    <row r="732" spans="1:14" x14ac:dyDescent="0.2">
      <c r="A732" s="84"/>
      <c r="B732" s="84"/>
      <c r="C732" s="60"/>
      <c r="D732" s="66"/>
      <c r="E732" s="66"/>
      <c r="F732" s="66"/>
      <c r="G732" s="66"/>
      <c r="H732" s="66"/>
      <c r="I732" s="66"/>
      <c r="J732" s="66"/>
      <c r="K732" s="66"/>
      <c r="L732" s="66"/>
      <c r="M732" s="66"/>
      <c r="N732" s="66"/>
    </row>
    <row r="733" spans="1:14" x14ac:dyDescent="0.2">
      <c r="A733" s="84"/>
      <c r="B733" s="84"/>
      <c r="C733" s="60"/>
      <c r="D733" s="66"/>
      <c r="E733" s="66"/>
      <c r="F733" s="66"/>
      <c r="G733" s="66"/>
      <c r="H733" s="66"/>
      <c r="I733" s="66"/>
      <c r="J733" s="66"/>
      <c r="K733" s="66"/>
      <c r="L733" s="66"/>
      <c r="M733" s="66"/>
      <c r="N733" s="66"/>
    </row>
    <row r="734" spans="1:14" x14ac:dyDescent="0.2">
      <c r="A734" s="84"/>
      <c r="B734" s="84"/>
      <c r="C734" s="60"/>
      <c r="D734" s="66"/>
      <c r="E734" s="66"/>
      <c r="F734" s="66"/>
      <c r="G734" s="66"/>
      <c r="H734" s="66"/>
      <c r="I734" s="66"/>
      <c r="J734" s="66"/>
      <c r="K734" s="66"/>
      <c r="L734" s="66"/>
      <c r="M734" s="66"/>
      <c r="N734" s="66"/>
    </row>
    <row r="735" spans="1:14" x14ac:dyDescent="0.2">
      <c r="A735" s="84"/>
      <c r="B735" s="84"/>
      <c r="C735" s="60"/>
      <c r="D735" s="66"/>
      <c r="E735" s="66"/>
      <c r="F735" s="66"/>
      <c r="G735" s="66"/>
      <c r="H735" s="66"/>
      <c r="I735" s="66"/>
      <c r="J735" s="66"/>
      <c r="K735" s="66"/>
      <c r="L735" s="66"/>
      <c r="M735" s="66"/>
      <c r="N735" s="66"/>
    </row>
    <row r="736" spans="1:14" x14ac:dyDescent="0.2">
      <c r="A736" s="84"/>
      <c r="B736" s="84"/>
      <c r="C736" s="60"/>
      <c r="D736" s="66"/>
      <c r="E736" s="66"/>
      <c r="F736" s="66"/>
      <c r="G736" s="66"/>
      <c r="H736" s="66"/>
      <c r="I736" s="66"/>
      <c r="J736" s="66"/>
      <c r="K736" s="66"/>
      <c r="L736" s="66"/>
      <c r="M736" s="66"/>
      <c r="N736" s="66"/>
    </row>
    <row r="737" spans="1:14" x14ac:dyDescent="0.2">
      <c r="A737" s="84"/>
      <c r="B737" s="84"/>
      <c r="C737" s="60"/>
      <c r="D737" s="66"/>
      <c r="E737" s="66"/>
      <c r="F737" s="66"/>
      <c r="G737" s="66"/>
      <c r="H737" s="66"/>
      <c r="I737" s="66"/>
      <c r="J737" s="66"/>
      <c r="K737" s="66"/>
      <c r="L737" s="66"/>
      <c r="M737" s="66"/>
      <c r="N737" s="66"/>
    </row>
    <row r="738" spans="1:14" x14ac:dyDescent="0.2">
      <c r="A738" s="84"/>
      <c r="B738" s="84"/>
      <c r="C738" s="60"/>
      <c r="D738" s="66"/>
      <c r="E738" s="66"/>
      <c r="F738" s="66"/>
      <c r="G738" s="66"/>
      <c r="H738" s="66"/>
      <c r="I738" s="66"/>
      <c r="J738" s="66"/>
      <c r="K738" s="66"/>
      <c r="L738" s="66"/>
      <c r="M738" s="66"/>
      <c r="N738" s="66"/>
    </row>
    <row r="739" spans="1:14" x14ac:dyDescent="0.2">
      <c r="A739" s="84"/>
      <c r="B739" s="84"/>
      <c r="C739" s="60"/>
      <c r="D739" s="66"/>
      <c r="E739" s="66"/>
      <c r="F739" s="66"/>
      <c r="G739" s="66"/>
      <c r="H739" s="66"/>
      <c r="I739" s="66"/>
      <c r="J739" s="66"/>
      <c r="K739" s="66"/>
      <c r="L739" s="66"/>
      <c r="M739" s="66"/>
      <c r="N739" s="66"/>
    </row>
    <row r="740" spans="1:14" x14ac:dyDescent="0.2">
      <c r="A740" s="84"/>
      <c r="B740" s="84"/>
      <c r="C740" s="60"/>
      <c r="D740" s="66"/>
      <c r="E740" s="66"/>
      <c r="F740" s="66"/>
      <c r="G740" s="66"/>
      <c r="H740" s="66"/>
      <c r="I740" s="66"/>
      <c r="J740" s="66"/>
      <c r="K740" s="66"/>
      <c r="L740" s="66"/>
      <c r="M740" s="66"/>
      <c r="N740" s="66"/>
    </row>
    <row r="741" spans="1:14" x14ac:dyDescent="0.2">
      <c r="A741" s="84"/>
      <c r="B741" s="84"/>
      <c r="C741" s="60"/>
      <c r="D741" s="66"/>
      <c r="E741" s="66"/>
      <c r="F741" s="66"/>
      <c r="G741" s="66"/>
      <c r="H741" s="66"/>
      <c r="I741" s="66"/>
      <c r="J741" s="66"/>
      <c r="K741" s="66"/>
      <c r="L741" s="66"/>
      <c r="M741" s="66"/>
      <c r="N741" s="66"/>
    </row>
    <row r="742" spans="1:14" x14ac:dyDescent="0.2">
      <c r="A742" s="84"/>
      <c r="B742" s="84"/>
      <c r="C742" s="60"/>
      <c r="D742" s="66"/>
      <c r="E742" s="66"/>
      <c r="F742" s="66"/>
      <c r="G742" s="66"/>
      <c r="H742" s="66"/>
      <c r="I742" s="66"/>
      <c r="J742" s="66"/>
      <c r="K742" s="66"/>
      <c r="L742" s="66"/>
      <c r="M742" s="66"/>
      <c r="N742" s="66"/>
    </row>
    <row r="743" spans="1:14" x14ac:dyDescent="0.2">
      <c r="A743" s="84"/>
      <c r="B743" s="84"/>
      <c r="C743" s="60"/>
      <c r="D743" s="66"/>
      <c r="E743" s="66"/>
      <c r="F743" s="66"/>
      <c r="G743" s="66"/>
      <c r="H743" s="66"/>
      <c r="I743" s="66"/>
      <c r="J743" s="66"/>
      <c r="K743" s="66"/>
      <c r="L743" s="66"/>
      <c r="M743" s="66"/>
      <c r="N743" s="66"/>
    </row>
    <row r="744" spans="1:14" x14ac:dyDescent="0.2">
      <c r="A744" s="84"/>
      <c r="B744" s="84"/>
      <c r="C744" s="60"/>
      <c r="D744" s="66"/>
      <c r="E744" s="66"/>
      <c r="F744" s="66"/>
      <c r="G744" s="66"/>
      <c r="H744" s="66"/>
      <c r="I744" s="66"/>
      <c r="J744" s="66"/>
      <c r="K744" s="66"/>
      <c r="L744" s="66"/>
      <c r="M744" s="66"/>
      <c r="N744" s="66"/>
    </row>
    <row r="745" spans="1:14" x14ac:dyDescent="0.2">
      <c r="A745" s="84"/>
      <c r="B745" s="84"/>
      <c r="C745" s="60"/>
      <c r="D745" s="66"/>
      <c r="E745" s="66"/>
      <c r="F745" s="66"/>
      <c r="G745" s="66"/>
      <c r="H745" s="66"/>
      <c r="I745" s="66"/>
      <c r="J745" s="66"/>
      <c r="K745" s="66"/>
      <c r="L745" s="66"/>
      <c r="M745" s="66"/>
      <c r="N745" s="66"/>
    </row>
    <row r="746" spans="1:14" x14ac:dyDescent="0.2">
      <c r="A746" s="84"/>
      <c r="B746" s="84"/>
      <c r="C746" s="60"/>
      <c r="D746" s="66"/>
      <c r="E746" s="66"/>
      <c r="F746" s="66"/>
      <c r="G746" s="66"/>
      <c r="H746" s="66"/>
      <c r="I746" s="66"/>
      <c r="J746" s="66"/>
      <c r="K746" s="66"/>
      <c r="L746" s="66"/>
      <c r="M746" s="66"/>
      <c r="N746" s="66"/>
    </row>
    <row r="747" spans="1:14" x14ac:dyDescent="0.2">
      <c r="A747" s="84"/>
      <c r="B747" s="84"/>
      <c r="C747" s="60"/>
      <c r="D747" s="66"/>
      <c r="E747" s="66"/>
      <c r="F747" s="66"/>
      <c r="G747" s="66"/>
      <c r="H747" s="66"/>
      <c r="I747" s="66"/>
      <c r="J747" s="66"/>
      <c r="K747" s="66"/>
      <c r="L747" s="66"/>
      <c r="M747" s="66"/>
      <c r="N747" s="66"/>
    </row>
    <row r="748" spans="1:14" x14ac:dyDescent="0.2">
      <c r="A748" s="84"/>
      <c r="B748" s="84"/>
      <c r="C748" s="60"/>
      <c r="D748" s="66"/>
      <c r="E748" s="66"/>
      <c r="F748" s="66"/>
      <c r="G748" s="66"/>
      <c r="H748" s="66"/>
      <c r="I748" s="66"/>
      <c r="J748" s="66"/>
      <c r="K748" s="66"/>
      <c r="L748" s="66"/>
      <c r="M748" s="66"/>
      <c r="N748" s="66"/>
    </row>
    <row r="749" spans="1:14" x14ac:dyDescent="0.2">
      <c r="A749" s="84"/>
      <c r="B749" s="84"/>
      <c r="C749" s="60"/>
      <c r="D749" s="66"/>
      <c r="E749" s="66"/>
      <c r="F749" s="66"/>
      <c r="G749" s="66"/>
      <c r="H749" s="66"/>
      <c r="I749" s="66"/>
      <c r="J749" s="66"/>
      <c r="K749" s="66"/>
      <c r="L749" s="66"/>
      <c r="M749" s="66"/>
      <c r="N749" s="66"/>
    </row>
    <row r="750" spans="1:14" x14ac:dyDescent="0.2">
      <c r="A750" s="84"/>
      <c r="B750" s="84"/>
      <c r="C750" s="60"/>
      <c r="D750" s="66"/>
      <c r="E750" s="66"/>
      <c r="F750" s="66"/>
      <c r="G750" s="66"/>
      <c r="H750" s="66"/>
      <c r="I750" s="66"/>
      <c r="J750" s="66"/>
      <c r="K750" s="66"/>
      <c r="L750" s="66"/>
      <c r="M750" s="66"/>
      <c r="N750" s="66"/>
    </row>
    <row r="751" spans="1:14" x14ac:dyDescent="0.2">
      <c r="A751" s="84"/>
      <c r="B751" s="84"/>
      <c r="C751" s="60"/>
      <c r="D751" s="66"/>
      <c r="E751" s="66"/>
      <c r="F751" s="66"/>
      <c r="G751" s="66"/>
      <c r="H751" s="66"/>
      <c r="I751" s="66"/>
      <c r="J751" s="66"/>
      <c r="K751" s="66"/>
      <c r="L751" s="66"/>
      <c r="M751" s="66"/>
      <c r="N751" s="66"/>
    </row>
    <row r="752" spans="1:14" x14ac:dyDescent="0.2">
      <c r="A752" s="84"/>
      <c r="B752" s="84"/>
      <c r="C752" s="60"/>
      <c r="D752" s="66"/>
      <c r="E752" s="66"/>
      <c r="F752" s="66"/>
      <c r="G752" s="66"/>
      <c r="H752" s="66"/>
      <c r="I752" s="66"/>
      <c r="J752" s="66"/>
      <c r="K752" s="66"/>
      <c r="L752" s="66"/>
      <c r="M752" s="66"/>
      <c r="N752" s="66"/>
    </row>
    <row r="753" spans="1:14" x14ac:dyDescent="0.2">
      <c r="A753" s="84"/>
      <c r="B753" s="84"/>
      <c r="C753" s="60"/>
      <c r="D753" s="66"/>
      <c r="E753" s="66"/>
      <c r="F753" s="66"/>
      <c r="G753" s="66"/>
      <c r="H753" s="66"/>
      <c r="I753" s="66"/>
      <c r="J753" s="66"/>
      <c r="K753" s="66"/>
      <c r="L753" s="66"/>
      <c r="M753" s="66"/>
      <c r="N753" s="66"/>
    </row>
    <row r="754" spans="1:14" x14ac:dyDescent="0.2">
      <c r="A754" s="84"/>
      <c r="B754" s="84"/>
      <c r="C754" s="60"/>
      <c r="D754" s="66"/>
      <c r="E754" s="66"/>
      <c r="F754" s="66"/>
      <c r="G754" s="66"/>
      <c r="H754" s="66"/>
      <c r="I754" s="66"/>
      <c r="J754" s="66"/>
      <c r="K754" s="66"/>
      <c r="L754" s="66"/>
      <c r="M754" s="66"/>
      <c r="N754" s="66"/>
    </row>
    <row r="755" spans="1:14" x14ac:dyDescent="0.2">
      <c r="A755" s="84"/>
      <c r="B755" s="84"/>
      <c r="C755" s="60"/>
      <c r="D755" s="66"/>
      <c r="E755" s="66"/>
      <c r="F755" s="66"/>
      <c r="G755" s="66"/>
      <c r="H755" s="66"/>
      <c r="I755" s="66"/>
      <c r="J755" s="66"/>
      <c r="K755" s="66"/>
      <c r="L755" s="66"/>
      <c r="M755" s="66"/>
      <c r="N755" s="66"/>
    </row>
    <row r="756" spans="1:14" x14ac:dyDescent="0.2">
      <c r="A756" s="84"/>
      <c r="B756" s="84"/>
      <c r="C756" s="60"/>
      <c r="D756" s="66"/>
      <c r="E756" s="66"/>
      <c r="F756" s="66"/>
      <c r="G756" s="66"/>
      <c r="H756" s="66"/>
      <c r="I756" s="66"/>
      <c r="J756" s="66"/>
      <c r="K756" s="66"/>
      <c r="L756" s="66"/>
      <c r="M756" s="66"/>
      <c r="N756" s="66"/>
    </row>
    <row r="757" spans="1:14" x14ac:dyDescent="0.2">
      <c r="A757" s="84"/>
      <c r="B757" s="84"/>
      <c r="C757" s="60"/>
      <c r="D757" s="66"/>
      <c r="E757" s="66"/>
      <c r="F757" s="66"/>
      <c r="G757" s="66"/>
      <c r="H757" s="66"/>
      <c r="I757" s="66"/>
      <c r="J757" s="66"/>
      <c r="K757" s="66"/>
      <c r="L757" s="66"/>
      <c r="M757" s="66"/>
      <c r="N757" s="66"/>
    </row>
    <row r="758" spans="1:14" x14ac:dyDescent="0.2">
      <c r="A758" s="84"/>
      <c r="B758" s="84"/>
      <c r="C758" s="60"/>
      <c r="D758" s="66"/>
      <c r="E758" s="66"/>
      <c r="F758" s="66"/>
      <c r="G758" s="66"/>
      <c r="H758" s="66"/>
      <c r="I758" s="66"/>
      <c r="J758" s="66"/>
      <c r="K758" s="66"/>
      <c r="L758" s="66"/>
      <c r="M758" s="66"/>
      <c r="N758" s="66"/>
    </row>
    <row r="759" spans="1:14" x14ac:dyDescent="0.2">
      <c r="A759" s="84"/>
      <c r="B759" s="84"/>
      <c r="C759" s="60"/>
      <c r="D759" s="66"/>
      <c r="E759" s="66"/>
      <c r="F759" s="66"/>
      <c r="G759" s="66"/>
      <c r="H759" s="66"/>
      <c r="I759" s="66"/>
      <c r="J759" s="66"/>
      <c r="K759" s="66"/>
      <c r="L759" s="66"/>
      <c r="M759" s="66"/>
      <c r="N759" s="66"/>
    </row>
    <row r="760" spans="1:14" x14ac:dyDescent="0.2">
      <c r="A760" s="84"/>
      <c r="B760" s="84"/>
      <c r="C760" s="60"/>
      <c r="D760" s="66"/>
      <c r="E760" s="66"/>
      <c r="F760" s="66"/>
      <c r="G760" s="66"/>
      <c r="H760" s="66"/>
      <c r="I760" s="66"/>
      <c r="J760" s="66"/>
      <c r="K760" s="66"/>
      <c r="L760" s="66"/>
      <c r="M760" s="66"/>
      <c r="N760" s="66"/>
    </row>
    <row r="761" spans="1:14" x14ac:dyDescent="0.2">
      <c r="A761" s="84"/>
      <c r="B761" s="84"/>
      <c r="C761" s="60"/>
      <c r="D761" s="66"/>
      <c r="E761" s="66"/>
      <c r="F761" s="66"/>
      <c r="G761" s="66"/>
      <c r="H761" s="66"/>
      <c r="I761" s="66"/>
      <c r="J761" s="66"/>
      <c r="K761" s="66"/>
      <c r="L761" s="66"/>
      <c r="M761" s="66"/>
      <c r="N761" s="66"/>
    </row>
    <row r="762" spans="1:14" x14ac:dyDescent="0.2">
      <c r="A762" s="84"/>
      <c r="B762" s="84"/>
      <c r="C762" s="60"/>
      <c r="D762" s="66"/>
      <c r="E762" s="66"/>
      <c r="F762" s="66"/>
      <c r="G762" s="66"/>
      <c r="H762" s="66"/>
      <c r="I762" s="66"/>
      <c r="J762" s="66"/>
      <c r="K762" s="66"/>
      <c r="L762" s="66"/>
      <c r="M762" s="66"/>
      <c r="N762" s="66"/>
    </row>
    <row r="763" spans="1:14" x14ac:dyDescent="0.2">
      <c r="A763" s="84"/>
      <c r="B763" s="84"/>
      <c r="C763" s="60"/>
      <c r="D763" s="66"/>
      <c r="E763" s="66"/>
      <c r="F763" s="66"/>
      <c r="G763" s="66"/>
      <c r="H763" s="66"/>
      <c r="I763" s="66"/>
      <c r="J763" s="66"/>
      <c r="K763" s="66"/>
      <c r="L763" s="66"/>
      <c r="M763" s="66"/>
      <c r="N763" s="66"/>
    </row>
    <row r="764" spans="1:14" x14ac:dyDescent="0.2">
      <c r="A764" s="84"/>
      <c r="B764" s="84"/>
      <c r="C764" s="60"/>
      <c r="D764" s="66"/>
      <c r="E764" s="66"/>
      <c r="F764" s="66"/>
      <c r="G764" s="66"/>
      <c r="H764" s="66"/>
      <c r="I764" s="66"/>
      <c r="J764" s="66"/>
      <c r="K764" s="66"/>
      <c r="L764" s="66"/>
      <c r="M764" s="66"/>
      <c r="N764" s="66"/>
    </row>
    <row r="765" spans="1:14" x14ac:dyDescent="0.2">
      <c r="A765" s="84"/>
      <c r="B765" s="84"/>
      <c r="C765" s="60"/>
      <c r="D765" s="66"/>
      <c r="E765" s="66"/>
      <c r="F765" s="66"/>
      <c r="G765" s="66"/>
      <c r="H765" s="66"/>
      <c r="I765" s="66"/>
      <c r="J765" s="66"/>
      <c r="K765" s="66"/>
      <c r="L765" s="66"/>
      <c r="M765" s="66"/>
      <c r="N765" s="66"/>
    </row>
    <row r="766" spans="1:14" x14ac:dyDescent="0.2">
      <c r="A766" s="84"/>
      <c r="B766" s="84"/>
      <c r="C766" s="60"/>
      <c r="D766" s="66"/>
      <c r="E766" s="66"/>
      <c r="F766" s="66"/>
      <c r="G766" s="66"/>
      <c r="H766" s="66"/>
      <c r="I766" s="66"/>
      <c r="J766" s="66"/>
      <c r="K766" s="66"/>
      <c r="L766" s="66"/>
      <c r="M766" s="66"/>
      <c r="N766" s="66"/>
    </row>
    <row r="767" spans="1:14" x14ac:dyDescent="0.2">
      <c r="A767" s="84"/>
      <c r="B767" s="84"/>
      <c r="C767" s="60"/>
      <c r="D767" s="66"/>
      <c r="E767" s="66"/>
      <c r="F767" s="66"/>
      <c r="G767" s="66"/>
      <c r="H767" s="66"/>
      <c r="I767" s="66"/>
      <c r="J767" s="66"/>
      <c r="K767" s="66"/>
      <c r="L767" s="66"/>
      <c r="M767" s="66"/>
      <c r="N767" s="66"/>
    </row>
    <row r="768" spans="1:14" x14ac:dyDescent="0.2">
      <c r="A768" s="84"/>
      <c r="B768" s="84"/>
      <c r="C768" s="60"/>
      <c r="D768" s="66"/>
      <c r="E768" s="66"/>
      <c r="F768" s="66"/>
      <c r="G768" s="66"/>
      <c r="H768" s="66"/>
      <c r="I768" s="66"/>
      <c r="J768" s="66"/>
      <c r="K768" s="66"/>
      <c r="L768" s="66"/>
      <c r="M768" s="66"/>
      <c r="N768" s="66"/>
    </row>
    <row r="769" spans="1:14" x14ac:dyDescent="0.2">
      <c r="A769" s="84"/>
      <c r="B769" s="84"/>
      <c r="C769" s="60"/>
      <c r="D769" s="66"/>
      <c r="E769" s="66"/>
      <c r="F769" s="66"/>
      <c r="G769" s="66"/>
      <c r="H769" s="66"/>
      <c r="I769" s="66"/>
      <c r="J769" s="66"/>
      <c r="K769" s="66"/>
      <c r="L769" s="66"/>
      <c r="M769" s="66"/>
      <c r="N769" s="66"/>
    </row>
    <row r="770" spans="1:14" x14ac:dyDescent="0.2">
      <c r="A770" s="84"/>
      <c r="B770" s="84"/>
      <c r="C770" s="60"/>
      <c r="D770" s="66"/>
      <c r="E770" s="66"/>
      <c r="F770" s="66"/>
      <c r="G770" s="66"/>
      <c r="H770" s="66"/>
      <c r="I770" s="66"/>
      <c r="J770" s="66"/>
      <c r="K770" s="66"/>
      <c r="L770" s="66"/>
      <c r="M770" s="66"/>
      <c r="N770" s="66"/>
    </row>
    <row r="771" spans="1:14" x14ac:dyDescent="0.2">
      <c r="A771" s="84"/>
      <c r="B771" s="84"/>
      <c r="C771" s="60"/>
      <c r="D771" s="66"/>
      <c r="E771" s="66"/>
      <c r="F771" s="66"/>
      <c r="G771" s="66"/>
      <c r="H771" s="66"/>
      <c r="I771" s="66"/>
      <c r="J771" s="66"/>
      <c r="K771" s="66"/>
      <c r="L771" s="66"/>
      <c r="M771" s="66"/>
      <c r="N771" s="66"/>
    </row>
    <row r="772" spans="1:14" x14ac:dyDescent="0.2">
      <c r="A772" s="84"/>
      <c r="B772" s="84"/>
      <c r="C772" s="60"/>
      <c r="D772" s="66"/>
      <c r="E772" s="66"/>
      <c r="F772" s="66"/>
      <c r="G772" s="66"/>
      <c r="H772" s="66"/>
      <c r="I772" s="66"/>
      <c r="J772" s="66"/>
      <c r="K772" s="66"/>
      <c r="L772" s="66"/>
      <c r="M772" s="66"/>
      <c r="N772" s="66"/>
    </row>
    <row r="773" spans="1:14" x14ac:dyDescent="0.2">
      <c r="A773" s="84"/>
      <c r="B773" s="84"/>
      <c r="C773" s="60"/>
      <c r="D773" s="66"/>
      <c r="E773" s="66"/>
      <c r="F773" s="66"/>
      <c r="G773" s="66"/>
      <c r="H773" s="66"/>
      <c r="I773" s="66"/>
      <c r="J773" s="66"/>
      <c r="K773" s="66"/>
      <c r="L773" s="66"/>
      <c r="M773" s="66"/>
      <c r="N773" s="66"/>
    </row>
    <row r="774" spans="1:14" x14ac:dyDescent="0.2">
      <c r="A774" s="84"/>
      <c r="B774" s="84"/>
      <c r="C774" s="60"/>
      <c r="D774" s="66"/>
      <c r="E774" s="66"/>
      <c r="F774" s="66"/>
      <c r="G774" s="66"/>
      <c r="H774" s="66"/>
      <c r="I774" s="66"/>
      <c r="J774" s="66"/>
      <c r="K774" s="66"/>
      <c r="L774" s="66"/>
      <c r="M774" s="66"/>
      <c r="N774" s="66"/>
    </row>
    <row r="775" spans="1:14" x14ac:dyDescent="0.2">
      <c r="A775" s="84"/>
      <c r="B775" s="84"/>
      <c r="C775" s="60"/>
      <c r="D775" s="66"/>
      <c r="E775" s="66"/>
      <c r="F775" s="66"/>
      <c r="G775" s="66"/>
      <c r="H775" s="66"/>
      <c r="I775" s="66"/>
      <c r="J775" s="66"/>
      <c r="K775" s="66"/>
      <c r="L775" s="66"/>
      <c r="M775" s="66"/>
      <c r="N775" s="66"/>
    </row>
    <row r="776" spans="1:14" x14ac:dyDescent="0.2">
      <c r="A776" s="84"/>
      <c r="B776" s="84"/>
      <c r="C776" s="60"/>
      <c r="D776" s="66"/>
      <c r="E776" s="66"/>
      <c r="F776" s="66"/>
      <c r="G776" s="66"/>
      <c r="H776" s="66"/>
      <c r="I776" s="66"/>
      <c r="J776" s="66"/>
      <c r="K776" s="66"/>
      <c r="L776" s="66"/>
      <c r="M776" s="66"/>
      <c r="N776" s="66"/>
    </row>
    <row r="777" spans="1:14" x14ac:dyDescent="0.2">
      <c r="A777" s="84"/>
      <c r="B777" s="84"/>
      <c r="C777" s="60"/>
      <c r="D777" s="66"/>
      <c r="E777" s="66"/>
      <c r="F777" s="66"/>
      <c r="G777" s="66"/>
      <c r="H777" s="66"/>
      <c r="I777" s="66"/>
      <c r="J777" s="66"/>
      <c r="K777" s="66"/>
      <c r="L777" s="66"/>
      <c r="M777" s="66"/>
      <c r="N777" s="66"/>
    </row>
    <row r="778" spans="1:14" x14ac:dyDescent="0.2">
      <c r="A778" s="84"/>
      <c r="B778" s="84"/>
      <c r="C778" s="60"/>
      <c r="D778" s="66"/>
      <c r="E778" s="66"/>
      <c r="F778" s="66"/>
      <c r="G778" s="66"/>
      <c r="H778" s="66"/>
      <c r="I778" s="66"/>
      <c r="J778" s="66"/>
      <c r="K778" s="66"/>
      <c r="L778" s="66"/>
      <c r="M778" s="66"/>
      <c r="N778" s="66"/>
    </row>
    <row r="779" spans="1:14" x14ac:dyDescent="0.2">
      <c r="A779" s="84"/>
      <c r="B779" s="84"/>
      <c r="C779" s="60"/>
      <c r="D779" s="66"/>
      <c r="E779" s="66"/>
      <c r="F779" s="66"/>
      <c r="G779" s="66"/>
      <c r="H779" s="66"/>
      <c r="I779" s="66"/>
      <c r="J779" s="66"/>
      <c r="K779" s="66"/>
      <c r="L779" s="66"/>
      <c r="M779" s="66"/>
      <c r="N779" s="66"/>
    </row>
    <row r="780" spans="1:14" x14ac:dyDescent="0.2">
      <c r="A780" s="84"/>
      <c r="B780" s="84"/>
      <c r="C780" s="60"/>
      <c r="D780" s="66"/>
      <c r="E780" s="66"/>
      <c r="F780" s="66"/>
      <c r="G780" s="66"/>
      <c r="H780" s="66"/>
      <c r="I780" s="66"/>
      <c r="J780" s="66"/>
      <c r="K780" s="66"/>
      <c r="L780" s="66"/>
      <c r="M780" s="66"/>
      <c r="N780" s="66"/>
    </row>
    <row r="781" spans="1:14" x14ac:dyDescent="0.2">
      <c r="A781" s="84"/>
      <c r="B781" s="84"/>
      <c r="C781" s="60"/>
      <c r="D781" s="66"/>
      <c r="E781" s="66"/>
      <c r="F781" s="66"/>
      <c r="G781" s="66"/>
      <c r="H781" s="66"/>
      <c r="I781" s="66"/>
      <c r="J781" s="66"/>
      <c r="K781" s="66"/>
      <c r="L781" s="66"/>
      <c r="M781" s="66"/>
      <c r="N781" s="66"/>
    </row>
    <row r="782" spans="1:14" x14ac:dyDescent="0.2">
      <c r="A782" s="84"/>
      <c r="B782" s="84"/>
      <c r="C782" s="60"/>
      <c r="D782" s="66"/>
      <c r="E782" s="66"/>
      <c r="F782" s="66"/>
      <c r="G782" s="66"/>
      <c r="H782" s="66"/>
      <c r="I782" s="66"/>
      <c r="J782" s="66"/>
      <c r="K782" s="66"/>
      <c r="L782" s="66"/>
      <c r="M782" s="66"/>
      <c r="N782" s="66"/>
    </row>
    <row r="783" spans="1:14" x14ac:dyDescent="0.2">
      <c r="A783" s="84"/>
      <c r="B783" s="84"/>
      <c r="C783" s="60"/>
      <c r="D783" s="66"/>
      <c r="E783" s="66"/>
      <c r="F783" s="66"/>
      <c r="G783" s="66"/>
      <c r="H783" s="66"/>
      <c r="I783" s="66"/>
      <c r="J783" s="66"/>
      <c r="K783" s="66"/>
      <c r="L783" s="66"/>
      <c r="M783" s="66"/>
      <c r="N783" s="66"/>
    </row>
    <row r="784" spans="1:14" x14ac:dyDescent="0.2">
      <c r="A784" s="84"/>
      <c r="B784" s="84"/>
      <c r="C784" s="60"/>
      <c r="D784" s="66"/>
      <c r="E784" s="66"/>
      <c r="F784" s="66"/>
      <c r="G784" s="66"/>
      <c r="H784" s="66"/>
      <c r="I784" s="66"/>
      <c r="J784" s="66"/>
      <c r="K784" s="66"/>
      <c r="L784" s="66"/>
      <c r="M784" s="66"/>
      <c r="N784" s="66"/>
    </row>
    <row r="785" spans="1:14" x14ac:dyDescent="0.2">
      <c r="A785" s="84"/>
      <c r="B785" s="84"/>
      <c r="C785" s="60"/>
      <c r="D785" s="66"/>
      <c r="E785" s="66"/>
      <c r="F785" s="66"/>
      <c r="G785" s="66"/>
      <c r="H785" s="66"/>
      <c r="I785" s="66"/>
      <c r="J785" s="66"/>
      <c r="K785" s="66"/>
      <c r="L785" s="66"/>
      <c r="M785" s="66"/>
      <c r="N785" s="66"/>
    </row>
    <row r="786" spans="1:14" x14ac:dyDescent="0.2">
      <c r="A786" s="84"/>
      <c r="B786" s="84"/>
      <c r="C786" s="60"/>
      <c r="D786" s="66"/>
      <c r="E786" s="66"/>
      <c r="F786" s="66"/>
      <c r="G786" s="66"/>
      <c r="H786" s="66"/>
      <c r="I786" s="66"/>
      <c r="J786" s="66"/>
      <c r="K786" s="66"/>
      <c r="L786" s="66"/>
      <c r="M786" s="66"/>
      <c r="N786" s="66"/>
    </row>
    <row r="787" spans="1:14" x14ac:dyDescent="0.2">
      <c r="A787" s="84"/>
      <c r="B787" s="84"/>
      <c r="C787" s="60"/>
      <c r="D787" s="66"/>
      <c r="E787" s="66"/>
      <c r="F787" s="66"/>
      <c r="G787" s="66"/>
      <c r="H787" s="66"/>
      <c r="I787" s="66"/>
      <c r="J787" s="66"/>
      <c r="K787" s="66"/>
      <c r="L787" s="66"/>
      <c r="M787" s="66"/>
      <c r="N787" s="66"/>
    </row>
    <row r="788" spans="1:14" x14ac:dyDescent="0.2">
      <c r="A788" s="84"/>
      <c r="B788" s="84"/>
      <c r="C788" s="60"/>
      <c r="D788" s="66"/>
      <c r="E788" s="66"/>
      <c r="F788" s="66"/>
      <c r="G788" s="66"/>
      <c r="H788" s="66"/>
      <c r="I788" s="66"/>
      <c r="J788" s="66"/>
      <c r="K788" s="66"/>
      <c r="L788" s="66"/>
      <c r="M788" s="66"/>
      <c r="N788" s="66"/>
    </row>
    <row r="789" spans="1:14" x14ac:dyDescent="0.2">
      <c r="A789" s="84"/>
      <c r="B789" s="84"/>
      <c r="C789" s="60"/>
      <c r="D789" s="66"/>
      <c r="E789" s="66"/>
      <c r="F789" s="66"/>
      <c r="G789" s="66"/>
      <c r="H789" s="66"/>
      <c r="I789" s="66"/>
      <c r="J789" s="66"/>
      <c r="K789" s="66"/>
      <c r="L789" s="66"/>
      <c r="M789" s="66"/>
      <c r="N789" s="66"/>
    </row>
    <row r="790" spans="1:14" x14ac:dyDescent="0.2">
      <c r="A790" s="84"/>
      <c r="B790" s="84"/>
      <c r="C790" s="60"/>
      <c r="D790" s="66"/>
      <c r="E790" s="66"/>
      <c r="F790" s="66"/>
      <c r="G790" s="66"/>
      <c r="H790" s="66"/>
      <c r="I790" s="66"/>
      <c r="J790" s="66"/>
      <c r="K790" s="66"/>
      <c r="L790" s="66"/>
      <c r="M790" s="66"/>
      <c r="N790" s="66"/>
    </row>
    <row r="791" spans="1:14" x14ac:dyDescent="0.2">
      <c r="A791" s="84"/>
      <c r="B791" s="84"/>
      <c r="C791" s="60"/>
      <c r="D791" s="66"/>
      <c r="E791" s="66"/>
      <c r="F791" s="66"/>
      <c r="G791" s="66"/>
      <c r="H791" s="66"/>
      <c r="I791" s="66"/>
      <c r="J791" s="66"/>
      <c r="K791" s="66"/>
      <c r="L791" s="66"/>
      <c r="M791" s="66"/>
      <c r="N791" s="66"/>
    </row>
    <row r="792" spans="1:14" x14ac:dyDescent="0.2">
      <c r="A792" s="84"/>
      <c r="B792" s="84"/>
      <c r="C792" s="60"/>
      <c r="D792" s="66"/>
      <c r="E792" s="66"/>
      <c r="F792" s="66"/>
      <c r="G792" s="66"/>
      <c r="H792" s="66"/>
      <c r="I792" s="66"/>
      <c r="J792" s="66"/>
      <c r="K792" s="66"/>
      <c r="L792" s="66"/>
      <c r="M792" s="66"/>
      <c r="N792" s="66"/>
    </row>
    <row r="793" spans="1:14" x14ac:dyDescent="0.2">
      <c r="A793" s="84"/>
      <c r="B793" s="84"/>
      <c r="C793" s="60"/>
      <c r="D793" s="66"/>
      <c r="E793" s="66"/>
      <c r="F793" s="66"/>
      <c r="G793" s="66"/>
      <c r="H793" s="66"/>
      <c r="I793" s="66"/>
      <c r="J793" s="66"/>
      <c r="K793" s="66"/>
      <c r="L793" s="66"/>
      <c r="M793" s="66"/>
      <c r="N793" s="66"/>
    </row>
    <row r="794" spans="1:14" x14ac:dyDescent="0.2">
      <c r="A794" s="84"/>
      <c r="B794" s="84"/>
      <c r="C794" s="60"/>
      <c r="D794" s="66"/>
      <c r="E794" s="66"/>
      <c r="F794" s="66"/>
      <c r="G794" s="66"/>
      <c r="H794" s="66"/>
      <c r="I794" s="66"/>
      <c r="J794" s="66"/>
      <c r="K794" s="66"/>
      <c r="L794" s="66"/>
      <c r="M794" s="66"/>
      <c r="N794" s="66"/>
    </row>
    <row r="795" spans="1:14" x14ac:dyDescent="0.2">
      <c r="A795" s="84"/>
      <c r="B795" s="84"/>
      <c r="C795" s="60"/>
      <c r="D795" s="66"/>
      <c r="E795" s="66"/>
      <c r="F795" s="66"/>
      <c r="G795" s="66"/>
      <c r="H795" s="66"/>
      <c r="I795" s="66"/>
      <c r="J795" s="66"/>
      <c r="K795" s="66"/>
      <c r="L795" s="66"/>
      <c r="M795" s="66"/>
      <c r="N795" s="66"/>
    </row>
    <row r="796" spans="1:14" x14ac:dyDescent="0.2">
      <c r="A796" s="84"/>
      <c r="B796" s="84"/>
      <c r="C796" s="60"/>
      <c r="D796" s="66"/>
      <c r="E796" s="66"/>
      <c r="F796" s="66"/>
      <c r="G796" s="66"/>
      <c r="H796" s="66"/>
      <c r="I796" s="66"/>
      <c r="J796" s="66"/>
      <c r="K796" s="66"/>
      <c r="L796" s="66"/>
      <c r="M796" s="66"/>
      <c r="N796" s="66"/>
    </row>
    <row r="797" spans="1:14" x14ac:dyDescent="0.2">
      <c r="A797" s="84"/>
      <c r="B797" s="84"/>
      <c r="C797" s="60"/>
      <c r="D797" s="66"/>
      <c r="E797" s="66"/>
      <c r="F797" s="66"/>
      <c r="G797" s="66"/>
      <c r="H797" s="66"/>
      <c r="I797" s="66"/>
      <c r="J797" s="66"/>
      <c r="K797" s="66"/>
      <c r="L797" s="66"/>
      <c r="M797" s="66"/>
      <c r="N797" s="66"/>
    </row>
    <row r="798" spans="1:14" x14ac:dyDescent="0.2">
      <c r="A798" s="84"/>
      <c r="B798" s="84"/>
      <c r="C798" s="60"/>
      <c r="D798" s="66"/>
      <c r="E798" s="66"/>
      <c r="F798" s="66"/>
      <c r="G798" s="66"/>
      <c r="H798" s="66"/>
      <c r="I798" s="66"/>
      <c r="J798" s="66"/>
      <c r="K798" s="66"/>
      <c r="L798" s="66"/>
      <c r="M798" s="66"/>
      <c r="N798" s="66"/>
    </row>
    <row r="799" spans="1:14" x14ac:dyDescent="0.2">
      <c r="A799" s="84"/>
      <c r="B799" s="84"/>
      <c r="C799" s="60"/>
      <c r="D799" s="66"/>
      <c r="E799" s="66"/>
      <c r="F799" s="66"/>
      <c r="G799" s="66"/>
      <c r="H799" s="66"/>
      <c r="I799" s="66"/>
      <c r="J799" s="66"/>
      <c r="K799" s="66"/>
      <c r="L799" s="66"/>
      <c r="M799" s="66"/>
      <c r="N799" s="66"/>
    </row>
    <row r="800" spans="1:14" x14ac:dyDescent="0.2">
      <c r="A800" s="84"/>
      <c r="B800" s="84"/>
      <c r="C800" s="60"/>
      <c r="D800" s="66"/>
      <c r="E800" s="66"/>
      <c r="F800" s="66"/>
      <c r="G800" s="66"/>
      <c r="H800" s="66"/>
      <c r="I800" s="66"/>
      <c r="J800" s="66"/>
      <c r="K800" s="66"/>
      <c r="L800" s="66"/>
      <c r="M800" s="66"/>
      <c r="N800" s="66"/>
    </row>
    <row r="801" spans="1:14" x14ac:dyDescent="0.2">
      <c r="A801" s="84"/>
      <c r="B801" s="84"/>
      <c r="C801" s="60"/>
      <c r="D801" s="66"/>
      <c r="E801" s="66"/>
      <c r="F801" s="66"/>
      <c r="G801" s="66"/>
      <c r="H801" s="66"/>
      <c r="I801" s="66"/>
      <c r="J801" s="66"/>
      <c r="K801" s="66"/>
      <c r="L801" s="66"/>
      <c r="M801" s="66"/>
      <c r="N801" s="66"/>
    </row>
    <row r="802" spans="1:14" x14ac:dyDescent="0.2">
      <c r="A802" s="84"/>
      <c r="B802" s="84"/>
      <c r="C802" s="60"/>
      <c r="D802" s="66"/>
      <c r="E802" s="66"/>
      <c r="F802" s="66"/>
      <c r="G802" s="66"/>
      <c r="H802" s="66"/>
      <c r="I802" s="66"/>
      <c r="J802" s="66"/>
      <c r="K802" s="66"/>
      <c r="L802" s="66"/>
      <c r="M802" s="66"/>
      <c r="N802" s="66"/>
    </row>
    <row r="803" spans="1:14" x14ac:dyDescent="0.2">
      <c r="A803" s="84"/>
      <c r="B803" s="84"/>
      <c r="C803" s="60"/>
      <c r="D803" s="66"/>
      <c r="E803" s="66"/>
      <c r="F803" s="66"/>
      <c r="G803" s="66"/>
      <c r="H803" s="66"/>
      <c r="I803" s="66"/>
      <c r="J803" s="66"/>
      <c r="K803" s="66"/>
      <c r="L803" s="66"/>
      <c r="M803" s="66"/>
      <c r="N803" s="66"/>
    </row>
    <row r="804" spans="1:14" x14ac:dyDescent="0.2">
      <c r="A804" s="84"/>
      <c r="B804" s="84"/>
      <c r="C804" s="60"/>
      <c r="D804" s="66"/>
      <c r="E804" s="66"/>
      <c r="F804" s="66"/>
      <c r="G804" s="66"/>
      <c r="H804" s="66"/>
      <c r="I804" s="66"/>
      <c r="J804" s="66"/>
      <c r="K804" s="66"/>
      <c r="L804" s="66"/>
      <c r="M804" s="66"/>
      <c r="N804" s="66"/>
    </row>
    <row r="805" spans="1:14" x14ac:dyDescent="0.2">
      <c r="A805" s="84"/>
      <c r="B805" s="84"/>
      <c r="C805" s="60"/>
      <c r="D805" s="66"/>
      <c r="E805" s="66"/>
      <c r="F805" s="66"/>
      <c r="G805" s="66"/>
      <c r="H805" s="66"/>
      <c r="I805" s="66"/>
      <c r="J805" s="66"/>
      <c r="K805" s="66"/>
      <c r="L805" s="66"/>
      <c r="M805" s="66"/>
      <c r="N805" s="66"/>
    </row>
    <row r="806" spans="1:14" x14ac:dyDescent="0.2">
      <c r="A806" s="84"/>
      <c r="B806" s="84"/>
      <c r="C806" s="60"/>
      <c r="D806" s="66"/>
      <c r="E806" s="66"/>
      <c r="F806" s="66"/>
      <c r="G806" s="66"/>
      <c r="H806" s="66"/>
      <c r="I806" s="66"/>
      <c r="J806" s="66"/>
      <c r="K806" s="66"/>
      <c r="L806" s="66"/>
      <c r="M806" s="66"/>
      <c r="N806" s="66"/>
    </row>
    <row r="807" spans="1:14" x14ac:dyDescent="0.2">
      <c r="A807" s="84"/>
      <c r="B807" s="84"/>
      <c r="C807" s="60"/>
      <c r="D807" s="66"/>
      <c r="E807" s="66"/>
      <c r="F807" s="66"/>
      <c r="G807" s="66"/>
      <c r="H807" s="66"/>
      <c r="I807" s="66"/>
      <c r="J807" s="66"/>
      <c r="K807" s="66"/>
      <c r="L807" s="66"/>
      <c r="M807" s="66"/>
      <c r="N807" s="66"/>
    </row>
    <row r="808" spans="1:14" x14ac:dyDescent="0.2">
      <c r="A808" s="84"/>
      <c r="B808" s="84"/>
      <c r="C808" s="60"/>
      <c r="D808" s="66"/>
      <c r="E808" s="66"/>
      <c r="F808" s="66"/>
      <c r="G808" s="66"/>
      <c r="H808" s="66"/>
      <c r="I808" s="66"/>
      <c r="J808" s="66"/>
      <c r="K808" s="66"/>
      <c r="L808" s="66"/>
      <c r="M808" s="66"/>
      <c r="N808" s="66"/>
    </row>
    <row r="809" spans="1:14" x14ac:dyDescent="0.2">
      <c r="A809" s="84"/>
      <c r="B809" s="84"/>
      <c r="C809" s="60"/>
      <c r="D809" s="66"/>
      <c r="E809" s="66"/>
      <c r="F809" s="66"/>
      <c r="G809" s="66"/>
      <c r="H809" s="66"/>
      <c r="I809" s="66"/>
      <c r="J809" s="66"/>
      <c r="K809" s="66"/>
      <c r="L809" s="66"/>
      <c r="M809" s="66"/>
      <c r="N809" s="66"/>
    </row>
    <row r="810" spans="1:14" x14ac:dyDescent="0.2">
      <c r="A810" s="84"/>
      <c r="B810" s="84"/>
      <c r="C810" s="60"/>
      <c r="D810" s="66"/>
      <c r="E810" s="66"/>
      <c r="F810" s="66"/>
      <c r="G810" s="66"/>
      <c r="H810" s="66"/>
      <c r="I810" s="66"/>
      <c r="J810" s="66"/>
      <c r="K810" s="66"/>
      <c r="L810" s="66"/>
      <c r="M810" s="66"/>
      <c r="N810" s="66"/>
    </row>
    <row r="811" spans="1:14" x14ac:dyDescent="0.2">
      <c r="A811" s="84"/>
      <c r="B811" s="84"/>
      <c r="C811" s="60"/>
      <c r="D811" s="66"/>
      <c r="E811" s="66"/>
      <c r="F811" s="66"/>
      <c r="G811" s="66"/>
      <c r="H811" s="66"/>
      <c r="I811" s="66"/>
      <c r="J811" s="66"/>
      <c r="K811" s="66"/>
      <c r="L811" s="66"/>
      <c r="M811" s="66"/>
      <c r="N811" s="66"/>
    </row>
    <row r="812" spans="1:14" x14ac:dyDescent="0.2">
      <c r="A812" s="84"/>
      <c r="B812" s="84"/>
      <c r="C812" s="60"/>
      <c r="D812" s="66"/>
      <c r="E812" s="66"/>
      <c r="F812" s="66"/>
      <c r="G812" s="66"/>
      <c r="H812" s="66"/>
      <c r="I812" s="66"/>
      <c r="J812" s="66"/>
      <c r="K812" s="66"/>
      <c r="L812" s="66"/>
      <c r="M812" s="66"/>
      <c r="N812" s="66"/>
    </row>
    <row r="813" spans="1:14" x14ac:dyDescent="0.2">
      <c r="A813" s="84"/>
      <c r="B813" s="84"/>
      <c r="C813" s="60"/>
      <c r="D813" s="66"/>
      <c r="E813" s="66"/>
      <c r="F813" s="66"/>
      <c r="G813" s="66"/>
      <c r="H813" s="66"/>
      <c r="I813" s="66"/>
      <c r="J813" s="66"/>
      <c r="K813" s="66"/>
      <c r="L813" s="66"/>
      <c r="M813" s="66"/>
      <c r="N813" s="66"/>
    </row>
    <row r="814" spans="1:14" x14ac:dyDescent="0.2">
      <c r="A814" s="84"/>
      <c r="B814" s="84"/>
      <c r="C814" s="60"/>
      <c r="D814" s="66"/>
      <c r="E814" s="66"/>
      <c r="F814" s="66"/>
      <c r="G814" s="66"/>
      <c r="H814" s="66"/>
      <c r="I814" s="66"/>
      <c r="J814" s="66"/>
      <c r="K814" s="66"/>
      <c r="L814" s="66"/>
      <c r="M814" s="66"/>
      <c r="N814" s="66"/>
    </row>
    <row r="815" spans="1:14" x14ac:dyDescent="0.2">
      <c r="A815" s="84"/>
      <c r="B815" s="84"/>
      <c r="C815" s="60"/>
      <c r="D815" s="66"/>
      <c r="E815" s="66"/>
      <c r="F815" s="66"/>
      <c r="G815" s="66"/>
      <c r="H815" s="66"/>
      <c r="I815" s="66"/>
      <c r="J815" s="66"/>
      <c r="K815" s="66"/>
      <c r="L815" s="66"/>
      <c r="M815" s="66"/>
      <c r="N815" s="66"/>
    </row>
    <row r="816" spans="1:14" x14ac:dyDescent="0.2">
      <c r="A816" s="84"/>
      <c r="B816" s="84"/>
      <c r="C816" s="60"/>
      <c r="D816" s="66"/>
      <c r="E816" s="66"/>
      <c r="F816" s="66"/>
      <c r="G816" s="66"/>
      <c r="H816" s="66"/>
      <c r="I816" s="66"/>
      <c r="J816" s="66"/>
      <c r="K816" s="66"/>
      <c r="L816" s="66"/>
      <c r="M816" s="66"/>
      <c r="N816" s="66"/>
    </row>
    <row r="817" spans="1:14" x14ac:dyDescent="0.2">
      <c r="A817" s="84"/>
      <c r="B817" s="84"/>
      <c r="C817" s="60"/>
      <c r="D817" s="66"/>
      <c r="E817" s="66"/>
      <c r="F817" s="66"/>
      <c r="G817" s="66"/>
      <c r="H817" s="66"/>
      <c r="I817" s="66"/>
      <c r="J817" s="66"/>
      <c r="K817" s="66"/>
      <c r="L817" s="66"/>
      <c r="M817" s="66"/>
      <c r="N817" s="66"/>
    </row>
    <row r="818" spans="1:14" x14ac:dyDescent="0.2">
      <c r="A818" s="84"/>
      <c r="B818" s="84"/>
      <c r="C818" s="60"/>
      <c r="D818" s="66"/>
      <c r="E818" s="66"/>
      <c r="F818" s="66"/>
      <c r="G818" s="66"/>
      <c r="H818" s="66"/>
      <c r="I818" s="66"/>
      <c r="J818" s="66"/>
      <c r="K818" s="66"/>
      <c r="L818" s="66"/>
      <c r="M818" s="66"/>
      <c r="N818" s="66"/>
    </row>
    <row r="819" spans="1:14" x14ac:dyDescent="0.2">
      <c r="A819" s="84"/>
      <c r="B819" s="84"/>
      <c r="C819" s="60"/>
      <c r="D819" s="66"/>
      <c r="E819" s="66"/>
      <c r="F819" s="66"/>
      <c r="G819" s="66"/>
      <c r="H819" s="66"/>
      <c r="I819" s="66"/>
      <c r="J819" s="66"/>
      <c r="K819" s="66"/>
      <c r="L819" s="66"/>
      <c r="M819" s="66"/>
      <c r="N819" s="66"/>
    </row>
    <row r="820" spans="1:14" x14ac:dyDescent="0.2">
      <c r="A820" s="84"/>
      <c r="B820" s="84"/>
      <c r="C820" s="60"/>
      <c r="D820" s="66"/>
      <c r="E820" s="66"/>
      <c r="F820" s="66"/>
      <c r="G820" s="66"/>
      <c r="H820" s="66"/>
      <c r="I820" s="66"/>
      <c r="J820" s="66"/>
      <c r="K820" s="66"/>
      <c r="L820" s="66"/>
      <c r="M820" s="66"/>
      <c r="N820" s="66"/>
    </row>
    <row r="821" spans="1:14" x14ac:dyDescent="0.2">
      <c r="A821" s="84"/>
      <c r="B821" s="84"/>
      <c r="C821" s="60"/>
      <c r="D821" s="66"/>
      <c r="E821" s="66"/>
      <c r="F821" s="66"/>
      <c r="G821" s="66"/>
      <c r="H821" s="66"/>
      <c r="I821" s="66"/>
      <c r="J821" s="66"/>
      <c r="K821" s="66"/>
      <c r="L821" s="66"/>
      <c r="M821" s="66"/>
      <c r="N821" s="66"/>
    </row>
    <row r="822" spans="1:14" x14ac:dyDescent="0.2">
      <c r="A822" s="84"/>
      <c r="B822" s="84"/>
      <c r="C822" s="60"/>
      <c r="D822" s="66"/>
      <c r="E822" s="66"/>
      <c r="F822" s="66"/>
      <c r="G822" s="66"/>
      <c r="H822" s="66"/>
      <c r="I822" s="66"/>
      <c r="J822" s="66"/>
      <c r="K822" s="66"/>
      <c r="L822" s="66"/>
      <c r="M822" s="66"/>
      <c r="N822" s="66"/>
    </row>
    <row r="823" spans="1:14" x14ac:dyDescent="0.2">
      <c r="A823" s="84"/>
      <c r="B823" s="84"/>
      <c r="C823" s="60"/>
      <c r="D823" s="66"/>
      <c r="E823" s="66"/>
      <c r="F823" s="66"/>
      <c r="G823" s="66"/>
      <c r="H823" s="66"/>
      <c r="I823" s="66"/>
      <c r="J823" s="66"/>
      <c r="K823" s="66"/>
      <c r="L823" s="66"/>
      <c r="M823" s="66"/>
      <c r="N823" s="66"/>
    </row>
    <row r="824" spans="1:14" x14ac:dyDescent="0.2">
      <c r="A824" s="84"/>
      <c r="B824" s="84"/>
      <c r="C824" s="60"/>
      <c r="D824" s="66"/>
      <c r="E824" s="66"/>
      <c r="F824" s="66"/>
      <c r="G824" s="66"/>
      <c r="H824" s="66"/>
      <c r="I824" s="66"/>
      <c r="J824" s="66"/>
      <c r="K824" s="66"/>
      <c r="L824" s="66"/>
      <c r="M824" s="66"/>
      <c r="N824" s="66"/>
    </row>
    <row r="825" spans="1:14" x14ac:dyDescent="0.2">
      <c r="A825" s="84"/>
      <c r="B825" s="84"/>
      <c r="C825" s="60"/>
      <c r="D825" s="66"/>
      <c r="E825" s="66"/>
      <c r="F825" s="66"/>
      <c r="G825" s="66"/>
      <c r="H825" s="66"/>
      <c r="I825" s="66"/>
      <c r="J825" s="66"/>
      <c r="K825" s="66"/>
      <c r="L825" s="66"/>
      <c r="M825" s="66"/>
      <c r="N825" s="66"/>
    </row>
    <row r="826" spans="1:14" x14ac:dyDescent="0.2">
      <c r="A826" s="84"/>
      <c r="B826" s="84"/>
      <c r="C826" s="60"/>
      <c r="D826" s="66"/>
      <c r="E826" s="66"/>
      <c r="F826" s="66"/>
      <c r="G826" s="66"/>
      <c r="H826" s="66"/>
      <c r="I826" s="66"/>
      <c r="J826" s="66"/>
      <c r="K826" s="66"/>
      <c r="L826" s="66"/>
      <c r="M826" s="66"/>
      <c r="N826" s="66"/>
    </row>
    <row r="827" spans="1:14" x14ac:dyDescent="0.2">
      <c r="A827" s="84"/>
      <c r="B827" s="84"/>
      <c r="C827" s="60"/>
      <c r="D827" s="66"/>
      <c r="E827" s="66"/>
      <c r="F827" s="66"/>
      <c r="G827" s="66"/>
      <c r="H827" s="66"/>
      <c r="I827" s="66"/>
      <c r="J827" s="66"/>
      <c r="K827" s="66"/>
      <c r="L827" s="66"/>
      <c r="M827" s="66"/>
      <c r="N827" s="66"/>
    </row>
    <row r="828" spans="1:14" x14ac:dyDescent="0.2">
      <c r="A828" s="84"/>
      <c r="B828" s="84"/>
      <c r="C828" s="60"/>
      <c r="D828" s="66"/>
      <c r="E828" s="66"/>
      <c r="F828" s="66"/>
      <c r="G828" s="66"/>
      <c r="H828" s="66"/>
      <c r="I828" s="66"/>
      <c r="J828" s="66"/>
      <c r="K828" s="66"/>
      <c r="L828" s="66"/>
      <c r="M828" s="66"/>
      <c r="N828" s="66"/>
    </row>
    <row r="829" spans="1:14" x14ac:dyDescent="0.2">
      <c r="A829" s="84"/>
      <c r="B829" s="84"/>
      <c r="C829" s="60"/>
      <c r="D829" s="66"/>
      <c r="E829" s="66"/>
      <c r="F829" s="66"/>
      <c r="G829" s="66"/>
      <c r="H829" s="66"/>
      <c r="I829" s="66"/>
      <c r="J829" s="66"/>
      <c r="K829" s="66"/>
      <c r="L829" s="66"/>
      <c r="M829" s="66"/>
      <c r="N829" s="66"/>
    </row>
    <row r="830" spans="1:14" x14ac:dyDescent="0.2">
      <c r="A830" s="84"/>
      <c r="B830" s="84"/>
      <c r="C830" s="60"/>
      <c r="D830" s="66"/>
      <c r="E830" s="66"/>
      <c r="F830" s="66"/>
      <c r="G830" s="66"/>
      <c r="H830" s="66"/>
      <c r="I830" s="66"/>
      <c r="J830" s="66"/>
      <c r="K830" s="66"/>
      <c r="L830" s="66"/>
      <c r="M830" s="66"/>
      <c r="N830" s="66"/>
    </row>
    <row r="831" spans="1:14" x14ac:dyDescent="0.2">
      <c r="A831" s="84"/>
      <c r="B831" s="84"/>
      <c r="C831" s="60"/>
      <c r="D831" s="66"/>
      <c r="E831" s="66"/>
      <c r="F831" s="66"/>
      <c r="G831" s="66"/>
      <c r="H831" s="66"/>
      <c r="I831" s="66"/>
      <c r="J831" s="66"/>
      <c r="K831" s="66"/>
      <c r="L831" s="66"/>
      <c r="M831" s="66"/>
      <c r="N831" s="66"/>
    </row>
    <row r="832" spans="1:14" x14ac:dyDescent="0.2">
      <c r="A832" s="84"/>
      <c r="B832" s="84"/>
      <c r="C832" s="60"/>
      <c r="D832" s="66"/>
      <c r="E832" s="66"/>
      <c r="F832" s="66"/>
      <c r="G832" s="66"/>
      <c r="H832" s="66"/>
      <c r="I832" s="66"/>
      <c r="J832" s="66"/>
      <c r="K832" s="66"/>
      <c r="L832" s="66"/>
      <c r="M832" s="66"/>
      <c r="N832" s="66"/>
    </row>
    <row r="833" spans="1:14" x14ac:dyDescent="0.2">
      <c r="A833" s="84"/>
      <c r="B833" s="84"/>
      <c r="C833" s="60"/>
      <c r="D833" s="66"/>
      <c r="E833" s="66"/>
      <c r="F833" s="66"/>
      <c r="G833" s="66"/>
      <c r="H833" s="66"/>
      <c r="I833" s="66"/>
      <c r="J833" s="66"/>
      <c r="K833" s="66"/>
      <c r="L833" s="66"/>
      <c r="M833" s="66"/>
      <c r="N833" s="66"/>
    </row>
    <row r="834" spans="1:14" x14ac:dyDescent="0.2">
      <c r="A834" s="84"/>
      <c r="B834" s="84"/>
      <c r="C834" s="60"/>
      <c r="D834" s="66"/>
      <c r="E834" s="66"/>
      <c r="F834" s="66"/>
      <c r="G834" s="66"/>
      <c r="H834" s="66"/>
      <c r="I834" s="66"/>
      <c r="J834" s="66"/>
      <c r="K834" s="66"/>
      <c r="L834" s="66"/>
      <c r="M834" s="66"/>
      <c r="N834" s="66"/>
    </row>
    <row r="835" spans="1:14" x14ac:dyDescent="0.2">
      <c r="A835" s="84"/>
      <c r="B835" s="84"/>
      <c r="C835" s="60"/>
      <c r="D835" s="66"/>
      <c r="E835" s="66"/>
      <c r="F835" s="66"/>
      <c r="G835" s="66"/>
      <c r="H835" s="66"/>
      <c r="I835" s="66"/>
      <c r="J835" s="66"/>
      <c r="K835" s="66"/>
      <c r="L835" s="66"/>
      <c r="M835" s="66"/>
      <c r="N835" s="66"/>
    </row>
    <row r="836" spans="1:14" x14ac:dyDescent="0.2">
      <c r="A836" s="84"/>
      <c r="B836" s="84"/>
      <c r="C836" s="60"/>
      <c r="D836" s="66"/>
      <c r="E836" s="66"/>
      <c r="F836" s="66"/>
      <c r="G836" s="66"/>
      <c r="H836" s="66"/>
      <c r="I836" s="66"/>
      <c r="J836" s="66"/>
      <c r="K836" s="66"/>
      <c r="L836" s="66"/>
      <c r="M836" s="66"/>
      <c r="N836" s="66"/>
    </row>
    <row r="837" spans="1:14" x14ac:dyDescent="0.2">
      <c r="A837" s="84"/>
      <c r="B837" s="84"/>
      <c r="C837" s="60"/>
      <c r="D837" s="66"/>
      <c r="E837" s="66"/>
      <c r="F837" s="66"/>
      <c r="G837" s="66"/>
      <c r="H837" s="66"/>
      <c r="I837" s="66"/>
      <c r="J837" s="66"/>
      <c r="K837" s="66"/>
      <c r="L837" s="66"/>
      <c r="M837" s="66"/>
      <c r="N837" s="66"/>
    </row>
    <row r="838" spans="1:14" x14ac:dyDescent="0.2">
      <c r="A838" s="84"/>
      <c r="B838" s="84"/>
      <c r="C838" s="60"/>
      <c r="D838" s="66"/>
      <c r="E838" s="66"/>
      <c r="F838" s="66"/>
      <c r="G838" s="66"/>
      <c r="H838" s="66"/>
      <c r="I838" s="66"/>
      <c r="J838" s="66"/>
      <c r="K838" s="66"/>
      <c r="L838" s="66"/>
      <c r="M838" s="66"/>
      <c r="N838" s="66"/>
    </row>
    <row r="839" spans="1:14" x14ac:dyDescent="0.2">
      <c r="A839" s="84"/>
      <c r="B839" s="84"/>
      <c r="C839" s="60"/>
      <c r="D839" s="66"/>
      <c r="E839" s="66"/>
      <c r="F839" s="66"/>
      <c r="G839" s="66"/>
      <c r="H839" s="66"/>
      <c r="I839" s="66"/>
      <c r="J839" s="66"/>
      <c r="K839" s="66"/>
      <c r="L839" s="66"/>
      <c r="M839" s="66"/>
      <c r="N839" s="66"/>
    </row>
    <row r="840" spans="1:14" x14ac:dyDescent="0.2">
      <c r="A840" s="84"/>
      <c r="B840" s="84"/>
      <c r="C840" s="60"/>
      <c r="D840" s="66"/>
      <c r="E840" s="66"/>
      <c r="F840" s="66"/>
      <c r="G840" s="66"/>
      <c r="H840" s="66"/>
      <c r="I840" s="66"/>
      <c r="J840" s="66"/>
      <c r="K840" s="66"/>
      <c r="L840" s="66"/>
      <c r="M840" s="66"/>
      <c r="N840" s="66"/>
    </row>
    <row r="841" spans="1:14" x14ac:dyDescent="0.2">
      <c r="A841" s="84"/>
      <c r="B841" s="84"/>
      <c r="C841" s="60"/>
      <c r="D841" s="66"/>
      <c r="E841" s="66"/>
      <c r="F841" s="66"/>
      <c r="G841" s="66"/>
      <c r="H841" s="66"/>
      <c r="I841" s="66"/>
      <c r="J841" s="66"/>
      <c r="K841" s="66"/>
      <c r="L841" s="66"/>
      <c r="M841" s="66"/>
      <c r="N841" s="66"/>
    </row>
    <row r="842" spans="1:14" x14ac:dyDescent="0.2">
      <c r="A842" s="84"/>
      <c r="B842" s="84"/>
      <c r="C842" s="60"/>
      <c r="D842" s="66"/>
      <c r="E842" s="66"/>
      <c r="F842" s="66"/>
      <c r="G842" s="66"/>
      <c r="H842" s="66"/>
      <c r="I842" s="66"/>
      <c r="J842" s="66"/>
      <c r="K842" s="66"/>
      <c r="L842" s="66"/>
      <c r="M842" s="66"/>
      <c r="N842" s="66"/>
    </row>
    <row r="843" spans="1:14" x14ac:dyDescent="0.2">
      <c r="A843" s="84"/>
      <c r="B843" s="84"/>
      <c r="C843" s="60"/>
      <c r="D843" s="66"/>
      <c r="E843" s="66"/>
      <c r="F843" s="66"/>
      <c r="G843" s="66"/>
      <c r="H843" s="66"/>
      <c r="I843" s="66"/>
      <c r="J843" s="66"/>
      <c r="K843" s="66"/>
      <c r="L843" s="66"/>
      <c r="M843" s="66"/>
      <c r="N843" s="66"/>
    </row>
    <row r="844" spans="1:14" x14ac:dyDescent="0.2">
      <c r="A844" s="84"/>
      <c r="B844" s="84"/>
      <c r="C844" s="60"/>
      <c r="D844" s="66"/>
      <c r="E844" s="66"/>
      <c r="F844" s="66"/>
      <c r="G844" s="66"/>
      <c r="H844" s="66"/>
      <c r="I844" s="66"/>
      <c r="J844" s="66"/>
      <c r="K844" s="66"/>
      <c r="L844" s="66"/>
      <c r="M844" s="66"/>
      <c r="N844" s="66"/>
    </row>
    <row r="845" spans="1:14" x14ac:dyDescent="0.2">
      <c r="A845" s="84"/>
      <c r="B845" s="84"/>
      <c r="C845" s="60"/>
      <c r="D845" s="66"/>
      <c r="E845" s="66"/>
      <c r="F845" s="66"/>
      <c r="G845" s="66"/>
      <c r="H845" s="66"/>
      <c r="I845" s="66"/>
      <c r="J845" s="66"/>
      <c r="K845" s="66"/>
      <c r="L845" s="66"/>
      <c r="M845" s="66"/>
      <c r="N845" s="66"/>
    </row>
    <row r="846" spans="1:14" x14ac:dyDescent="0.2">
      <c r="A846" s="84"/>
      <c r="B846" s="84"/>
      <c r="C846" s="60"/>
      <c r="D846" s="66"/>
      <c r="E846" s="66"/>
      <c r="F846" s="66"/>
      <c r="G846" s="66"/>
      <c r="H846" s="66"/>
      <c r="I846" s="66"/>
      <c r="J846" s="66"/>
      <c r="K846" s="66"/>
      <c r="L846" s="66"/>
      <c r="M846" s="66"/>
      <c r="N846" s="66"/>
    </row>
    <row r="847" spans="1:14" x14ac:dyDescent="0.2">
      <c r="A847" s="84"/>
      <c r="B847" s="84"/>
      <c r="C847" s="60"/>
      <c r="D847" s="66"/>
      <c r="E847" s="66"/>
      <c r="F847" s="66"/>
      <c r="G847" s="66"/>
      <c r="H847" s="66"/>
      <c r="I847" s="66"/>
      <c r="J847" s="66"/>
      <c r="K847" s="66"/>
      <c r="L847" s="66"/>
      <c r="M847" s="66"/>
      <c r="N847" s="66"/>
    </row>
    <row r="848" spans="1:14" x14ac:dyDescent="0.2">
      <c r="A848" s="84"/>
      <c r="B848" s="84"/>
      <c r="C848" s="60"/>
      <c r="D848" s="66"/>
      <c r="E848" s="66"/>
      <c r="F848" s="66"/>
      <c r="G848" s="66"/>
      <c r="H848" s="66"/>
      <c r="I848" s="66"/>
      <c r="J848" s="66"/>
      <c r="K848" s="66"/>
      <c r="L848" s="66"/>
      <c r="M848" s="66"/>
      <c r="N848" s="66"/>
    </row>
    <row r="849" spans="1:14" x14ac:dyDescent="0.2">
      <c r="A849" s="84"/>
      <c r="B849" s="84"/>
      <c r="C849" s="60"/>
      <c r="D849" s="66"/>
      <c r="E849" s="66"/>
      <c r="F849" s="66"/>
      <c r="G849" s="66"/>
      <c r="H849" s="66"/>
      <c r="I849" s="66"/>
      <c r="J849" s="66"/>
      <c r="K849" s="66"/>
      <c r="L849" s="66"/>
      <c r="M849" s="66"/>
      <c r="N849" s="66"/>
    </row>
    <row r="850" spans="1:14" x14ac:dyDescent="0.2">
      <c r="A850" s="84"/>
      <c r="B850" s="84"/>
      <c r="C850" s="60"/>
      <c r="D850" s="66"/>
      <c r="E850" s="66"/>
      <c r="F850" s="66"/>
      <c r="G850" s="66"/>
      <c r="H850" s="66"/>
      <c r="I850" s="66"/>
      <c r="J850" s="66"/>
      <c r="K850" s="66"/>
      <c r="L850" s="66"/>
      <c r="M850" s="66"/>
      <c r="N850" s="66"/>
    </row>
    <row r="851" spans="1:14" x14ac:dyDescent="0.2">
      <c r="A851" s="84"/>
      <c r="B851" s="84"/>
      <c r="C851" s="60"/>
      <c r="D851" s="66"/>
      <c r="E851" s="66"/>
      <c r="F851" s="66"/>
      <c r="G851" s="66"/>
      <c r="H851" s="66"/>
      <c r="I851" s="66"/>
      <c r="J851" s="66"/>
      <c r="K851" s="66"/>
      <c r="L851" s="66"/>
      <c r="M851" s="66"/>
      <c r="N851" s="66"/>
    </row>
    <row r="852" spans="1:14" x14ac:dyDescent="0.2">
      <c r="A852" s="84"/>
      <c r="B852" s="84"/>
      <c r="C852" s="60"/>
      <c r="D852" s="66"/>
      <c r="E852" s="66"/>
      <c r="F852" s="66"/>
      <c r="G852" s="66"/>
      <c r="H852" s="66"/>
      <c r="I852" s="66"/>
      <c r="J852" s="66"/>
      <c r="K852" s="66"/>
      <c r="L852" s="66"/>
      <c r="M852" s="66"/>
      <c r="N852" s="66"/>
    </row>
    <row r="853" spans="1:14" x14ac:dyDescent="0.2">
      <c r="A853" s="84"/>
      <c r="B853" s="84"/>
      <c r="C853" s="60"/>
      <c r="D853" s="66"/>
      <c r="E853" s="66"/>
      <c r="F853" s="66"/>
      <c r="G853" s="66"/>
      <c r="H853" s="66"/>
      <c r="I853" s="66"/>
      <c r="J853" s="66"/>
      <c r="K853" s="66"/>
      <c r="L853" s="66"/>
      <c r="M853" s="66"/>
      <c r="N853" s="66"/>
    </row>
    <row r="854" spans="1:14" x14ac:dyDescent="0.2">
      <c r="A854" s="84"/>
      <c r="B854" s="84"/>
      <c r="C854" s="60"/>
      <c r="D854" s="66"/>
      <c r="E854" s="66"/>
      <c r="F854" s="66"/>
      <c r="G854" s="66"/>
      <c r="H854" s="66"/>
      <c r="I854" s="66"/>
      <c r="J854" s="66"/>
      <c r="K854" s="66"/>
      <c r="L854" s="66"/>
      <c r="M854" s="66"/>
      <c r="N854" s="66"/>
    </row>
    <row r="855" spans="1:14" x14ac:dyDescent="0.2">
      <c r="A855" s="84"/>
      <c r="B855" s="84"/>
      <c r="C855" s="60"/>
      <c r="D855" s="66"/>
      <c r="E855" s="66"/>
      <c r="F855" s="66"/>
      <c r="G855" s="66"/>
      <c r="H855" s="66"/>
      <c r="I855" s="66"/>
      <c r="J855" s="66"/>
      <c r="K855" s="66"/>
      <c r="L855" s="66"/>
      <c r="M855" s="66"/>
      <c r="N855" s="66"/>
    </row>
    <row r="856" spans="1:14" x14ac:dyDescent="0.2">
      <c r="A856" s="84"/>
      <c r="B856" s="84"/>
      <c r="C856" s="60"/>
      <c r="D856" s="66"/>
      <c r="E856" s="66"/>
      <c r="F856" s="66"/>
      <c r="G856" s="66"/>
      <c r="H856" s="66"/>
      <c r="I856" s="66"/>
      <c r="J856" s="66"/>
      <c r="K856" s="66"/>
      <c r="L856" s="66"/>
      <c r="M856" s="66"/>
      <c r="N856" s="66"/>
    </row>
    <row r="857" spans="1:14" x14ac:dyDescent="0.2">
      <c r="A857" s="84"/>
      <c r="B857" s="84"/>
      <c r="C857" s="60"/>
      <c r="D857" s="66"/>
      <c r="E857" s="66"/>
      <c r="F857" s="66"/>
      <c r="G857" s="66"/>
      <c r="H857" s="66"/>
      <c r="I857" s="66"/>
      <c r="J857" s="66"/>
      <c r="K857" s="66"/>
      <c r="L857" s="66"/>
      <c r="M857" s="66"/>
      <c r="N857" s="66"/>
    </row>
    <row r="858" spans="1:14" x14ac:dyDescent="0.2">
      <c r="A858" s="84"/>
      <c r="B858" s="84"/>
      <c r="C858" s="60"/>
      <c r="D858" s="66"/>
      <c r="E858" s="66"/>
      <c r="F858" s="66"/>
      <c r="G858" s="66"/>
      <c r="H858" s="66"/>
      <c r="I858" s="66"/>
      <c r="J858" s="66"/>
      <c r="K858" s="66"/>
      <c r="L858" s="66"/>
      <c r="M858" s="66"/>
      <c r="N858" s="66"/>
    </row>
    <row r="859" spans="1:14" x14ac:dyDescent="0.2">
      <c r="A859" s="84"/>
      <c r="B859" s="84"/>
      <c r="C859" s="60"/>
      <c r="D859" s="66"/>
      <c r="E859" s="66"/>
      <c r="F859" s="66"/>
      <c r="G859" s="66"/>
      <c r="H859" s="66"/>
      <c r="I859" s="66"/>
      <c r="J859" s="66"/>
      <c r="K859" s="66"/>
      <c r="L859" s="66"/>
      <c r="M859" s="66"/>
      <c r="N859" s="66"/>
    </row>
    <row r="860" spans="1:14" x14ac:dyDescent="0.2">
      <c r="A860" s="84"/>
      <c r="B860" s="84"/>
      <c r="C860" s="60"/>
      <c r="D860" s="66"/>
      <c r="E860" s="66"/>
      <c r="F860" s="66"/>
      <c r="G860" s="66"/>
      <c r="H860" s="66"/>
      <c r="I860" s="66"/>
      <c r="J860" s="66"/>
      <c r="K860" s="66"/>
      <c r="L860" s="66"/>
      <c r="M860" s="66"/>
      <c r="N860" s="66"/>
    </row>
    <row r="861" spans="1:14" x14ac:dyDescent="0.2">
      <c r="A861" s="84"/>
      <c r="B861" s="84"/>
      <c r="C861" s="60"/>
      <c r="D861" s="66"/>
      <c r="E861" s="66"/>
      <c r="F861" s="66"/>
      <c r="G861" s="66"/>
      <c r="H861" s="66"/>
      <c r="I861" s="66"/>
      <c r="J861" s="66"/>
      <c r="K861" s="66"/>
      <c r="L861" s="66"/>
      <c r="M861" s="66"/>
      <c r="N861" s="66"/>
    </row>
    <row r="862" spans="1:14" x14ac:dyDescent="0.2">
      <c r="A862" s="84"/>
      <c r="B862" s="84"/>
      <c r="C862" s="60"/>
      <c r="D862" s="66"/>
      <c r="E862" s="66"/>
      <c r="F862" s="66"/>
      <c r="G862" s="66"/>
      <c r="H862" s="66"/>
      <c r="I862" s="66"/>
      <c r="J862" s="66"/>
      <c r="K862" s="66"/>
      <c r="L862" s="66"/>
      <c r="M862" s="66"/>
      <c r="N862" s="66"/>
    </row>
    <row r="863" spans="1:14" x14ac:dyDescent="0.2">
      <c r="A863" s="84"/>
      <c r="B863" s="84"/>
      <c r="C863" s="60"/>
      <c r="D863" s="66"/>
      <c r="E863" s="66"/>
      <c r="F863" s="66"/>
      <c r="G863" s="66"/>
      <c r="H863" s="66"/>
      <c r="I863" s="66"/>
      <c r="J863" s="66"/>
      <c r="K863" s="66"/>
      <c r="L863" s="66"/>
      <c r="M863" s="66"/>
      <c r="N863" s="66"/>
    </row>
    <row r="864" spans="1:14" x14ac:dyDescent="0.2">
      <c r="A864" s="84"/>
      <c r="B864" s="84"/>
      <c r="C864" s="60"/>
      <c r="D864" s="66"/>
      <c r="E864" s="66"/>
      <c r="F864" s="66"/>
      <c r="G864" s="66"/>
      <c r="H864" s="66"/>
      <c r="I864" s="66"/>
      <c r="J864" s="66"/>
      <c r="K864" s="66"/>
      <c r="L864" s="66"/>
      <c r="M864" s="66"/>
      <c r="N864" s="66"/>
    </row>
    <row r="865" spans="1:14" x14ac:dyDescent="0.2">
      <c r="A865" s="84"/>
      <c r="B865" s="84"/>
      <c r="C865" s="60"/>
      <c r="D865" s="66"/>
      <c r="E865" s="66"/>
      <c r="F865" s="66"/>
      <c r="G865" s="66"/>
      <c r="H865" s="66"/>
      <c r="I865" s="66"/>
      <c r="J865" s="66"/>
      <c r="K865" s="66"/>
      <c r="L865" s="66"/>
      <c r="M865" s="66"/>
      <c r="N865" s="66"/>
    </row>
    <row r="866" spans="1:14" x14ac:dyDescent="0.2">
      <c r="A866" s="84"/>
      <c r="B866" s="84"/>
      <c r="C866" s="60"/>
      <c r="D866" s="66"/>
      <c r="E866" s="66"/>
      <c r="F866" s="66"/>
      <c r="G866" s="66"/>
      <c r="H866" s="66"/>
      <c r="I866" s="66"/>
      <c r="J866" s="66"/>
      <c r="K866" s="66"/>
      <c r="L866" s="66"/>
      <c r="M866" s="66"/>
      <c r="N866" s="66"/>
    </row>
    <row r="867" spans="1:14" x14ac:dyDescent="0.2">
      <c r="A867" s="84"/>
      <c r="B867" s="84"/>
      <c r="C867" s="60"/>
      <c r="D867" s="66"/>
      <c r="E867" s="66"/>
      <c r="F867" s="66"/>
      <c r="G867" s="66"/>
      <c r="H867" s="66"/>
      <c r="I867" s="66"/>
      <c r="J867" s="66"/>
      <c r="K867" s="66"/>
      <c r="L867" s="66"/>
      <c r="M867" s="66"/>
      <c r="N867" s="66"/>
    </row>
    <row r="868" spans="1:14" x14ac:dyDescent="0.2">
      <c r="A868" s="84"/>
      <c r="B868" s="84"/>
      <c r="C868" s="60"/>
      <c r="D868" s="66"/>
      <c r="E868" s="66"/>
      <c r="F868" s="66"/>
      <c r="G868" s="66"/>
      <c r="H868" s="66"/>
      <c r="I868" s="66"/>
      <c r="J868" s="66"/>
      <c r="K868" s="66"/>
      <c r="L868" s="66"/>
      <c r="M868" s="66"/>
      <c r="N868" s="66"/>
    </row>
    <row r="869" spans="1:14" x14ac:dyDescent="0.2">
      <c r="A869" s="84"/>
      <c r="B869" s="84"/>
      <c r="C869" s="60"/>
      <c r="D869" s="66"/>
      <c r="E869" s="66"/>
      <c r="F869" s="66"/>
      <c r="G869" s="66"/>
      <c r="H869" s="66"/>
      <c r="I869" s="66"/>
      <c r="J869" s="66"/>
      <c r="K869" s="66"/>
      <c r="L869" s="66"/>
      <c r="M869" s="66"/>
      <c r="N869" s="66"/>
    </row>
    <row r="870" spans="1:14" x14ac:dyDescent="0.2">
      <c r="A870" s="84"/>
      <c r="B870" s="84"/>
      <c r="C870" s="60"/>
      <c r="D870" s="66"/>
      <c r="E870" s="66"/>
      <c r="F870" s="66"/>
      <c r="G870" s="66"/>
      <c r="H870" s="66"/>
      <c r="I870" s="66"/>
      <c r="J870" s="66"/>
      <c r="K870" s="66"/>
      <c r="L870" s="66"/>
      <c r="M870" s="66"/>
      <c r="N870" s="66"/>
    </row>
    <row r="871" spans="1:14" x14ac:dyDescent="0.2">
      <c r="A871" s="84"/>
      <c r="B871" s="84"/>
      <c r="C871" s="60"/>
      <c r="D871" s="66"/>
      <c r="E871" s="66"/>
      <c r="F871" s="66"/>
      <c r="G871" s="66"/>
      <c r="H871" s="66"/>
      <c r="I871" s="66"/>
      <c r="J871" s="66"/>
      <c r="K871" s="66"/>
      <c r="L871" s="66"/>
      <c r="M871" s="66"/>
      <c r="N871" s="66"/>
    </row>
    <row r="872" spans="1:14" x14ac:dyDescent="0.2">
      <c r="A872" s="84"/>
      <c r="B872" s="84"/>
      <c r="C872" s="60"/>
      <c r="D872" s="66"/>
      <c r="E872" s="66"/>
      <c r="F872" s="66"/>
      <c r="G872" s="66"/>
      <c r="H872" s="66"/>
      <c r="I872" s="66"/>
      <c r="J872" s="66"/>
      <c r="K872" s="66"/>
      <c r="L872" s="66"/>
      <c r="M872" s="66"/>
      <c r="N872" s="66"/>
    </row>
    <row r="873" spans="1:14" x14ac:dyDescent="0.2">
      <c r="A873" s="84"/>
      <c r="B873" s="84"/>
      <c r="C873" s="60"/>
      <c r="D873" s="66"/>
      <c r="E873" s="66"/>
      <c r="F873" s="66"/>
      <c r="G873" s="66"/>
      <c r="H873" s="66"/>
      <c r="I873" s="66"/>
      <c r="J873" s="66"/>
      <c r="K873" s="66"/>
      <c r="L873" s="66"/>
      <c r="M873" s="66"/>
      <c r="N873" s="66"/>
    </row>
    <row r="874" spans="1:14" x14ac:dyDescent="0.2">
      <c r="A874" s="84"/>
      <c r="B874" s="84"/>
      <c r="C874" s="60"/>
      <c r="D874" s="66"/>
      <c r="E874" s="66"/>
      <c r="F874" s="66"/>
      <c r="G874" s="66"/>
      <c r="H874" s="66"/>
      <c r="I874" s="66"/>
      <c r="J874" s="66"/>
      <c r="K874" s="66"/>
      <c r="L874" s="66"/>
      <c r="M874" s="66"/>
      <c r="N874" s="66"/>
    </row>
    <row r="875" spans="1:14" x14ac:dyDescent="0.2">
      <c r="A875" s="84"/>
      <c r="B875" s="84"/>
      <c r="C875" s="60"/>
      <c r="D875" s="66"/>
      <c r="E875" s="66"/>
      <c r="F875" s="66"/>
      <c r="G875" s="66"/>
      <c r="H875" s="66"/>
      <c r="I875" s="66"/>
      <c r="J875" s="66"/>
      <c r="K875" s="66"/>
      <c r="L875" s="66"/>
      <c r="M875" s="66"/>
      <c r="N875" s="66"/>
    </row>
    <row r="876" spans="1:14" x14ac:dyDescent="0.2">
      <c r="A876" s="84"/>
      <c r="B876" s="84"/>
      <c r="C876" s="60"/>
      <c r="D876" s="66"/>
      <c r="E876" s="66"/>
      <c r="F876" s="66"/>
      <c r="G876" s="66"/>
      <c r="H876" s="66"/>
      <c r="I876" s="66"/>
      <c r="J876" s="66"/>
      <c r="K876" s="66"/>
      <c r="L876" s="66"/>
      <c r="M876" s="66"/>
      <c r="N876" s="66"/>
    </row>
    <row r="877" spans="1:14" x14ac:dyDescent="0.2">
      <c r="A877" s="84"/>
      <c r="B877" s="84"/>
      <c r="C877" s="60"/>
      <c r="D877" s="66"/>
      <c r="E877" s="66"/>
      <c r="F877" s="66"/>
      <c r="G877" s="66"/>
      <c r="H877" s="66"/>
      <c r="I877" s="66"/>
      <c r="J877" s="66"/>
      <c r="K877" s="66"/>
      <c r="L877" s="66"/>
      <c r="M877" s="66"/>
      <c r="N877" s="66"/>
    </row>
    <row r="878" spans="1:14" x14ac:dyDescent="0.2">
      <c r="A878" s="84"/>
      <c r="B878" s="84"/>
      <c r="C878" s="60"/>
      <c r="D878" s="66"/>
      <c r="E878" s="66"/>
      <c r="F878" s="66"/>
      <c r="G878" s="66"/>
      <c r="H878" s="66"/>
      <c r="I878" s="66"/>
      <c r="J878" s="66"/>
      <c r="K878" s="66"/>
      <c r="L878" s="66"/>
      <c r="M878" s="66"/>
      <c r="N878" s="66"/>
    </row>
    <row r="879" spans="1:14" x14ac:dyDescent="0.2">
      <c r="A879" s="84"/>
      <c r="B879" s="84"/>
      <c r="C879" s="60"/>
      <c r="D879" s="66"/>
      <c r="E879" s="66"/>
      <c r="F879" s="66"/>
      <c r="G879" s="66"/>
      <c r="H879" s="66"/>
      <c r="I879" s="66"/>
      <c r="J879" s="66"/>
      <c r="K879" s="66"/>
      <c r="L879" s="66"/>
      <c r="M879" s="66"/>
      <c r="N879" s="66"/>
    </row>
    <row r="880" spans="1:14" x14ac:dyDescent="0.2">
      <c r="A880" s="84"/>
      <c r="B880" s="84"/>
      <c r="C880" s="60"/>
      <c r="D880" s="66"/>
      <c r="E880" s="66"/>
      <c r="F880" s="66"/>
      <c r="G880" s="66"/>
      <c r="H880" s="66"/>
      <c r="I880" s="66"/>
      <c r="J880" s="66"/>
      <c r="K880" s="66"/>
      <c r="L880" s="66"/>
      <c r="M880" s="66"/>
      <c r="N880" s="66"/>
    </row>
    <row r="881" spans="1:14" x14ac:dyDescent="0.2">
      <c r="A881" s="84"/>
      <c r="B881" s="84"/>
      <c r="C881" s="60"/>
      <c r="D881" s="66"/>
      <c r="E881" s="66"/>
      <c r="F881" s="66"/>
      <c r="G881" s="66"/>
      <c r="H881" s="66"/>
      <c r="I881" s="66"/>
      <c r="J881" s="66"/>
      <c r="K881" s="66"/>
      <c r="L881" s="66"/>
      <c r="M881" s="66"/>
      <c r="N881" s="66"/>
    </row>
    <row r="882" spans="1:14" x14ac:dyDescent="0.2">
      <c r="A882" s="84"/>
      <c r="B882" s="84"/>
      <c r="C882" s="60"/>
      <c r="D882" s="66"/>
      <c r="E882" s="66"/>
      <c r="F882" s="66"/>
      <c r="G882" s="66"/>
      <c r="H882" s="66"/>
      <c r="I882" s="66"/>
      <c r="J882" s="66"/>
      <c r="K882" s="66"/>
      <c r="L882" s="66"/>
      <c r="M882" s="66"/>
      <c r="N882" s="66"/>
    </row>
    <row r="883" spans="1:14" x14ac:dyDescent="0.2">
      <c r="A883" s="84"/>
      <c r="B883" s="84"/>
      <c r="C883" s="60"/>
      <c r="D883" s="66"/>
      <c r="E883" s="66"/>
      <c r="F883" s="66"/>
      <c r="G883" s="66"/>
      <c r="H883" s="66"/>
      <c r="I883" s="66"/>
      <c r="J883" s="66"/>
      <c r="K883" s="66"/>
      <c r="L883" s="66"/>
      <c r="M883" s="66"/>
      <c r="N883" s="66"/>
    </row>
    <row r="884" spans="1:14" x14ac:dyDescent="0.2">
      <c r="A884" s="84"/>
      <c r="B884" s="84"/>
      <c r="C884" s="60"/>
      <c r="D884" s="66"/>
      <c r="E884" s="66"/>
      <c r="F884" s="66"/>
      <c r="G884" s="66"/>
      <c r="H884" s="66"/>
      <c r="I884" s="66"/>
      <c r="J884" s="66"/>
      <c r="K884" s="66"/>
      <c r="L884" s="66"/>
      <c r="M884" s="66"/>
      <c r="N884" s="66"/>
    </row>
    <row r="885" spans="1:14" x14ac:dyDescent="0.2">
      <c r="A885" s="84"/>
      <c r="B885" s="84"/>
      <c r="C885" s="60"/>
      <c r="D885" s="66"/>
      <c r="E885" s="66"/>
      <c r="F885" s="66"/>
      <c r="G885" s="66"/>
      <c r="H885" s="66"/>
      <c r="I885" s="66"/>
      <c r="J885" s="66"/>
      <c r="K885" s="66"/>
      <c r="L885" s="66"/>
      <c r="M885" s="66"/>
      <c r="N885" s="66"/>
    </row>
    <row r="886" spans="1:14" x14ac:dyDescent="0.2">
      <c r="A886" s="84"/>
      <c r="B886" s="84"/>
      <c r="C886" s="60"/>
      <c r="D886" s="66"/>
      <c r="E886" s="66"/>
      <c r="F886" s="66"/>
      <c r="G886" s="66"/>
      <c r="H886" s="66"/>
      <c r="I886" s="66"/>
      <c r="J886" s="66"/>
      <c r="K886" s="66"/>
      <c r="L886" s="66"/>
      <c r="M886" s="66"/>
      <c r="N886" s="66"/>
    </row>
    <row r="887" spans="1:14" x14ac:dyDescent="0.2">
      <c r="A887" s="84"/>
      <c r="B887" s="84"/>
      <c r="C887" s="60"/>
      <c r="D887" s="66"/>
      <c r="E887" s="66"/>
      <c r="F887" s="66"/>
      <c r="G887" s="66"/>
      <c r="H887" s="66"/>
      <c r="I887" s="66"/>
      <c r="J887" s="66"/>
      <c r="K887" s="66"/>
      <c r="L887" s="66"/>
      <c r="M887" s="66"/>
      <c r="N887" s="66"/>
    </row>
    <row r="888" spans="1:14" x14ac:dyDescent="0.2">
      <c r="A888" s="84"/>
      <c r="B888" s="84"/>
      <c r="C888" s="60"/>
      <c r="D888" s="66"/>
      <c r="E888" s="66"/>
      <c r="F888" s="66"/>
      <c r="G888" s="66"/>
      <c r="H888" s="66"/>
      <c r="I888" s="66"/>
      <c r="J888" s="66"/>
      <c r="K888" s="66"/>
      <c r="L888" s="66"/>
      <c r="M888" s="66"/>
      <c r="N888" s="66"/>
    </row>
    <row r="889" spans="1:14" x14ac:dyDescent="0.2">
      <c r="A889" s="84"/>
      <c r="B889" s="84"/>
      <c r="C889" s="60"/>
      <c r="D889" s="66"/>
      <c r="E889" s="66"/>
      <c r="F889" s="66"/>
      <c r="G889" s="66"/>
      <c r="H889" s="66"/>
      <c r="I889" s="66"/>
      <c r="J889" s="66"/>
      <c r="K889" s="66"/>
      <c r="L889" s="66"/>
      <c r="M889" s="66"/>
      <c r="N889" s="66"/>
    </row>
    <row r="890" spans="1:14" x14ac:dyDescent="0.2">
      <c r="A890" s="84"/>
      <c r="B890" s="84"/>
      <c r="C890" s="60"/>
      <c r="D890" s="66"/>
      <c r="E890" s="66"/>
      <c r="F890" s="66"/>
      <c r="G890" s="66"/>
      <c r="H890" s="66"/>
      <c r="I890" s="66"/>
      <c r="J890" s="66"/>
      <c r="K890" s="66"/>
      <c r="L890" s="66"/>
      <c r="M890" s="66"/>
      <c r="N890" s="66"/>
    </row>
    <row r="891" spans="1:14" x14ac:dyDescent="0.2">
      <c r="A891" s="84"/>
      <c r="B891" s="84"/>
      <c r="C891" s="60"/>
      <c r="D891" s="66"/>
      <c r="E891" s="66"/>
      <c r="F891" s="66"/>
      <c r="G891" s="66"/>
      <c r="H891" s="66"/>
      <c r="I891" s="66"/>
      <c r="J891" s="66"/>
      <c r="K891" s="66"/>
      <c r="L891" s="66"/>
      <c r="M891" s="66"/>
      <c r="N891" s="66"/>
    </row>
    <row r="892" spans="1:14" x14ac:dyDescent="0.2">
      <c r="A892" s="84"/>
      <c r="B892" s="84"/>
      <c r="C892" s="60"/>
      <c r="D892" s="66"/>
      <c r="E892" s="66"/>
      <c r="F892" s="66"/>
      <c r="G892" s="66"/>
      <c r="H892" s="66"/>
      <c r="I892" s="66"/>
      <c r="J892" s="66"/>
      <c r="K892" s="66"/>
      <c r="L892" s="66"/>
      <c r="M892" s="66"/>
      <c r="N892" s="66"/>
    </row>
    <row r="893" spans="1:14" x14ac:dyDescent="0.2">
      <c r="A893" s="84"/>
      <c r="B893" s="84"/>
      <c r="C893" s="60"/>
      <c r="D893" s="66"/>
      <c r="E893" s="66"/>
      <c r="F893" s="66"/>
      <c r="G893" s="66"/>
      <c r="H893" s="66"/>
      <c r="I893" s="66"/>
      <c r="J893" s="66"/>
      <c r="K893" s="66"/>
      <c r="L893" s="66"/>
      <c r="M893" s="66"/>
      <c r="N893" s="66"/>
    </row>
    <row r="894" spans="1:14" x14ac:dyDescent="0.2">
      <c r="A894" s="84"/>
      <c r="B894" s="84"/>
      <c r="C894" s="60"/>
      <c r="D894" s="66"/>
      <c r="E894" s="66"/>
      <c r="F894" s="66"/>
      <c r="G894" s="66"/>
      <c r="H894" s="66"/>
      <c r="I894" s="66"/>
      <c r="J894" s="66"/>
      <c r="K894" s="66"/>
      <c r="L894" s="66"/>
      <c r="M894" s="66"/>
      <c r="N894" s="66"/>
    </row>
    <row r="895" spans="1:14" x14ac:dyDescent="0.2">
      <c r="A895" s="84"/>
      <c r="B895" s="84"/>
      <c r="C895" s="60"/>
      <c r="D895" s="66"/>
      <c r="E895" s="66"/>
      <c r="F895" s="66"/>
      <c r="G895" s="66"/>
      <c r="H895" s="66"/>
      <c r="I895" s="66"/>
      <c r="J895" s="66"/>
      <c r="K895" s="66"/>
      <c r="L895" s="66"/>
      <c r="M895" s="66"/>
      <c r="N895" s="66"/>
    </row>
    <row r="896" spans="1:14" x14ac:dyDescent="0.2">
      <c r="A896" s="84"/>
      <c r="B896" s="84"/>
      <c r="C896" s="60"/>
      <c r="D896" s="66"/>
      <c r="E896" s="66"/>
      <c r="F896" s="66"/>
      <c r="G896" s="66"/>
      <c r="H896" s="66"/>
      <c r="I896" s="66"/>
      <c r="J896" s="66"/>
      <c r="K896" s="66"/>
      <c r="L896" s="66"/>
      <c r="M896" s="66"/>
      <c r="N896" s="66"/>
    </row>
    <row r="897" spans="1:14" x14ac:dyDescent="0.2">
      <c r="A897" s="84"/>
      <c r="B897" s="84"/>
      <c r="C897" s="60"/>
      <c r="D897" s="66"/>
      <c r="E897" s="66"/>
      <c r="F897" s="66"/>
      <c r="G897" s="66"/>
      <c r="H897" s="66"/>
      <c r="I897" s="66"/>
      <c r="J897" s="66"/>
      <c r="K897" s="66"/>
      <c r="L897" s="66"/>
      <c r="M897" s="66"/>
      <c r="N897" s="66"/>
    </row>
    <row r="898" spans="1:14" x14ac:dyDescent="0.2">
      <c r="A898" s="84"/>
      <c r="B898" s="84"/>
      <c r="C898" s="60"/>
      <c r="D898" s="66"/>
      <c r="E898" s="66"/>
      <c r="F898" s="66"/>
      <c r="G898" s="66"/>
      <c r="H898" s="66"/>
      <c r="I898" s="66"/>
      <c r="J898" s="66"/>
      <c r="K898" s="66"/>
      <c r="L898" s="66"/>
      <c r="M898" s="66"/>
      <c r="N898" s="66"/>
    </row>
    <row r="899" spans="1:14" x14ac:dyDescent="0.2">
      <c r="A899" s="84"/>
      <c r="B899" s="84"/>
      <c r="C899" s="60"/>
      <c r="D899" s="66"/>
      <c r="E899" s="66"/>
      <c r="F899" s="66"/>
      <c r="G899" s="66"/>
      <c r="H899" s="66"/>
      <c r="I899" s="66"/>
      <c r="J899" s="66"/>
      <c r="K899" s="66"/>
      <c r="L899" s="66"/>
      <c r="M899" s="66"/>
      <c r="N899" s="66"/>
    </row>
    <row r="900" spans="1:14" x14ac:dyDescent="0.2">
      <c r="A900" s="84"/>
      <c r="B900" s="84"/>
      <c r="C900" s="60"/>
      <c r="D900" s="66"/>
      <c r="E900" s="66"/>
      <c r="F900" s="66"/>
      <c r="G900" s="66"/>
      <c r="H900" s="66"/>
      <c r="I900" s="66"/>
      <c r="J900" s="66"/>
      <c r="K900" s="66"/>
      <c r="L900" s="66"/>
      <c r="M900" s="66"/>
      <c r="N900" s="66"/>
    </row>
    <row r="901" spans="1:14" x14ac:dyDescent="0.2">
      <c r="A901" s="84"/>
      <c r="B901" s="84"/>
      <c r="C901" s="60"/>
      <c r="D901" s="66"/>
      <c r="E901" s="66"/>
      <c r="F901" s="66"/>
      <c r="G901" s="66"/>
      <c r="H901" s="66"/>
      <c r="I901" s="66"/>
      <c r="J901" s="66"/>
      <c r="K901" s="66"/>
      <c r="L901" s="66"/>
      <c r="M901" s="66"/>
      <c r="N901" s="66"/>
    </row>
    <row r="902" spans="1:14" x14ac:dyDescent="0.2">
      <c r="A902" s="84"/>
      <c r="B902" s="84"/>
      <c r="C902" s="60"/>
      <c r="D902" s="66"/>
      <c r="E902" s="66"/>
      <c r="F902" s="66"/>
      <c r="G902" s="66"/>
      <c r="H902" s="66"/>
      <c r="I902" s="66"/>
      <c r="J902" s="66"/>
      <c r="K902" s="66"/>
      <c r="L902" s="66"/>
      <c r="M902" s="66"/>
      <c r="N902" s="66"/>
    </row>
    <row r="903" spans="1:14" x14ac:dyDescent="0.2">
      <c r="A903" s="84"/>
      <c r="B903" s="84"/>
      <c r="C903" s="60"/>
      <c r="D903" s="66"/>
      <c r="E903" s="66"/>
      <c r="F903" s="66"/>
      <c r="G903" s="66"/>
      <c r="H903" s="66"/>
      <c r="I903" s="66"/>
      <c r="J903" s="66"/>
      <c r="K903" s="66"/>
      <c r="L903" s="66"/>
      <c r="M903" s="66"/>
      <c r="N903" s="66"/>
    </row>
    <row r="904" spans="1:14" x14ac:dyDescent="0.2">
      <c r="A904" s="84"/>
      <c r="B904" s="84"/>
      <c r="C904" s="60"/>
      <c r="D904" s="66"/>
      <c r="E904" s="66"/>
      <c r="F904" s="66"/>
      <c r="G904" s="66"/>
      <c r="H904" s="66"/>
      <c r="I904" s="66"/>
      <c r="J904" s="66"/>
      <c r="K904" s="66"/>
      <c r="L904" s="66"/>
      <c r="M904" s="66"/>
      <c r="N904" s="66"/>
    </row>
    <row r="905" spans="1:14" x14ac:dyDescent="0.2">
      <c r="A905" s="84"/>
      <c r="B905" s="84"/>
      <c r="C905" s="60"/>
      <c r="D905" s="66"/>
      <c r="E905" s="66"/>
      <c r="F905" s="66"/>
      <c r="G905" s="66"/>
      <c r="H905" s="66"/>
      <c r="I905" s="66"/>
      <c r="J905" s="66"/>
      <c r="K905" s="66"/>
      <c r="L905" s="66"/>
      <c r="M905" s="66"/>
      <c r="N905" s="66"/>
    </row>
    <row r="906" spans="1:14" x14ac:dyDescent="0.2">
      <c r="A906" s="84"/>
      <c r="B906" s="84"/>
      <c r="C906" s="60"/>
      <c r="D906" s="66"/>
      <c r="E906" s="66"/>
      <c r="F906" s="66"/>
      <c r="G906" s="66"/>
      <c r="H906" s="66"/>
      <c r="I906" s="66"/>
      <c r="J906" s="66"/>
      <c r="K906" s="66"/>
      <c r="L906" s="66"/>
      <c r="M906" s="66"/>
      <c r="N906" s="66"/>
    </row>
    <row r="907" spans="1:14" x14ac:dyDescent="0.2">
      <c r="A907" s="84"/>
      <c r="B907" s="84"/>
      <c r="C907" s="60"/>
      <c r="D907" s="66"/>
      <c r="E907" s="66"/>
      <c r="F907" s="66"/>
      <c r="G907" s="66"/>
      <c r="H907" s="66"/>
      <c r="I907" s="66"/>
      <c r="J907" s="66"/>
      <c r="K907" s="66"/>
      <c r="L907" s="66"/>
      <c r="M907" s="66"/>
      <c r="N907" s="66"/>
    </row>
    <row r="908" spans="1:14" x14ac:dyDescent="0.2">
      <c r="A908" s="84"/>
      <c r="B908" s="84"/>
      <c r="C908" s="60"/>
      <c r="D908" s="66"/>
      <c r="E908" s="66"/>
      <c r="F908" s="66"/>
      <c r="G908" s="66"/>
      <c r="H908" s="66"/>
      <c r="I908" s="66"/>
      <c r="J908" s="66"/>
      <c r="K908" s="66"/>
      <c r="L908" s="66"/>
      <c r="M908" s="66"/>
      <c r="N908" s="66"/>
    </row>
    <row r="909" spans="1:14" x14ac:dyDescent="0.2">
      <c r="A909" s="84"/>
      <c r="B909" s="84"/>
      <c r="C909" s="60"/>
      <c r="D909" s="66"/>
      <c r="E909" s="66"/>
      <c r="F909" s="66"/>
      <c r="G909" s="66"/>
      <c r="H909" s="66"/>
      <c r="I909" s="66"/>
      <c r="J909" s="66"/>
      <c r="K909" s="66"/>
      <c r="L909" s="66"/>
      <c r="M909" s="66"/>
      <c r="N909" s="66"/>
    </row>
    <row r="910" spans="1:14" x14ac:dyDescent="0.2">
      <c r="A910" s="84"/>
      <c r="B910" s="84"/>
      <c r="C910" s="60"/>
      <c r="D910" s="66"/>
      <c r="E910" s="66"/>
      <c r="F910" s="66"/>
      <c r="G910" s="66"/>
      <c r="H910" s="66"/>
      <c r="I910" s="66"/>
      <c r="J910" s="66"/>
      <c r="K910" s="66"/>
      <c r="L910" s="66"/>
      <c r="M910" s="66"/>
      <c r="N910" s="66"/>
    </row>
    <row r="911" spans="1:14" x14ac:dyDescent="0.2">
      <c r="A911" s="84"/>
      <c r="B911" s="84"/>
      <c r="C911" s="60"/>
      <c r="D911" s="66"/>
      <c r="E911" s="66"/>
      <c r="F911" s="66"/>
      <c r="G911" s="66"/>
      <c r="H911" s="66"/>
      <c r="I911" s="66"/>
      <c r="J911" s="66"/>
      <c r="K911" s="66"/>
      <c r="L911" s="66"/>
      <c r="M911" s="66"/>
      <c r="N911" s="66"/>
    </row>
    <row r="912" spans="1:14" x14ac:dyDescent="0.2">
      <c r="A912" s="84"/>
      <c r="B912" s="84"/>
      <c r="C912" s="60"/>
      <c r="D912" s="66"/>
      <c r="E912" s="66"/>
      <c r="F912" s="66"/>
      <c r="G912" s="66"/>
      <c r="H912" s="66"/>
      <c r="I912" s="66"/>
      <c r="J912" s="66"/>
      <c r="K912" s="66"/>
      <c r="L912" s="66"/>
      <c r="M912" s="66"/>
      <c r="N912" s="66"/>
    </row>
    <row r="913" spans="1:14" x14ac:dyDescent="0.2">
      <c r="A913" s="84"/>
      <c r="B913" s="84"/>
      <c r="C913" s="60"/>
      <c r="D913" s="66"/>
      <c r="E913" s="66"/>
      <c r="F913" s="66"/>
      <c r="G913" s="66"/>
      <c r="H913" s="66"/>
      <c r="I913" s="66"/>
      <c r="J913" s="66"/>
      <c r="K913" s="66"/>
      <c r="L913" s="66"/>
      <c r="M913" s="66"/>
      <c r="N913" s="66"/>
    </row>
    <row r="914" spans="1:14" x14ac:dyDescent="0.2">
      <c r="A914" s="84"/>
      <c r="B914" s="84"/>
      <c r="C914" s="60"/>
      <c r="D914" s="66"/>
      <c r="E914" s="66"/>
      <c r="F914" s="66"/>
      <c r="G914" s="66"/>
      <c r="H914" s="66"/>
      <c r="I914" s="66"/>
      <c r="J914" s="66"/>
      <c r="K914" s="66"/>
      <c r="L914" s="66"/>
      <c r="M914" s="66"/>
      <c r="N914" s="66"/>
    </row>
    <row r="915" spans="1:14" x14ac:dyDescent="0.2">
      <c r="A915" s="84"/>
      <c r="B915" s="84"/>
      <c r="C915" s="60"/>
      <c r="D915" s="66"/>
      <c r="E915" s="66"/>
      <c r="F915" s="66"/>
      <c r="G915" s="66"/>
      <c r="H915" s="66"/>
      <c r="I915" s="66"/>
      <c r="J915" s="66"/>
      <c r="K915" s="66"/>
      <c r="L915" s="66"/>
      <c r="M915" s="66"/>
      <c r="N915" s="66"/>
    </row>
    <row r="916" spans="1:14" x14ac:dyDescent="0.2">
      <c r="A916" s="84"/>
      <c r="B916" s="84"/>
      <c r="C916" s="60"/>
      <c r="D916" s="66"/>
      <c r="E916" s="66"/>
      <c r="F916" s="66"/>
      <c r="G916" s="66"/>
      <c r="H916" s="66"/>
      <c r="I916" s="66"/>
      <c r="J916" s="66"/>
      <c r="K916" s="66"/>
      <c r="L916" s="66"/>
      <c r="M916" s="66"/>
      <c r="N916" s="66"/>
    </row>
    <row r="917" spans="1:14" x14ac:dyDescent="0.2">
      <c r="A917" s="84"/>
      <c r="B917" s="84"/>
      <c r="C917" s="60"/>
      <c r="D917" s="66"/>
      <c r="E917" s="66"/>
      <c r="F917" s="66"/>
      <c r="G917" s="66"/>
      <c r="H917" s="66"/>
      <c r="I917" s="66"/>
      <c r="J917" s="66"/>
      <c r="K917" s="66"/>
      <c r="L917" s="66"/>
      <c r="M917" s="66"/>
      <c r="N917" s="66"/>
    </row>
    <row r="918" spans="1:14" x14ac:dyDescent="0.2">
      <c r="A918" s="84"/>
      <c r="B918" s="84"/>
      <c r="C918" s="60"/>
      <c r="D918" s="66"/>
      <c r="E918" s="66"/>
      <c r="F918" s="66"/>
      <c r="G918" s="66"/>
      <c r="H918" s="66"/>
      <c r="I918" s="66"/>
      <c r="J918" s="66"/>
      <c r="K918" s="66"/>
      <c r="L918" s="66"/>
      <c r="M918" s="66"/>
      <c r="N918" s="66"/>
    </row>
    <row r="919" spans="1:14" x14ac:dyDescent="0.2">
      <c r="A919" s="84"/>
      <c r="B919" s="84"/>
      <c r="C919" s="60"/>
      <c r="D919" s="66"/>
      <c r="E919" s="66"/>
      <c r="F919" s="66"/>
      <c r="G919" s="66"/>
      <c r="H919" s="66"/>
      <c r="I919" s="66"/>
      <c r="J919" s="66"/>
      <c r="K919" s="66"/>
      <c r="L919" s="66"/>
      <c r="M919" s="66"/>
      <c r="N919" s="66"/>
    </row>
    <row r="920" spans="1:14" x14ac:dyDescent="0.2">
      <c r="A920" s="84"/>
      <c r="B920" s="84"/>
      <c r="C920" s="60"/>
      <c r="D920" s="66"/>
      <c r="E920" s="66"/>
      <c r="F920" s="66"/>
      <c r="G920" s="66"/>
      <c r="H920" s="66"/>
      <c r="I920" s="66"/>
      <c r="J920" s="66"/>
      <c r="K920" s="66"/>
      <c r="L920" s="66"/>
      <c r="M920" s="66"/>
      <c r="N920" s="66"/>
    </row>
    <row r="921" spans="1:14" x14ac:dyDescent="0.2">
      <c r="A921" s="84"/>
      <c r="B921" s="84"/>
      <c r="C921" s="60"/>
      <c r="D921" s="66"/>
      <c r="E921" s="66"/>
      <c r="F921" s="66"/>
      <c r="G921" s="66"/>
      <c r="H921" s="66"/>
      <c r="I921" s="66"/>
      <c r="J921" s="66"/>
      <c r="K921" s="66"/>
      <c r="L921" s="66"/>
      <c r="M921" s="66"/>
      <c r="N921" s="66"/>
    </row>
    <row r="922" spans="1:14" x14ac:dyDescent="0.2">
      <c r="A922" s="84"/>
      <c r="B922" s="84"/>
      <c r="C922" s="60"/>
      <c r="D922" s="66"/>
      <c r="E922" s="66"/>
      <c r="F922" s="66"/>
      <c r="G922" s="66"/>
      <c r="H922" s="66"/>
      <c r="I922" s="66"/>
      <c r="J922" s="66"/>
      <c r="K922" s="66"/>
      <c r="L922" s="66"/>
      <c r="M922" s="66"/>
      <c r="N922" s="66"/>
    </row>
    <row r="923" spans="1:14" x14ac:dyDescent="0.2">
      <c r="A923" s="84"/>
      <c r="B923" s="84"/>
      <c r="C923" s="60"/>
      <c r="D923" s="66"/>
      <c r="E923" s="66"/>
      <c r="F923" s="66"/>
      <c r="G923" s="66"/>
      <c r="H923" s="66"/>
      <c r="I923" s="66"/>
      <c r="J923" s="66"/>
      <c r="K923" s="66"/>
      <c r="L923" s="66"/>
      <c r="M923" s="66"/>
      <c r="N923" s="66"/>
    </row>
    <row r="924" spans="1:14" x14ac:dyDescent="0.2">
      <c r="A924" s="84"/>
      <c r="B924" s="84"/>
      <c r="C924" s="60"/>
      <c r="D924" s="66"/>
      <c r="E924" s="66"/>
      <c r="F924" s="66"/>
      <c r="G924" s="66"/>
      <c r="H924" s="66"/>
      <c r="I924" s="66"/>
      <c r="J924" s="66"/>
      <c r="K924" s="66"/>
      <c r="L924" s="66"/>
      <c r="M924" s="66"/>
      <c r="N924" s="66"/>
    </row>
    <row r="925" spans="1:14" x14ac:dyDescent="0.2">
      <c r="A925" s="84"/>
      <c r="B925" s="84"/>
      <c r="C925" s="60"/>
      <c r="D925" s="66"/>
      <c r="E925" s="66"/>
      <c r="F925" s="66"/>
      <c r="G925" s="66"/>
      <c r="H925" s="66"/>
      <c r="I925" s="66"/>
      <c r="J925" s="66"/>
      <c r="K925" s="66"/>
      <c r="L925" s="66"/>
      <c r="M925" s="66"/>
      <c r="N925" s="66"/>
    </row>
    <row r="926" spans="1:14" x14ac:dyDescent="0.2">
      <c r="A926" s="84"/>
      <c r="B926" s="84"/>
      <c r="C926" s="60"/>
      <c r="D926" s="66"/>
      <c r="E926" s="66"/>
      <c r="F926" s="66"/>
      <c r="G926" s="66"/>
      <c r="H926" s="66"/>
      <c r="I926" s="66"/>
      <c r="J926" s="66"/>
      <c r="K926" s="66"/>
      <c r="L926" s="66"/>
      <c r="M926" s="66"/>
      <c r="N926" s="66"/>
    </row>
    <row r="927" spans="1:14" x14ac:dyDescent="0.2">
      <c r="A927" s="84"/>
      <c r="B927" s="84"/>
      <c r="C927" s="60"/>
      <c r="D927" s="66"/>
      <c r="E927" s="66"/>
      <c r="F927" s="66"/>
      <c r="G927" s="66"/>
      <c r="H927" s="66"/>
      <c r="I927" s="66"/>
      <c r="J927" s="66"/>
      <c r="K927" s="66"/>
      <c r="L927" s="66"/>
      <c r="M927" s="66"/>
      <c r="N927" s="66"/>
    </row>
    <row r="928" spans="1:14" x14ac:dyDescent="0.2">
      <c r="A928" s="84"/>
      <c r="B928" s="84"/>
      <c r="C928" s="60"/>
      <c r="D928" s="66"/>
      <c r="E928" s="66"/>
      <c r="F928" s="66"/>
      <c r="G928" s="66"/>
      <c r="H928" s="66"/>
      <c r="I928" s="66"/>
      <c r="J928" s="66"/>
      <c r="K928" s="66"/>
      <c r="L928" s="66"/>
      <c r="M928" s="66"/>
      <c r="N928" s="66"/>
    </row>
    <row r="929" spans="1:14" x14ac:dyDescent="0.2">
      <c r="A929" s="84"/>
      <c r="B929" s="84"/>
      <c r="C929" s="60"/>
      <c r="D929" s="66"/>
      <c r="E929" s="66"/>
      <c r="F929" s="66"/>
      <c r="G929" s="66"/>
      <c r="H929" s="66"/>
      <c r="I929" s="66"/>
      <c r="J929" s="66"/>
      <c r="K929" s="66"/>
      <c r="L929" s="66"/>
      <c r="M929" s="66"/>
      <c r="N929" s="66"/>
    </row>
    <row r="930" spans="1:14" x14ac:dyDescent="0.2">
      <c r="A930" s="84"/>
      <c r="B930" s="84"/>
      <c r="C930" s="60"/>
      <c r="D930" s="66"/>
      <c r="E930" s="66"/>
      <c r="F930" s="66"/>
      <c r="G930" s="66"/>
      <c r="H930" s="66"/>
      <c r="I930" s="66"/>
      <c r="J930" s="66"/>
      <c r="K930" s="66"/>
      <c r="L930" s="66"/>
      <c r="M930" s="66"/>
      <c r="N930" s="66"/>
    </row>
    <row r="931" spans="1:14" x14ac:dyDescent="0.2">
      <c r="A931" s="84"/>
      <c r="B931" s="84"/>
      <c r="C931" s="60"/>
      <c r="D931" s="66"/>
      <c r="E931" s="66"/>
      <c r="F931" s="66"/>
      <c r="G931" s="66"/>
      <c r="H931" s="66"/>
      <c r="I931" s="66"/>
      <c r="J931" s="66"/>
      <c r="K931" s="66"/>
      <c r="L931" s="66"/>
      <c r="M931" s="66"/>
      <c r="N931" s="66"/>
    </row>
    <row r="932" spans="1:14" x14ac:dyDescent="0.2">
      <c r="A932" s="84"/>
      <c r="B932" s="84"/>
      <c r="C932" s="60"/>
      <c r="D932" s="66"/>
      <c r="E932" s="66"/>
      <c r="F932" s="66"/>
      <c r="G932" s="66"/>
      <c r="H932" s="66"/>
      <c r="I932" s="66"/>
      <c r="J932" s="66"/>
      <c r="K932" s="66"/>
      <c r="L932" s="66"/>
      <c r="M932" s="66"/>
      <c r="N932" s="66"/>
    </row>
    <row r="933" spans="1:14" x14ac:dyDescent="0.2">
      <c r="A933" s="84"/>
      <c r="B933" s="84"/>
      <c r="C933" s="60"/>
      <c r="D933" s="66"/>
      <c r="E933" s="66"/>
      <c r="F933" s="66"/>
      <c r="G933" s="66"/>
      <c r="H933" s="66"/>
      <c r="I933" s="66"/>
      <c r="J933" s="66"/>
      <c r="K933" s="66"/>
      <c r="L933" s="66"/>
      <c r="M933" s="66"/>
      <c r="N933" s="66"/>
    </row>
    <row r="934" spans="1:14" x14ac:dyDescent="0.2">
      <c r="A934" s="84"/>
      <c r="B934" s="84"/>
      <c r="C934" s="60"/>
      <c r="D934" s="66"/>
      <c r="E934" s="66"/>
      <c r="F934" s="66"/>
      <c r="G934" s="66"/>
      <c r="H934" s="66"/>
      <c r="I934" s="66"/>
      <c r="J934" s="66"/>
      <c r="K934" s="66"/>
      <c r="L934" s="66"/>
      <c r="M934" s="66"/>
      <c r="N934" s="66"/>
    </row>
    <row r="935" spans="1:14" x14ac:dyDescent="0.2">
      <c r="A935" s="84"/>
      <c r="B935" s="84"/>
      <c r="C935" s="60"/>
      <c r="D935" s="66"/>
      <c r="E935" s="66"/>
      <c r="F935" s="66"/>
      <c r="G935" s="66"/>
      <c r="H935" s="66"/>
      <c r="I935" s="66"/>
      <c r="J935" s="66"/>
      <c r="K935" s="66"/>
      <c r="L935" s="66"/>
      <c r="M935" s="66"/>
      <c r="N935" s="66"/>
    </row>
    <row r="936" spans="1:14" x14ac:dyDescent="0.2">
      <c r="A936" s="84"/>
      <c r="B936" s="84"/>
      <c r="C936" s="60"/>
      <c r="D936" s="66"/>
      <c r="E936" s="66"/>
      <c r="F936" s="66"/>
      <c r="G936" s="66"/>
      <c r="H936" s="66"/>
      <c r="I936" s="66"/>
      <c r="J936" s="66"/>
      <c r="K936" s="66"/>
      <c r="L936" s="66"/>
      <c r="M936" s="66"/>
      <c r="N936" s="66"/>
    </row>
    <row r="937" spans="1:14" x14ac:dyDescent="0.2">
      <c r="A937" s="84"/>
      <c r="B937" s="84"/>
      <c r="C937" s="60"/>
      <c r="D937" s="66"/>
      <c r="E937" s="66"/>
      <c r="F937" s="66"/>
      <c r="G937" s="66"/>
      <c r="H937" s="66"/>
      <c r="I937" s="66"/>
      <c r="J937" s="66"/>
      <c r="K937" s="66"/>
      <c r="L937" s="66"/>
      <c r="M937" s="66"/>
      <c r="N937" s="66"/>
    </row>
    <row r="938" spans="1:14" x14ac:dyDescent="0.2">
      <c r="A938" s="84"/>
      <c r="B938" s="84"/>
      <c r="C938" s="60"/>
      <c r="D938" s="66"/>
      <c r="E938" s="66"/>
      <c r="F938" s="66"/>
      <c r="G938" s="66"/>
      <c r="H938" s="66"/>
      <c r="I938" s="66"/>
      <c r="J938" s="66"/>
      <c r="K938" s="66"/>
      <c r="L938" s="66"/>
      <c r="M938" s="66"/>
      <c r="N938" s="66"/>
    </row>
    <row r="939" spans="1:14" x14ac:dyDescent="0.2">
      <c r="A939" s="84"/>
      <c r="B939" s="84"/>
      <c r="C939" s="60"/>
      <c r="D939" s="66"/>
      <c r="E939" s="66"/>
      <c r="F939" s="66"/>
      <c r="G939" s="66"/>
      <c r="H939" s="66"/>
      <c r="I939" s="66"/>
      <c r="J939" s="66"/>
      <c r="K939" s="66"/>
      <c r="L939" s="66"/>
      <c r="M939" s="66"/>
      <c r="N939" s="66"/>
    </row>
    <row r="940" spans="1:14" x14ac:dyDescent="0.2">
      <c r="A940" s="84"/>
      <c r="B940" s="84"/>
      <c r="C940" s="60"/>
      <c r="D940" s="66"/>
      <c r="E940" s="66"/>
      <c r="F940" s="66"/>
      <c r="G940" s="66"/>
      <c r="H940" s="66"/>
      <c r="I940" s="66"/>
      <c r="J940" s="66"/>
      <c r="K940" s="66"/>
      <c r="L940" s="66"/>
      <c r="M940" s="66"/>
      <c r="N940" s="66"/>
    </row>
    <row r="941" spans="1:14" x14ac:dyDescent="0.2">
      <c r="A941" s="84"/>
      <c r="B941" s="84"/>
      <c r="C941" s="60"/>
      <c r="D941" s="66"/>
      <c r="E941" s="66"/>
      <c r="F941" s="66"/>
      <c r="G941" s="66"/>
      <c r="H941" s="66"/>
      <c r="I941" s="66"/>
      <c r="J941" s="66"/>
      <c r="K941" s="66"/>
      <c r="L941" s="66"/>
      <c r="M941" s="66"/>
      <c r="N941" s="66"/>
    </row>
    <row r="942" spans="1:14" x14ac:dyDescent="0.2">
      <c r="A942" s="84"/>
      <c r="B942" s="84"/>
      <c r="C942" s="60"/>
      <c r="D942" s="66"/>
      <c r="E942" s="66"/>
      <c r="F942" s="66"/>
      <c r="G942" s="66"/>
      <c r="H942" s="66"/>
      <c r="I942" s="66"/>
      <c r="J942" s="66"/>
      <c r="K942" s="66"/>
      <c r="L942" s="66"/>
      <c r="M942" s="66"/>
      <c r="N942" s="66"/>
    </row>
    <row r="943" spans="1:14" x14ac:dyDescent="0.2">
      <c r="A943" s="84"/>
      <c r="B943" s="84"/>
      <c r="C943" s="60"/>
      <c r="D943" s="66"/>
      <c r="E943" s="66"/>
      <c r="F943" s="66"/>
      <c r="G943" s="66"/>
      <c r="H943" s="66"/>
      <c r="I943" s="66"/>
      <c r="J943" s="66"/>
      <c r="K943" s="66"/>
      <c r="L943" s="66"/>
      <c r="M943" s="66"/>
      <c r="N943" s="66"/>
    </row>
    <row r="944" spans="1:14" x14ac:dyDescent="0.2">
      <c r="A944" s="84"/>
      <c r="B944" s="84"/>
      <c r="C944" s="60"/>
      <c r="D944" s="66"/>
      <c r="E944" s="66"/>
      <c r="F944" s="66"/>
      <c r="G944" s="66"/>
      <c r="H944" s="66"/>
      <c r="I944" s="66"/>
      <c r="J944" s="66"/>
      <c r="K944" s="66"/>
      <c r="L944" s="66"/>
      <c r="M944" s="66"/>
      <c r="N944" s="66"/>
    </row>
    <row r="945" spans="1:14" x14ac:dyDescent="0.2">
      <c r="A945" s="84"/>
      <c r="B945" s="84"/>
      <c r="C945" s="60"/>
      <c r="D945" s="66"/>
      <c r="E945" s="66"/>
      <c r="F945" s="66"/>
      <c r="G945" s="66"/>
      <c r="H945" s="66"/>
      <c r="I945" s="66"/>
      <c r="J945" s="66"/>
      <c r="K945" s="66"/>
      <c r="L945" s="66"/>
      <c r="M945" s="66"/>
      <c r="N945" s="66"/>
    </row>
    <row r="946" spans="1:14" x14ac:dyDescent="0.2">
      <c r="A946" s="84"/>
      <c r="B946" s="84"/>
      <c r="C946" s="60"/>
      <c r="D946" s="66"/>
      <c r="E946" s="66"/>
      <c r="F946" s="66"/>
      <c r="G946" s="66"/>
      <c r="H946" s="66"/>
      <c r="I946" s="66"/>
      <c r="J946" s="66"/>
      <c r="K946" s="66"/>
      <c r="L946" s="66"/>
      <c r="M946" s="66"/>
      <c r="N946" s="66"/>
    </row>
    <row r="947" spans="1:14" x14ac:dyDescent="0.2">
      <c r="A947" s="84"/>
      <c r="B947" s="84"/>
      <c r="C947" s="60"/>
      <c r="D947" s="66"/>
      <c r="E947" s="66"/>
      <c r="F947" s="66"/>
      <c r="G947" s="66"/>
      <c r="H947" s="66"/>
      <c r="I947" s="66"/>
      <c r="J947" s="66"/>
      <c r="K947" s="66"/>
      <c r="L947" s="66"/>
      <c r="M947" s="66"/>
      <c r="N947" s="66"/>
    </row>
    <row r="948" spans="1:14" x14ac:dyDescent="0.2">
      <c r="A948" s="84"/>
      <c r="B948" s="84"/>
      <c r="C948" s="60"/>
      <c r="D948" s="66"/>
      <c r="E948" s="66"/>
      <c r="F948" s="66"/>
      <c r="G948" s="66"/>
      <c r="H948" s="66"/>
      <c r="I948" s="66"/>
      <c r="J948" s="66"/>
      <c r="K948" s="66"/>
      <c r="L948" s="66"/>
      <c r="M948" s="66"/>
      <c r="N948" s="66"/>
    </row>
    <row r="949" spans="1:14" x14ac:dyDescent="0.2">
      <c r="A949" s="84"/>
      <c r="B949" s="84"/>
      <c r="C949" s="60"/>
      <c r="D949" s="66"/>
      <c r="E949" s="66"/>
      <c r="F949" s="66"/>
      <c r="G949" s="66"/>
      <c r="H949" s="66"/>
      <c r="I949" s="66"/>
      <c r="J949" s="66"/>
      <c r="K949" s="66"/>
      <c r="L949" s="66"/>
      <c r="M949" s="66"/>
      <c r="N949" s="66"/>
    </row>
    <row r="950" spans="1:14" x14ac:dyDescent="0.2">
      <c r="A950" s="84"/>
      <c r="B950" s="84"/>
      <c r="C950" s="60"/>
      <c r="D950" s="66"/>
      <c r="E950" s="66"/>
      <c r="F950" s="66"/>
      <c r="G950" s="66"/>
      <c r="H950" s="66"/>
      <c r="I950" s="66"/>
      <c r="J950" s="66"/>
      <c r="K950" s="66"/>
      <c r="L950" s="66"/>
      <c r="M950" s="66"/>
      <c r="N950" s="66"/>
    </row>
    <row r="951" spans="1:14" x14ac:dyDescent="0.2">
      <c r="A951" s="84"/>
      <c r="B951" s="84"/>
      <c r="C951" s="60"/>
      <c r="D951" s="66"/>
      <c r="E951" s="66"/>
      <c r="F951" s="66"/>
      <c r="G951" s="66"/>
      <c r="H951" s="66"/>
      <c r="I951" s="66"/>
      <c r="J951" s="66"/>
      <c r="K951" s="66"/>
      <c r="L951" s="66"/>
      <c r="M951" s="66"/>
      <c r="N951" s="66"/>
    </row>
    <row r="952" spans="1:14" x14ac:dyDescent="0.2">
      <c r="A952" s="84"/>
      <c r="B952" s="84"/>
      <c r="C952" s="60"/>
      <c r="D952" s="66"/>
      <c r="E952" s="66"/>
      <c r="F952" s="66"/>
      <c r="G952" s="66"/>
      <c r="H952" s="66"/>
      <c r="I952" s="66"/>
      <c r="J952" s="66"/>
      <c r="K952" s="66"/>
      <c r="L952" s="66"/>
      <c r="M952" s="66"/>
      <c r="N952" s="66"/>
    </row>
    <row r="953" spans="1:14" x14ac:dyDescent="0.2">
      <c r="A953" s="84"/>
      <c r="B953" s="84"/>
      <c r="C953" s="60"/>
      <c r="D953" s="66"/>
      <c r="E953" s="66"/>
      <c r="F953" s="66"/>
      <c r="G953" s="66"/>
      <c r="H953" s="66"/>
      <c r="I953" s="66"/>
      <c r="J953" s="66"/>
      <c r="K953" s="66"/>
      <c r="L953" s="66"/>
      <c r="M953" s="66"/>
      <c r="N953" s="66"/>
    </row>
    <row r="954" spans="1:14" x14ac:dyDescent="0.2">
      <c r="A954" s="84"/>
      <c r="B954" s="84"/>
      <c r="C954" s="60"/>
      <c r="D954" s="66"/>
      <c r="E954" s="66"/>
      <c r="F954" s="66"/>
      <c r="G954" s="66"/>
      <c r="H954" s="66"/>
      <c r="I954" s="66"/>
      <c r="J954" s="66"/>
      <c r="K954" s="66"/>
      <c r="L954" s="66"/>
      <c r="M954" s="66"/>
      <c r="N954" s="66"/>
    </row>
    <row r="955" spans="1:14" x14ac:dyDescent="0.2">
      <c r="A955" s="84"/>
      <c r="B955" s="84"/>
      <c r="C955" s="60"/>
      <c r="D955" s="66"/>
      <c r="E955" s="66"/>
      <c r="F955" s="66"/>
      <c r="G955" s="66"/>
      <c r="H955" s="66"/>
      <c r="I955" s="66"/>
      <c r="J955" s="66"/>
      <c r="K955" s="66"/>
      <c r="L955" s="66"/>
      <c r="M955" s="66"/>
      <c r="N955" s="66"/>
    </row>
    <row r="956" spans="1:14" x14ac:dyDescent="0.2">
      <c r="A956" s="84"/>
      <c r="B956" s="84"/>
      <c r="C956" s="60"/>
      <c r="D956" s="66"/>
      <c r="E956" s="66"/>
      <c r="F956" s="66"/>
      <c r="G956" s="66"/>
      <c r="H956" s="66"/>
      <c r="I956" s="66"/>
      <c r="J956" s="66"/>
      <c r="K956" s="66"/>
      <c r="L956" s="66"/>
      <c r="M956" s="66"/>
      <c r="N956" s="66"/>
    </row>
    <row r="957" spans="1:14" x14ac:dyDescent="0.2">
      <c r="A957" s="84"/>
      <c r="B957" s="84"/>
      <c r="C957" s="60"/>
      <c r="D957" s="66"/>
      <c r="E957" s="66"/>
      <c r="F957" s="66"/>
      <c r="G957" s="66"/>
      <c r="H957" s="66"/>
      <c r="I957" s="66"/>
      <c r="J957" s="66"/>
      <c r="K957" s="66"/>
      <c r="L957" s="66"/>
      <c r="M957" s="66"/>
      <c r="N957" s="66"/>
    </row>
    <row r="958" spans="1:14" x14ac:dyDescent="0.2">
      <c r="A958" s="84"/>
      <c r="B958" s="84"/>
      <c r="C958" s="60"/>
      <c r="D958" s="66"/>
      <c r="E958" s="66"/>
      <c r="F958" s="66"/>
      <c r="G958" s="66"/>
      <c r="H958" s="66"/>
      <c r="I958" s="66"/>
      <c r="J958" s="66"/>
      <c r="K958" s="66"/>
      <c r="L958" s="66"/>
      <c r="M958" s="66"/>
      <c r="N958" s="66"/>
    </row>
    <row r="959" spans="1:14" x14ac:dyDescent="0.2">
      <c r="A959" s="84"/>
      <c r="B959" s="84"/>
      <c r="C959" s="60"/>
      <c r="D959" s="66"/>
      <c r="E959" s="66"/>
      <c r="F959" s="66"/>
      <c r="G959" s="66"/>
      <c r="H959" s="66"/>
      <c r="I959" s="66"/>
      <c r="J959" s="66"/>
      <c r="K959" s="66"/>
      <c r="L959" s="66"/>
      <c r="M959" s="66"/>
      <c r="N959" s="66"/>
    </row>
    <row r="960" spans="1:14" x14ac:dyDescent="0.2">
      <c r="A960" s="84"/>
      <c r="B960" s="84"/>
      <c r="C960" s="60"/>
      <c r="D960" s="66"/>
      <c r="E960" s="66"/>
      <c r="F960" s="66"/>
      <c r="G960" s="66"/>
      <c r="H960" s="66"/>
      <c r="I960" s="66"/>
      <c r="J960" s="66"/>
      <c r="K960" s="66"/>
      <c r="L960" s="66"/>
      <c r="M960" s="66"/>
      <c r="N960" s="66"/>
    </row>
    <row r="961" spans="1:14" x14ac:dyDescent="0.2">
      <c r="A961" s="84"/>
      <c r="B961" s="84"/>
      <c r="C961" s="60"/>
      <c r="D961" s="66"/>
      <c r="E961" s="66"/>
      <c r="F961" s="66"/>
      <c r="G961" s="66"/>
      <c r="H961" s="66"/>
      <c r="I961" s="66"/>
      <c r="J961" s="66"/>
      <c r="K961" s="66"/>
      <c r="L961" s="66"/>
      <c r="M961" s="66"/>
      <c r="N961" s="66"/>
    </row>
    <row r="962" spans="1:14" x14ac:dyDescent="0.2">
      <c r="A962" s="84"/>
      <c r="B962" s="84"/>
      <c r="C962" s="60"/>
      <c r="D962" s="66"/>
      <c r="E962" s="66"/>
      <c r="F962" s="66"/>
      <c r="G962" s="66"/>
      <c r="H962" s="66"/>
      <c r="I962" s="66"/>
      <c r="J962" s="66"/>
      <c r="K962" s="66"/>
      <c r="L962" s="66"/>
      <c r="M962" s="66"/>
      <c r="N962" s="66"/>
    </row>
    <row r="963" spans="1:14" x14ac:dyDescent="0.2">
      <c r="A963" s="84"/>
      <c r="B963" s="84"/>
      <c r="C963" s="60"/>
      <c r="D963" s="66"/>
      <c r="E963" s="66"/>
      <c r="F963" s="66"/>
      <c r="G963" s="66"/>
      <c r="H963" s="66"/>
      <c r="I963" s="66"/>
      <c r="J963" s="66"/>
      <c r="K963" s="66"/>
      <c r="L963" s="66"/>
      <c r="M963" s="66"/>
      <c r="N963" s="66"/>
    </row>
    <row r="964" spans="1:14" x14ac:dyDescent="0.2">
      <c r="A964" s="84"/>
      <c r="B964" s="84"/>
      <c r="C964" s="60"/>
      <c r="D964" s="66"/>
      <c r="E964" s="66"/>
      <c r="F964" s="66"/>
      <c r="G964" s="66"/>
      <c r="H964" s="66"/>
      <c r="I964" s="66"/>
      <c r="J964" s="66"/>
      <c r="K964" s="66"/>
      <c r="L964" s="66"/>
      <c r="M964" s="66"/>
      <c r="N964" s="66"/>
    </row>
    <row r="965" spans="1:14" x14ac:dyDescent="0.2">
      <c r="A965" s="84"/>
      <c r="B965" s="84"/>
      <c r="C965" s="60"/>
      <c r="D965" s="66"/>
      <c r="E965" s="66"/>
      <c r="F965" s="66"/>
      <c r="G965" s="66"/>
      <c r="H965" s="66"/>
      <c r="I965" s="66"/>
      <c r="J965" s="66"/>
      <c r="K965" s="66"/>
      <c r="L965" s="66"/>
      <c r="M965" s="66"/>
      <c r="N965" s="66"/>
    </row>
    <row r="966" spans="1:14" x14ac:dyDescent="0.2">
      <c r="A966" s="84"/>
      <c r="B966" s="84"/>
      <c r="C966" s="60"/>
      <c r="D966" s="66"/>
      <c r="E966" s="66"/>
      <c r="F966" s="66"/>
      <c r="G966" s="66"/>
      <c r="H966" s="66"/>
      <c r="I966" s="66"/>
      <c r="J966" s="66"/>
      <c r="K966" s="66"/>
      <c r="L966" s="66"/>
      <c r="M966" s="66"/>
      <c r="N966" s="66"/>
    </row>
    <row r="967" spans="1:14" x14ac:dyDescent="0.2">
      <c r="A967" s="84"/>
      <c r="B967" s="84"/>
      <c r="C967" s="60"/>
      <c r="D967" s="66"/>
      <c r="E967" s="66"/>
      <c r="F967" s="66"/>
      <c r="G967" s="66"/>
      <c r="H967" s="66"/>
      <c r="I967" s="66"/>
      <c r="J967" s="66"/>
      <c r="K967" s="66"/>
      <c r="L967" s="66"/>
      <c r="M967" s="66"/>
      <c r="N967" s="66"/>
    </row>
    <row r="968" spans="1:14" x14ac:dyDescent="0.2">
      <c r="A968" s="84"/>
      <c r="B968" s="84"/>
      <c r="C968" s="60"/>
      <c r="D968" s="66"/>
      <c r="E968" s="66"/>
      <c r="F968" s="66"/>
      <c r="G968" s="66"/>
      <c r="H968" s="66"/>
      <c r="I968" s="66"/>
      <c r="J968" s="66"/>
      <c r="K968" s="66"/>
      <c r="L968" s="66"/>
      <c r="M968" s="66"/>
      <c r="N968" s="66"/>
    </row>
    <row r="969" spans="1:14" x14ac:dyDescent="0.2">
      <c r="A969" s="84"/>
      <c r="B969" s="84"/>
      <c r="C969" s="60"/>
      <c r="D969" s="66"/>
      <c r="E969" s="66"/>
      <c r="F969" s="66"/>
      <c r="G969" s="66"/>
      <c r="H969" s="66"/>
      <c r="I969" s="66"/>
      <c r="J969" s="66"/>
      <c r="K969" s="66"/>
      <c r="L969" s="66"/>
      <c r="M969" s="66"/>
      <c r="N969" s="66"/>
    </row>
    <row r="970" spans="1:14" x14ac:dyDescent="0.2">
      <c r="A970" s="84"/>
      <c r="B970" s="84"/>
      <c r="C970" s="60"/>
      <c r="D970" s="66"/>
      <c r="E970" s="66"/>
      <c r="F970" s="66"/>
      <c r="G970" s="66"/>
      <c r="H970" s="66"/>
      <c r="I970" s="66"/>
      <c r="J970" s="66"/>
      <c r="K970" s="66"/>
      <c r="L970" s="66"/>
      <c r="M970" s="66"/>
      <c r="N970" s="66"/>
    </row>
    <row r="971" spans="1:14" x14ac:dyDescent="0.2">
      <c r="A971" s="84"/>
      <c r="B971" s="84"/>
      <c r="C971" s="60"/>
      <c r="D971" s="66"/>
      <c r="E971" s="66"/>
      <c r="F971" s="66"/>
      <c r="G971" s="66"/>
      <c r="H971" s="66"/>
      <c r="I971" s="66"/>
      <c r="J971" s="66"/>
      <c r="K971" s="66"/>
      <c r="L971" s="66"/>
      <c r="M971" s="66"/>
      <c r="N971" s="66"/>
    </row>
    <row r="972" spans="1:14" x14ac:dyDescent="0.2">
      <c r="A972" s="84"/>
      <c r="B972" s="84"/>
      <c r="C972" s="60"/>
      <c r="D972" s="66"/>
      <c r="E972" s="66"/>
      <c r="F972" s="66"/>
      <c r="G972" s="66"/>
      <c r="H972" s="66"/>
      <c r="I972" s="66"/>
      <c r="J972" s="66"/>
      <c r="K972" s="66"/>
      <c r="L972" s="66"/>
      <c r="M972" s="66"/>
      <c r="N972" s="66"/>
    </row>
    <row r="973" spans="1:14" x14ac:dyDescent="0.2">
      <c r="A973" s="84"/>
      <c r="B973" s="84"/>
      <c r="C973" s="60"/>
      <c r="D973" s="66"/>
      <c r="E973" s="66"/>
      <c r="F973" s="66"/>
      <c r="G973" s="66"/>
      <c r="H973" s="66"/>
      <c r="I973" s="66"/>
      <c r="J973" s="66"/>
      <c r="K973" s="66"/>
      <c r="L973" s="66"/>
      <c r="M973" s="66"/>
      <c r="N973" s="66"/>
    </row>
    <row r="974" spans="1:14" x14ac:dyDescent="0.2">
      <c r="A974" s="84"/>
      <c r="B974" s="84"/>
      <c r="C974" s="60"/>
      <c r="D974" s="66"/>
      <c r="E974" s="66"/>
      <c r="F974" s="66"/>
      <c r="G974" s="66"/>
      <c r="H974" s="66"/>
      <c r="I974" s="66"/>
      <c r="J974" s="66"/>
      <c r="K974" s="66"/>
      <c r="L974" s="66"/>
      <c r="M974" s="66"/>
      <c r="N974" s="66"/>
    </row>
    <row r="975" spans="1:14" x14ac:dyDescent="0.2">
      <c r="A975" s="84"/>
      <c r="B975" s="84"/>
      <c r="C975" s="60"/>
      <c r="D975" s="66"/>
      <c r="E975" s="66"/>
      <c r="F975" s="66"/>
      <c r="G975" s="66"/>
      <c r="H975" s="66"/>
      <c r="I975" s="66"/>
      <c r="J975" s="66"/>
      <c r="K975" s="66"/>
      <c r="L975" s="66"/>
      <c r="M975" s="66"/>
      <c r="N975" s="66"/>
    </row>
    <row r="976" spans="1:14" x14ac:dyDescent="0.2">
      <c r="A976" s="84"/>
      <c r="B976" s="84"/>
      <c r="C976" s="60"/>
      <c r="D976" s="66"/>
      <c r="E976" s="66"/>
      <c r="F976" s="66"/>
      <c r="G976" s="66"/>
      <c r="H976" s="66"/>
      <c r="I976" s="66"/>
      <c r="J976" s="66"/>
      <c r="K976" s="66"/>
      <c r="L976" s="66"/>
      <c r="M976" s="66"/>
      <c r="N976" s="66"/>
    </row>
    <row r="977" spans="1:14" x14ac:dyDescent="0.2">
      <c r="A977" s="84"/>
      <c r="B977" s="84"/>
      <c r="C977" s="60"/>
      <c r="D977" s="66"/>
      <c r="E977" s="66"/>
      <c r="F977" s="66"/>
      <c r="G977" s="66"/>
      <c r="H977" s="66"/>
      <c r="I977" s="66"/>
      <c r="J977" s="66"/>
      <c r="K977" s="66"/>
      <c r="L977" s="66"/>
      <c r="M977" s="66"/>
      <c r="N977" s="66"/>
    </row>
    <row r="978" spans="1:14" x14ac:dyDescent="0.2">
      <c r="A978" s="84"/>
      <c r="B978" s="84"/>
      <c r="C978" s="60"/>
      <c r="D978" s="66"/>
      <c r="E978" s="66"/>
      <c r="F978" s="66"/>
      <c r="G978" s="66"/>
      <c r="H978" s="66"/>
      <c r="I978" s="66"/>
      <c r="J978" s="66"/>
      <c r="K978" s="66"/>
      <c r="L978" s="66"/>
      <c r="M978" s="66"/>
      <c r="N978" s="66"/>
    </row>
    <row r="979" spans="1:14" x14ac:dyDescent="0.2">
      <c r="A979" s="84"/>
      <c r="B979" s="84"/>
      <c r="C979" s="60"/>
      <c r="D979" s="66"/>
      <c r="E979" s="66"/>
      <c r="F979" s="66"/>
      <c r="G979" s="66"/>
      <c r="H979" s="66"/>
      <c r="I979" s="66"/>
      <c r="J979" s="66"/>
      <c r="K979" s="66"/>
      <c r="L979" s="66"/>
      <c r="M979" s="66"/>
      <c r="N979" s="66"/>
    </row>
    <row r="980" spans="1:14" x14ac:dyDescent="0.2">
      <c r="A980" s="84"/>
      <c r="B980" s="84"/>
      <c r="C980" s="60"/>
      <c r="D980" s="66"/>
      <c r="E980" s="66"/>
      <c r="F980" s="66"/>
      <c r="G980" s="66"/>
      <c r="H980" s="66"/>
      <c r="I980" s="66"/>
      <c r="J980" s="66"/>
      <c r="K980" s="66"/>
      <c r="L980" s="66"/>
      <c r="M980" s="66"/>
      <c r="N980" s="66"/>
    </row>
    <row r="981" spans="1:14" x14ac:dyDescent="0.2">
      <c r="A981" s="84"/>
      <c r="B981" s="84"/>
      <c r="C981" s="60"/>
      <c r="D981" s="66"/>
      <c r="E981" s="66"/>
      <c r="F981" s="66"/>
      <c r="G981" s="66"/>
      <c r="H981" s="66"/>
      <c r="I981" s="66"/>
      <c r="J981" s="66"/>
      <c r="K981" s="66"/>
      <c r="L981" s="66"/>
      <c r="M981" s="66"/>
      <c r="N981" s="66"/>
    </row>
    <row r="982" spans="1:14" x14ac:dyDescent="0.2">
      <c r="A982" s="84"/>
      <c r="B982" s="84"/>
      <c r="C982" s="60"/>
      <c r="D982" s="66"/>
      <c r="E982" s="66"/>
      <c r="F982" s="66"/>
      <c r="G982" s="66"/>
      <c r="H982" s="66"/>
      <c r="I982" s="66"/>
      <c r="J982" s="66"/>
      <c r="K982" s="66"/>
      <c r="L982" s="66"/>
      <c r="M982" s="66"/>
      <c r="N982" s="66"/>
    </row>
    <row r="983" spans="1:14" x14ac:dyDescent="0.2">
      <c r="A983" s="84"/>
      <c r="B983" s="84"/>
      <c r="C983" s="60"/>
      <c r="D983" s="66"/>
      <c r="E983" s="66"/>
      <c r="F983" s="66"/>
      <c r="G983" s="66"/>
      <c r="H983" s="66"/>
      <c r="I983" s="66"/>
      <c r="J983" s="66"/>
      <c r="K983" s="66"/>
      <c r="L983" s="66"/>
      <c r="M983" s="66"/>
      <c r="N983" s="66"/>
    </row>
    <row r="984" spans="1:14" x14ac:dyDescent="0.2">
      <c r="A984" s="84"/>
      <c r="B984" s="84"/>
      <c r="C984" s="60"/>
      <c r="D984" s="66"/>
      <c r="E984" s="66"/>
      <c r="F984" s="66"/>
      <c r="G984" s="66"/>
      <c r="H984" s="66"/>
      <c r="I984" s="66"/>
      <c r="J984" s="66"/>
      <c r="K984" s="66"/>
      <c r="L984" s="66"/>
      <c r="M984" s="66"/>
      <c r="N984" s="66"/>
    </row>
    <row r="985" spans="1:14" x14ac:dyDescent="0.2">
      <c r="A985" s="84"/>
      <c r="B985" s="84"/>
      <c r="C985" s="60"/>
      <c r="D985" s="66"/>
      <c r="E985" s="66"/>
      <c r="F985" s="66"/>
      <c r="G985" s="66"/>
      <c r="H985" s="66"/>
      <c r="I985" s="66"/>
      <c r="J985" s="66"/>
      <c r="K985" s="66"/>
      <c r="L985" s="66"/>
      <c r="M985" s="66"/>
      <c r="N985" s="66"/>
    </row>
    <row r="986" spans="1:14" x14ac:dyDescent="0.2">
      <c r="A986" s="84"/>
      <c r="B986" s="84"/>
      <c r="C986" s="60"/>
      <c r="D986" s="66"/>
      <c r="E986" s="66"/>
      <c r="F986" s="66"/>
      <c r="G986" s="66"/>
      <c r="H986" s="66"/>
      <c r="I986" s="66"/>
      <c r="J986" s="66"/>
      <c r="K986" s="66"/>
      <c r="L986" s="66"/>
      <c r="M986" s="66"/>
      <c r="N986" s="66"/>
    </row>
    <row r="987" spans="1:14" x14ac:dyDescent="0.2">
      <c r="A987" s="84"/>
      <c r="B987" s="84"/>
      <c r="C987" s="60"/>
      <c r="D987" s="66"/>
      <c r="E987" s="66"/>
      <c r="F987" s="66"/>
      <c r="G987" s="66"/>
      <c r="H987" s="66"/>
      <c r="I987" s="66"/>
      <c r="J987" s="66"/>
      <c r="K987" s="66"/>
      <c r="L987" s="66"/>
      <c r="M987" s="66"/>
      <c r="N987" s="66"/>
    </row>
    <row r="988" spans="1:14" x14ac:dyDescent="0.2">
      <c r="A988" s="84"/>
      <c r="B988" s="84"/>
      <c r="C988" s="60"/>
      <c r="D988" s="66"/>
      <c r="E988" s="66"/>
      <c r="F988" s="66"/>
      <c r="G988" s="66"/>
      <c r="H988" s="66"/>
      <c r="I988" s="66"/>
      <c r="J988" s="66"/>
      <c r="K988" s="66"/>
      <c r="L988" s="66"/>
      <c r="M988" s="66"/>
      <c r="N988" s="66"/>
    </row>
    <row r="989" spans="1:14" x14ac:dyDescent="0.2">
      <c r="A989" s="84"/>
      <c r="B989" s="84"/>
      <c r="C989" s="60"/>
      <c r="D989" s="66"/>
      <c r="E989" s="66"/>
      <c r="F989" s="66"/>
      <c r="G989" s="66"/>
      <c r="H989" s="66"/>
      <c r="I989" s="66"/>
      <c r="J989" s="66"/>
      <c r="K989" s="66"/>
      <c r="L989" s="66"/>
      <c r="M989" s="66"/>
      <c r="N989" s="66"/>
    </row>
    <row r="990" spans="1:14" x14ac:dyDescent="0.2">
      <c r="A990" s="84"/>
      <c r="B990" s="84"/>
      <c r="C990" s="60"/>
      <c r="D990" s="66"/>
      <c r="E990" s="66"/>
      <c r="F990" s="66"/>
      <c r="G990" s="66"/>
      <c r="H990" s="66"/>
      <c r="I990" s="66"/>
      <c r="J990" s="66"/>
      <c r="K990" s="66"/>
      <c r="L990" s="66"/>
      <c r="M990" s="66"/>
      <c r="N990" s="66"/>
    </row>
    <row r="991" spans="1:14" x14ac:dyDescent="0.2">
      <c r="A991" s="84"/>
      <c r="B991" s="84"/>
      <c r="C991" s="60"/>
      <c r="D991" s="66"/>
      <c r="E991" s="66"/>
      <c r="F991" s="66"/>
      <c r="G991" s="66"/>
      <c r="H991" s="66"/>
      <c r="I991" s="66"/>
      <c r="J991" s="66"/>
      <c r="K991" s="66"/>
      <c r="L991" s="66"/>
      <c r="M991" s="66"/>
      <c r="N991" s="66"/>
    </row>
    <row r="992" spans="1:14" x14ac:dyDescent="0.2">
      <c r="A992" s="84"/>
      <c r="B992" s="84"/>
      <c r="C992" s="60"/>
      <c r="D992" s="66"/>
      <c r="E992" s="66"/>
      <c r="F992" s="66"/>
      <c r="G992" s="66"/>
      <c r="H992" s="66"/>
      <c r="I992" s="66"/>
      <c r="J992" s="66"/>
      <c r="K992" s="66"/>
      <c r="L992" s="66"/>
      <c r="M992" s="66"/>
      <c r="N992" s="66"/>
    </row>
    <row r="993" spans="1:14" x14ac:dyDescent="0.2">
      <c r="A993" s="84"/>
      <c r="B993" s="84"/>
      <c r="C993" s="60"/>
      <c r="D993" s="66"/>
      <c r="E993" s="66"/>
      <c r="F993" s="66"/>
      <c r="G993" s="66"/>
      <c r="H993" s="66"/>
      <c r="I993" s="66"/>
      <c r="J993" s="66"/>
      <c r="K993" s="66"/>
      <c r="L993" s="66"/>
      <c r="M993" s="66"/>
      <c r="N993" s="66"/>
    </row>
    <row r="994" spans="1:14" x14ac:dyDescent="0.2">
      <c r="A994" s="84"/>
      <c r="B994" s="84"/>
      <c r="C994" s="60"/>
      <c r="D994" s="66"/>
      <c r="E994" s="66"/>
      <c r="F994" s="66"/>
      <c r="G994" s="66"/>
      <c r="H994" s="66"/>
      <c r="I994" s="66"/>
      <c r="J994" s="66"/>
      <c r="K994" s="66"/>
      <c r="L994" s="66"/>
      <c r="M994" s="66"/>
      <c r="N994" s="66"/>
    </row>
    <row r="995" spans="1:14" x14ac:dyDescent="0.2">
      <c r="A995" s="84"/>
      <c r="B995" s="84"/>
      <c r="C995" s="60"/>
      <c r="D995" s="66"/>
      <c r="E995" s="66"/>
      <c r="F995" s="66"/>
      <c r="G995" s="66"/>
      <c r="H995" s="66"/>
      <c r="I995" s="66"/>
      <c r="J995" s="66"/>
      <c r="K995" s="66"/>
      <c r="L995" s="66"/>
      <c r="M995" s="66"/>
      <c r="N995" s="66"/>
    </row>
    <row r="996" spans="1:14" x14ac:dyDescent="0.2">
      <c r="A996" s="84"/>
      <c r="B996" s="84"/>
      <c r="C996" s="60"/>
      <c r="D996" s="66"/>
      <c r="E996" s="66"/>
      <c r="F996" s="66"/>
      <c r="G996" s="66"/>
      <c r="H996" s="66"/>
      <c r="I996" s="66"/>
      <c r="J996" s="66"/>
      <c r="K996" s="66"/>
      <c r="L996" s="66"/>
      <c r="M996" s="66"/>
      <c r="N996" s="66"/>
    </row>
    <row r="997" spans="1:14" x14ac:dyDescent="0.2">
      <c r="A997" s="84"/>
      <c r="B997" s="84"/>
      <c r="C997" s="60"/>
      <c r="D997" s="66"/>
      <c r="E997" s="66"/>
      <c r="F997" s="66"/>
      <c r="G997" s="66"/>
      <c r="H997" s="66"/>
      <c r="I997" s="66"/>
      <c r="J997" s="66"/>
      <c r="K997" s="66"/>
      <c r="L997" s="66"/>
      <c r="M997" s="66"/>
      <c r="N997" s="66"/>
    </row>
    <row r="998" spans="1:14" x14ac:dyDescent="0.2">
      <c r="A998" s="84"/>
      <c r="B998" s="84"/>
      <c r="C998" s="60"/>
      <c r="D998" s="66"/>
      <c r="E998" s="66"/>
      <c r="F998" s="66"/>
      <c r="G998" s="66"/>
      <c r="H998" s="66"/>
      <c r="I998" s="66"/>
      <c r="J998" s="66"/>
      <c r="K998" s="66"/>
      <c r="L998" s="66"/>
      <c r="M998" s="66"/>
      <c r="N998" s="66"/>
    </row>
    <row r="999" spans="1:14" x14ac:dyDescent="0.2">
      <c r="A999" s="84"/>
      <c r="B999" s="84"/>
      <c r="C999" s="60"/>
      <c r="D999" s="66"/>
      <c r="E999" s="66"/>
      <c r="F999" s="66"/>
      <c r="G999" s="66"/>
      <c r="H999" s="66"/>
      <c r="I999" s="66"/>
      <c r="J999" s="66"/>
      <c r="K999" s="66"/>
      <c r="L999" s="66"/>
      <c r="M999" s="66"/>
      <c r="N999" s="66"/>
    </row>
    <row r="1000" spans="1:14" x14ac:dyDescent="0.2">
      <c r="A1000" s="84"/>
      <c r="B1000" s="84"/>
      <c r="C1000" s="60"/>
      <c r="D1000" s="66"/>
      <c r="E1000" s="66"/>
      <c r="F1000" s="66"/>
      <c r="G1000" s="66"/>
      <c r="H1000" s="66"/>
      <c r="I1000" s="66"/>
      <c r="J1000" s="66"/>
      <c r="K1000" s="66"/>
      <c r="L1000" s="66"/>
      <c r="M1000" s="66"/>
      <c r="N1000" s="66"/>
    </row>
    <row r="1001" spans="1:14" x14ac:dyDescent="0.2">
      <c r="A1001" s="84"/>
      <c r="B1001" s="84"/>
      <c r="C1001" s="60"/>
      <c r="D1001" s="66"/>
      <c r="E1001" s="66"/>
      <c r="F1001" s="66"/>
      <c r="G1001" s="66"/>
      <c r="H1001" s="66"/>
      <c r="I1001" s="66"/>
      <c r="J1001" s="66"/>
      <c r="K1001" s="66"/>
      <c r="L1001" s="66"/>
      <c r="M1001" s="66"/>
      <c r="N1001" s="66"/>
    </row>
    <row r="1002" spans="1:14" x14ac:dyDescent="0.2">
      <c r="A1002" s="84"/>
      <c r="B1002" s="84"/>
      <c r="C1002" s="60"/>
      <c r="D1002" s="66"/>
      <c r="E1002" s="66"/>
      <c r="F1002" s="66"/>
      <c r="G1002" s="66"/>
      <c r="H1002" s="66"/>
      <c r="I1002" s="66"/>
      <c r="J1002" s="66"/>
      <c r="K1002" s="66"/>
      <c r="L1002" s="66"/>
      <c r="M1002" s="66"/>
      <c r="N1002" s="66"/>
    </row>
    <row r="1003" spans="1:14" x14ac:dyDescent="0.2">
      <c r="A1003" s="84"/>
      <c r="B1003" s="84"/>
      <c r="C1003" s="60"/>
      <c r="D1003" s="66"/>
      <c r="E1003" s="66"/>
      <c r="F1003" s="66"/>
      <c r="G1003" s="66"/>
      <c r="H1003" s="66"/>
      <c r="I1003" s="66"/>
      <c r="J1003" s="66"/>
      <c r="K1003" s="66"/>
      <c r="L1003" s="66"/>
      <c r="M1003" s="66"/>
      <c r="N1003" s="66"/>
    </row>
    <row r="1004" spans="1:14" x14ac:dyDescent="0.2">
      <c r="A1004" s="84"/>
      <c r="B1004" s="84"/>
      <c r="C1004" s="60"/>
      <c r="D1004" s="66"/>
      <c r="E1004" s="66"/>
      <c r="F1004" s="66"/>
      <c r="G1004" s="66"/>
      <c r="H1004" s="66"/>
      <c r="I1004" s="66"/>
      <c r="J1004" s="66"/>
      <c r="K1004" s="66"/>
      <c r="L1004" s="66"/>
      <c r="M1004" s="66"/>
      <c r="N1004" s="66"/>
    </row>
    <row r="1005" spans="1:14" x14ac:dyDescent="0.2">
      <c r="A1005" s="84"/>
      <c r="B1005" s="84"/>
      <c r="C1005" s="60"/>
      <c r="D1005" s="66"/>
      <c r="E1005" s="66"/>
      <c r="F1005" s="66"/>
      <c r="G1005" s="66"/>
      <c r="H1005" s="66"/>
      <c r="I1005" s="66"/>
      <c r="J1005" s="66"/>
      <c r="K1005" s="66"/>
      <c r="L1005" s="66"/>
      <c r="M1005" s="66"/>
      <c r="N1005" s="66"/>
    </row>
    <row r="1006" spans="1:14" x14ac:dyDescent="0.2">
      <c r="A1006" s="84"/>
      <c r="B1006" s="84"/>
      <c r="C1006" s="60"/>
      <c r="D1006" s="66"/>
      <c r="E1006" s="66"/>
      <c r="F1006" s="66"/>
      <c r="G1006" s="66"/>
      <c r="H1006" s="66"/>
      <c r="I1006" s="66"/>
      <c r="J1006" s="66"/>
      <c r="K1006" s="66"/>
      <c r="L1006" s="66"/>
      <c r="M1006" s="66"/>
      <c r="N1006" s="66"/>
    </row>
    <row r="1007" spans="1:14" x14ac:dyDescent="0.2">
      <c r="A1007" s="84"/>
      <c r="B1007" s="84"/>
      <c r="C1007" s="60"/>
      <c r="D1007" s="66"/>
      <c r="E1007" s="66"/>
      <c r="F1007" s="66"/>
      <c r="G1007" s="66"/>
      <c r="H1007" s="66"/>
      <c r="I1007" s="66"/>
      <c r="J1007" s="66"/>
      <c r="K1007" s="66"/>
      <c r="L1007" s="66"/>
      <c r="M1007" s="66"/>
      <c r="N1007" s="66"/>
    </row>
    <row r="1008" spans="1:14" x14ac:dyDescent="0.2">
      <c r="A1008" s="84"/>
      <c r="B1008" s="84"/>
      <c r="C1008" s="60"/>
      <c r="D1008" s="66"/>
      <c r="E1008" s="66"/>
      <c r="F1008" s="66"/>
      <c r="G1008" s="66"/>
      <c r="H1008" s="66"/>
      <c r="I1008" s="66"/>
      <c r="J1008" s="66"/>
      <c r="K1008" s="66"/>
      <c r="L1008" s="66"/>
      <c r="M1008" s="66"/>
      <c r="N1008" s="66"/>
    </row>
    <row r="1009" spans="1:14" x14ac:dyDescent="0.2">
      <c r="A1009" s="84"/>
      <c r="B1009" s="84"/>
      <c r="C1009" s="60"/>
      <c r="D1009" s="66"/>
      <c r="E1009" s="66"/>
      <c r="F1009" s="66"/>
      <c r="G1009" s="66"/>
      <c r="H1009" s="66"/>
      <c r="I1009" s="66"/>
      <c r="J1009" s="66"/>
      <c r="K1009" s="66"/>
      <c r="L1009" s="66"/>
      <c r="M1009" s="66"/>
      <c r="N1009" s="66"/>
    </row>
    <row r="1010" spans="1:14" x14ac:dyDescent="0.2">
      <c r="A1010" s="84"/>
      <c r="B1010" s="84"/>
      <c r="C1010" s="60"/>
      <c r="D1010" s="66"/>
      <c r="E1010" s="66"/>
      <c r="F1010" s="66"/>
      <c r="G1010" s="66"/>
      <c r="H1010" s="66"/>
      <c r="I1010" s="66"/>
      <c r="J1010" s="66"/>
      <c r="K1010" s="66"/>
      <c r="L1010" s="66"/>
      <c r="M1010" s="66"/>
      <c r="N1010" s="66"/>
    </row>
    <row r="1011" spans="1:14" x14ac:dyDescent="0.2">
      <c r="A1011" s="84"/>
      <c r="B1011" s="84"/>
      <c r="C1011" s="60"/>
      <c r="D1011" s="66"/>
      <c r="E1011" s="66"/>
      <c r="F1011" s="66"/>
      <c r="G1011" s="66"/>
      <c r="H1011" s="66"/>
      <c r="I1011" s="66"/>
      <c r="J1011" s="66"/>
      <c r="K1011" s="66"/>
      <c r="L1011" s="66"/>
      <c r="M1011" s="66"/>
      <c r="N1011" s="66"/>
    </row>
    <row r="1012" spans="1:14" x14ac:dyDescent="0.2">
      <c r="A1012" s="84"/>
      <c r="B1012" s="84"/>
      <c r="C1012" s="60"/>
      <c r="D1012" s="66"/>
      <c r="E1012" s="66"/>
      <c r="F1012" s="66"/>
      <c r="G1012" s="66"/>
      <c r="H1012" s="66"/>
      <c r="I1012" s="66"/>
      <c r="J1012" s="66"/>
      <c r="K1012" s="66"/>
      <c r="L1012" s="66"/>
      <c r="M1012" s="66"/>
      <c r="N1012" s="66"/>
    </row>
    <row r="1013" spans="1:14" x14ac:dyDescent="0.2">
      <c r="A1013" s="84"/>
      <c r="B1013" s="84"/>
      <c r="C1013" s="60"/>
      <c r="D1013" s="66"/>
      <c r="E1013" s="66"/>
      <c r="F1013" s="66"/>
      <c r="G1013" s="66"/>
      <c r="H1013" s="66"/>
      <c r="I1013" s="66"/>
      <c r="J1013" s="66"/>
      <c r="K1013" s="66"/>
      <c r="L1013" s="66"/>
      <c r="M1013" s="66"/>
      <c r="N1013" s="66"/>
    </row>
    <row r="1014" spans="1:14" x14ac:dyDescent="0.2">
      <c r="A1014" s="84"/>
      <c r="B1014" s="84"/>
      <c r="C1014" s="60"/>
      <c r="D1014" s="66"/>
      <c r="E1014" s="66"/>
      <c r="F1014" s="66"/>
      <c r="G1014" s="66"/>
      <c r="H1014" s="66"/>
      <c r="I1014" s="66"/>
      <c r="J1014" s="66"/>
      <c r="K1014" s="66"/>
      <c r="L1014" s="66"/>
      <c r="M1014" s="66"/>
      <c r="N1014" s="66"/>
    </row>
    <row r="1015" spans="1:14" x14ac:dyDescent="0.2">
      <c r="A1015" s="84"/>
      <c r="B1015" s="84"/>
      <c r="C1015" s="60"/>
      <c r="D1015" s="66"/>
      <c r="E1015" s="66"/>
      <c r="F1015" s="66"/>
      <c r="G1015" s="66"/>
      <c r="H1015" s="66"/>
      <c r="I1015" s="66"/>
      <c r="J1015" s="66"/>
      <c r="K1015" s="66"/>
      <c r="L1015" s="66"/>
      <c r="M1015" s="66"/>
      <c r="N1015" s="66"/>
    </row>
    <row r="1016" spans="1:14" x14ac:dyDescent="0.2">
      <c r="A1016" s="84"/>
      <c r="B1016" s="84"/>
      <c r="C1016" s="60"/>
      <c r="D1016" s="66"/>
      <c r="E1016" s="66"/>
      <c r="F1016" s="66"/>
      <c r="G1016" s="66"/>
      <c r="H1016" s="66"/>
      <c r="I1016" s="66"/>
      <c r="J1016" s="66"/>
      <c r="K1016" s="66"/>
      <c r="L1016" s="66"/>
      <c r="M1016" s="66"/>
      <c r="N1016" s="66"/>
    </row>
    <row r="1017" spans="1:14" x14ac:dyDescent="0.2">
      <c r="A1017" s="84"/>
      <c r="B1017" s="84"/>
      <c r="C1017" s="60"/>
      <c r="D1017" s="66"/>
      <c r="E1017" s="66"/>
      <c r="F1017" s="66"/>
      <c r="G1017" s="66"/>
      <c r="H1017" s="66"/>
      <c r="I1017" s="66"/>
      <c r="J1017" s="66"/>
      <c r="K1017" s="66"/>
      <c r="L1017" s="66"/>
      <c r="M1017" s="66"/>
      <c r="N1017" s="66"/>
    </row>
    <row r="1018" spans="1:14" x14ac:dyDescent="0.2">
      <c r="A1018" s="84"/>
      <c r="B1018" s="84"/>
      <c r="C1018" s="60"/>
      <c r="D1018" s="66"/>
      <c r="E1018" s="66"/>
      <c r="F1018" s="66"/>
      <c r="G1018" s="66"/>
      <c r="H1018" s="66"/>
      <c r="I1018" s="66"/>
      <c r="J1018" s="66"/>
      <c r="K1018" s="66"/>
      <c r="L1018" s="66"/>
      <c r="M1018" s="66"/>
      <c r="N1018" s="66"/>
    </row>
    <row r="1019" spans="1:14" x14ac:dyDescent="0.2">
      <c r="A1019" s="84"/>
      <c r="B1019" s="84"/>
      <c r="C1019" s="60"/>
      <c r="D1019" s="66"/>
      <c r="E1019" s="66"/>
      <c r="F1019" s="66"/>
      <c r="G1019" s="66"/>
      <c r="H1019" s="66"/>
      <c r="I1019" s="66"/>
      <c r="J1019" s="66"/>
      <c r="K1019" s="66"/>
      <c r="L1019" s="66"/>
      <c r="M1019" s="66"/>
      <c r="N1019" s="66"/>
    </row>
    <row r="1020" spans="1:14" x14ac:dyDescent="0.2">
      <c r="A1020" s="84"/>
      <c r="B1020" s="84"/>
      <c r="C1020" s="60"/>
      <c r="D1020" s="66"/>
      <c r="E1020" s="66"/>
      <c r="F1020" s="66"/>
      <c r="G1020" s="66"/>
      <c r="H1020" s="66"/>
      <c r="I1020" s="66"/>
      <c r="J1020" s="66"/>
      <c r="K1020" s="66"/>
      <c r="L1020" s="66"/>
      <c r="M1020" s="66"/>
      <c r="N1020" s="66"/>
    </row>
    <row r="1021" spans="1:14" x14ac:dyDescent="0.2">
      <c r="A1021" s="84"/>
      <c r="B1021" s="84"/>
      <c r="C1021" s="60"/>
      <c r="D1021" s="66"/>
      <c r="E1021" s="66"/>
      <c r="F1021" s="66"/>
      <c r="G1021" s="66"/>
      <c r="H1021" s="66"/>
      <c r="I1021" s="66"/>
      <c r="J1021" s="66"/>
      <c r="K1021" s="66"/>
      <c r="L1021" s="66"/>
      <c r="M1021" s="66"/>
      <c r="N1021" s="66"/>
    </row>
    <row r="1022" spans="1:14" x14ac:dyDescent="0.2">
      <c r="A1022" s="84"/>
      <c r="B1022" s="84"/>
      <c r="C1022" s="60"/>
      <c r="D1022" s="66"/>
      <c r="E1022" s="66"/>
      <c r="F1022" s="66"/>
      <c r="G1022" s="66"/>
      <c r="H1022" s="66"/>
      <c r="I1022" s="66"/>
      <c r="J1022" s="66"/>
      <c r="K1022" s="66"/>
      <c r="L1022" s="66"/>
      <c r="M1022" s="66"/>
      <c r="N1022" s="66"/>
    </row>
    <row r="1023" spans="1:14" x14ac:dyDescent="0.2">
      <c r="A1023" s="84"/>
      <c r="B1023" s="84"/>
      <c r="C1023" s="60"/>
      <c r="D1023" s="66"/>
      <c r="E1023" s="66"/>
      <c r="F1023" s="66"/>
      <c r="G1023" s="66"/>
      <c r="H1023" s="66"/>
      <c r="I1023" s="66"/>
      <c r="J1023" s="66"/>
      <c r="K1023" s="66"/>
      <c r="L1023" s="66"/>
      <c r="M1023" s="66"/>
      <c r="N1023" s="66"/>
    </row>
    <row r="1024" spans="1:14" x14ac:dyDescent="0.2">
      <c r="A1024" s="84"/>
      <c r="B1024" s="84"/>
      <c r="C1024" s="60"/>
      <c r="D1024" s="66"/>
      <c r="E1024" s="66"/>
      <c r="F1024" s="66"/>
      <c r="G1024" s="66"/>
      <c r="H1024" s="66"/>
      <c r="I1024" s="66"/>
      <c r="J1024" s="66"/>
      <c r="K1024" s="66"/>
      <c r="L1024" s="66"/>
      <c r="M1024" s="66"/>
      <c r="N1024" s="66"/>
    </row>
    <row r="1025" spans="1:14" x14ac:dyDescent="0.2">
      <c r="A1025" s="84"/>
      <c r="B1025" s="84"/>
      <c r="C1025" s="60"/>
      <c r="D1025" s="66"/>
      <c r="E1025" s="66"/>
      <c r="F1025" s="66"/>
      <c r="G1025" s="66"/>
      <c r="H1025" s="66"/>
      <c r="I1025" s="66"/>
      <c r="J1025" s="66"/>
      <c r="K1025" s="66"/>
      <c r="L1025" s="66"/>
      <c r="M1025" s="66"/>
      <c r="N1025" s="66"/>
    </row>
    <row r="1026" spans="1:14" x14ac:dyDescent="0.2">
      <c r="A1026" s="84"/>
      <c r="B1026" s="84"/>
      <c r="C1026" s="60"/>
      <c r="D1026" s="66"/>
      <c r="E1026" s="66"/>
      <c r="F1026" s="66"/>
      <c r="G1026" s="66"/>
      <c r="H1026" s="66"/>
      <c r="I1026" s="66"/>
      <c r="J1026" s="66"/>
      <c r="K1026" s="66"/>
      <c r="L1026" s="66"/>
      <c r="M1026" s="66"/>
      <c r="N1026" s="66"/>
    </row>
    <row r="1027" spans="1:14" x14ac:dyDescent="0.2">
      <c r="A1027" s="84"/>
      <c r="B1027" s="84"/>
      <c r="C1027" s="60"/>
      <c r="D1027" s="66"/>
      <c r="E1027" s="66"/>
      <c r="F1027" s="66"/>
      <c r="G1027" s="66"/>
      <c r="H1027" s="66"/>
      <c r="I1027" s="66"/>
      <c r="J1027" s="66"/>
      <c r="K1027" s="66"/>
      <c r="L1027" s="66"/>
      <c r="M1027" s="66"/>
      <c r="N1027" s="66"/>
    </row>
    <row r="1028" spans="1:14" x14ac:dyDescent="0.2">
      <c r="A1028" s="84"/>
      <c r="B1028" s="84"/>
      <c r="C1028" s="60"/>
      <c r="D1028" s="66"/>
      <c r="E1028" s="66"/>
      <c r="F1028" s="66"/>
      <c r="G1028" s="66"/>
      <c r="H1028" s="66"/>
      <c r="I1028" s="66"/>
      <c r="J1028" s="66"/>
      <c r="K1028" s="66"/>
      <c r="L1028" s="66"/>
      <c r="M1028" s="66"/>
      <c r="N1028" s="66"/>
    </row>
    <row r="1029" spans="1:14" x14ac:dyDescent="0.2">
      <c r="A1029" s="84"/>
      <c r="B1029" s="84"/>
      <c r="C1029" s="60"/>
      <c r="D1029" s="66"/>
      <c r="E1029" s="66"/>
      <c r="F1029" s="66"/>
      <c r="G1029" s="66"/>
      <c r="H1029" s="66"/>
      <c r="I1029" s="66"/>
      <c r="J1029" s="66"/>
      <c r="K1029" s="66"/>
      <c r="L1029" s="66"/>
      <c r="M1029" s="66"/>
      <c r="N1029" s="66"/>
    </row>
    <row r="1030" spans="1:14" x14ac:dyDescent="0.2">
      <c r="A1030" s="84"/>
      <c r="B1030" s="84"/>
      <c r="C1030" s="60"/>
      <c r="D1030" s="66"/>
      <c r="E1030" s="66"/>
      <c r="F1030" s="66"/>
      <c r="G1030" s="66"/>
      <c r="H1030" s="66"/>
      <c r="I1030" s="66"/>
      <c r="J1030" s="66"/>
      <c r="K1030" s="66"/>
      <c r="L1030" s="66"/>
      <c r="M1030" s="66"/>
      <c r="N1030" s="66"/>
    </row>
    <row r="1031" spans="1:14" x14ac:dyDescent="0.2">
      <c r="A1031" s="84"/>
      <c r="B1031" s="84"/>
      <c r="C1031" s="60"/>
      <c r="D1031" s="66"/>
      <c r="E1031" s="66"/>
      <c r="F1031" s="66"/>
      <c r="G1031" s="66"/>
      <c r="H1031" s="66"/>
      <c r="I1031" s="66"/>
      <c r="J1031" s="66"/>
      <c r="K1031" s="66"/>
      <c r="L1031" s="66"/>
      <c r="M1031" s="66"/>
      <c r="N1031" s="66"/>
    </row>
    <row r="1032" spans="1:14" x14ac:dyDescent="0.2">
      <c r="A1032" s="84"/>
      <c r="B1032" s="84"/>
      <c r="C1032" s="60"/>
      <c r="D1032" s="66"/>
      <c r="E1032" s="66"/>
      <c r="F1032" s="66"/>
      <c r="G1032" s="66"/>
      <c r="H1032" s="66"/>
      <c r="I1032" s="66"/>
      <c r="J1032" s="66"/>
      <c r="K1032" s="66"/>
      <c r="L1032" s="66"/>
      <c r="M1032" s="66"/>
      <c r="N1032" s="66"/>
    </row>
    <row r="1033" spans="1:14" x14ac:dyDescent="0.2">
      <c r="A1033" s="84"/>
      <c r="B1033" s="84"/>
      <c r="C1033" s="60"/>
      <c r="D1033" s="66"/>
      <c r="E1033" s="66"/>
      <c r="F1033" s="66"/>
      <c r="G1033" s="66"/>
      <c r="H1033" s="66"/>
      <c r="I1033" s="66"/>
      <c r="J1033" s="66"/>
      <c r="K1033" s="66"/>
      <c r="L1033" s="66"/>
      <c r="M1033" s="66"/>
      <c r="N1033" s="66"/>
    </row>
    <row r="1034" spans="1:14" x14ac:dyDescent="0.2">
      <c r="A1034" s="84"/>
      <c r="B1034" s="84"/>
      <c r="C1034" s="60"/>
      <c r="D1034" s="66"/>
      <c r="E1034" s="66"/>
      <c r="F1034" s="66"/>
      <c r="G1034" s="66"/>
      <c r="H1034" s="66"/>
      <c r="I1034" s="66"/>
      <c r="J1034" s="66"/>
      <c r="K1034" s="66"/>
      <c r="L1034" s="66"/>
      <c r="M1034" s="66"/>
      <c r="N1034" s="66"/>
    </row>
    <row r="1035" spans="1:14" x14ac:dyDescent="0.2">
      <c r="A1035" s="84"/>
      <c r="B1035" s="84"/>
      <c r="C1035" s="60"/>
      <c r="D1035" s="66"/>
      <c r="E1035" s="66"/>
      <c r="F1035" s="66"/>
      <c r="G1035" s="66"/>
      <c r="H1035" s="66"/>
      <c r="I1035" s="66"/>
      <c r="J1035" s="66"/>
      <c r="K1035" s="66"/>
      <c r="L1035" s="66"/>
      <c r="M1035" s="66"/>
      <c r="N1035" s="66"/>
    </row>
    <row r="1036" spans="1:14" x14ac:dyDescent="0.2">
      <c r="A1036" s="84"/>
      <c r="B1036" s="84"/>
      <c r="C1036" s="60"/>
      <c r="D1036" s="66"/>
      <c r="E1036" s="66"/>
      <c r="F1036" s="66"/>
      <c r="G1036" s="66"/>
      <c r="H1036" s="66"/>
      <c r="I1036" s="66"/>
      <c r="J1036" s="66"/>
      <c r="K1036" s="66"/>
      <c r="L1036" s="66"/>
      <c r="M1036" s="66"/>
      <c r="N1036" s="66"/>
    </row>
    <row r="1037" spans="1:14" x14ac:dyDescent="0.2">
      <c r="A1037" s="84"/>
      <c r="B1037" s="84"/>
      <c r="C1037" s="60"/>
      <c r="D1037" s="66"/>
      <c r="E1037" s="66"/>
      <c r="F1037" s="66"/>
      <c r="G1037" s="66"/>
      <c r="H1037" s="66"/>
      <c r="I1037" s="66"/>
      <c r="J1037" s="66"/>
      <c r="K1037" s="66"/>
      <c r="L1037" s="66"/>
      <c r="M1037" s="66"/>
      <c r="N1037" s="66"/>
    </row>
    <row r="1038" spans="1:14" x14ac:dyDescent="0.2">
      <c r="A1038" s="84"/>
      <c r="B1038" s="84"/>
      <c r="C1038" s="60"/>
      <c r="D1038" s="66"/>
      <c r="E1038" s="66"/>
      <c r="F1038" s="66"/>
      <c r="G1038" s="66"/>
      <c r="H1038" s="66"/>
      <c r="I1038" s="66"/>
      <c r="J1038" s="66"/>
      <c r="K1038" s="66"/>
      <c r="L1038" s="66"/>
      <c r="M1038" s="66"/>
      <c r="N1038" s="66"/>
    </row>
    <row r="1039" spans="1:14" x14ac:dyDescent="0.2">
      <c r="A1039" s="84"/>
      <c r="B1039" s="84"/>
      <c r="C1039" s="60"/>
      <c r="D1039" s="66"/>
      <c r="E1039" s="66"/>
      <c r="F1039" s="66"/>
      <c r="G1039" s="66"/>
      <c r="H1039" s="66"/>
      <c r="I1039" s="66"/>
      <c r="J1039" s="66"/>
      <c r="K1039" s="66"/>
      <c r="L1039" s="66"/>
      <c r="M1039" s="66"/>
      <c r="N1039" s="66"/>
    </row>
    <row r="1040" spans="1:14" x14ac:dyDescent="0.2">
      <c r="A1040" s="84"/>
      <c r="B1040" s="84"/>
      <c r="C1040" s="60"/>
      <c r="D1040" s="66"/>
      <c r="E1040" s="66"/>
      <c r="F1040" s="66"/>
      <c r="G1040" s="66"/>
      <c r="H1040" s="66"/>
      <c r="I1040" s="66"/>
      <c r="J1040" s="66"/>
      <c r="K1040" s="66"/>
      <c r="L1040" s="66"/>
      <c r="M1040" s="66"/>
      <c r="N1040" s="66"/>
    </row>
    <row r="1041" spans="1:14" x14ac:dyDescent="0.2">
      <c r="A1041" s="84"/>
      <c r="B1041" s="84"/>
      <c r="C1041" s="60"/>
      <c r="D1041" s="66"/>
      <c r="E1041" s="66"/>
      <c r="F1041" s="66"/>
      <c r="G1041" s="66"/>
      <c r="H1041" s="66"/>
      <c r="I1041" s="66"/>
      <c r="J1041" s="66"/>
      <c r="K1041" s="66"/>
      <c r="L1041" s="66"/>
      <c r="M1041" s="66"/>
      <c r="N1041" s="66"/>
    </row>
    <row r="1042" spans="1:14" x14ac:dyDescent="0.2">
      <c r="A1042" s="84"/>
      <c r="B1042" s="84"/>
      <c r="C1042" s="60"/>
      <c r="D1042" s="66"/>
      <c r="E1042" s="66"/>
      <c r="F1042" s="66"/>
      <c r="G1042" s="66"/>
      <c r="H1042" s="66"/>
      <c r="I1042" s="66"/>
      <c r="J1042" s="66"/>
      <c r="K1042" s="66"/>
      <c r="L1042" s="66"/>
      <c r="M1042" s="66"/>
      <c r="N1042" s="66"/>
    </row>
    <row r="1043" spans="1:14" x14ac:dyDescent="0.2">
      <c r="A1043" s="84"/>
      <c r="B1043" s="84"/>
      <c r="C1043" s="60"/>
      <c r="D1043" s="66"/>
      <c r="E1043" s="66"/>
      <c r="F1043" s="66"/>
      <c r="G1043" s="66"/>
      <c r="H1043" s="66"/>
      <c r="I1043" s="66"/>
      <c r="J1043" s="66"/>
      <c r="K1043" s="66"/>
      <c r="L1043" s="66"/>
      <c r="M1043" s="66"/>
      <c r="N1043" s="66"/>
    </row>
    <row r="1044" spans="1:14" x14ac:dyDescent="0.2">
      <c r="A1044" s="84"/>
      <c r="B1044" s="84"/>
      <c r="C1044" s="60"/>
      <c r="D1044" s="66"/>
      <c r="E1044" s="66"/>
      <c r="F1044" s="66"/>
      <c r="G1044" s="66"/>
      <c r="H1044" s="66"/>
      <c r="I1044" s="66"/>
      <c r="J1044" s="66"/>
      <c r="K1044" s="66"/>
      <c r="L1044" s="66"/>
      <c r="M1044" s="66"/>
      <c r="N1044" s="66"/>
    </row>
    <row r="1045" spans="1:14" x14ac:dyDescent="0.2">
      <c r="A1045" s="84"/>
      <c r="B1045" s="84"/>
      <c r="C1045" s="60"/>
      <c r="D1045" s="66"/>
      <c r="E1045" s="66"/>
      <c r="F1045" s="66"/>
      <c r="G1045" s="66"/>
      <c r="H1045" s="66"/>
      <c r="I1045" s="66"/>
      <c r="J1045" s="66"/>
      <c r="K1045" s="66"/>
      <c r="L1045" s="66"/>
      <c r="M1045" s="66"/>
      <c r="N1045" s="66"/>
    </row>
    <row r="1046" spans="1:14" x14ac:dyDescent="0.2">
      <c r="A1046" s="84"/>
      <c r="B1046" s="84"/>
      <c r="C1046" s="60"/>
      <c r="D1046" s="66"/>
      <c r="E1046" s="66"/>
      <c r="F1046" s="66"/>
      <c r="G1046" s="66"/>
      <c r="H1046" s="66"/>
      <c r="I1046" s="66"/>
      <c r="J1046" s="66"/>
      <c r="K1046" s="66"/>
      <c r="L1046" s="66"/>
      <c r="M1046" s="66"/>
      <c r="N1046" s="66"/>
    </row>
    <row r="1047" spans="1:14" x14ac:dyDescent="0.2">
      <c r="A1047" s="84"/>
      <c r="B1047" s="84"/>
      <c r="C1047" s="60"/>
      <c r="D1047" s="66"/>
      <c r="E1047" s="66"/>
      <c r="F1047" s="66"/>
      <c r="G1047" s="66"/>
      <c r="H1047" s="66"/>
      <c r="I1047" s="66"/>
      <c r="J1047" s="66"/>
      <c r="K1047" s="66"/>
      <c r="L1047" s="66"/>
      <c r="M1047" s="66"/>
      <c r="N1047" s="66"/>
    </row>
    <row r="1048" spans="1:14" x14ac:dyDescent="0.2">
      <c r="A1048" s="84"/>
      <c r="B1048" s="84"/>
      <c r="C1048" s="60"/>
      <c r="D1048" s="66"/>
      <c r="E1048" s="66"/>
      <c r="F1048" s="66"/>
      <c r="G1048" s="66"/>
      <c r="H1048" s="66"/>
      <c r="I1048" s="66"/>
      <c r="J1048" s="66"/>
      <c r="K1048" s="66"/>
      <c r="L1048" s="66"/>
      <c r="M1048" s="66"/>
      <c r="N1048" s="66"/>
    </row>
    <row r="1049" spans="1:14" x14ac:dyDescent="0.2">
      <c r="A1049" s="84"/>
      <c r="B1049" s="84"/>
      <c r="C1049" s="60"/>
      <c r="D1049" s="66"/>
      <c r="E1049" s="66"/>
      <c r="F1049" s="66"/>
      <c r="G1049" s="66"/>
      <c r="H1049" s="66"/>
      <c r="I1049" s="66"/>
      <c r="J1049" s="66"/>
      <c r="K1049" s="66"/>
      <c r="L1049" s="66"/>
      <c r="M1049" s="66"/>
      <c r="N1049" s="66"/>
    </row>
    <row r="1050" spans="1:14" x14ac:dyDescent="0.2">
      <c r="A1050" s="84"/>
      <c r="B1050" s="84"/>
      <c r="C1050" s="60"/>
      <c r="D1050" s="66"/>
      <c r="E1050" s="66"/>
      <c r="F1050" s="66"/>
      <c r="G1050" s="66"/>
      <c r="H1050" s="66"/>
      <c r="I1050" s="66"/>
      <c r="J1050" s="66"/>
      <c r="K1050" s="66"/>
      <c r="L1050" s="66"/>
      <c r="M1050" s="66"/>
      <c r="N1050" s="66"/>
    </row>
    <row r="1051" spans="1:14" x14ac:dyDescent="0.2">
      <c r="A1051" s="84"/>
      <c r="B1051" s="84"/>
      <c r="C1051" s="60"/>
      <c r="D1051" s="66"/>
      <c r="E1051" s="66"/>
      <c r="F1051" s="66"/>
      <c r="G1051" s="66"/>
      <c r="H1051" s="66"/>
      <c r="I1051" s="66"/>
      <c r="J1051" s="66"/>
      <c r="K1051" s="66"/>
      <c r="L1051" s="66"/>
      <c r="M1051" s="66"/>
      <c r="N1051" s="66"/>
    </row>
    <row r="1052" spans="1:14" x14ac:dyDescent="0.2">
      <c r="A1052" s="84"/>
      <c r="B1052" s="84"/>
      <c r="C1052" s="60"/>
      <c r="D1052" s="66"/>
      <c r="E1052" s="66"/>
      <c r="F1052" s="66"/>
      <c r="G1052" s="66"/>
      <c r="H1052" s="66"/>
      <c r="I1052" s="66"/>
      <c r="J1052" s="66"/>
      <c r="K1052" s="66"/>
      <c r="L1052" s="66"/>
      <c r="M1052" s="66"/>
      <c r="N1052" s="66"/>
    </row>
    <row r="1053" spans="1:14" x14ac:dyDescent="0.2">
      <c r="A1053" s="84"/>
      <c r="B1053" s="84"/>
      <c r="C1053" s="60"/>
      <c r="D1053" s="66"/>
      <c r="E1053" s="66"/>
      <c r="F1053" s="66"/>
      <c r="G1053" s="66"/>
      <c r="H1053" s="66"/>
      <c r="I1053" s="66"/>
      <c r="J1053" s="66"/>
      <c r="K1053" s="66"/>
      <c r="L1053" s="66"/>
      <c r="M1053" s="66"/>
      <c r="N1053" s="66"/>
    </row>
    <row r="1054" spans="1:14" x14ac:dyDescent="0.2">
      <c r="A1054" s="84"/>
      <c r="B1054" s="84"/>
      <c r="C1054" s="60"/>
      <c r="D1054" s="66"/>
      <c r="E1054" s="66"/>
      <c r="F1054" s="66"/>
      <c r="G1054" s="66"/>
      <c r="H1054" s="66"/>
      <c r="I1054" s="66"/>
      <c r="J1054" s="66"/>
      <c r="K1054" s="66"/>
      <c r="L1054" s="66"/>
      <c r="M1054" s="66"/>
      <c r="N1054" s="66"/>
    </row>
    <row r="1055" spans="1:14" x14ac:dyDescent="0.2">
      <c r="A1055" s="84"/>
      <c r="B1055" s="84"/>
      <c r="C1055" s="60"/>
      <c r="D1055" s="66"/>
      <c r="E1055" s="66"/>
      <c r="F1055" s="66"/>
      <c r="G1055" s="66"/>
      <c r="H1055" s="66"/>
      <c r="I1055" s="66"/>
      <c r="J1055" s="66"/>
      <c r="K1055" s="66"/>
      <c r="L1055" s="66"/>
      <c r="M1055" s="66"/>
      <c r="N1055" s="66"/>
    </row>
    <row r="1056" spans="1:14" x14ac:dyDescent="0.2">
      <c r="A1056" s="84"/>
      <c r="B1056" s="84"/>
      <c r="C1056" s="60"/>
      <c r="D1056" s="66"/>
      <c r="E1056" s="66"/>
      <c r="F1056" s="66"/>
      <c r="G1056" s="66"/>
      <c r="H1056" s="66"/>
      <c r="I1056" s="66"/>
      <c r="J1056" s="66"/>
      <c r="K1056" s="66"/>
      <c r="L1056" s="66"/>
      <c r="M1056" s="66"/>
      <c r="N1056" s="66"/>
    </row>
    <row r="1057" spans="1:14" x14ac:dyDescent="0.2">
      <c r="A1057" s="84"/>
      <c r="B1057" s="84"/>
      <c r="C1057" s="60"/>
      <c r="D1057" s="66"/>
      <c r="E1057" s="66"/>
      <c r="F1057" s="66"/>
      <c r="G1057" s="66"/>
      <c r="H1057" s="66"/>
      <c r="I1057" s="66"/>
      <c r="J1057" s="66"/>
      <c r="K1057" s="66"/>
      <c r="L1057" s="66"/>
      <c r="M1057" s="66"/>
      <c r="N1057" s="66"/>
    </row>
    <row r="1058" spans="1:14" x14ac:dyDescent="0.2">
      <c r="A1058" s="84"/>
      <c r="B1058" s="84"/>
      <c r="C1058" s="60"/>
      <c r="D1058" s="66"/>
      <c r="E1058" s="66"/>
      <c r="F1058" s="66"/>
      <c r="G1058" s="66"/>
      <c r="H1058" s="66"/>
      <c r="I1058" s="66"/>
      <c r="J1058" s="66"/>
      <c r="K1058" s="66"/>
      <c r="L1058" s="66"/>
      <c r="M1058" s="66"/>
      <c r="N1058" s="66"/>
    </row>
    <row r="1059" spans="1:14" x14ac:dyDescent="0.2">
      <c r="A1059" s="84"/>
      <c r="B1059" s="84"/>
      <c r="C1059" s="60"/>
      <c r="D1059" s="66"/>
      <c r="E1059" s="66"/>
      <c r="F1059" s="66"/>
      <c r="G1059" s="66"/>
      <c r="H1059" s="66"/>
      <c r="I1059" s="66"/>
      <c r="J1059" s="66"/>
      <c r="K1059" s="66"/>
      <c r="L1059" s="66"/>
      <c r="M1059" s="66"/>
      <c r="N1059" s="66"/>
    </row>
    <row r="1060" spans="1:14" x14ac:dyDescent="0.2">
      <c r="A1060" s="84"/>
      <c r="B1060" s="84"/>
      <c r="C1060" s="60"/>
      <c r="D1060" s="66"/>
      <c r="E1060" s="66"/>
      <c r="F1060" s="66"/>
      <c r="G1060" s="66"/>
      <c r="H1060" s="66"/>
      <c r="I1060" s="66"/>
      <c r="J1060" s="66"/>
      <c r="K1060" s="66"/>
      <c r="L1060" s="66"/>
      <c r="M1060" s="66"/>
      <c r="N1060" s="66"/>
    </row>
    <row r="1061" spans="1:14" x14ac:dyDescent="0.2">
      <c r="A1061" s="84"/>
      <c r="B1061" s="84"/>
      <c r="C1061" s="60"/>
      <c r="D1061" s="66"/>
      <c r="E1061" s="66"/>
      <c r="F1061" s="66"/>
      <c r="G1061" s="66"/>
      <c r="H1061" s="66"/>
      <c r="I1061" s="66"/>
      <c r="J1061" s="66"/>
      <c r="K1061" s="66"/>
      <c r="L1061" s="66"/>
      <c r="M1061" s="66"/>
      <c r="N1061" s="66"/>
    </row>
    <row r="1062" spans="1:14" x14ac:dyDescent="0.2">
      <c r="A1062" s="84"/>
      <c r="B1062" s="84"/>
      <c r="C1062" s="60"/>
      <c r="D1062" s="66"/>
      <c r="E1062" s="66"/>
      <c r="F1062" s="66"/>
      <c r="G1062" s="66"/>
      <c r="H1062" s="66"/>
      <c r="I1062" s="66"/>
      <c r="J1062" s="66"/>
      <c r="K1062" s="66"/>
      <c r="L1062" s="66"/>
      <c r="M1062" s="66"/>
      <c r="N1062" s="66"/>
    </row>
    <row r="1063" spans="1:14" x14ac:dyDescent="0.2">
      <c r="A1063" s="84"/>
      <c r="B1063" s="84"/>
      <c r="C1063" s="60"/>
      <c r="D1063" s="66"/>
      <c r="E1063" s="66"/>
      <c r="F1063" s="66"/>
      <c r="G1063" s="66"/>
      <c r="H1063" s="66"/>
      <c r="I1063" s="66"/>
      <c r="J1063" s="66"/>
      <c r="K1063" s="66"/>
      <c r="L1063" s="66"/>
      <c r="M1063" s="66"/>
      <c r="N1063" s="66"/>
    </row>
    <row r="1064" spans="1:14" x14ac:dyDescent="0.2">
      <c r="A1064" s="84"/>
      <c r="B1064" s="84"/>
      <c r="C1064" s="60"/>
      <c r="D1064" s="66"/>
      <c r="E1064" s="66"/>
      <c r="F1064" s="66"/>
      <c r="G1064" s="66"/>
      <c r="H1064" s="66"/>
      <c r="I1064" s="66"/>
      <c r="J1064" s="66"/>
      <c r="K1064" s="66"/>
      <c r="L1064" s="66"/>
      <c r="M1064" s="66"/>
      <c r="N1064" s="66"/>
    </row>
    <row r="1065" spans="1:14" x14ac:dyDescent="0.2">
      <c r="A1065" s="84"/>
      <c r="B1065" s="84"/>
      <c r="C1065" s="60"/>
      <c r="D1065" s="66"/>
      <c r="E1065" s="66"/>
      <c r="F1065" s="66"/>
      <c r="G1065" s="66"/>
      <c r="H1065" s="66"/>
      <c r="I1065" s="66"/>
      <c r="J1065" s="66"/>
      <c r="K1065" s="66"/>
      <c r="L1065" s="66"/>
      <c r="M1065" s="66"/>
      <c r="N1065" s="66"/>
    </row>
    <row r="1066" spans="1:14" x14ac:dyDescent="0.2">
      <c r="A1066" s="84"/>
      <c r="B1066" s="84"/>
      <c r="C1066" s="60"/>
      <c r="D1066" s="66"/>
      <c r="E1066" s="66"/>
      <c r="F1066" s="66"/>
      <c r="G1066" s="66"/>
      <c r="H1066" s="66"/>
      <c r="I1066" s="66"/>
      <c r="J1066" s="66"/>
      <c r="K1066" s="66"/>
      <c r="L1066" s="66"/>
      <c r="M1066" s="66"/>
      <c r="N1066" s="66"/>
    </row>
    <row r="1067" spans="1:14" x14ac:dyDescent="0.2">
      <c r="A1067" s="84"/>
      <c r="B1067" s="84"/>
      <c r="C1067" s="60"/>
      <c r="D1067" s="66"/>
      <c r="E1067" s="66"/>
      <c r="F1067" s="66"/>
      <c r="G1067" s="66"/>
      <c r="H1067" s="66"/>
      <c r="I1067" s="66"/>
      <c r="J1067" s="66"/>
      <c r="K1067" s="66"/>
      <c r="L1067" s="66"/>
      <c r="M1067" s="66"/>
      <c r="N1067" s="66"/>
    </row>
    <row r="1068" spans="1:14" x14ac:dyDescent="0.2">
      <c r="A1068" s="84"/>
      <c r="B1068" s="84"/>
      <c r="C1068" s="60"/>
      <c r="D1068" s="66"/>
      <c r="E1068" s="66"/>
      <c r="F1068" s="66"/>
      <c r="G1068" s="66"/>
      <c r="H1068" s="66"/>
      <c r="I1068" s="66"/>
      <c r="J1068" s="66"/>
      <c r="K1068" s="66"/>
      <c r="L1068" s="66"/>
      <c r="M1068" s="66"/>
      <c r="N1068" s="66"/>
    </row>
    <row r="1069" spans="1:14" x14ac:dyDescent="0.2">
      <c r="A1069" s="84"/>
      <c r="B1069" s="84"/>
      <c r="C1069" s="60"/>
      <c r="D1069" s="66"/>
      <c r="E1069" s="66"/>
      <c r="F1069" s="66"/>
      <c r="G1069" s="66"/>
      <c r="H1069" s="66"/>
      <c r="I1069" s="66"/>
      <c r="J1069" s="66"/>
      <c r="K1069" s="66"/>
      <c r="L1069" s="66"/>
      <c r="M1069" s="66"/>
      <c r="N1069" s="66"/>
    </row>
    <row r="1070" spans="1:14" x14ac:dyDescent="0.2">
      <c r="A1070" s="84"/>
      <c r="B1070" s="84"/>
      <c r="C1070" s="60"/>
      <c r="D1070" s="66"/>
      <c r="E1070" s="66"/>
      <c r="F1070" s="66"/>
      <c r="G1070" s="66"/>
      <c r="H1070" s="66"/>
      <c r="I1070" s="66"/>
      <c r="J1070" s="66"/>
      <c r="K1070" s="66"/>
      <c r="L1070" s="66"/>
      <c r="M1070" s="66"/>
      <c r="N1070" s="66"/>
    </row>
    <row r="1071" spans="1:14" x14ac:dyDescent="0.2">
      <c r="A1071" s="84"/>
      <c r="B1071" s="84"/>
      <c r="C1071" s="60"/>
      <c r="D1071" s="66"/>
      <c r="E1071" s="66"/>
      <c r="F1071" s="66"/>
      <c r="G1071" s="66"/>
      <c r="H1071" s="66"/>
      <c r="I1071" s="66"/>
      <c r="J1071" s="66"/>
      <c r="K1071" s="66"/>
      <c r="L1071" s="66"/>
      <c r="M1071" s="66"/>
      <c r="N1071" s="66"/>
    </row>
    <row r="1072" spans="1:14" x14ac:dyDescent="0.2">
      <c r="A1072" s="84"/>
      <c r="B1072" s="84"/>
      <c r="C1072" s="60"/>
      <c r="D1072" s="66"/>
      <c r="E1072" s="66"/>
      <c r="F1072" s="66"/>
      <c r="G1072" s="66"/>
      <c r="H1072" s="66"/>
      <c r="I1072" s="66"/>
      <c r="J1072" s="66"/>
      <c r="K1072" s="66"/>
      <c r="L1072" s="66"/>
      <c r="M1072" s="66"/>
      <c r="N1072" s="66"/>
    </row>
    <row r="1073" spans="1:14" x14ac:dyDescent="0.2">
      <c r="A1073" s="84"/>
      <c r="B1073" s="84"/>
      <c r="C1073" s="60"/>
      <c r="D1073" s="66"/>
      <c r="E1073" s="66"/>
      <c r="F1073" s="66"/>
      <c r="G1073" s="66"/>
      <c r="H1073" s="66"/>
      <c r="I1073" s="66"/>
      <c r="J1073" s="66"/>
      <c r="K1073" s="66"/>
      <c r="L1073" s="66"/>
      <c r="M1073" s="66"/>
      <c r="N1073" s="66"/>
    </row>
    <row r="1074" spans="1:14" x14ac:dyDescent="0.2">
      <c r="A1074" s="84"/>
      <c r="B1074" s="84"/>
      <c r="C1074" s="60"/>
      <c r="D1074" s="66"/>
      <c r="E1074" s="66"/>
      <c r="F1074" s="66"/>
      <c r="G1074" s="66"/>
      <c r="H1074" s="66"/>
      <c r="I1074" s="66"/>
      <c r="J1074" s="66"/>
      <c r="K1074" s="66"/>
      <c r="L1074" s="66"/>
      <c r="M1074" s="66"/>
      <c r="N1074" s="66"/>
    </row>
    <row r="1075" spans="1:14" x14ac:dyDescent="0.2">
      <c r="A1075" s="84"/>
      <c r="B1075" s="84"/>
      <c r="C1075" s="60"/>
      <c r="D1075" s="66"/>
      <c r="E1075" s="66"/>
      <c r="F1075" s="66"/>
      <c r="G1075" s="66"/>
      <c r="H1075" s="66"/>
      <c r="I1075" s="66"/>
      <c r="J1075" s="66"/>
      <c r="K1075" s="66"/>
      <c r="L1075" s="66"/>
      <c r="M1075" s="66"/>
      <c r="N1075" s="66"/>
    </row>
    <row r="1076" spans="1:14" x14ac:dyDescent="0.2">
      <c r="A1076" s="84"/>
      <c r="B1076" s="84"/>
      <c r="C1076" s="60"/>
      <c r="D1076" s="66"/>
      <c r="E1076" s="66"/>
      <c r="F1076" s="66"/>
      <c r="G1076" s="66"/>
      <c r="H1076" s="66"/>
      <c r="I1076" s="66"/>
      <c r="J1076" s="66"/>
      <c r="K1076" s="66"/>
      <c r="L1076" s="66"/>
      <c r="M1076" s="66"/>
      <c r="N1076" s="66"/>
    </row>
    <row r="1077" spans="1:14" x14ac:dyDescent="0.2">
      <c r="A1077" s="84"/>
      <c r="B1077" s="84"/>
      <c r="C1077" s="60"/>
      <c r="D1077" s="66"/>
      <c r="E1077" s="66"/>
      <c r="F1077" s="66"/>
      <c r="G1077" s="66"/>
      <c r="H1077" s="66"/>
      <c r="I1077" s="66"/>
      <c r="J1077" s="66"/>
      <c r="K1077" s="66"/>
      <c r="L1077" s="66"/>
      <c r="M1077" s="66"/>
      <c r="N1077" s="66"/>
    </row>
    <row r="1078" spans="1:14" x14ac:dyDescent="0.2">
      <c r="A1078" s="84"/>
      <c r="B1078" s="84"/>
      <c r="C1078" s="60"/>
      <c r="D1078" s="66"/>
      <c r="E1078" s="66"/>
      <c r="F1078" s="66"/>
      <c r="G1078" s="66"/>
      <c r="H1078" s="66"/>
      <c r="I1078" s="66"/>
      <c r="J1078" s="66"/>
      <c r="K1078" s="66"/>
      <c r="L1078" s="66"/>
      <c r="M1078" s="66"/>
      <c r="N1078" s="66"/>
    </row>
    <row r="1079" spans="1:14" x14ac:dyDescent="0.2">
      <c r="A1079" s="84"/>
      <c r="B1079" s="84"/>
      <c r="C1079" s="60"/>
      <c r="D1079" s="66"/>
      <c r="E1079" s="66"/>
      <c r="F1079" s="66"/>
      <c r="G1079" s="66"/>
      <c r="H1079" s="66"/>
      <c r="I1079" s="66"/>
      <c r="J1079" s="66"/>
      <c r="K1079" s="66"/>
      <c r="L1079" s="66"/>
      <c r="M1079" s="66"/>
      <c r="N1079" s="66"/>
    </row>
    <row r="1080" spans="1:14" x14ac:dyDescent="0.2">
      <c r="A1080" s="84"/>
      <c r="B1080" s="84"/>
      <c r="C1080" s="60"/>
      <c r="D1080" s="66"/>
      <c r="E1080" s="66"/>
      <c r="F1080" s="66"/>
      <c r="G1080" s="66"/>
      <c r="H1080" s="66"/>
      <c r="I1080" s="66"/>
      <c r="J1080" s="66"/>
      <c r="K1080" s="66"/>
      <c r="L1080" s="66"/>
      <c r="M1080" s="66"/>
      <c r="N1080" s="66"/>
    </row>
    <row r="1081" spans="1:14" x14ac:dyDescent="0.2">
      <c r="A1081" s="84"/>
      <c r="B1081" s="84"/>
      <c r="C1081" s="60"/>
      <c r="D1081" s="66"/>
      <c r="E1081" s="66"/>
      <c r="F1081" s="66"/>
      <c r="G1081" s="66"/>
      <c r="H1081" s="66"/>
      <c r="I1081" s="66"/>
      <c r="J1081" s="66"/>
      <c r="K1081" s="66"/>
      <c r="L1081" s="66"/>
      <c r="M1081" s="66"/>
      <c r="N1081" s="66"/>
    </row>
    <row r="1082" spans="1:14" x14ac:dyDescent="0.2">
      <c r="A1082" s="84"/>
      <c r="B1082" s="84"/>
      <c r="C1082" s="60"/>
      <c r="D1082" s="66"/>
      <c r="E1082" s="66"/>
      <c r="F1082" s="66"/>
      <c r="G1082" s="66"/>
      <c r="H1082" s="66"/>
      <c r="I1082" s="66"/>
      <c r="J1082" s="66"/>
      <c r="K1082" s="66"/>
      <c r="L1082" s="66"/>
      <c r="M1082" s="66"/>
      <c r="N1082" s="66"/>
    </row>
    <row r="1083" spans="1:14" x14ac:dyDescent="0.2">
      <c r="A1083" s="84"/>
      <c r="B1083" s="84"/>
      <c r="C1083" s="60"/>
      <c r="D1083" s="66"/>
      <c r="E1083" s="66"/>
      <c r="F1083" s="66"/>
      <c r="G1083" s="66"/>
      <c r="H1083" s="66"/>
      <c r="I1083" s="66"/>
      <c r="J1083" s="66"/>
      <c r="K1083" s="66"/>
      <c r="L1083" s="66"/>
      <c r="M1083" s="66"/>
      <c r="N1083" s="66"/>
    </row>
    <row r="1084" spans="1:14" x14ac:dyDescent="0.2">
      <c r="A1084" s="84"/>
      <c r="B1084" s="84"/>
      <c r="C1084" s="60"/>
      <c r="D1084" s="66"/>
      <c r="E1084" s="66"/>
      <c r="F1084" s="66"/>
      <c r="G1084" s="66"/>
      <c r="H1084" s="66"/>
      <c r="I1084" s="66"/>
      <c r="J1084" s="66"/>
      <c r="K1084" s="66"/>
      <c r="L1084" s="66"/>
      <c r="M1084" s="66"/>
      <c r="N1084" s="66"/>
    </row>
    <row r="1085" spans="1:14" x14ac:dyDescent="0.2">
      <c r="A1085" s="84"/>
      <c r="B1085" s="84"/>
      <c r="C1085" s="60"/>
      <c r="D1085" s="66"/>
      <c r="E1085" s="66"/>
      <c r="F1085" s="66"/>
      <c r="G1085" s="66"/>
      <c r="H1085" s="66"/>
      <c r="I1085" s="66"/>
      <c r="J1085" s="66"/>
      <c r="K1085" s="66"/>
      <c r="L1085" s="66"/>
      <c r="M1085" s="66"/>
      <c r="N1085" s="66"/>
    </row>
    <row r="1086" spans="1:14" x14ac:dyDescent="0.2">
      <c r="A1086" s="84"/>
      <c r="B1086" s="84"/>
      <c r="C1086" s="60"/>
      <c r="D1086" s="66"/>
      <c r="E1086" s="66"/>
      <c r="F1086" s="66"/>
      <c r="G1086" s="66"/>
      <c r="H1086" s="66"/>
      <c r="I1086" s="66"/>
      <c r="J1086" s="66"/>
      <c r="K1086" s="66"/>
      <c r="L1086" s="66"/>
      <c r="M1086" s="66"/>
      <c r="N1086" s="66"/>
    </row>
    <row r="1087" spans="1:14" x14ac:dyDescent="0.2">
      <c r="A1087" s="84"/>
      <c r="B1087" s="84"/>
      <c r="C1087" s="60"/>
      <c r="D1087" s="66"/>
      <c r="E1087" s="66"/>
      <c r="F1087" s="66"/>
      <c r="G1087" s="66"/>
      <c r="H1087" s="66"/>
      <c r="I1087" s="66"/>
      <c r="J1087" s="66"/>
      <c r="K1087" s="66"/>
      <c r="L1087" s="66"/>
      <c r="M1087" s="66"/>
      <c r="N1087" s="66"/>
    </row>
    <row r="1088" spans="1:14" x14ac:dyDescent="0.2">
      <c r="A1088" s="84"/>
      <c r="B1088" s="84"/>
      <c r="C1088" s="60"/>
      <c r="D1088" s="66"/>
      <c r="E1088" s="66"/>
      <c r="F1088" s="66"/>
      <c r="G1088" s="66"/>
      <c r="H1088" s="66"/>
      <c r="I1088" s="66"/>
      <c r="J1088" s="66"/>
      <c r="K1088" s="66"/>
      <c r="L1088" s="66"/>
      <c r="M1088" s="66"/>
      <c r="N1088" s="66"/>
    </row>
    <row r="1089" spans="1:14" x14ac:dyDescent="0.2">
      <c r="A1089" s="84"/>
      <c r="B1089" s="84"/>
      <c r="C1089" s="60"/>
      <c r="D1089" s="66"/>
      <c r="E1089" s="66"/>
      <c r="F1089" s="66"/>
      <c r="G1089" s="66"/>
      <c r="H1089" s="66"/>
      <c r="I1089" s="66"/>
      <c r="J1089" s="66"/>
      <c r="K1089" s="66"/>
      <c r="L1089" s="66"/>
      <c r="M1089" s="66"/>
      <c r="N1089" s="66"/>
    </row>
    <row r="1090" spans="1:14" x14ac:dyDescent="0.2">
      <c r="A1090" s="84"/>
      <c r="B1090" s="84"/>
      <c r="C1090" s="60"/>
      <c r="D1090" s="66"/>
      <c r="E1090" s="66"/>
      <c r="F1090" s="66"/>
      <c r="G1090" s="66"/>
      <c r="H1090" s="66"/>
      <c r="I1090" s="66"/>
      <c r="J1090" s="66"/>
      <c r="K1090" s="66"/>
      <c r="L1090" s="66"/>
      <c r="M1090" s="66"/>
      <c r="N1090" s="66"/>
    </row>
    <row r="1091" spans="1:14" x14ac:dyDescent="0.2">
      <c r="A1091" s="84"/>
      <c r="B1091" s="84"/>
      <c r="C1091" s="60"/>
      <c r="D1091" s="66"/>
      <c r="E1091" s="66"/>
      <c r="F1091" s="66"/>
      <c r="G1091" s="66"/>
      <c r="H1091" s="66"/>
      <c r="I1091" s="66"/>
      <c r="J1091" s="66"/>
      <c r="K1091" s="66"/>
      <c r="L1091" s="66"/>
      <c r="M1091" s="66"/>
      <c r="N1091" s="66"/>
    </row>
    <row r="1092" spans="1:14" x14ac:dyDescent="0.2">
      <c r="A1092" s="84"/>
      <c r="B1092" s="84"/>
      <c r="C1092" s="60"/>
      <c r="D1092" s="66"/>
      <c r="E1092" s="66"/>
      <c r="F1092" s="66"/>
      <c r="G1092" s="66"/>
      <c r="H1092" s="66"/>
      <c r="I1092" s="66"/>
      <c r="J1092" s="66"/>
      <c r="K1092" s="66"/>
      <c r="L1092" s="66"/>
      <c r="M1092" s="66"/>
      <c r="N1092" s="66"/>
    </row>
    <row r="1093" spans="1:14" x14ac:dyDescent="0.2">
      <c r="A1093" s="84"/>
      <c r="B1093" s="84"/>
      <c r="C1093" s="60"/>
      <c r="D1093" s="66"/>
      <c r="E1093" s="66"/>
      <c r="F1093" s="66"/>
      <c r="G1093" s="66"/>
      <c r="H1093" s="66"/>
      <c r="I1093" s="66"/>
      <c r="J1093" s="66"/>
      <c r="K1093" s="66"/>
      <c r="L1093" s="66"/>
      <c r="M1093" s="66"/>
      <c r="N1093" s="66"/>
    </row>
    <row r="1094" spans="1:14" x14ac:dyDescent="0.2">
      <c r="A1094" s="84"/>
      <c r="B1094" s="84"/>
      <c r="C1094" s="60"/>
      <c r="D1094" s="66"/>
      <c r="E1094" s="66"/>
      <c r="F1094" s="66"/>
      <c r="G1094" s="66"/>
      <c r="H1094" s="66"/>
      <c r="I1094" s="66"/>
      <c r="J1094" s="66"/>
      <c r="K1094" s="66"/>
      <c r="L1094" s="66"/>
      <c r="M1094" s="66"/>
      <c r="N1094" s="66"/>
    </row>
    <row r="1095" spans="1:14" x14ac:dyDescent="0.2">
      <c r="A1095" s="84"/>
      <c r="B1095" s="84"/>
      <c r="C1095" s="60"/>
      <c r="D1095" s="66"/>
      <c r="E1095" s="66"/>
      <c r="F1095" s="66"/>
      <c r="G1095" s="66"/>
      <c r="H1095" s="66"/>
      <c r="I1095" s="66"/>
      <c r="J1095" s="66"/>
      <c r="K1095" s="66"/>
      <c r="L1095" s="66"/>
      <c r="M1095" s="66"/>
      <c r="N1095" s="66"/>
    </row>
    <row r="1096" spans="1:14" x14ac:dyDescent="0.2">
      <c r="A1096" s="84"/>
      <c r="B1096" s="84"/>
      <c r="C1096" s="60"/>
      <c r="D1096" s="66"/>
      <c r="E1096" s="66"/>
      <c r="F1096" s="66"/>
      <c r="G1096" s="66"/>
      <c r="H1096" s="66"/>
      <c r="I1096" s="66"/>
      <c r="J1096" s="66"/>
      <c r="K1096" s="66"/>
      <c r="L1096" s="66"/>
      <c r="M1096" s="66"/>
      <c r="N1096" s="66"/>
    </row>
    <row r="1097" spans="1:14" x14ac:dyDescent="0.2">
      <c r="A1097" s="84"/>
      <c r="B1097" s="84"/>
      <c r="C1097" s="60"/>
      <c r="D1097" s="66"/>
      <c r="E1097" s="66"/>
      <c r="F1097" s="66"/>
      <c r="G1097" s="66"/>
      <c r="H1097" s="66"/>
      <c r="I1097" s="66"/>
      <c r="J1097" s="66"/>
      <c r="K1097" s="66"/>
      <c r="L1097" s="66"/>
      <c r="M1097" s="66"/>
      <c r="N1097" s="66"/>
    </row>
    <row r="1098" spans="1:14" x14ac:dyDescent="0.2">
      <c r="A1098" s="84"/>
      <c r="B1098" s="84"/>
      <c r="C1098" s="60"/>
      <c r="D1098" s="66"/>
      <c r="E1098" s="66"/>
      <c r="F1098" s="66"/>
      <c r="G1098" s="66"/>
      <c r="H1098" s="66"/>
      <c r="I1098" s="66"/>
      <c r="J1098" s="66"/>
      <c r="K1098" s="66"/>
      <c r="L1098" s="66"/>
      <c r="M1098" s="66"/>
      <c r="N1098" s="66"/>
    </row>
    <row r="1099" spans="1:14" x14ac:dyDescent="0.2">
      <c r="A1099" s="84"/>
      <c r="B1099" s="84"/>
      <c r="C1099" s="60"/>
      <c r="D1099" s="66"/>
      <c r="E1099" s="66"/>
      <c r="F1099" s="66"/>
      <c r="G1099" s="66"/>
      <c r="H1099" s="66"/>
      <c r="I1099" s="66"/>
      <c r="J1099" s="66"/>
      <c r="K1099" s="66"/>
      <c r="L1099" s="66"/>
      <c r="M1099" s="66"/>
      <c r="N1099" s="66"/>
    </row>
    <row r="1100" spans="1:14" x14ac:dyDescent="0.2">
      <c r="A1100" s="84"/>
      <c r="B1100" s="84"/>
      <c r="C1100" s="60"/>
      <c r="D1100" s="66"/>
      <c r="E1100" s="66"/>
      <c r="F1100" s="66"/>
      <c r="G1100" s="66"/>
      <c r="H1100" s="66"/>
      <c r="I1100" s="66"/>
      <c r="J1100" s="66"/>
      <c r="K1100" s="66"/>
      <c r="L1100" s="66"/>
      <c r="M1100" s="66"/>
      <c r="N1100" s="66"/>
    </row>
    <row r="1101" spans="1:14" x14ac:dyDescent="0.2">
      <c r="A1101" s="84"/>
      <c r="B1101" s="84"/>
      <c r="C1101" s="60"/>
      <c r="D1101" s="66"/>
      <c r="E1101" s="66"/>
      <c r="F1101" s="66"/>
      <c r="G1101" s="66"/>
      <c r="H1101" s="66"/>
      <c r="I1101" s="66"/>
      <c r="J1101" s="66"/>
      <c r="K1101" s="66"/>
      <c r="L1101" s="66"/>
      <c r="M1101" s="66"/>
      <c r="N1101" s="66"/>
    </row>
    <row r="1102" spans="1:14" x14ac:dyDescent="0.2">
      <c r="A1102" s="84"/>
      <c r="B1102" s="84"/>
      <c r="C1102" s="60"/>
      <c r="D1102" s="66"/>
      <c r="E1102" s="66"/>
      <c r="F1102" s="66"/>
      <c r="G1102" s="66"/>
      <c r="H1102" s="66"/>
      <c r="I1102" s="66"/>
      <c r="J1102" s="66"/>
      <c r="K1102" s="66"/>
      <c r="L1102" s="66"/>
      <c r="M1102" s="66"/>
      <c r="N1102" s="66"/>
    </row>
    <row r="1103" spans="1:14" x14ac:dyDescent="0.2">
      <c r="A1103" s="84"/>
      <c r="B1103" s="84"/>
      <c r="C1103" s="60"/>
      <c r="D1103" s="66"/>
      <c r="E1103" s="66"/>
      <c r="F1103" s="66"/>
      <c r="G1103" s="66"/>
      <c r="H1103" s="66"/>
      <c r="I1103" s="66"/>
      <c r="J1103" s="66"/>
      <c r="K1103" s="66"/>
      <c r="L1103" s="66"/>
      <c r="M1103" s="66"/>
      <c r="N1103" s="66"/>
    </row>
    <row r="1104" spans="1:14" x14ac:dyDescent="0.2">
      <c r="A1104" s="84"/>
      <c r="B1104" s="84"/>
      <c r="C1104" s="60"/>
      <c r="D1104" s="66"/>
      <c r="E1104" s="66"/>
      <c r="F1104" s="66"/>
      <c r="G1104" s="66"/>
      <c r="H1104" s="66"/>
      <c r="I1104" s="66"/>
      <c r="J1104" s="66"/>
      <c r="K1104" s="66"/>
      <c r="L1104" s="66"/>
      <c r="M1104" s="66"/>
      <c r="N1104" s="66"/>
    </row>
    <row r="1105" spans="1:14" x14ac:dyDescent="0.2">
      <c r="A1105" s="84"/>
      <c r="B1105" s="84"/>
      <c r="C1105" s="60"/>
      <c r="D1105" s="66"/>
      <c r="E1105" s="66"/>
      <c r="F1105" s="66"/>
      <c r="G1105" s="66"/>
      <c r="H1105" s="66"/>
      <c r="I1105" s="66"/>
      <c r="J1105" s="66"/>
      <c r="K1105" s="66"/>
      <c r="L1105" s="66"/>
      <c r="M1105" s="66"/>
      <c r="N1105" s="66"/>
    </row>
    <row r="1106" spans="1:14" x14ac:dyDescent="0.2">
      <c r="A1106" s="84"/>
      <c r="B1106" s="84"/>
      <c r="C1106" s="60"/>
      <c r="D1106" s="66"/>
      <c r="E1106" s="66"/>
      <c r="F1106" s="66"/>
      <c r="G1106" s="66"/>
      <c r="H1106" s="66"/>
      <c r="I1106" s="66"/>
      <c r="J1106" s="66"/>
      <c r="K1106" s="66"/>
      <c r="L1106" s="66"/>
      <c r="M1106" s="66"/>
      <c r="N1106" s="66"/>
    </row>
    <row r="1107" spans="1:14" x14ac:dyDescent="0.2">
      <c r="A1107" s="84"/>
      <c r="B1107" s="84"/>
      <c r="C1107" s="60"/>
      <c r="D1107" s="66"/>
      <c r="E1107" s="66"/>
      <c r="F1107" s="66"/>
      <c r="G1107" s="66"/>
      <c r="H1107" s="66"/>
      <c r="I1107" s="66"/>
      <c r="J1107" s="66"/>
      <c r="K1107" s="66"/>
      <c r="L1107" s="66"/>
      <c r="M1107" s="66"/>
      <c r="N1107" s="66"/>
    </row>
    <row r="1108" spans="1:14" x14ac:dyDescent="0.2">
      <c r="A1108" s="84"/>
      <c r="B1108" s="84"/>
      <c r="C1108" s="60"/>
      <c r="D1108" s="66"/>
      <c r="E1108" s="66"/>
      <c r="F1108" s="66"/>
      <c r="G1108" s="66"/>
      <c r="H1108" s="66"/>
      <c r="I1108" s="66"/>
      <c r="J1108" s="66"/>
      <c r="K1108" s="66"/>
      <c r="L1108" s="66"/>
      <c r="M1108" s="66"/>
      <c r="N1108" s="66"/>
    </row>
    <row r="1109" spans="1:14" x14ac:dyDescent="0.2">
      <c r="A1109" s="84"/>
      <c r="B1109" s="84"/>
      <c r="C1109" s="60"/>
      <c r="D1109" s="66"/>
      <c r="E1109" s="66"/>
      <c r="F1109" s="66"/>
      <c r="G1109" s="66"/>
      <c r="H1109" s="66"/>
      <c r="I1109" s="66"/>
      <c r="J1109" s="66"/>
      <c r="K1109" s="66"/>
      <c r="L1109" s="66"/>
      <c r="M1109" s="66"/>
      <c r="N1109" s="66"/>
    </row>
    <row r="1110" spans="1:14" x14ac:dyDescent="0.2">
      <c r="A1110" s="84"/>
      <c r="B1110" s="84"/>
      <c r="C1110" s="60"/>
      <c r="D1110" s="66"/>
      <c r="E1110" s="66"/>
      <c r="F1110" s="66"/>
      <c r="G1110" s="66"/>
      <c r="H1110" s="66"/>
      <c r="I1110" s="66"/>
      <c r="J1110" s="66"/>
      <c r="K1110" s="66"/>
      <c r="L1110" s="66"/>
      <c r="M1110" s="66"/>
      <c r="N1110" s="66"/>
    </row>
    <row r="1111" spans="1:14" x14ac:dyDescent="0.2">
      <c r="A1111" s="84"/>
      <c r="B1111" s="84"/>
      <c r="C1111" s="60"/>
      <c r="D1111" s="66"/>
      <c r="E1111" s="66"/>
      <c r="F1111" s="66"/>
      <c r="G1111" s="66"/>
      <c r="H1111" s="66"/>
      <c r="I1111" s="66"/>
      <c r="J1111" s="66"/>
      <c r="K1111" s="66"/>
      <c r="L1111" s="66"/>
      <c r="M1111" s="66"/>
      <c r="N1111" s="66"/>
    </row>
    <row r="1112" spans="1:14" x14ac:dyDescent="0.2">
      <c r="A1112" s="84"/>
      <c r="B1112" s="84"/>
      <c r="C1112" s="60"/>
      <c r="D1112" s="66"/>
      <c r="E1112" s="66"/>
      <c r="F1112" s="66"/>
      <c r="G1112" s="66"/>
      <c r="H1112" s="66"/>
      <c r="I1112" s="66"/>
      <c r="J1112" s="66"/>
      <c r="K1112" s="66"/>
      <c r="L1112" s="66"/>
      <c r="M1112" s="66"/>
      <c r="N1112" s="66"/>
    </row>
    <row r="1113" spans="1:14" x14ac:dyDescent="0.2">
      <c r="A1113" s="84"/>
      <c r="B1113" s="84"/>
      <c r="C1113" s="60"/>
      <c r="D1113" s="66"/>
      <c r="E1113" s="66"/>
      <c r="F1113" s="66"/>
      <c r="G1113" s="66"/>
      <c r="H1113" s="66"/>
      <c r="I1113" s="66"/>
      <c r="J1113" s="66"/>
      <c r="K1113" s="66"/>
      <c r="L1113" s="66"/>
      <c r="M1113" s="66"/>
      <c r="N1113" s="66"/>
    </row>
    <row r="1114" spans="1:14" x14ac:dyDescent="0.2">
      <c r="A1114" s="84"/>
      <c r="B1114" s="84"/>
      <c r="C1114" s="60"/>
      <c r="D1114" s="66"/>
      <c r="E1114" s="66"/>
      <c r="F1114" s="66"/>
      <c r="G1114" s="66"/>
      <c r="H1114" s="66"/>
      <c r="I1114" s="66"/>
      <c r="J1114" s="66"/>
      <c r="K1114" s="66"/>
      <c r="L1114" s="66"/>
      <c r="M1114" s="66"/>
      <c r="N1114" s="66"/>
    </row>
    <row r="1115" spans="1:14" x14ac:dyDescent="0.2">
      <c r="A1115" s="84"/>
      <c r="B1115" s="84"/>
      <c r="C1115" s="60"/>
      <c r="D1115" s="66"/>
      <c r="E1115" s="66"/>
      <c r="F1115" s="66"/>
      <c r="G1115" s="66"/>
      <c r="H1115" s="66"/>
      <c r="I1115" s="66"/>
      <c r="J1115" s="66"/>
      <c r="K1115" s="66"/>
      <c r="L1115" s="66"/>
      <c r="M1115" s="66"/>
      <c r="N1115" s="66"/>
    </row>
    <row r="1116" spans="1:14" x14ac:dyDescent="0.2">
      <c r="A1116" s="84"/>
      <c r="B1116" s="84"/>
      <c r="C1116" s="60"/>
      <c r="D1116" s="66"/>
      <c r="E1116" s="66"/>
      <c r="F1116" s="66"/>
      <c r="G1116" s="66"/>
      <c r="H1116" s="66"/>
      <c r="I1116" s="66"/>
      <c r="J1116" s="66"/>
      <c r="K1116" s="66"/>
      <c r="L1116" s="66"/>
      <c r="M1116" s="66"/>
      <c r="N1116" s="66"/>
    </row>
    <row r="1117" spans="1:14" x14ac:dyDescent="0.2">
      <c r="A1117" s="84"/>
      <c r="B1117" s="84"/>
      <c r="C1117" s="60"/>
      <c r="D1117" s="66"/>
      <c r="E1117" s="66"/>
      <c r="F1117" s="66"/>
      <c r="G1117" s="66"/>
      <c r="H1117" s="66"/>
      <c r="I1117" s="66"/>
      <c r="J1117" s="66"/>
      <c r="K1117" s="66"/>
      <c r="L1117" s="66"/>
      <c r="M1117" s="66"/>
      <c r="N1117" s="66"/>
    </row>
    <row r="1118" spans="1:14" x14ac:dyDescent="0.2">
      <c r="A1118" s="84"/>
      <c r="B1118" s="84"/>
      <c r="C1118" s="60"/>
      <c r="D1118" s="66"/>
      <c r="E1118" s="66"/>
      <c r="F1118" s="66"/>
      <c r="G1118" s="66"/>
      <c r="H1118" s="66"/>
      <c r="I1118" s="66"/>
      <c r="J1118" s="66"/>
      <c r="K1118" s="66"/>
      <c r="L1118" s="66"/>
      <c r="M1118" s="66"/>
      <c r="N1118" s="66"/>
    </row>
    <row r="1119" spans="1:14" x14ac:dyDescent="0.2">
      <c r="A1119" s="84"/>
      <c r="B1119" s="84"/>
      <c r="C1119" s="60"/>
      <c r="D1119" s="66"/>
      <c r="E1119" s="66"/>
      <c r="F1119" s="66"/>
      <c r="G1119" s="66"/>
      <c r="H1119" s="66"/>
      <c r="I1119" s="66"/>
      <c r="J1119" s="66"/>
      <c r="K1119" s="66"/>
      <c r="L1119" s="66"/>
      <c r="M1119" s="66"/>
      <c r="N1119" s="66"/>
    </row>
    <row r="1120" spans="1:14" x14ac:dyDescent="0.2">
      <c r="A1120" s="84"/>
      <c r="B1120" s="84"/>
      <c r="C1120" s="60"/>
      <c r="D1120" s="66"/>
      <c r="E1120" s="66"/>
      <c r="F1120" s="66"/>
      <c r="G1120" s="66"/>
      <c r="H1120" s="66"/>
      <c r="I1120" s="66"/>
      <c r="J1120" s="66"/>
      <c r="K1120" s="66"/>
      <c r="L1120" s="66"/>
      <c r="M1120" s="66"/>
      <c r="N1120" s="66"/>
    </row>
    <row r="1121" spans="1:14" x14ac:dyDescent="0.2">
      <c r="A1121" s="84"/>
      <c r="B1121" s="84"/>
      <c r="C1121" s="60"/>
      <c r="D1121" s="66"/>
      <c r="E1121" s="66"/>
      <c r="F1121" s="66"/>
      <c r="G1121" s="66"/>
      <c r="H1121" s="66"/>
      <c r="I1121" s="66"/>
      <c r="J1121" s="66"/>
      <c r="K1121" s="66"/>
      <c r="L1121" s="66"/>
      <c r="M1121" s="66"/>
      <c r="N1121" s="66"/>
    </row>
    <row r="1122" spans="1:14" x14ac:dyDescent="0.2">
      <c r="A1122" s="84"/>
      <c r="B1122" s="84"/>
      <c r="C1122" s="60"/>
      <c r="D1122" s="66"/>
      <c r="E1122" s="66"/>
      <c r="F1122" s="66"/>
      <c r="G1122" s="66"/>
      <c r="H1122" s="66"/>
      <c r="I1122" s="66"/>
      <c r="J1122" s="66"/>
      <c r="K1122" s="66"/>
      <c r="L1122" s="66"/>
      <c r="M1122" s="66"/>
      <c r="N1122" s="66"/>
    </row>
    <row r="1123" spans="1:14" x14ac:dyDescent="0.2">
      <c r="A1123" s="84"/>
      <c r="B1123" s="84"/>
      <c r="C1123" s="60"/>
      <c r="D1123" s="66"/>
      <c r="E1123" s="66"/>
      <c r="F1123" s="66"/>
      <c r="G1123" s="66"/>
      <c r="H1123" s="66"/>
      <c r="I1123" s="66"/>
      <c r="J1123" s="66"/>
      <c r="K1123" s="66"/>
      <c r="L1123" s="66"/>
      <c r="M1123" s="66"/>
      <c r="N1123" s="66"/>
    </row>
    <row r="1124" spans="1:14" x14ac:dyDescent="0.2">
      <c r="A1124" s="84"/>
      <c r="B1124" s="84"/>
      <c r="C1124" s="60"/>
      <c r="D1124" s="66"/>
      <c r="E1124" s="66"/>
      <c r="F1124" s="66"/>
      <c r="G1124" s="66"/>
      <c r="H1124" s="66"/>
      <c r="I1124" s="66"/>
      <c r="J1124" s="66"/>
      <c r="K1124" s="66"/>
      <c r="L1124" s="66"/>
      <c r="M1124" s="66"/>
      <c r="N1124" s="66"/>
    </row>
    <row r="1125" spans="1:14" x14ac:dyDescent="0.2">
      <c r="A1125" s="84"/>
      <c r="B1125" s="84"/>
      <c r="C1125" s="60"/>
      <c r="D1125" s="66"/>
      <c r="E1125" s="66"/>
      <c r="F1125" s="66"/>
      <c r="G1125" s="66"/>
      <c r="H1125" s="66"/>
      <c r="I1125" s="66"/>
      <c r="J1125" s="66"/>
      <c r="K1125" s="66"/>
      <c r="L1125" s="66"/>
      <c r="M1125" s="66"/>
      <c r="N1125" s="66"/>
    </row>
    <row r="1126" spans="1:14" x14ac:dyDescent="0.2">
      <c r="A1126" s="84"/>
      <c r="B1126" s="84"/>
      <c r="C1126" s="60"/>
      <c r="D1126" s="66"/>
      <c r="E1126" s="66"/>
      <c r="F1126" s="66"/>
      <c r="G1126" s="66"/>
      <c r="H1126" s="66"/>
      <c r="I1126" s="66"/>
      <c r="J1126" s="66"/>
      <c r="K1126" s="66"/>
      <c r="L1126" s="66"/>
      <c r="M1126" s="66"/>
      <c r="N1126" s="66"/>
    </row>
    <row r="1127" spans="1:14" x14ac:dyDescent="0.2">
      <c r="A1127" s="84"/>
      <c r="B1127" s="84"/>
      <c r="C1127" s="60"/>
      <c r="D1127" s="66"/>
      <c r="E1127" s="66"/>
      <c r="F1127" s="66"/>
      <c r="G1127" s="66"/>
      <c r="H1127" s="66"/>
      <c r="I1127" s="66"/>
      <c r="J1127" s="66"/>
      <c r="K1127" s="66"/>
      <c r="L1127" s="66"/>
      <c r="M1127" s="66"/>
      <c r="N1127" s="66"/>
    </row>
    <row r="1128" spans="1:14" x14ac:dyDescent="0.2">
      <c r="A1128" s="84"/>
      <c r="B1128" s="84"/>
      <c r="C1128" s="60"/>
      <c r="D1128" s="66"/>
      <c r="E1128" s="66"/>
      <c r="F1128" s="66"/>
      <c r="G1128" s="66"/>
      <c r="H1128" s="66"/>
      <c r="I1128" s="66"/>
      <c r="J1128" s="66"/>
      <c r="K1128" s="66"/>
      <c r="L1128" s="66"/>
      <c r="M1128" s="66"/>
      <c r="N1128" s="66"/>
    </row>
    <row r="1129" spans="1:14" x14ac:dyDescent="0.2">
      <c r="A1129" s="84"/>
      <c r="B1129" s="84"/>
      <c r="C1129" s="60"/>
      <c r="D1129" s="66"/>
      <c r="E1129" s="66"/>
      <c r="F1129" s="66"/>
      <c r="G1129" s="66"/>
      <c r="H1129" s="66"/>
      <c r="I1129" s="66"/>
      <c r="J1129" s="66"/>
      <c r="K1129" s="66"/>
      <c r="L1129" s="66"/>
      <c r="M1129" s="66"/>
      <c r="N1129" s="66"/>
    </row>
    <row r="1130" spans="1:14" x14ac:dyDescent="0.2">
      <c r="A1130" s="84"/>
      <c r="B1130" s="84"/>
      <c r="C1130" s="60"/>
      <c r="D1130" s="66"/>
      <c r="E1130" s="66"/>
      <c r="F1130" s="66"/>
      <c r="G1130" s="66"/>
      <c r="H1130" s="66"/>
      <c r="I1130" s="66"/>
      <c r="J1130" s="66"/>
      <c r="K1130" s="66"/>
      <c r="L1130" s="66"/>
      <c r="M1130" s="66"/>
      <c r="N1130" s="66"/>
    </row>
    <row r="1131" spans="1:14" x14ac:dyDescent="0.2">
      <c r="A1131" s="84"/>
      <c r="B1131" s="84"/>
      <c r="C1131" s="60"/>
      <c r="D1131" s="66"/>
      <c r="E1131" s="66"/>
      <c r="F1131" s="66"/>
      <c r="G1131" s="66"/>
      <c r="H1131" s="66"/>
      <c r="I1131" s="66"/>
      <c r="J1131" s="66"/>
      <c r="K1131" s="66"/>
      <c r="L1131" s="66"/>
      <c r="M1131" s="66"/>
      <c r="N1131" s="66"/>
    </row>
    <row r="1132" spans="1:14" x14ac:dyDescent="0.2">
      <c r="A1132" s="84"/>
      <c r="B1132" s="84"/>
      <c r="C1132" s="60"/>
      <c r="D1132" s="66"/>
      <c r="E1132" s="66"/>
      <c r="F1132" s="66"/>
      <c r="G1132" s="66"/>
      <c r="H1132" s="66"/>
      <c r="I1132" s="66"/>
      <c r="J1132" s="66"/>
      <c r="K1132" s="66"/>
      <c r="L1132" s="66"/>
      <c r="M1132" s="66"/>
      <c r="N1132" s="66"/>
    </row>
    <row r="1133" spans="1:14" x14ac:dyDescent="0.2">
      <c r="A1133" s="84"/>
      <c r="B1133" s="84"/>
      <c r="C1133" s="60"/>
      <c r="D1133" s="66"/>
      <c r="E1133" s="66"/>
      <c r="F1133" s="66"/>
      <c r="G1133" s="66"/>
      <c r="H1133" s="66"/>
      <c r="I1133" s="66"/>
      <c r="J1133" s="66"/>
      <c r="K1133" s="66"/>
      <c r="L1133" s="66"/>
      <c r="M1133" s="66"/>
      <c r="N1133" s="66"/>
    </row>
    <row r="1134" spans="1:14" x14ac:dyDescent="0.2">
      <c r="A1134" s="84"/>
      <c r="B1134" s="84"/>
      <c r="C1134" s="60"/>
      <c r="D1134" s="66"/>
      <c r="E1134" s="66"/>
      <c r="F1134" s="66"/>
      <c r="G1134" s="66"/>
      <c r="H1134" s="66"/>
      <c r="I1134" s="66"/>
      <c r="J1134" s="66"/>
      <c r="K1134" s="66"/>
      <c r="L1134" s="66"/>
      <c r="M1134" s="66"/>
      <c r="N1134" s="66"/>
    </row>
    <row r="1135" spans="1:14" x14ac:dyDescent="0.2">
      <c r="A1135" s="84"/>
      <c r="B1135" s="84"/>
      <c r="C1135" s="60"/>
      <c r="D1135" s="66"/>
      <c r="E1135" s="66"/>
      <c r="F1135" s="66"/>
      <c r="G1135" s="66"/>
      <c r="H1135" s="66"/>
      <c r="I1135" s="66"/>
      <c r="J1135" s="66"/>
      <c r="K1135" s="66"/>
      <c r="L1135" s="66"/>
      <c r="M1135" s="66"/>
      <c r="N1135" s="66"/>
    </row>
    <row r="1136" spans="1:14" x14ac:dyDescent="0.2">
      <c r="A1136" s="84"/>
      <c r="B1136" s="84"/>
      <c r="C1136" s="60"/>
      <c r="D1136" s="66"/>
      <c r="E1136" s="66"/>
      <c r="F1136" s="66"/>
      <c r="G1136" s="66"/>
      <c r="H1136" s="66"/>
      <c r="I1136" s="66"/>
      <c r="J1136" s="66"/>
      <c r="K1136" s="66"/>
      <c r="L1136" s="66"/>
      <c r="M1136" s="66"/>
      <c r="N1136" s="66"/>
    </row>
    <row r="1137" spans="1:14" x14ac:dyDescent="0.2">
      <c r="A1137" s="84"/>
      <c r="B1137" s="84"/>
      <c r="C1137" s="60"/>
      <c r="D1137" s="66"/>
      <c r="E1137" s="66"/>
      <c r="F1137" s="66"/>
      <c r="G1137" s="66"/>
      <c r="H1137" s="66"/>
      <c r="I1137" s="66"/>
      <c r="J1137" s="66"/>
      <c r="K1137" s="66"/>
      <c r="L1137" s="66"/>
      <c r="M1137" s="66"/>
      <c r="N1137" s="66"/>
    </row>
    <row r="1138" spans="1:14" x14ac:dyDescent="0.2">
      <c r="A1138" s="84"/>
      <c r="B1138" s="84"/>
      <c r="C1138" s="60"/>
      <c r="D1138" s="66"/>
      <c r="E1138" s="66"/>
      <c r="F1138" s="66"/>
      <c r="G1138" s="66"/>
      <c r="H1138" s="66"/>
      <c r="I1138" s="66"/>
      <c r="J1138" s="66"/>
      <c r="K1138" s="66"/>
      <c r="L1138" s="66"/>
      <c r="M1138" s="66"/>
      <c r="N1138" s="66"/>
    </row>
    <row r="1139" spans="1:14" x14ac:dyDescent="0.2">
      <c r="A1139" s="84"/>
      <c r="B1139" s="84"/>
      <c r="C1139" s="60"/>
      <c r="D1139" s="66"/>
      <c r="E1139" s="66"/>
      <c r="F1139" s="66"/>
      <c r="G1139" s="66"/>
      <c r="H1139" s="66"/>
      <c r="I1139" s="66"/>
      <c r="J1139" s="66"/>
      <c r="K1139" s="66"/>
      <c r="L1139" s="66"/>
      <c r="M1139" s="66"/>
      <c r="N1139" s="66"/>
    </row>
    <row r="1140" spans="1:14" x14ac:dyDescent="0.2">
      <c r="A1140" s="84"/>
      <c r="B1140" s="84"/>
      <c r="C1140" s="60"/>
      <c r="D1140" s="66"/>
      <c r="E1140" s="66"/>
      <c r="F1140" s="66"/>
      <c r="G1140" s="66"/>
      <c r="H1140" s="66"/>
      <c r="I1140" s="66"/>
      <c r="J1140" s="66"/>
      <c r="K1140" s="66"/>
      <c r="L1140" s="66"/>
      <c r="M1140" s="66"/>
      <c r="N1140" s="66"/>
    </row>
    <row r="1141" spans="1:14" x14ac:dyDescent="0.2">
      <c r="A1141" s="84"/>
      <c r="B1141" s="84"/>
      <c r="C1141" s="60"/>
      <c r="D1141" s="66"/>
      <c r="E1141" s="66"/>
      <c r="F1141" s="66"/>
      <c r="G1141" s="66"/>
      <c r="H1141" s="66"/>
      <c r="I1141" s="66"/>
      <c r="J1141" s="66"/>
      <c r="K1141" s="66"/>
      <c r="L1141" s="66"/>
      <c r="M1141" s="66"/>
      <c r="N1141" s="66"/>
    </row>
    <row r="1142" spans="1:14" x14ac:dyDescent="0.2">
      <c r="A1142" s="84"/>
      <c r="B1142" s="84"/>
      <c r="C1142" s="60"/>
      <c r="D1142" s="66"/>
      <c r="E1142" s="66"/>
      <c r="F1142" s="66"/>
      <c r="G1142" s="66"/>
      <c r="H1142" s="66"/>
      <c r="I1142" s="66"/>
      <c r="J1142" s="66"/>
      <c r="K1142" s="66"/>
      <c r="L1142" s="66"/>
      <c r="M1142" s="66"/>
      <c r="N1142" s="66"/>
    </row>
    <row r="1143" spans="1:14" x14ac:dyDescent="0.2">
      <c r="A1143" s="84"/>
      <c r="B1143" s="84"/>
      <c r="C1143" s="60"/>
      <c r="D1143" s="66"/>
      <c r="E1143" s="66"/>
      <c r="F1143" s="66"/>
      <c r="G1143" s="66"/>
      <c r="H1143" s="66"/>
      <c r="I1143" s="66"/>
      <c r="J1143" s="66"/>
      <c r="K1143" s="66"/>
      <c r="L1143" s="66"/>
      <c r="M1143" s="66"/>
      <c r="N1143" s="66"/>
    </row>
    <row r="1144" spans="1:14" x14ac:dyDescent="0.2">
      <c r="A1144" s="84"/>
      <c r="B1144" s="84"/>
      <c r="C1144" s="60"/>
      <c r="D1144" s="66"/>
      <c r="E1144" s="66"/>
      <c r="F1144" s="66"/>
      <c r="G1144" s="66"/>
      <c r="H1144" s="66"/>
      <c r="I1144" s="66"/>
      <c r="J1144" s="66"/>
      <c r="K1144" s="66"/>
      <c r="L1144" s="66"/>
      <c r="M1144" s="66"/>
      <c r="N1144" s="66"/>
    </row>
    <row r="1145" spans="1:14" x14ac:dyDescent="0.2">
      <c r="A1145" s="84"/>
      <c r="B1145" s="84"/>
      <c r="C1145" s="60"/>
      <c r="D1145" s="66"/>
      <c r="E1145" s="66"/>
      <c r="F1145" s="66"/>
      <c r="G1145" s="66"/>
      <c r="H1145" s="66"/>
      <c r="I1145" s="66"/>
      <c r="J1145" s="66"/>
      <c r="K1145" s="66"/>
      <c r="L1145" s="66"/>
      <c r="M1145" s="66"/>
      <c r="N1145" s="66"/>
    </row>
    <row r="1146" spans="1:14" x14ac:dyDescent="0.2">
      <c r="A1146" s="84"/>
      <c r="B1146" s="84"/>
      <c r="C1146" s="60"/>
      <c r="D1146" s="66"/>
      <c r="E1146" s="66"/>
      <c r="F1146" s="66"/>
      <c r="G1146" s="66"/>
      <c r="H1146" s="66"/>
      <c r="I1146" s="66"/>
      <c r="J1146" s="66"/>
      <c r="K1146" s="66"/>
      <c r="L1146" s="66"/>
      <c r="M1146" s="66"/>
      <c r="N1146" s="66"/>
    </row>
    <row r="1147" spans="1:14" x14ac:dyDescent="0.2">
      <c r="A1147" s="84"/>
      <c r="B1147" s="84"/>
      <c r="C1147" s="60"/>
      <c r="D1147" s="66"/>
      <c r="E1147" s="66"/>
      <c r="F1147" s="66"/>
      <c r="G1147" s="66"/>
      <c r="H1147" s="66"/>
      <c r="I1147" s="66"/>
      <c r="J1147" s="66"/>
      <c r="K1147" s="66"/>
      <c r="L1147" s="66"/>
      <c r="M1147" s="66"/>
      <c r="N1147" s="66"/>
    </row>
    <row r="1148" spans="1:14" x14ac:dyDescent="0.2">
      <c r="A1148" s="84"/>
      <c r="B1148" s="84"/>
      <c r="C1148" s="60"/>
      <c r="D1148" s="66"/>
      <c r="E1148" s="66"/>
      <c r="F1148" s="66"/>
      <c r="G1148" s="66"/>
      <c r="H1148" s="66"/>
      <c r="I1148" s="66"/>
      <c r="J1148" s="66"/>
      <c r="K1148" s="66"/>
      <c r="L1148" s="66"/>
      <c r="M1148" s="66"/>
      <c r="N1148" s="66"/>
    </row>
    <row r="1149" spans="1:14" x14ac:dyDescent="0.2">
      <c r="A1149" s="84"/>
      <c r="B1149" s="84"/>
      <c r="C1149" s="60"/>
      <c r="D1149" s="66"/>
      <c r="E1149" s="66"/>
      <c r="F1149" s="66"/>
      <c r="G1149" s="66"/>
      <c r="H1149" s="66"/>
      <c r="I1149" s="66"/>
      <c r="J1149" s="66"/>
      <c r="K1149" s="66"/>
      <c r="L1149" s="66"/>
      <c r="M1149" s="66"/>
      <c r="N1149" s="66"/>
    </row>
    <row r="1150" spans="1:14" x14ac:dyDescent="0.2">
      <c r="A1150" s="84"/>
      <c r="B1150" s="84"/>
      <c r="C1150" s="60"/>
      <c r="D1150" s="66"/>
      <c r="E1150" s="66"/>
      <c r="F1150" s="66"/>
      <c r="G1150" s="66"/>
      <c r="H1150" s="66"/>
      <c r="I1150" s="66"/>
      <c r="J1150" s="66"/>
      <c r="K1150" s="66"/>
      <c r="L1150" s="66"/>
      <c r="M1150" s="66"/>
      <c r="N1150" s="66"/>
    </row>
    <row r="1151" spans="1:14" x14ac:dyDescent="0.2">
      <c r="A1151" s="84"/>
      <c r="B1151" s="84"/>
      <c r="C1151" s="60"/>
      <c r="D1151" s="66"/>
      <c r="E1151" s="66"/>
      <c r="F1151" s="66"/>
      <c r="G1151" s="66"/>
      <c r="H1151" s="66"/>
      <c r="I1151" s="66"/>
      <c r="J1151" s="66"/>
      <c r="K1151" s="66"/>
      <c r="L1151" s="66"/>
      <c r="M1151" s="66"/>
      <c r="N1151" s="66"/>
    </row>
    <row r="1152" spans="1:14" x14ac:dyDescent="0.2">
      <c r="A1152" s="84"/>
      <c r="B1152" s="84"/>
      <c r="C1152" s="60"/>
      <c r="D1152" s="66"/>
      <c r="E1152" s="66"/>
      <c r="F1152" s="66"/>
      <c r="G1152" s="66"/>
      <c r="H1152" s="66"/>
      <c r="I1152" s="66"/>
      <c r="J1152" s="66"/>
      <c r="K1152" s="66"/>
      <c r="L1152" s="66"/>
      <c r="M1152" s="66"/>
      <c r="N1152" s="66"/>
    </row>
    <row r="1153" spans="1:14" x14ac:dyDescent="0.2">
      <c r="A1153" s="84"/>
      <c r="B1153" s="84"/>
      <c r="C1153" s="60"/>
      <c r="D1153" s="66"/>
      <c r="E1153" s="66"/>
      <c r="F1153" s="66"/>
      <c r="G1153" s="66"/>
      <c r="H1153" s="66"/>
      <c r="I1153" s="66"/>
      <c r="J1153" s="66"/>
      <c r="K1153" s="66"/>
      <c r="L1153" s="66"/>
      <c r="M1153" s="66"/>
      <c r="N1153" s="66"/>
    </row>
    <row r="1154" spans="1:14" x14ac:dyDescent="0.2">
      <c r="A1154" s="84"/>
      <c r="B1154" s="84"/>
      <c r="C1154" s="60"/>
      <c r="D1154" s="66"/>
      <c r="E1154" s="66"/>
      <c r="F1154" s="66"/>
      <c r="G1154" s="66"/>
      <c r="H1154" s="66"/>
      <c r="I1154" s="66"/>
      <c r="J1154" s="66"/>
      <c r="K1154" s="66"/>
      <c r="L1154" s="66"/>
      <c r="M1154" s="66"/>
      <c r="N1154" s="66"/>
    </row>
    <row r="1155" spans="1:14" x14ac:dyDescent="0.2">
      <c r="A1155" s="84"/>
      <c r="B1155" s="84"/>
      <c r="C1155" s="60"/>
      <c r="D1155" s="66"/>
      <c r="E1155" s="66"/>
      <c r="F1155" s="66"/>
      <c r="G1155" s="66"/>
      <c r="H1155" s="66"/>
      <c r="I1155" s="66"/>
      <c r="J1155" s="66"/>
      <c r="K1155" s="66"/>
      <c r="L1155" s="66"/>
      <c r="M1155" s="66"/>
      <c r="N1155" s="66"/>
    </row>
    <row r="1156" spans="1:14" x14ac:dyDescent="0.2">
      <c r="A1156" s="84"/>
      <c r="B1156" s="84"/>
      <c r="C1156" s="60"/>
      <c r="D1156" s="66"/>
      <c r="E1156" s="66"/>
      <c r="F1156" s="66"/>
      <c r="G1156" s="66"/>
      <c r="H1156" s="66"/>
      <c r="I1156" s="66"/>
      <c r="J1156" s="66"/>
      <c r="K1156" s="66"/>
      <c r="L1156" s="66"/>
      <c r="M1156" s="66"/>
      <c r="N1156" s="66"/>
    </row>
    <row r="1157" spans="1:14" x14ac:dyDescent="0.2">
      <c r="A1157" s="84"/>
      <c r="B1157" s="84"/>
      <c r="C1157" s="60"/>
      <c r="D1157" s="66"/>
      <c r="E1157" s="66"/>
      <c r="F1157" s="66"/>
      <c r="G1157" s="66"/>
      <c r="H1157" s="66"/>
      <c r="I1157" s="66"/>
      <c r="J1157" s="66"/>
      <c r="K1157" s="66"/>
      <c r="L1157" s="66"/>
      <c r="M1157" s="66"/>
      <c r="N1157" s="66"/>
    </row>
    <row r="1158" spans="1:14" x14ac:dyDescent="0.2">
      <c r="A1158" s="84"/>
      <c r="B1158" s="84"/>
      <c r="C1158" s="60"/>
      <c r="D1158" s="66"/>
      <c r="E1158" s="66"/>
      <c r="F1158" s="66"/>
      <c r="G1158" s="66"/>
      <c r="H1158" s="66"/>
      <c r="I1158" s="66"/>
      <c r="J1158" s="66"/>
      <c r="K1158" s="66"/>
      <c r="L1158" s="66"/>
      <c r="M1158" s="66"/>
      <c r="N1158" s="66"/>
    </row>
    <row r="1159" spans="1:14" x14ac:dyDescent="0.2">
      <c r="A1159" s="84"/>
      <c r="B1159" s="84"/>
      <c r="C1159" s="60"/>
      <c r="D1159" s="66"/>
      <c r="E1159" s="66"/>
      <c r="F1159" s="66"/>
      <c r="G1159" s="66"/>
      <c r="H1159" s="66"/>
      <c r="I1159" s="66"/>
      <c r="J1159" s="66"/>
      <c r="K1159" s="66"/>
      <c r="L1159" s="66"/>
      <c r="M1159" s="66"/>
      <c r="N1159" s="66"/>
    </row>
    <row r="1160" spans="1:14" x14ac:dyDescent="0.2">
      <c r="A1160" s="84"/>
      <c r="B1160" s="84"/>
      <c r="C1160" s="60"/>
      <c r="D1160" s="66"/>
      <c r="E1160" s="66"/>
      <c r="F1160" s="66"/>
      <c r="G1160" s="66"/>
      <c r="H1160" s="66"/>
      <c r="I1160" s="66"/>
      <c r="J1160" s="66"/>
      <c r="K1160" s="66"/>
      <c r="L1160" s="66"/>
      <c r="M1160" s="66"/>
      <c r="N1160" s="66"/>
    </row>
    <row r="1161" spans="1:14" x14ac:dyDescent="0.2">
      <c r="A1161" s="84"/>
      <c r="B1161" s="84"/>
      <c r="C1161" s="60"/>
      <c r="D1161" s="66"/>
      <c r="E1161" s="66"/>
      <c r="F1161" s="66"/>
      <c r="G1161" s="66"/>
      <c r="H1161" s="66"/>
      <c r="I1161" s="66"/>
      <c r="J1161" s="66"/>
      <c r="K1161" s="66"/>
      <c r="L1161" s="66"/>
      <c r="M1161" s="66"/>
      <c r="N1161" s="66"/>
    </row>
    <row r="1162" spans="1:14" x14ac:dyDescent="0.2">
      <c r="A1162" s="84"/>
      <c r="B1162" s="84"/>
      <c r="C1162" s="60"/>
      <c r="D1162" s="66"/>
      <c r="E1162" s="66"/>
      <c r="F1162" s="66"/>
      <c r="G1162" s="66"/>
      <c r="H1162" s="66"/>
      <c r="I1162" s="66"/>
      <c r="J1162" s="66"/>
      <c r="K1162" s="66"/>
      <c r="L1162" s="66"/>
      <c r="M1162" s="66"/>
      <c r="N1162" s="66"/>
    </row>
    <row r="1163" spans="1:14" x14ac:dyDescent="0.2">
      <c r="A1163" s="84"/>
      <c r="B1163" s="84"/>
      <c r="C1163" s="60"/>
      <c r="D1163" s="66"/>
      <c r="E1163" s="66"/>
      <c r="F1163" s="66"/>
      <c r="G1163" s="66"/>
      <c r="H1163" s="66"/>
      <c r="I1163" s="66"/>
      <c r="J1163" s="66"/>
      <c r="K1163" s="66"/>
      <c r="L1163" s="66"/>
      <c r="M1163" s="66"/>
      <c r="N1163" s="66"/>
    </row>
    <row r="1164" spans="1:14" x14ac:dyDescent="0.2">
      <c r="A1164" s="84"/>
      <c r="B1164" s="84"/>
      <c r="C1164" s="60"/>
      <c r="D1164" s="66"/>
      <c r="E1164" s="66"/>
      <c r="F1164" s="66"/>
      <c r="G1164" s="66"/>
      <c r="H1164" s="66"/>
      <c r="I1164" s="66"/>
      <c r="J1164" s="66"/>
      <c r="K1164" s="66"/>
      <c r="L1164" s="66"/>
      <c r="M1164" s="66"/>
      <c r="N1164" s="66"/>
    </row>
    <row r="1165" spans="1:14" x14ac:dyDescent="0.2">
      <c r="A1165" s="84"/>
      <c r="B1165" s="84"/>
      <c r="C1165" s="60"/>
      <c r="D1165" s="66"/>
      <c r="E1165" s="66"/>
      <c r="F1165" s="66"/>
      <c r="G1165" s="66"/>
      <c r="H1165" s="66"/>
      <c r="I1165" s="66"/>
      <c r="J1165" s="66"/>
      <c r="K1165" s="66"/>
      <c r="L1165" s="66"/>
      <c r="M1165" s="66"/>
      <c r="N1165" s="66"/>
    </row>
    <row r="1166" spans="1:14" x14ac:dyDescent="0.2">
      <c r="A1166" s="84"/>
      <c r="B1166" s="84"/>
      <c r="C1166" s="60"/>
      <c r="D1166" s="66"/>
      <c r="E1166" s="66"/>
      <c r="F1166" s="66"/>
      <c r="G1166" s="66"/>
      <c r="H1166" s="66"/>
      <c r="I1166" s="66"/>
      <c r="J1166" s="66"/>
      <c r="K1166" s="66"/>
      <c r="L1166" s="66"/>
      <c r="M1166" s="66"/>
      <c r="N1166" s="66"/>
    </row>
    <row r="1167" spans="1:14" x14ac:dyDescent="0.2">
      <c r="A1167" s="84"/>
      <c r="B1167" s="84"/>
      <c r="C1167" s="60"/>
      <c r="D1167" s="66"/>
      <c r="E1167" s="66"/>
      <c r="F1167" s="66"/>
      <c r="G1167" s="66"/>
      <c r="H1167" s="66"/>
      <c r="I1167" s="66"/>
      <c r="J1167" s="66"/>
      <c r="K1167" s="66"/>
      <c r="L1167" s="66"/>
      <c r="M1167" s="66"/>
      <c r="N1167" s="66"/>
    </row>
    <row r="1168" spans="1:14" x14ac:dyDescent="0.2">
      <c r="A1168" s="84"/>
      <c r="B1168" s="84"/>
      <c r="C1168" s="60"/>
      <c r="D1168" s="66"/>
      <c r="E1168" s="66"/>
      <c r="F1168" s="66"/>
      <c r="G1168" s="66"/>
      <c r="H1168" s="66"/>
      <c r="I1168" s="66"/>
      <c r="J1168" s="66"/>
      <c r="K1168" s="66"/>
      <c r="L1168" s="66"/>
      <c r="M1168" s="66"/>
      <c r="N1168" s="66"/>
    </row>
    <row r="1169" spans="1:14" x14ac:dyDescent="0.2">
      <c r="A1169" s="84"/>
      <c r="B1169" s="84"/>
      <c r="C1169" s="60"/>
      <c r="D1169" s="66"/>
      <c r="E1169" s="66"/>
      <c r="F1169" s="66"/>
      <c r="G1169" s="66"/>
      <c r="H1169" s="66"/>
      <c r="I1169" s="66"/>
      <c r="J1169" s="66"/>
      <c r="K1169" s="66"/>
      <c r="L1169" s="66"/>
      <c r="M1169" s="66"/>
      <c r="N1169" s="66"/>
    </row>
    <row r="1170" spans="1:14" x14ac:dyDescent="0.2">
      <c r="A1170" s="84"/>
      <c r="B1170" s="84"/>
      <c r="C1170" s="60"/>
      <c r="D1170" s="66"/>
      <c r="E1170" s="66"/>
      <c r="F1170" s="66"/>
      <c r="G1170" s="66"/>
      <c r="H1170" s="66"/>
      <c r="I1170" s="66"/>
      <c r="J1170" s="66"/>
      <c r="K1170" s="66"/>
      <c r="L1170" s="66"/>
      <c r="M1170" s="66"/>
      <c r="N1170" s="66"/>
    </row>
    <row r="1171" spans="1:14" x14ac:dyDescent="0.2">
      <c r="A1171" s="84"/>
      <c r="B1171" s="84"/>
      <c r="C1171" s="60"/>
      <c r="D1171" s="66"/>
      <c r="E1171" s="66"/>
      <c r="F1171" s="66"/>
      <c r="G1171" s="66"/>
      <c r="H1171" s="66"/>
      <c r="I1171" s="66"/>
      <c r="J1171" s="66"/>
      <c r="K1171" s="66"/>
      <c r="L1171" s="66"/>
      <c r="M1171" s="66"/>
      <c r="N1171" s="66"/>
    </row>
    <row r="1172" spans="1:14" x14ac:dyDescent="0.2">
      <c r="A1172" s="84"/>
      <c r="B1172" s="84"/>
      <c r="C1172" s="60"/>
      <c r="D1172" s="66"/>
      <c r="E1172" s="66"/>
      <c r="F1172" s="66"/>
      <c r="G1172" s="66"/>
      <c r="H1172" s="66"/>
      <c r="I1172" s="66"/>
      <c r="J1172" s="66"/>
      <c r="K1172" s="66"/>
      <c r="L1172" s="66"/>
      <c r="M1172" s="66"/>
      <c r="N1172" s="66"/>
    </row>
    <row r="1173" spans="1:14" x14ac:dyDescent="0.2">
      <c r="A1173" s="84"/>
      <c r="B1173" s="84"/>
      <c r="C1173" s="60"/>
      <c r="D1173" s="66"/>
      <c r="E1173" s="66"/>
      <c r="F1173" s="66"/>
      <c r="G1173" s="66"/>
      <c r="H1173" s="66"/>
      <c r="I1173" s="66"/>
      <c r="J1173" s="66"/>
      <c r="K1173" s="66"/>
      <c r="L1173" s="66"/>
      <c r="M1173" s="66"/>
      <c r="N1173" s="66"/>
    </row>
    <row r="1174" spans="1:14" x14ac:dyDescent="0.2">
      <c r="A1174" s="84"/>
      <c r="B1174" s="84"/>
      <c r="C1174" s="60"/>
      <c r="D1174" s="66"/>
      <c r="E1174" s="66"/>
      <c r="F1174" s="66"/>
      <c r="G1174" s="66"/>
      <c r="H1174" s="66"/>
      <c r="I1174" s="66"/>
      <c r="J1174" s="66"/>
      <c r="K1174" s="66"/>
      <c r="L1174" s="66"/>
      <c r="M1174" s="66"/>
      <c r="N1174" s="66"/>
    </row>
    <row r="1175" spans="1:14" x14ac:dyDescent="0.2">
      <c r="A1175" s="84"/>
      <c r="B1175" s="84"/>
      <c r="C1175" s="60"/>
      <c r="D1175" s="66"/>
      <c r="E1175" s="66"/>
      <c r="F1175" s="66"/>
      <c r="G1175" s="66"/>
      <c r="H1175" s="66"/>
      <c r="I1175" s="66"/>
      <c r="J1175" s="66"/>
      <c r="K1175" s="66"/>
      <c r="L1175" s="66"/>
      <c r="M1175" s="66"/>
      <c r="N1175" s="66"/>
    </row>
    <row r="1176" spans="1:14" x14ac:dyDescent="0.2">
      <c r="A1176" s="84"/>
      <c r="B1176" s="84"/>
      <c r="C1176" s="60"/>
      <c r="D1176" s="66"/>
      <c r="E1176" s="66"/>
      <c r="F1176" s="66"/>
      <c r="G1176" s="66"/>
      <c r="H1176" s="66"/>
      <c r="I1176" s="66"/>
      <c r="J1176" s="66"/>
      <c r="K1176" s="66"/>
      <c r="L1176" s="66"/>
      <c r="M1176" s="66"/>
      <c r="N1176" s="66"/>
    </row>
    <row r="1177" spans="1:14" x14ac:dyDescent="0.2">
      <c r="A1177" s="84"/>
      <c r="B1177" s="84"/>
      <c r="C1177" s="60"/>
      <c r="D1177" s="66"/>
      <c r="E1177" s="66"/>
      <c r="F1177" s="66"/>
      <c r="G1177" s="66"/>
      <c r="H1177" s="66"/>
      <c r="I1177" s="66"/>
      <c r="J1177" s="66"/>
      <c r="K1177" s="66"/>
      <c r="L1177" s="66"/>
      <c r="M1177" s="66"/>
      <c r="N1177" s="66"/>
    </row>
    <row r="1178" spans="1:14" x14ac:dyDescent="0.2">
      <c r="A1178" s="84"/>
      <c r="B1178" s="84"/>
      <c r="C1178" s="60"/>
      <c r="D1178" s="66"/>
      <c r="E1178" s="66"/>
      <c r="F1178" s="66"/>
      <c r="G1178" s="66"/>
      <c r="H1178" s="66"/>
      <c r="I1178" s="66"/>
      <c r="J1178" s="66"/>
      <c r="K1178" s="66"/>
      <c r="L1178" s="66"/>
      <c r="M1178" s="66"/>
      <c r="N1178" s="66"/>
    </row>
    <row r="1179" spans="1:14" x14ac:dyDescent="0.2">
      <c r="A1179" s="84"/>
      <c r="B1179" s="84"/>
      <c r="C1179" s="60"/>
      <c r="D1179" s="66"/>
      <c r="E1179" s="66"/>
      <c r="F1179" s="66"/>
      <c r="G1179" s="66"/>
      <c r="H1179" s="66"/>
      <c r="I1179" s="66"/>
      <c r="J1179" s="66"/>
      <c r="K1179" s="66"/>
      <c r="L1179" s="66"/>
      <c r="M1179" s="66"/>
      <c r="N1179" s="66"/>
    </row>
    <row r="1180" spans="1:14" x14ac:dyDescent="0.2">
      <c r="A1180" s="84"/>
      <c r="B1180" s="84"/>
      <c r="C1180" s="60"/>
      <c r="D1180" s="66"/>
      <c r="E1180" s="66"/>
      <c r="F1180" s="66"/>
      <c r="G1180" s="66"/>
      <c r="H1180" s="66"/>
      <c r="I1180" s="66"/>
      <c r="J1180" s="66"/>
      <c r="K1180" s="66"/>
      <c r="L1180" s="66"/>
      <c r="M1180" s="66"/>
      <c r="N1180" s="66"/>
    </row>
    <row r="1181" spans="1:14" x14ac:dyDescent="0.2">
      <c r="A1181" s="84"/>
      <c r="B1181" s="84"/>
      <c r="C1181" s="60"/>
      <c r="D1181" s="66"/>
      <c r="E1181" s="66"/>
      <c r="F1181" s="66"/>
      <c r="G1181" s="66"/>
      <c r="H1181" s="66"/>
      <c r="I1181" s="66"/>
      <c r="J1181" s="66"/>
      <c r="K1181" s="66"/>
      <c r="L1181" s="66"/>
      <c r="M1181" s="66"/>
      <c r="N1181" s="66"/>
    </row>
    <row r="1182" spans="1:14" x14ac:dyDescent="0.2">
      <c r="A1182" s="84"/>
      <c r="B1182" s="84"/>
      <c r="C1182" s="60"/>
      <c r="D1182" s="66"/>
      <c r="E1182" s="66"/>
      <c r="F1182" s="66"/>
      <c r="G1182" s="66"/>
      <c r="H1182" s="66"/>
      <c r="I1182" s="66"/>
      <c r="J1182" s="66"/>
      <c r="K1182" s="66"/>
      <c r="L1182" s="66"/>
      <c r="M1182" s="66"/>
      <c r="N1182" s="66"/>
    </row>
    <row r="1183" spans="1:14" x14ac:dyDescent="0.2">
      <c r="A1183" s="84"/>
      <c r="B1183" s="84"/>
      <c r="C1183" s="60"/>
      <c r="D1183" s="66"/>
      <c r="E1183" s="66"/>
      <c r="F1183" s="66"/>
      <c r="G1183" s="66"/>
      <c r="H1183" s="66"/>
      <c r="I1183" s="66"/>
      <c r="J1183" s="66"/>
      <c r="K1183" s="66"/>
      <c r="L1183" s="66"/>
      <c r="M1183" s="66"/>
      <c r="N1183" s="66"/>
    </row>
    <row r="1184" spans="1:14" x14ac:dyDescent="0.2">
      <c r="A1184" s="84"/>
      <c r="B1184" s="84"/>
      <c r="C1184" s="60"/>
      <c r="D1184" s="66"/>
      <c r="E1184" s="66"/>
      <c r="F1184" s="66"/>
      <c r="G1184" s="66"/>
      <c r="H1184" s="66"/>
      <c r="I1184" s="66"/>
      <c r="J1184" s="66"/>
      <c r="K1184" s="66"/>
      <c r="L1184" s="66"/>
      <c r="M1184" s="66"/>
      <c r="N1184" s="66"/>
    </row>
    <row r="1185" spans="1:14" x14ac:dyDescent="0.2">
      <c r="A1185" s="84"/>
      <c r="B1185" s="84"/>
      <c r="C1185" s="60"/>
      <c r="D1185" s="66"/>
      <c r="E1185" s="66"/>
      <c r="F1185" s="66"/>
      <c r="G1185" s="66"/>
      <c r="H1185" s="66"/>
      <c r="I1185" s="66"/>
      <c r="J1185" s="66"/>
      <c r="K1185" s="66"/>
      <c r="L1185" s="66"/>
      <c r="M1185" s="66"/>
      <c r="N1185" s="66"/>
    </row>
    <row r="1186" spans="1:14" x14ac:dyDescent="0.2">
      <c r="A1186" s="84"/>
      <c r="B1186" s="84"/>
      <c r="C1186" s="60"/>
      <c r="D1186" s="66"/>
      <c r="E1186" s="66"/>
      <c r="F1186" s="66"/>
      <c r="G1186" s="66"/>
      <c r="H1186" s="66"/>
      <c r="I1186" s="66"/>
      <c r="J1186" s="66"/>
      <c r="K1186" s="66"/>
      <c r="L1186" s="66"/>
      <c r="M1186" s="66"/>
      <c r="N1186" s="66"/>
    </row>
    <row r="1187" spans="1:14" x14ac:dyDescent="0.2">
      <c r="A1187" s="84"/>
      <c r="B1187" s="84"/>
      <c r="C1187" s="60"/>
      <c r="D1187" s="66"/>
      <c r="E1187" s="66"/>
      <c r="F1187" s="66"/>
      <c r="G1187" s="66"/>
      <c r="H1187" s="66"/>
      <c r="I1187" s="66"/>
      <c r="J1187" s="66"/>
      <c r="K1187" s="66"/>
      <c r="L1187" s="66"/>
      <c r="M1187" s="66"/>
      <c r="N1187" s="66"/>
    </row>
    <row r="1188" spans="1:14" x14ac:dyDescent="0.2">
      <c r="A1188" s="84"/>
      <c r="B1188" s="84"/>
      <c r="C1188" s="60"/>
      <c r="D1188" s="66"/>
      <c r="E1188" s="66"/>
      <c r="F1188" s="66"/>
      <c r="G1188" s="66"/>
      <c r="H1188" s="66"/>
      <c r="I1188" s="66"/>
      <c r="J1188" s="66"/>
      <c r="K1188" s="66"/>
      <c r="L1188" s="66"/>
      <c r="M1188" s="66"/>
      <c r="N1188" s="66"/>
    </row>
    <row r="1189" spans="1:14" x14ac:dyDescent="0.2">
      <c r="A1189" s="84"/>
      <c r="B1189" s="84"/>
      <c r="C1189" s="60"/>
      <c r="D1189" s="66"/>
      <c r="E1189" s="66"/>
      <c r="F1189" s="66"/>
      <c r="G1189" s="66"/>
      <c r="H1189" s="66"/>
      <c r="I1189" s="66"/>
      <c r="J1189" s="66"/>
      <c r="K1189" s="66"/>
      <c r="L1189" s="66"/>
      <c r="M1189" s="66"/>
      <c r="N1189" s="66"/>
    </row>
    <row r="1190" spans="1:14" x14ac:dyDescent="0.2">
      <c r="A1190" s="84"/>
      <c r="B1190" s="84"/>
      <c r="C1190" s="60"/>
      <c r="D1190" s="66"/>
      <c r="E1190" s="66"/>
      <c r="F1190" s="66"/>
      <c r="G1190" s="66"/>
      <c r="H1190" s="66"/>
      <c r="I1190" s="66"/>
      <c r="J1190" s="66"/>
      <c r="K1190" s="66"/>
      <c r="L1190" s="66"/>
      <c r="M1190" s="66"/>
      <c r="N1190" s="66"/>
    </row>
    <row r="1191" spans="1:14" x14ac:dyDescent="0.2">
      <c r="A1191" s="84"/>
      <c r="B1191" s="84"/>
      <c r="C1191" s="60"/>
      <c r="D1191" s="66"/>
      <c r="E1191" s="66"/>
      <c r="F1191" s="66"/>
      <c r="G1191" s="66"/>
      <c r="H1191" s="66"/>
      <c r="I1191" s="66"/>
      <c r="J1191" s="66"/>
      <c r="K1191" s="66"/>
      <c r="L1191" s="66"/>
      <c r="M1191" s="66"/>
      <c r="N1191" s="66"/>
    </row>
    <row r="1192" spans="1:14" x14ac:dyDescent="0.2">
      <c r="A1192" s="84"/>
      <c r="B1192" s="84"/>
      <c r="C1192" s="60"/>
      <c r="D1192" s="66"/>
      <c r="E1192" s="66"/>
      <c r="F1192" s="66"/>
      <c r="G1192" s="66"/>
      <c r="H1192" s="66"/>
      <c r="I1192" s="66"/>
      <c r="J1192" s="66"/>
      <c r="K1192" s="66"/>
      <c r="L1192" s="66"/>
      <c r="M1192" s="66"/>
      <c r="N1192" s="66"/>
    </row>
    <row r="1193" spans="1:14" x14ac:dyDescent="0.2">
      <c r="A1193" s="84"/>
      <c r="B1193" s="84"/>
      <c r="C1193" s="60"/>
      <c r="D1193" s="66"/>
      <c r="E1193" s="66"/>
      <c r="F1193" s="66"/>
      <c r="G1193" s="66"/>
      <c r="H1193" s="66"/>
      <c r="I1193" s="66"/>
      <c r="J1193" s="66"/>
      <c r="K1193" s="66"/>
      <c r="L1193" s="66"/>
      <c r="M1193" s="66"/>
      <c r="N1193" s="66"/>
    </row>
    <row r="1194" spans="1:14" x14ac:dyDescent="0.2">
      <c r="A1194" s="84"/>
      <c r="B1194" s="84"/>
      <c r="C1194" s="60"/>
      <c r="D1194" s="66"/>
      <c r="E1194" s="66"/>
      <c r="F1194" s="66"/>
      <c r="G1194" s="66"/>
      <c r="H1194" s="66"/>
      <c r="I1194" s="66"/>
      <c r="J1194" s="66"/>
      <c r="K1194" s="66"/>
      <c r="L1194" s="66"/>
      <c r="M1194" s="66"/>
      <c r="N1194" s="66"/>
    </row>
    <row r="1195" spans="1:14" x14ac:dyDescent="0.2">
      <c r="A1195" s="84"/>
      <c r="B1195" s="84"/>
      <c r="C1195" s="60"/>
      <c r="D1195" s="66"/>
      <c r="E1195" s="66"/>
      <c r="F1195" s="66"/>
      <c r="G1195" s="66"/>
      <c r="H1195" s="66"/>
      <c r="I1195" s="66"/>
      <c r="J1195" s="66"/>
      <c r="K1195" s="66"/>
      <c r="L1195" s="66"/>
      <c r="M1195" s="66"/>
      <c r="N1195" s="66"/>
    </row>
    <row r="1196" spans="1:14" x14ac:dyDescent="0.2">
      <c r="A1196" s="84"/>
      <c r="B1196" s="84"/>
      <c r="C1196" s="60"/>
      <c r="D1196" s="66"/>
      <c r="E1196" s="66"/>
      <c r="F1196" s="66"/>
      <c r="G1196" s="66"/>
      <c r="H1196" s="66"/>
      <c r="I1196" s="66"/>
      <c r="J1196" s="66"/>
      <c r="K1196" s="66"/>
      <c r="L1196" s="66"/>
      <c r="M1196" s="66"/>
      <c r="N1196" s="66"/>
    </row>
    <row r="1197" spans="1:14" x14ac:dyDescent="0.2">
      <c r="A1197" s="84"/>
      <c r="B1197" s="84"/>
      <c r="C1197" s="60"/>
      <c r="D1197" s="66"/>
      <c r="E1197" s="66"/>
      <c r="F1197" s="66"/>
      <c r="G1197" s="66"/>
      <c r="H1197" s="66"/>
      <c r="I1197" s="66"/>
      <c r="J1197" s="66"/>
      <c r="K1197" s="66"/>
      <c r="L1197" s="66"/>
      <c r="M1197" s="66"/>
      <c r="N1197" s="66"/>
    </row>
    <row r="1198" spans="1:14" x14ac:dyDescent="0.2">
      <c r="A1198" s="84"/>
      <c r="B1198" s="84"/>
      <c r="C1198" s="60"/>
      <c r="D1198" s="66"/>
      <c r="E1198" s="66"/>
      <c r="F1198" s="66"/>
      <c r="G1198" s="66"/>
      <c r="H1198" s="66"/>
      <c r="I1198" s="66"/>
      <c r="J1198" s="66"/>
      <c r="K1198" s="66"/>
      <c r="L1198" s="66"/>
      <c r="M1198" s="66"/>
      <c r="N1198" s="66"/>
    </row>
    <row r="1199" spans="1:14" x14ac:dyDescent="0.2">
      <c r="A1199" s="84"/>
      <c r="B1199" s="84"/>
      <c r="C1199" s="60"/>
      <c r="D1199" s="66"/>
      <c r="E1199" s="66"/>
      <c r="F1199" s="66"/>
      <c r="G1199" s="66"/>
      <c r="H1199" s="66"/>
      <c r="I1199" s="66"/>
      <c r="J1199" s="66"/>
      <c r="K1199" s="66"/>
      <c r="L1199" s="66"/>
      <c r="M1199" s="66"/>
      <c r="N1199" s="66"/>
    </row>
    <row r="1200" spans="1:14" x14ac:dyDescent="0.2">
      <c r="A1200" s="84"/>
      <c r="B1200" s="84"/>
      <c r="C1200" s="60"/>
      <c r="D1200" s="66"/>
      <c r="E1200" s="66"/>
      <c r="F1200" s="66"/>
      <c r="G1200" s="66"/>
      <c r="H1200" s="66"/>
      <c r="I1200" s="66"/>
      <c r="J1200" s="66"/>
      <c r="K1200" s="66"/>
      <c r="L1200" s="66"/>
      <c r="M1200" s="66"/>
      <c r="N1200" s="66"/>
    </row>
    <row r="1201" spans="1:14" x14ac:dyDescent="0.2">
      <c r="A1201" s="84"/>
      <c r="B1201" s="84"/>
      <c r="C1201" s="60"/>
      <c r="D1201" s="66"/>
      <c r="E1201" s="66"/>
      <c r="F1201" s="66"/>
      <c r="G1201" s="66"/>
      <c r="H1201" s="66"/>
      <c r="I1201" s="66"/>
      <c r="J1201" s="66"/>
      <c r="K1201" s="66"/>
      <c r="L1201" s="66"/>
      <c r="M1201" s="66"/>
      <c r="N1201" s="66"/>
    </row>
    <row r="1202" spans="1:14" x14ac:dyDescent="0.2">
      <c r="A1202" s="84"/>
      <c r="B1202" s="84"/>
      <c r="C1202" s="60"/>
      <c r="D1202" s="66"/>
      <c r="E1202" s="66"/>
      <c r="F1202" s="66"/>
      <c r="G1202" s="66"/>
      <c r="H1202" s="66"/>
      <c r="I1202" s="66"/>
      <c r="J1202" s="66"/>
      <c r="K1202" s="66"/>
      <c r="L1202" s="66"/>
      <c r="M1202" s="66"/>
      <c r="N1202" s="66"/>
    </row>
    <row r="1203" spans="1:14" x14ac:dyDescent="0.2">
      <c r="A1203" s="84"/>
      <c r="B1203" s="84"/>
      <c r="C1203" s="60"/>
      <c r="D1203" s="66"/>
      <c r="E1203" s="66"/>
      <c r="F1203" s="66"/>
      <c r="G1203" s="66"/>
      <c r="H1203" s="66"/>
      <c r="I1203" s="66"/>
      <c r="J1203" s="66"/>
      <c r="K1203" s="66"/>
      <c r="L1203" s="66"/>
      <c r="M1203" s="66"/>
      <c r="N1203" s="66"/>
    </row>
    <row r="1204" spans="1:14" x14ac:dyDescent="0.2">
      <c r="A1204" s="84"/>
      <c r="B1204" s="84"/>
      <c r="C1204" s="60"/>
      <c r="D1204" s="66"/>
      <c r="E1204" s="66"/>
      <c r="F1204" s="66"/>
      <c r="G1204" s="66"/>
      <c r="H1204" s="66"/>
      <c r="I1204" s="66"/>
      <c r="J1204" s="66"/>
      <c r="K1204" s="66"/>
      <c r="L1204" s="66"/>
      <c r="M1204" s="66"/>
      <c r="N1204" s="66"/>
    </row>
    <row r="1205" spans="1:14" x14ac:dyDescent="0.2">
      <c r="A1205" s="84"/>
      <c r="B1205" s="84"/>
      <c r="C1205" s="60"/>
      <c r="D1205" s="66"/>
      <c r="E1205" s="66"/>
      <c r="F1205" s="66"/>
      <c r="G1205" s="66"/>
      <c r="H1205" s="66"/>
      <c r="I1205" s="66"/>
      <c r="J1205" s="66"/>
      <c r="K1205" s="66"/>
      <c r="L1205" s="66"/>
      <c r="M1205" s="66"/>
      <c r="N1205" s="66"/>
    </row>
    <row r="1206" spans="1:14" x14ac:dyDescent="0.2">
      <c r="A1206" s="84"/>
      <c r="B1206" s="84"/>
      <c r="C1206" s="60"/>
      <c r="D1206" s="66"/>
      <c r="E1206" s="66"/>
      <c r="F1206" s="66"/>
      <c r="G1206" s="66"/>
      <c r="H1206" s="66"/>
      <c r="I1206" s="66"/>
      <c r="J1206" s="66"/>
      <c r="K1206" s="66"/>
      <c r="L1206" s="66"/>
      <c r="M1206" s="66"/>
      <c r="N1206" s="66"/>
    </row>
    <row r="1207" spans="1:14" x14ac:dyDescent="0.2">
      <c r="A1207" s="84"/>
      <c r="B1207" s="84"/>
      <c r="C1207" s="60"/>
      <c r="D1207" s="66"/>
      <c r="E1207" s="66"/>
      <c r="F1207" s="66"/>
      <c r="G1207" s="66"/>
      <c r="H1207" s="66"/>
      <c r="I1207" s="66"/>
      <c r="J1207" s="66"/>
      <c r="K1207" s="66"/>
      <c r="L1207" s="66"/>
      <c r="M1207" s="66"/>
      <c r="N1207" s="66"/>
    </row>
    <row r="1208" spans="1:14" x14ac:dyDescent="0.2">
      <c r="A1208" s="84"/>
      <c r="B1208" s="84"/>
      <c r="C1208" s="60"/>
      <c r="D1208" s="66"/>
      <c r="E1208" s="66"/>
      <c r="F1208" s="66"/>
      <c r="G1208" s="66"/>
      <c r="H1208" s="66"/>
      <c r="I1208" s="66"/>
      <c r="J1208" s="66"/>
      <c r="K1208" s="66"/>
      <c r="L1208" s="66"/>
      <c r="M1208" s="66"/>
      <c r="N1208" s="66"/>
    </row>
    <row r="1209" spans="1:14" x14ac:dyDescent="0.2">
      <c r="A1209" s="84"/>
      <c r="B1209" s="84"/>
      <c r="C1209" s="60"/>
      <c r="D1209" s="66"/>
      <c r="E1209" s="66"/>
      <c r="F1209" s="66"/>
      <c r="G1209" s="66"/>
      <c r="H1209" s="66"/>
      <c r="I1209" s="66"/>
      <c r="J1209" s="66"/>
      <c r="K1209" s="66"/>
      <c r="L1209" s="66"/>
      <c r="M1209" s="66"/>
      <c r="N1209" s="66"/>
    </row>
    <row r="1210" spans="1:14" x14ac:dyDescent="0.2">
      <c r="A1210" s="84"/>
      <c r="B1210" s="84"/>
      <c r="C1210" s="60"/>
      <c r="D1210" s="66"/>
      <c r="E1210" s="66"/>
      <c r="F1210" s="66"/>
      <c r="G1210" s="66"/>
      <c r="H1210" s="66"/>
      <c r="I1210" s="66"/>
      <c r="J1210" s="66"/>
      <c r="K1210" s="66"/>
      <c r="L1210" s="66"/>
      <c r="M1210" s="66"/>
      <c r="N1210" s="66"/>
    </row>
  </sheetData>
  <pageMargins left="0.25" right="0.25" top="0.75" bottom="0.75" header="0.3" footer="0.3"/>
  <pageSetup scale="78" fitToHeight="0" orientation="landscape" r:id="rId1"/>
  <headerFooter>
    <oddFooter>&amp;LRev &amp;D&amp;C&amp;P</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1233"/>
  <sheetViews>
    <sheetView topLeftCell="A211" workbookViewId="0">
      <selection sqref="A1:N239"/>
    </sheetView>
  </sheetViews>
  <sheetFormatPr defaultColWidth="9" defaultRowHeight="12.75" x14ac:dyDescent="0.2"/>
  <cols>
    <col min="1" max="1" width="27.25" style="59" customWidth="1"/>
    <col min="2" max="2" width="9.5" style="60" customWidth="1"/>
    <col min="3" max="4" width="9" style="84" customWidth="1"/>
    <col min="5" max="16384" width="9" style="84"/>
  </cols>
  <sheetData>
    <row r="1" spans="1:15" s="58" customFormat="1" ht="13.5" thickBot="1" x14ac:dyDescent="0.25">
      <c r="A1" s="67" t="str">
        <f>CMS!A1</f>
        <v>Northwest Youth Services Budget - 2018 - APPROVED BY BOARD NOV 30, 2017</v>
      </c>
      <c r="B1" s="79"/>
      <c r="C1" s="67"/>
      <c r="D1" s="67"/>
      <c r="E1" s="67"/>
      <c r="F1" s="67"/>
      <c r="G1" s="67"/>
      <c r="H1" s="67"/>
      <c r="I1" s="67"/>
      <c r="J1" s="67"/>
      <c r="K1" s="67"/>
      <c r="L1" s="67"/>
      <c r="M1" s="67"/>
      <c r="N1" s="67"/>
    </row>
    <row r="2" spans="1:15" s="58" customFormat="1" x14ac:dyDescent="0.2">
      <c r="A2" s="80"/>
      <c r="B2" s="81"/>
    </row>
    <row r="3" spans="1:15" s="58" customFormat="1" x14ac:dyDescent="0.2">
      <c r="A3" s="81" t="s">
        <v>560</v>
      </c>
      <c r="B3" s="81"/>
    </row>
    <row r="5" spans="1:15" s="70" customFormat="1" ht="13.5" thickBot="1" x14ac:dyDescent="0.25">
      <c r="A5" s="82" t="s">
        <v>143</v>
      </c>
      <c r="B5" s="83" t="s">
        <v>144</v>
      </c>
      <c r="C5" s="83" t="str">
        <f>CMS!C5</f>
        <v>January</v>
      </c>
      <c r="D5" s="83" t="str">
        <f>CMS!D5</f>
        <v>February</v>
      </c>
      <c r="E5" s="83" t="str">
        <f>CMS!E5</f>
        <v>March</v>
      </c>
      <c r="F5" s="83" t="str">
        <f>CMS!F5</f>
        <v>April</v>
      </c>
      <c r="G5" s="83" t="str">
        <f>CMS!G5</f>
        <v>May</v>
      </c>
      <c r="H5" s="83" t="str">
        <f>CMS!H5</f>
        <v>June</v>
      </c>
      <c r="I5" s="83" t="str">
        <f>CMS!I5</f>
        <v>July</v>
      </c>
      <c r="J5" s="83" t="str">
        <f>CMS!J5</f>
        <v>August</v>
      </c>
      <c r="K5" s="83" t="str">
        <f>CMS!K5</f>
        <v>September</v>
      </c>
      <c r="L5" s="83" t="str">
        <f>CMS!L5</f>
        <v>October</v>
      </c>
      <c r="M5" s="83" t="str">
        <f>CMS!M5</f>
        <v>November</v>
      </c>
      <c r="N5" s="83" t="str">
        <f>CMS!N5</f>
        <v>December</v>
      </c>
    </row>
    <row r="6" spans="1:15" s="70" customFormat="1" x14ac:dyDescent="0.2">
      <c r="A6" s="28"/>
      <c r="B6" s="86"/>
      <c r="C6" s="86"/>
      <c r="D6" s="26"/>
      <c r="E6" s="26"/>
      <c r="F6" s="26"/>
      <c r="G6" s="26"/>
      <c r="H6" s="26"/>
      <c r="I6" s="26"/>
      <c r="J6" s="26"/>
      <c r="K6" s="26"/>
      <c r="L6" s="26"/>
      <c r="M6" s="26"/>
      <c r="N6" s="26"/>
    </row>
    <row r="7" spans="1:15" s="70" customFormat="1" x14ac:dyDescent="0.2">
      <c r="A7" s="58" t="s">
        <v>14</v>
      </c>
      <c r="B7" s="60"/>
      <c r="C7" s="60"/>
      <c r="D7" s="94"/>
      <c r="E7" s="94"/>
      <c r="F7" s="94"/>
      <c r="G7" s="94"/>
      <c r="H7" s="94"/>
      <c r="I7" s="94"/>
      <c r="J7" s="94"/>
      <c r="K7" s="94"/>
      <c r="L7" s="94"/>
      <c r="M7" s="94"/>
      <c r="N7" s="94"/>
    </row>
    <row r="8" spans="1:15" x14ac:dyDescent="0.2">
      <c r="A8" s="61" t="s">
        <v>336</v>
      </c>
      <c r="B8" s="63">
        <f>SUM(C8:N8)</f>
        <v>172246</v>
      </c>
      <c r="C8" s="62">
        <f>SUM(172246/12)</f>
        <v>14353.833333333334</v>
      </c>
      <c r="D8" s="62">
        <f t="shared" ref="D8:N8" si="0">SUM(172246/12)</f>
        <v>14353.833333333334</v>
      </c>
      <c r="E8" s="62">
        <f t="shared" si="0"/>
        <v>14353.833333333334</v>
      </c>
      <c r="F8" s="62">
        <f t="shared" si="0"/>
        <v>14353.833333333334</v>
      </c>
      <c r="G8" s="62">
        <f t="shared" si="0"/>
        <v>14353.833333333334</v>
      </c>
      <c r="H8" s="62">
        <f t="shared" si="0"/>
        <v>14353.833333333334</v>
      </c>
      <c r="I8" s="62">
        <f t="shared" si="0"/>
        <v>14353.833333333334</v>
      </c>
      <c r="J8" s="62">
        <f t="shared" si="0"/>
        <v>14353.833333333334</v>
      </c>
      <c r="K8" s="62">
        <f t="shared" si="0"/>
        <v>14353.833333333334</v>
      </c>
      <c r="L8" s="62">
        <f t="shared" si="0"/>
        <v>14353.833333333334</v>
      </c>
      <c r="M8" s="62">
        <f t="shared" si="0"/>
        <v>14353.833333333334</v>
      </c>
      <c r="N8" s="62">
        <f t="shared" si="0"/>
        <v>14353.833333333334</v>
      </c>
      <c r="O8" s="140"/>
    </row>
    <row r="9" spans="1:15" x14ac:dyDescent="0.2">
      <c r="A9" s="61" t="s">
        <v>386</v>
      </c>
      <c r="B9" s="63">
        <f>SUM(C9:N9)</f>
        <v>34716.999999999993</v>
      </c>
      <c r="C9" s="93">
        <f>SUM(34717/12)</f>
        <v>2893.0833333333335</v>
      </c>
      <c r="D9" s="93">
        <f t="shared" ref="D9:N9" si="1">SUM(34717/12)</f>
        <v>2893.0833333333335</v>
      </c>
      <c r="E9" s="93">
        <f t="shared" si="1"/>
        <v>2893.0833333333335</v>
      </c>
      <c r="F9" s="93">
        <f t="shared" si="1"/>
        <v>2893.0833333333335</v>
      </c>
      <c r="G9" s="93">
        <f t="shared" si="1"/>
        <v>2893.0833333333335</v>
      </c>
      <c r="H9" s="93">
        <f t="shared" si="1"/>
        <v>2893.0833333333335</v>
      </c>
      <c r="I9" s="93">
        <f t="shared" si="1"/>
        <v>2893.0833333333335</v>
      </c>
      <c r="J9" s="93">
        <f t="shared" si="1"/>
        <v>2893.0833333333335</v>
      </c>
      <c r="K9" s="93">
        <f t="shared" si="1"/>
        <v>2893.0833333333335</v>
      </c>
      <c r="L9" s="93">
        <f t="shared" si="1"/>
        <v>2893.0833333333335</v>
      </c>
      <c r="M9" s="93">
        <f t="shared" si="1"/>
        <v>2893.0833333333335</v>
      </c>
      <c r="N9" s="93">
        <f t="shared" si="1"/>
        <v>2893.0833333333335</v>
      </c>
    </row>
    <row r="10" spans="1:15" hidden="1" x14ac:dyDescent="0.2">
      <c r="A10" s="61" t="s">
        <v>145</v>
      </c>
      <c r="B10" s="63">
        <f t="shared" ref="B10:B44" si="2">SUM(C10:N10)</f>
        <v>0</v>
      </c>
      <c r="C10" s="62"/>
      <c r="D10" s="62"/>
      <c r="E10" s="62"/>
      <c r="F10" s="62"/>
      <c r="G10" s="62"/>
      <c r="H10" s="62"/>
      <c r="I10" s="62"/>
      <c r="J10" s="62"/>
      <c r="K10" s="62"/>
      <c r="L10" s="62"/>
      <c r="M10" s="62"/>
      <c r="N10" s="62"/>
    </row>
    <row r="11" spans="1:15" hidden="1" x14ac:dyDescent="0.2">
      <c r="A11" s="61" t="s">
        <v>145</v>
      </c>
      <c r="B11" s="63">
        <f t="shared" si="2"/>
        <v>0</v>
      </c>
      <c r="C11" s="62"/>
      <c r="D11" s="62"/>
      <c r="E11" s="62"/>
      <c r="F11" s="62"/>
      <c r="G11" s="62"/>
      <c r="H11" s="62"/>
      <c r="I11" s="62"/>
      <c r="J11" s="93"/>
      <c r="K11" s="93"/>
      <c r="L11" s="93"/>
      <c r="M11" s="93"/>
      <c r="N11" s="93"/>
    </row>
    <row r="12" spans="1:15" hidden="1" x14ac:dyDescent="0.2">
      <c r="A12" s="61" t="s">
        <v>145</v>
      </c>
      <c r="B12" s="63">
        <f t="shared" si="2"/>
        <v>0</v>
      </c>
      <c r="C12" s="62"/>
      <c r="D12" s="62"/>
      <c r="E12" s="62"/>
      <c r="F12" s="62"/>
      <c r="G12" s="62"/>
      <c r="H12" s="62"/>
      <c r="I12" s="62"/>
      <c r="J12" s="93"/>
      <c r="K12" s="93"/>
      <c r="L12" s="93"/>
      <c r="M12" s="93"/>
      <c r="N12" s="93"/>
    </row>
    <row r="13" spans="1:15" hidden="1" x14ac:dyDescent="0.2">
      <c r="A13" s="61" t="s">
        <v>145</v>
      </c>
      <c r="B13" s="63">
        <f t="shared" si="2"/>
        <v>0</v>
      </c>
      <c r="C13" s="62"/>
      <c r="D13" s="62"/>
      <c r="E13" s="62"/>
      <c r="F13" s="62"/>
      <c r="G13" s="62"/>
      <c r="H13" s="62"/>
      <c r="I13" s="62"/>
      <c r="J13" s="62"/>
      <c r="K13" s="62"/>
      <c r="L13" s="62"/>
      <c r="M13" s="62"/>
      <c r="N13" s="62"/>
    </row>
    <row r="14" spans="1:15" hidden="1" x14ac:dyDescent="0.2">
      <c r="A14" s="61" t="s">
        <v>145</v>
      </c>
      <c r="B14" s="63">
        <f t="shared" si="2"/>
        <v>0</v>
      </c>
      <c r="C14" s="62"/>
      <c r="D14" s="62"/>
      <c r="E14" s="62"/>
      <c r="F14" s="62"/>
      <c r="G14" s="62"/>
      <c r="H14" s="62"/>
      <c r="I14" s="62"/>
      <c r="J14" s="62"/>
      <c r="K14" s="62"/>
      <c r="L14" s="62"/>
      <c r="M14" s="62"/>
      <c r="N14" s="62"/>
    </row>
    <row r="15" spans="1:15" hidden="1" x14ac:dyDescent="0.2">
      <c r="A15" s="61" t="s">
        <v>145</v>
      </c>
      <c r="B15" s="63">
        <f t="shared" si="2"/>
        <v>0</v>
      </c>
      <c r="C15" s="62"/>
      <c r="D15" s="62"/>
      <c r="E15" s="62"/>
      <c r="F15" s="62"/>
      <c r="G15" s="62"/>
      <c r="H15" s="62"/>
      <c r="I15" s="62"/>
      <c r="J15" s="62"/>
      <c r="K15" s="62"/>
      <c r="L15" s="62"/>
      <c r="M15" s="62"/>
      <c r="N15" s="62"/>
    </row>
    <row r="16" spans="1:15" hidden="1" x14ac:dyDescent="0.2">
      <c r="A16" s="61" t="s">
        <v>145</v>
      </c>
      <c r="B16" s="63">
        <f t="shared" si="2"/>
        <v>0</v>
      </c>
      <c r="C16" s="62"/>
      <c r="D16" s="62"/>
      <c r="E16" s="62"/>
      <c r="F16" s="62"/>
      <c r="G16" s="62"/>
      <c r="H16" s="62"/>
      <c r="I16" s="62"/>
      <c r="J16" s="62"/>
      <c r="K16" s="62"/>
      <c r="L16" s="62"/>
      <c r="M16" s="62"/>
      <c r="N16" s="62"/>
    </row>
    <row r="17" spans="1:14" hidden="1" x14ac:dyDescent="0.2">
      <c r="A17" s="61" t="s">
        <v>145</v>
      </c>
      <c r="B17" s="63">
        <f t="shared" si="2"/>
        <v>0</v>
      </c>
      <c r="C17" s="62"/>
      <c r="D17" s="62"/>
      <c r="E17" s="62"/>
      <c r="F17" s="62"/>
      <c r="G17" s="62"/>
      <c r="H17" s="62"/>
      <c r="I17" s="62"/>
      <c r="J17" s="62"/>
      <c r="K17" s="62"/>
      <c r="L17" s="62"/>
      <c r="M17" s="62"/>
      <c r="N17" s="62"/>
    </row>
    <row r="18" spans="1:14" hidden="1" x14ac:dyDescent="0.2">
      <c r="A18" s="61" t="s">
        <v>145</v>
      </c>
      <c r="B18" s="63">
        <f t="shared" si="2"/>
        <v>0</v>
      </c>
      <c r="C18" s="62"/>
      <c r="D18" s="62"/>
      <c r="E18" s="62"/>
      <c r="F18" s="62"/>
      <c r="G18" s="62"/>
      <c r="H18" s="62"/>
      <c r="I18" s="62"/>
      <c r="J18" s="62"/>
      <c r="K18" s="62"/>
      <c r="L18" s="62"/>
      <c r="M18" s="62"/>
      <c r="N18" s="62"/>
    </row>
    <row r="19" spans="1:14" hidden="1" x14ac:dyDescent="0.2">
      <c r="A19" s="61" t="s">
        <v>145</v>
      </c>
      <c r="B19" s="63">
        <f t="shared" si="2"/>
        <v>0</v>
      </c>
      <c r="C19" s="62"/>
      <c r="D19" s="62"/>
      <c r="E19" s="62"/>
      <c r="F19" s="62"/>
      <c r="G19" s="62"/>
      <c r="H19" s="62"/>
      <c r="I19" s="62"/>
      <c r="J19" s="62"/>
      <c r="K19" s="62"/>
      <c r="L19" s="62"/>
      <c r="M19" s="62"/>
      <c r="N19" s="62"/>
    </row>
    <row r="20" spans="1:14" hidden="1" x14ac:dyDescent="0.2">
      <c r="A20" s="61" t="s">
        <v>145</v>
      </c>
      <c r="B20" s="63">
        <f t="shared" si="2"/>
        <v>0</v>
      </c>
      <c r="C20" s="62"/>
      <c r="D20" s="62"/>
      <c r="E20" s="62"/>
      <c r="F20" s="62"/>
      <c r="G20" s="62"/>
      <c r="H20" s="62"/>
      <c r="I20" s="62"/>
      <c r="J20" s="62"/>
      <c r="K20" s="62"/>
      <c r="L20" s="62"/>
      <c r="M20" s="62"/>
      <c r="N20" s="62"/>
    </row>
    <row r="21" spans="1:14" hidden="1" x14ac:dyDescent="0.2">
      <c r="A21" s="61" t="s">
        <v>145</v>
      </c>
      <c r="B21" s="63">
        <f t="shared" si="2"/>
        <v>0</v>
      </c>
      <c r="C21" s="62"/>
      <c r="D21" s="62"/>
      <c r="E21" s="62"/>
      <c r="F21" s="62"/>
      <c r="G21" s="62"/>
      <c r="H21" s="62"/>
      <c r="I21" s="62"/>
      <c r="J21" s="62"/>
      <c r="K21" s="62"/>
      <c r="L21" s="62"/>
      <c r="M21" s="62"/>
      <c r="N21" s="62"/>
    </row>
    <row r="22" spans="1:14" hidden="1" x14ac:dyDescent="0.2">
      <c r="A22" s="61" t="s">
        <v>145</v>
      </c>
      <c r="B22" s="63">
        <f t="shared" si="2"/>
        <v>0</v>
      </c>
      <c r="C22" s="62"/>
      <c r="D22" s="62"/>
      <c r="E22" s="62"/>
      <c r="F22" s="62"/>
      <c r="G22" s="62"/>
      <c r="H22" s="62"/>
      <c r="I22" s="62"/>
      <c r="J22" s="62"/>
      <c r="K22" s="62"/>
      <c r="L22" s="62"/>
      <c r="M22" s="62"/>
      <c r="N22" s="62"/>
    </row>
    <row r="23" spans="1:14" x14ac:dyDescent="0.2">
      <c r="A23" s="61" t="s">
        <v>384</v>
      </c>
      <c r="B23" s="63">
        <f t="shared" si="2"/>
        <v>12000</v>
      </c>
      <c r="C23" s="62">
        <v>12000</v>
      </c>
      <c r="D23" s="62"/>
      <c r="E23" s="62"/>
      <c r="F23" s="62"/>
      <c r="G23" s="62"/>
      <c r="H23" s="62"/>
      <c r="I23" s="62"/>
      <c r="J23" s="62"/>
      <c r="K23" s="62"/>
      <c r="L23" s="62"/>
      <c r="M23" s="62"/>
      <c r="N23" s="62"/>
    </row>
    <row r="24" spans="1:14" x14ac:dyDescent="0.2">
      <c r="A24" s="61" t="s">
        <v>385</v>
      </c>
      <c r="B24" s="63">
        <f t="shared" si="2"/>
        <v>0</v>
      </c>
      <c r="C24" s="62"/>
      <c r="D24" s="62"/>
      <c r="E24" s="62"/>
      <c r="F24" s="62"/>
      <c r="G24" s="62"/>
      <c r="H24" s="62"/>
      <c r="I24" s="62"/>
      <c r="J24" s="62"/>
      <c r="K24" s="62"/>
      <c r="L24" s="62"/>
      <c r="M24" s="62"/>
      <c r="N24" s="62"/>
    </row>
    <row r="25" spans="1:14" hidden="1" x14ac:dyDescent="0.2">
      <c r="A25" s="61" t="s">
        <v>146</v>
      </c>
      <c r="B25" s="63">
        <f t="shared" si="2"/>
        <v>0</v>
      </c>
      <c r="C25" s="62"/>
      <c r="D25" s="62"/>
      <c r="E25" s="62"/>
      <c r="F25" s="62"/>
      <c r="G25" s="62"/>
      <c r="H25" s="62"/>
      <c r="I25" s="62"/>
      <c r="J25" s="62"/>
      <c r="K25" s="62"/>
      <c r="L25" s="62"/>
      <c r="M25" s="62"/>
      <c r="N25" s="62"/>
    </row>
    <row r="26" spans="1:14" hidden="1" x14ac:dyDescent="0.2">
      <c r="A26" s="61" t="s">
        <v>146</v>
      </c>
      <c r="B26" s="63">
        <f t="shared" si="2"/>
        <v>0</v>
      </c>
      <c r="C26" s="62"/>
      <c r="D26" s="62"/>
      <c r="E26" s="62"/>
      <c r="F26" s="62"/>
      <c r="G26" s="62"/>
      <c r="H26" s="62"/>
      <c r="I26" s="62"/>
      <c r="J26" s="62"/>
      <c r="K26" s="62"/>
      <c r="L26" s="62"/>
      <c r="M26" s="62"/>
      <c r="N26" s="62"/>
    </row>
    <row r="27" spans="1:14" hidden="1" x14ac:dyDescent="0.2">
      <c r="A27" s="61" t="s">
        <v>146</v>
      </c>
      <c r="B27" s="63">
        <f t="shared" si="2"/>
        <v>0</v>
      </c>
      <c r="C27" s="62"/>
      <c r="D27" s="62"/>
      <c r="E27" s="62"/>
      <c r="F27" s="62"/>
      <c r="G27" s="62"/>
      <c r="H27" s="62"/>
      <c r="I27" s="62"/>
      <c r="J27" s="62"/>
      <c r="K27" s="62"/>
      <c r="L27" s="62"/>
      <c r="M27" s="62"/>
      <c r="N27" s="62"/>
    </row>
    <row r="28" spans="1:14" hidden="1" x14ac:dyDescent="0.2">
      <c r="A28" s="61" t="s">
        <v>146</v>
      </c>
      <c r="B28" s="63">
        <f t="shared" si="2"/>
        <v>0</v>
      </c>
      <c r="C28" s="62"/>
      <c r="D28" s="62"/>
      <c r="E28" s="62"/>
      <c r="F28" s="62"/>
      <c r="G28" s="62"/>
      <c r="H28" s="62"/>
      <c r="I28" s="62"/>
      <c r="J28" s="62"/>
      <c r="K28" s="62"/>
      <c r="L28" s="62"/>
      <c r="M28" s="62"/>
      <c r="N28" s="62"/>
    </row>
    <row r="29" spans="1:14" hidden="1" x14ac:dyDescent="0.2">
      <c r="A29" s="61" t="s">
        <v>146</v>
      </c>
      <c r="B29" s="63">
        <f t="shared" si="2"/>
        <v>0</v>
      </c>
      <c r="C29" s="62"/>
      <c r="D29" s="62"/>
      <c r="E29" s="62"/>
      <c r="F29" s="62"/>
      <c r="G29" s="62"/>
      <c r="H29" s="62"/>
      <c r="I29" s="62"/>
      <c r="J29" s="62"/>
      <c r="K29" s="62"/>
      <c r="L29" s="62"/>
      <c r="M29" s="62"/>
      <c r="N29" s="62"/>
    </row>
    <row r="30" spans="1:14" hidden="1" x14ac:dyDescent="0.2">
      <c r="A30" s="61" t="s">
        <v>146</v>
      </c>
      <c r="B30" s="63">
        <f t="shared" si="2"/>
        <v>0</v>
      </c>
      <c r="C30" s="62"/>
      <c r="D30" s="62"/>
      <c r="E30" s="62"/>
      <c r="F30" s="62"/>
      <c r="G30" s="62"/>
      <c r="H30" s="62"/>
      <c r="I30" s="62"/>
      <c r="J30" s="62"/>
      <c r="K30" s="62"/>
      <c r="L30" s="62"/>
      <c r="M30" s="62"/>
      <c r="N30" s="62"/>
    </row>
    <row r="31" spans="1:14" hidden="1" x14ac:dyDescent="0.2">
      <c r="A31" s="61" t="s">
        <v>146</v>
      </c>
      <c r="B31" s="63">
        <f t="shared" si="2"/>
        <v>0</v>
      </c>
      <c r="C31" s="62"/>
      <c r="D31" s="62"/>
      <c r="E31" s="62"/>
      <c r="F31" s="62"/>
      <c r="G31" s="62"/>
      <c r="H31" s="62"/>
      <c r="I31" s="62"/>
      <c r="J31" s="62"/>
      <c r="K31" s="62"/>
      <c r="L31" s="62"/>
      <c r="M31" s="62"/>
      <c r="N31" s="62"/>
    </row>
    <row r="32" spans="1:14" hidden="1" x14ac:dyDescent="0.2">
      <c r="A32" s="61" t="s">
        <v>146</v>
      </c>
      <c r="B32" s="63">
        <f t="shared" si="2"/>
        <v>0</v>
      </c>
      <c r="C32" s="62"/>
      <c r="D32" s="62"/>
      <c r="E32" s="62"/>
      <c r="F32" s="62"/>
      <c r="G32" s="62"/>
      <c r="H32" s="62"/>
      <c r="I32" s="62"/>
      <c r="J32" s="62"/>
      <c r="K32" s="62"/>
      <c r="L32" s="62"/>
      <c r="M32" s="62"/>
      <c r="N32" s="62"/>
    </row>
    <row r="33" spans="1:14" hidden="1" x14ac:dyDescent="0.2">
      <c r="A33" s="61" t="s">
        <v>146</v>
      </c>
      <c r="B33" s="63">
        <f t="shared" si="2"/>
        <v>0</v>
      </c>
      <c r="C33" s="62"/>
      <c r="D33" s="62"/>
      <c r="E33" s="62"/>
      <c r="F33" s="62"/>
      <c r="G33" s="62"/>
      <c r="H33" s="62"/>
      <c r="I33" s="62"/>
      <c r="J33" s="62"/>
      <c r="K33" s="62"/>
      <c r="L33" s="62"/>
      <c r="M33" s="62"/>
      <c r="N33" s="62"/>
    </row>
    <row r="34" spans="1:14" hidden="1" x14ac:dyDescent="0.2">
      <c r="A34" s="61" t="s">
        <v>146</v>
      </c>
      <c r="B34" s="63">
        <f t="shared" si="2"/>
        <v>0</v>
      </c>
      <c r="C34" s="62"/>
      <c r="D34" s="62"/>
      <c r="E34" s="62"/>
      <c r="F34" s="62"/>
      <c r="G34" s="62"/>
      <c r="H34" s="62"/>
      <c r="I34" s="62"/>
      <c r="J34" s="62"/>
      <c r="K34" s="62"/>
      <c r="L34" s="62"/>
      <c r="M34" s="62"/>
      <c r="N34" s="62"/>
    </row>
    <row r="35" spans="1:14" hidden="1" x14ac:dyDescent="0.2">
      <c r="A35" s="61" t="s">
        <v>146</v>
      </c>
      <c r="B35" s="63">
        <f t="shared" si="2"/>
        <v>0</v>
      </c>
      <c r="C35" s="62"/>
      <c r="D35" s="62"/>
      <c r="E35" s="62"/>
      <c r="F35" s="62"/>
      <c r="G35" s="62"/>
      <c r="H35" s="62"/>
      <c r="I35" s="62"/>
      <c r="J35" s="62"/>
      <c r="K35" s="62"/>
      <c r="L35" s="62"/>
      <c r="M35" s="62"/>
      <c r="N35" s="62"/>
    </row>
    <row r="36" spans="1:14" hidden="1" x14ac:dyDescent="0.2">
      <c r="A36" s="61" t="s">
        <v>146</v>
      </c>
      <c r="B36" s="63">
        <f t="shared" si="2"/>
        <v>0</v>
      </c>
      <c r="C36" s="62"/>
      <c r="D36" s="62"/>
      <c r="E36" s="62"/>
      <c r="F36" s="62"/>
      <c r="G36" s="62"/>
      <c r="H36" s="62"/>
      <c r="I36" s="62"/>
      <c r="J36" s="62"/>
      <c r="K36" s="62"/>
      <c r="L36" s="62"/>
      <c r="M36" s="62"/>
      <c r="N36" s="62"/>
    </row>
    <row r="37" spans="1:14" hidden="1" x14ac:dyDescent="0.2">
      <c r="A37" s="61" t="s">
        <v>146</v>
      </c>
      <c r="B37" s="63">
        <f t="shared" si="2"/>
        <v>0</v>
      </c>
      <c r="C37" s="62"/>
      <c r="D37" s="62"/>
      <c r="E37" s="62"/>
      <c r="F37" s="62"/>
      <c r="G37" s="62"/>
      <c r="H37" s="62"/>
      <c r="I37" s="62"/>
      <c r="J37" s="62"/>
      <c r="K37" s="62"/>
      <c r="L37" s="62"/>
      <c r="M37" s="62"/>
      <c r="N37" s="62"/>
    </row>
    <row r="38" spans="1:14" hidden="1" x14ac:dyDescent="0.2">
      <c r="A38" s="61" t="s">
        <v>146</v>
      </c>
      <c r="B38" s="63">
        <f t="shared" si="2"/>
        <v>0</v>
      </c>
      <c r="C38" s="62"/>
      <c r="D38" s="62"/>
      <c r="E38" s="62"/>
      <c r="F38" s="62"/>
      <c r="G38" s="62"/>
      <c r="H38" s="62"/>
      <c r="I38" s="62"/>
      <c r="J38" s="62"/>
      <c r="K38" s="62"/>
      <c r="L38" s="62"/>
      <c r="M38" s="62"/>
      <c r="N38" s="62"/>
    </row>
    <row r="39" spans="1:14" x14ac:dyDescent="0.2">
      <c r="A39" s="61" t="s">
        <v>16</v>
      </c>
      <c r="B39" s="63">
        <f t="shared" si="2"/>
        <v>0</v>
      </c>
      <c r="C39" s="62"/>
      <c r="D39" s="62"/>
      <c r="E39" s="62"/>
      <c r="F39" s="62"/>
      <c r="G39" s="62"/>
      <c r="H39" s="62"/>
      <c r="I39" s="62"/>
      <c r="J39" s="62"/>
      <c r="K39" s="62"/>
      <c r="L39" s="62"/>
      <c r="M39" s="62"/>
      <c r="N39" s="62"/>
    </row>
    <row r="40" spans="1:14" x14ac:dyDescent="0.2">
      <c r="A40" s="61" t="s">
        <v>17</v>
      </c>
      <c r="B40" s="63">
        <f t="shared" si="2"/>
        <v>0</v>
      </c>
      <c r="C40" s="62"/>
      <c r="D40" s="62"/>
      <c r="E40" s="62"/>
      <c r="F40" s="62"/>
      <c r="G40" s="62"/>
      <c r="H40" s="62"/>
      <c r="I40" s="62"/>
      <c r="J40" s="62"/>
      <c r="K40" s="62"/>
      <c r="L40" s="62"/>
      <c r="M40" s="62"/>
      <c r="N40" s="62"/>
    </row>
    <row r="41" spans="1:14" x14ac:dyDescent="0.2">
      <c r="A41" s="61" t="s">
        <v>147</v>
      </c>
      <c r="B41" s="63">
        <f t="shared" si="2"/>
        <v>1200</v>
      </c>
      <c r="C41" s="62">
        <v>100</v>
      </c>
      <c r="D41" s="62">
        <v>100</v>
      </c>
      <c r="E41" s="62">
        <v>100</v>
      </c>
      <c r="F41" s="62">
        <v>100</v>
      </c>
      <c r="G41" s="62">
        <v>100</v>
      </c>
      <c r="H41" s="62">
        <v>100</v>
      </c>
      <c r="I41" s="62">
        <v>100</v>
      </c>
      <c r="J41" s="62">
        <v>100</v>
      </c>
      <c r="K41" s="62">
        <v>100</v>
      </c>
      <c r="L41" s="62">
        <v>100</v>
      </c>
      <c r="M41" s="62">
        <v>100</v>
      </c>
      <c r="N41" s="62">
        <v>100</v>
      </c>
    </row>
    <row r="42" spans="1:14" x14ac:dyDescent="0.2">
      <c r="A42" s="61" t="s">
        <v>148</v>
      </c>
      <c r="B42" s="63">
        <f t="shared" si="2"/>
        <v>2000.0000000000002</v>
      </c>
      <c r="C42" s="62">
        <f>SUM(2000/12)</f>
        <v>166.66666666666666</v>
      </c>
      <c r="D42" s="62">
        <f t="shared" ref="D42:N42" si="3">SUM(2000/12)</f>
        <v>166.66666666666666</v>
      </c>
      <c r="E42" s="62">
        <f t="shared" si="3"/>
        <v>166.66666666666666</v>
      </c>
      <c r="F42" s="62">
        <f t="shared" si="3"/>
        <v>166.66666666666666</v>
      </c>
      <c r="G42" s="62">
        <f t="shared" si="3"/>
        <v>166.66666666666666</v>
      </c>
      <c r="H42" s="62">
        <f t="shared" si="3"/>
        <v>166.66666666666666</v>
      </c>
      <c r="I42" s="62">
        <f t="shared" si="3"/>
        <v>166.66666666666666</v>
      </c>
      <c r="J42" s="62">
        <f t="shared" si="3"/>
        <v>166.66666666666666</v>
      </c>
      <c r="K42" s="62">
        <f t="shared" si="3"/>
        <v>166.66666666666666</v>
      </c>
      <c r="L42" s="62">
        <f t="shared" si="3"/>
        <v>166.66666666666666</v>
      </c>
      <c r="M42" s="62">
        <f t="shared" si="3"/>
        <v>166.66666666666666</v>
      </c>
      <c r="N42" s="62">
        <f t="shared" si="3"/>
        <v>166.66666666666666</v>
      </c>
    </row>
    <row r="43" spans="1:14" x14ac:dyDescent="0.2">
      <c r="A43" s="61" t="s">
        <v>149</v>
      </c>
      <c r="B43" s="63">
        <f t="shared" si="2"/>
        <v>0</v>
      </c>
      <c r="C43" s="62"/>
      <c r="D43" s="62"/>
      <c r="E43" s="62"/>
      <c r="F43" s="62"/>
      <c r="G43" s="62"/>
      <c r="H43" s="62"/>
      <c r="I43" s="62"/>
      <c r="J43" s="62"/>
      <c r="K43" s="62"/>
      <c r="L43" s="62"/>
      <c r="M43" s="62"/>
      <c r="N43" s="62"/>
    </row>
    <row r="44" spans="1:14" x14ac:dyDescent="0.2">
      <c r="A44" s="61" t="s">
        <v>150</v>
      </c>
      <c r="B44" s="63">
        <f t="shared" si="2"/>
        <v>0</v>
      </c>
      <c r="C44" s="62"/>
      <c r="D44" s="62"/>
      <c r="E44" s="62"/>
      <c r="F44" s="62"/>
      <c r="G44" s="62"/>
      <c r="H44" s="62"/>
      <c r="I44" s="62"/>
      <c r="J44" s="62"/>
      <c r="K44" s="62"/>
      <c r="L44" s="62"/>
      <c r="M44" s="62"/>
      <c r="N44" s="62"/>
    </row>
    <row r="45" spans="1:14" ht="13.5" thickBot="1" x14ac:dyDescent="0.25">
      <c r="A45" s="61" t="s">
        <v>18</v>
      </c>
      <c r="B45" s="63">
        <f>SUM(C45:N45)</f>
        <v>0</v>
      </c>
      <c r="C45" s="62"/>
      <c r="D45" s="62"/>
      <c r="E45" s="62"/>
      <c r="F45" s="62"/>
      <c r="G45" s="62"/>
      <c r="H45" s="62"/>
      <c r="I45" s="62"/>
      <c r="J45" s="62"/>
      <c r="K45" s="62"/>
      <c r="L45" s="62"/>
      <c r="M45" s="62"/>
      <c r="N45" s="62"/>
    </row>
    <row r="46" spans="1:14" x14ac:dyDescent="0.2">
      <c r="A46" s="64" t="s">
        <v>151</v>
      </c>
      <c r="B46" s="65">
        <f t="shared" ref="B46:N46" si="4">SUM(B8:B45)</f>
        <v>222163</v>
      </c>
      <c r="C46" s="65">
        <f t="shared" si="4"/>
        <v>29513.583333333336</v>
      </c>
      <c r="D46" s="65">
        <f t="shared" si="4"/>
        <v>17513.583333333336</v>
      </c>
      <c r="E46" s="65">
        <f t="shared" si="4"/>
        <v>17513.583333333336</v>
      </c>
      <c r="F46" s="65">
        <f t="shared" si="4"/>
        <v>17513.583333333336</v>
      </c>
      <c r="G46" s="65">
        <f t="shared" si="4"/>
        <v>17513.583333333336</v>
      </c>
      <c r="H46" s="65">
        <f t="shared" si="4"/>
        <v>17513.583333333336</v>
      </c>
      <c r="I46" s="65">
        <f t="shared" si="4"/>
        <v>17513.583333333336</v>
      </c>
      <c r="J46" s="65">
        <f t="shared" si="4"/>
        <v>17513.583333333336</v>
      </c>
      <c r="K46" s="65">
        <f t="shared" si="4"/>
        <v>17513.583333333336</v>
      </c>
      <c r="L46" s="65">
        <f t="shared" si="4"/>
        <v>17513.583333333336</v>
      </c>
      <c r="M46" s="65">
        <f t="shared" si="4"/>
        <v>17513.583333333336</v>
      </c>
      <c r="N46" s="65">
        <f t="shared" si="4"/>
        <v>17513.583333333336</v>
      </c>
    </row>
    <row r="47" spans="1:14" x14ac:dyDescent="0.2">
      <c r="C47" s="60"/>
      <c r="D47" s="66"/>
      <c r="E47" s="66"/>
      <c r="F47" s="66"/>
      <c r="G47" s="66"/>
      <c r="H47" s="66"/>
      <c r="I47" s="66"/>
      <c r="J47" s="66"/>
      <c r="K47" s="66"/>
      <c r="L47" s="66"/>
      <c r="M47" s="66"/>
      <c r="N47" s="66"/>
    </row>
    <row r="48" spans="1:14" x14ac:dyDescent="0.2">
      <c r="A48" s="58"/>
      <c r="C48" s="60"/>
      <c r="D48" s="100"/>
      <c r="E48" s="100"/>
      <c r="F48" s="100"/>
      <c r="G48" s="100"/>
      <c r="H48" s="100"/>
      <c r="I48" s="100"/>
      <c r="J48" s="100"/>
      <c r="K48" s="100"/>
      <c r="L48" s="100"/>
      <c r="M48" s="100"/>
      <c r="N48" s="100"/>
    </row>
    <row r="49" spans="1:15" x14ac:dyDescent="0.2">
      <c r="A49" s="58" t="s">
        <v>152</v>
      </c>
      <c r="B49" s="85"/>
      <c r="C49" s="85"/>
      <c r="D49" s="85"/>
      <c r="E49" s="85"/>
      <c r="F49" s="85"/>
      <c r="G49" s="85"/>
      <c r="H49" s="85"/>
      <c r="I49" s="85"/>
      <c r="J49" s="85"/>
      <c r="K49" s="85"/>
      <c r="L49" s="85"/>
      <c r="M49" s="85"/>
      <c r="N49" s="85"/>
    </row>
    <row r="50" spans="1:15" x14ac:dyDescent="0.2">
      <c r="A50" s="61" t="s">
        <v>153</v>
      </c>
      <c r="B50" s="63">
        <f>SUM(C50:N50)</f>
        <v>160246.34279999998</v>
      </c>
      <c r="C50" s="62">
        <f>SUM(C236)</f>
        <v>13353.861900000002</v>
      </c>
      <c r="D50" s="62">
        <f t="shared" ref="D50:N52" si="5">SUM(D236)</f>
        <v>13353.861900000002</v>
      </c>
      <c r="E50" s="62">
        <f t="shared" si="5"/>
        <v>13353.861900000002</v>
      </c>
      <c r="F50" s="62">
        <f t="shared" si="5"/>
        <v>13353.861900000002</v>
      </c>
      <c r="G50" s="62">
        <f t="shared" si="5"/>
        <v>13353.861900000002</v>
      </c>
      <c r="H50" s="62">
        <f t="shared" si="5"/>
        <v>13353.861900000002</v>
      </c>
      <c r="I50" s="62">
        <f t="shared" si="5"/>
        <v>13353.861900000002</v>
      </c>
      <c r="J50" s="62">
        <f t="shared" si="5"/>
        <v>13353.861900000002</v>
      </c>
      <c r="K50" s="62">
        <f t="shared" si="5"/>
        <v>13353.861900000002</v>
      </c>
      <c r="L50" s="62">
        <f t="shared" si="5"/>
        <v>13353.861900000002</v>
      </c>
      <c r="M50" s="62">
        <f t="shared" si="5"/>
        <v>13353.861900000002</v>
      </c>
      <c r="N50" s="62">
        <f t="shared" si="5"/>
        <v>13353.861900000002</v>
      </c>
    </row>
    <row r="51" spans="1:15" x14ac:dyDescent="0.2">
      <c r="A51" s="61" t="s">
        <v>22</v>
      </c>
      <c r="B51" s="63">
        <f>SUM(C51:N51)</f>
        <v>14381.530982999999</v>
      </c>
      <c r="C51" s="62">
        <f>SUM(C237)</f>
        <v>1198.46091525</v>
      </c>
      <c r="D51" s="62">
        <f t="shared" si="5"/>
        <v>1198.46091525</v>
      </c>
      <c r="E51" s="62">
        <f t="shared" si="5"/>
        <v>1198.46091525</v>
      </c>
      <c r="F51" s="62">
        <f t="shared" si="5"/>
        <v>1198.46091525</v>
      </c>
      <c r="G51" s="62">
        <f t="shared" si="5"/>
        <v>1198.46091525</v>
      </c>
      <c r="H51" s="62">
        <f t="shared" si="5"/>
        <v>1198.46091525</v>
      </c>
      <c r="I51" s="62">
        <f t="shared" si="5"/>
        <v>1198.46091525</v>
      </c>
      <c r="J51" s="62">
        <f t="shared" si="5"/>
        <v>1198.46091525</v>
      </c>
      <c r="K51" s="62">
        <f t="shared" si="5"/>
        <v>1198.46091525</v>
      </c>
      <c r="L51" s="62">
        <f t="shared" si="5"/>
        <v>1198.46091525</v>
      </c>
      <c r="M51" s="62">
        <f t="shared" si="5"/>
        <v>1198.46091525</v>
      </c>
      <c r="N51" s="62">
        <f t="shared" si="5"/>
        <v>1198.46091525</v>
      </c>
    </row>
    <row r="52" spans="1:15" s="101" customFormat="1" ht="13.5" thickBot="1" x14ac:dyDescent="0.25">
      <c r="A52" s="90" t="s">
        <v>23</v>
      </c>
      <c r="B52" s="63">
        <f>SUM(C52:N52)</f>
        <v>11222.534579172412</v>
      </c>
      <c r="C52" s="62">
        <f>SUM(C238)</f>
        <v>935.21121493103453</v>
      </c>
      <c r="D52" s="62">
        <f t="shared" si="5"/>
        <v>935.21121493103453</v>
      </c>
      <c r="E52" s="62">
        <f t="shared" si="5"/>
        <v>935.21121493103453</v>
      </c>
      <c r="F52" s="62">
        <f t="shared" si="5"/>
        <v>935.21121493103453</v>
      </c>
      <c r="G52" s="62">
        <f t="shared" si="5"/>
        <v>935.21121493103453</v>
      </c>
      <c r="H52" s="62">
        <f t="shared" si="5"/>
        <v>935.21121493103453</v>
      </c>
      <c r="I52" s="62">
        <f t="shared" si="5"/>
        <v>935.21121493103453</v>
      </c>
      <c r="J52" s="62">
        <f t="shared" si="5"/>
        <v>935.21121493103453</v>
      </c>
      <c r="K52" s="62">
        <f t="shared" si="5"/>
        <v>935.21121493103453</v>
      </c>
      <c r="L52" s="62">
        <f t="shared" si="5"/>
        <v>935.21121493103453</v>
      </c>
      <c r="M52" s="62">
        <f t="shared" si="5"/>
        <v>935.21121493103453</v>
      </c>
      <c r="N52" s="62">
        <f t="shared" si="5"/>
        <v>935.21121493103453</v>
      </c>
    </row>
    <row r="53" spans="1:15" x14ac:dyDescent="0.2">
      <c r="A53" s="64" t="s">
        <v>154</v>
      </c>
      <c r="B53" s="65">
        <f>SUM(B50:B52)</f>
        <v>185850.4083621724</v>
      </c>
      <c r="C53" s="65">
        <f t="shared" ref="C53:N53" si="6">SUM(C50:C52)</f>
        <v>15487.534030181036</v>
      </c>
      <c r="D53" s="65">
        <f t="shared" si="6"/>
        <v>15487.534030181036</v>
      </c>
      <c r="E53" s="65">
        <f t="shared" si="6"/>
        <v>15487.534030181036</v>
      </c>
      <c r="F53" s="65">
        <f t="shared" si="6"/>
        <v>15487.534030181036</v>
      </c>
      <c r="G53" s="65">
        <f t="shared" si="6"/>
        <v>15487.534030181036</v>
      </c>
      <c r="H53" s="65">
        <f t="shared" si="6"/>
        <v>15487.534030181036</v>
      </c>
      <c r="I53" s="65">
        <f t="shared" si="6"/>
        <v>15487.534030181036</v>
      </c>
      <c r="J53" s="65">
        <f t="shared" si="6"/>
        <v>15487.534030181036</v>
      </c>
      <c r="K53" s="65">
        <f t="shared" si="6"/>
        <v>15487.534030181036</v>
      </c>
      <c r="L53" s="65">
        <f t="shared" si="6"/>
        <v>15487.534030181036</v>
      </c>
      <c r="M53" s="65">
        <f t="shared" si="6"/>
        <v>15487.534030181036</v>
      </c>
      <c r="N53" s="65">
        <f t="shared" si="6"/>
        <v>15487.534030181036</v>
      </c>
      <c r="O53" s="140"/>
    </row>
    <row r="54" spans="1:15" x14ac:dyDescent="0.2">
      <c r="C54" s="60"/>
      <c r="D54" s="66"/>
      <c r="E54" s="66"/>
      <c r="F54" s="66"/>
      <c r="G54" s="66"/>
      <c r="H54" s="66"/>
      <c r="I54" s="66"/>
      <c r="J54" s="66"/>
      <c r="K54" s="66"/>
      <c r="L54" s="66"/>
      <c r="M54" s="66"/>
      <c r="N54" s="66"/>
    </row>
    <row r="55" spans="1:15" x14ac:dyDescent="0.2">
      <c r="C55" s="60"/>
      <c r="D55" s="66"/>
      <c r="E55" s="66"/>
      <c r="F55" s="66"/>
      <c r="G55" s="66"/>
      <c r="H55" s="66"/>
      <c r="I55" s="66"/>
      <c r="J55" s="66"/>
      <c r="K55" s="66"/>
      <c r="L55" s="66"/>
      <c r="M55" s="66"/>
      <c r="N55" s="66"/>
    </row>
    <row r="56" spans="1:15" x14ac:dyDescent="0.2">
      <c r="A56" s="58" t="s">
        <v>155</v>
      </c>
      <c r="C56" s="60"/>
      <c r="D56" s="66"/>
      <c r="E56" s="66"/>
      <c r="F56" s="66"/>
      <c r="G56" s="66"/>
      <c r="H56" s="66"/>
      <c r="I56" s="66"/>
      <c r="J56" s="66"/>
      <c r="K56" s="66"/>
      <c r="L56" s="66"/>
      <c r="M56" s="66"/>
      <c r="N56" s="66"/>
    </row>
    <row r="57" spans="1:15" x14ac:dyDescent="0.2">
      <c r="A57" s="61" t="str">
        <f>CMS!A57</f>
        <v>Training</v>
      </c>
      <c r="B57" s="63">
        <f>SUM(C57:N57)</f>
        <v>1999.6666666666663</v>
      </c>
      <c r="C57" s="62">
        <f>SUM(1000/12)</f>
        <v>83.333333333333329</v>
      </c>
      <c r="D57" s="62">
        <f t="shared" ref="D57:N57" si="7">SUM(1000/12)</f>
        <v>83.333333333333329</v>
      </c>
      <c r="E57" s="62">
        <f t="shared" si="7"/>
        <v>83.333333333333329</v>
      </c>
      <c r="F57" s="62">
        <f t="shared" si="7"/>
        <v>83.333333333333329</v>
      </c>
      <c r="G57" s="62">
        <f t="shared" si="7"/>
        <v>83.333333333333329</v>
      </c>
      <c r="H57" s="62">
        <f t="shared" si="7"/>
        <v>83.333333333333329</v>
      </c>
      <c r="I57" s="62">
        <f t="shared" si="7"/>
        <v>83.333333333333329</v>
      </c>
      <c r="J57" s="62">
        <f>SUM(1000/12)+400</f>
        <v>483.33333333333331</v>
      </c>
      <c r="K57" s="62">
        <v>683</v>
      </c>
      <c r="L57" s="62">
        <f t="shared" si="7"/>
        <v>83.333333333333329</v>
      </c>
      <c r="M57" s="62">
        <f t="shared" si="7"/>
        <v>83.333333333333329</v>
      </c>
      <c r="N57" s="62">
        <f t="shared" si="7"/>
        <v>83.333333333333329</v>
      </c>
    </row>
    <row r="58" spans="1:15" x14ac:dyDescent="0.2">
      <c r="A58" s="61" t="str">
        <f>CMS!A58</f>
        <v>Travel</v>
      </c>
      <c r="B58" s="419">
        <f>SUM(C58:N58)</f>
        <v>2100</v>
      </c>
      <c r="C58" s="62">
        <v>175</v>
      </c>
      <c r="D58" s="62">
        <v>175</v>
      </c>
      <c r="E58" s="62">
        <v>175</v>
      </c>
      <c r="F58" s="62">
        <v>175</v>
      </c>
      <c r="G58" s="62">
        <v>175</v>
      </c>
      <c r="H58" s="62">
        <v>175</v>
      </c>
      <c r="I58" s="62">
        <v>175</v>
      </c>
      <c r="J58" s="62">
        <v>175</v>
      </c>
      <c r="K58" s="62">
        <v>175</v>
      </c>
      <c r="L58" s="62">
        <v>175</v>
      </c>
      <c r="M58" s="62">
        <v>175</v>
      </c>
      <c r="N58" s="62">
        <v>175</v>
      </c>
    </row>
    <row r="59" spans="1:15" x14ac:dyDescent="0.2">
      <c r="A59" s="61" t="str">
        <f>CMS!A59</f>
        <v>Recognition</v>
      </c>
      <c r="B59" s="63">
        <f>SUM(C59:N59)</f>
        <v>0</v>
      </c>
      <c r="C59" s="62"/>
      <c r="D59" s="62"/>
      <c r="E59" s="62"/>
      <c r="F59" s="62"/>
      <c r="G59" s="62"/>
      <c r="H59" s="62"/>
      <c r="I59" s="62"/>
      <c r="J59" s="62"/>
      <c r="K59" s="62"/>
      <c r="L59" s="62"/>
      <c r="M59" s="62"/>
      <c r="N59" s="62"/>
    </row>
    <row r="60" spans="1:15" x14ac:dyDescent="0.2">
      <c r="A60" s="61" t="str">
        <f>CMS!A60</f>
        <v>Communications</v>
      </c>
      <c r="B60" s="63">
        <f t="shared" ref="B60:B82" si="8">SUM(C60:N60)</f>
        <v>1500</v>
      </c>
      <c r="C60" s="62">
        <f>SUM(1500/12)</f>
        <v>125</v>
      </c>
      <c r="D60" s="62">
        <f t="shared" ref="D60:N60" si="9">SUM(1500/12)</f>
        <v>125</v>
      </c>
      <c r="E60" s="62">
        <f t="shared" si="9"/>
        <v>125</v>
      </c>
      <c r="F60" s="62">
        <f t="shared" si="9"/>
        <v>125</v>
      </c>
      <c r="G60" s="62">
        <f t="shared" si="9"/>
        <v>125</v>
      </c>
      <c r="H60" s="62">
        <f t="shared" si="9"/>
        <v>125</v>
      </c>
      <c r="I60" s="62">
        <f t="shared" si="9"/>
        <v>125</v>
      </c>
      <c r="J60" s="62">
        <f t="shared" si="9"/>
        <v>125</v>
      </c>
      <c r="K60" s="62">
        <f t="shared" si="9"/>
        <v>125</v>
      </c>
      <c r="L60" s="62">
        <f t="shared" si="9"/>
        <v>125</v>
      </c>
      <c r="M60" s="62">
        <f t="shared" si="9"/>
        <v>125</v>
      </c>
      <c r="N60" s="62">
        <f t="shared" si="9"/>
        <v>125</v>
      </c>
    </row>
    <row r="61" spans="1:15" x14ac:dyDescent="0.2">
      <c r="A61" s="61" t="str">
        <f>CMS!A61</f>
        <v>Dues &amp; Subscriptions</v>
      </c>
      <c r="B61" s="63">
        <f t="shared" si="8"/>
        <v>50</v>
      </c>
      <c r="C61" s="62"/>
      <c r="D61" s="62"/>
      <c r="E61" s="62"/>
      <c r="F61" s="62"/>
      <c r="G61" s="62">
        <v>50</v>
      </c>
      <c r="H61" s="62"/>
      <c r="I61" s="62"/>
      <c r="J61" s="62"/>
      <c r="K61" s="62"/>
      <c r="L61" s="62"/>
      <c r="M61" s="62"/>
      <c r="N61" s="62"/>
    </row>
    <row r="62" spans="1:15" x14ac:dyDescent="0.2">
      <c r="A62" s="61" t="str">
        <f>CMS!A62</f>
        <v>Liability Insurance</v>
      </c>
      <c r="B62" s="63">
        <f t="shared" si="8"/>
        <v>3101.131350763349</v>
      </c>
      <c r="C62" s="62">
        <f>SUM('Data Links'!$B$5/'All Employees'!$I$65)/12*C102</f>
        <v>258.4276125636124</v>
      </c>
      <c r="D62" s="62">
        <f>SUM('Data Links'!$B$5/'All Employees'!$I$65)/12*D102</f>
        <v>258.4276125636124</v>
      </c>
      <c r="E62" s="62">
        <f>SUM('Data Links'!$B$5/'All Employees'!$I$65)/12*E102</f>
        <v>258.4276125636124</v>
      </c>
      <c r="F62" s="62">
        <f>SUM('Data Links'!$B$5/'All Employees'!$I$65)/12*F102</f>
        <v>258.4276125636124</v>
      </c>
      <c r="G62" s="62">
        <f>SUM('Data Links'!$B$5/'All Employees'!$I$65)/12*G102</f>
        <v>258.4276125636124</v>
      </c>
      <c r="H62" s="62">
        <f>SUM('Data Links'!$B$5/'All Employees'!$I$65)/12*H102</f>
        <v>258.4276125636124</v>
      </c>
      <c r="I62" s="62">
        <f>SUM('Data Links'!$B$5/'All Employees'!$I$65)/12*I102</f>
        <v>258.4276125636124</v>
      </c>
      <c r="J62" s="62">
        <f>SUM('Data Links'!$B$5/'All Employees'!$I$65)/12*J102</f>
        <v>258.4276125636124</v>
      </c>
      <c r="K62" s="62">
        <f>SUM('Data Links'!$B$5/'All Employees'!$I$65)/12*K102</f>
        <v>258.4276125636124</v>
      </c>
      <c r="L62" s="62">
        <f>SUM('Data Links'!$B$5/'All Employees'!$I$65)/12*L102</f>
        <v>258.4276125636124</v>
      </c>
      <c r="M62" s="62">
        <f>SUM('Data Links'!$B$5/'All Employees'!$I$65)/12*M102</f>
        <v>258.4276125636124</v>
      </c>
      <c r="N62" s="62">
        <f>SUM('Data Links'!$B$5/'All Employees'!$I$65)/12*N102</f>
        <v>258.4276125636124</v>
      </c>
    </row>
    <row r="63" spans="1:15" x14ac:dyDescent="0.2">
      <c r="A63" s="61" t="str">
        <f>CMS!A63</f>
        <v>Professional Services</v>
      </c>
      <c r="B63" s="63">
        <f t="shared" si="8"/>
        <v>0</v>
      </c>
      <c r="C63" s="62"/>
      <c r="D63" s="62"/>
      <c r="E63" s="62"/>
      <c r="F63" s="62"/>
      <c r="G63" s="62"/>
      <c r="H63" s="62"/>
      <c r="I63" s="62"/>
      <c r="J63" s="62"/>
      <c r="K63" s="62"/>
      <c r="L63" s="62"/>
      <c r="M63" s="62"/>
      <c r="N63" s="62"/>
    </row>
    <row r="64" spans="1:15" x14ac:dyDescent="0.2">
      <c r="A64" s="61" t="str">
        <f>CMS!A64</f>
        <v>Legal Fees</v>
      </c>
      <c r="B64" s="63">
        <f t="shared" si="8"/>
        <v>0</v>
      </c>
      <c r="C64" s="62"/>
      <c r="D64" s="62"/>
      <c r="E64" s="62"/>
      <c r="F64" s="62"/>
      <c r="G64" s="62"/>
      <c r="H64" s="62"/>
      <c r="I64" s="62"/>
      <c r="J64" s="62"/>
      <c r="K64" s="62"/>
      <c r="L64" s="62"/>
      <c r="M64" s="62"/>
      <c r="N64" s="62"/>
    </row>
    <row r="65" spans="1:14" x14ac:dyDescent="0.2">
      <c r="A65" s="61" t="str">
        <f>CMS!A65</f>
        <v>Technical Services</v>
      </c>
      <c r="B65" s="63">
        <f t="shared" si="8"/>
        <v>0</v>
      </c>
      <c r="C65" s="62"/>
      <c r="D65" s="62"/>
      <c r="E65" s="62"/>
      <c r="F65" s="62"/>
      <c r="G65" s="62"/>
      <c r="H65" s="62"/>
      <c r="I65" s="62"/>
      <c r="J65" s="62"/>
      <c r="K65" s="62"/>
      <c r="L65" s="62"/>
      <c r="M65" s="62"/>
      <c r="N65" s="62"/>
    </row>
    <row r="66" spans="1:14" x14ac:dyDescent="0.2">
      <c r="A66" s="61" t="str">
        <f>CMS!A66</f>
        <v>Taxes/Licenses &amp; Permits</v>
      </c>
      <c r="B66" s="63">
        <f t="shared" si="8"/>
        <v>0</v>
      </c>
      <c r="C66" s="62"/>
      <c r="D66" s="62"/>
      <c r="E66" s="62"/>
      <c r="F66" s="62"/>
      <c r="G66" s="62"/>
      <c r="H66" s="62"/>
      <c r="I66" s="62"/>
      <c r="J66" s="62"/>
      <c r="K66" s="62"/>
      <c r="L66" s="62"/>
      <c r="M66" s="62"/>
      <c r="N66" s="62"/>
    </row>
    <row r="67" spans="1:14" x14ac:dyDescent="0.2">
      <c r="A67" s="61" t="str">
        <f>CMS!A67</f>
        <v>Small Tools &amp; Equip</v>
      </c>
      <c r="B67" s="63">
        <f t="shared" si="8"/>
        <v>300</v>
      </c>
      <c r="C67" s="62">
        <f>SUM(300/12)</f>
        <v>25</v>
      </c>
      <c r="D67" s="62">
        <f t="shared" ref="D67:N67" si="10">SUM(300/12)</f>
        <v>25</v>
      </c>
      <c r="E67" s="62">
        <f t="shared" si="10"/>
        <v>25</v>
      </c>
      <c r="F67" s="62">
        <f t="shared" si="10"/>
        <v>25</v>
      </c>
      <c r="G67" s="62">
        <f t="shared" si="10"/>
        <v>25</v>
      </c>
      <c r="H67" s="62">
        <f t="shared" si="10"/>
        <v>25</v>
      </c>
      <c r="I67" s="62">
        <f t="shared" si="10"/>
        <v>25</v>
      </c>
      <c r="J67" s="62">
        <f t="shared" si="10"/>
        <v>25</v>
      </c>
      <c r="K67" s="62">
        <f t="shared" si="10"/>
        <v>25</v>
      </c>
      <c r="L67" s="62">
        <f t="shared" si="10"/>
        <v>25</v>
      </c>
      <c r="M67" s="62">
        <f t="shared" si="10"/>
        <v>25</v>
      </c>
      <c r="N67" s="62">
        <f t="shared" si="10"/>
        <v>25</v>
      </c>
    </row>
    <row r="68" spans="1:14" x14ac:dyDescent="0.2">
      <c r="A68" s="61" t="str">
        <f>CMS!A68</f>
        <v>Office Supplies</v>
      </c>
      <c r="B68" s="63">
        <f t="shared" si="8"/>
        <v>2000.0000000000002</v>
      </c>
      <c r="C68" s="62">
        <f>SUM(2000/12)</f>
        <v>166.66666666666666</v>
      </c>
      <c r="D68" s="62">
        <f t="shared" ref="D68:N68" si="11">SUM(2000/12)</f>
        <v>166.66666666666666</v>
      </c>
      <c r="E68" s="62">
        <f t="shared" si="11"/>
        <v>166.66666666666666</v>
      </c>
      <c r="F68" s="62">
        <f t="shared" si="11"/>
        <v>166.66666666666666</v>
      </c>
      <c r="G68" s="62">
        <f t="shared" si="11"/>
        <v>166.66666666666666</v>
      </c>
      <c r="H68" s="62">
        <f t="shared" si="11"/>
        <v>166.66666666666666</v>
      </c>
      <c r="I68" s="62">
        <f t="shared" si="11"/>
        <v>166.66666666666666</v>
      </c>
      <c r="J68" s="62">
        <f t="shared" si="11"/>
        <v>166.66666666666666</v>
      </c>
      <c r="K68" s="62">
        <f t="shared" si="11"/>
        <v>166.66666666666666</v>
      </c>
      <c r="L68" s="62">
        <f t="shared" si="11"/>
        <v>166.66666666666666</v>
      </c>
      <c r="M68" s="62">
        <f t="shared" si="11"/>
        <v>166.66666666666666</v>
      </c>
      <c r="N68" s="62">
        <f t="shared" si="11"/>
        <v>166.66666666666666</v>
      </c>
    </row>
    <row r="69" spans="1:14" x14ac:dyDescent="0.2">
      <c r="A69" s="61" t="str">
        <f>CMS!A69</f>
        <v>Program Supplies</v>
      </c>
      <c r="B69" s="63">
        <f t="shared" si="8"/>
        <v>5600.0000000000009</v>
      </c>
      <c r="C69" s="62">
        <f>SUM(5600/12)</f>
        <v>466.66666666666669</v>
      </c>
      <c r="D69" s="62">
        <f t="shared" ref="D69:N69" si="12">SUM(5600/12)</f>
        <v>466.66666666666669</v>
      </c>
      <c r="E69" s="62">
        <f t="shared" si="12"/>
        <v>466.66666666666669</v>
      </c>
      <c r="F69" s="62">
        <f t="shared" si="12"/>
        <v>466.66666666666669</v>
      </c>
      <c r="G69" s="62">
        <f t="shared" si="12"/>
        <v>466.66666666666669</v>
      </c>
      <c r="H69" s="62">
        <f t="shared" si="12"/>
        <v>466.66666666666669</v>
      </c>
      <c r="I69" s="62">
        <f t="shared" si="12"/>
        <v>466.66666666666669</v>
      </c>
      <c r="J69" s="62">
        <f t="shared" si="12"/>
        <v>466.66666666666669</v>
      </c>
      <c r="K69" s="62">
        <f t="shared" si="12"/>
        <v>466.66666666666669</v>
      </c>
      <c r="L69" s="62">
        <f t="shared" si="12"/>
        <v>466.66666666666669</v>
      </c>
      <c r="M69" s="62">
        <f t="shared" si="12"/>
        <v>466.66666666666669</v>
      </c>
      <c r="N69" s="62">
        <f t="shared" si="12"/>
        <v>466.66666666666669</v>
      </c>
    </row>
    <row r="70" spans="1:14" x14ac:dyDescent="0.2">
      <c r="A70" s="61" t="str">
        <f>CMS!A70</f>
        <v>Advertising</v>
      </c>
      <c r="B70" s="63">
        <f t="shared" si="8"/>
        <v>0</v>
      </c>
      <c r="C70" s="62"/>
      <c r="D70" s="62"/>
      <c r="E70" s="62"/>
      <c r="F70" s="62"/>
      <c r="G70" s="62"/>
      <c r="H70" s="62"/>
      <c r="I70" s="62"/>
      <c r="J70" s="62"/>
      <c r="K70" s="62"/>
      <c r="L70" s="62"/>
      <c r="M70" s="62"/>
      <c r="N70" s="62"/>
    </row>
    <row r="71" spans="1:14" x14ac:dyDescent="0.2">
      <c r="A71" s="61" t="str">
        <f>CMS!A71</f>
        <v>Repairs &amp; Maintenance</v>
      </c>
      <c r="B71" s="63">
        <f t="shared" si="8"/>
        <v>300</v>
      </c>
      <c r="C71" s="62">
        <f>SUM(300/12)</f>
        <v>25</v>
      </c>
      <c r="D71" s="62">
        <f t="shared" ref="D71:N71" si="13">SUM(300/12)</f>
        <v>25</v>
      </c>
      <c r="E71" s="62">
        <f t="shared" si="13"/>
        <v>25</v>
      </c>
      <c r="F71" s="62">
        <f t="shared" si="13"/>
        <v>25</v>
      </c>
      <c r="G71" s="62">
        <f t="shared" si="13"/>
        <v>25</v>
      </c>
      <c r="H71" s="62">
        <f t="shared" si="13"/>
        <v>25</v>
      </c>
      <c r="I71" s="62">
        <f t="shared" si="13"/>
        <v>25</v>
      </c>
      <c r="J71" s="62">
        <f t="shared" si="13"/>
        <v>25</v>
      </c>
      <c r="K71" s="62">
        <f t="shared" si="13"/>
        <v>25</v>
      </c>
      <c r="L71" s="62">
        <f t="shared" si="13"/>
        <v>25</v>
      </c>
      <c r="M71" s="62">
        <f t="shared" si="13"/>
        <v>25</v>
      </c>
      <c r="N71" s="62">
        <f t="shared" si="13"/>
        <v>25</v>
      </c>
    </row>
    <row r="72" spans="1:14" x14ac:dyDescent="0.2">
      <c r="A72" s="61" t="str">
        <f>CMS!A72</f>
        <v>Client Expense</v>
      </c>
      <c r="B72" s="63">
        <f t="shared" si="8"/>
        <v>1400.0000000000002</v>
      </c>
      <c r="C72" s="62">
        <f>SUM(1400/12)</f>
        <v>116.66666666666667</v>
      </c>
      <c r="D72" s="62">
        <f t="shared" ref="D72:N72" si="14">SUM(1400/12)</f>
        <v>116.66666666666667</v>
      </c>
      <c r="E72" s="62">
        <f t="shared" si="14"/>
        <v>116.66666666666667</v>
      </c>
      <c r="F72" s="62">
        <f t="shared" si="14"/>
        <v>116.66666666666667</v>
      </c>
      <c r="G72" s="62">
        <f t="shared" si="14"/>
        <v>116.66666666666667</v>
      </c>
      <c r="H72" s="62">
        <f t="shared" si="14"/>
        <v>116.66666666666667</v>
      </c>
      <c r="I72" s="62">
        <f t="shared" si="14"/>
        <v>116.66666666666667</v>
      </c>
      <c r="J72" s="62">
        <f t="shared" si="14"/>
        <v>116.66666666666667</v>
      </c>
      <c r="K72" s="62">
        <f t="shared" si="14"/>
        <v>116.66666666666667</v>
      </c>
      <c r="L72" s="62">
        <f t="shared" si="14"/>
        <v>116.66666666666667</v>
      </c>
      <c r="M72" s="62">
        <f t="shared" si="14"/>
        <v>116.66666666666667</v>
      </c>
      <c r="N72" s="62">
        <f t="shared" si="14"/>
        <v>116.66666666666667</v>
      </c>
    </row>
    <row r="73" spans="1:14" x14ac:dyDescent="0.2">
      <c r="A73" s="61" t="str">
        <f>CMS!A73</f>
        <v>Printing</v>
      </c>
      <c r="B73" s="63">
        <f t="shared" si="8"/>
        <v>0</v>
      </c>
      <c r="C73" s="62"/>
      <c r="D73" s="62"/>
      <c r="E73" s="62"/>
      <c r="F73" s="62"/>
      <c r="G73" s="62"/>
      <c r="H73" s="62"/>
      <c r="I73" s="62"/>
      <c r="J73" s="62"/>
      <c r="K73" s="62"/>
      <c r="L73" s="62"/>
      <c r="M73" s="62"/>
      <c r="N73" s="62"/>
    </row>
    <row r="74" spans="1:14" x14ac:dyDescent="0.2">
      <c r="A74" s="61" t="str">
        <f>CMS!A74</f>
        <v>Postage</v>
      </c>
      <c r="B74" s="63">
        <f t="shared" si="8"/>
        <v>60</v>
      </c>
      <c r="C74" s="62">
        <v>5</v>
      </c>
      <c r="D74" s="62">
        <v>5</v>
      </c>
      <c r="E74" s="62">
        <v>5</v>
      </c>
      <c r="F74" s="62">
        <v>5</v>
      </c>
      <c r="G74" s="62">
        <v>5</v>
      </c>
      <c r="H74" s="62">
        <v>5</v>
      </c>
      <c r="I74" s="62">
        <v>5</v>
      </c>
      <c r="J74" s="62">
        <v>5</v>
      </c>
      <c r="K74" s="62">
        <v>5</v>
      </c>
      <c r="L74" s="62">
        <v>5</v>
      </c>
      <c r="M74" s="62">
        <v>5</v>
      </c>
      <c r="N74" s="62">
        <v>5</v>
      </c>
    </row>
    <row r="75" spans="1:14" ht="15.75" customHeight="1" x14ac:dyDescent="0.2">
      <c r="A75" s="61" t="str">
        <f>CMS!A75</f>
        <v>Rent/Lease Expense</v>
      </c>
      <c r="B75" s="63">
        <f t="shared" si="8"/>
        <v>2196</v>
      </c>
      <c r="C75" s="62">
        <v>183</v>
      </c>
      <c r="D75" s="62">
        <v>183</v>
      </c>
      <c r="E75" s="62">
        <v>183</v>
      </c>
      <c r="F75" s="62">
        <v>183</v>
      </c>
      <c r="G75" s="62">
        <v>183</v>
      </c>
      <c r="H75" s="62">
        <v>183</v>
      </c>
      <c r="I75" s="62">
        <v>183</v>
      </c>
      <c r="J75" s="62">
        <v>183</v>
      </c>
      <c r="K75" s="62">
        <v>183</v>
      </c>
      <c r="L75" s="62">
        <v>183</v>
      </c>
      <c r="M75" s="62">
        <v>183</v>
      </c>
      <c r="N75" s="62">
        <v>183</v>
      </c>
    </row>
    <row r="76" spans="1:14" x14ac:dyDescent="0.2">
      <c r="A76" s="61" t="str">
        <f>CMS!A76</f>
        <v>Utilities</v>
      </c>
      <c r="B76" s="63">
        <f t="shared" si="8"/>
        <v>0</v>
      </c>
      <c r="C76" s="62"/>
      <c r="D76" s="62"/>
      <c r="E76" s="62"/>
      <c r="F76" s="62"/>
      <c r="G76" s="62"/>
      <c r="H76" s="62"/>
      <c r="I76" s="62"/>
      <c r="J76" s="62"/>
      <c r="K76" s="62"/>
      <c r="L76" s="62"/>
      <c r="M76" s="62"/>
      <c r="N76" s="62"/>
    </row>
    <row r="77" spans="1:14" x14ac:dyDescent="0.2">
      <c r="A77" s="61" t="str">
        <f>CMS!A77</f>
        <v>Bank Fees/Late Fees</v>
      </c>
      <c r="B77" s="63">
        <f t="shared" si="8"/>
        <v>0</v>
      </c>
      <c r="C77" s="62"/>
      <c r="D77" s="62"/>
      <c r="E77" s="62"/>
      <c r="F77" s="62"/>
      <c r="G77" s="62"/>
      <c r="H77" s="62"/>
      <c r="I77" s="62"/>
      <c r="J77" s="62"/>
      <c r="K77" s="62"/>
      <c r="L77" s="62"/>
      <c r="M77" s="62"/>
      <c r="N77" s="62"/>
    </row>
    <row r="78" spans="1:14" x14ac:dyDescent="0.2">
      <c r="A78" s="61" t="str">
        <f>CMS!A78</f>
        <v>Bad Debt Expense</v>
      </c>
      <c r="B78" s="63">
        <f t="shared" si="8"/>
        <v>0</v>
      </c>
      <c r="C78" s="62"/>
      <c r="D78" s="62"/>
      <c r="E78" s="62"/>
      <c r="F78" s="62"/>
      <c r="G78" s="62"/>
      <c r="H78" s="62"/>
      <c r="I78" s="62"/>
      <c r="J78" s="62"/>
      <c r="K78" s="62"/>
      <c r="L78" s="62"/>
      <c r="M78" s="62"/>
      <c r="N78" s="62"/>
    </row>
    <row r="79" spans="1:14" x14ac:dyDescent="0.2">
      <c r="A79" s="61" t="str">
        <f>CMS!A79</f>
        <v>Interest Expense</v>
      </c>
      <c r="B79" s="63">
        <f t="shared" si="8"/>
        <v>0</v>
      </c>
      <c r="C79" s="62"/>
      <c r="D79" s="62"/>
      <c r="E79" s="62"/>
      <c r="F79" s="62"/>
      <c r="G79" s="62"/>
      <c r="H79" s="62"/>
      <c r="I79" s="62"/>
      <c r="J79" s="62"/>
      <c r="K79" s="62"/>
      <c r="L79" s="62"/>
      <c r="M79" s="62"/>
      <c r="N79" s="62"/>
    </row>
    <row r="80" spans="1:14" x14ac:dyDescent="0.2">
      <c r="A80" s="61" t="str">
        <f>CMS!A80</f>
        <v>Meeting Expense</v>
      </c>
      <c r="B80" s="63">
        <f t="shared" si="8"/>
        <v>0</v>
      </c>
      <c r="C80" s="62"/>
      <c r="D80" s="62"/>
      <c r="E80" s="62"/>
      <c r="F80" s="62"/>
      <c r="G80" s="62"/>
      <c r="H80" s="62"/>
      <c r="I80" s="62"/>
      <c r="J80" s="62"/>
      <c r="K80" s="62"/>
      <c r="L80" s="62"/>
      <c r="M80" s="62"/>
      <c r="N80" s="62"/>
    </row>
    <row r="81" spans="1:15" x14ac:dyDescent="0.2">
      <c r="A81" s="61" t="s">
        <v>272</v>
      </c>
      <c r="B81" s="63">
        <f t="shared" si="8"/>
        <v>1200</v>
      </c>
      <c r="C81" s="62">
        <f>SUM(C41)</f>
        <v>100</v>
      </c>
      <c r="D81" s="62">
        <f t="shared" ref="D81:N81" si="15">SUM(D41)</f>
        <v>100</v>
      </c>
      <c r="E81" s="62">
        <f t="shared" si="15"/>
        <v>100</v>
      </c>
      <c r="F81" s="62">
        <f t="shared" si="15"/>
        <v>100</v>
      </c>
      <c r="G81" s="62">
        <f t="shared" si="15"/>
        <v>100</v>
      </c>
      <c r="H81" s="62">
        <f t="shared" si="15"/>
        <v>100</v>
      </c>
      <c r="I81" s="62">
        <f t="shared" si="15"/>
        <v>100</v>
      </c>
      <c r="J81" s="62">
        <f t="shared" si="15"/>
        <v>100</v>
      </c>
      <c r="K81" s="62">
        <f t="shared" si="15"/>
        <v>100</v>
      </c>
      <c r="L81" s="62">
        <f t="shared" si="15"/>
        <v>100</v>
      </c>
      <c r="M81" s="62">
        <f t="shared" si="15"/>
        <v>100</v>
      </c>
      <c r="N81" s="62">
        <f t="shared" si="15"/>
        <v>100</v>
      </c>
    </row>
    <row r="82" spans="1:15" s="101" customFormat="1" ht="13.5" thickBot="1" x14ac:dyDescent="0.25">
      <c r="A82" s="61" t="str">
        <f>CMS!A82</f>
        <v>Misc Expense</v>
      </c>
      <c r="B82" s="63">
        <f t="shared" si="8"/>
        <v>0</v>
      </c>
      <c r="C82" s="62"/>
      <c r="D82" s="93"/>
      <c r="E82" s="93"/>
      <c r="F82" s="93"/>
      <c r="G82" s="93"/>
      <c r="H82" s="93"/>
      <c r="I82" s="93"/>
      <c r="J82" s="93"/>
      <c r="K82" s="93"/>
      <c r="L82" s="93"/>
      <c r="M82" s="93"/>
      <c r="N82" s="93"/>
    </row>
    <row r="83" spans="1:15" x14ac:dyDescent="0.2">
      <c r="A83" s="64" t="s">
        <v>24</v>
      </c>
      <c r="B83" s="65">
        <f>SUM(B57:B82)</f>
        <v>21806.798017430017</v>
      </c>
      <c r="C83" s="65">
        <f t="shared" ref="C83:N83" si="16">SUM(C57:C82)</f>
        <v>1729.7609458969457</v>
      </c>
      <c r="D83" s="65">
        <f t="shared" si="16"/>
        <v>1729.7609458969457</v>
      </c>
      <c r="E83" s="65">
        <f t="shared" si="16"/>
        <v>1729.7609458969457</v>
      </c>
      <c r="F83" s="65">
        <f t="shared" si="16"/>
        <v>1729.7609458969457</v>
      </c>
      <c r="G83" s="65">
        <f t="shared" si="16"/>
        <v>1779.7609458969457</v>
      </c>
      <c r="H83" s="65">
        <f t="shared" si="16"/>
        <v>1729.7609458969457</v>
      </c>
      <c r="I83" s="65">
        <f t="shared" si="16"/>
        <v>1729.7609458969457</v>
      </c>
      <c r="J83" s="65">
        <f t="shared" si="16"/>
        <v>2129.7609458969459</v>
      </c>
      <c r="K83" s="65">
        <f t="shared" si="16"/>
        <v>2329.4276125636125</v>
      </c>
      <c r="L83" s="65">
        <f t="shared" si="16"/>
        <v>1729.7609458969457</v>
      </c>
      <c r="M83" s="65">
        <f t="shared" si="16"/>
        <v>1729.7609458969457</v>
      </c>
      <c r="N83" s="65">
        <f t="shared" si="16"/>
        <v>1729.7609458969457</v>
      </c>
    </row>
    <row r="84" spans="1:15" x14ac:dyDescent="0.2">
      <c r="C84" s="60"/>
      <c r="D84" s="66"/>
      <c r="E84" s="66"/>
      <c r="F84" s="66"/>
      <c r="G84" s="66"/>
      <c r="H84" s="66"/>
      <c r="I84" s="66"/>
      <c r="J84" s="66"/>
      <c r="K84" s="66"/>
      <c r="L84" s="66"/>
      <c r="M84" s="66"/>
      <c r="N84" s="66"/>
    </row>
    <row r="85" spans="1:15" x14ac:dyDescent="0.2">
      <c r="A85" s="28"/>
      <c r="B85" s="86"/>
      <c r="C85" s="86"/>
      <c r="D85" s="86"/>
      <c r="E85" s="86"/>
      <c r="F85" s="86"/>
      <c r="G85" s="86"/>
      <c r="H85" s="86"/>
      <c r="I85" s="86"/>
      <c r="J85" s="86"/>
      <c r="K85" s="86"/>
      <c r="L85" s="86"/>
      <c r="M85" s="86"/>
      <c r="N85" s="86"/>
    </row>
    <row r="86" spans="1:15" x14ac:dyDescent="0.2">
      <c r="A86" s="58" t="s">
        <v>25</v>
      </c>
      <c r="C86" s="60"/>
      <c r="D86" s="66"/>
      <c r="E86" s="66"/>
      <c r="F86" s="66"/>
      <c r="G86" s="66"/>
      <c r="H86" s="66"/>
      <c r="I86" s="66"/>
      <c r="J86" s="66"/>
      <c r="K86" s="66"/>
      <c r="L86" s="66"/>
      <c r="M86" s="66"/>
      <c r="N86" s="66"/>
    </row>
    <row r="87" spans="1:15" x14ac:dyDescent="0.2">
      <c r="A87" s="61" t="s">
        <v>329</v>
      </c>
      <c r="B87" s="63">
        <f>SUM(C87:N87)</f>
        <v>-16976.660192889194</v>
      </c>
      <c r="C87" s="62">
        <f>SUM('CMS &amp; Fundraising Allocations'!B51)</f>
        <v>-2397.6079812531725</v>
      </c>
      <c r="D87" s="62">
        <f>SUM('CMS &amp; Fundraising Allocations'!C51)</f>
        <v>-4133.1277876306413</v>
      </c>
      <c r="E87" s="62">
        <f>SUM('CMS &amp; Fundraising Allocations'!D51)</f>
        <v>-6192.5660511905844</v>
      </c>
      <c r="F87" s="62">
        <f>SUM('CMS &amp; Fundraising Allocations'!E51)</f>
        <v>-4137.6517884292789</v>
      </c>
      <c r="G87" s="62">
        <f>SUM('CMS &amp; Fundraising Allocations'!F51)</f>
        <v>-3929.4346516719688</v>
      </c>
      <c r="H87" s="62">
        <f>SUM('CMS &amp; Fundraising Allocations'!G51)</f>
        <v>-4698.6278874603804</v>
      </c>
      <c r="I87" s="62">
        <f>SUM('CMS &amp; Fundraising Allocations'!H51)</f>
        <v>-1079.4272485500503</v>
      </c>
      <c r="J87" s="62">
        <f>SUM('CMS &amp; Fundraising Allocations'!I51)</f>
        <v>-3963.4777576817191</v>
      </c>
      <c r="K87" s="62">
        <f>SUM('CMS &amp; Fundraising Allocations'!J51)</f>
        <v>-4055.5411739340007</v>
      </c>
      <c r="L87" s="62">
        <f>SUM('CMS &amp; Fundraising Allocations'!K51)</f>
        <v>-3577.8066895978377</v>
      </c>
      <c r="M87" s="62">
        <f>SUM('CMS &amp; Fundraising Allocations'!L51)</f>
        <v>3469.1162544204708</v>
      </c>
      <c r="N87" s="62">
        <f>SUM('CMS &amp; Fundraising Allocations'!M51)</f>
        <v>17719.492570089966</v>
      </c>
    </row>
    <row r="88" spans="1:15" x14ac:dyDescent="0.2">
      <c r="A88" s="61" t="s">
        <v>330</v>
      </c>
      <c r="B88" s="63">
        <f>SUM(C88:N88)</f>
        <v>-5467.8430110593572</v>
      </c>
      <c r="C88" s="62">
        <f>-'1020 N State Allocations'!B53</f>
        <v>-471.15389993640491</v>
      </c>
      <c r="D88" s="62">
        <f>-'1020 N State Allocations'!C53</f>
        <v>-471.15389993640491</v>
      </c>
      <c r="E88" s="62">
        <f>-'1020 N State Allocations'!D53</f>
        <v>-471.15389993640491</v>
      </c>
      <c r="F88" s="62">
        <f>-'1020 N State Allocations'!E53</f>
        <v>-472.68328364780098</v>
      </c>
      <c r="G88" s="62">
        <f>-'1020 N State Allocations'!F53</f>
        <v>-468.87829115376348</v>
      </c>
      <c r="H88" s="62">
        <f>-'1020 N State Allocations'!G53</f>
        <v>-457.53450249735448</v>
      </c>
      <c r="I88" s="62">
        <f>-'1020 N State Allocations'!H53</f>
        <v>-444.95211486251549</v>
      </c>
      <c r="J88" s="62">
        <f>-'1020 N State Allocations'!I53</f>
        <v>-444.95211486251549</v>
      </c>
      <c r="K88" s="62">
        <f>-'1020 N State Allocations'!J53</f>
        <v>-440.84363543991941</v>
      </c>
      <c r="L88" s="62">
        <f>-'1020 N State Allocations'!K53</f>
        <v>-440.84363543991941</v>
      </c>
      <c r="M88" s="62">
        <f>-'1020 N State Allocations'!L53</f>
        <v>-441.84686667317698</v>
      </c>
      <c r="N88" s="62">
        <f>-'1020 N State Allocations'!M53</f>
        <v>-441.84686667317698</v>
      </c>
      <c r="O88" s="140"/>
    </row>
    <row r="89" spans="1:15" ht="13.5" thickBot="1" x14ac:dyDescent="0.25">
      <c r="A89" s="61"/>
      <c r="B89" s="63">
        <f>SUM(C89:N89)</f>
        <v>0</v>
      </c>
      <c r="C89" s="63"/>
      <c r="D89" s="62"/>
      <c r="E89" s="62"/>
      <c r="F89" s="62"/>
      <c r="G89" s="62"/>
      <c r="H89" s="62"/>
      <c r="I89" s="62"/>
      <c r="J89" s="62"/>
      <c r="K89" s="62"/>
      <c r="L89" s="62"/>
      <c r="M89" s="62"/>
      <c r="N89" s="62"/>
    </row>
    <row r="90" spans="1:15" x14ac:dyDescent="0.2">
      <c r="A90" s="64" t="s">
        <v>26</v>
      </c>
      <c r="B90" s="65">
        <f t="shared" ref="B90:N90" si="17">SUM(B87:B89)</f>
        <v>-22444.503203948552</v>
      </c>
      <c r="C90" s="65">
        <f t="shared" si="17"/>
        <v>-2868.7618811895773</v>
      </c>
      <c r="D90" s="65">
        <f t="shared" si="17"/>
        <v>-4604.281687567046</v>
      </c>
      <c r="E90" s="65">
        <f t="shared" si="17"/>
        <v>-6663.7199511269891</v>
      </c>
      <c r="F90" s="65">
        <f t="shared" si="17"/>
        <v>-4610.3350720770795</v>
      </c>
      <c r="G90" s="65">
        <f t="shared" si="17"/>
        <v>-4398.3129428257325</v>
      </c>
      <c r="H90" s="65">
        <f t="shared" si="17"/>
        <v>-5156.1623899577353</v>
      </c>
      <c r="I90" s="65">
        <f t="shared" si="17"/>
        <v>-1524.3793634125659</v>
      </c>
      <c r="J90" s="65">
        <f t="shared" si="17"/>
        <v>-4408.429872544235</v>
      </c>
      <c r="K90" s="65">
        <f t="shared" si="17"/>
        <v>-4496.3848093739198</v>
      </c>
      <c r="L90" s="65">
        <f t="shared" si="17"/>
        <v>-4018.6503250377573</v>
      </c>
      <c r="M90" s="65">
        <f t="shared" si="17"/>
        <v>3027.2693877472939</v>
      </c>
      <c r="N90" s="65">
        <f t="shared" si="17"/>
        <v>17277.645703416787</v>
      </c>
    </row>
    <row r="91" spans="1:15" x14ac:dyDescent="0.2">
      <c r="C91" s="60"/>
      <c r="D91" s="66"/>
      <c r="E91" s="66"/>
      <c r="F91" s="66"/>
      <c r="G91" s="66"/>
      <c r="H91" s="66"/>
      <c r="I91" s="66"/>
      <c r="J91" s="66"/>
      <c r="K91" s="66"/>
      <c r="L91" s="66"/>
      <c r="M91" s="66"/>
      <c r="N91" s="66"/>
    </row>
    <row r="92" spans="1:15" x14ac:dyDescent="0.2">
      <c r="A92" s="265" t="s">
        <v>405</v>
      </c>
      <c r="B92" s="266"/>
      <c r="C92" s="266">
        <f>SUM(C46-C53-C83-C90)</f>
        <v>15165.050238444932</v>
      </c>
      <c r="D92" s="266">
        <f t="shared" ref="D92:N92" si="18">SUM(D46-D53-D83-D90)</f>
        <v>4900.5700448224006</v>
      </c>
      <c r="E92" s="266">
        <f t="shared" si="18"/>
        <v>6960.0083083823438</v>
      </c>
      <c r="F92" s="266">
        <f t="shared" si="18"/>
        <v>4906.6234293324342</v>
      </c>
      <c r="G92" s="266">
        <f t="shared" si="18"/>
        <v>4644.6013000810872</v>
      </c>
      <c r="H92" s="266">
        <f t="shared" si="18"/>
        <v>5452.4507472130899</v>
      </c>
      <c r="I92" s="266">
        <f t="shared" si="18"/>
        <v>1820.6677206679203</v>
      </c>
      <c r="J92" s="266">
        <f t="shared" si="18"/>
        <v>4304.7182297995896</v>
      </c>
      <c r="K92" s="266">
        <f t="shared" si="18"/>
        <v>4193.0064999626074</v>
      </c>
      <c r="L92" s="266">
        <f t="shared" si="18"/>
        <v>4314.9386822931119</v>
      </c>
      <c r="M92" s="266">
        <f t="shared" si="18"/>
        <v>-2730.9810304919392</v>
      </c>
      <c r="N92" s="267">
        <f t="shared" si="18"/>
        <v>-16981.357346161432</v>
      </c>
    </row>
    <row r="93" spans="1:15" x14ac:dyDescent="0.2">
      <c r="C93" s="60"/>
      <c r="D93" s="66"/>
      <c r="E93" s="66"/>
      <c r="F93" s="66"/>
      <c r="G93" s="66"/>
      <c r="H93" s="66"/>
      <c r="I93" s="66"/>
      <c r="J93" s="66"/>
      <c r="K93" s="66"/>
      <c r="L93" s="66"/>
      <c r="M93" s="66"/>
      <c r="N93" s="66"/>
    </row>
    <row r="94" spans="1:15" x14ac:dyDescent="0.2">
      <c r="B94" s="86" t="str">
        <f>B5</f>
        <v>Total</v>
      </c>
      <c r="C94" s="86"/>
      <c r="D94" s="66"/>
      <c r="E94" s="66"/>
      <c r="F94" s="66"/>
      <c r="G94" s="66"/>
      <c r="H94" s="66"/>
      <c r="I94" s="66"/>
      <c r="J94" s="66"/>
      <c r="K94" s="66"/>
      <c r="L94" s="66"/>
      <c r="M94" s="66"/>
      <c r="N94" s="66"/>
    </row>
    <row r="95" spans="1:15" x14ac:dyDescent="0.2">
      <c r="A95" s="58" t="s">
        <v>31</v>
      </c>
      <c r="B95" s="60">
        <f>SUM(B46)</f>
        <v>222163</v>
      </c>
      <c r="C95" s="81"/>
      <c r="D95" s="66"/>
      <c r="E95" s="66"/>
      <c r="F95" s="66"/>
      <c r="G95" s="66"/>
      <c r="H95" s="66"/>
      <c r="I95" s="66"/>
      <c r="J95" s="66"/>
      <c r="K95" s="66"/>
      <c r="L95" s="66"/>
      <c r="M95" s="66"/>
      <c r="N95" s="66"/>
    </row>
    <row r="96" spans="1:15" x14ac:dyDescent="0.2">
      <c r="A96" s="58" t="s">
        <v>32</v>
      </c>
      <c r="B96" s="60">
        <f>-B53</f>
        <v>-185850.4083621724</v>
      </c>
      <c r="C96" s="81"/>
      <c r="D96" s="66"/>
      <c r="E96" s="66"/>
      <c r="F96" s="66"/>
      <c r="G96" s="66"/>
      <c r="H96" s="66"/>
      <c r="I96" s="66"/>
      <c r="J96" s="66"/>
      <c r="K96" s="66"/>
      <c r="L96" s="66"/>
      <c r="M96" s="66"/>
      <c r="N96" s="66"/>
    </row>
    <row r="97" spans="1:14" x14ac:dyDescent="0.2">
      <c r="A97" s="58" t="s">
        <v>33</v>
      </c>
      <c r="B97" s="60">
        <f>SUM(-B83)</f>
        <v>-21806.798017430017</v>
      </c>
      <c r="C97" s="81"/>
      <c r="D97" s="66"/>
      <c r="E97" s="66"/>
      <c r="F97" s="66"/>
      <c r="G97" s="66"/>
      <c r="H97" s="66"/>
      <c r="I97" s="66"/>
      <c r="J97" s="66"/>
      <c r="K97" s="66"/>
      <c r="L97" s="66"/>
      <c r="M97" s="66"/>
      <c r="N97" s="66"/>
    </row>
    <row r="98" spans="1:14" x14ac:dyDescent="0.2">
      <c r="A98" s="58" t="s">
        <v>182</v>
      </c>
      <c r="B98" s="60">
        <f>SUM(B90)</f>
        <v>-22444.503203948552</v>
      </c>
      <c r="C98" s="81"/>
      <c r="D98" s="66"/>
      <c r="E98" s="66"/>
      <c r="F98" s="66"/>
      <c r="G98" s="66"/>
      <c r="H98" s="66"/>
      <c r="I98" s="66"/>
      <c r="J98" s="66"/>
      <c r="K98" s="66"/>
      <c r="L98" s="66"/>
      <c r="M98" s="66"/>
      <c r="N98" s="66"/>
    </row>
    <row r="99" spans="1:14" x14ac:dyDescent="0.2">
      <c r="A99" s="87" t="s">
        <v>35</v>
      </c>
      <c r="B99" s="88">
        <f>SUM(B95:B98)</f>
        <v>-7938.7095835509681</v>
      </c>
      <c r="C99" s="81"/>
      <c r="D99" s="66"/>
      <c r="E99" s="73"/>
      <c r="F99" s="66"/>
      <c r="G99" s="81"/>
      <c r="H99" s="81"/>
      <c r="I99" s="66"/>
      <c r="J99" s="66"/>
      <c r="K99" s="66"/>
      <c r="L99" s="66"/>
      <c r="M99" s="66"/>
      <c r="N99" s="66"/>
    </row>
    <row r="100" spans="1:14" x14ac:dyDescent="0.2">
      <c r="C100" s="81"/>
      <c r="D100" s="66"/>
      <c r="E100" s="66"/>
      <c r="F100" s="66"/>
      <c r="G100" s="66"/>
      <c r="H100" s="66"/>
      <c r="I100" s="66"/>
      <c r="J100" s="66"/>
      <c r="K100" s="66"/>
      <c r="L100" s="66"/>
      <c r="M100" s="66"/>
      <c r="N100" s="66"/>
    </row>
    <row r="101" spans="1:14" x14ac:dyDescent="0.2">
      <c r="C101" s="60"/>
      <c r="D101" s="66"/>
      <c r="E101" s="66"/>
      <c r="F101" s="66"/>
      <c r="G101" s="66"/>
      <c r="H101" s="66"/>
      <c r="I101" s="66"/>
      <c r="J101" s="66"/>
      <c r="K101" s="66"/>
      <c r="L101" s="66"/>
      <c r="M101" s="66"/>
      <c r="N101" s="66"/>
    </row>
    <row r="102" spans="1:14" x14ac:dyDescent="0.2">
      <c r="A102" s="58"/>
      <c r="B102" s="60" t="s">
        <v>183</v>
      </c>
      <c r="C102" s="75">
        <f>SUM(C108+C121+C134+C147+C160+C173+C186+C199+C225+C212)</f>
        <v>4.1345402298850571</v>
      </c>
      <c r="D102" s="75">
        <f t="shared" ref="D102:N102" si="19">SUM(D108+D121+D134+D147+D160+D173+D186+D199+D225+D212)</f>
        <v>4.1345402298850571</v>
      </c>
      <c r="E102" s="75">
        <f t="shared" si="19"/>
        <v>4.1345402298850571</v>
      </c>
      <c r="F102" s="75">
        <f t="shared" si="19"/>
        <v>4.1345402298850571</v>
      </c>
      <c r="G102" s="75">
        <f t="shared" si="19"/>
        <v>4.1345402298850571</v>
      </c>
      <c r="H102" s="75">
        <f t="shared" si="19"/>
        <v>4.1345402298850571</v>
      </c>
      <c r="I102" s="75">
        <f t="shared" si="19"/>
        <v>4.1345402298850571</v>
      </c>
      <c r="J102" s="75">
        <f t="shared" si="19"/>
        <v>4.1345402298850571</v>
      </c>
      <c r="K102" s="75">
        <f t="shared" si="19"/>
        <v>4.1345402298850571</v>
      </c>
      <c r="L102" s="75">
        <f t="shared" si="19"/>
        <v>4.1345402298850571</v>
      </c>
      <c r="M102" s="75">
        <f t="shared" si="19"/>
        <v>4.1345402298850571</v>
      </c>
      <c r="N102" s="75">
        <f t="shared" si="19"/>
        <v>4.1345402298850571</v>
      </c>
    </row>
    <row r="103" spans="1:14" x14ac:dyDescent="0.2">
      <c r="A103" s="58"/>
      <c r="C103" s="73"/>
      <c r="D103" s="66"/>
      <c r="E103" s="66"/>
      <c r="F103" s="66"/>
      <c r="G103" s="66"/>
      <c r="H103" s="66"/>
      <c r="I103" s="66"/>
      <c r="J103" s="66"/>
      <c r="K103" s="66"/>
      <c r="L103" s="66"/>
      <c r="M103" s="66"/>
    </row>
    <row r="104" spans="1:14" x14ac:dyDescent="0.2">
      <c r="A104" s="116" t="s">
        <v>184</v>
      </c>
      <c r="B104" s="92"/>
      <c r="C104" s="25"/>
      <c r="D104" s="91"/>
      <c r="E104" s="91"/>
      <c r="F104" s="91"/>
      <c r="G104" s="91"/>
      <c r="H104" s="91"/>
      <c r="I104" s="91"/>
      <c r="J104" s="91"/>
      <c r="K104" s="91"/>
      <c r="L104" s="91"/>
      <c r="M104" s="91"/>
      <c r="N104" s="27"/>
    </row>
    <row r="105" spans="1:14" x14ac:dyDescent="0.2">
      <c r="C105" s="89" t="str">
        <f t="shared" ref="C105:N105" si="20">C5</f>
        <v>January</v>
      </c>
      <c r="D105" s="89" t="str">
        <f t="shared" si="20"/>
        <v>February</v>
      </c>
      <c r="E105" s="89" t="str">
        <f t="shared" si="20"/>
        <v>March</v>
      </c>
      <c r="F105" s="89" t="str">
        <f t="shared" si="20"/>
        <v>April</v>
      </c>
      <c r="G105" s="89" t="str">
        <f t="shared" si="20"/>
        <v>May</v>
      </c>
      <c r="H105" s="89" t="str">
        <f t="shared" si="20"/>
        <v>June</v>
      </c>
      <c r="I105" s="89" t="str">
        <f t="shared" si="20"/>
        <v>July</v>
      </c>
      <c r="J105" s="89" t="str">
        <f t="shared" si="20"/>
        <v>August</v>
      </c>
      <c r="K105" s="89" t="str">
        <f t="shared" si="20"/>
        <v>September</v>
      </c>
      <c r="L105" s="89" t="str">
        <f t="shared" si="20"/>
        <v>October</v>
      </c>
      <c r="M105" s="89" t="str">
        <f t="shared" si="20"/>
        <v>November</v>
      </c>
      <c r="N105" s="89" t="str">
        <f t="shared" si="20"/>
        <v>December</v>
      </c>
    </row>
    <row r="106" spans="1:14" x14ac:dyDescent="0.2">
      <c r="C106" s="72">
        <v>30</v>
      </c>
      <c r="D106" s="72">
        <v>31</v>
      </c>
      <c r="E106" s="72">
        <v>30</v>
      </c>
      <c r="F106" s="72">
        <v>31</v>
      </c>
      <c r="G106" s="72">
        <v>31</v>
      </c>
      <c r="H106" s="72">
        <v>30</v>
      </c>
      <c r="I106" s="72">
        <v>31</v>
      </c>
      <c r="J106" s="72">
        <v>30</v>
      </c>
      <c r="K106" s="72">
        <v>31</v>
      </c>
      <c r="L106" s="72">
        <v>31</v>
      </c>
      <c r="M106" s="72">
        <v>28</v>
      </c>
      <c r="N106" s="71">
        <v>31</v>
      </c>
    </row>
    <row r="107" spans="1:14" x14ac:dyDescent="0.2">
      <c r="B107" s="89" t="s">
        <v>185</v>
      </c>
      <c r="C107" s="78">
        <f>C94</f>
        <v>0</v>
      </c>
      <c r="D107" s="53">
        <v>1</v>
      </c>
      <c r="E107" s="53"/>
      <c r="F107" s="53">
        <v>1</v>
      </c>
      <c r="G107" s="53"/>
      <c r="H107" s="53">
        <v>1</v>
      </c>
      <c r="I107" s="53">
        <v>1</v>
      </c>
      <c r="J107" s="53">
        <v>1</v>
      </c>
      <c r="K107" s="53">
        <v>1</v>
      </c>
      <c r="L107" s="53">
        <v>2</v>
      </c>
      <c r="M107" s="53">
        <v>1</v>
      </c>
      <c r="N107" s="59"/>
    </row>
    <row r="108" spans="1:14" x14ac:dyDescent="0.2">
      <c r="B108" s="89" t="s">
        <v>44</v>
      </c>
      <c r="C108" s="49">
        <v>0.5</v>
      </c>
      <c r="D108" s="49">
        <v>0.5</v>
      </c>
      <c r="E108" s="49">
        <v>0.5</v>
      </c>
      <c r="F108" s="49">
        <v>0.5</v>
      </c>
      <c r="G108" s="49">
        <v>0.5</v>
      </c>
      <c r="H108" s="49">
        <v>0.5</v>
      </c>
      <c r="I108" s="49">
        <v>0.5</v>
      </c>
      <c r="J108" s="49">
        <v>0.5</v>
      </c>
      <c r="K108" s="49">
        <v>0.5</v>
      </c>
      <c r="L108" s="49">
        <v>0.5</v>
      </c>
      <c r="M108" s="49">
        <v>0.5</v>
      </c>
      <c r="N108" s="49">
        <v>0.5</v>
      </c>
    </row>
    <row r="109" spans="1:14" x14ac:dyDescent="0.2">
      <c r="B109" s="89" t="s">
        <v>186</v>
      </c>
      <c r="C109" s="53">
        <f>SUM(174*C108)</f>
        <v>87</v>
      </c>
      <c r="D109" s="53">
        <f t="shared" ref="D109:N109" si="21">SUM(174*D108)</f>
        <v>87</v>
      </c>
      <c r="E109" s="53">
        <f t="shared" si="21"/>
        <v>87</v>
      </c>
      <c r="F109" s="53">
        <f t="shared" si="21"/>
        <v>87</v>
      </c>
      <c r="G109" s="53">
        <f t="shared" si="21"/>
        <v>87</v>
      </c>
      <c r="H109" s="53">
        <f t="shared" si="21"/>
        <v>87</v>
      </c>
      <c r="I109" s="53">
        <f t="shared" si="21"/>
        <v>87</v>
      </c>
      <c r="J109" s="53">
        <f t="shared" si="21"/>
        <v>87</v>
      </c>
      <c r="K109" s="53">
        <f t="shared" si="21"/>
        <v>87</v>
      </c>
      <c r="L109" s="53">
        <f t="shared" si="21"/>
        <v>87</v>
      </c>
      <c r="M109" s="53">
        <f t="shared" si="21"/>
        <v>87</v>
      </c>
      <c r="N109" s="53">
        <f t="shared" si="21"/>
        <v>87</v>
      </c>
    </row>
    <row r="110" spans="1:14" x14ac:dyDescent="0.2">
      <c r="A110" s="59" t="s">
        <v>525</v>
      </c>
      <c r="B110" s="78" t="s">
        <v>371</v>
      </c>
      <c r="C110" s="66">
        <f>SUM(C109*$B$111)</f>
        <v>1239.75</v>
      </c>
      <c r="D110" s="66">
        <f t="shared" ref="D110:N110" si="22">SUM(D109*$B$111)</f>
        <v>1239.75</v>
      </c>
      <c r="E110" s="66">
        <f t="shared" si="22"/>
        <v>1239.75</v>
      </c>
      <c r="F110" s="66">
        <f t="shared" si="22"/>
        <v>1239.75</v>
      </c>
      <c r="G110" s="66">
        <f t="shared" si="22"/>
        <v>1239.75</v>
      </c>
      <c r="H110" s="66">
        <f t="shared" si="22"/>
        <v>1239.75</v>
      </c>
      <c r="I110" s="66">
        <f t="shared" si="22"/>
        <v>1239.75</v>
      </c>
      <c r="J110" s="66">
        <f t="shared" si="22"/>
        <v>1239.75</v>
      </c>
      <c r="K110" s="66">
        <f t="shared" si="22"/>
        <v>1239.75</v>
      </c>
      <c r="L110" s="66">
        <f t="shared" si="22"/>
        <v>1239.75</v>
      </c>
      <c r="M110" s="66">
        <f t="shared" si="22"/>
        <v>1239.75</v>
      </c>
      <c r="N110" s="66">
        <f t="shared" si="22"/>
        <v>1239.75</v>
      </c>
    </row>
    <row r="111" spans="1:14" x14ac:dyDescent="0.2">
      <c r="A111" s="59" t="s">
        <v>188</v>
      </c>
      <c r="B111" s="74">
        <v>14.25</v>
      </c>
      <c r="C111" s="66">
        <f>SUM(C110)*'Data Links'!$B$15</f>
        <v>94.840874999999997</v>
      </c>
      <c r="D111" s="66">
        <f>SUM(D110)*'Data Links'!$B$15</f>
        <v>94.840874999999997</v>
      </c>
      <c r="E111" s="66">
        <f>SUM(E110)*'Data Links'!$B$15</f>
        <v>94.840874999999997</v>
      </c>
      <c r="F111" s="66">
        <f>SUM(F110)*'Data Links'!$B$15</f>
        <v>94.840874999999997</v>
      </c>
      <c r="G111" s="66">
        <f>SUM(G110)*'Data Links'!$B$15</f>
        <v>94.840874999999997</v>
      </c>
      <c r="H111" s="66">
        <f>SUM(H110)*'Data Links'!$B$15</f>
        <v>94.840874999999997</v>
      </c>
      <c r="I111" s="66">
        <f>SUM(I110)*'Data Links'!$B$15</f>
        <v>94.840874999999997</v>
      </c>
      <c r="J111" s="66">
        <f>SUM(J110)*'Data Links'!$B$15</f>
        <v>94.840874999999997</v>
      </c>
      <c r="K111" s="66">
        <f>SUM(K110)*'Data Links'!$B$15</f>
        <v>94.840874999999997</v>
      </c>
      <c r="L111" s="66">
        <f>SUM(L110)*'Data Links'!$B$15</f>
        <v>94.840874999999997</v>
      </c>
      <c r="M111" s="66">
        <f>SUM(M110)*'Data Links'!$B$15</f>
        <v>94.840874999999997</v>
      </c>
      <c r="N111" s="66">
        <f>SUM(N110)*'Data Links'!$B$15</f>
        <v>94.840874999999997</v>
      </c>
    </row>
    <row r="112" spans="1:14" x14ac:dyDescent="0.2">
      <c r="A112" s="59" t="s">
        <v>189</v>
      </c>
      <c r="B112" s="74">
        <v>13</v>
      </c>
      <c r="C112" s="66">
        <f>SUM(C110*'Data Links'!$B$13)</f>
        <v>7.4385000000000003</v>
      </c>
      <c r="D112" s="66">
        <f>SUM(D110*'Data Links'!$B$13)</f>
        <v>7.4385000000000003</v>
      </c>
      <c r="E112" s="66">
        <f>SUM(E110*'Data Links'!$B$13)</f>
        <v>7.4385000000000003</v>
      </c>
      <c r="F112" s="66">
        <f>SUM(F110*'Data Links'!$B$13)</f>
        <v>7.4385000000000003</v>
      </c>
      <c r="G112" s="66">
        <f>SUM(G110*'Data Links'!$B$13)</f>
        <v>7.4385000000000003</v>
      </c>
      <c r="H112" s="66">
        <f>SUM(H110*'Data Links'!$B$13)</f>
        <v>7.4385000000000003</v>
      </c>
      <c r="I112" s="66">
        <f>SUM(I110*'Data Links'!$B$13)</f>
        <v>7.4385000000000003</v>
      </c>
      <c r="J112" s="66">
        <f>SUM(J110*'Data Links'!$B$13)</f>
        <v>7.4385000000000003</v>
      </c>
      <c r="K112" s="66">
        <f>SUM(K110*'Data Links'!$B$13)</f>
        <v>7.4385000000000003</v>
      </c>
      <c r="L112" s="66">
        <f>SUM(L110*'Data Links'!$B$13)</f>
        <v>7.4385000000000003</v>
      </c>
      <c r="M112" s="66">
        <f>SUM(M110*'Data Links'!$B$13)</f>
        <v>7.4385000000000003</v>
      </c>
      <c r="N112" s="66">
        <f>SUM(N110*'Data Links'!$B$13)</f>
        <v>7.4385000000000003</v>
      </c>
    </row>
    <row r="113" spans="1:14" x14ac:dyDescent="0.2">
      <c r="A113" s="59" t="s">
        <v>190</v>
      </c>
      <c r="C113" s="66">
        <f>SUM(C109*'Data Links'!$B$9)</f>
        <v>12.767249999999999</v>
      </c>
      <c r="D113" s="66">
        <f>SUM(D109*'Data Links'!$B$9)</f>
        <v>12.767249999999999</v>
      </c>
      <c r="E113" s="66">
        <f>SUM(E109*'Data Links'!$B$9)</f>
        <v>12.767249999999999</v>
      </c>
      <c r="F113" s="66">
        <f>SUM(F109*'Data Links'!$B$9)</f>
        <v>12.767249999999999</v>
      </c>
      <c r="G113" s="66">
        <f>SUM(G109*'Data Links'!$B$9)</f>
        <v>12.767249999999999</v>
      </c>
      <c r="H113" s="66">
        <f>SUM(H109*'Data Links'!$B$9)</f>
        <v>12.767249999999999</v>
      </c>
      <c r="I113" s="66">
        <f>SUM(I109*'Data Links'!$B$9)</f>
        <v>12.767249999999999</v>
      </c>
      <c r="J113" s="66">
        <f>SUM(J109*'Data Links'!$B$9)</f>
        <v>12.767249999999999</v>
      </c>
      <c r="K113" s="66">
        <f>SUM(K109*'Data Links'!$B$9)</f>
        <v>12.767249999999999</v>
      </c>
      <c r="L113" s="66">
        <f>SUM(L109*'Data Links'!$B$9)</f>
        <v>12.767249999999999</v>
      </c>
      <c r="M113" s="66">
        <f>SUM(M109*'Data Links'!$B$9)</f>
        <v>12.767249999999999</v>
      </c>
      <c r="N113" s="66">
        <f>SUM(N109*'Data Links'!$B$9)</f>
        <v>12.767249999999999</v>
      </c>
    </row>
    <row r="114" spans="1:14" x14ac:dyDescent="0.2">
      <c r="A114" s="59" t="s">
        <v>191</v>
      </c>
      <c r="C114" s="66"/>
      <c r="D114" s="66"/>
      <c r="E114" s="66"/>
      <c r="F114" s="66"/>
      <c r="G114" s="66"/>
      <c r="H114" s="66"/>
      <c r="I114" s="66"/>
      <c r="J114" s="66"/>
      <c r="K114" s="66"/>
      <c r="L114" s="66"/>
      <c r="M114" s="66"/>
      <c r="N114" s="66"/>
    </row>
    <row r="115" spans="1:14" x14ac:dyDescent="0.2">
      <c r="A115" s="59" t="s">
        <v>192</v>
      </c>
      <c r="C115" s="66"/>
      <c r="D115" s="66"/>
      <c r="E115" s="66"/>
      <c r="F115" s="66"/>
      <c r="G115" s="66"/>
      <c r="H115" s="66"/>
      <c r="I115" s="66"/>
      <c r="J115" s="66"/>
      <c r="K115" s="66"/>
      <c r="L115" s="66"/>
      <c r="M115" s="66"/>
      <c r="N115" s="66"/>
    </row>
    <row r="116" spans="1:14" s="58" customFormat="1" x14ac:dyDescent="0.2">
      <c r="A116" s="58" t="s">
        <v>144</v>
      </c>
      <c r="B116" s="60"/>
      <c r="C116" s="60">
        <f t="shared" ref="C116:N116" si="23">SUM(C110:C115)</f>
        <v>1354.7966250000002</v>
      </c>
      <c r="D116" s="60">
        <f t="shared" si="23"/>
        <v>1354.7966250000002</v>
      </c>
      <c r="E116" s="60">
        <f t="shared" si="23"/>
        <v>1354.7966250000002</v>
      </c>
      <c r="F116" s="60">
        <f t="shared" si="23"/>
        <v>1354.7966250000002</v>
      </c>
      <c r="G116" s="60">
        <f t="shared" si="23"/>
        <v>1354.7966250000002</v>
      </c>
      <c r="H116" s="60">
        <f t="shared" si="23"/>
        <v>1354.7966250000002</v>
      </c>
      <c r="I116" s="60">
        <f t="shared" si="23"/>
        <v>1354.7966250000002</v>
      </c>
      <c r="J116" s="60">
        <f t="shared" si="23"/>
        <v>1354.7966250000002</v>
      </c>
      <c r="K116" s="60">
        <f t="shared" si="23"/>
        <v>1354.7966250000002</v>
      </c>
      <c r="L116" s="60">
        <f t="shared" si="23"/>
        <v>1354.7966250000002</v>
      </c>
      <c r="M116" s="60">
        <f t="shared" si="23"/>
        <v>1354.7966250000002</v>
      </c>
      <c r="N116" s="60">
        <f t="shared" si="23"/>
        <v>1354.7966250000002</v>
      </c>
    </row>
    <row r="117" spans="1:14" x14ac:dyDescent="0.2">
      <c r="C117" s="60"/>
      <c r="D117" s="66"/>
      <c r="E117" s="66"/>
      <c r="F117" s="66"/>
      <c r="G117" s="66"/>
      <c r="H117" s="66"/>
      <c r="I117" s="66"/>
      <c r="J117" s="66"/>
      <c r="K117" s="66"/>
      <c r="L117" s="66"/>
      <c r="M117" s="66"/>
      <c r="N117" s="66"/>
    </row>
    <row r="118" spans="1:14" x14ac:dyDescent="0.2">
      <c r="C118" s="89" t="str">
        <f>C105</f>
        <v>January</v>
      </c>
      <c r="D118" s="89" t="str">
        <f t="shared" ref="D118:N120" si="24">D105</f>
        <v>February</v>
      </c>
      <c r="E118" s="89" t="str">
        <f t="shared" si="24"/>
        <v>March</v>
      </c>
      <c r="F118" s="89" t="str">
        <f t="shared" si="24"/>
        <v>April</v>
      </c>
      <c r="G118" s="89" t="str">
        <f t="shared" si="24"/>
        <v>May</v>
      </c>
      <c r="H118" s="89" t="str">
        <f t="shared" si="24"/>
        <v>June</v>
      </c>
      <c r="I118" s="89" t="str">
        <f t="shared" si="24"/>
        <v>July</v>
      </c>
      <c r="J118" s="89" t="str">
        <f t="shared" si="24"/>
        <v>August</v>
      </c>
      <c r="K118" s="89" t="str">
        <f t="shared" si="24"/>
        <v>September</v>
      </c>
      <c r="L118" s="89" t="str">
        <f t="shared" si="24"/>
        <v>October</v>
      </c>
      <c r="M118" s="89" t="str">
        <f t="shared" si="24"/>
        <v>November</v>
      </c>
      <c r="N118" s="89" t="str">
        <f t="shared" si="24"/>
        <v>December</v>
      </c>
    </row>
    <row r="119" spans="1:14" x14ac:dyDescent="0.2">
      <c r="C119" s="72">
        <f>C106</f>
        <v>30</v>
      </c>
      <c r="D119" s="72">
        <f t="shared" si="24"/>
        <v>31</v>
      </c>
      <c r="E119" s="72">
        <f t="shared" si="24"/>
        <v>30</v>
      </c>
      <c r="F119" s="72">
        <f t="shared" si="24"/>
        <v>31</v>
      </c>
      <c r="G119" s="72">
        <f t="shared" si="24"/>
        <v>31</v>
      </c>
      <c r="H119" s="72">
        <f t="shared" si="24"/>
        <v>30</v>
      </c>
      <c r="I119" s="72">
        <f t="shared" si="24"/>
        <v>31</v>
      </c>
      <c r="J119" s="72">
        <f t="shared" si="24"/>
        <v>30</v>
      </c>
      <c r="K119" s="72">
        <f t="shared" si="24"/>
        <v>31</v>
      </c>
      <c r="L119" s="72">
        <f t="shared" si="24"/>
        <v>31</v>
      </c>
      <c r="M119" s="72">
        <f t="shared" si="24"/>
        <v>28</v>
      </c>
      <c r="N119" s="72">
        <f t="shared" si="24"/>
        <v>31</v>
      </c>
    </row>
    <row r="120" spans="1:14" x14ac:dyDescent="0.2">
      <c r="B120" s="89" t="s">
        <v>185</v>
      </c>
      <c r="C120" s="53">
        <f>C107</f>
        <v>0</v>
      </c>
      <c r="D120" s="53">
        <f t="shared" si="24"/>
        <v>1</v>
      </c>
      <c r="E120" s="53">
        <f t="shared" si="24"/>
        <v>0</v>
      </c>
      <c r="F120" s="53">
        <f t="shared" si="24"/>
        <v>1</v>
      </c>
      <c r="G120" s="53">
        <f t="shared" si="24"/>
        <v>0</v>
      </c>
      <c r="H120" s="53">
        <f t="shared" si="24"/>
        <v>1</v>
      </c>
      <c r="I120" s="53">
        <f t="shared" si="24"/>
        <v>1</v>
      </c>
      <c r="J120" s="53">
        <f t="shared" si="24"/>
        <v>1</v>
      </c>
      <c r="K120" s="53">
        <f t="shared" si="24"/>
        <v>1</v>
      </c>
      <c r="L120" s="53">
        <f t="shared" si="24"/>
        <v>2</v>
      </c>
      <c r="M120" s="53">
        <f t="shared" si="24"/>
        <v>1</v>
      </c>
      <c r="N120" s="53">
        <f t="shared" si="24"/>
        <v>0</v>
      </c>
    </row>
    <row r="121" spans="1:14" x14ac:dyDescent="0.2">
      <c r="B121" s="89" t="s">
        <v>44</v>
      </c>
      <c r="C121" s="49">
        <v>1</v>
      </c>
      <c r="D121" s="49">
        <v>1</v>
      </c>
      <c r="E121" s="49">
        <v>1</v>
      </c>
      <c r="F121" s="49">
        <v>1</v>
      </c>
      <c r="G121" s="49">
        <v>1</v>
      </c>
      <c r="H121" s="49">
        <v>1</v>
      </c>
      <c r="I121" s="49">
        <v>1</v>
      </c>
      <c r="J121" s="49">
        <v>1</v>
      </c>
      <c r="K121" s="49">
        <v>1</v>
      </c>
      <c r="L121" s="49">
        <v>1</v>
      </c>
      <c r="M121" s="49">
        <v>1</v>
      </c>
      <c r="N121" s="49">
        <v>1</v>
      </c>
    </row>
    <row r="122" spans="1:14" x14ac:dyDescent="0.2">
      <c r="B122" s="89" t="s">
        <v>186</v>
      </c>
      <c r="C122" s="53">
        <f>SUM(174*C121)</f>
        <v>174</v>
      </c>
      <c r="D122" s="53">
        <f t="shared" ref="D122:N122" si="25">SUM(174*D121)</f>
        <v>174</v>
      </c>
      <c r="E122" s="53">
        <f t="shared" si="25"/>
        <v>174</v>
      </c>
      <c r="F122" s="53">
        <f t="shared" si="25"/>
        <v>174</v>
      </c>
      <c r="G122" s="53">
        <f t="shared" si="25"/>
        <v>174</v>
      </c>
      <c r="H122" s="53">
        <f t="shared" si="25"/>
        <v>174</v>
      </c>
      <c r="I122" s="53">
        <f t="shared" si="25"/>
        <v>174</v>
      </c>
      <c r="J122" s="53">
        <f t="shared" si="25"/>
        <v>174</v>
      </c>
      <c r="K122" s="53">
        <f t="shared" si="25"/>
        <v>174</v>
      </c>
      <c r="L122" s="53">
        <f t="shared" si="25"/>
        <v>174</v>
      </c>
      <c r="M122" s="53">
        <f t="shared" si="25"/>
        <v>174</v>
      </c>
      <c r="N122" s="53">
        <f t="shared" si="25"/>
        <v>174</v>
      </c>
    </row>
    <row r="123" spans="1:14" x14ac:dyDescent="0.2">
      <c r="A123" s="59" t="s">
        <v>387</v>
      </c>
      <c r="B123" s="78" t="s">
        <v>270</v>
      </c>
      <c r="C123" s="66">
        <f>SUM(C122*$B$124)</f>
        <v>2897.1</v>
      </c>
      <c r="D123" s="66">
        <f t="shared" ref="D123:N123" si="26">SUM(D122*$B$124)</f>
        <v>2897.1</v>
      </c>
      <c r="E123" s="66">
        <f t="shared" si="26"/>
        <v>2897.1</v>
      </c>
      <c r="F123" s="66">
        <f t="shared" si="26"/>
        <v>2897.1</v>
      </c>
      <c r="G123" s="66">
        <f t="shared" si="26"/>
        <v>2897.1</v>
      </c>
      <c r="H123" s="66">
        <f t="shared" si="26"/>
        <v>2897.1</v>
      </c>
      <c r="I123" s="66">
        <f t="shared" si="26"/>
        <v>2897.1</v>
      </c>
      <c r="J123" s="66">
        <f t="shared" si="26"/>
        <v>2897.1</v>
      </c>
      <c r="K123" s="66">
        <f t="shared" si="26"/>
        <v>2897.1</v>
      </c>
      <c r="L123" s="66">
        <f t="shared" si="26"/>
        <v>2897.1</v>
      </c>
      <c r="M123" s="66">
        <f t="shared" si="26"/>
        <v>2897.1</v>
      </c>
      <c r="N123" s="66">
        <f t="shared" si="26"/>
        <v>2897.1</v>
      </c>
    </row>
    <row r="124" spans="1:14" x14ac:dyDescent="0.2">
      <c r="A124" s="59" t="s">
        <v>188</v>
      </c>
      <c r="B124" s="241">
        <f>15.75+0.9</f>
        <v>16.649999999999999</v>
      </c>
      <c r="C124" s="66">
        <f>SUM(C123)*'Data Links'!$B$15</f>
        <v>221.62814999999998</v>
      </c>
      <c r="D124" s="66">
        <f>SUM(D123)*'Data Links'!$B$15</f>
        <v>221.62814999999998</v>
      </c>
      <c r="E124" s="66">
        <f>SUM(E123)*'Data Links'!$B$15</f>
        <v>221.62814999999998</v>
      </c>
      <c r="F124" s="66">
        <f>SUM(F123)*'Data Links'!$B$15</f>
        <v>221.62814999999998</v>
      </c>
      <c r="G124" s="66">
        <f>SUM(G123)*'Data Links'!$B$15</f>
        <v>221.62814999999998</v>
      </c>
      <c r="H124" s="66">
        <f>SUM(H123)*'Data Links'!$B$15</f>
        <v>221.62814999999998</v>
      </c>
      <c r="I124" s="66">
        <f>SUM(I123)*'Data Links'!$B$15</f>
        <v>221.62814999999998</v>
      </c>
      <c r="J124" s="66">
        <f>SUM(J123)*'Data Links'!$B$15</f>
        <v>221.62814999999998</v>
      </c>
      <c r="K124" s="66">
        <f>SUM(K123)*'Data Links'!$B$15</f>
        <v>221.62814999999998</v>
      </c>
      <c r="L124" s="66">
        <f>SUM(L123)*'Data Links'!$B$15</f>
        <v>221.62814999999998</v>
      </c>
      <c r="M124" s="66">
        <f>SUM(M123)*'Data Links'!$B$15</f>
        <v>221.62814999999998</v>
      </c>
      <c r="N124" s="66">
        <f>SUM(N123)*'Data Links'!$B$15</f>
        <v>221.62814999999998</v>
      </c>
    </row>
    <row r="125" spans="1:14" x14ac:dyDescent="0.2">
      <c r="A125" s="59" t="s">
        <v>189</v>
      </c>
      <c r="B125" s="241">
        <f>13.77+0.9</f>
        <v>14.67</v>
      </c>
      <c r="C125" s="66">
        <f>SUM(C123*'Data Links'!$B$13)</f>
        <v>17.3826</v>
      </c>
      <c r="D125" s="66">
        <f>SUM(D123*'Data Links'!$B$13)</f>
        <v>17.3826</v>
      </c>
      <c r="E125" s="66">
        <f>SUM(E123*'Data Links'!$B$13)</f>
        <v>17.3826</v>
      </c>
      <c r="F125" s="66">
        <f>SUM(F123*'Data Links'!$B$13)</f>
        <v>17.3826</v>
      </c>
      <c r="G125" s="66">
        <f>SUM(G123*'Data Links'!$B$13)</f>
        <v>17.3826</v>
      </c>
      <c r="H125" s="66">
        <f>SUM(H123*'Data Links'!$B$13)</f>
        <v>17.3826</v>
      </c>
      <c r="I125" s="66">
        <f>SUM(I123*'Data Links'!$B$13)</f>
        <v>17.3826</v>
      </c>
      <c r="J125" s="66">
        <f>SUM(J123*'Data Links'!$B$13)</f>
        <v>17.3826</v>
      </c>
      <c r="K125" s="66">
        <f>SUM(K123*'Data Links'!$B$13)</f>
        <v>17.3826</v>
      </c>
      <c r="L125" s="66">
        <f>SUM(L123*'Data Links'!$B$13)</f>
        <v>17.3826</v>
      </c>
      <c r="M125" s="66">
        <f>SUM(M123*'Data Links'!$B$13)</f>
        <v>17.3826</v>
      </c>
      <c r="N125" s="66">
        <f>SUM(N123*'Data Links'!$B$13)</f>
        <v>17.3826</v>
      </c>
    </row>
    <row r="126" spans="1:14" x14ac:dyDescent="0.2">
      <c r="A126" s="59" t="s">
        <v>190</v>
      </c>
      <c r="C126" s="66">
        <f>SUM(C122*'Data Links'!$B$9)</f>
        <v>25.534499999999998</v>
      </c>
      <c r="D126" s="66">
        <f>SUM(D122*'Data Links'!$B$9)</f>
        <v>25.534499999999998</v>
      </c>
      <c r="E126" s="66">
        <f>SUM(E122*'Data Links'!$B$9)</f>
        <v>25.534499999999998</v>
      </c>
      <c r="F126" s="66">
        <f>SUM(F122*'Data Links'!$B$9)</f>
        <v>25.534499999999998</v>
      </c>
      <c r="G126" s="66">
        <f>SUM(G122*'Data Links'!$B$9)</f>
        <v>25.534499999999998</v>
      </c>
      <c r="H126" s="66">
        <f>SUM(H122*'Data Links'!$B$9)</f>
        <v>25.534499999999998</v>
      </c>
      <c r="I126" s="66">
        <f>SUM(I122*'Data Links'!$B$9)</f>
        <v>25.534499999999998</v>
      </c>
      <c r="J126" s="66">
        <f>SUM(J122*'Data Links'!$B$9)</f>
        <v>25.534499999999998</v>
      </c>
      <c r="K126" s="66">
        <f>SUM(K122*'Data Links'!$B$9)</f>
        <v>25.534499999999998</v>
      </c>
      <c r="L126" s="66">
        <f>SUM(L122*'Data Links'!$B$9)</f>
        <v>25.534499999999998</v>
      </c>
      <c r="M126" s="66">
        <f>SUM(M122*'Data Links'!$B$9)</f>
        <v>25.534499999999998</v>
      </c>
      <c r="N126" s="66">
        <f>SUM(N122*'Data Links'!$B$9)</f>
        <v>25.534499999999998</v>
      </c>
    </row>
    <row r="127" spans="1:14" x14ac:dyDescent="0.2">
      <c r="A127" s="59" t="s">
        <v>191</v>
      </c>
      <c r="C127" s="66"/>
      <c r="D127" s="66"/>
      <c r="E127" s="66"/>
      <c r="F127" s="66"/>
      <c r="G127" s="66"/>
      <c r="H127" s="66"/>
      <c r="I127" s="66"/>
      <c r="J127" s="66"/>
      <c r="K127" s="66"/>
      <c r="L127" s="66"/>
      <c r="M127" s="66"/>
      <c r="N127" s="66"/>
    </row>
    <row r="128" spans="1:14" x14ac:dyDescent="0.2">
      <c r="A128" s="59" t="s">
        <v>192</v>
      </c>
      <c r="C128" s="66"/>
      <c r="D128" s="66"/>
      <c r="E128" s="66"/>
      <c r="F128" s="66"/>
      <c r="G128" s="66"/>
      <c r="H128" s="66"/>
      <c r="I128" s="66"/>
      <c r="J128" s="66"/>
      <c r="K128" s="66"/>
      <c r="L128" s="66"/>
      <c r="M128" s="66"/>
      <c r="N128" s="66"/>
    </row>
    <row r="129" spans="1:14" s="58" customFormat="1" x14ac:dyDescent="0.2">
      <c r="A129" s="58" t="s">
        <v>144</v>
      </c>
      <c r="B129" s="60"/>
      <c r="C129" s="60">
        <f t="shared" ref="C129:N129" si="27">SUM(C123:C128)</f>
        <v>3161.64525</v>
      </c>
      <c r="D129" s="60">
        <f t="shared" si="27"/>
        <v>3161.64525</v>
      </c>
      <c r="E129" s="60">
        <f t="shared" si="27"/>
        <v>3161.64525</v>
      </c>
      <c r="F129" s="60">
        <f t="shared" si="27"/>
        <v>3161.64525</v>
      </c>
      <c r="G129" s="60">
        <f t="shared" si="27"/>
        <v>3161.64525</v>
      </c>
      <c r="H129" s="60">
        <f t="shared" si="27"/>
        <v>3161.64525</v>
      </c>
      <c r="I129" s="60">
        <f t="shared" si="27"/>
        <v>3161.64525</v>
      </c>
      <c r="J129" s="60">
        <f t="shared" si="27"/>
        <v>3161.64525</v>
      </c>
      <c r="K129" s="60">
        <f t="shared" si="27"/>
        <v>3161.64525</v>
      </c>
      <c r="L129" s="60">
        <f t="shared" si="27"/>
        <v>3161.64525</v>
      </c>
      <c r="M129" s="60">
        <f t="shared" si="27"/>
        <v>3161.64525</v>
      </c>
      <c r="N129" s="60">
        <f t="shared" si="27"/>
        <v>3161.64525</v>
      </c>
    </row>
    <row r="130" spans="1:14" x14ac:dyDescent="0.2">
      <c r="C130" s="60"/>
      <c r="D130" s="66"/>
      <c r="E130" s="66"/>
      <c r="F130" s="66"/>
      <c r="G130" s="66"/>
      <c r="H130" s="66"/>
      <c r="I130" s="66"/>
      <c r="J130" s="66"/>
      <c r="K130" s="66"/>
      <c r="L130" s="66"/>
      <c r="M130" s="66"/>
      <c r="N130" s="66"/>
    </row>
    <row r="131" spans="1:14" x14ac:dyDescent="0.2">
      <c r="C131" s="89" t="str">
        <f>C118</f>
        <v>January</v>
      </c>
      <c r="D131" s="89" t="str">
        <f t="shared" ref="D131:N131" si="28">D118</f>
        <v>February</v>
      </c>
      <c r="E131" s="89" t="str">
        <f t="shared" si="28"/>
        <v>March</v>
      </c>
      <c r="F131" s="89" t="str">
        <f t="shared" si="28"/>
        <v>April</v>
      </c>
      <c r="G131" s="89" t="str">
        <f t="shared" si="28"/>
        <v>May</v>
      </c>
      <c r="H131" s="89" t="str">
        <f t="shared" si="28"/>
        <v>June</v>
      </c>
      <c r="I131" s="89" t="str">
        <f t="shared" si="28"/>
        <v>July</v>
      </c>
      <c r="J131" s="89" t="str">
        <f t="shared" si="28"/>
        <v>August</v>
      </c>
      <c r="K131" s="89" t="str">
        <f t="shared" si="28"/>
        <v>September</v>
      </c>
      <c r="L131" s="89" t="str">
        <f t="shared" si="28"/>
        <v>October</v>
      </c>
      <c r="M131" s="89" t="str">
        <f t="shared" si="28"/>
        <v>November</v>
      </c>
      <c r="N131" s="89" t="str">
        <f t="shared" si="28"/>
        <v>December</v>
      </c>
    </row>
    <row r="132" spans="1:14" x14ac:dyDescent="0.2">
      <c r="C132" s="89">
        <f t="shared" ref="C132:N133" si="29">C119</f>
        <v>30</v>
      </c>
      <c r="D132" s="89">
        <f t="shared" si="29"/>
        <v>31</v>
      </c>
      <c r="E132" s="89">
        <f t="shared" si="29"/>
        <v>30</v>
      </c>
      <c r="F132" s="89">
        <f t="shared" si="29"/>
        <v>31</v>
      </c>
      <c r="G132" s="89">
        <f t="shared" si="29"/>
        <v>31</v>
      </c>
      <c r="H132" s="89">
        <f t="shared" si="29"/>
        <v>30</v>
      </c>
      <c r="I132" s="89">
        <f t="shared" si="29"/>
        <v>31</v>
      </c>
      <c r="J132" s="89">
        <f t="shared" si="29"/>
        <v>30</v>
      </c>
      <c r="K132" s="89">
        <f t="shared" si="29"/>
        <v>31</v>
      </c>
      <c r="L132" s="89">
        <f t="shared" si="29"/>
        <v>31</v>
      </c>
      <c r="M132" s="89">
        <f t="shared" si="29"/>
        <v>28</v>
      </c>
      <c r="N132" s="89">
        <f t="shared" si="29"/>
        <v>31</v>
      </c>
    </row>
    <row r="133" spans="1:14" x14ac:dyDescent="0.2">
      <c r="B133" s="89" t="s">
        <v>185</v>
      </c>
      <c r="C133" s="53">
        <f>C120</f>
        <v>0</v>
      </c>
      <c r="D133" s="78">
        <f t="shared" si="29"/>
        <v>1</v>
      </c>
      <c r="E133" s="78">
        <f t="shared" si="29"/>
        <v>0</v>
      </c>
      <c r="F133" s="78">
        <f t="shared" si="29"/>
        <v>1</v>
      </c>
      <c r="G133" s="78">
        <f t="shared" si="29"/>
        <v>0</v>
      </c>
      <c r="H133" s="78">
        <f t="shared" si="29"/>
        <v>1</v>
      </c>
      <c r="I133" s="78">
        <f t="shared" si="29"/>
        <v>1</v>
      </c>
      <c r="J133" s="78">
        <f t="shared" si="29"/>
        <v>1</v>
      </c>
      <c r="K133" s="78">
        <f t="shared" si="29"/>
        <v>1</v>
      </c>
      <c r="L133" s="78">
        <f t="shared" si="29"/>
        <v>2</v>
      </c>
      <c r="M133" s="78">
        <f t="shared" si="29"/>
        <v>1</v>
      </c>
      <c r="N133" s="78">
        <f t="shared" si="29"/>
        <v>0</v>
      </c>
    </row>
    <row r="134" spans="1:14" x14ac:dyDescent="0.2">
      <c r="B134" s="89" t="s">
        <v>44</v>
      </c>
      <c r="C134" s="49">
        <v>0.6</v>
      </c>
      <c r="D134" s="49">
        <v>0.6</v>
      </c>
      <c r="E134" s="49">
        <v>0.6</v>
      </c>
      <c r="F134" s="49">
        <v>0.6</v>
      </c>
      <c r="G134" s="49">
        <v>0.6</v>
      </c>
      <c r="H134" s="49">
        <v>0.6</v>
      </c>
      <c r="I134" s="49">
        <v>0.6</v>
      </c>
      <c r="J134" s="49">
        <v>0.6</v>
      </c>
      <c r="K134" s="49">
        <v>0.6</v>
      </c>
      <c r="L134" s="49">
        <v>0.6</v>
      </c>
      <c r="M134" s="49">
        <v>0.6</v>
      </c>
      <c r="N134" s="49">
        <v>0.6</v>
      </c>
    </row>
    <row r="135" spans="1:14" x14ac:dyDescent="0.2">
      <c r="B135" s="89" t="s">
        <v>186</v>
      </c>
      <c r="C135" s="53">
        <f>SUM(174*C134)</f>
        <v>104.39999999999999</v>
      </c>
      <c r="D135" s="53">
        <f t="shared" ref="D135:N135" si="30">SUM(174*D134)</f>
        <v>104.39999999999999</v>
      </c>
      <c r="E135" s="53">
        <f t="shared" si="30"/>
        <v>104.39999999999999</v>
      </c>
      <c r="F135" s="53">
        <f t="shared" si="30"/>
        <v>104.39999999999999</v>
      </c>
      <c r="G135" s="53">
        <f t="shared" si="30"/>
        <v>104.39999999999999</v>
      </c>
      <c r="H135" s="53">
        <f t="shared" si="30"/>
        <v>104.39999999999999</v>
      </c>
      <c r="I135" s="53">
        <f t="shared" si="30"/>
        <v>104.39999999999999</v>
      </c>
      <c r="J135" s="53">
        <f t="shared" si="30"/>
        <v>104.39999999999999</v>
      </c>
      <c r="K135" s="53">
        <f t="shared" si="30"/>
        <v>104.39999999999999</v>
      </c>
      <c r="L135" s="53">
        <f t="shared" si="30"/>
        <v>104.39999999999999</v>
      </c>
      <c r="M135" s="53">
        <f t="shared" si="30"/>
        <v>104.39999999999999</v>
      </c>
      <c r="N135" s="53">
        <f t="shared" si="30"/>
        <v>104.39999999999999</v>
      </c>
    </row>
    <row r="136" spans="1:14" x14ac:dyDescent="0.2">
      <c r="A136" s="223" t="s">
        <v>388</v>
      </c>
      <c r="B136" s="78" t="s">
        <v>389</v>
      </c>
      <c r="C136" s="66">
        <f>SUM($B$137*C135)</f>
        <v>1738.2599999999998</v>
      </c>
      <c r="D136" s="66">
        <f t="shared" ref="D136:N136" si="31">SUM($B$137*D135)</f>
        <v>1738.2599999999998</v>
      </c>
      <c r="E136" s="66">
        <f t="shared" si="31"/>
        <v>1738.2599999999998</v>
      </c>
      <c r="F136" s="66">
        <f t="shared" si="31"/>
        <v>1738.2599999999998</v>
      </c>
      <c r="G136" s="66">
        <f t="shared" si="31"/>
        <v>1738.2599999999998</v>
      </c>
      <c r="H136" s="66">
        <f t="shared" si="31"/>
        <v>1738.2599999999998</v>
      </c>
      <c r="I136" s="66">
        <f t="shared" si="31"/>
        <v>1738.2599999999998</v>
      </c>
      <c r="J136" s="66">
        <f t="shared" si="31"/>
        <v>1738.2599999999998</v>
      </c>
      <c r="K136" s="66">
        <f t="shared" si="31"/>
        <v>1738.2599999999998</v>
      </c>
      <c r="L136" s="66">
        <f t="shared" si="31"/>
        <v>1738.2599999999998</v>
      </c>
      <c r="M136" s="66">
        <f t="shared" si="31"/>
        <v>1738.2599999999998</v>
      </c>
      <c r="N136" s="66">
        <f t="shared" si="31"/>
        <v>1738.2599999999998</v>
      </c>
    </row>
    <row r="137" spans="1:14" x14ac:dyDescent="0.2">
      <c r="A137" s="59" t="s">
        <v>188</v>
      </c>
      <c r="B137" s="241">
        <f>15.75+0.9</f>
        <v>16.649999999999999</v>
      </c>
      <c r="C137" s="66">
        <f>SUM(C136)*'Data Links'!$B$15</f>
        <v>132.97688999999997</v>
      </c>
      <c r="D137" s="66">
        <f>SUM(D136)*'Data Links'!$B$15</f>
        <v>132.97688999999997</v>
      </c>
      <c r="E137" s="66">
        <f>SUM(E136)*'Data Links'!$B$15</f>
        <v>132.97688999999997</v>
      </c>
      <c r="F137" s="66">
        <f>SUM(F136)*'Data Links'!$B$15</f>
        <v>132.97688999999997</v>
      </c>
      <c r="G137" s="66">
        <f>SUM(G136)*'Data Links'!$B$15</f>
        <v>132.97688999999997</v>
      </c>
      <c r="H137" s="66">
        <f>SUM(H136)*'Data Links'!$B$15</f>
        <v>132.97688999999997</v>
      </c>
      <c r="I137" s="66">
        <f>SUM(I136)*'Data Links'!$B$15</f>
        <v>132.97688999999997</v>
      </c>
      <c r="J137" s="66">
        <f>SUM(J136)*'Data Links'!$B$15</f>
        <v>132.97688999999997</v>
      </c>
      <c r="K137" s="66">
        <f>SUM(K136)*'Data Links'!$B$15</f>
        <v>132.97688999999997</v>
      </c>
      <c r="L137" s="66">
        <f>SUM(L136)*'Data Links'!$B$15</f>
        <v>132.97688999999997</v>
      </c>
      <c r="M137" s="66">
        <f>SUM(M136)*'Data Links'!$B$15</f>
        <v>132.97688999999997</v>
      </c>
      <c r="N137" s="66">
        <f>SUM(N136)*'Data Links'!$B$15</f>
        <v>132.97688999999997</v>
      </c>
    </row>
    <row r="138" spans="1:14" x14ac:dyDescent="0.2">
      <c r="A138" s="59" t="s">
        <v>189</v>
      </c>
      <c r="B138" s="241">
        <f>13+0.9</f>
        <v>13.9</v>
      </c>
      <c r="C138" s="66">
        <f>SUM(C136*'Data Links'!$B$13)</f>
        <v>10.429559999999999</v>
      </c>
      <c r="D138" s="66">
        <f>SUM(D136*'Data Links'!$B$13)</f>
        <v>10.429559999999999</v>
      </c>
      <c r="E138" s="66">
        <f>SUM(E136*'Data Links'!$B$13)</f>
        <v>10.429559999999999</v>
      </c>
      <c r="F138" s="66">
        <f>SUM(F136*'Data Links'!$B$13)</f>
        <v>10.429559999999999</v>
      </c>
      <c r="G138" s="66">
        <f>SUM(G136*'Data Links'!$B$13)</f>
        <v>10.429559999999999</v>
      </c>
      <c r="H138" s="66">
        <f>SUM(H136*'Data Links'!$B$13)</f>
        <v>10.429559999999999</v>
      </c>
      <c r="I138" s="66">
        <f>SUM(I136*'Data Links'!$B$13)</f>
        <v>10.429559999999999</v>
      </c>
      <c r="J138" s="66">
        <f>SUM(J136*'Data Links'!$B$13)</f>
        <v>10.429559999999999</v>
      </c>
      <c r="K138" s="66">
        <f>SUM(K136*'Data Links'!$B$13)</f>
        <v>10.429559999999999</v>
      </c>
      <c r="L138" s="66">
        <f>SUM(L136*'Data Links'!$B$13)</f>
        <v>10.429559999999999</v>
      </c>
      <c r="M138" s="66">
        <f>SUM(M136*'Data Links'!$B$13)</f>
        <v>10.429559999999999</v>
      </c>
      <c r="N138" s="66">
        <f>SUM(N136*'Data Links'!$B$13)</f>
        <v>10.429559999999999</v>
      </c>
    </row>
    <row r="139" spans="1:14" x14ac:dyDescent="0.2">
      <c r="A139" s="59" t="s">
        <v>190</v>
      </c>
      <c r="C139" s="66">
        <f>SUM(C135*'Data Links'!$B$9)</f>
        <v>15.320699999999999</v>
      </c>
      <c r="D139" s="66">
        <f>SUM(D135*'Data Links'!$B$9)</f>
        <v>15.320699999999999</v>
      </c>
      <c r="E139" s="66">
        <f>SUM(E135*'Data Links'!$B$9)</f>
        <v>15.320699999999999</v>
      </c>
      <c r="F139" s="66">
        <f>SUM(F135*'Data Links'!$B$9)</f>
        <v>15.320699999999999</v>
      </c>
      <c r="G139" s="66">
        <f>SUM(G135*'Data Links'!$B$9)</f>
        <v>15.320699999999999</v>
      </c>
      <c r="H139" s="66">
        <f>SUM(H135*'Data Links'!$B$9)</f>
        <v>15.320699999999999</v>
      </c>
      <c r="I139" s="66">
        <f>SUM(I135*'Data Links'!$B$9)</f>
        <v>15.320699999999999</v>
      </c>
      <c r="J139" s="66">
        <f>SUM(J135*'Data Links'!$B$9)</f>
        <v>15.320699999999999</v>
      </c>
      <c r="K139" s="66">
        <f>SUM(K135*'Data Links'!$B$9)</f>
        <v>15.320699999999999</v>
      </c>
      <c r="L139" s="66">
        <f>SUM(L135*'Data Links'!$B$9)</f>
        <v>15.320699999999999</v>
      </c>
      <c r="M139" s="66">
        <f>SUM(M135*'Data Links'!$B$9)</f>
        <v>15.320699999999999</v>
      </c>
      <c r="N139" s="66">
        <f>SUM(N135*'Data Links'!$B$9)</f>
        <v>15.320699999999999</v>
      </c>
    </row>
    <row r="140" spans="1:14" x14ac:dyDescent="0.2">
      <c r="A140" s="59" t="s">
        <v>191</v>
      </c>
      <c r="C140" s="66"/>
      <c r="D140" s="66"/>
      <c r="E140" s="66"/>
      <c r="F140" s="66"/>
      <c r="G140" s="66"/>
      <c r="H140" s="66"/>
      <c r="I140" s="66"/>
      <c r="J140" s="66"/>
      <c r="K140" s="66"/>
      <c r="L140" s="66"/>
      <c r="M140" s="66"/>
      <c r="N140" s="66"/>
    </row>
    <row r="141" spans="1:14" x14ac:dyDescent="0.2">
      <c r="A141" s="59" t="s">
        <v>192</v>
      </c>
      <c r="C141" s="66">
        <f>SUM(C136*'Data Links'!$B$17)</f>
        <v>52.147799999999989</v>
      </c>
      <c r="D141" s="66">
        <f>SUM(D136*'Data Links'!$B$17)</f>
        <v>52.147799999999989</v>
      </c>
      <c r="E141" s="66">
        <f>SUM(E136*'Data Links'!$B$17)</f>
        <v>52.147799999999989</v>
      </c>
      <c r="F141" s="66">
        <f>SUM(F136*'Data Links'!$B$17)</f>
        <v>52.147799999999989</v>
      </c>
      <c r="G141" s="66">
        <f>SUM(G136*'Data Links'!$B$17)</f>
        <v>52.147799999999989</v>
      </c>
      <c r="H141" s="66">
        <f>SUM(H136*'Data Links'!$B$17)</f>
        <v>52.147799999999989</v>
      </c>
      <c r="I141" s="66">
        <f>SUM(I136*'Data Links'!$B$17)</f>
        <v>52.147799999999989</v>
      </c>
      <c r="J141" s="66">
        <f>SUM(J136*'Data Links'!$B$17)</f>
        <v>52.147799999999989</v>
      </c>
      <c r="K141" s="66">
        <f>SUM(K136*'Data Links'!$B$17)</f>
        <v>52.147799999999989</v>
      </c>
      <c r="L141" s="66">
        <f>SUM(L136*'Data Links'!$B$17)</f>
        <v>52.147799999999989</v>
      </c>
      <c r="M141" s="66">
        <f>SUM(M136*'Data Links'!$B$17)</f>
        <v>52.147799999999989</v>
      </c>
      <c r="N141" s="66">
        <f>SUM(N136*'Data Links'!$B$17)</f>
        <v>52.147799999999989</v>
      </c>
    </row>
    <row r="142" spans="1:14" s="58" customFormat="1" x14ac:dyDescent="0.2">
      <c r="A142" s="58" t="s">
        <v>144</v>
      </c>
      <c r="B142" s="60"/>
      <c r="C142" s="60">
        <f t="shared" ref="C142:N142" si="32">SUM(C136:C141)</f>
        <v>1949.1349499999997</v>
      </c>
      <c r="D142" s="60">
        <f t="shared" si="32"/>
        <v>1949.1349499999997</v>
      </c>
      <c r="E142" s="60">
        <f t="shared" si="32"/>
        <v>1949.1349499999997</v>
      </c>
      <c r="F142" s="60">
        <f t="shared" si="32"/>
        <v>1949.1349499999997</v>
      </c>
      <c r="G142" s="60">
        <f t="shared" si="32"/>
        <v>1949.1349499999997</v>
      </c>
      <c r="H142" s="60">
        <f t="shared" si="32"/>
        <v>1949.1349499999997</v>
      </c>
      <c r="I142" s="60">
        <f t="shared" si="32"/>
        <v>1949.1349499999997</v>
      </c>
      <c r="J142" s="60">
        <f t="shared" si="32"/>
        <v>1949.1349499999997</v>
      </c>
      <c r="K142" s="60">
        <f t="shared" si="32"/>
        <v>1949.1349499999997</v>
      </c>
      <c r="L142" s="60">
        <f t="shared" si="32"/>
        <v>1949.1349499999997</v>
      </c>
      <c r="M142" s="60">
        <f t="shared" si="32"/>
        <v>1949.1349499999997</v>
      </c>
      <c r="N142" s="60">
        <f t="shared" si="32"/>
        <v>1949.1349499999997</v>
      </c>
    </row>
    <row r="143" spans="1:14" x14ac:dyDescent="0.2">
      <c r="C143" s="60"/>
      <c r="D143" s="66"/>
      <c r="E143" s="66"/>
      <c r="F143" s="66"/>
      <c r="G143" s="66"/>
      <c r="H143" s="66"/>
      <c r="I143" s="66"/>
      <c r="J143" s="66"/>
      <c r="K143" s="66"/>
      <c r="L143" s="66"/>
      <c r="M143" s="66"/>
      <c r="N143" s="66"/>
    </row>
    <row r="144" spans="1:14" x14ac:dyDescent="0.2">
      <c r="C144" s="89" t="str">
        <f>C131</f>
        <v>January</v>
      </c>
      <c r="D144" s="89" t="str">
        <f t="shared" ref="D144:N144" si="33">D131</f>
        <v>February</v>
      </c>
      <c r="E144" s="89" t="str">
        <f t="shared" si="33"/>
        <v>March</v>
      </c>
      <c r="F144" s="89" t="str">
        <f t="shared" si="33"/>
        <v>April</v>
      </c>
      <c r="G144" s="89" t="str">
        <f t="shared" si="33"/>
        <v>May</v>
      </c>
      <c r="H144" s="89" t="str">
        <f t="shared" si="33"/>
        <v>June</v>
      </c>
      <c r="I144" s="89" t="str">
        <f t="shared" si="33"/>
        <v>July</v>
      </c>
      <c r="J144" s="89" t="str">
        <f t="shared" si="33"/>
        <v>August</v>
      </c>
      <c r="K144" s="89" t="str">
        <f t="shared" si="33"/>
        <v>September</v>
      </c>
      <c r="L144" s="89" t="str">
        <f t="shared" si="33"/>
        <v>October</v>
      </c>
      <c r="M144" s="89" t="str">
        <f t="shared" si="33"/>
        <v>November</v>
      </c>
      <c r="N144" s="89" t="str">
        <f t="shared" si="33"/>
        <v>December</v>
      </c>
    </row>
    <row r="145" spans="1:14" x14ac:dyDescent="0.2">
      <c r="C145" s="89">
        <f t="shared" ref="C145:N146" si="34">C132</f>
        <v>30</v>
      </c>
      <c r="D145" s="89">
        <f t="shared" si="34"/>
        <v>31</v>
      </c>
      <c r="E145" s="89">
        <f t="shared" si="34"/>
        <v>30</v>
      </c>
      <c r="F145" s="89">
        <f t="shared" si="34"/>
        <v>31</v>
      </c>
      <c r="G145" s="89">
        <f t="shared" si="34"/>
        <v>31</v>
      </c>
      <c r="H145" s="89">
        <f t="shared" si="34"/>
        <v>30</v>
      </c>
      <c r="I145" s="89">
        <f t="shared" si="34"/>
        <v>31</v>
      </c>
      <c r="J145" s="89">
        <f t="shared" si="34"/>
        <v>30</v>
      </c>
      <c r="K145" s="89">
        <f t="shared" si="34"/>
        <v>31</v>
      </c>
      <c r="L145" s="89">
        <f t="shared" si="34"/>
        <v>31</v>
      </c>
      <c r="M145" s="89">
        <f t="shared" si="34"/>
        <v>28</v>
      </c>
      <c r="N145" s="89">
        <f t="shared" si="34"/>
        <v>31</v>
      </c>
    </row>
    <row r="146" spans="1:14" x14ac:dyDescent="0.2">
      <c r="B146" s="89" t="s">
        <v>185</v>
      </c>
      <c r="C146" s="78">
        <f t="shared" si="34"/>
        <v>0</v>
      </c>
      <c r="D146" s="78">
        <f t="shared" si="34"/>
        <v>1</v>
      </c>
      <c r="E146" s="78">
        <f t="shared" si="34"/>
        <v>0</v>
      </c>
      <c r="F146" s="78">
        <f t="shared" si="34"/>
        <v>1</v>
      </c>
      <c r="G146" s="78">
        <f t="shared" si="34"/>
        <v>0</v>
      </c>
      <c r="H146" s="78">
        <f t="shared" si="34"/>
        <v>1</v>
      </c>
      <c r="I146" s="78">
        <f t="shared" si="34"/>
        <v>1</v>
      </c>
      <c r="J146" s="78">
        <f t="shared" si="34"/>
        <v>1</v>
      </c>
      <c r="K146" s="78">
        <f t="shared" si="34"/>
        <v>1</v>
      </c>
      <c r="L146" s="78">
        <f t="shared" si="34"/>
        <v>2</v>
      </c>
      <c r="M146" s="78">
        <f t="shared" si="34"/>
        <v>1</v>
      </c>
      <c r="N146" s="78">
        <f t="shared" si="34"/>
        <v>0</v>
      </c>
    </row>
    <row r="147" spans="1:14" x14ac:dyDescent="0.2">
      <c r="B147" s="89" t="s">
        <v>44</v>
      </c>
      <c r="C147" s="49">
        <v>1</v>
      </c>
      <c r="D147" s="49">
        <v>1</v>
      </c>
      <c r="E147" s="49">
        <v>1</v>
      </c>
      <c r="F147" s="49">
        <v>1</v>
      </c>
      <c r="G147" s="49">
        <v>1</v>
      </c>
      <c r="H147" s="49">
        <v>1</v>
      </c>
      <c r="I147" s="49">
        <v>1</v>
      </c>
      <c r="J147" s="49">
        <v>1</v>
      </c>
      <c r="K147" s="49">
        <v>1</v>
      </c>
      <c r="L147" s="49">
        <v>1</v>
      </c>
      <c r="M147" s="49">
        <v>1</v>
      </c>
      <c r="N147" s="49">
        <v>1</v>
      </c>
    </row>
    <row r="148" spans="1:14" x14ac:dyDescent="0.2">
      <c r="B148" s="78" t="s">
        <v>186</v>
      </c>
      <c r="C148" s="53">
        <f>SUM(174*C147)</f>
        <v>174</v>
      </c>
      <c r="D148" s="53">
        <f t="shared" ref="D148:N148" si="35">SUM(174*D147)</f>
        <v>174</v>
      </c>
      <c r="E148" s="53">
        <f t="shared" si="35"/>
        <v>174</v>
      </c>
      <c r="F148" s="53">
        <f t="shared" si="35"/>
        <v>174</v>
      </c>
      <c r="G148" s="53">
        <f t="shared" si="35"/>
        <v>174</v>
      </c>
      <c r="H148" s="53">
        <f t="shared" si="35"/>
        <v>174</v>
      </c>
      <c r="I148" s="53">
        <f t="shared" si="35"/>
        <v>174</v>
      </c>
      <c r="J148" s="53">
        <f t="shared" si="35"/>
        <v>174</v>
      </c>
      <c r="K148" s="53">
        <f t="shared" si="35"/>
        <v>174</v>
      </c>
      <c r="L148" s="53">
        <f t="shared" si="35"/>
        <v>174</v>
      </c>
      <c r="M148" s="53">
        <f t="shared" si="35"/>
        <v>174</v>
      </c>
      <c r="N148" s="53">
        <f t="shared" si="35"/>
        <v>174</v>
      </c>
    </row>
    <row r="149" spans="1:14" x14ac:dyDescent="0.2">
      <c r="A149" s="59" t="s">
        <v>476</v>
      </c>
      <c r="B149" s="78" t="s">
        <v>256</v>
      </c>
      <c r="C149" s="66">
        <f>SUM(C148*$B$150)</f>
        <v>3901.0800000000004</v>
      </c>
      <c r="D149" s="66">
        <f t="shared" ref="D149:N149" si="36">SUM(D148*$B$150)</f>
        <v>3901.0800000000004</v>
      </c>
      <c r="E149" s="66">
        <f t="shared" si="36"/>
        <v>3901.0800000000004</v>
      </c>
      <c r="F149" s="66">
        <f t="shared" si="36"/>
        <v>3901.0800000000004</v>
      </c>
      <c r="G149" s="66">
        <f t="shared" si="36"/>
        <v>3901.0800000000004</v>
      </c>
      <c r="H149" s="66">
        <f t="shared" si="36"/>
        <v>3901.0800000000004</v>
      </c>
      <c r="I149" s="66">
        <f t="shared" si="36"/>
        <v>3901.0800000000004</v>
      </c>
      <c r="J149" s="66">
        <f t="shared" si="36"/>
        <v>3901.0800000000004</v>
      </c>
      <c r="K149" s="66">
        <f t="shared" si="36"/>
        <v>3901.0800000000004</v>
      </c>
      <c r="L149" s="66">
        <f t="shared" si="36"/>
        <v>3901.0800000000004</v>
      </c>
      <c r="M149" s="66">
        <f t="shared" si="36"/>
        <v>3901.0800000000004</v>
      </c>
      <c r="N149" s="66">
        <f t="shared" si="36"/>
        <v>3901.0800000000004</v>
      </c>
    </row>
    <row r="150" spans="1:14" x14ac:dyDescent="0.2">
      <c r="A150" s="59" t="s">
        <v>188</v>
      </c>
      <c r="B150" s="74">
        <v>22.42</v>
      </c>
      <c r="C150" s="66">
        <f>SUM(C149)*'Data Links'!$B$15</f>
        <v>298.43262000000004</v>
      </c>
      <c r="D150" s="66">
        <f>SUM(D149)*'Data Links'!$B$15</f>
        <v>298.43262000000004</v>
      </c>
      <c r="E150" s="66">
        <f>SUM(E149)*'Data Links'!$B$15</f>
        <v>298.43262000000004</v>
      </c>
      <c r="F150" s="66">
        <f>SUM(F149)*'Data Links'!$B$15</f>
        <v>298.43262000000004</v>
      </c>
      <c r="G150" s="66">
        <f>SUM(G149)*'Data Links'!$B$15</f>
        <v>298.43262000000004</v>
      </c>
      <c r="H150" s="66">
        <f>SUM(H149)*'Data Links'!$B$15</f>
        <v>298.43262000000004</v>
      </c>
      <c r="I150" s="66">
        <f>SUM(I149)*'Data Links'!$B$15</f>
        <v>298.43262000000004</v>
      </c>
      <c r="J150" s="66">
        <f>SUM(J149)*'Data Links'!$B$15</f>
        <v>298.43262000000004</v>
      </c>
      <c r="K150" s="66">
        <f>SUM(K149)*'Data Links'!$B$15</f>
        <v>298.43262000000004</v>
      </c>
      <c r="L150" s="66">
        <f>SUM(L149)*'Data Links'!$B$15</f>
        <v>298.43262000000004</v>
      </c>
      <c r="M150" s="66">
        <f>SUM(M149)*'Data Links'!$B$15</f>
        <v>298.43262000000004</v>
      </c>
      <c r="N150" s="66">
        <f>SUM(N149)*'Data Links'!$B$15</f>
        <v>298.43262000000004</v>
      </c>
    </row>
    <row r="151" spans="1:14" x14ac:dyDescent="0.2">
      <c r="A151" s="59" t="s">
        <v>189</v>
      </c>
      <c r="C151" s="66">
        <f>SUM(C149*'Data Links'!$B$13)</f>
        <v>23.406480000000002</v>
      </c>
      <c r="D151" s="66">
        <f>SUM(D149*'Data Links'!$B$13)</f>
        <v>23.406480000000002</v>
      </c>
      <c r="E151" s="66">
        <f>SUM(E149*'Data Links'!$B$13)</f>
        <v>23.406480000000002</v>
      </c>
      <c r="F151" s="66">
        <f>SUM(F149*'Data Links'!$B$13)</f>
        <v>23.406480000000002</v>
      </c>
      <c r="G151" s="66">
        <f>SUM(G149*'Data Links'!$B$13)</f>
        <v>23.406480000000002</v>
      </c>
      <c r="H151" s="66">
        <f>SUM(H149*'Data Links'!$B$13)</f>
        <v>23.406480000000002</v>
      </c>
      <c r="I151" s="66">
        <f>SUM(I149*'Data Links'!$B$13)</f>
        <v>23.406480000000002</v>
      </c>
      <c r="J151" s="66">
        <f>SUM(J149*'Data Links'!$B$13)</f>
        <v>23.406480000000002</v>
      </c>
      <c r="K151" s="66">
        <f>SUM(K149*'Data Links'!$B$13)</f>
        <v>23.406480000000002</v>
      </c>
      <c r="L151" s="66">
        <f>SUM(L149*'Data Links'!$B$13)</f>
        <v>23.406480000000002</v>
      </c>
      <c r="M151" s="66">
        <f>SUM(M149*'Data Links'!$B$13)</f>
        <v>23.406480000000002</v>
      </c>
      <c r="N151" s="66">
        <f>SUM(N149*'Data Links'!$B$13)</f>
        <v>23.406480000000002</v>
      </c>
    </row>
    <row r="152" spans="1:14" x14ac:dyDescent="0.2">
      <c r="A152" s="59" t="s">
        <v>190</v>
      </c>
      <c r="C152" s="66">
        <f>SUM(C148*'Data Links'!$B$9)</f>
        <v>25.534499999999998</v>
      </c>
      <c r="D152" s="66">
        <f>SUM(D148*'Data Links'!$B$9)</f>
        <v>25.534499999999998</v>
      </c>
      <c r="E152" s="66">
        <f>SUM(E148*'Data Links'!$B$9)</f>
        <v>25.534499999999998</v>
      </c>
      <c r="F152" s="66">
        <f>SUM(F148*'Data Links'!$B$9)</f>
        <v>25.534499999999998</v>
      </c>
      <c r="G152" s="66">
        <f>SUM(G148*'Data Links'!$B$9)</f>
        <v>25.534499999999998</v>
      </c>
      <c r="H152" s="66">
        <f>SUM(H148*'Data Links'!$B$9)</f>
        <v>25.534499999999998</v>
      </c>
      <c r="I152" s="66">
        <f>SUM(I148*'Data Links'!$B$9)</f>
        <v>25.534499999999998</v>
      </c>
      <c r="J152" s="66">
        <f>SUM(J148*'Data Links'!$B$9)</f>
        <v>25.534499999999998</v>
      </c>
      <c r="K152" s="66">
        <f>SUM(K148*'Data Links'!$B$9)</f>
        <v>25.534499999999998</v>
      </c>
      <c r="L152" s="66">
        <f>SUM(L148*'Data Links'!$B$9)</f>
        <v>25.534499999999998</v>
      </c>
      <c r="M152" s="66">
        <f>SUM(M148*'Data Links'!$B$9)</f>
        <v>25.534499999999998</v>
      </c>
      <c r="N152" s="66">
        <f>SUM(N148*'Data Links'!$B$9)</f>
        <v>25.534499999999998</v>
      </c>
    </row>
    <row r="153" spans="1:14" x14ac:dyDescent="0.2">
      <c r="A153" s="59" t="s">
        <v>191</v>
      </c>
      <c r="C153" s="66">
        <f>SUM('All Employees'!$P$52)</f>
        <v>396.6078</v>
      </c>
      <c r="D153" s="66">
        <f>SUM('All Employees'!$P$52)</f>
        <v>396.6078</v>
      </c>
      <c r="E153" s="66">
        <f>SUM('All Employees'!$P$52)</f>
        <v>396.6078</v>
      </c>
      <c r="F153" s="66">
        <f>SUM('All Employees'!$P$52)</f>
        <v>396.6078</v>
      </c>
      <c r="G153" s="66">
        <f>SUM('All Employees'!$P$52)</f>
        <v>396.6078</v>
      </c>
      <c r="H153" s="66">
        <f>SUM('All Employees'!$P$52)</f>
        <v>396.6078</v>
      </c>
      <c r="I153" s="66">
        <f>SUM('All Employees'!$P$52)</f>
        <v>396.6078</v>
      </c>
      <c r="J153" s="66">
        <f>SUM('All Employees'!$P$52)</f>
        <v>396.6078</v>
      </c>
      <c r="K153" s="66">
        <f>SUM('All Employees'!$P$52)</f>
        <v>396.6078</v>
      </c>
      <c r="L153" s="66">
        <f>SUM('All Employees'!$P$52)</f>
        <v>396.6078</v>
      </c>
      <c r="M153" s="66">
        <f>SUM('All Employees'!$P$52)</f>
        <v>396.6078</v>
      </c>
      <c r="N153" s="66">
        <f>SUM('All Employees'!$P$52)</f>
        <v>396.6078</v>
      </c>
    </row>
    <row r="154" spans="1:14" x14ac:dyDescent="0.2">
      <c r="A154" s="59" t="s">
        <v>192</v>
      </c>
      <c r="C154" s="66">
        <f>SUM(C149*'Data Links'!$B$17)</f>
        <v>117.03240000000001</v>
      </c>
      <c r="D154" s="66">
        <f>SUM(D149*'Data Links'!$B$17)</f>
        <v>117.03240000000001</v>
      </c>
      <c r="E154" s="66">
        <f>SUM(E149*'Data Links'!$B$17)</f>
        <v>117.03240000000001</v>
      </c>
      <c r="F154" s="66">
        <f>SUM(F149*'Data Links'!$B$17)</f>
        <v>117.03240000000001</v>
      </c>
      <c r="G154" s="66">
        <f>SUM(G149*'Data Links'!$B$17)</f>
        <v>117.03240000000001</v>
      </c>
      <c r="H154" s="66">
        <f>SUM(H149*'Data Links'!$B$17)</f>
        <v>117.03240000000001</v>
      </c>
      <c r="I154" s="66">
        <f>SUM(I149*'Data Links'!$B$17)</f>
        <v>117.03240000000001</v>
      </c>
      <c r="J154" s="66">
        <f>SUM(J149*'Data Links'!$B$17)</f>
        <v>117.03240000000001</v>
      </c>
      <c r="K154" s="66">
        <f>SUM(K149*'Data Links'!$B$17)</f>
        <v>117.03240000000001</v>
      </c>
      <c r="L154" s="66">
        <f>SUM(L149*'Data Links'!$B$17)</f>
        <v>117.03240000000001</v>
      </c>
      <c r="M154" s="66">
        <f>SUM(M149*'Data Links'!$B$17)</f>
        <v>117.03240000000001</v>
      </c>
      <c r="N154" s="66">
        <f>SUM(N149*'Data Links'!$B$17)</f>
        <v>117.03240000000001</v>
      </c>
    </row>
    <row r="155" spans="1:14" s="58" customFormat="1" x14ac:dyDescent="0.2">
      <c r="A155" s="58" t="s">
        <v>144</v>
      </c>
      <c r="B155" s="60"/>
      <c r="C155" s="60">
        <f t="shared" ref="C155:N155" si="37">SUM(C149:C154)</f>
        <v>4762.0937999999996</v>
      </c>
      <c r="D155" s="60">
        <f t="shared" si="37"/>
        <v>4762.0937999999996</v>
      </c>
      <c r="E155" s="60">
        <f t="shared" si="37"/>
        <v>4762.0937999999996</v>
      </c>
      <c r="F155" s="60">
        <f t="shared" si="37"/>
        <v>4762.0937999999996</v>
      </c>
      <c r="G155" s="60">
        <f t="shared" si="37"/>
        <v>4762.0937999999996</v>
      </c>
      <c r="H155" s="60">
        <f t="shared" si="37"/>
        <v>4762.0937999999996</v>
      </c>
      <c r="I155" s="60">
        <f t="shared" si="37"/>
        <v>4762.0937999999996</v>
      </c>
      <c r="J155" s="60">
        <f t="shared" si="37"/>
        <v>4762.0937999999996</v>
      </c>
      <c r="K155" s="60">
        <f t="shared" si="37"/>
        <v>4762.0937999999996</v>
      </c>
      <c r="L155" s="60">
        <f t="shared" si="37"/>
        <v>4762.0937999999996</v>
      </c>
      <c r="M155" s="60">
        <f t="shared" si="37"/>
        <v>4762.0937999999996</v>
      </c>
      <c r="N155" s="60">
        <f t="shared" si="37"/>
        <v>4762.0937999999996</v>
      </c>
    </row>
    <row r="156" spans="1:14" x14ac:dyDescent="0.2">
      <c r="C156" s="60"/>
      <c r="D156" s="66"/>
      <c r="E156" s="66"/>
      <c r="F156" s="66"/>
      <c r="G156" s="66"/>
      <c r="H156" s="66"/>
      <c r="I156" s="66"/>
      <c r="J156" s="66"/>
      <c r="K156" s="66"/>
      <c r="L156" s="66"/>
      <c r="M156" s="66"/>
      <c r="N156" s="66"/>
    </row>
    <row r="157" spans="1:14" x14ac:dyDescent="0.2">
      <c r="C157" s="89" t="str">
        <f>C144</f>
        <v>January</v>
      </c>
      <c r="D157" s="89" t="str">
        <f t="shared" ref="D157:N157" si="38">D144</f>
        <v>February</v>
      </c>
      <c r="E157" s="89" t="str">
        <f t="shared" si="38"/>
        <v>March</v>
      </c>
      <c r="F157" s="89" t="str">
        <f t="shared" si="38"/>
        <v>April</v>
      </c>
      <c r="G157" s="89" t="str">
        <f t="shared" si="38"/>
        <v>May</v>
      </c>
      <c r="H157" s="89" t="str">
        <f t="shared" si="38"/>
        <v>June</v>
      </c>
      <c r="I157" s="89" t="str">
        <f t="shared" si="38"/>
        <v>July</v>
      </c>
      <c r="J157" s="89" t="str">
        <f t="shared" si="38"/>
        <v>August</v>
      </c>
      <c r="K157" s="89" t="str">
        <f t="shared" si="38"/>
        <v>September</v>
      </c>
      <c r="L157" s="89" t="str">
        <f t="shared" si="38"/>
        <v>October</v>
      </c>
      <c r="M157" s="89" t="str">
        <f t="shared" si="38"/>
        <v>November</v>
      </c>
      <c r="N157" s="89" t="str">
        <f t="shared" si="38"/>
        <v>December</v>
      </c>
    </row>
    <row r="158" spans="1:14" x14ac:dyDescent="0.2">
      <c r="C158" s="89">
        <f t="shared" ref="C158:N159" si="39">C145</f>
        <v>30</v>
      </c>
      <c r="D158" s="89">
        <f t="shared" si="39"/>
        <v>31</v>
      </c>
      <c r="E158" s="89">
        <f t="shared" si="39"/>
        <v>30</v>
      </c>
      <c r="F158" s="89">
        <f t="shared" si="39"/>
        <v>31</v>
      </c>
      <c r="G158" s="89">
        <f t="shared" si="39"/>
        <v>31</v>
      </c>
      <c r="H158" s="89">
        <f t="shared" si="39"/>
        <v>30</v>
      </c>
      <c r="I158" s="89">
        <f t="shared" si="39"/>
        <v>31</v>
      </c>
      <c r="J158" s="89">
        <f t="shared" si="39"/>
        <v>30</v>
      </c>
      <c r="K158" s="89">
        <f t="shared" si="39"/>
        <v>31</v>
      </c>
      <c r="L158" s="89">
        <f t="shared" si="39"/>
        <v>31</v>
      </c>
      <c r="M158" s="89">
        <f t="shared" si="39"/>
        <v>28</v>
      </c>
      <c r="N158" s="89">
        <f t="shared" si="39"/>
        <v>31</v>
      </c>
    </row>
    <row r="159" spans="1:14" x14ac:dyDescent="0.2">
      <c r="B159" s="89" t="s">
        <v>185</v>
      </c>
      <c r="C159" s="78">
        <f t="shared" si="39"/>
        <v>0</v>
      </c>
      <c r="D159" s="78">
        <f t="shared" si="39"/>
        <v>1</v>
      </c>
      <c r="E159" s="78">
        <f t="shared" si="39"/>
        <v>0</v>
      </c>
      <c r="F159" s="78">
        <f t="shared" si="39"/>
        <v>1</v>
      </c>
      <c r="G159" s="78">
        <f t="shared" si="39"/>
        <v>0</v>
      </c>
      <c r="H159" s="78">
        <f t="shared" si="39"/>
        <v>1</v>
      </c>
      <c r="I159" s="78">
        <f t="shared" si="39"/>
        <v>1</v>
      </c>
      <c r="J159" s="78">
        <f t="shared" si="39"/>
        <v>1</v>
      </c>
      <c r="K159" s="78">
        <f t="shared" si="39"/>
        <v>1</v>
      </c>
      <c r="L159" s="78">
        <f t="shared" si="39"/>
        <v>2</v>
      </c>
      <c r="M159" s="78">
        <f t="shared" si="39"/>
        <v>1</v>
      </c>
      <c r="N159" s="78">
        <f t="shared" si="39"/>
        <v>0</v>
      </c>
    </row>
    <row r="160" spans="1:14" x14ac:dyDescent="0.2">
      <c r="B160" s="89" t="s">
        <v>44</v>
      </c>
      <c r="C160" s="49">
        <v>0.3</v>
      </c>
      <c r="D160" s="49">
        <v>0.3</v>
      </c>
      <c r="E160" s="49">
        <v>0.3</v>
      </c>
      <c r="F160" s="49">
        <v>0.3</v>
      </c>
      <c r="G160" s="49">
        <v>0.3</v>
      </c>
      <c r="H160" s="49">
        <v>0.3</v>
      </c>
      <c r="I160" s="49">
        <v>0.3</v>
      </c>
      <c r="J160" s="49">
        <v>0.3</v>
      </c>
      <c r="K160" s="49">
        <v>0.3</v>
      </c>
      <c r="L160" s="49">
        <v>0.3</v>
      </c>
      <c r="M160" s="49">
        <v>0.3</v>
      </c>
      <c r="N160" s="49">
        <v>0.3</v>
      </c>
    </row>
    <row r="161" spans="1:15" x14ac:dyDescent="0.2">
      <c r="B161" s="78" t="s">
        <v>186</v>
      </c>
      <c r="C161" s="53">
        <f>SUM(174*C160)</f>
        <v>52.199999999999996</v>
      </c>
      <c r="D161" s="53">
        <f t="shared" ref="D161:N161" si="40">SUM(174*D160)</f>
        <v>52.199999999999996</v>
      </c>
      <c r="E161" s="53">
        <f t="shared" si="40"/>
        <v>52.199999999999996</v>
      </c>
      <c r="F161" s="53">
        <f t="shared" si="40"/>
        <v>52.199999999999996</v>
      </c>
      <c r="G161" s="53">
        <f t="shared" si="40"/>
        <v>52.199999999999996</v>
      </c>
      <c r="H161" s="53">
        <f t="shared" si="40"/>
        <v>52.199999999999996</v>
      </c>
      <c r="I161" s="53">
        <f t="shared" si="40"/>
        <v>52.199999999999996</v>
      </c>
      <c r="J161" s="53">
        <f t="shared" si="40"/>
        <v>52.199999999999996</v>
      </c>
      <c r="K161" s="53">
        <f t="shared" si="40"/>
        <v>52.199999999999996</v>
      </c>
      <c r="L161" s="53">
        <f t="shared" si="40"/>
        <v>52.199999999999996</v>
      </c>
      <c r="M161" s="53">
        <f t="shared" si="40"/>
        <v>52.199999999999996</v>
      </c>
      <c r="N161" s="53">
        <f t="shared" si="40"/>
        <v>52.199999999999996</v>
      </c>
    </row>
    <row r="162" spans="1:15" x14ac:dyDescent="0.2">
      <c r="A162" s="59" t="s">
        <v>376</v>
      </c>
      <c r="B162" s="78" t="s">
        <v>377</v>
      </c>
      <c r="C162" s="66">
        <f>SUM(C161*$B$163)</f>
        <v>1016.856</v>
      </c>
      <c r="D162" s="66">
        <f t="shared" ref="D162:N162" si="41">SUM(D161*$B$163)</f>
        <v>1016.856</v>
      </c>
      <c r="E162" s="66">
        <f t="shared" si="41"/>
        <v>1016.856</v>
      </c>
      <c r="F162" s="66">
        <f t="shared" si="41"/>
        <v>1016.856</v>
      </c>
      <c r="G162" s="66">
        <f t="shared" si="41"/>
        <v>1016.856</v>
      </c>
      <c r="H162" s="66">
        <f t="shared" si="41"/>
        <v>1016.856</v>
      </c>
      <c r="I162" s="66">
        <f t="shared" si="41"/>
        <v>1016.856</v>
      </c>
      <c r="J162" s="66">
        <f t="shared" si="41"/>
        <v>1016.856</v>
      </c>
      <c r="K162" s="66">
        <f t="shared" si="41"/>
        <v>1016.856</v>
      </c>
      <c r="L162" s="66">
        <f t="shared" si="41"/>
        <v>1016.856</v>
      </c>
      <c r="M162" s="66">
        <f t="shared" si="41"/>
        <v>1016.856</v>
      </c>
      <c r="N162" s="66">
        <f t="shared" si="41"/>
        <v>1016.856</v>
      </c>
    </row>
    <row r="163" spans="1:15" x14ac:dyDescent="0.2">
      <c r="A163" s="59" t="s">
        <v>188</v>
      </c>
      <c r="B163" s="74">
        <v>19.48</v>
      </c>
      <c r="C163" s="66">
        <f>SUM(C162)*'Data Links'!$B$15</f>
        <v>77.789484000000002</v>
      </c>
      <c r="D163" s="66">
        <f>SUM(D162)*'Data Links'!$B$15</f>
        <v>77.789484000000002</v>
      </c>
      <c r="E163" s="66">
        <f>SUM(E162)*'Data Links'!$B$15</f>
        <v>77.789484000000002</v>
      </c>
      <c r="F163" s="66">
        <f>SUM(F162)*'Data Links'!$B$15</f>
        <v>77.789484000000002</v>
      </c>
      <c r="G163" s="66">
        <f>SUM(G162)*'Data Links'!$B$15</f>
        <v>77.789484000000002</v>
      </c>
      <c r="H163" s="66">
        <f>SUM(H162)*'Data Links'!$B$15</f>
        <v>77.789484000000002</v>
      </c>
      <c r="I163" s="66">
        <f>SUM(I162)*'Data Links'!$B$15</f>
        <v>77.789484000000002</v>
      </c>
      <c r="J163" s="66">
        <f>SUM(J162)*'Data Links'!$B$15</f>
        <v>77.789484000000002</v>
      </c>
      <c r="K163" s="66">
        <f>SUM(K162)*'Data Links'!$B$15</f>
        <v>77.789484000000002</v>
      </c>
      <c r="L163" s="66">
        <f>SUM(L162)*'Data Links'!$B$15</f>
        <v>77.789484000000002</v>
      </c>
      <c r="M163" s="66">
        <f>SUM(M162)*'Data Links'!$B$15</f>
        <v>77.789484000000002</v>
      </c>
      <c r="N163" s="66">
        <f>SUM(N162)*'Data Links'!$B$15</f>
        <v>77.789484000000002</v>
      </c>
    </row>
    <row r="164" spans="1:15" x14ac:dyDescent="0.2">
      <c r="A164" s="59" t="s">
        <v>189</v>
      </c>
      <c r="C164" s="66">
        <f>SUM(C162*'Data Links'!$B$13)</f>
        <v>6.1011360000000003</v>
      </c>
      <c r="D164" s="66">
        <f>SUM(D162*'Data Links'!$B$13)</f>
        <v>6.1011360000000003</v>
      </c>
      <c r="E164" s="66">
        <f>SUM(E162*'Data Links'!$B$13)</f>
        <v>6.1011360000000003</v>
      </c>
      <c r="F164" s="66">
        <f>SUM(F162*'Data Links'!$B$13)</f>
        <v>6.1011360000000003</v>
      </c>
      <c r="G164" s="66">
        <f>SUM(G162*'Data Links'!$B$13)</f>
        <v>6.1011360000000003</v>
      </c>
      <c r="H164" s="66">
        <f>SUM(H162*'Data Links'!$B$13)</f>
        <v>6.1011360000000003</v>
      </c>
      <c r="I164" s="66">
        <f>SUM(I162*'Data Links'!$B$13)</f>
        <v>6.1011360000000003</v>
      </c>
      <c r="J164" s="66">
        <f>SUM(J162*'Data Links'!$B$13)</f>
        <v>6.1011360000000003</v>
      </c>
      <c r="K164" s="66">
        <f>SUM(K162*'Data Links'!$B$13)</f>
        <v>6.1011360000000003</v>
      </c>
      <c r="L164" s="66">
        <f>SUM(L162*'Data Links'!$B$13)</f>
        <v>6.1011360000000003</v>
      </c>
      <c r="M164" s="66">
        <f>SUM(M162*'Data Links'!$B$13)</f>
        <v>6.1011360000000003</v>
      </c>
      <c r="N164" s="66">
        <f>SUM(N162*'Data Links'!$B$13)</f>
        <v>6.1011360000000003</v>
      </c>
    </row>
    <row r="165" spans="1:15" x14ac:dyDescent="0.2">
      <c r="A165" s="59" t="s">
        <v>190</v>
      </c>
      <c r="C165" s="66">
        <f>SUM(C161*'Data Links'!$B$9)</f>
        <v>7.6603499999999993</v>
      </c>
      <c r="D165" s="66">
        <f>SUM(D161*'Data Links'!$B$9)</f>
        <v>7.6603499999999993</v>
      </c>
      <c r="E165" s="66">
        <f>SUM(E161*'Data Links'!$B$9)</f>
        <v>7.6603499999999993</v>
      </c>
      <c r="F165" s="66">
        <f>SUM(F161*'Data Links'!$B$9)</f>
        <v>7.6603499999999993</v>
      </c>
      <c r="G165" s="66">
        <f>SUM(G161*'Data Links'!$B$9)</f>
        <v>7.6603499999999993</v>
      </c>
      <c r="H165" s="66">
        <f>SUM(H161*'Data Links'!$B$9)</f>
        <v>7.6603499999999993</v>
      </c>
      <c r="I165" s="66">
        <f>SUM(I161*'Data Links'!$B$9)</f>
        <v>7.6603499999999993</v>
      </c>
      <c r="J165" s="66">
        <f>SUM(J161*'Data Links'!$B$9)</f>
        <v>7.6603499999999993</v>
      </c>
      <c r="K165" s="66">
        <f>SUM(K161*'Data Links'!$B$9)</f>
        <v>7.6603499999999993</v>
      </c>
      <c r="L165" s="66">
        <f>SUM(L161*'Data Links'!$B$9)</f>
        <v>7.6603499999999993</v>
      </c>
      <c r="M165" s="66">
        <f>SUM(M161*'Data Links'!$B$9)</f>
        <v>7.6603499999999993</v>
      </c>
      <c r="N165" s="66">
        <f>SUM(N161*'Data Links'!$B$9)</f>
        <v>7.6603499999999993</v>
      </c>
    </row>
    <row r="166" spans="1:15" x14ac:dyDescent="0.2">
      <c r="A166" s="59" t="s">
        <v>191</v>
      </c>
      <c r="C166" s="66"/>
      <c r="D166" s="66"/>
      <c r="E166" s="66"/>
      <c r="F166" s="66"/>
      <c r="G166" s="66"/>
      <c r="H166" s="66"/>
      <c r="I166" s="66"/>
      <c r="J166" s="66"/>
      <c r="K166" s="66"/>
      <c r="L166" s="66"/>
      <c r="M166" s="66"/>
      <c r="N166" s="66"/>
    </row>
    <row r="167" spans="1:15" x14ac:dyDescent="0.2">
      <c r="A167" s="59" t="s">
        <v>192</v>
      </c>
      <c r="C167" s="66">
        <f>SUM(C162*'Data Links'!$B$17)</f>
        <v>30.505679999999998</v>
      </c>
      <c r="D167" s="66">
        <f>SUM(D162*'Data Links'!$B$17)</f>
        <v>30.505679999999998</v>
      </c>
      <c r="E167" s="66">
        <f>SUM(E162*'Data Links'!$B$17)</f>
        <v>30.505679999999998</v>
      </c>
      <c r="F167" s="66">
        <f>SUM(F162*'Data Links'!$B$17)</f>
        <v>30.505679999999998</v>
      </c>
      <c r="G167" s="66">
        <f>SUM(G162*'Data Links'!$B$17)</f>
        <v>30.505679999999998</v>
      </c>
      <c r="H167" s="66">
        <f>SUM(H162*'Data Links'!$B$17)</f>
        <v>30.505679999999998</v>
      </c>
      <c r="I167" s="66">
        <f>SUM(I162*'Data Links'!$B$17)</f>
        <v>30.505679999999998</v>
      </c>
      <c r="J167" s="66">
        <f>SUM(J162*'Data Links'!$B$17)</f>
        <v>30.505679999999998</v>
      </c>
      <c r="K167" s="66">
        <f>SUM(K162*'Data Links'!$B$17)</f>
        <v>30.505679999999998</v>
      </c>
      <c r="L167" s="66">
        <f>SUM(L162*'Data Links'!$B$17)</f>
        <v>30.505679999999998</v>
      </c>
      <c r="M167" s="66">
        <f>SUM(M162*'Data Links'!$B$17)</f>
        <v>30.505679999999998</v>
      </c>
      <c r="N167" s="66">
        <f>SUM(N162*'Data Links'!$B$17)</f>
        <v>30.505679999999998</v>
      </c>
    </row>
    <row r="168" spans="1:15" s="58" customFormat="1" x14ac:dyDescent="0.2">
      <c r="A168" s="58" t="s">
        <v>144</v>
      </c>
      <c r="B168" s="60"/>
      <c r="C168" s="212">
        <f t="shared" ref="C168:N168" si="42">SUM(C162:C167)</f>
        <v>1138.91265</v>
      </c>
      <c r="D168" s="212">
        <f t="shared" si="42"/>
        <v>1138.91265</v>
      </c>
      <c r="E168" s="212">
        <f t="shared" si="42"/>
        <v>1138.91265</v>
      </c>
      <c r="F168" s="212">
        <f t="shared" si="42"/>
        <v>1138.91265</v>
      </c>
      <c r="G168" s="212">
        <f t="shared" si="42"/>
        <v>1138.91265</v>
      </c>
      <c r="H168" s="212">
        <f t="shared" si="42"/>
        <v>1138.91265</v>
      </c>
      <c r="I168" s="212">
        <f t="shared" si="42"/>
        <v>1138.91265</v>
      </c>
      <c r="J168" s="212">
        <f t="shared" si="42"/>
        <v>1138.91265</v>
      </c>
      <c r="K168" s="212">
        <f t="shared" si="42"/>
        <v>1138.91265</v>
      </c>
      <c r="L168" s="212">
        <f t="shared" si="42"/>
        <v>1138.91265</v>
      </c>
      <c r="M168" s="212">
        <f t="shared" si="42"/>
        <v>1138.91265</v>
      </c>
      <c r="N168" s="212">
        <f t="shared" si="42"/>
        <v>1138.91265</v>
      </c>
      <c r="O168" s="60"/>
    </row>
    <row r="169" spans="1:15" x14ac:dyDescent="0.2">
      <c r="C169" s="60"/>
      <c r="D169" s="66"/>
      <c r="E169" s="66"/>
      <c r="F169" s="66"/>
      <c r="G169" s="66"/>
      <c r="H169" s="66"/>
      <c r="I169" s="66"/>
      <c r="J169" s="66"/>
      <c r="K169" s="66"/>
      <c r="L169" s="66"/>
      <c r="M169" s="66"/>
      <c r="N169" s="66"/>
    </row>
    <row r="170" spans="1:15" x14ac:dyDescent="0.2">
      <c r="C170" s="224" t="str">
        <f>C157</f>
        <v>January</v>
      </c>
      <c r="D170" s="224" t="str">
        <f t="shared" ref="D170:N170" si="43">D157</f>
        <v>February</v>
      </c>
      <c r="E170" s="224" t="str">
        <f t="shared" si="43"/>
        <v>March</v>
      </c>
      <c r="F170" s="224" t="str">
        <f t="shared" si="43"/>
        <v>April</v>
      </c>
      <c r="G170" s="224" t="str">
        <f t="shared" si="43"/>
        <v>May</v>
      </c>
      <c r="H170" s="224" t="str">
        <f t="shared" si="43"/>
        <v>June</v>
      </c>
      <c r="I170" s="224" t="str">
        <f t="shared" si="43"/>
        <v>July</v>
      </c>
      <c r="J170" s="224" t="str">
        <f t="shared" si="43"/>
        <v>August</v>
      </c>
      <c r="K170" s="224" t="str">
        <f t="shared" si="43"/>
        <v>September</v>
      </c>
      <c r="L170" s="224" t="str">
        <f t="shared" si="43"/>
        <v>October</v>
      </c>
      <c r="M170" s="224" t="str">
        <f t="shared" si="43"/>
        <v>November</v>
      </c>
      <c r="N170" s="224" t="str">
        <f t="shared" si="43"/>
        <v>December</v>
      </c>
    </row>
    <row r="171" spans="1:15" x14ac:dyDescent="0.2">
      <c r="C171" s="225">
        <v>31</v>
      </c>
      <c r="D171" s="225">
        <v>31</v>
      </c>
      <c r="E171" s="225">
        <v>30</v>
      </c>
      <c r="F171" s="225">
        <v>31</v>
      </c>
      <c r="G171" s="225">
        <v>30</v>
      </c>
      <c r="H171" s="225">
        <v>31</v>
      </c>
      <c r="I171" s="225">
        <v>31</v>
      </c>
      <c r="J171" s="225">
        <v>28</v>
      </c>
      <c r="K171" s="225">
        <v>31</v>
      </c>
      <c r="L171" s="225">
        <v>30</v>
      </c>
      <c r="M171" s="225">
        <v>31</v>
      </c>
      <c r="N171" s="226">
        <v>30</v>
      </c>
    </row>
    <row r="172" spans="1:15" x14ac:dyDescent="0.2">
      <c r="B172" s="89" t="s">
        <v>185</v>
      </c>
      <c r="C172" s="227">
        <f t="shared" ref="C172:N172" si="44">C159</f>
        <v>0</v>
      </c>
      <c r="D172" s="227">
        <f t="shared" si="44"/>
        <v>1</v>
      </c>
      <c r="E172" s="227">
        <f t="shared" si="44"/>
        <v>0</v>
      </c>
      <c r="F172" s="227">
        <f t="shared" si="44"/>
        <v>1</v>
      </c>
      <c r="G172" s="227">
        <f t="shared" si="44"/>
        <v>0</v>
      </c>
      <c r="H172" s="227">
        <f t="shared" si="44"/>
        <v>1</v>
      </c>
      <c r="I172" s="227">
        <f t="shared" si="44"/>
        <v>1</v>
      </c>
      <c r="J172" s="227">
        <f t="shared" si="44"/>
        <v>1</v>
      </c>
      <c r="K172" s="227">
        <f t="shared" si="44"/>
        <v>1</v>
      </c>
      <c r="L172" s="227">
        <f t="shared" si="44"/>
        <v>2</v>
      </c>
      <c r="M172" s="227">
        <f t="shared" si="44"/>
        <v>1</v>
      </c>
      <c r="N172" s="227">
        <f t="shared" si="44"/>
        <v>0</v>
      </c>
    </row>
    <row r="173" spans="1:15" x14ac:dyDescent="0.2">
      <c r="B173" s="89" t="s">
        <v>44</v>
      </c>
      <c r="C173" s="228">
        <f>SUM('Program Support Allocations'!$C$27)</f>
        <v>0.21454022988505747</v>
      </c>
      <c r="D173" s="228">
        <f>SUM('Program Support Allocations'!$C$27)</f>
        <v>0.21454022988505747</v>
      </c>
      <c r="E173" s="228">
        <f>SUM('Program Support Allocations'!$C$27)</f>
        <v>0.21454022988505747</v>
      </c>
      <c r="F173" s="228">
        <f>SUM('Program Support Allocations'!$C$27)</f>
        <v>0.21454022988505747</v>
      </c>
      <c r="G173" s="228">
        <f>SUM('Program Support Allocations'!$C$27)</f>
        <v>0.21454022988505747</v>
      </c>
      <c r="H173" s="228">
        <f>SUM('Program Support Allocations'!$C$27)</f>
        <v>0.21454022988505747</v>
      </c>
      <c r="I173" s="228">
        <f>SUM('Program Support Allocations'!$C$27)</f>
        <v>0.21454022988505747</v>
      </c>
      <c r="J173" s="228">
        <f>SUM('Program Support Allocations'!$C$27)</f>
        <v>0.21454022988505747</v>
      </c>
      <c r="K173" s="228">
        <f>SUM('Program Support Allocations'!$C$27)</f>
        <v>0.21454022988505747</v>
      </c>
      <c r="L173" s="228">
        <f>SUM('Program Support Allocations'!$C$27)</f>
        <v>0.21454022988505747</v>
      </c>
      <c r="M173" s="228">
        <f>SUM('Program Support Allocations'!$C$27)</f>
        <v>0.21454022988505747</v>
      </c>
      <c r="N173" s="228">
        <f>SUM('Program Support Allocations'!$C$27)</f>
        <v>0.21454022988505747</v>
      </c>
    </row>
    <row r="174" spans="1:15" x14ac:dyDescent="0.2">
      <c r="B174" s="89" t="s">
        <v>186</v>
      </c>
      <c r="C174" s="229">
        <f>SUM(174*C173)</f>
        <v>37.33</v>
      </c>
      <c r="D174" s="229">
        <f t="shared" ref="D174:N174" si="45">SUM(174*D173)</f>
        <v>37.33</v>
      </c>
      <c r="E174" s="229">
        <f t="shared" si="45"/>
        <v>37.33</v>
      </c>
      <c r="F174" s="229">
        <f t="shared" si="45"/>
        <v>37.33</v>
      </c>
      <c r="G174" s="229">
        <f t="shared" si="45"/>
        <v>37.33</v>
      </c>
      <c r="H174" s="229">
        <f t="shared" si="45"/>
        <v>37.33</v>
      </c>
      <c r="I174" s="229">
        <f t="shared" si="45"/>
        <v>37.33</v>
      </c>
      <c r="J174" s="229">
        <f t="shared" si="45"/>
        <v>37.33</v>
      </c>
      <c r="K174" s="229">
        <f t="shared" si="45"/>
        <v>37.33</v>
      </c>
      <c r="L174" s="229">
        <f t="shared" si="45"/>
        <v>37.33</v>
      </c>
      <c r="M174" s="229">
        <f t="shared" si="45"/>
        <v>37.33</v>
      </c>
      <c r="N174" s="229">
        <f t="shared" si="45"/>
        <v>37.33</v>
      </c>
    </row>
    <row r="175" spans="1:15" x14ac:dyDescent="0.2">
      <c r="A175" s="59" t="s">
        <v>623</v>
      </c>
      <c r="B175" s="78" t="s">
        <v>187</v>
      </c>
      <c r="C175" s="210">
        <f>SUM(C174*$B$176)</f>
        <v>1065.0248999999999</v>
      </c>
      <c r="D175" s="210">
        <f t="shared" ref="D175:N175" si="46">SUM(D174*$B$176)</f>
        <v>1065.0248999999999</v>
      </c>
      <c r="E175" s="210">
        <f t="shared" si="46"/>
        <v>1065.0248999999999</v>
      </c>
      <c r="F175" s="210">
        <f t="shared" si="46"/>
        <v>1065.0248999999999</v>
      </c>
      <c r="G175" s="210">
        <f t="shared" si="46"/>
        <v>1065.0248999999999</v>
      </c>
      <c r="H175" s="210">
        <f t="shared" si="46"/>
        <v>1065.0248999999999</v>
      </c>
      <c r="I175" s="210">
        <f t="shared" si="46"/>
        <v>1065.0248999999999</v>
      </c>
      <c r="J175" s="210">
        <f t="shared" si="46"/>
        <v>1065.0248999999999</v>
      </c>
      <c r="K175" s="210">
        <f t="shared" si="46"/>
        <v>1065.0248999999999</v>
      </c>
      <c r="L175" s="210">
        <f t="shared" si="46"/>
        <v>1065.0248999999999</v>
      </c>
      <c r="M175" s="210">
        <f t="shared" si="46"/>
        <v>1065.0248999999999</v>
      </c>
      <c r="N175" s="210">
        <f t="shared" si="46"/>
        <v>1065.0248999999999</v>
      </c>
    </row>
    <row r="176" spans="1:15" x14ac:dyDescent="0.2">
      <c r="A176" s="59" t="s">
        <v>188</v>
      </c>
      <c r="B176" s="74">
        <v>28.53</v>
      </c>
      <c r="C176" s="210">
        <f>SUM(C175)*'Data Links'!$B$15</f>
        <v>81.474404849999985</v>
      </c>
      <c r="D176" s="210">
        <f>SUM(D175)*'Data Links'!$B$15</f>
        <v>81.474404849999985</v>
      </c>
      <c r="E176" s="210">
        <f>SUM(E175)*'Data Links'!$B$15</f>
        <v>81.474404849999985</v>
      </c>
      <c r="F176" s="210">
        <f>SUM(F175)*'Data Links'!$B$15</f>
        <v>81.474404849999985</v>
      </c>
      <c r="G176" s="210">
        <f>SUM(G175)*'Data Links'!$B$15</f>
        <v>81.474404849999985</v>
      </c>
      <c r="H176" s="210">
        <f>SUM(H175)*'Data Links'!$B$15</f>
        <v>81.474404849999985</v>
      </c>
      <c r="I176" s="210">
        <f>SUM(I175)*'Data Links'!$B$15</f>
        <v>81.474404849999985</v>
      </c>
      <c r="J176" s="210">
        <f>SUM(J175)*'Data Links'!$B$15</f>
        <v>81.474404849999985</v>
      </c>
      <c r="K176" s="210">
        <f>SUM(K175)*'Data Links'!$B$15</f>
        <v>81.474404849999985</v>
      </c>
      <c r="L176" s="210">
        <f>SUM(L175)*'Data Links'!$B$15</f>
        <v>81.474404849999985</v>
      </c>
      <c r="M176" s="210">
        <f>SUM(M175)*'Data Links'!$B$15</f>
        <v>81.474404849999985</v>
      </c>
      <c r="N176" s="210">
        <f>SUM(N175)*'Data Links'!$B$15</f>
        <v>81.474404849999985</v>
      </c>
    </row>
    <row r="177" spans="1:14" x14ac:dyDescent="0.2">
      <c r="A177" s="59" t="s">
        <v>189</v>
      </c>
      <c r="C177" s="210">
        <f>SUM(C175*'Data Links'!$B$13)</f>
        <v>6.3901493999999994</v>
      </c>
      <c r="D177" s="210">
        <f>SUM(D175*'Data Links'!$B$13)</f>
        <v>6.3901493999999994</v>
      </c>
      <c r="E177" s="210">
        <f>SUM(E175*'Data Links'!$B$13)</f>
        <v>6.3901493999999994</v>
      </c>
      <c r="F177" s="210">
        <f>SUM(F175*'Data Links'!$B$13)</f>
        <v>6.3901493999999994</v>
      </c>
      <c r="G177" s="210">
        <f>SUM(G175*'Data Links'!$B$13)</f>
        <v>6.3901493999999994</v>
      </c>
      <c r="H177" s="210">
        <f>SUM(H175*'Data Links'!$B$13)</f>
        <v>6.3901493999999994</v>
      </c>
      <c r="I177" s="210">
        <f>SUM(I175*'Data Links'!$B$13)</f>
        <v>6.3901493999999994</v>
      </c>
      <c r="J177" s="210">
        <f>SUM(J175*'Data Links'!$B$13)</f>
        <v>6.3901493999999994</v>
      </c>
      <c r="K177" s="210">
        <f>SUM(K175*'Data Links'!$B$13)</f>
        <v>6.3901493999999994</v>
      </c>
      <c r="L177" s="210">
        <f>SUM(L175*'Data Links'!$B$13)</f>
        <v>6.3901493999999994</v>
      </c>
      <c r="M177" s="210">
        <f>SUM(M175*'Data Links'!$B$13)</f>
        <v>6.3901493999999994</v>
      </c>
      <c r="N177" s="210">
        <f>SUM(N175*'Data Links'!$B$13)</f>
        <v>6.3901493999999994</v>
      </c>
    </row>
    <row r="178" spans="1:14" x14ac:dyDescent="0.2">
      <c r="A178" s="59" t="s">
        <v>190</v>
      </c>
      <c r="C178" s="210">
        <f>SUM(C174*'Data Links'!$B$8)</f>
        <v>2.9061404999999998</v>
      </c>
      <c r="D178" s="210">
        <f>SUM(D174*'Data Links'!$B$8)</f>
        <v>2.9061404999999998</v>
      </c>
      <c r="E178" s="210">
        <f>SUM(E174*'Data Links'!$B$8)</f>
        <v>2.9061404999999998</v>
      </c>
      <c r="F178" s="210">
        <f>SUM(F174*'Data Links'!$B$8)</f>
        <v>2.9061404999999998</v>
      </c>
      <c r="G178" s="210">
        <f>SUM(G174*'Data Links'!$B$8)</f>
        <v>2.9061404999999998</v>
      </c>
      <c r="H178" s="210">
        <f>SUM(H174*'Data Links'!$B$8)</f>
        <v>2.9061404999999998</v>
      </c>
      <c r="I178" s="210">
        <f>SUM(I174*'Data Links'!$B$8)</f>
        <v>2.9061404999999998</v>
      </c>
      <c r="J178" s="210">
        <f>SUM(J174*'Data Links'!$B$8)</f>
        <v>2.9061404999999998</v>
      </c>
      <c r="K178" s="210">
        <f>SUM(K174*'Data Links'!$B$8)</f>
        <v>2.9061404999999998</v>
      </c>
      <c r="L178" s="210">
        <f>SUM(L174*'Data Links'!$B$8)</f>
        <v>2.9061404999999998</v>
      </c>
      <c r="M178" s="210">
        <f>SUM(M174*'Data Links'!$B$8)</f>
        <v>2.9061404999999998</v>
      </c>
      <c r="N178" s="210">
        <f>SUM(N174*'Data Links'!$B$8)</f>
        <v>2.9061404999999998</v>
      </c>
    </row>
    <row r="179" spans="1:14" x14ac:dyDescent="0.2">
      <c r="A179" s="59" t="s">
        <v>191</v>
      </c>
      <c r="C179" s="210">
        <f>SUM('All Employees'!$P$51*C173)</f>
        <v>91.394137931034479</v>
      </c>
      <c r="D179" s="210">
        <f>SUM('All Employees'!$P$51*D173)</f>
        <v>91.394137931034479</v>
      </c>
      <c r="E179" s="210">
        <f>SUM('All Employees'!$P$51*E173)</f>
        <v>91.394137931034479</v>
      </c>
      <c r="F179" s="210">
        <f>SUM('All Employees'!$P$51*F173)</f>
        <v>91.394137931034479</v>
      </c>
      <c r="G179" s="210">
        <f>SUM('All Employees'!$P$51*G173)</f>
        <v>91.394137931034479</v>
      </c>
      <c r="H179" s="210">
        <f>SUM('All Employees'!$P$51*H173)</f>
        <v>91.394137931034479</v>
      </c>
      <c r="I179" s="210">
        <f>SUM('All Employees'!$P$51*I173)</f>
        <v>91.394137931034479</v>
      </c>
      <c r="J179" s="210">
        <f>SUM('All Employees'!$P$51*J173)</f>
        <v>91.394137931034479</v>
      </c>
      <c r="K179" s="210">
        <f>SUM('All Employees'!$P$51*K173)</f>
        <v>91.394137931034479</v>
      </c>
      <c r="L179" s="210">
        <f>SUM('All Employees'!$P$51*L173)</f>
        <v>91.394137931034479</v>
      </c>
      <c r="M179" s="210">
        <f>SUM('All Employees'!$P$51*M173)</f>
        <v>91.394137931034479</v>
      </c>
      <c r="N179" s="210">
        <f>SUM('All Employees'!$P$51*N173)</f>
        <v>91.394137931034479</v>
      </c>
    </row>
    <row r="180" spans="1:14" x14ac:dyDescent="0.2">
      <c r="A180" s="59" t="s">
        <v>192</v>
      </c>
      <c r="C180" s="66">
        <f>SUM(C175*'Data Links'!$B$17)</f>
        <v>31.950746999999996</v>
      </c>
      <c r="D180" s="66">
        <f>SUM(D175*'Data Links'!$B$17)</f>
        <v>31.950746999999996</v>
      </c>
      <c r="E180" s="66">
        <f>SUM(E175*'Data Links'!$B$17)</f>
        <v>31.950746999999996</v>
      </c>
      <c r="F180" s="66">
        <f>SUM(F175*'Data Links'!$B$17)</f>
        <v>31.950746999999996</v>
      </c>
      <c r="G180" s="66">
        <f>SUM(G175*'Data Links'!$B$17)</f>
        <v>31.950746999999996</v>
      </c>
      <c r="H180" s="66">
        <f>SUM(H175*'Data Links'!$B$17)</f>
        <v>31.950746999999996</v>
      </c>
      <c r="I180" s="66">
        <f>SUM(I175*'Data Links'!$B$17)</f>
        <v>31.950746999999996</v>
      </c>
      <c r="J180" s="66">
        <f>SUM(J175*'Data Links'!$B$17)</f>
        <v>31.950746999999996</v>
      </c>
      <c r="K180" s="66">
        <f>SUM(K175*'Data Links'!$B$17)</f>
        <v>31.950746999999996</v>
      </c>
      <c r="L180" s="66">
        <f>SUM(L175*'Data Links'!$B$17)</f>
        <v>31.950746999999996</v>
      </c>
      <c r="M180" s="66">
        <f>SUM(M175*'Data Links'!$B$17)</f>
        <v>31.950746999999996</v>
      </c>
      <c r="N180" s="66">
        <f>SUM(N175*'Data Links'!$B$17)</f>
        <v>31.950746999999996</v>
      </c>
    </row>
    <row r="181" spans="1:14" s="58" customFormat="1" x14ac:dyDescent="0.2">
      <c r="A181" s="58" t="s">
        <v>144</v>
      </c>
      <c r="B181" s="60"/>
      <c r="C181" s="212">
        <f t="shared" ref="C181:N181" si="47">SUM(C175:C180)</f>
        <v>1279.1404796810343</v>
      </c>
      <c r="D181" s="212">
        <f t="shared" si="47"/>
        <v>1279.1404796810343</v>
      </c>
      <c r="E181" s="212">
        <f t="shared" si="47"/>
        <v>1279.1404796810343</v>
      </c>
      <c r="F181" s="212">
        <f t="shared" si="47"/>
        <v>1279.1404796810343</v>
      </c>
      <c r="G181" s="212">
        <f t="shared" si="47"/>
        <v>1279.1404796810343</v>
      </c>
      <c r="H181" s="212">
        <f t="shared" si="47"/>
        <v>1279.1404796810343</v>
      </c>
      <c r="I181" s="212">
        <f t="shared" si="47"/>
        <v>1279.1404796810343</v>
      </c>
      <c r="J181" s="212">
        <f t="shared" si="47"/>
        <v>1279.1404796810343</v>
      </c>
      <c r="K181" s="212">
        <f t="shared" si="47"/>
        <v>1279.1404796810343</v>
      </c>
      <c r="L181" s="212">
        <f t="shared" si="47"/>
        <v>1279.1404796810343</v>
      </c>
      <c r="M181" s="212">
        <f t="shared" si="47"/>
        <v>1279.1404796810343</v>
      </c>
      <c r="N181" s="212">
        <f t="shared" si="47"/>
        <v>1279.1404796810343</v>
      </c>
    </row>
    <row r="182" spans="1:14" x14ac:dyDescent="0.2">
      <c r="C182" s="60"/>
      <c r="D182" s="66"/>
      <c r="E182" s="66"/>
      <c r="F182" s="66"/>
      <c r="G182" s="66"/>
      <c r="H182" s="66"/>
      <c r="I182" s="66"/>
      <c r="J182" s="66"/>
      <c r="K182" s="66"/>
      <c r="L182" s="66"/>
      <c r="M182" s="66"/>
      <c r="N182" s="66"/>
    </row>
    <row r="183" spans="1:14" x14ac:dyDescent="0.2">
      <c r="C183" s="224" t="str">
        <f>C170</f>
        <v>January</v>
      </c>
      <c r="D183" s="224" t="str">
        <f t="shared" ref="D183:N183" si="48">D170</f>
        <v>February</v>
      </c>
      <c r="E183" s="224" t="str">
        <f t="shared" si="48"/>
        <v>March</v>
      </c>
      <c r="F183" s="224" t="str">
        <f t="shared" si="48"/>
        <v>April</v>
      </c>
      <c r="G183" s="224" t="str">
        <f t="shared" si="48"/>
        <v>May</v>
      </c>
      <c r="H183" s="224" t="str">
        <f t="shared" si="48"/>
        <v>June</v>
      </c>
      <c r="I183" s="224" t="str">
        <f t="shared" si="48"/>
        <v>July</v>
      </c>
      <c r="J183" s="224" t="str">
        <f t="shared" si="48"/>
        <v>August</v>
      </c>
      <c r="K183" s="224" t="str">
        <f t="shared" si="48"/>
        <v>September</v>
      </c>
      <c r="L183" s="224" t="str">
        <f t="shared" si="48"/>
        <v>October</v>
      </c>
      <c r="M183" s="224" t="str">
        <f t="shared" si="48"/>
        <v>November</v>
      </c>
      <c r="N183" s="224" t="str">
        <f t="shared" si="48"/>
        <v>December</v>
      </c>
    </row>
    <row r="184" spans="1:14" x14ac:dyDescent="0.2">
      <c r="C184" s="225">
        <v>31</v>
      </c>
      <c r="D184" s="225">
        <v>31</v>
      </c>
      <c r="E184" s="225">
        <v>30</v>
      </c>
      <c r="F184" s="225">
        <v>31</v>
      </c>
      <c r="G184" s="225">
        <v>30</v>
      </c>
      <c r="H184" s="225">
        <v>31</v>
      </c>
      <c r="I184" s="225">
        <v>31</v>
      </c>
      <c r="J184" s="225">
        <v>28</v>
      </c>
      <c r="K184" s="225">
        <v>31</v>
      </c>
      <c r="L184" s="225">
        <v>30</v>
      </c>
      <c r="M184" s="225">
        <v>31</v>
      </c>
      <c r="N184" s="226">
        <v>30</v>
      </c>
    </row>
    <row r="185" spans="1:14" x14ac:dyDescent="0.2">
      <c r="B185" s="89" t="s">
        <v>185</v>
      </c>
      <c r="C185" s="227">
        <f t="shared" ref="C185" si="49">C172</f>
        <v>0</v>
      </c>
      <c r="D185" s="227">
        <f t="shared" ref="D185:N185" si="50">D172</f>
        <v>1</v>
      </c>
      <c r="E185" s="227">
        <f t="shared" si="50"/>
        <v>0</v>
      </c>
      <c r="F185" s="227">
        <f t="shared" si="50"/>
        <v>1</v>
      </c>
      <c r="G185" s="227">
        <f t="shared" si="50"/>
        <v>0</v>
      </c>
      <c r="H185" s="227">
        <f t="shared" si="50"/>
        <v>1</v>
      </c>
      <c r="I185" s="227">
        <f t="shared" si="50"/>
        <v>1</v>
      </c>
      <c r="J185" s="227">
        <f t="shared" si="50"/>
        <v>1</v>
      </c>
      <c r="K185" s="227">
        <f t="shared" si="50"/>
        <v>1</v>
      </c>
      <c r="L185" s="227">
        <f t="shared" si="50"/>
        <v>2</v>
      </c>
      <c r="M185" s="227">
        <f t="shared" si="50"/>
        <v>1</v>
      </c>
      <c r="N185" s="227">
        <f t="shared" si="50"/>
        <v>0</v>
      </c>
    </row>
    <row r="186" spans="1:14" x14ac:dyDescent="0.2">
      <c r="B186" s="89" t="s">
        <v>44</v>
      </c>
      <c r="C186" s="228">
        <v>0.15</v>
      </c>
      <c r="D186" s="228">
        <v>0.15</v>
      </c>
      <c r="E186" s="228">
        <v>0.15</v>
      </c>
      <c r="F186" s="228">
        <v>0.15</v>
      </c>
      <c r="G186" s="228">
        <v>0.15</v>
      </c>
      <c r="H186" s="228">
        <v>0.15</v>
      </c>
      <c r="I186" s="228">
        <v>0.15</v>
      </c>
      <c r="J186" s="228">
        <v>0.15</v>
      </c>
      <c r="K186" s="228">
        <v>0.15</v>
      </c>
      <c r="L186" s="228">
        <v>0.15</v>
      </c>
      <c r="M186" s="228">
        <v>0.15</v>
      </c>
      <c r="N186" s="228">
        <v>0.15</v>
      </c>
    </row>
    <row r="187" spans="1:14" x14ac:dyDescent="0.2">
      <c r="B187" s="78" t="s">
        <v>186</v>
      </c>
      <c r="C187" s="229">
        <f>SUM(174*C186)</f>
        <v>26.099999999999998</v>
      </c>
      <c r="D187" s="229">
        <f t="shared" ref="D187:N187" si="51">SUM(174*D186)</f>
        <v>26.099999999999998</v>
      </c>
      <c r="E187" s="229">
        <f t="shared" si="51"/>
        <v>26.099999999999998</v>
      </c>
      <c r="F187" s="229">
        <f t="shared" si="51"/>
        <v>26.099999999999998</v>
      </c>
      <c r="G187" s="229">
        <f t="shared" si="51"/>
        <v>26.099999999999998</v>
      </c>
      <c r="H187" s="229">
        <f t="shared" si="51"/>
        <v>26.099999999999998</v>
      </c>
      <c r="I187" s="229">
        <f t="shared" si="51"/>
        <v>26.099999999999998</v>
      </c>
      <c r="J187" s="229">
        <f t="shared" si="51"/>
        <v>26.099999999999998</v>
      </c>
      <c r="K187" s="229">
        <f t="shared" si="51"/>
        <v>26.099999999999998</v>
      </c>
      <c r="L187" s="229">
        <f t="shared" si="51"/>
        <v>26.099999999999998</v>
      </c>
      <c r="M187" s="229">
        <f t="shared" si="51"/>
        <v>26.099999999999998</v>
      </c>
      <c r="N187" s="229">
        <f t="shared" si="51"/>
        <v>26.099999999999998</v>
      </c>
    </row>
    <row r="188" spans="1:14" x14ac:dyDescent="0.2">
      <c r="A188" s="59" t="s">
        <v>349</v>
      </c>
      <c r="B188" s="78" t="s">
        <v>348</v>
      </c>
      <c r="C188" s="210">
        <f>SUM(C187)*($B$189)</f>
        <v>411.07499999999999</v>
      </c>
      <c r="D188" s="210">
        <f t="shared" ref="D188:N188" si="52">SUM(D187)*($B$189)</f>
        <v>411.07499999999999</v>
      </c>
      <c r="E188" s="210">
        <f t="shared" si="52"/>
        <v>411.07499999999999</v>
      </c>
      <c r="F188" s="210">
        <f t="shared" si="52"/>
        <v>411.07499999999999</v>
      </c>
      <c r="G188" s="210">
        <f t="shared" si="52"/>
        <v>411.07499999999999</v>
      </c>
      <c r="H188" s="210">
        <f t="shared" si="52"/>
        <v>411.07499999999999</v>
      </c>
      <c r="I188" s="210">
        <f t="shared" si="52"/>
        <v>411.07499999999999</v>
      </c>
      <c r="J188" s="210">
        <f t="shared" si="52"/>
        <v>411.07499999999999</v>
      </c>
      <c r="K188" s="210">
        <f t="shared" si="52"/>
        <v>411.07499999999999</v>
      </c>
      <c r="L188" s="210">
        <f t="shared" si="52"/>
        <v>411.07499999999999</v>
      </c>
      <c r="M188" s="210">
        <f t="shared" si="52"/>
        <v>411.07499999999999</v>
      </c>
      <c r="N188" s="210">
        <f t="shared" si="52"/>
        <v>411.07499999999999</v>
      </c>
    </row>
    <row r="189" spans="1:14" x14ac:dyDescent="0.2">
      <c r="A189" s="59" t="s">
        <v>188</v>
      </c>
      <c r="B189" s="74">
        <v>15.75</v>
      </c>
      <c r="C189" s="210">
        <f>SUM(C188)*'Data Links'!$B$15</f>
        <v>31.4472375</v>
      </c>
      <c r="D189" s="210">
        <f>SUM(D188)*'Data Links'!$B$15</f>
        <v>31.4472375</v>
      </c>
      <c r="E189" s="210">
        <f>SUM(E188)*'Data Links'!$B$15</f>
        <v>31.4472375</v>
      </c>
      <c r="F189" s="210">
        <f>SUM(F188)*'Data Links'!$B$15</f>
        <v>31.4472375</v>
      </c>
      <c r="G189" s="210">
        <f>SUM(G188)*'Data Links'!$B$15</f>
        <v>31.4472375</v>
      </c>
      <c r="H189" s="210">
        <f>SUM(H188)*'Data Links'!$B$15</f>
        <v>31.4472375</v>
      </c>
      <c r="I189" s="210">
        <f>SUM(I188)*'Data Links'!$B$15</f>
        <v>31.4472375</v>
      </c>
      <c r="J189" s="210">
        <f>SUM(J188)*'Data Links'!$B$15</f>
        <v>31.4472375</v>
      </c>
      <c r="K189" s="210">
        <f>SUM(K188)*'Data Links'!$B$15</f>
        <v>31.4472375</v>
      </c>
      <c r="L189" s="210">
        <f>SUM(L188)*'Data Links'!$B$15</f>
        <v>31.4472375</v>
      </c>
      <c r="M189" s="210">
        <f>SUM(M188)*'Data Links'!$B$15</f>
        <v>31.4472375</v>
      </c>
      <c r="N189" s="210">
        <f>SUM(N188)*'Data Links'!$B$15</f>
        <v>31.4472375</v>
      </c>
    </row>
    <row r="190" spans="1:14" x14ac:dyDescent="0.2">
      <c r="A190" s="59" t="s">
        <v>189</v>
      </c>
      <c r="B190" s="74">
        <v>14.66</v>
      </c>
      <c r="C190" s="210">
        <f>SUM(C188*'Data Links'!$B$13)</f>
        <v>2.46645</v>
      </c>
      <c r="D190" s="210">
        <f>SUM(D188*'Data Links'!$B$13)</f>
        <v>2.46645</v>
      </c>
      <c r="E190" s="210">
        <f>SUM(E188*'Data Links'!$B$13)</f>
        <v>2.46645</v>
      </c>
      <c r="F190" s="210">
        <f>SUM(F188*'Data Links'!$B$13)</f>
        <v>2.46645</v>
      </c>
      <c r="G190" s="210">
        <f>SUM(G188*'Data Links'!$B$13)</f>
        <v>2.46645</v>
      </c>
      <c r="H190" s="210">
        <f>SUM(H188*'Data Links'!$B$13)</f>
        <v>2.46645</v>
      </c>
      <c r="I190" s="210">
        <f>SUM(I188*'Data Links'!$B$13)</f>
        <v>2.46645</v>
      </c>
      <c r="J190" s="210">
        <f>SUM(J188*'Data Links'!$B$13)</f>
        <v>2.46645</v>
      </c>
      <c r="K190" s="210">
        <f>SUM(K188*'Data Links'!$B$13)</f>
        <v>2.46645</v>
      </c>
      <c r="L190" s="210">
        <f>SUM(L188*'Data Links'!$B$13)</f>
        <v>2.46645</v>
      </c>
      <c r="M190" s="210">
        <f>SUM(M188*'Data Links'!$B$13)</f>
        <v>2.46645</v>
      </c>
      <c r="N190" s="210">
        <f>SUM(N188*'Data Links'!$B$13)</f>
        <v>2.46645</v>
      </c>
    </row>
    <row r="191" spans="1:14" x14ac:dyDescent="0.2">
      <c r="A191" s="59" t="s">
        <v>190</v>
      </c>
      <c r="C191" s="210">
        <f>SUM(C187*'Data Links'!$B$8)</f>
        <v>2.0318849999999999</v>
      </c>
      <c r="D191" s="210">
        <f>SUM(D187*'Data Links'!$B$8)</f>
        <v>2.0318849999999999</v>
      </c>
      <c r="E191" s="210">
        <f>SUM(E187*'Data Links'!$B$8)</f>
        <v>2.0318849999999999</v>
      </c>
      <c r="F191" s="210">
        <f>SUM(F187*'Data Links'!$B$8)</f>
        <v>2.0318849999999999</v>
      </c>
      <c r="G191" s="210">
        <f>SUM(G187*'Data Links'!$B$8)</f>
        <v>2.0318849999999999</v>
      </c>
      <c r="H191" s="210">
        <f>SUM(H187*'Data Links'!$B$8)</f>
        <v>2.0318849999999999</v>
      </c>
      <c r="I191" s="210">
        <f>SUM(I187*'Data Links'!$B$8)</f>
        <v>2.0318849999999999</v>
      </c>
      <c r="J191" s="210">
        <f>SUM(J187*'Data Links'!$B$8)</f>
        <v>2.0318849999999999</v>
      </c>
      <c r="K191" s="210">
        <f>SUM(K187*'Data Links'!$B$8)</f>
        <v>2.0318849999999999</v>
      </c>
      <c r="L191" s="210">
        <f>SUM(L187*'Data Links'!$B$8)</f>
        <v>2.0318849999999999</v>
      </c>
      <c r="M191" s="210">
        <f>SUM(M187*'Data Links'!$B$8)</f>
        <v>2.0318849999999999</v>
      </c>
      <c r="N191" s="210">
        <f>SUM(N187*'Data Links'!$B$8)</f>
        <v>2.0318849999999999</v>
      </c>
    </row>
    <row r="192" spans="1:14" x14ac:dyDescent="0.2">
      <c r="A192" s="59" t="s">
        <v>191</v>
      </c>
      <c r="C192" s="66">
        <f>SUM('All Employees'!$P$47*C186)</f>
        <v>59.491169999999997</v>
      </c>
      <c r="D192" s="66">
        <f>SUM('All Employees'!$P$47*D186)</f>
        <v>59.491169999999997</v>
      </c>
      <c r="E192" s="66">
        <f>SUM('All Employees'!$P$47*E186)</f>
        <v>59.491169999999997</v>
      </c>
      <c r="F192" s="66">
        <f>SUM('All Employees'!$P$47*F186)</f>
        <v>59.491169999999997</v>
      </c>
      <c r="G192" s="66">
        <f>SUM('All Employees'!$P$47*G186)</f>
        <v>59.491169999999997</v>
      </c>
      <c r="H192" s="66">
        <f>SUM('All Employees'!$P$47*H186)</f>
        <v>59.491169999999997</v>
      </c>
      <c r="I192" s="66">
        <f>SUM('All Employees'!$P$47*I186)</f>
        <v>59.491169999999997</v>
      </c>
      <c r="J192" s="66">
        <f>SUM('All Employees'!$P$47*J186)</f>
        <v>59.491169999999997</v>
      </c>
      <c r="K192" s="66">
        <f>SUM('All Employees'!$P$47*K186)</f>
        <v>59.491169999999997</v>
      </c>
      <c r="L192" s="66">
        <f>SUM('All Employees'!$P$47*L186)</f>
        <v>59.491169999999997</v>
      </c>
      <c r="M192" s="66">
        <f>SUM('All Employees'!$P$47*M186)</f>
        <v>59.491169999999997</v>
      </c>
      <c r="N192" s="66">
        <f>SUM('All Employees'!$P$47*N186)</f>
        <v>59.491169999999997</v>
      </c>
    </row>
    <row r="193" spans="1:14" x14ac:dyDescent="0.2">
      <c r="A193" s="59" t="s">
        <v>192</v>
      </c>
      <c r="C193" s="66"/>
      <c r="D193" s="66"/>
      <c r="E193" s="66"/>
      <c r="F193" s="66"/>
      <c r="G193" s="66"/>
      <c r="H193" s="66"/>
      <c r="I193" s="66"/>
      <c r="J193" s="66"/>
      <c r="K193" s="66"/>
      <c r="L193" s="66"/>
      <c r="M193" s="66"/>
      <c r="N193" s="66"/>
    </row>
    <row r="194" spans="1:14" s="58" customFormat="1" x14ac:dyDescent="0.2">
      <c r="A194" s="58" t="s">
        <v>144</v>
      </c>
      <c r="B194" s="60"/>
      <c r="C194" s="212">
        <f t="shared" ref="C194" si="53">SUM(C188:C193)</f>
        <v>506.51174249999997</v>
      </c>
      <c r="D194" s="212">
        <f t="shared" ref="D194:N194" si="54">SUM(D188:D193)</f>
        <v>506.51174249999997</v>
      </c>
      <c r="E194" s="212">
        <f t="shared" si="54"/>
        <v>506.51174249999997</v>
      </c>
      <c r="F194" s="212">
        <f t="shared" si="54"/>
        <v>506.51174249999997</v>
      </c>
      <c r="G194" s="212">
        <f t="shared" si="54"/>
        <v>506.51174249999997</v>
      </c>
      <c r="H194" s="212">
        <f t="shared" si="54"/>
        <v>506.51174249999997</v>
      </c>
      <c r="I194" s="212">
        <f t="shared" si="54"/>
        <v>506.51174249999997</v>
      </c>
      <c r="J194" s="212">
        <f t="shared" si="54"/>
        <v>506.51174249999997</v>
      </c>
      <c r="K194" s="212">
        <f t="shared" si="54"/>
        <v>506.51174249999997</v>
      </c>
      <c r="L194" s="212">
        <f t="shared" si="54"/>
        <v>506.51174249999997</v>
      </c>
      <c r="M194" s="212">
        <f t="shared" si="54"/>
        <v>506.51174249999997</v>
      </c>
      <c r="N194" s="212">
        <f t="shared" si="54"/>
        <v>506.51174249999997</v>
      </c>
    </row>
    <row r="195" spans="1:14" x14ac:dyDescent="0.2">
      <c r="C195" s="212"/>
      <c r="D195" s="210"/>
      <c r="E195" s="210"/>
      <c r="F195" s="210"/>
      <c r="G195" s="210"/>
      <c r="H195" s="210"/>
      <c r="I195" s="210"/>
      <c r="J195" s="210"/>
      <c r="K195" s="210"/>
      <c r="L195" s="210"/>
      <c r="M195" s="210"/>
      <c r="N195" s="210"/>
    </row>
    <row r="196" spans="1:14" x14ac:dyDescent="0.2">
      <c r="C196" s="224" t="str">
        <f>C183</f>
        <v>January</v>
      </c>
      <c r="D196" s="224" t="str">
        <f t="shared" ref="D196:N196" si="55">D183</f>
        <v>February</v>
      </c>
      <c r="E196" s="224" t="str">
        <f t="shared" si="55"/>
        <v>March</v>
      </c>
      <c r="F196" s="224" t="str">
        <f t="shared" si="55"/>
        <v>April</v>
      </c>
      <c r="G196" s="224" t="str">
        <f t="shared" si="55"/>
        <v>May</v>
      </c>
      <c r="H196" s="224" t="str">
        <f t="shared" si="55"/>
        <v>June</v>
      </c>
      <c r="I196" s="224" t="str">
        <f t="shared" si="55"/>
        <v>July</v>
      </c>
      <c r="J196" s="224" t="str">
        <f t="shared" si="55"/>
        <v>August</v>
      </c>
      <c r="K196" s="224" t="str">
        <f t="shared" si="55"/>
        <v>September</v>
      </c>
      <c r="L196" s="224" t="str">
        <f t="shared" si="55"/>
        <v>October</v>
      </c>
      <c r="M196" s="224" t="str">
        <f t="shared" si="55"/>
        <v>November</v>
      </c>
      <c r="N196" s="224" t="str">
        <f t="shared" si="55"/>
        <v>December</v>
      </c>
    </row>
    <row r="197" spans="1:14" x14ac:dyDescent="0.2">
      <c r="C197" s="225">
        <v>31</v>
      </c>
      <c r="D197" s="225">
        <v>31</v>
      </c>
      <c r="E197" s="225">
        <v>30</v>
      </c>
      <c r="F197" s="225">
        <v>31</v>
      </c>
      <c r="G197" s="225">
        <v>30</v>
      </c>
      <c r="H197" s="225">
        <v>31</v>
      </c>
      <c r="I197" s="225">
        <v>31</v>
      </c>
      <c r="J197" s="225">
        <v>28</v>
      </c>
      <c r="K197" s="225">
        <v>31</v>
      </c>
      <c r="L197" s="225">
        <v>30</v>
      </c>
      <c r="M197" s="225">
        <v>31</v>
      </c>
      <c r="N197" s="226">
        <v>30</v>
      </c>
    </row>
    <row r="198" spans="1:14" x14ac:dyDescent="0.2">
      <c r="B198" s="89" t="s">
        <v>185</v>
      </c>
      <c r="C198" s="227">
        <f t="shared" ref="C198" si="56">C185</f>
        <v>0</v>
      </c>
      <c r="D198" s="227">
        <f t="shared" ref="D198:N198" si="57">D185</f>
        <v>1</v>
      </c>
      <c r="E198" s="227">
        <f t="shared" si="57"/>
        <v>0</v>
      </c>
      <c r="F198" s="227">
        <f t="shared" si="57"/>
        <v>1</v>
      </c>
      <c r="G198" s="227">
        <f t="shared" si="57"/>
        <v>0</v>
      </c>
      <c r="H198" s="227">
        <f t="shared" si="57"/>
        <v>1</v>
      </c>
      <c r="I198" s="227">
        <f t="shared" si="57"/>
        <v>1</v>
      </c>
      <c r="J198" s="227">
        <f t="shared" si="57"/>
        <v>1</v>
      </c>
      <c r="K198" s="227">
        <f t="shared" si="57"/>
        <v>1</v>
      </c>
      <c r="L198" s="227">
        <f t="shared" si="57"/>
        <v>2</v>
      </c>
      <c r="M198" s="227">
        <f t="shared" si="57"/>
        <v>1</v>
      </c>
      <c r="N198" s="227">
        <f t="shared" si="57"/>
        <v>0</v>
      </c>
    </row>
    <row r="199" spans="1:14" x14ac:dyDescent="0.2">
      <c r="B199" s="89" t="s">
        <v>44</v>
      </c>
      <c r="C199" s="228">
        <v>0.15</v>
      </c>
      <c r="D199" s="228">
        <v>0.15</v>
      </c>
      <c r="E199" s="228">
        <v>0.15</v>
      </c>
      <c r="F199" s="228">
        <v>0.15</v>
      </c>
      <c r="G199" s="228">
        <v>0.15</v>
      </c>
      <c r="H199" s="228">
        <v>0.15</v>
      </c>
      <c r="I199" s="228">
        <v>0.15</v>
      </c>
      <c r="J199" s="228">
        <v>0.15</v>
      </c>
      <c r="K199" s="228">
        <v>0.15</v>
      </c>
      <c r="L199" s="228">
        <v>0.15</v>
      </c>
      <c r="M199" s="228">
        <v>0.15</v>
      </c>
      <c r="N199" s="228">
        <v>0.15</v>
      </c>
    </row>
    <row r="200" spans="1:14" x14ac:dyDescent="0.2">
      <c r="B200" s="89" t="s">
        <v>186</v>
      </c>
      <c r="C200" s="229">
        <f>SUM(174*C199)</f>
        <v>26.099999999999998</v>
      </c>
      <c r="D200" s="229">
        <f t="shared" ref="D200:N200" si="58">SUM(174*D199)</f>
        <v>26.099999999999998</v>
      </c>
      <c r="E200" s="229">
        <f t="shared" si="58"/>
        <v>26.099999999999998</v>
      </c>
      <c r="F200" s="229">
        <f t="shared" si="58"/>
        <v>26.099999999999998</v>
      </c>
      <c r="G200" s="229">
        <f t="shared" si="58"/>
        <v>26.099999999999998</v>
      </c>
      <c r="H200" s="229">
        <f t="shared" si="58"/>
        <v>26.099999999999998</v>
      </c>
      <c r="I200" s="229">
        <f t="shared" si="58"/>
        <v>26.099999999999998</v>
      </c>
      <c r="J200" s="229">
        <f t="shared" si="58"/>
        <v>26.099999999999998</v>
      </c>
      <c r="K200" s="229">
        <f t="shared" si="58"/>
        <v>26.099999999999998</v>
      </c>
      <c r="L200" s="229">
        <f t="shared" si="58"/>
        <v>26.099999999999998</v>
      </c>
      <c r="M200" s="229">
        <f t="shared" si="58"/>
        <v>26.099999999999998</v>
      </c>
      <c r="N200" s="229">
        <f t="shared" si="58"/>
        <v>26.099999999999998</v>
      </c>
    </row>
    <row r="201" spans="1:14" x14ac:dyDescent="0.2">
      <c r="A201" s="59" t="s">
        <v>557</v>
      </c>
      <c r="B201" s="78" t="s">
        <v>187</v>
      </c>
      <c r="C201" s="210">
        <f>SUM(C200*$B$202)</f>
        <v>479.19599999999997</v>
      </c>
      <c r="D201" s="210">
        <f t="shared" ref="D201:N201" si="59">SUM(D200*$B$202)</f>
        <v>479.19599999999997</v>
      </c>
      <c r="E201" s="210">
        <f t="shared" si="59"/>
        <v>479.19599999999997</v>
      </c>
      <c r="F201" s="210">
        <f t="shared" si="59"/>
        <v>479.19599999999997</v>
      </c>
      <c r="G201" s="210">
        <f t="shared" si="59"/>
        <v>479.19599999999997</v>
      </c>
      <c r="H201" s="210">
        <f t="shared" si="59"/>
        <v>479.19599999999997</v>
      </c>
      <c r="I201" s="210">
        <f t="shared" si="59"/>
        <v>479.19599999999997</v>
      </c>
      <c r="J201" s="210">
        <f t="shared" si="59"/>
        <v>479.19599999999997</v>
      </c>
      <c r="K201" s="210">
        <f t="shared" si="59"/>
        <v>479.19599999999997</v>
      </c>
      <c r="L201" s="210">
        <f t="shared" si="59"/>
        <v>479.19599999999997</v>
      </c>
      <c r="M201" s="210">
        <f t="shared" si="59"/>
        <v>479.19599999999997</v>
      </c>
      <c r="N201" s="210">
        <f t="shared" si="59"/>
        <v>479.19599999999997</v>
      </c>
    </row>
    <row r="202" spans="1:14" x14ac:dyDescent="0.2">
      <c r="A202" s="59" t="s">
        <v>188</v>
      </c>
      <c r="B202" s="74">
        <v>18.36</v>
      </c>
      <c r="C202" s="210">
        <f>SUM(C201)*'Data Links'!$B$15</f>
        <v>36.658493999999997</v>
      </c>
      <c r="D202" s="210">
        <f>SUM(D201)*'Data Links'!$B$15</f>
        <v>36.658493999999997</v>
      </c>
      <c r="E202" s="210">
        <f>SUM(E201)*'Data Links'!$B$15</f>
        <v>36.658493999999997</v>
      </c>
      <c r="F202" s="210">
        <f>SUM(F201)*'Data Links'!$B$15</f>
        <v>36.658493999999997</v>
      </c>
      <c r="G202" s="210">
        <f>SUM(G201)*'Data Links'!$B$15</f>
        <v>36.658493999999997</v>
      </c>
      <c r="H202" s="210">
        <f>SUM(H201)*'Data Links'!$B$15</f>
        <v>36.658493999999997</v>
      </c>
      <c r="I202" s="210">
        <f>SUM(I201)*'Data Links'!$B$15</f>
        <v>36.658493999999997</v>
      </c>
      <c r="J202" s="210">
        <f>SUM(J201)*'Data Links'!$B$15</f>
        <v>36.658493999999997</v>
      </c>
      <c r="K202" s="210">
        <f>SUM(K201)*'Data Links'!$B$15</f>
        <v>36.658493999999997</v>
      </c>
      <c r="L202" s="210">
        <f>SUM(L201)*'Data Links'!$B$15</f>
        <v>36.658493999999997</v>
      </c>
      <c r="M202" s="210">
        <f>SUM(M201)*'Data Links'!$B$15</f>
        <v>36.658493999999997</v>
      </c>
      <c r="N202" s="210">
        <f>SUM(N201)*'Data Links'!$B$15</f>
        <v>36.658493999999997</v>
      </c>
    </row>
    <row r="203" spans="1:14" x14ac:dyDescent="0.2">
      <c r="A203" s="59" t="s">
        <v>189</v>
      </c>
      <c r="C203" s="210">
        <f>SUM(C201*'Data Links'!$B$13)</f>
        <v>2.8751759999999997</v>
      </c>
      <c r="D203" s="210">
        <f>SUM(D201*'Data Links'!$B$13)</f>
        <v>2.8751759999999997</v>
      </c>
      <c r="E203" s="210">
        <f>SUM(E201*'Data Links'!$B$13)</f>
        <v>2.8751759999999997</v>
      </c>
      <c r="F203" s="210">
        <f>SUM(F201*'Data Links'!$B$13)</f>
        <v>2.8751759999999997</v>
      </c>
      <c r="G203" s="210">
        <f>SUM(G201*'Data Links'!$B$13)</f>
        <v>2.8751759999999997</v>
      </c>
      <c r="H203" s="210">
        <f>SUM(H201*'Data Links'!$B$13)</f>
        <v>2.8751759999999997</v>
      </c>
      <c r="I203" s="210">
        <f>SUM(I201*'Data Links'!$B$13)</f>
        <v>2.8751759999999997</v>
      </c>
      <c r="J203" s="210">
        <f>SUM(J201*'Data Links'!$B$13)</f>
        <v>2.8751759999999997</v>
      </c>
      <c r="K203" s="210">
        <f>SUM(K201*'Data Links'!$B$13)</f>
        <v>2.8751759999999997</v>
      </c>
      <c r="L203" s="210">
        <f>SUM(L201*'Data Links'!$B$13)</f>
        <v>2.8751759999999997</v>
      </c>
      <c r="M203" s="210">
        <f>SUM(M201*'Data Links'!$B$13)</f>
        <v>2.8751759999999997</v>
      </c>
      <c r="N203" s="210">
        <f>SUM(N201*'Data Links'!$B$13)</f>
        <v>2.8751759999999997</v>
      </c>
    </row>
    <row r="204" spans="1:14" x14ac:dyDescent="0.2">
      <c r="A204" s="59" t="s">
        <v>190</v>
      </c>
      <c r="C204" s="210">
        <f>SUM(C200*'Data Links'!$B$8)</f>
        <v>2.0318849999999999</v>
      </c>
      <c r="D204" s="210">
        <f>SUM(D200*'Data Links'!$B$8)</f>
        <v>2.0318849999999999</v>
      </c>
      <c r="E204" s="210">
        <f>SUM(E200*'Data Links'!$B$8)</f>
        <v>2.0318849999999999</v>
      </c>
      <c r="F204" s="210">
        <f>SUM(F200*'Data Links'!$B$8)</f>
        <v>2.0318849999999999</v>
      </c>
      <c r="G204" s="210">
        <f>SUM(G200*'Data Links'!$B$8)</f>
        <v>2.0318849999999999</v>
      </c>
      <c r="H204" s="210">
        <f>SUM(H200*'Data Links'!$B$8)</f>
        <v>2.0318849999999999</v>
      </c>
      <c r="I204" s="210">
        <f>SUM(I200*'Data Links'!$B$8)</f>
        <v>2.0318849999999999</v>
      </c>
      <c r="J204" s="210">
        <f>SUM(J200*'Data Links'!$B$8)</f>
        <v>2.0318849999999999</v>
      </c>
      <c r="K204" s="210">
        <f>SUM(K200*'Data Links'!$B$8)</f>
        <v>2.0318849999999999</v>
      </c>
      <c r="L204" s="210">
        <f>SUM(L200*'Data Links'!$B$8)</f>
        <v>2.0318849999999999</v>
      </c>
      <c r="M204" s="210">
        <f>SUM(M200*'Data Links'!$B$8)</f>
        <v>2.0318849999999999</v>
      </c>
      <c r="N204" s="210">
        <f>SUM(N200*'Data Links'!$B$8)</f>
        <v>2.0318849999999999</v>
      </c>
    </row>
    <row r="205" spans="1:14" x14ac:dyDescent="0.2">
      <c r="A205" s="59" t="s">
        <v>191</v>
      </c>
      <c r="C205" s="210">
        <f>SUM('All Employees'!$P$50*C199)</f>
        <v>63.9</v>
      </c>
      <c r="D205" s="210">
        <f>SUM('All Employees'!$P$50*D199)</f>
        <v>63.9</v>
      </c>
      <c r="E205" s="210">
        <f>SUM('All Employees'!$P$50*E199)</f>
        <v>63.9</v>
      </c>
      <c r="F205" s="210">
        <f>SUM('All Employees'!$P$50*F199)</f>
        <v>63.9</v>
      </c>
      <c r="G205" s="210">
        <f>SUM('All Employees'!$P$50*G199)</f>
        <v>63.9</v>
      </c>
      <c r="H205" s="210">
        <f>SUM('All Employees'!$P$50*H199)</f>
        <v>63.9</v>
      </c>
      <c r="I205" s="210">
        <f>SUM('All Employees'!$P$50*I199)</f>
        <v>63.9</v>
      </c>
      <c r="J205" s="210">
        <f>SUM('All Employees'!$P$50*J199)</f>
        <v>63.9</v>
      </c>
      <c r="K205" s="210">
        <f>SUM('All Employees'!$P$50*K199)</f>
        <v>63.9</v>
      </c>
      <c r="L205" s="210">
        <f>SUM('All Employees'!$P$50*L199)</f>
        <v>63.9</v>
      </c>
      <c r="M205" s="210">
        <f>SUM('All Employees'!$P$50*M199)</f>
        <v>63.9</v>
      </c>
      <c r="N205" s="210">
        <f>SUM('All Employees'!$P$50*N199)</f>
        <v>63.9</v>
      </c>
    </row>
    <row r="206" spans="1:14" x14ac:dyDescent="0.2">
      <c r="A206" s="59" t="s">
        <v>192</v>
      </c>
      <c r="C206" s="66">
        <f>SUM(C201*'Data Links'!$B$17)</f>
        <v>14.375879999999999</v>
      </c>
      <c r="D206" s="66">
        <f>SUM(D201*'Data Links'!$B$17)</f>
        <v>14.375879999999999</v>
      </c>
      <c r="E206" s="66">
        <f>SUM(E201*'Data Links'!$B$17)</f>
        <v>14.375879999999999</v>
      </c>
      <c r="F206" s="66">
        <f>SUM(F201*'Data Links'!$B$17)</f>
        <v>14.375879999999999</v>
      </c>
      <c r="G206" s="66">
        <f>SUM(G201*'Data Links'!$B$17)</f>
        <v>14.375879999999999</v>
      </c>
      <c r="H206" s="66">
        <f>SUM(H201*'Data Links'!$B$17)</f>
        <v>14.375879999999999</v>
      </c>
      <c r="I206" s="66">
        <f>SUM(I201*'Data Links'!$B$17)</f>
        <v>14.375879999999999</v>
      </c>
      <c r="J206" s="66">
        <f>SUM(J201*'Data Links'!$B$17)</f>
        <v>14.375879999999999</v>
      </c>
      <c r="K206" s="66">
        <f>SUM(K201*'Data Links'!$B$17)</f>
        <v>14.375879999999999</v>
      </c>
      <c r="L206" s="66">
        <f>SUM(L201*'Data Links'!$B$17)</f>
        <v>14.375879999999999</v>
      </c>
      <c r="M206" s="66">
        <f>SUM(M201*'Data Links'!$B$17)</f>
        <v>14.375879999999999</v>
      </c>
      <c r="N206" s="66">
        <f>SUM(N201*'Data Links'!$B$17)</f>
        <v>14.375879999999999</v>
      </c>
    </row>
    <row r="207" spans="1:14" s="58" customFormat="1" x14ac:dyDescent="0.2">
      <c r="A207" s="58" t="s">
        <v>144</v>
      </c>
      <c r="B207" s="60"/>
      <c r="C207" s="212">
        <f t="shared" ref="C207" si="60">SUM(C201:C206)</f>
        <v>599.03743499999996</v>
      </c>
      <c r="D207" s="212">
        <f t="shared" ref="D207:N207" si="61">SUM(D201:D206)</f>
        <v>599.03743499999996</v>
      </c>
      <c r="E207" s="212">
        <f t="shared" si="61"/>
        <v>599.03743499999996</v>
      </c>
      <c r="F207" s="212">
        <f t="shared" si="61"/>
        <v>599.03743499999996</v>
      </c>
      <c r="G207" s="212">
        <f t="shared" si="61"/>
        <v>599.03743499999996</v>
      </c>
      <c r="H207" s="212">
        <f t="shared" si="61"/>
        <v>599.03743499999996</v>
      </c>
      <c r="I207" s="212">
        <f t="shared" si="61"/>
        <v>599.03743499999996</v>
      </c>
      <c r="J207" s="212">
        <f t="shared" si="61"/>
        <v>599.03743499999996</v>
      </c>
      <c r="K207" s="212">
        <f t="shared" si="61"/>
        <v>599.03743499999996</v>
      </c>
      <c r="L207" s="212">
        <f t="shared" si="61"/>
        <v>599.03743499999996</v>
      </c>
      <c r="M207" s="212">
        <f t="shared" si="61"/>
        <v>599.03743499999996</v>
      </c>
      <c r="N207" s="212">
        <f t="shared" si="61"/>
        <v>599.03743499999996</v>
      </c>
    </row>
    <row r="208" spans="1:14" s="58" customFormat="1" x14ac:dyDescent="0.2">
      <c r="B208" s="60"/>
      <c r="C208" s="60"/>
      <c r="D208" s="60"/>
      <c r="E208" s="60"/>
      <c r="F208" s="60"/>
      <c r="G208" s="60"/>
      <c r="H208" s="60"/>
      <c r="I208" s="60"/>
      <c r="J208" s="60"/>
      <c r="K208" s="60"/>
      <c r="L208" s="60"/>
      <c r="M208" s="60"/>
      <c r="N208" s="60"/>
    </row>
    <row r="209" spans="1:14" s="58" customFormat="1" x14ac:dyDescent="0.2">
      <c r="A209" s="59"/>
      <c r="B209" s="60"/>
      <c r="C209" s="89" t="str">
        <f>C196</f>
        <v>January</v>
      </c>
      <c r="D209" s="89" t="str">
        <f t="shared" ref="D209:N209" si="62">D196</f>
        <v>February</v>
      </c>
      <c r="E209" s="89" t="str">
        <f t="shared" si="62"/>
        <v>March</v>
      </c>
      <c r="F209" s="89" t="str">
        <f t="shared" si="62"/>
        <v>April</v>
      </c>
      <c r="G209" s="89" t="str">
        <f t="shared" si="62"/>
        <v>May</v>
      </c>
      <c r="H209" s="89" t="str">
        <f t="shared" si="62"/>
        <v>June</v>
      </c>
      <c r="I209" s="89" t="str">
        <f t="shared" si="62"/>
        <v>July</v>
      </c>
      <c r="J209" s="89" t="str">
        <f t="shared" si="62"/>
        <v>August</v>
      </c>
      <c r="K209" s="89" t="str">
        <f t="shared" si="62"/>
        <v>September</v>
      </c>
      <c r="L209" s="89" t="str">
        <f t="shared" si="62"/>
        <v>October</v>
      </c>
      <c r="M209" s="89" t="str">
        <f t="shared" si="62"/>
        <v>November</v>
      </c>
      <c r="N209" s="89" t="str">
        <f t="shared" si="62"/>
        <v>December</v>
      </c>
    </row>
    <row r="210" spans="1:14" s="58" customFormat="1" x14ac:dyDescent="0.2">
      <c r="A210" s="59"/>
      <c r="B210" s="60"/>
      <c r="C210" s="72">
        <v>31</v>
      </c>
      <c r="D210" s="72">
        <v>31</v>
      </c>
      <c r="E210" s="72">
        <v>30</v>
      </c>
      <c r="F210" s="72">
        <v>31</v>
      </c>
      <c r="G210" s="72">
        <v>30</v>
      </c>
      <c r="H210" s="72">
        <v>31</v>
      </c>
      <c r="I210" s="72">
        <v>31</v>
      </c>
      <c r="J210" s="72">
        <v>28</v>
      </c>
      <c r="K210" s="72">
        <v>31</v>
      </c>
      <c r="L210" s="72">
        <v>30</v>
      </c>
      <c r="M210" s="72">
        <v>31</v>
      </c>
      <c r="N210" s="71">
        <v>30</v>
      </c>
    </row>
    <row r="211" spans="1:14" s="58" customFormat="1" x14ac:dyDescent="0.2">
      <c r="A211" s="59"/>
      <c r="B211" s="89" t="s">
        <v>185</v>
      </c>
      <c r="C211" s="78">
        <v>1</v>
      </c>
      <c r="D211" s="78">
        <v>0</v>
      </c>
      <c r="E211" s="78">
        <v>1</v>
      </c>
      <c r="F211" s="78">
        <f>F198</f>
        <v>1</v>
      </c>
      <c r="G211" s="78">
        <v>2</v>
      </c>
      <c r="H211" s="78">
        <f>H198</f>
        <v>1</v>
      </c>
      <c r="I211" s="78">
        <v>2</v>
      </c>
      <c r="J211" s="78">
        <v>1</v>
      </c>
      <c r="K211" s="78">
        <v>0</v>
      </c>
      <c r="L211" s="78">
        <v>0</v>
      </c>
      <c r="M211" s="78">
        <v>1</v>
      </c>
      <c r="N211" s="78">
        <f>N198</f>
        <v>0</v>
      </c>
    </row>
    <row r="212" spans="1:14" s="58" customFormat="1" x14ac:dyDescent="0.2">
      <c r="A212" s="59"/>
      <c r="B212" s="89" t="s">
        <v>44</v>
      </c>
      <c r="C212" s="49">
        <v>0.08</v>
      </c>
      <c r="D212" s="49">
        <v>0.08</v>
      </c>
      <c r="E212" s="49">
        <v>0.08</v>
      </c>
      <c r="F212" s="49">
        <v>0.08</v>
      </c>
      <c r="G212" s="49">
        <v>0.08</v>
      </c>
      <c r="H212" s="49">
        <v>0.08</v>
      </c>
      <c r="I212" s="49">
        <v>0.08</v>
      </c>
      <c r="J212" s="49">
        <v>0.08</v>
      </c>
      <c r="K212" s="49">
        <v>0.08</v>
      </c>
      <c r="L212" s="49">
        <v>0.08</v>
      </c>
      <c r="M212" s="49">
        <v>0.08</v>
      </c>
      <c r="N212" s="49">
        <v>0.08</v>
      </c>
    </row>
    <row r="213" spans="1:14" s="58" customFormat="1" x14ac:dyDescent="0.2">
      <c r="A213" s="59"/>
      <c r="B213" s="89" t="s">
        <v>186</v>
      </c>
      <c r="C213" s="53">
        <f>SUM(174*C212)</f>
        <v>13.92</v>
      </c>
      <c r="D213" s="53">
        <f t="shared" ref="D213:N213" si="63">SUM(174*D212)</f>
        <v>13.92</v>
      </c>
      <c r="E213" s="53">
        <f t="shared" si="63"/>
        <v>13.92</v>
      </c>
      <c r="F213" s="53">
        <f t="shared" si="63"/>
        <v>13.92</v>
      </c>
      <c r="G213" s="53">
        <f t="shared" si="63"/>
        <v>13.92</v>
      </c>
      <c r="H213" s="53">
        <f t="shared" si="63"/>
        <v>13.92</v>
      </c>
      <c r="I213" s="53">
        <f t="shared" si="63"/>
        <v>13.92</v>
      </c>
      <c r="J213" s="53">
        <f t="shared" si="63"/>
        <v>13.92</v>
      </c>
      <c r="K213" s="53">
        <f t="shared" si="63"/>
        <v>13.92</v>
      </c>
      <c r="L213" s="53">
        <f t="shared" si="63"/>
        <v>13.92</v>
      </c>
      <c r="M213" s="53">
        <f t="shared" si="63"/>
        <v>13.92</v>
      </c>
      <c r="N213" s="53">
        <f t="shared" si="63"/>
        <v>13.92</v>
      </c>
    </row>
    <row r="214" spans="1:14" s="58" customFormat="1" x14ac:dyDescent="0.2">
      <c r="A214" s="59" t="s">
        <v>275</v>
      </c>
      <c r="B214" s="78" t="s">
        <v>256</v>
      </c>
      <c r="C214" s="66">
        <f>SUM(C213*$B$215)</f>
        <v>240.12</v>
      </c>
      <c r="D214" s="66">
        <f t="shared" ref="D214:N214" si="64">SUM(D213*$B$215)</f>
        <v>240.12</v>
      </c>
      <c r="E214" s="66">
        <f t="shared" si="64"/>
        <v>240.12</v>
      </c>
      <c r="F214" s="66">
        <f t="shared" si="64"/>
        <v>240.12</v>
      </c>
      <c r="G214" s="66">
        <f t="shared" si="64"/>
        <v>240.12</v>
      </c>
      <c r="H214" s="66">
        <f t="shared" si="64"/>
        <v>240.12</v>
      </c>
      <c r="I214" s="66">
        <f t="shared" si="64"/>
        <v>240.12</v>
      </c>
      <c r="J214" s="66">
        <f t="shared" si="64"/>
        <v>240.12</v>
      </c>
      <c r="K214" s="66">
        <f t="shared" si="64"/>
        <v>240.12</v>
      </c>
      <c r="L214" s="66">
        <f t="shared" si="64"/>
        <v>240.12</v>
      </c>
      <c r="M214" s="66">
        <f t="shared" si="64"/>
        <v>240.12</v>
      </c>
      <c r="N214" s="66">
        <f t="shared" si="64"/>
        <v>240.12</v>
      </c>
    </row>
    <row r="215" spans="1:14" s="58" customFormat="1" x14ac:dyDescent="0.2">
      <c r="A215" s="59" t="s">
        <v>188</v>
      </c>
      <c r="B215" s="74">
        <v>17.25</v>
      </c>
      <c r="C215" s="66">
        <f>SUM(C214)*'Data Links'!$B$15</f>
        <v>18.36918</v>
      </c>
      <c r="D215" s="66">
        <f>SUM(D214)*'Data Links'!$B$15</f>
        <v>18.36918</v>
      </c>
      <c r="E215" s="66">
        <f>SUM(E214)*'Data Links'!$B$15</f>
        <v>18.36918</v>
      </c>
      <c r="F215" s="66">
        <f>SUM(F214)*'Data Links'!$B$15</f>
        <v>18.36918</v>
      </c>
      <c r="G215" s="66">
        <f>SUM(G214)*'Data Links'!$B$15</f>
        <v>18.36918</v>
      </c>
      <c r="H215" s="66">
        <f>SUM(H214)*'Data Links'!$B$15</f>
        <v>18.36918</v>
      </c>
      <c r="I215" s="66">
        <f>SUM(I214)*'Data Links'!$B$15</f>
        <v>18.36918</v>
      </c>
      <c r="J215" s="66">
        <f>SUM(J214)*'Data Links'!$B$15</f>
        <v>18.36918</v>
      </c>
      <c r="K215" s="66">
        <f>SUM(K214)*'Data Links'!$B$15</f>
        <v>18.36918</v>
      </c>
      <c r="L215" s="66">
        <f>SUM(L214)*'Data Links'!$B$15</f>
        <v>18.36918</v>
      </c>
      <c r="M215" s="66">
        <f>SUM(M214)*'Data Links'!$B$15</f>
        <v>18.36918</v>
      </c>
      <c r="N215" s="66">
        <f>SUM(N214)*'Data Links'!$B$15</f>
        <v>18.36918</v>
      </c>
    </row>
    <row r="216" spans="1:14" s="58" customFormat="1" x14ac:dyDescent="0.2">
      <c r="A216" s="59" t="s">
        <v>189</v>
      </c>
      <c r="B216" s="74">
        <v>15.3</v>
      </c>
      <c r="C216" s="66">
        <f>SUM(C214*'Data Links'!$B$13)</f>
        <v>1.44072</v>
      </c>
      <c r="D216" s="66">
        <f>SUM(D214*'Data Links'!$B$13)</f>
        <v>1.44072</v>
      </c>
      <c r="E216" s="66">
        <f>SUM(E214*'Data Links'!$B$13)</f>
        <v>1.44072</v>
      </c>
      <c r="F216" s="66">
        <f>SUM(F214*'Data Links'!$B$13)</f>
        <v>1.44072</v>
      </c>
      <c r="G216" s="66">
        <f>SUM(G214*'Data Links'!$B$13)</f>
        <v>1.44072</v>
      </c>
      <c r="H216" s="66">
        <f>SUM(H214*'Data Links'!$B$13)</f>
        <v>1.44072</v>
      </c>
      <c r="I216" s="66">
        <f>SUM(I214*'Data Links'!$B$13)</f>
        <v>1.44072</v>
      </c>
      <c r="J216" s="66">
        <f>SUM(J214*'Data Links'!$B$13)</f>
        <v>1.44072</v>
      </c>
      <c r="K216" s="66">
        <f>SUM(K214*'Data Links'!$B$13)</f>
        <v>1.44072</v>
      </c>
      <c r="L216" s="66">
        <f>SUM(L214*'Data Links'!$B$13)</f>
        <v>1.44072</v>
      </c>
      <c r="M216" s="66">
        <f>SUM(M214*'Data Links'!$B$13)</f>
        <v>1.44072</v>
      </c>
      <c r="N216" s="66">
        <f>SUM(N214*'Data Links'!$B$13)</f>
        <v>1.44072</v>
      </c>
    </row>
    <row r="217" spans="1:14" s="58" customFormat="1" x14ac:dyDescent="0.2">
      <c r="A217" s="59" t="s">
        <v>190</v>
      </c>
      <c r="B217" s="60"/>
      <c r="C217" s="66">
        <f>SUM(C213*'Data Links'!$B$8)</f>
        <v>1.083672</v>
      </c>
      <c r="D217" s="66">
        <f>SUM(D213*'Data Links'!$B$8)</f>
        <v>1.083672</v>
      </c>
      <c r="E217" s="66">
        <f>SUM(E213*'Data Links'!$B$8)</f>
        <v>1.083672</v>
      </c>
      <c r="F217" s="66">
        <f>SUM(F213*'Data Links'!$B$8)</f>
        <v>1.083672</v>
      </c>
      <c r="G217" s="66">
        <f>SUM(G213*'Data Links'!$B$8)</f>
        <v>1.083672</v>
      </c>
      <c r="H217" s="66">
        <f>SUM(H213*'Data Links'!$B$8)</f>
        <v>1.083672</v>
      </c>
      <c r="I217" s="66">
        <f>SUM(I213*'Data Links'!$B$8)</f>
        <v>1.083672</v>
      </c>
      <c r="J217" s="66">
        <f>SUM(J213*'Data Links'!$B$8)</f>
        <v>1.083672</v>
      </c>
      <c r="K217" s="66">
        <f>SUM(K213*'Data Links'!$B$8)</f>
        <v>1.083672</v>
      </c>
      <c r="L217" s="66">
        <f>SUM(L213*'Data Links'!$B$8)</f>
        <v>1.083672</v>
      </c>
      <c r="M217" s="66">
        <f>SUM(M213*'Data Links'!$B$8)</f>
        <v>1.083672</v>
      </c>
      <c r="N217" s="66">
        <f>SUM(N213*'Data Links'!$B$8)</f>
        <v>1.083672</v>
      </c>
    </row>
    <row r="218" spans="1:14" x14ac:dyDescent="0.2">
      <c r="A218" s="59" t="s">
        <v>191</v>
      </c>
      <c r="C218" s="66">
        <f>SUM('All Employees'!$P$63*0.17)</f>
        <v>0</v>
      </c>
      <c r="D218" s="66">
        <f>SUM('All Employees'!$P$63*0.17)</f>
        <v>0</v>
      </c>
      <c r="E218" s="66">
        <f>SUM('All Employees'!$P$63*0.17)</f>
        <v>0</v>
      </c>
      <c r="F218" s="66">
        <f>SUM('All Employees'!$P$63*0.17)</f>
        <v>0</v>
      </c>
      <c r="G218" s="66">
        <f>SUM('All Employees'!$P$63*0.17)</f>
        <v>0</v>
      </c>
      <c r="H218" s="66">
        <f>SUM('All Employees'!$P$63*0.17)</f>
        <v>0</v>
      </c>
      <c r="I218" s="66">
        <f>SUM('All Employees'!$P$63*0.17)</f>
        <v>0</v>
      </c>
      <c r="J218" s="66">
        <f>SUM('All Employees'!$P$63*0.17)</f>
        <v>0</v>
      </c>
      <c r="K218" s="66">
        <f>SUM('All Employees'!$P$63*0.17)</f>
        <v>0</v>
      </c>
      <c r="L218" s="66">
        <f>SUM('All Employees'!$P$63*0.17)</f>
        <v>0</v>
      </c>
      <c r="M218" s="66">
        <f>SUM('All Employees'!$P$63*0.17)</f>
        <v>0</v>
      </c>
      <c r="N218" s="66">
        <f>SUM('All Employees'!$P$63*0.17)</f>
        <v>0</v>
      </c>
    </row>
    <row r="219" spans="1:14" x14ac:dyDescent="0.2">
      <c r="A219" s="59" t="s">
        <v>192</v>
      </c>
      <c r="C219" s="66">
        <f>SUM(C214*'Data Links'!$B$17)</f>
        <v>7.2035999999999998</v>
      </c>
      <c r="D219" s="66">
        <f>SUM(D214*'Data Links'!$B$17)</f>
        <v>7.2035999999999998</v>
      </c>
      <c r="E219" s="66">
        <f>SUM(E214*'Data Links'!$B$17)</f>
        <v>7.2035999999999998</v>
      </c>
      <c r="F219" s="66">
        <f>SUM(F214*'Data Links'!$B$17)</f>
        <v>7.2035999999999998</v>
      </c>
      <c r="G219" s="66">
        <f>SUM(G214*'Data Links'!$B$17)</f>
        <v>7.2035999999999998</v>
      </c>
      <c r="H219" s="66">
        <f>SUM(H214*'Data Links'!$B$17)</f>
        <v>7.2035999999999998</v>
      </c>
      <c r="I219" s="66">
        <f>SUM(I214*'Data Links'!$B$17)</f>
        <v>7.2035999999999998</v>
      </c>
      <c r="J219" s="66">
        <f>SUM(J214*'Data Links'!$B$17)</f>
        <v>7.2035999999999998</v>
      </c>
      <c r="K219" s="66">
        <f>SUM(K214*'Data Links'!$B$17)</f>
        <v>7.2035999999999998</v>
      </c>
      <c r="L219" s="66">
        <f>SUM(L214*'Data Links'!$B$17)</f>
        <v>7.2035999999999998</v>
      </c>
      <c r="M219" s="66">
        <f>SUM(M214*'Data Links'!$B$17)</f>
        <v>7.2035999999999998</v>
      </c>
      <c r="N219" s="66">
        <f>SUM(N214*'Data Links'!$B$17)</f>
        <v>7.2035999999999998</v>
      </c>
    </row>
    <row r="220" spans="1:14" x14ac:dyDescent="0.2">
      <c r="A220" s="58" t="s">
        <v>144</v>
      </c>
      <c r="C220" s="60">
        <f t="shared" ref="C220:N220" si="65">SUM(C214:C219)</f>
        <v>268.21717200000001</v>
      </c>
      <c r="D220" s="60">
        <f t="shared" si="65"/>
        <v>268.21717200000001</v>
      </c>
      <c r="E220" s="60">
        <f t="shared" si="65"/>
        <v>268.21717200000001</v>
      </c>
      <c r="F220" s="60">
        <f t="shared" si="65"/>
        <v>268.21717200000001</v>
      </c>
      <c r="G220" s="60">
        <f t="shared" si="65"/>
        <v>268.21717200000001</v>
      </c>
      <c r="H220" s="60">
        <f t="shared" si="65"/>
        <v>268.21717200000001</v>
      </c>
      <c r="I220" s="60">
        <f t="shared" si="65"/>
        <v>268.21717200000001</v>
      </c>
      <c r="J220" s="60">
        <f t="shared" si="65"/>
        <v>268.21717200000001</v>
      </c>
      <c r="K220" s="60">
        <f t="shared" si="65"/>
        <v>268.21717200000001</v>
      </c>
      <c r="L220" s="60">
        <f t="shared" si="65"/>
        <v>268.21717200000001</v>
      </c>
      <c r="M220" s="60">
        <f t="shared" si="65"/>
        <v>268.21717200000001</v>
      </c>
      <c r="N220" s="60">
        <f t="shared" si="65"/>
        <v>268.21717200000001</v>
      </c>
    </row>
    <row r="221" spans="1:14" x14ac:dyDescent="0.2">
      <c r="A221" s="58"/>
      <c r="C221" s="60"/>
      <c r="D221" s="60"/>
      <c r="E221" s="60"/>
      <c r="F221" s="60"/>
      <c r="G221" s="60"/>
      <c r="H221" s="60"/>
      <c r="I221" s="60"/>
      <c r="J221" s="60"/>
      <c r="K221" s="60"/>
      <c r="L221" s="60"/>
      <c r="M221" s="60"/>
      <c r="N221" s="60"/>
    </row>
    <row r="222" spans="1:14" x14ac:dyDescent="0.2">
      <c r="C222" s="89" t="str">
        <f>C209</f>
        <v>January</v>
      </c>
      <c r="D222" s="89" t="str">
        <f t="shared" ref="D222:N222" si="66">D209</f>
        <v>February</v>
      </c>
      <c r="E222" s="89" t="str">
        <f t="shared" si="66"/>
        <v>March</v>
      </c>
      <c r="F222" s="89" t="str">
        <f t="shared" si="66"/>
        <v>April</v>
      </c>
      <c r="G222" s="89" t="str">
        <f t="shared" si="66"/>
        <v>May</v>
      </c>
      <c r="H222" s="89" t="str">
        <f t="shared" si="66"/>
        <v>June</v>
      </c>
      <c r="I222" s="89" t="str">
        <f t="shared" si="66"/>
        <v>July</v>
      </c>
      <c r="J222" s="89" t="str">
        <f t="shared" si="66"/>
        <v>August</v>
      </c>
      <c r="K222" s="89" t="str">
        <f t="shared" si="66"/>
        <v>September</v>
      </c>
      <c r="L222" s="89" t="str">
        <f t="shared" si="66"/>
        <v>October</v>
      </c>
      <c r="M222" s="89" t="str">
        <f t="shared" si="66"/>
        <v>November</v>
      </c>
      <c r="N222" s="89" t="str">
        <f t="shared" si="66"/>
        <v>December</v>
      </c>
    </row>
    <row r="223" spans="1:14" x14ac:dyDescent="0.2">
      <c r="C223" s="72">
        <v>31</v>
      </c>
      <c r="D223" s="72">
        <v>31</v>
      </c>
      <c r="E223" s="72">
        <v>30</v>
      </c>
      <c r="F223" s="72">
        <v>31</v>
      </c>
      <c r="G223" s="72">
        <v>30</v>
      </c>
      <c r="H223" s="72">
        <v>31</v>
      </c>
      <c r="I223" s="72">
        <v>31</v>
      </c>
      <c r="J223" s="72">
        <v>28</v>
      </c>
      <c r="K223" s="72">
        <v>31</v>
      </c>
      <c r="L223" s="72">
        <v>30</v>
      </c>
      <c r="M223" s="72">
        <v>31</v>
      </c>
      <c r="N223" s="71">
        <v>30</v>
      </c>
    </row>
    <row r="224" spans="1:14" x14ac:dyDescent="0.2">
      <c r="B224" s="89" t="s">
        <v>185</v>
      </c>
      <c r="C224" s="78">
        <v>1</v>
      </c>
      <c r="D224" s="78">
        <v>0</v>
      </c>
      <c r="E224" s="78">
        <v>1</v>
      </c>
      <c r="F224" s="78">
        <f>F211</f>
        <v>1</v>
      </c>
      <c r="G224" s="78">
        <v>2</v>
      </c>
      <c r="H224" s="78">
        <f>H211</f>
        <v>1</v>
      </c>
      <c r="I224" s="78">
        <v>2</v>
      </c>
      <c r="J224" s="78">
        <v>1</v>
      </c>
      <c r="K224" s="78">
        <v>0</v>
      </c>
      <c r="L224" s="78">
        <v>0</v>
      </c>
      <c r="M224" s="78">
        <v>1</v>
      </c>
      <c r="N224" s="78">
        <f>N211</f>
        <v>0</v>
      </c>
    </row>
    <row r="225" spans="1:14" x14ac:dyDescent="0.2">
      <c r="B225" s="89" t="s">
        <v>44</v>
      </c>
      <c r="C225" s="49">
        <v>0.14000000000000001</v>
      </c>
      <c r="D225" s="49">
        <v>0.14000000000000001</v>
      </c>
      <c r="E225" s="49">
        <v>0.14000000000000001</v>
      </c>
      <c r="F225" s="49">
        <v>0.14000000000000001</v>
      </c>
      <c r="G225" s="49">
        <v>0.14000000000000001</v>
      </c>
      <c r="H225" s="49">
        <v>0.14000000000000001</v>
      </c>
      <c r="I225" s="49">
        <v>0.14000000000000001</v>
      </c>
      <c r="J225" s="49">
        <v>0.14000000000000001</v>
      </c>
      <c r="K225" s="49">
        <v>0.14000000000000001</v>
      </c>
      <c r="L225" s="49">
        <v>0.14000000000000001</v>
      </c>
      <c r="M225" s="49">
        <v>0.14000000000000001</v>
      </c>
      <c r="N225" s="49">
        <v>0.14000000000000001</v>
      </c>
    </row>
    <row r="226" spans="1:14" x14ac:dyDescent="0.2">
      <c r="B226" s="89" t="s">
        <v>186</v>
      </c>
      <c r="C226" s="53">
        <f>SUM(174*C225)</f>
        <v>24.360000000000003</v>
      </c>
      <c r="D226" s="53">
        <f t="shared" ref="D226:N226" si="67">SUM(174*D225)</f>
        <v>24.360000000000003</v>
      </c>
      <c r="E226" s="53">
        <f t="shared" si="67"/>
        <v>24.360000000000003</v>
      </c>
      <c r="F226" s="53">
        <f t="shared" si="67"/>
        <v>24.360000000000003</v>
      </c>
      <c r="G226" s="53">
        <f t="shared" si="67"/>
        <v>24.360000000000003</v>
      </c>
      <c r="H226" s="53">
        <f t="shared" si="67"/>
        <v>24.360000000000003</v>
      </c>
      <c r="I226" s="53">
        <f t="shared" si="67"/>
        <v>24.360000000000003</v>
      </c>
      <c r="J226" s="53">
        <f t="shared" si="67"/>
        <v>24.360000000000003</v>
      </c>
      <c r="K226" s="53">
        <f t="shared" si="67"/>
        <v>24.360000000000003</v>
      </c>
      <c r="L226" s="53">
        <f t="shared" si="67"/>
        <v>24.360000000000003</v>
      </c>
      <c r="M226" s="53">
        <f t="shared" si="67"/>
        <v>24.360000000000003</v>
      </c>
      <c r="N226" s="53">
        <f t="shared" si="67"/>
        <v>24.360000000000003</v>
      </c>
    </row>
    <row r="227" spans="1:14" x14ac:dyDescent="0.2">
      <c r="A227" s="147" t="s">
        <v>452</v>
      </c>
      <c r="B227" s="78" t="s">
        <v>453</v>
      </c>
      <c r="C227" s="66">
        <f>SUM(C226*$B$228)</f>
        <v>365.40000000000003</v>
      </c>
      <c r="D227" s="66">
        <f t="shared" ref="D227:N227" si="68">SUM(D226*$B$228)</f>
        <v>365.40000000000003</v>
      </c>
      <c r="E227" s="66">
        <f t="shared" si="68"/>
        <v>365.40000000000003</v>
      </c>
      <c r="F227" s="66">
        <f t="shared" si="68"/>
        <v>365.40000000000003</v>
      </c>
      <c r="G227" s="66">
        <f t="shared" si="68"/>
        <v>365.40000000000003</v>
      </c>
      <c r="H227" s="66">
        <f t="shared" si="68"/>
        <v>365.40000000000003</v>
      </c>
      <c r="I227" s="66">
        <f t="shared" si="68"/>
        <v>365.40000000000003</v>
      </c>
      <c r="J227" s="66">
        <f t="shared" si="68"/>
        <v>365.40000000000003</v>
      </c>
      <c r="K227" s="66">
        <f t="shared" si="68"/>
        <v>365.40000000000003</v>
      </c>
      <c r="L227" s="66">
        <f t="shared" si="68"/>
        <v>365.40000000000003</v>
      </c>
      <c r="M227" s="66">
        <f t="shared" si="68"/>
        <v>365.40000000000003</v>
      </c>
      <c r="N227" s="66">
        <f t="shared" si="68"/>
        <v>365.40000000000003</v>
      </c>
    </row>
    <row r="228" spans="1:14" x14ac:dyDescent="0.2">
      <c r="A228" s="59" t="s">
        <v>188</v>
      </c>
      <c r="B228" s="74">
        <v>15</v>
      </c>
      <c r="C228" s="66">
        <f>SUM(C227)*'Data Links'!$B$15</f>
        <v>27.953100000000003</v>
      </c>
      <c r="D228" s="66">
        <f>SUM(D227)*'Data Links'!$B$15</f>
        <v>27.953100000000003</v>
      </c>
      <c r="E228" s="66">
        <f>SUM(E227)*'Data Links'!$B$15</f>
        <v>27.953100000000003</v>
      </c>
      <c r="F228" s="66">
        <f>SUM(F227)*'Data Links'!$B$15</f>
        <v>27.953100000000003</v>
      </c>
      <c r="G228" s="66">
        <f>SUM(G227)*'Data Links'!$B$15</f>
        <v>27.953100000000003</v>
      </c>
      <c r="H228" s="66">
        <f>SUM(H227)*'Data Links'!$B$15</f>
        <v>27.953100000000003</v>
      </c>
      <c r="I228" s="66">
        <f>SUM(I227)*'Data Links'!$B$15</f>
        <v>27.953100000000003</v>
      </c>
      <c r="J228" s="66">
        <f>SUM(J227)*'Data Links'!$B$15</f>
        <v>27.953100000000003</v>
      </c>
      <c r="K228" s="66">
        <f>SUM(K227)*'Data Links'!$B$15</f>
        <v>27.953100000000003</v>
      </c>
      <c r="L228" s="66">
        <f>SUM(L227)*'Data Links'!$B$15</f>
        <v>27.953100000000003</v>
      </c>
      <c r="M228" s="66">
        <f>SUM(M227)*'Data Links'!$B$15</f>
        <v>27.953100000000003</v>
      </c>
      <c r="N228" s="66">
        <f>SUM(N227)*'Data Links'!$B$15</f>
        <v>27.953100000000003</v>
      </c>
    </row>
    <row r="229" spans="1:14" x14ac:dyDescent="0.2">
      <c r="A229" s="59" t="s">
        <v>189</v>
      </c>
      <c r="C229" s="66">
        <f>SUM(C227*'Data Links'!$B$13)</f>
        <v>2.1924000000000001</v>
      </c>
      <c r="D229" s="66">
        <f>SUM(D227*'Data Links'!$B$13)</f>
        <v>2.1924000000000001</v>
      </c>
      <c r="E229" s="66">
        <f>SUM(E227*'Data Links'!$B$13)</f>
        <v>2.1924000000000001</v>
      </c>
      <c r="F229" s="66">
        <f>SUM(F227*'Data Links'!$B$13)</f>
        <v>2.1924000000000001</v>
      </c>
      <c r="G229" s="66">
        <f>SUM(G227*'Data Links'!$B$13)</f>
        <v>2.1924000000000001</v>
      </c>
      <c r="H229" s="66">
        <f>SUM(H227*'Data Links'!$B$13)</f>
        <v>2.1924000000000001</v>
      </c>
      <c r="I229" s="66">
        <f>SUM(I227*'Data Links'!$B$13)</f>
        <v>2.1924000000000001</v>
      </c>
      <c r="J229" s="66">
        <f>SUM(J227*'Data Links'!$B$13)</f>
        <v>2.1924000000000001</v>
      </c>
      <c r="K229" s="66">
        <f>SUM(K227*'Data Links'!$B$13)</f>
        <v>2.1924000000000001</v>
      </c>
      <c r="L229" s="66">
        <f>SUM(L227*'Data Links'!$B$13)</f>
        <v>2.1924000000000001</v>
      </c>
      <c r="M229" s="66">
        <f>SUM(M227*'Data Links'!$B$13)</f>
        <v>2.1924000000000001</v>
      </c>
      <c r="N229" s="66">
        <f>SUM(N227*'Data Links'!$B$13)</f>
        <v>2.1924000000000001</v>
      </c>
    </row>
    <row r="230" spans="1:14" x14ac:dyDescent="0.2">
      <c r="A230" s="59" t="s">
        <v>190</v>
      </c>
      <c r="C230" s="66">
        <f>SUM(C226*'Data Links'!$B$8)</f>
        <v>1.8964260000000004</v>
      </c>
      <c r="D230" s="66">
        <f>SUM(D226*'Data Links'!$B$8)</f>
        <v>1.8964260000000004</v>
      </c>
      <c r="E230" s="66">
        <f>SUM(E226*'Data Links'!$B$8)</f>
        <v>1.8964260000000004</v>
      </c>
      <c r="F230" s="66">
        <f>SUM(F226*'Data Links'!$B$8)</f>
        <v>1.8964260000000004</v>
      </c>
      <c r="G230" s="66">
        <f>SUM(G226*'Data Links'!$B$8)</f>
        <v>1.8964260000000004</v>
      </c>
      <c r="H230" s="66">
        <f>SUM(H226*'Data Links'!$B$8)</f>
        <v>1.8964260000000004</v>
      </c>
      <c r="I230" s="66">
        <f>SUM(I226*'Data Links'!$B$8)</f>
        <v>1.8964260000000004</v>
      </c>
      <c r="J230" s="66">
        <f>SUM(J226*'Data Links'!$B$8)</f>
        <v>1.8964260000000004</v>
      </c>
      <c r="K230" s="66">
        <f>SUM(K226*'Data Links'!$B$8)</f>
        <v>1.8964260000000004</v>
      </c>
      <c r="L230" s="66">
        <f>SUM(L226*'Data Links'!$B$8)</f>
        <v>1.8964260000000004</v>
      </c>
      <c r="M230" s="66">
        <f>SUM(M226*'Data Links'!$B$8)</f>
        <v>1.8964260000000004</v>
      </c>
      <c r="N230" s="66">
        <f>SUM(N226*'Data Links'!$B$8)</f>
        <v>1.8964260000000004</v>
      </c>
    </row>
    <row r="231" spans="1:14" x14ac:dyDescent="0.2">
      <c r="A231" s="59" t="s">
        <v>191</v>
      </c>
      <c r="C231" s="66">
        <f>SUM('All Employees'!$P$70)*C225</f>
        <v>59.640000000000008</v>
      </c>
      <c r="D231" s="66">
        <f>SUM('All Employees'!$P$70)*D225</f>
        <v>59.640000000000008</v>
      </c>
      <c r="E231" s="66">
        <f>SUM('All Employees'!$P$70)*E225</f>
        <v>59.640000000000008</v>
      </c>
      <c r="F231" s="66">
        <f>SUM('All Employees'!$P$70)*F225</f>
        <v>59.640000000000008</v>
      </c>
      <c r="G231" s="66">
        <f>SUM('All Employees'!$P$70)*G225</f>
        <v>59.640000000000008</v>
      </c>
      <c r="H231" s="66">
        <f>SUM('All Employees'!$P$70)*H225</f>
        <v>59.640000000000008</v>
      </c>
      <c r="I231" s="66">
        <f>SUM('All Employees'!$P$70)*I225</f>
        <v>59.640000000000008</v>
      </c>
      <c r="J231" s="66">
        <f>SUM('All Employees'!$P$70)*J225</f>
        <v>59.640000000000008</v>
      </c>
      <c r="K231" s="66">
        <f>SUM('All Employees'!$P$70)*K225</f>
        <v>59.640000000000008</v>
      </c>
      <c r="L231" s="66">
        <f>SUM('All Employees'!$P$70)*L225</f>
        <v>59.640000000000008</v>
      </c>
      <c r="M231" s="66">
        <f>SUM('All Employees'!$P$70)*M225</f>
        <v>59.640000000000008</v>
      </c>
      <c r="N231" s="66">
        <f>SUM('All Employees'!$P$70)*N225</f>
        <v>59.640000000000008</v>
      </c>
    </row>
    <row r="232" spans="1:14" x14ac:dyDescent="0.2">
      <c r="A232" s="59" t="s">
        <v>192</v>
      </c>
      <c r="C232" s="66">
        <f>SUM(C227*'Data Links'!$B$17)</f>
        <v>10.962</v>
      </c>
      <c r="D232" s="66">
        <f>SUM(D227*'Data Links'!$B$17)</f>
        <v>10.962</v>
      </c>
      <c r="E232" s="66">
        <f>SUM(E227*'Data Links'!$B$17)</f>
        <v>10.962</v>
      </c>
      <c r="F232" s="66">
        <f>SUM(F227*'Data Links'!$B$17)</f>
        <v>10.962</v>
      </c>
      <c r="G232" s="66">
        <f>SUM(G227*'Data Links'!$B$17)</f>
        <v>10.962</v>
      </c>
      <c r="H232" s="66">
        <f>SUM(H227*'Data Links'!$B$17)</f>
        <v>10.962</v>
      </c>
      <c r="I232" s="66">
        <f>SUM(I227*'Data Links'!$B$17)</f>
        <v>10.962</v>
      </c>
      <c r="J232" s="66">
        <f>SUM(J227*'Data Links'!$B$17)</f>
        <v>10.962</v>
      </c>
      <c r="K232" s="66">
        <f>SUM(K227*'Data Links'!$B$17)</f>
        <v>10.962</v>
      </c>
      <c r="L232" s="66">
        <f>SUM(L227*'Data Links'!$B$17)</f>
        <v>10.962</v>
      </c>
      <c r="M232" s="66">
        <f>SUM(M227*'Data Links'!$B$17)</f>
        <v>10.962</v>
      </c>
      <c r="N232" s="66">
        <f>SUM(N227*'Data Links'!$B$17)</f>
        <v>10.962</v>
      </c>
    </row>
    <row r="233" spans="1:14" x14ac:dyDescent="0.2">
      <c r="A233" s="58" t="s">
        <v>144</v>
      </c>
      <c r="C233" s="60">
        <f t="shared" ref="C233:N233" si="69">SUM(C227:C232)</f>
        <v>468.04392600000006</v>
      </c>
      <c r="D233" s="60">
        <f t="shared" si="69"/>
        <v>468.04392600000006</v>
      </c>
      <c r="E233" s="60">
        <f t="shared" si="69"/>
        <v>468.04392600000006</v>
      </c>
      <c r="F233" s="60">
        <f t="shared" si="69"/>
        <v>468.04392600000006</v>
      </c>
      <c r="G233" s="60">
        <f t="shared" si="69"/>
        <v>468.04392600000006</v>
      </c>
      <c r="H233" s="60">
        <f t="shared" si="69"/>
        <v>468.04392600000006</v>
      </c>
      <c r="I233" s="60">
        <f t="shared" si="69"/>
        <v>468.04392600000006</v>
      </c>
      <c r="J233" s="60">
        <f t="shared" si="69"/>
        <v>468.04392600000006</v>
      </c>
      <c r="K233" s="60">
        <f t="shared" si="69"/>
        <v>468.04392600000006</v>
      </c>
      <c r="L233" s="60">
        <f t="shared" si="69"/>
        <v>468.04392600000006</v>
      </c>
      <c r="M233" s="60">
        <f t="shared" si="69"/>
        <v>468.04392600000006</v>
      </c>
      <c r="N233" s="60">
        <f t="shared" si="69"/>
        <v>468.04392600000006</v>
      </c>
    </row>
    <row r="234" spans="1:14" x14ac:dyDescent="0.2">
      <c r="C234" s="60"/>
      <c r="D234" s="66"/>
      <c r="E234" s="66"/>
      <c r="F234" s="66"/>
      <c r="G234" s="66"/>
      <c r="H234" s="66"/>
      <c r="I234" s="66"/>
      <c r="J234" s="66"/>
      <c r="K234" s="66"/>
      <c r="L234" s="66"/>
      <c r="M234" s="66"/>
      <c r="N234" s="66"/>
    </row>
    <row r="235" spans="1:14" x14ac:dyDescent="0.2">
      <c r="A235" s="58" t="s">
        <v>194</v>
      </c>
      <c r="C235" s="60"/>
      <c r="D235" s="66"/>
      <c r="E235" s="66"/>
      <c r="F235" s="66"/>
      <c r="G235" s="66"/>
      <c r="H235" s="66"/>
      <c r="I235" s="66"/>
      <c r="J235" s="66"/>
      <c r="K235" s="66"/>
      <c r="L235" s="66"/>
      <c r="M235" s="66"/>
      <c r="N235" s="66"/>
    </row>
    <row r="236" spans="1:14" x14ac:dyDescent="0.2">
      <c r="A236" s="59" t="s">
        <v>195</v>
      </c>
      <c r="C236" s="66">
        <f>SUM(C110+C123+C136+C149+C162+C175+C188+C201+C214+C227)</f>
        <v>13353.861900000002</v>
      </c>
      <c r="D236" s="66">
        <f t="shared" ref="D236:N236" si="70">SUM(D110+D123+D136+D149+D162+D175+D188+D201+D214+D227)</f>
        <v>13353.861900000002</v>
      </c>
      <c r="E236" s="66">
        <f t="shared" si="70"/>
        <v>13353.861900000002</v>
      </c>
      <c r="F236" s="66">
        <f t="shared" si="70"/>
        <v>13353.861900000002</v>
      </c>
      <c r="G236" s="66">
        <f t="shared" si="70"/>
        <v>13353.861900000002</v>
      </c>
      <c r="H236" s="66">
        <f t="shared" si="70"/>
        <v>13353.861900000002</v>
      </c>
      <c r="I236" s="66">
        <f t="shared" si="70"/>
        <v>13353.861900000002</v>
      </c>
      <c r="J236" s="66">
        <f t="shared" si="70"/>
        <v>13353.861900000002</v>
      </c>
      <c r="K236" s="66">
        <f t="shared" si="70"/>
        <v>13353.861900000002</v>
      </c>
      <c r="L236" s="66">
        <f t="shared" si="70"/>
        <v>13353.861900000002</v>
      </c>
      <c r="M236" s="66">
        <f t="shared" si="70"/>
        <v>13353.861900000002</v>
      </c>
      <c r="N236" s="66">
        <f t="shared" si="70"/>
        <v>13353.861900000002</v>
      </c>
    </row>
    <row r="237" spans="1:14" x14ac:dyDescent="0.2">
      <c r="A237" s="59" t="s">
        <v>22</v>
      </c>
      <c r="C237" s="66">
        <f>SUM(C111+C112+C113+C124+C125+C126+C137+C138+C139+C150+C151+C152+C163+C164+C165+C176+C177+C178+C189+C190+C191+C202+C203+C204+C215+C216+C217+C228+C229+C230)</f>
        <v>1198.46091525</v>
      </c>
      <c r="D237" s="66">
        <f t="shared" ref="D237:N237" si="71">SUM(D111+D112+D113+D124+D125+D126+D137+D138+D139+D150+D151+D152+D163+D164+D165+D176+D177+D178+D189+D190+D191+D202+D203+D204+D215+D216+D217+D228+D229+D230)</f>
        <v>1198.46091525</v>
      </c>
      <c r="E237" s="66">
        <f t="shared" si="71"/>
        <v>1198.46091525</v>
      </c>
      <c r="F237" s="66">
        <f t="shared" si="71"/>
        <v>1198.46091525</v>
      </c>
      <c r="G237" s="66">
        <f t="shared" si="71"/>
        <v>1198.46091525</v>
      </c>
      <c r="H237" s="66">
        <f t="shared" si="71"/>
        <v>1198.46091525</v>
      </c>
      <c r="I237" s="66">
        <f t="shared" si="71"/>
        <v>1198.46091525</v>
      </c>
      <c r="J237" s="66">
        <f t="shared" si="71"/>
        <v>1198.46091525</v>
      </c>
      <c r="K237" s="66">
        <f t="shared" si="71"/>
        <v>1198.46091525</v>
      </c>
      <c r="L237" s="66">
        <f t="shared" si="71"/>
        <v>1198.46091525</v>
      </c>
      <c r="M237" s="66">
        <f t="shared" si="71"/>
        <v>1198.46091525</v>
      </c>
      <c r="N237" s="66">
        <f t="shared" si="71"/>
        <v>1198.46091525</v>
      </c>
    </row>
    <row r="238" spans="1:14" x14ac:dyDescent="0.2">
      <c r="A238" s="59" t="s">
        <v>23</v>
      </c>
      <c r="C238" s="66">
        <f>SUM(C114+C115+C127+C128+C140+C141+C153+C154+C167+C166+C179+C180+C192+C193+C205+C206+C218+C219+C231+C232)</f>
        <v>935.21121493103453</v>
      </c>
      <c r="D238" s="66">
        <f t="shared" ref="D238:N238" si="72">SUM(D114+D115+D127+D128+D140+D141+D153+D154+D167+D166+D179+D180+D192+D193+D205+D206+D218+D219+D231+D232)</f>
        <v>935.21121493103453</v>
      </c>
      <c r="E238" s="66">
        <f t="shared" si="72"/>
        <v>935.21121493103453</v>
      </c>
      <c r="F238" s="66">
        <f t="shared" si="72"/>
        <v>935.21121493103453</v>
      </c>
      <c r="G238" s="66">
        <f t="shared" si="72"/>
        <v>935.21121493103453</v>
      </c>
      <c r="H238" s="66">
        <f t="shared" si="72"/>
        <v>935.21121493103453</v>
      </c>
      <c r="I238" s="66">
        <f t="shared" si="72"/>
        <v>935.21121493103453</v>
      </c>
      <c r="J238" s="66">
        <f t="shared" si="72"/>
        <v>935.21121493103453</v>
      </c>
      <c r="K238" s="66">
        <f t="shared" si="72"/>
        <v>935.21121493103453</v>
      </c>
      <c r="L238" s="66">
        <f t="shared" si="72"/>
        <v>935.21121493103453</v>
      </c>
      <c r="M238" s="66">
        <f t="shared" si="72"/>
        <v>935.21121493103453</v>
      </c>
      <c r="N238" s="66">
        <f t="shared" si="72"/>
        <v>935.21121493103453</v>
      </c>
    </row>
    <row r="239" spans="1:14" s="58" customFormat="1" x14ac:dyDescent="0.2">
      <c r="A239" s="58" t="s">
        <v>196</v>
      </c>
      <c r="B239" s="60"/>
      <c r="C239" s="60">
        <f>SUM(C236:C238)</f>
        <v>15487.534030181036</v>
      </c>
      <c r="D239" s="60">
        <f t="shared" ref="D239:N239" si="73">SUM(D236:D238)</f>
        <v>15487.534030181036</v>
      </c>
      <c r="E239" s="60">
        <f t="shared" si="73"/>
        <v>15487.534030181036</v>
      </c>
      <c r="F239" s="60">
        <f t="shared" si="73"/>
        <v>15487.534030181036</v>
      </c>
      <c r="G239" s="60">
        <f t="shared" si="73"/>
        <v>15487.534030181036</v>
      </c>
      <c r="H239" s="60">
        <f t="shared" si="73"/>
        <v>15487.534030181036</v>
      </c>
      <c r="I239" s="60">
        <f t="shared" si="73"/>
        <v>15487.534030181036</v>
      </c>
      <c r="J239" s="60">
        <f t="shared" si="73"/>
        <v>15487.534030181036</v>
      </c>
      <c r="K239" s="60">
        <f t="shared" si="73"/>
        <v>15487.534030181036</v>
      </c>
      <c r="L239" s="60">
        <f t="shared" si="73"/>
        <v>15487.534030181036</v>
      </c>
      <c r="M239" s="60">
        <f t="shared" si="73"/>
        <v>15487.534030181036</v>
      </c>
      <c r="N239" s="60">
        <f t="shared" si="73"/>
        <v>15487.534030181036</v>
      </c>
    </row>
    <row r="240" spans="1:14" x14ac:dyDescent="0.2">
      <c r="C240" s="60"/>
      <c r="D240" s="66"/>
      <c r="E240" s="66"/>
      <c r="F240" s="66"/>
      <c r="G240" s="66"/>
      <c r="H240" s="66"/>
      <c r="I240" s="66"/>
      <c r="J240" s="66"/>
      <c r="K240" s="66"/>
      <c r="L240" s="66"/>
      <c r="M240" s="66"/>
      <c r="N240" s="66"/>
    </row>
    <row r="241" spans="1:14" x14ac:dyDescent="0.2">
      <c r="C241" s="60"/>
      <c r="D241" s="66"/>
      <c r="E241" s="66"/>
      <c r="F241" s="66"/>
      <c r="G241" s="66"/>
      <c r="H241" s="66"/>
      <c r="I241" s="66"/>
      <c r="J241" s="66"/>
      <c r="K241" s="66"/>
      <c r="L241" s="66"/>
      <c r="M241" s="66"/>
      <c r="N241" s="66"/>
    </row>
    <row r="242" spans="1:14" x14ac:dyDescent="0.2">
      <c r="C242" s="60"/>
      <c r="D242" s="66"/>
      <c r="E242" s="66"/>
      <c r="F242" s="66"/>
      <c r="G242" s="66"/>
      <c r="H242" s="66"/>
      <c r="I242" s="66"/>
      <c r="J242" s="66"/>
      <c r="K242" s="66"/>
      <c r="L242" s="66"/>
      <c r="M242" s="66"/>
      <c r="N242" s="66"/>
    </row>
    <row r="243" spans="1:14" x14ac:dyDescent="0.2">
      <c r="C243" s="60"/>
      <c r="D243" s="66"/>
      <c r="E243" s="66"/>
      <c r="F243" s="73"/>
      <c r="G243" s="66"/>
      <c r="H243" s="66"/>
      <c r="I243" s="66"/>
      <c r="J243" s="66"/>
      <c r="K243" s="66"/>
      <c r="L243" s="66"/>
      <c r="M243" s="66"/>
      <c r="N243" s="66"/>
    </row>
    <row r="244" spans="1:14" x14ac:dyDescent="0.2">
      <c r="A244" s="84"/>
      <c r="B244" s="84"/>
      <c r="C244" s="60"/>
      <c r="D244" s="66"/>
      <c r="E244" s="66"/>
      <c r="F244" s="66"/>
      <c r="G244" s="66"/>
      <c r="H244" s="66"/>
      <c r="I244" s="66"/>
      <c r="J244" s="66"/>
      <c r="K244" s="66"/>
      <c r="L244" s="66"/>
      <c r="M244" s="66"/>
      <c r="N244" s="66"/>
    </row>
    <row r="245" spans="1:14" x14ac:dyDescent="0.2">
      <c r="A245" s="84"/>
      <c r="B245" s="84"/>
      <c r="C245" s="60"/>
      <c r="D245" s="66"/>
      <c r="E245" s="66"/>
      <c r="F245" s="66"/>
      <c r="G245" s="66"/>
      <c r="H245" s="66"/>
      <c r="I245" s="66"/>
      <c r="J245" s="66"/>
      <c r="K245" s="66"/>
      <c r="L245" s="66"/>
      <c r="M245" s="66"/>
      <c r="N245" s="66"/>
    </row>
    <row r="246" spans="1:14" x14ac:dyDescent="0.2">
      <c r="A246" s="84"/>
      <c r="B246" s="84"/>
      <c r="C246" s="60"/>
      <c r="D246" s="66"/>
      <c r="E246" s="66"/>
      <c r="F246" s="66"/>
      <c r="G246" s="66"/>
      <c r="H246" s="66"/>
      <c r="I246" s="66"/>
      <c r="J246" s="66"/>
      <c r="K246" s="66"/>
      <c r="L246" s="66"/>
      <c r="M246" s="66"/>
      <c r="N246" s="66"/>
    </row>
    <row r="247" spans="1:14" x14ac:dyDescent="0.2">
      <c r="A247" s="84"/>
      <c r="B247" s="84"/>
      <c r="C247" s="60"/>
      <c r="D247" s="66"/>
      <c r="E247" s="66"/>
      <c r="F247" s="66"/>
      <c r="G247" s="66"/>
      <c r="H247" s="66"/>
      <c r="I247" s="66"/>
      <c r="J247" s="66"/>
      <c r="K247" s="66"/>
      <c r="L247" s="66"/>
      <c r="M247" s="66"/>
      <c r="N247" s="66"/>
    </row>
    <row r="248" spans="1:14" x14ac:dyDescent="0.2">
      <c r="A248" s="84"/>
      <c r="B248" s="84"/>
      <c r="C248" s="60"/>
      <c r="D248" s="66"/>
      <c r="E248" s="66"/>
      <c r="F248" s="66"/>
      <c r="G248" s="66"/>
      <c r="H248" s="66"/>
      <c r="I248" s="66"/>
      <c r="J248" s="66"/>
      <c r="K248" s="66"/>
      <c r="L248" s="66"/>
      <c r="M248" s="66"/>
      <c r="N248" s="66"/>
    </row>
    <row r="249" spans="1:14" x14ac:dyDescent="0.2">
      <c r="A249" s="84"/>
      <c r="B249" s="84"/>
      <c r="C249" s="60"/>
      <c r="D249" s="66"/>
      <c r="E249" s="66"/>
      <c r="F249" s="66"/>
      <c r="G249" s="66"/>
      <c r="H249" s="66"/>
      <c r="I249" s="66"/>
      <c r="J249" s="66"/>
      <c r="K249" s="66"/>
      <c r="L249" s="66"/>
      <c r="M249" s="66"/>
      <c r="N249" s="66"/>
    </row>
    <row r="250" spans="1:14" x14ac:dyDescent="0.2">
      <c r="A250" s="84"/>
      <c r="B250" s="84"/>
      <c r="C250" s="60"/>
      <c r="D250" s="66"/>
      <c r="E250" s="66"/>
      <c r="F250" s="66"/>
      <c r="G250" s="66"/>
      <c r="H250" s="66"/>
      <c r="I250" s="66"/>
      <c r="J250" s="66"/>
      <c r="K250" s="66"/>
      <c r="L250" s="66"/>
      <c r="M250" s="66"/>
      <c r="N250" s="66"/>
    </row>
    <row r="251" spans="1:14" x14ac:dyDescent="0.2">
      <c r="A251" s="84"/>
      <c r="B251" s="84"/>
      <c r="C251" s="60"/>
      <c r="D251" s="66"/>
      <c r="E251" s="66"/>
      <c r="F251" s="66"/>
      <c r="G251" s="66"/>
      <c r="H251" s="66"/>
      <c r="I251" s="66"/>
      <c r="J251" s="66"/>
      <c r="K251" s="66"/>
      <c r="L251" s="66"/>
      <c r="M251" s="66"/>
      <c r="N251" s="66"/>
    </row>
    <row r="252" spans="1:14" x14ac:dyDescent="0.2">
      <c r="A252" s="84"/>
      <c r="B252" s="84"/>
      <c r="C252" s="60"/>
      <c r="D252" s="66"/>
      <c r="E252" s="66"/>
      <c r="F252" s="66"/>
      <c r="G252" s="66"/>
      <c r="H252" s="66"/>
      <c r="I252" s="66"/>
      <c r="J252" s="66"/>
      <c r="K252" s="66"/>
      <c r="L252" s="66"/>
      <c r="M252" s="66"/>
      <c r="N252" s="66"/>
    </row>
    <row r="253" spans="1:14" x14ac:dyDescent="0.2">
      <c r="A253" s="84"/>
      <c r="B253" s="84"/>
      <c r="C253" s="60"/>
      <c r="D253" s="66"/>
      <c r="E253" s="66"/>
      <c r="F253" s="66"/>
      <c r="G253" s="66"/>
      <c r="H253" s="66"/>
      <c r="I253" s="66"/>
      <c r="J253" s="66"/>
      <c r="K253" s="66"/>
      <c r="L253" s="66"/>
      <c r="M253" s="66"/>
      <c r="N253" s="66"/>
    </row>
    <row r="254" spans="1:14" x14ac:dyDescent="0.2">
      <c r="A254" s="84"/>
      <c r="B254" s="84"/>
      <c r="C254" s="60"/>
      <c r="D254" s="66"/>
      <c r="E254" s="66"/>
      <c r="F254" s="66"/>
      <c r="G254" s="66"/>
      <c r="H254" s="66"/>
      <c r="I254" s="66"/>
      <c r="J254" s="66"/>
      <c r="K254" s="66"/>
      <c r="L254" s="66"/>
      <c r="M254" s="66"/>
      <c r="N254" s="66"/>
    </row>
    <row r="255" spans="1:14" x14ac:dyDescent="0.2">
      <c r="A255" s="84"/>
      <c r="B255" s="84"/>
      <c r="C255" s="60"/>
      <c r="D255" s="66"/>
      <c r="E255" s="66"/>
      <c r="F255" s="66"/>
      <c r="G255" s="66"/>
      <c r="H255" s="66"/>
      <c r="I255" s="66"/>
      <c r="J255" s="66"/>
      <c r="K255" s="66"/>
      <c r="L255" s="66"/>
      <c r="M255" s="66"/>
      <c r="N255" s="66"/>
    </row>
    <row r="256" spans="1:14" x14ac:dyDescent="0.2">
      <c r="A256" s="84"/>
      <c r="B256" s="84"/>
      <c r="C256" s="60"/>
      <c r="D256" s="66"/>
      <c r="E256" s="66"/>
      <c r="F256" s="66"/>
      <c r="G256" s="66"/>
      <c r="H256" s="66"/>
      <c r="I256" s="66"/>
      <c r="J256" s="66"/>
      <c r="K256" s="66"/>
      <c r="L256" s="66"/>
      <c r="M256" s="66"/>
      <c r="N256" s="66"/>
    </row>
    <row r="257" spans="1:14" x14ac:dyDescent="0.2">
      <c r="A257" s="84"/>
      <c r="B257" s="84"/>
      <c r="C257" s="60"/>
      <c r="D257" s="66"/>
      <c r="E257" s="66"/>
      <c r="F257" s="66"/>
      <c r="G257" s="66"/>
      <c r="H257" s="66"/>
      <c r="I257" s="66"/>
      <c r="J257" s="66"/>
      <c r="K257" s="66"/>
      <c r="L257" s="66"/>
      <c r="M257" s="66"/>
      <c r="N257" s="66"/>
    </row>
    <row r="258" spans="1:14" x14ac:dyDescent="0.2">
      <c r="A258" s="84"/>
      <c r="B258" s="84"/>
      <c r="C258" s="60"/>
      <c r="D258" s="66"/>
      <c r="E258" s="66"/>
      <c r="F258" s="66"/>
      <c r="G258" s="66"/>
      <c r="H258" s="66"/>
      <c r="I258" s="66"/>
      <c r="J258" s="66"/>
      <c r="K258" s="66"/>
      <c r="L258" s="66"/>
      <c r="M258" s="66"/>
      <c r="N258" s="66"/>
    </row>
    <row r="259" spans="1:14" x14ac:dyDescent="0.2">
      <c r="A259" s="84"/>
      <c r="B259" s="84"/>
      <c r="C259" s="60"/>
      <c r="D259" s="66"/>
      <c r="E259" s="66"/>
      <c r="F259" s="66"/>
      <c r="G259" s="66"/>
      <c r="H259" s="66"/>
      <c r="I259" s="66"/>
      <c r="J259" s="66"/>
      <c r="K259" s="66"/>
      <c r="L259" s="66"/>
      <c r="M259" s="66"/>
      <c r="N259" s="66"/>
    </row>
    <row r="260" spans="1:14" x14ac:dyDescent="0.2">
      <c r="A260" s="84"/>
      <c r="B260" s="84"/>
      <c r="C260" s="60"/>
      <c r="D260" s="66"/>
      <c r="E260" s="66"/>
      <c r="F260" s="66"/>
      <c r="G260" s="66"/>
      <c r="H260" s="66"/>
      <c r="I260" s="66"/>
      <c r="J260" s="66"/>
      <c r="K260" s="66"/>
      <c r="L260" s="66"/>
      <c r="M260" s="66"/>
      <c r="N260" s="66"/>
    </row>
    <row r="261" spans="1:14" x14ac:dyDescent="0.2">
      <c r="A261" s="84"/>
      <c r="B261" s="84"/>
      <c r="C261" s="60"/>
      <c r="D261" s="66"/>
      <c r="E261" s="66"/>
      <c r="F261" s="66"/>
      <c r="G261" s="66"/>
      <c r="H261" s="66"/>
      <c r="I261" s="66"/>
      <c r="J261" s="66"/>
      <c r="K261" s="66"/>
      <c r="L261" s="66"/>
      <c r="M261" s="66"/>
      <c r="N261" s="66"/>
    </row>
    <row r="262" spans="1:14" x14ac:dyDescent="0.2">
      <c r="A262" s="84"/>
      <c r="B262" s="84"/>
      <c r="C262" s="60"/>
      <c r="D262" s="66"/>
      <c r="E262" s="66"/>
      <c r="F262" s="66"/>
      <c r="G262" s="66"/>
      <c r="H262" s="66"/>
      <c r="I262" s="66"/>
      <c r="J262" s="66"/>
      <c r="K262" s="66"/>
      <c r="L262" s="66"/>
      <c r="M262" s="66"/>
      <c r="N262" s="66"/>
    </row>
    <row r="263" spans="1:14" x14ac:dyDescent="0.2">
      <c r="A263" s="84"/>
      <c r="B263" s="84"/>
      <c r="C263" s="60"/>
      <c r="D263" s="66"/>
      <c r="E263" s="66"/>
      <c r="F263" s="66"/>
      <c r="G263" s="66"/>
      <c r="H263" s="66"/>
      <c r="I263" s="66"/>
      <c r="J263" s="66"/>
      <c r="K263" s="66"/>
      <c r="L263" s="66"/>
      <c r="M263" s="66"/>
      <c r="N263" s="66"/>
    </row>
    <row r="264" spans="1:14" x14ac:dyDescent="0.2">
      <c r="A264" s="84"/>
      <c r="B264" s="84"/>
      <c r="C264" s="60"/>
      <c r="D264" s="66"/>
      <c r="E264" s="66"/>
      <c r="F264" s="66"/>
      <c r="G264" s="66"/>
      <c r="H264" s="66"/>
      <c r="I264" s="66"/>
      <c r="J264" s="66"/>
      <c r="K264" s="66"/>
      <c r="L264" s="66"/>
      <c r="M264" s="66"/>
      <c r="N264" s="66"/>
    </row>
    <row r="265" spans="1:14" x14ac:dyDescent="0.2">
      <c r="A265" s="84"/>
      <c r="B265" s="84"/>
      <c r="C265" s="60"/>
      <c r="D265" s="66"/>
      <c r="E265" s="66"/>
      <c r="F265" s="66"/>
      <c r="G265" s="66"/>
      <c r="H265" s="66"/>
      <c r="I265" s="66"/>
      <c r="J265" s="66"/>
      <c r="K265" s="66"/>
      <c r="L265" s="66"/>
      <c r="M265" s="66"/>
      <c r="N265" s="66"/>
    </row>
    <row r="266" spans="1:14" x14ac:dyDescent="0.2">
      <c r="A266" s="84"/>
      <c r="B266" s="84"/>
      <c r="C266" s="60"/>
      <c r="D266" s="66"/>
      <c r="E266" s="66"/>
      <c r="F266" s="66"/>
      <c r="G266" s="66"/>
      <c r="H266" s="66"/>
      <c r="I266" s="66"/>
      <c r="J266" s="66"/>
      <c r="K266" s="66"/>
      <c r="L266" s="66"/>
      <c r="M266" s="66"/>
      <c r="N266" s="66"/>
    </row>
    <row r="267" spans="1:14" x14ac:dyDescent="0.2">
      <c r="A267" s="84"/>
      <c r="B267" s="84"/>
      <c r="C267" s="60"/>
      <c r="D267" s="66"/>
      <c r="E267" s="66"/>
      <c r="F267" s="66"/>
      <c r="G267" s="66"/>
      <c r="H267" s="66"/>
      <c r="I267" s="66"/>
      <c r="J267" s="66"/>
      <c r="K267" s="66"/>
      <c r="L267" s="66"/>
      <c r="M267" s="66"/>
      <c r="N267" s="66"/>
    </row>
    <row r="268" spans="1:14" x14ac:dyDescent="0.2">
      <c r="A268" s="84"/>
      <c r="B268" s="84"/>
      <c r="C268" s="60"/>
      <c r="D268" s="66"/>
      <c r="E268" s="66"/>
      <c r="F268" s="66"/>
      <c r="G268" s="66"/>
      <c r="H268" s="66"/>
      <c r="I268" s="66"/>
      <c r="J268" s="66"/>
      <c r="K268" s="66"/>
      <c r="L268" s="66"/>
      <c r="M268" s="66"/>
      <c r="N268" s="66"/>
    </row>
    <row r="269" spans="1:14" x14ac:dyDescent="0.2">
      <c r="A269" s="84"/>
      <c r="B269" s="84"/>
      <c r="C269" s="60"/>
      <c r="D269" s="66"/>
      <c r="E269" s="66"/>
      <c r="F269" s="66"/>
      <c r="G269" s="66"/>
      <c r="H269" s="66"/>
      <c r="I269" s="66"/>
      <c r="J269" s="66"/>
      <c r="K269" s="66"/>
      <c r="L269" s="66"/>
      <c r="M269" s="66"/>
      <c r="N269" s="66"/>
    </row>
    <row r="270" spans="1:14" x14ac:dyDescent="0.2">
      <c r="A270" s="84"/>
      <c r="B270" s="84"/>
      <c r="C270" s="60"/>
      <c r="D270" s="66"/>
      <c r="E270" s="66"/>
      <c r="F270" s="66"/>
      <c r="G270" s="66"/>
      <c r="H270" s="66"/>
      <c r="I270" s="66"/>
      <c r="J270" s="66"/>
      <c r="K270" s="66"/>
      <c r="L270" s="66"/>
      <c r="M270" s="66"/>
      <c r="N270" s="66"/>
    </row>
    <row r="271" spans="1:14" x14ac:dyDescent="0.2">
      <c r="A271" s="84"/>
      <c r="B271" s="84"/>
      <c r="C271" s="60"/>
      <c r="D271" s="66"/>
      <c r="E271" s="66"/>
      <c r="F271" s="66"/>
      <c r="G271" s="66"/>
      <c r="H271" s="66"/>
      <c r="I271" s="66"/>
      <c r="J271" s="66"/>
      <c r="K271" s="66"/>
      <c r="L271" s="66"/>
      <c r="M271" s="66"/>
      <c r="N271" s="66"/>
    </row>
    <row r="272" spans="1:14" x14ac:dyDescent="0.2">
      <c r="A272" s="84"/>
      <c r="B272" s="84"/>
      <c r="C272" s="60"/>
      <c r="D272" s="66"/>
      <c r="E272" s="66"/>
      <c r="F272" s="66"/>
      <c r="G272" s="66"/>
      <c r="H272" s="66"/>
      <c r="I272" s="66"/>
      <c r="J272" s="66"/>
      <c r="K272" s="66"/>
      <c r="L272" s="66"/>
      <c r="M272" s="66"/>
      <c r="N272" s="66"/>
    </row>
    <row r="273" spans="1:14" x14ac:dyDescent="0.2">
      <c r="A273" s="84"/>
      <c r="B273" s="84"/>
      <c r="C273" s="60"/>
      <c r="D273" s="66"/>
      <c r="E273" s="66"/>
      <c r="F273" s="66"/>
      <c r="G273" s="66"/>
      <c r="H273" s="66"/>
      <c r="I273" s="66"/>
      <c r="J273" s="66"/>
      <c r="K273" s="66"/>
      <c r="L273" s="66"/>
      <c r="M273" s="66"/>
      <c r="N273" s="66"/>
    </row>
    <row r="274" spans="1:14" x14ac:dyDescent="0.2">
      <c r="A274" s="84"/>
      <c r="B274" s="84"/>
      <c r="C274" s="60"/>
      <c r="D274" s="66"/>
      <c r="E274" s="66"/>
      <c r="F274" s="66"/>
      <c r="G274" s="66"/>
      <c r="H274" s="66"/>
      <c r="I274" s="66"/>
      <c r="J274" s="66"/>
      <c r="K274" s="66"/>
      <c r="L274" s="66"/>
      <c r="M274" s="66"/>
      <c r="N274" s="66"/>
    </row>
    <row r="275" spans="1:14" x14ac:dyDescent="0.2">
      <c r="A275" s="84"/>
      <c r="B275" s="84"/>
      <c r="C275" s="60"/>
      <c r="D275" s="66"/>
      <c r="E275" s="66"/>
      <c r="F275" s="66"/>
      <c r="G275" s="66"/>
      <c r="H275" s="66"/>
      <c r="I275" s="66"/>
      <c r="J275" s="66"/>
      <c r="K275" s="66"/>
      <c r="L275" s="66"/>
      <c r="M275" s="66"/>
      <c r="N275" s="66"/>
    </row>
    <row r="276" spans="1:14" x14ac:dyDescent="0.2">
      <c r="A276" s="84"/>
      <c r="B276" s="84"/>
      <c r="C276" s="60"/>
      <c r="D276" s="66"/>
      <c r="E276" s="66"/>
      <c r="F276" s="66"/>
      <c r="G276" s="66"/>
      <c r="H276" s="66"/>
      <c r="I276" s="66"/>
      <c r="J276" s="66"/>
      <c r="K276" s="66"/>
      <c r="L276" s="66"/>
      <c r="M276" s="66"/>
      <c r="N276" s="66"/>
    </row>
    <row r="277" spans="1:14" x14ac:dyDescent="0.2">
      <c r="A277" s="84"/>
      <c r="B277" s="84"/>
      <c r="C277" s="60"/>
      <c r="D277" s="66"/>
      <c r="E277" s="66"/>
      <c r="F277" s="66"/>
      <c r="G277" s="66"/>
      <c r="H277" s="66"/>
      <c r="I277" s="66"/>
      <c r="J277" s="66"/>
      <c r="K277" s="66"/>
      <c r="L277" s="66"/>
      <c r="M277" s="66"/>
      <c r="N277" s="66"/>
    </row>
    <row r="278" spans="1:14" x14ac:dyDescent="0.2">
      <c r="A278" s="84"/>
      <c r="B278" s="84"/>
      <c r="C278" s="60"/>
      <c r="D278" s="66"/>
      <c r="E278" s="66"/>
      <c r="F278" s="66"/>
      <c r="G278" s="66"/>
      <c r="H278" s="66"/>
      <c r="I278" s="66"/>
      <c r="J278" s="66"/>
      <c r="K278" s="66"/>
      <c r="L278" s="66"/>
      <c r="M278" s="66"/>
      <c r="N278" s="66"/>
    </row>
    <row r="279" spans="1:14" x14ac:dyDescent="0.2">
      <c r="A279" s="84"/>
      <c r="B279" s="84"/>
      <c r="C279" s="60"/>
      <c r="D279" s="66"/>
      <c r="E279" s="66"/>
      <c r="F279" s="66"/>
      <c r="G279" s="66"/>
      <c r="H279" s="66"/>
      <c r="I279" s="66"/>
      <c r="J279" s="66"/>
      <c r="K279" s="66"/>
      <c r="L279" s="66"/>
      <c r="M279" s="66"/>
      <c r="N279" s="66"/>
    </row>
    <row r="280" spans="1:14" x14ac:dyDescent="0.2">
      <c r="A280" s="84"/>
      <c r="B280" s="84"/>
      <c r="C280" s="60"/>
      <c r="D280" s="66"/>
      <c r="E280" s="66"/>
      <c r="F280" s="66"/>
      <c r="G280" s="66"/>
      <c r="H280" s="66"/>
      <c r="I280" s="66"/>
      <c r="J280" s="66"/>
      <c r="K280" s="66"/>
      <c r="L280" s="66"/>
      <c r="M280" s="66"/>
      <c r="N280" s="66"/>
    </row>
    <row r="281" spans="1:14" x14ac:dyDescent="0.2">
      <c r="A281" s="84"/>
      <c r="B281" s="84"/>
      <c r="C281" s="60"/>
      <c r="D281" s="66"/>
      <c r="E281" s="66"/>
      <c r="F281" s="66"/>
      <c r="G281" s="66"/>
      <c r="H281" s="66"/>
      <c r="I281" s="66"/>
      <c r="J281" s="66"/>
      <c r="K281" s="66"/>
      <c r="L281" s="66"/>
      <c r="M281" s="66"/>
      <c r="N281" s="66"/>
    </row>
    <row r="282" spans="1:14" x14ac:dyDescent="0.2">
      <c r="A282" s="84"/>
      <c r="B282" s="84"/>
      <c r="C282" s="60"/>
      <c r="D282" s="66"/>
      <c r="E282" s="66"/>
      <c r="F282" s="66"/>
      <c r="G282" s="66"/>
      <c r="H282" s="66"/>
      <c r="I282" s="66"/>
      <c r="J282" s="66"/>
      <c r="K282" s="66"/>
      <c r="L282" s="66"/>
      <c r="M282" s="66"/>
      <c r="N282" s="66"/>
    </row>
    <row r="283" spans="1:14" x14ac:dyDescent="0.2">
      <c r="A283" s="84"/>
      <c r="B283" s="84"/>
      <c r="C283" s="60"/>
      <c r="D283" s="66"/>
      <c r="E283" s="66"/>
      <c r="F283" s="66"/>
      <c r="G283" s="66"/>
      <c r="H283" s="66"/>
      <c r="I283" s="66"/>
      <c r="J283" s="66"/>
      <c r="K283" s="66"/>
      <c r="L283" s="66"/>
      <c r="M283" s="66"/>
      <c r="N283" s="66"/>
    </row>
    <row r="284" spans="1:14" x14ac:dyDescent="0.2">
      <c r="A284" s="84"/>
      <c r="B284" s="84"/>
      <c r="C284" s="60"/>
      <c r="D284" s="66"/>
      <c r="E284" s="66"/>
      <c r="F284" s="66"/>
      <c r="G284" s="66"/>
      <c r="H284" s="66"/>
      <c r="I284" s="66"/>
      <c r="J284" s="66"/>
      <c r="K284" s="66"/>
      <c r="L284" s="66"/>
      <c r="M284" s="66"/>
      <c r="N284" s="66"/>
    </row>
    <row r="285" spans="1:14" x14ac:dyDescent="0.2">
      <c r="A285" s="84"/>
      <c r="B285" s="84"/>
      <c r="C285" s="60"/>
      <c r="D285" s="66"/>
      <c r="E285" s="66"/>
      <c r="F285" s="66"/>
      <c r="G285" s="66"/>
      <c r="H285" s="66"/>
      <c r="I285" s="66"/>
      <c r="J285" s="66"/>
      <c r="K285" s="66"/>
      <c r="L285" s="66"/>
      <c r="M285" s="66"/>
      <c r="N285" s="66"/>
    </row>
    <row r="286" spans="1:14" x14ac:dyDescent="0.2">
      <c r="A286" s="84"/>
      <c r="B286" s="84"/>
      <c r="C286" s="60"/>
      <c r="D286" s="66"/>
      <c r="E286" s="66"/>
      <c r="F286" s="66"/>
      <c r="G286" s="66"/>
      <c r="H286" s="66"/>
      <c r="I286" s="66"/>
      <c r="J286" s="66"/>
      <c r="K286" s="66"/>
      <c r="L286" s="66"/>
      <c r="M286" s="66"/>
      <c r="N286" s="66"/>
    </row>
    <row r="287" spans="1:14" x14ac:dyDescent="0.2">
      <c r="A287" s="84"/>
      <c r="B287" s="84"/>
      <c r="C287" s="60"/>
      <c r="D287" s="66"/>
      <c r="E287" s="66"/>
      <c r="F287" s="66"/>
      <c r="G287" s="66"/>
      <c r="H287" s="66"/>
      <c r="I287" s="66"/>
      <c r="J287" s="66"/>
      <c r="K287" s="66"/>
      <c r="L287" s="66"/>
      <c r="M287" s="66"/>
      <c r="N287" s="66"/>
    </row>
    <row r="288" spans="1:14" x14ac:dyDescent="0.2">
      <c r="A288" s="84"/>
      <c r="B288" s="84"/>
      <c r="C288" s="60"/>
      <c r="D288" s="66"/>
      <c r="E288" s="66"/>
      <c r="F288" s="66"/>
      <c r="G288" s="66"/>
      <c r="H288" s="66"/>
      <c r="I288" s="66"/>
      <c r="J288" s="66"/>
      <c r="K288" s="66"/>
      <c r="L288" s="66"/>
      <c r="M288" s="66"/>
      <c r="N288" s="66"/>
    </row>
    <row r="289" spans="1:14" x14ac:dyDescent="0.2">
      <c r="A289" s="84"/>
      <c r="B289" s="84"/>
      <c r="C289" s="60"/>
      <c r="D289" s="66"/>
      <c r="E289" s="66"/>
      <c r="F289" s="66"/>
      <c r="G289" s="66"/>
      <c r="H289" s="66"/>
      <c r="I289" s="66"/>
      <c r="J289" s="66"/>
      <c r="K289" s="66"/>
      <c r="L289" s="66"/>
      <c r="M289" s="66"/>
      <c r="N289" s="66"/>
    </row>
    <row r="290" spans="1:14" x14ac:dyDescent="0.2">
      <c r="A290" s="84"/>
      <c r="B290" s="84"/>
      <c r="C290" s="60"/>
      <c r="D290" s="66"/>
      <c r="E290" s="66"/>
      <c r="F290" s="66"/>
      <c r="G290" s="66"/>
      <c r="H290" s="66"/>
      <c r="I290" s="66"/>
      <c r="J290" s="66"/>
      <c r="K290" s="66"/>
      <c r="L290" s="66"/>
      <c r="M290" s="66"/>
      <c r="N290" s="66"/>
    </row>
    <row r="291" spans="1:14" x14ac:dyDescent="0.2">
      <c r="A291" s="84"/>
      <c r="B291" s="84"/>
      <c r="C291" s="60"/>
      <c r="D291" s="66"/>
      <c r="E291" s="66"/>
      <c r="F291" s="66"/>
      <c r="G291" s="66"/>
      <c r="H291" s="66"/>
      <c r="I291" s="66"/>
      <c r="J291" s="66"/>
      <c r="K291" s="66"/>
      <c r="L291" s="66"/>
      <c r="M291" s="66"/>
      <c r="N291" s="66"/>
    </row>
    <row r="292" spans="1:14" x14ac:dyDescent="0.2">
      <c r="A292" s="84"/>
      <c r="B292" s="84"/>
      <c r="C292" s="60"/>
      <c r="D292" s="66"/>
      <c r="E292" s="66"/>
      <c r="F292" s="66"/>
      <c r="G292" s="66"/>
      <c r="H292" s="66"/>
      <c r="I292" s="66"/>
      <c r="J292" s="66"/>
      <c r="K292" s="66"/>
      <c r="L292" s="66"/>
      <c r="M292" s="66"/>
      <c r="N292" s="66"/>
    </row>
    <row r="293" spans="1:14" x14ac:dyDescent="0.2">
      <c r="A293" s="84"/>
      <c r="B293" s="84"/>
      <c r="C293" s="60"/>
      <c r="D293" s="66"/>
      <c r="E293" s="66"/>
      <c r="F293" s="66"/>
      <c r="G293" s="66"/>
      <c r="H293" s="66"/>
      <c r="I293" s="66"/>
      <c r="J293" s="66"/>
      <c r="K293" s="66"/>
      <c r="L293" s="66"/>
      <c r="M293" s="66"/>
      <c r="N293" s="66"/>
    </row>
    <row r="294" spans="1:14" x14ac:dyDescent="0.2">
      <c r="A294" s="84"/>
      <c r="B294" s="84"/>
      <c r="C294" s="60"/>
      <c r="D294" s="66"/>
      <c r="E294" s="66"/>
      <c r="F294" s="66"/>
      <c r="G294" s="66"/>
      <c r="H294" s="66"/>
      <c r="I294" s="66"/>
      <c r="J294" s="66"/>
      <c r="K294" s="66"/>
      <c r="L294" s="66"/>
      <c r="M294" s="66"/>
      <c r="N294" s="66"/>
    </row>
    <row r="295" spans="1:14" x14ac:dyDescent="0.2">
      <c r="A295" s="84"/>
      <c r="B295" s="84"/>
      <c r="C295" s="60"/>
      <c r="D295" s="66"/>
      <c r="E295" s="66"/>
      <c r="F295" s="66"/>
      <c r="G295" s="66"/>
      <c r="H295" s="66"/>
      <c r="I295" s="66"/>
      <c r="J295" s="66"/>
      <c r="K295" s="66"/>
      <c r="L295" s="66"/>
      <c r="M295" s="66"/>
      <c r="N295" s="66"/>
    </row>
    <row r="296" spans="1:14" x14ac:dyDescent="0.2">
      <c r="A296" s="84"/>
      <c r="B296" s="84"/>
      <c r="C296" s="60"/>
      <c r="D296" s="66"/>
      <c r="E296" s="66"/>
      <c r="F296" s="66"/>
      <c r="G296" s="66"/>
      <c r="H296" s="66"/>
      <c r="I296" s="66"/>
      <c r="J296" s="66"/>
      <c r="K296" s="66"/>
      <c r="L296" s="66"/>
      <c r="M296" s="66"/>
      <c r="N296" s="66"/>
    </row>
    <row r="297" spans="1:14" x14ac:dyDescent="0.2">
      <c r="A297" s="84"/>
      <c r="B297" s="84"/>
      <c r="C297" s="60"/>
      <c r="D297" s="66"/>
      <c r="E297" s="66"/>
      <c r="F297" s="66"/>
      <c r="G297" s="66"/>
      <c r="H297" s="66"/>
      <c r="I297" s="66"/>
      <c r="J297" s="66"/>
      <c r="K297" s="66"/>
      <c r="L297" s="66"/>
      <c r="M297" s="66"/>
      <c r="N297" s="66"/>
    </row>
    <row r="298" spans="1:14" x14ac:dyDescent="0.2">
      <c r="A298" s="84"/>
      <c r="B298" s="84"/>
      <c r="C298" s="60"/>
      <c r="D298" s="66"/>
      <c r="E298" s="66"/>
      <c r="F298" s="66"/>
      <c r="G298" s="66"/>
      <c r="H298" s="66"/>
      <c r="I298" s="66"/>
      <c r="J298" s="66"/>
      <c r="K298" s="66"/>
      <c r="L298" s="66"/>
      <c r="M298" s="66"/>
      <c r="N298" s="66"/>
    </row>
    <row r="299" spans="1:14" x14ac:dyDescent="0.2">
      <c r="A299" s="84"/>
      <c r="B299" s="84"/>
      <c r="C299" s="60"/>
      <c r="D299" s="66"/>
      <c r="E299" s="66"/>
      <c r="F299" s="66"/>
      <c r="G299" s="66"/>
      <c r="H299" s="66"/>
      <c r="I299" s="66"/>
      <c r="J299" s="66"/>
      <c r="K299" s="66"/>
      <c r="L299" s="66"/>
      <c r="M299" s="66"/>
      <c r="N299" s="66"/>
    </row>
    <row r="300" spans="1:14" x14ac:dyDescent="0.2">
      <c r="A300" s="84"/>
      <c r="B300" s="84"/>
      <c r="C300" s="60"/>
      <c r="D300" s="66"/>
      <c r="E300" s="66"/>
      <c r="F300" s="66"/>
      <c r="G300" s="66"/>
      <c r="H300" s="66"/>
      <c r="I300" s="66"/>
      <c r="J300" s="66"/>
      <c r="K300" s="66"/>
      <c r="L300" s="66"/>
      <c r="M300" s="66"/>
      <c r="N300" s="66"/>
    </row>
    <row r="301" spans="1:14" x14ac:dyDescent="0.2">
      <c r="A301" s="84"/>
      <c r="B301" s="84"/>
      <c r="C301" s="60"/>
      <c r="D301" s="66"/>
      <c r="E301" s="66"/>
      <c r="F301" s="66"/>
      <c r="G301" s="66"/>
      <c r="H301" s="66"/>
      <c r="I301" s="66"/>
      <c r="J301" s="66"/>
      <c r="K301" s="66"/>
      <c r="L301" s="66"/>
      <c r="M301" s="66"/>
      <c r="N301" s="66"/>
    </row>
    <row r="302" spans="1:14" x14ac:dyDescent="0.2">
      <c r="A302" s="84"/>
      <c r="B302" s="84"/>
      <c r="C302" s="60"/>
      <c r="D302" s="66"/>
      <c r="E302" s="66"/>
      <c r="F302" s="66"/>
      <c r="G302" s="66"/>
      <c r="H302" s="66"/>
      <c r="I302" s="66"/>
      <c r="J302" s="66"/>
      <c r="K302" s="66"/>
      <c r="L302" s="66"/>
      <c r="M302" s="66"/>
      <c r="N302" s="66"/>
    </row>
    <row r="303" spans="1:14" x14ac:dyDescent="0.2">
      <c r="A303" s="84"/>
      <c r="B303" s="84"/>
      <c r="C303" s="60"/>
      <c r="D303" s="66"/>
      <c r="E303" s="66"/>
      <c r="F303" s="66"/>
      <c r="G303" s="66"/>
      <c r="H303" s="66"/>
      <c r="I303" s="66"/>
      <c r="J303" s="66"/>
      <c r="K303" s="66"/>
      <c r="L303" s="66"/>
      <c r="M303" s="66"/>
      <c r="N303" s="66"/>
    </row>
    <row r="304" spans="1:14" x14ac:dyDescent="0.2">
      <c r="A304" s="84"/>
      <c r="B304" s="84"/>
      <c r="C304" s="60"/>
      <c r="D304" s="66"/>
      <c r="E304" s="66"/>
      <c r="F304" s="66"/>
      <c r="G304" s="66"/>
      <c r="H304" s="66"/>
      <c r="I304" s="66"/>
      <c r="J304" s="66"/>
      <c r="K304" s="66"/>
      <c r="L304" s="66"/>
      <c r="M304" s="66"/>
      <c r="N304" s="66"/>
    </row>
    <row r="305" spans="1:14" x14ac:dyDescent="0.2">
      <c r="A305" s="84"/>
      <c r="B305" s="84"/>
      <c r="C305" s="60"/>
      <c r="D305" s="66"/>
      <c r="E305" s="66"/>
      <c r="F305" s="66"/>
      <c r="G305" s="66"/>
      <c r="H305" s="66"/>
      <c r="I305" s="66"/>
      <c r="J305" s="66"/>
      <c r="K305" s="66"/>
      <c r="L305" s="66"/>
      <c r="M305" s="66"/>
      <c r="N305" s="66"/>
    </row>
    <row r="306" spans="1:14" x14ac:dyDescent="0.2">
      <c r="A306" s="84"/>
      <c r="B306" s="84"/>
      <c r="C306" s="60"/>
      <c r="D306" s="66"/>
      <c r="E306" s="66"/>
      <c r="F306" s="66"/>
      <c r="G306" s="66"/>
      <c r="H306" s="66"/>
      <c r="I306" s="66"/>
      <c r="J306" s="66"/>
      <c r="K306" s="66"/>
      <c r="L306" s="66"/>
      <c r="M306" s="66"/>
      <c r="N306" s="66"/>
    </row>
    <row r="307" spans="1:14" x14ac:dyDescent="0.2">
      <c r="A307" s="84"/>
      <c r="B307" s="84"/>
      <c r="C307" s="60"/>
      <c r="D307" s="66"/>
      <c r="E307" s="66"/>
      <c r="F307" s="66"/>
      <c r="G307" s="66"/>
      <c r="H307" s="66"/>
      <c r="I307" s="66"/>
      <c r="J307" s="66"/>
      <c r="K307" s="66"/>
      <c r="L307" s="66"/>
      <c r="M307" s="66"/>
      <c r="N307" s="66"/>
    </row>
    <row r="308" spans="1:14" x14ac:dyDescent="0.2">
      <c r="A308" s="84"/>
      <c r="B308" s="84"/>
      <c r="C308" s="60"/>
      <c r="D308" s="66"/>
      <c r="E308" s="66"/>
      <c r="F308" s="66"/>
      <c r="G308" s="66"/>
      <c r="H308" s="66"/>
      <c r="I308" s="66"/>
      <c r="J308" s="66"/>
      <c r="K308" s="66"/>
      <c r="L308" s="66"/>
      <c r="M308" s="66"/>
      <c r="N308" s="66"/>
    </row>
    <row r="309" spans="1:14" x14ac:dyDescent="0.2">
      <c r="A309" s="84"/>
      <c r="B309" s="84"/>
      <c r="C309" s="60"/>
      <c r="D309" s="66"/>
      <c r="E309" s="66"/>
      <c r="F309" s="66"/>
      <c r="G309" s="66"/>
      <c r="H309" s="66"/>
      <c r="I309" s="66"/>
      <c r="J309" s="66"/>
      <c r="K309" s="66"/>
      <c r="L309" s="66"/>
      <c r="M309" s="66"/>
      <c r="N309" s="66"/>
    </row>
    <row r="310" spans="1:14" x14ac:dyDescent="0.2">
      <c r="A310" s="84"/>
      <c r="B310" s="84"/>
      <c r="C310" s="60"/>
      <c r="D310" s="66"/>
      <c r="E310" s="66"/>
      <c r="F310" s="66"/>
      <c r="G310" s="66"/>
      <c r="H310" s="66"/>
      <c r="I310" s="66"/>
      <c r="J310" s="66"/>
      <c r="K310" s="66"/>
      <c r="L310" s="66"/>
      <c r="M310" s="66"/>
      <c r="N310" s="66"/>
    </row>
    <row r="311" spans="1:14" x14ac:dyDescent="0.2">
      <c r="A311" s="84"/>
      <c r="B311" s="84"/>
      <c r="C311" s="60"/>
      <c r="D311" s="66"/>
      <c r="E311" s="66"/>
      <c r="F311" s="66"/>
      <c r="G311" s="66"/>
      <c r="H311" s="66"/>
      <c r="I311" s="66"/>
      <c r="J311" s="66"/>
      <c r="K311" s="66"/>
      <c r="L311" s="66"/>
      <c r="M311" s="66"/>
      <c r="N311" s="66"/>
    </row>
    <row r="312" spans="1:14" x14ac:dyDescent="0.2">
      <c r="A312" s="84"/>
      <c r="B312" s="84"/>
      <c r="C312" s="60"/>
      <c r="D312" s="66"/>
      <c r="E312" s="66"/>
      <c r="F312" s="66"/>
      <c r="G312" s="66"/>
      <c r="H312" s="66"/>
      <c r="I312" s="66"/>
      <c r="J312" s="66"/>
      <c r="K312" s="66"/>
      <c r="L312" s="66"/>
      <c r="M312" s="66"/>
      <c r="N312" s="66"/>
    </row>
    <row r="313" spans="1:14" x14ac:dyDescent="0.2">
      <c r="A313" s="84"/>
      <c r="B313" s="84"/>
      <c r="C313" s="60"/>
      <c r="D313" s="66"/>
      <c r="E313" s="66"/>
      <c r="F313" s="66"/>
      <c r="G313" s="66"/>
      <c r="H313" s="66"/>
      <c r="I313" s="66"/>
      <c r="J313" s="66"/>
      <c r="K313" s="66"/>
      <c r="L313" s="66"/>
      <c r="M313" s="66"/>
      <c r="N313" s="66"/>
    </row>
    <row r="314" spans="1:14" x14ac:dyDescent="0.2">
      <c r="A314" s="84"/>
      <c r="B314" s="84"/>
      <c r="C314" s="60"/>
      <c r="D314" s="66"/>
      <c r="E314" s="66"/>
      <c r="F314" s="66"/>
      <c r="G314" s="66"/>
      <c r="H314" s="66"/>
      <c r="I314" s="66"/>
      <c r="J314" s="66"/>
      <c r="K314" s="66"/>
      <c r="L314" s="66"/>
      <c r="M314" s="66"/>
      <c r="N314" s="66"/>
    </row>
    <row r="315" spans="1:14" x14ac:dyDescent="0.2">
      <c r="A315" s="84"/>
      <c r="B315" s="84"/>
      <c r="C315" s="60"/>
      <c r="D315" s="66"/>
      <c r="E315" s="66"/>
      <c r="F315" s="66"/>
      <c r="G315" s="66"/>
      <c r="H315" s="66"/>
      <c r="I315" s="66"/>
      <c r="J315" s="66"/>
      <c r="K315" s="66"/>
      <c r="L315" s="66"/>
      <c r="M315" s="66"/>
      <c r="N315" s="66"/>
    </row>
    <row r="316" spans="1:14" x14ac:dyDescent="0.2">
      <c r="A316" s="84"/>
      <c r="B316" s="84"/>
      <c r="C316" s="60"/>
      <c r="D316" s="66"/>
      <c r="E316" s="66"/>
      <c r="F316" s="66"/>
      <c r="G316" s="66"/>
      <c r="H316" s="66"/>
      <c r="I316" s="66"/>
      <c r="J316" s="66"/>
      <c r="K316" s="66"/>
      <c r="L316" s="66"/>
      <c r="M316" s="66"/>
      <c r="N316" s="66"/>
    </row>
    <row r="317" spans="1:14" x14ac:dyDescent="0.2">
      <c r="A317" s="84"/>
      <c r="B317" s="84"/>
      <c r="C317" s="60"/>
      <c r="D317" s="66"/>
      <c r="E317" s="66"/>
      <c r="F317" s="66"/>
      <c r="G317" s="66"/>
      <c r="H317" s="66"/>
      <c r="I317" s="66"/>
      <c r="J317" s="66"/>
      <c r="K317" s="66"/>
      <c r="L317" s="66"/>
      <c r="M317" s="66"/>
      <c r="N317" s="66"/>
    </row>
    <row r="318" spans="1:14" x14ac:dyDescent="0.2">
      <c r="A318" s="84"/>
      <c r="B318" s="84"/>
      <c r="C318" s="60"/>
      <c r="D318" s="66"/>
      <c r="E318" s="66"/>
      <c r="F318" s="66"/>
      <c r="G318" s="66"/>
      <c r="H318" s="66"/>
      <c r="I318" s="66"/>
      <c r="J318" s="66"/>
      <c r="K318" s="66"/>
      <c r="L318" s="66"/>
      <c r="M318" s="66"/>
      <c r="N318" s="66"/>
    </row>
    <row r="319" spans="1:14" x14ac:dyDescent="0.2">
      <c r="A319" s="84"/>
      <c r="B319" s="84"/>
      <c r="C319" s="60"/>
      <c r="D319" s="66"/>
      <c r="E319" s="66"/>
      <c r="F319" s="66"/>
      <c r="G319" s="66"/>
      <c r="H319" s="66"/>
      <c r="I319" s="66"/>
      <c r="J319" s="66"/>
      <c r="K319" s="66"/>
      <c r="L319" s="66"/>
      <c r="M319" s="66"/>
      <c r="N319" s="66"/>
    </row>
    <row r="320" spans="1:14" x14ac:dyDescent="0.2">
      <c r="A320" s="84"/>
      <c r="B320" s="84"/>
      <c r="C320" s="60"/>
      <c r="D320" s="66"/>
      <c r="E320" s="66"/>
      <c r="F320" s="66"/>
      <c r="G320" s="66"/>
      <c r="H320" s="66"/>
      <c r="I320" s="66"/>
      <c r="J320" s="66"/>
      <c r="K320" s="66"/>
      <c r="L320" s="66"/>
      <c r="M320" s="66"/>
      <c r="N320" s="66"/>
    </row>
    <row r="321" spans="1:14" x14ac:dyDescent="0.2">
      <c r="A321" s="84"/>
      <c r="B321" s="84"/>
      <c r="C321" s="60"/>
      <c r="D321" s="66"/>
      <c r="E321" s="66"/>
      <c r="F321" s="66"/>
      <c r="G321" s="66"/>
      <c r="H321" s="66"/>
      <c r="I321" s="66"/>
      <c r="J321" s="66"/>
      <c r="K321" s="66"/>
      <c r="L321" s="66"/>
      <c r="M321" s="66"/>
      <c r="N321" s="66"/>
    </row>
    <row r="322" spans="1:14" x14ac:dyDescent="0.2">
      <c r="A322" s="84"/>
      <c r="B322" s="84"/>
      <c r="C322" s="60"/>
      <c r="D322" s="66"/>
      <c r="E322" s="66"/>
      <c r="F322" s="66"/>
      <c r="G322" s="66"/>
      <c r="H322" s="66"/>
      <c r="I322" s="66"/>
      <c r="J322" s="66"/>
      <c r="K322" s="66"/>
      <c r="L322" s="66"/>
      <c r="M322" s="66"/>
      <c r="N322" s="66"/>
    </row>
    <row r="323" spans="1:14" x14ac:dyDescent="0.2">
      <c r="A323" s="84"/>
      <c r="B323" s="84"/>
      <c r="C323" s="60"/>
      <c r="D323" s="66"/>
      <c r="E323" s="66"/>
      <c r="F323" s="66"/>
      <c r="G323" s="66"/>
      <c r="H323" s="66"/>
      <c r="I323" s="66"/>
      <c r="J323" s="66"/>
      <c r="K323" s="66"/>
      <c r="L323" s="66"/>
      <c r="M323" s="66"/>
      <c r="N323" s="66"/>
    </row>
    <row r="324" spans="1:14" x14ac:dyDescent="0.2">
      <c r="A324" s="84"/>
      <c r="B324" s="84"/>
      <c r="C324" s="60"/>
      <c r="D324" s="66"/>
      <c r="E324" s="66"/>
      <c r="F324" s="66"/>
      <c r="G324" s="66"/>
      <c r="H324" s="66"/>
      <c r="I324" s="66"/>
      <c r="J324" s="66"/>
      <c r="K324" s="66"/>
      <c r="L324" s="66"/>
      <c r="M324" s="66"/>
      <c r="N324" s="66"/>
    </row>
    <row r="325" spans="1:14" x14ac:dyDescent="0.2">
      <c r="A325" s="84"/>
      <c r="B325" s="84"/>
      <c r="C325" s="60"/>
      <c r="D325" s="66"/>
      <c r="E325" s="66"/>
      <c r="F325" s="66"/>
      <c r="G325" s="66"/>
      <c r="H325" s="66"/>
      <c r="I325" s="66"/>
      <c r="J325" s="66"/>
      <c r="K325" s="66"/>
      <c r="L325" s="66"/>
      <c r="M325" s="66"/>
      <c r="N325" s="66"/>
    </row>
    <row r="326" spans="1:14" x14ac:dyDescent="0.2">
      <c r="A326" s="84"/>
      <c r="B326" s="84"/>
      <c r="C326" s="60"/>
      <c r="D326" s="66"/>
      <c r="E326" s="66"/>
      <c r="F326" s="66"/>
      <c r="G326" s="66"/>
      <c r="H326" s="66"/>
      <c r="I326" s="66"/>
      <c r="J326" s="66"/>
      <c r="K326" s="66"/>
      <c r="L326" s="66"/>
      <c r="M326" s="66"/>
      <c r="N326" s="66"/>
    </row>
    <row r="327" spans="1:14" x14ac:dyDescent="0.2">
      <c r="A327" s="84"/>
      <c r="B327" s="84"/>
      <c r="C327" s="60"/>
      <c r="D327" s="66"/>
      <c r="E327" s="66"/>
      <c r="F327" s="66"/>
      <c r="G327" s="66"/>
      <c r="H327" s="66"/>
      <c r="I327" s="66"/>
      <c r="J327" s="66"/>
      <c r="K327" s="66"/>
      <c r="L327" s="66"/>
      <c r="M327" s="66"/>
      <c r="N327" s="66"/>
    </row>
    <row r="328" spans="1:14" x14ac:dyDescent="0.2">
      <c r="A328" s="84"/>
      <c r="B328" s="84"/>
      <c r="C328" s="60"/>
      <c r="D328" s="66"/>
      <c r="E328" s="66"/>
      <c r="F328" s="66"/>
      <c r="G328" s="66"/>
      <c r="H328" s="66"/>
      <c r="I328" s="66"/>
      <c r="J328" s="66"/>
      <c r="K328" s="66"/>
      <c r="L328" s="66"/>
      <c r="M328" s="66"/>
      <c r="N328" s="66"/>
    </row>
    <row r="329" spans="1:14" x14ac:dyDescent="0.2">
      <c r="A329" s="84"/>
      <c r="B329" s="84"/>
      <c r="C329" s="60"/>
      <c r="D329" s="66"/>
      <c r="E329" s="66"/>
      <c r="F329" s="66"/>
      <c r="G329" s="66"/>
      <c r="H329" s="66"/>
      <c r="I329" s="66"/>
      <c r="J329" s="66"/>
      <c r="K329" s="66"/>
      <c r="L329" s="66"/>
      <c r="M329" s="66"/>
      <c r="N329" s="66"/>
    </row>
    <row r="330" spans="1:14" x14ac:dyDescent="0.2">
      <c r="A330" s="84"/>
      <c r="B330" s="84"/>
      <c r="C330" s="60"/>
      <c r="D330" s="66"/>
      <c r="E330" s="66"/>
      <c r="F330" s="66"/>
      <c r="G330" s="66"/>
      <c r="H330" s="66"/>
      <c r="I330" s="66"/>
      <c r="J330" s="66"/>
      <c r="K330" s="66"/>
      <c r="L330" s="66"/>
      <c r="M330" s="66"/>
      <c r="N330" s="66"/>
    </row>
    <row r="331" spans="1:14" x14ac:dyDescent="0.2">
      <c r="A331" s="84"/>
      <c r="B331" s="84"/>
      <c r="C331" s="60"/>
      <c r="D331" s="66"/>
      <c r="E331" s="66"/>
      <c r="F331" s="66"/>
      <c r="G331" s="66"/>
      <c r="H331" s="66"/>
      <c r="I331" s="66"/>
      <c r="J331" s="66"/>
      <c r="K331" s="66"/>
      <c r="L331" s="66"/>
      <c r="M331" s="66"/>
      <c r="N331" s="66"/>
    </row>
    <row r="332" spans="1:14" x14ac:dyDescent="0.2">
      <c r="A332" s="84"/>
      <c r="B332" s="84"/>
      <c r="C332" s="60"/>
      <c r="D332" s="66"/>
      <c r="E332" s="66"/>
      <c r="F332" s="66"/>
      <c r="G332" s="66"/>
      <c r="H332" s="66"/>
      <c r="I332" s="66"/>
      <c r="J332" s="66"/>
      <c r="K332" s="66"/>
      <c r="L332" s="66"/>
      <c r="M332" s="66"/>
      <c r="N332" s="66"/>
    </row>
    <row r="333" spans="1:14" x14ac:dyDescent="0.2">
      <c r="A333" s="84"/>
      <c r="B333" s="84"/>
      <c r="C333" s="60"/>
      <c r="D333" s="66"/>
      <c r="E333" s="66"/>
      <c r="F333" s="66"/>
      <c r="G333" s="66"/>
      <c r="H333" s="66"/>
      <c r="I333" s="66"/>
      <c r="J333" s="66"/>
      <c r="K333" s="66"/>
      <c r="L333" s="66"/>
      <c r="M333" s="66"/>
      <c r="N333" s="66"/>
    </row>
    <row r="334" spans="1:14" x14ac:dyDescent="0.2">
      <c r="A334" s="84"/>
      <c r="B334" s="84"/>
      <c r="C334" s="60"/>
      <c r="D334" s="66"/>
      <c r="E334" s="66"/>
      <c r="F334" s="66"/>
      <c r="G334" s="66"/>
      <c r="H334" s="66"/>
      <c r="I334" s="66"/>
      <c r="J334" s="66"/>
      <c r="K334" s="66"/>
      <c r="L334" s="66"/>
      <c r="M334" s="66"/>
      <c r="N334" s="66"/>
    </row>
    <row r="335" spans="1:14" x14ac:dyDescent="0.2">
      <c r="A335" s="84"/>
      <c r="B335" s="84"/>
      <c r="C335" s="60"/>
      <c r="D335" s="66"/>
      <c r="E335" s="66"/>
      <c r="F335" s="66"/>
      <c r="G335" s="66"/>
      <c r="H335" s="66"/>
      <c r="I335" s="66"/>
      <c r="J335" s="66"/>
      <c r="K335" s="66"/>
      <c r="L335" s="66"/>
      <c r="M335" s="66"/>
      <c r="N335" s="66"/>
    </row>
    <row r="336" spans="1:14" x14ac:dyDescent="0.2">
      <c r="A336" s="84"/>
      <c r="B336" s="84"/>
      <c r="C336" s="60"/>
      <c r="D336" s="66"/>
      <c r="E336" s="66"/>
      <c r="F336" s="66"/>
      <c r="G336" s="66"/>
      <c r="H336" s="66"/>
      <c r="I336" s="66"/>
      <c r="J336" s="66"/>
      <c r="K336" s="66"/>
      <c r="L336" s="66"/>
      <c r="M336" s="66"/>
      <c r="N336" s="66"/>
    </row>
    <row r="337" spans="1:14" x14ac:dyDescent="0.2">
      <c r="A337" s="84"/>
      <c r="B337" s="84"/>
      <c r="C337" s="60"/>
      <c r="D337" s="66"/>
      <c r="E337" s="66"/>
      <c r="F337" s="66"/>
      <c r="G337" s="66"/>
      <c r="H337" s="66"/>
      <c r="I337" s="66"/>
      <c r="J337" s="66"/>
      <c r="K337" s="66"/>
      <c r="L337" s="66"/>
      <c r="M337" s="66"/>
      <c r="N337" s="66"/>
    </row>
    <row r="338" spans="1:14" x14ac:dyDescent="0.2">
      <c r="A338" s="84"/>
      <c r="B338" s="84"/>
      <c r="C338" s="60"/>
      <c r="D338" s="66"/>
      <c r="E338" s="66"/>
      <c r="F338" s="66"/>
      <c r="G338" s="66"/>
      <c r="H338" s="66"/>
      <c r="I338" s="66"/>
      <c r="J338" s="66"/>
      <c r="K338" s="66"/>
      <c r="L338" s="66"/>
      <c r="M338" s="66"/>
      <c r="N338" s="66"/>
    </row>
    <row r="339" spans="1:14" x14ac:dyDescent="0.2">
      <c r="A339" s="84"/>
      <c r="B339" s="84"/>
      <c r="C339" s="60"/>
      <c r="D339" s="66"/>
      <c r="E339" s="66"/>
      <c r="F339" s="66"/>
      <c r="G339" s="66"/>
      <c r="H339" s="66"/>
      <c r="I339" s="66"/>
      <c r="J339" s="66"/>
      <c r="K339" s="66"/>
      <c r="L339" s="66"/>
      <c r="M339" s="66"/>
      <c r="N339" s="66"/>
    </row>
    <row r="340" spans="1:14" x14ac:dyDescent="0.2">
      <c r="A340" s="84"/>
      <c r="B340" s="84"/>
      <c r="C340" s="60"/>
      <c r="D340" s="66"/>
      <c r="E340" s="66"/>
      <c r="F340" s="66"/>
      <c r="G340" s="66"/>
      <c r="H340" s="66"/>
      <c r="I340" s="66"/>
      <c r="J340" s="66"/>
      <c r="K340" s="66"/>
      <c r="L340" s="66"/>
      <c r="M340" s="66"/>
      <c r="N340" s="66"/>
    </row>
    <row r="341" spans="1:14" x14ac:dyDescent="0.2">
      <c r="A341" s="84"/>
      <c r="B341" s="84"/>
      <c r="C341" s="60"/>
      <c r="D341" s="66"/>
      <c r="E341" s="66"/>
      <c r="F341" s="66"/>
      <c r="G341" s="66"/>
      <c r="H341" s="66"/>
      <c r="I341" s="66"/>
      <c r="J341" s="66"/>
      <c r="K341" s="66"/>
      <c r="L341" s="66"/>
      <c r="M341" s="66"/>
      <c r="N341" s="66"/>
    </row>
    <row r="342" spans="1:14" x14ac:dyDescent="0.2">
      <c r="A342" s="84"/>
      <c r="B342" s="84"/>
      <c r="C342" s="60"/>
      <c r="D342" s="66"/>
      <c r="E342" s="66"/>
      <c r="F342" s="66"/>
      <c r="G342" s="66"/>
      <c r="H342" s="66"/>
      <c r="I342" s="66"/>
      <c r="J342" s="66"/>
      <c r="K342" s="66"/>
      <c r="L342" s="66"/>
      <c r="M342" s="66"/>
      <c r="N342" s="66"/>
    </row>
    <row r="343" spans="1:14" x14ac:dyDescent="0.2">
      <c r="A343" s="84"/>
      <c r="B343" s="84"/>
      <c r="C343" s="60"/>
      <c r="D343" s="66"/>
      <c r="E343" s="66"/>
      <c r="F343" s="66"/>
      <c r="G343" s="66"/>
      <c r="H343" s="66"/>
      <c r="I343" s="66"/>
      <c r="J343" s="66"/>
      <c r="K343" s="66"/>
      <c r="L343" s="66"/>
      <c r="M343" s="66"/>
      <c r="N343" s="66"/>
    </row>
    <row r="344" spans="1:14" x14ac:dyDescent="0.2">
      <c r="A344" s="84"/>
      <c r="B344" s="84"/>
      <c r="C344" s="60"/>
      <c r="D344" s="66"/>
      <c r="E344" s="66"/>
      <c r="F344" s="66"/>
      <c r="G344" s="66"/>
      <c r="H344" s="66"/>
      <c r="I344" s="66"/>
      <c r="J344" s="66"/>
      <c r="K344" s="66"/>
      <c r="L344" s="66"/>
      <c r="M344" s="66"/>
      <c r="N344" s="66"/>
    </row>
    <row r="345" spans="1:14" x14ac:dyDescent="0.2">
      <c r="A345" s="84"/>
      <c r="B345" s="84"/>
      <c r="C345" s="60"/>
      <c r="D345" s="66"/>
      <c r="E345" s="66"/>
      <c r="F345" s="66"/>
      <c r="G345" s="66"/>
      <c r="H345" s="66"/>
      <c r="I345" s="66"/>
      <c r="J345" s="66"/>
      <c r="K345" s="66"/>
      <c r="L345" s="66"/>
      <c r="M345" s="66"/>
      <c r="N345" s="66"/>
    </row>
    <row r="346" spans="1:14" x14ac:dyDescent="0.2">
      <c r="A346" s="84"/>
      <c r="B346" s="84"/>
      <c r="C346" s="60"/>
      <c r="D346" s="66"/>
      <c r="E346" s="66"/>
      <c r="F346" s="66"/>
      <c r="G346" s="66"/>
      <c r="H346" s="66"/>
      <c r="I346" s="66"/>
      <c r="J346" s="66"/>
      <c r="K346" s="66"/>
      <c r="L346" s="66"/>
      <c r="M346" s="66"/>
      <c r="N346" s="66"/>
    </row>
    <row r="347" spans="1:14" x14ac:dyDescent="0.2">
      <c r="A347" s="84"/>
      <c r="B347" s="84"/>
      <c r="C347" s="60"/>
      <c r="D347" s="66"/>
      <c r="E347" s="66"/>
      <c r="F347" s="66"/>
      <c r="G347" s="66"/>
      <c r="H347" s="66"/>
      <c r="I347" s="66"/>
      <c r="J347" s="66"/>
      <c r="K347" s="66"/>
      <c r="L347" s="66"/>
      <c r="M347" s="66"/>
      <c r="N347" s="66"/>
    </row>
    <row r="348" spans="1:14" x14ac:dyDescent="0.2">
      <c r="A348" s="84"/>
      <c r="B348" s="84"/>
      <c r="C348" s="60"/>
      <c r="D348" s="66"/>
      <c r="E348" s="66"/>
      <c r="F348" s="66"/>
      <c r="G348" s="66"/>
      <c r="H348" s="66"/>
      <c r="I348" s="66"/>
      <c r="J348" s="66"/>
      <c r="K348" s="66"/>
      <c r="L348" s="66"/>
      <c r="M348" s="66"/>
      <c r="N348" s="66"/>
    </row>
    <row r="349" spans="1:14" x14ac:dyDescent="0.2">
      <c r="A349" s="84"/>
      <c r="B349" s="84"/>
      <c r="C349" s="60"/>
      <c r="D349" s="66"/>
      <c r="E349" s="66"/>
      <c r="F349" s="66"/>
      <c r="G349" s="66"/>
      <c r="H349" s="66"/>
      <c r="I349" s="66"/>
      <c r="J349" s="66"/>
      <c r="K349" s="66"/>
      <c r="L349" s="66"/>
      <c r="M349" s="66"/>
      <c r="N349" s="66"/>
    </row>
    <row r="350" spans="1:14" x14ac:dyDescent="0.2">
      <c r="A350" s="84"/>
      <c r="B350" s="84"/>
      <c r="C350" s="60"/>
      <c r="D350" s="66"/>
      <c r="E350" s="66"/>
      <c r="F350" s="66"/>
      <c r="G350" s="66"/>
      <c r="H350" s="66"/>
      <c r="I350" s="66"/>
      <c r="J350" s="66"/>
      <c r="K350" s="66"/>
      <c r="L350" s="66"/>
      <c r="M350" s="66"/>
      <c r="N350" s="66"/>
    </row>
    <row r="351" spans="1:14" x14ac:dyDescent="0.2">
      <c r="A351" s="84"/>
      <c r="B351" s="84"/>
      <c r="C351" s="60"/>
      <c r="D351" s="66"/>
      <c r="E351" s="66"/>
      <c r="F351" s="66"/>
      <c r="G351" s="66"/>
      <c r="H351" s="66"/>
      <c r="I351" s="66"/>
      <c r="J351" s="66"/>
      <c r="K351" s="66"/>
      <c r="L351" s="66"/>
      <c r="M351" s="66"/>
      <c r="N351" s="66"/>
    </row>
    <row r="352" spans="1:14" x14ac:dyDescent="0.2">
      <c r="A352" s="84"/>
      <c r="B352" s="84"/>
      <c r="C352" s="60"/>
      <c r="D352" s="66"/>
      <c r="E352" s="66"/>
      <c r="F352" s="66"/>
      <c r="G352" s="66"/>
      <c r="H352" s="66"/>
      <c r="I352" s="66"/>
      <c r="J352" s="66"/>
      <c r="K352" s="66"/>
      <c r="L352" s="66"/>
      <c r="M352" s="66"/>
      <c r="N352" s="66"/>
    </row>
    <row r="353" spans="1:14" x14ac:dyDescent="0.2">
      <c r="A353" s="84"/>
      <c r="B353" s="84"/>
      <c r="C353" s="60"/>
      <c r="D353" s="66"/>
      <c r="E353" s="66"/>
      <c r="F353" s="66"/>
      <c r="G353" s="66"/>
      <c r="H353" s="66"/>
      <c r="I353" s="66"/>
      <c r="J353" s="66"/>
      <c r="K353" s="66"/>
      <c r="L353" s="66"/>
      <c r="M353" s="66"/>
      <c r="N353" s="66"/>
    </row>
    <row r="354" spans="1:14" x14ac:dyDescent="0.2">
      <c r="A354" s="84"/>
      <c r="B354" s="84"/>
      <c r="C354" s="60"/>
      <c r="D354" s="66"/>
      <c r="E354" s="66"/>
      <c r="F354" s="66"/>
      <c r="G354" s="66"/>
      <c r="H354" s="66"/>
      <c r="I354" s="66"/>
      <c r="J354" s="66"/>
      <c r="K354" s="66"/>
      <c r="L354" s="66"/>
      <c r="M354" s="66"/>
      <c r="N354" s="66"/>
    </row>
    <row r="355" spans="1:14" x14ac:dyDescent="0.2">
      <c r="A355" s="84"/>
      <c r="B355" s="84"/>
      <c r="C355" s="60"/>
      <c r="D355" s="66"/>
      <c r="E355" s="66"/>
      <c r="F355" s="66"/>
      <c r="G355" s="66"/>
      <c r="H355" s="66"/>
      <c r="I355" s="66"/>
      <c r="J355" s="66"/>
      <c r="K355" s="66"/>
      <c r="L355" s="66"/>
      <c r="M355" s="66"/>
      <c r="N355" s="66"/>
    </row>
    <row r="356" spans="1:14" x14ac:dyDescent="0.2">
      <c r="A356" s="84"/>
      <c r="B356" s="84"/>
      <c r="C356" s="60"/>
      <c r="D356" s="66"/>
      <c r="E356" s="66"/>
      <c r="F356" s="66"/>
      <c r="G356" s="66"/>
      <c r="H356" s="66"/>
      <c r="I356" s="66"/>
      <c r="J356" s="66"/>
      <c r="K356" s="66"/>
      <c r="L356" s="66"/>
      <c r="M356" s="66"/>
      <c r="N356" s="66"/>
    </row>
    <row r="357" spans="1:14" x14ac:dyDescent="0.2">
      <c r="A357" s="84"/>
      <c r="B357" s="84"/>
      <c r="C357" s="60"/>
      <c r="D357" s="66"/>
      <c r="E357" s="66"/>
      <c r="F357" s="66"/>
      <c r="G357" s="66"/>
      <c r="H357" s="66"/>
      <c r="I357" s="66"/>
      <c r="J357" s="66"/>
      <c r="K357" s="66"/>
      <c r="L357" s="66"/>
      <c r="M357" s="66"/>
      <c r="N357" s="66"/>
    </row>
    <row r="358" spans="1:14" x14ac:dyDescent="0.2">
      <c r="A358" s="84"/>
      <c r="B358" s="84"/>
      <c r="C358" s="60"/>
      <c r="D358" s="66"/>
      <c r="E358" s="66"/>
      <c r="F358" s="66"/>
      <c r="G358" s="66"/>
      <c r="H358" s="66"/>
      <c r="I358" s="66"/>
      <c r="J358" s="66"/>
      <c r="K358" s="66"/>
      <c r="L358" s="66"/>
      <c r="M358" s="66"/>
      <c r="N358" s="66"/>
    </row>
    <row r="359" spans="1:14" x14ac:dyDescent="0.2">
      <c r="A359" s="84"/>
      <c r="B359" s="84"/>
      <c r="C359" s="60"/>
      <c r="D359" s="66"/>
      <c r="E359" s="66"/>
      <c r="F359" s="66"/>
      <c r="G359" s="66"/>
      <c r="H359" s="66"/>
      <c r="I359" s="66"/>
      <c r="J359" s="66"/>
      <c r="K359" s="66"/>
      <c r="L359" s="66"/>
      <c r="M359" s="66"/>
      <c r="N359" s="66"/>
    </row>
    <row r="360" spans="1:14" x14ac:dyDescent="0.2">
      <c r="A360" s="84"/>
      <c r="B360" s="84"/>
      <c r="C360" s="60"/>
      <c r="D360" s="66"/>
      <c r="E360" s="66"/>
      <c r="F360" s="66"/>
      <c r="G360" s="66"/>
      <c r="H360" s="66"/>
      <c r="I360" s="66"/>
      <c r="J360" s="66"/>
      <c r="K360" s="66"/>
      <c r="L360" s="66"/>
      <c r="M360" s="66"/>
      <c r="N360" s="66"/>
    </row>
    <row r="361" spans="1:14" x14ac:dyDescent="0.2">
      <c r="A361" s="84"/>
      <c r="B361" s="84"/>
      <c r="C361" s="60"/>
      <c r="D361" s="66"/>
      <c r="E361" s="66"/>
      <c r="F361" s="66"/>
      <c r="G361" s="66"/>
      <c r="H361" s="66"/>
      <c r="I361" s="66"/>
      <c r="J361" s="66"/>
      <c r="K361" s="66"/>
      <c r="L361" s="66"/>
      <c r="M361" s="66"/>
      <c r="N361" s="66"/>
    </row>
    <row r="362" spans="1:14" x14ac:dyDescent="0.2">
      <c r="A362" s="84"/>
      <c r="B362" s="84"/>
      <c r="C362" s="60"/>
      <c r="D362" s="66"/>
      <c r="E362" s="66"/>
      <c r="F362" s="66"/>
      <c r="G362" s="66"/>
      <c r="H362" s="66"/>
      <c r="I362" s="66"/>
      <c r="J362" s="66"/>
      <c r="K362" s="66"/>
      <c r="L362" s="66"/>
      <c r="M362" s="66"/>
      <c r="N362" s="66"/>
    </row>
    <row r="363" spans="1:14" x14ac:dyDescent="0.2">
      <c r="A363" s="84"/>
      <c r="B363" s="84"/>
      <c r="C363" s="60"/>
      <c r="D363" s="66"/>
      <c r="E363" s="66"/>
      <c r="F363" s="66"/>
      <c r="G363" s="66"/>
      <c r="H363" s="66"/>
      <c r="I363" s="66"/>
      <c r="J363" s="66"/>
      <c r="K363" s="66"/>
      <c r="L363" s="66"/>
      <c r="M363" s="66"/>
      <c r="N363" s="66"/>
    </row>
    <row r="364" spans="1:14" x14ac:dyDescent="0.2">
      <c r="A364" s="84"/>
      <c r="B364" s="84"/>
      <c r="C364" s="60"/>
      <c r="D364" s="66"/>
      <c r="E364" s="66"/>
      <c r="F364" s="66"/>
      <c r="G364" s="66"/>
      <c r="H364" s="66"/>
      <c r="I364" s="66"/>
      <c r="J364" s="66"/>
      <c r="K364" s="66"/>
      <c r="L364" s="66"/>
      <c r="M364" s="66"/>
      <c r="N364" s="66"/>
    </row>
    <row r="365" spans="1:14" x14ac:dyDescent="0.2">
      <c r="A365" s="84"/>
      <c r="B365" s="84"/>
      <c r="C365" s="60"/>
      <c r="D365" s="66"/>
      <c r="E365" s="66"/>
      <c r="F365" s="66"/>
      <c r="G365" s="66"/>
      <c r="H365" s="66"/>
      <c r="I365" s="66"/>
      <c r="J365" s="66"/>
      <c r="K365" s="66"/>
      <c r="L365" s="66"/>
      <c r="M365" s="66"/>
      <c r="N365" s="66"/>
    </row>
    <row r="366" spans="1:14" x14ac:dyDescent="0.2">
      <c r="A366" s="84"/>
      <c r="B366" s="84"/>
      <c r="C366" s="60"/>
      <c r="D366" s="66"/>
      <c r="E366" s="66"/>
      <c r="F366" s="66"/>
      <c r="G366" s="66"/>
      <c r="H366" s="66"/>
      <c r="I366" s="66"/>
      <c r="J366" s="66"/>
      <c r="K366" s="66"/>
      <c r="L366" s="66"/>
      <c r="M366" s="66"/>
      <c r="N366" s="66"/>
    </row>
    <row r="367" spans="1:14" x14ac:dyDescent="0.2">
      <c r="A367" s="84"/>
      <c r="B367" s="84"/>
      <c r="C367" s="60"/>
      <c r="D367" s="66"/>
      <c r="E367" s="66"/>
      <c r="F367" s="66"/>
      <c r="G367" s="66"/>
      <c r="H367" s="66"/>
      <c r="I367" s="66"/>
      <c r="J367" s="66"/>
      <c r="K367" s="66"/>
      <c r="L367" s="66"/>
      <c r="M367" s="66"/>
      <c r="N367" s="66"/>
    </row>
    <row r="368" spans="1:14" x14ac:dyDescent="0.2">
      <c r="A368" s="84"/>
      <c r="B368" s="84"/>
      <c r="C368" s="60"/>
      <c r="D368" s="66"/>
      <c r="E368" s="66"/>
      <c r="F368" s="66"/>
      <c r="G368" s="66"/>
      <c r="H368" s="66"/>
      <c r="I368" s="66"/>
      <c r="J368" s="66"/>
      <c r="K368" s="66"/>
      <c r="L368" s="66"/>
      <c r="M368" s="66"/>
      <c r="N368" s="66"/>
    </row>
    <row r="369" spans="1:14" x14ac:dyDescent="0.2">
      <c r="A369" s="84"/>
      <c r="B369" s="84"/>
      <c r="C369" s="60"/>
      <c r="D369" s="66"/>
      <c r="E369" s="66"/>
      <c r="F369" s="66"/>
      <c r="G369" s="66"/>
      <c r="H369" s="66"/>
      <c r="I369" s="66"/>
      <c r="J369" s="66"/>
      <c r="K369" s="66"/>
      <c r="L369" s="66"/>
      <c r="M369" s="66"/>
      <c r="N369" s="66"/>
    </row>
    <row r="370" spans="1:14" x14ac:dyDescent="0.2">
      <c r="A370" s="84"/>
      <c r="B370" s="84"/>
      <c r="C370" s="60"/>
      <c r="D370" s="66"/>
      <c r="E370" s="66"/>
      <c r="F370" s="66"/>
      <c r="G370" s="66"/>
      <c r="H370" s="66"/>
      <c r="I370" s="66"/>
      <c r="J370" s="66"/>
      <c r="K370" s="66"/>
      <c r="L370" s="66"/>
      <c r="M370" s="66"/>
      <c r="N370" s="66"/>
    </row>
    <row r="371" spans="1:14" x14ac:dyDescent="0.2">
      <c r="A371" s="84"/>
      <c r="B371" s="84"/>
      <c r="C371" s="60"/>
      <c r="D371" s="66"/>
      <c r="E371" s="66"/>
      <c r="F371" s="66"/>
      <c r="G371" s="66"/>
      <c r="H371" s="66"/>
      <c r="I371" s="66"/>
      <c r="J371" s="66"/>
      <c r="K371" s="66"/>
      <c r="L371" s="66"/>
      <c r="M371" s="66"/>
      <c r="N371" s="66"/>
    </row>
    <row r="372" spans="1:14" x14ac:dyDescent="0.2">
      <c r="A372" s="84"/>
      <c r="B372" s="84"/>
      <c r="C372" s="60"/>
      <c r="D372" s="66"/>
      <c r="E372" s="66"/>
      <c r="F372" s="66"/>
      <c r="G372" s="66"/>
      <c r="H372" s="66"/>
      <c r="I372" s="66"/>
      <c r="J372" s="66"/>
      <c r="K372" s="66"/>
      <c r="L372" s="66"/>
      <c r="M372" s="66"/>
      <c r="N372" s="66"/>
    </row>
    <row r="373" spans="1:14" x14ac:dyDescent="0.2">
      <c r="A373" s="84"/>
      <c r="B373" s="84"/>
      <c r="C373" s="60"/>
      <c r="D373" s="66"/>
      <c r="E373" s="66"/>
      <c r="F373" s="66"/>
      <c r="G373" s="66"/>
      <c r="H373" s="66"/>
      <c r="I373" s="66"/>
      <c r="J373" s="66"/>
      <c r="K373" s="66"/>
      <c r="L373" s="66"/>
      <c r="M373" s="66"/>
      <c r="N373" s="66"/>
    </row>
    <row r="374" spans="1:14" x14ac:dyDescent="0.2">
      <c r="A374" s="84"/>
      <c r="B374" s="84"/>
      <c r="C374" s="60"/>
      <c r="D374" s="66"/>
      <c r="E374" s="66"/>
      <c r="F374" s="66"/>
      <c r="G374" s="66"/>
      <c r="H374" s="66"/>
      <c r="I374" s="66"/>
      <c r="J374" s="66"/>
      <c r="K374" s="66"/>
      <c r="L374" s="66"/>
      <c r="M374" s="66"/>
      <c r="N374" s="66"/>
    </row>
    <row r="375" spans="1:14" x14ac:dyDescent="0.2">
      <c r="A375" s="84"/>
      <c r="B375" s="84"/>
      <c r="C375" s="60"/>
      <c r="D375" s="66"/>
      <c r="E375" s="66"/>
      <c r="F375" s="66"/>
      <c r="G375" s="66"/>
      <c r="H375" s="66"/>
      <c r="I375" s="66"/>
      <c r="J375" s="66"/>
      <c r="K375" s="66"/>
      <c r="L375" s="66"/>
      <c r="M375" s="66"/>
      <c r="N375" s="66"/>
    </row>
    <row r="376" spans="1:14" x14ac:dyDescent="0.2">
      <c r="A376" s="84"/>
      <c r="B376" s="84"/>
      <c r="C376" s="60"/>
      <c r="D376" s="66"/>
      <c r="E376" s="66"/>
      <c r="F376" s="66"/>
      <c r="G376" s="66"/>
      <c r="H376" s="66"/>
      <c r="I376" s="66"/>
      <c r="J376" s="66"/>
      <c r="K376" s="66"/>
      <c r="L376" s="66"/>
      <c r="M376" s="66"/>
      <c r="N376" s="66"/>
    </row>
    <row r="377" spans="1:14" x14ac:dyDescent="0.2">
      <c r="A377" s="84"/>
      <c r="B377" s="84"/>
      <c r="C377" s="60"/>
      <c r="D377" s="66"/>
      <c r="E377" s="66"/>
      <c r="F377" s="66"/>
      <c r="G377" s="66"/>
      <c r="H377" s="66"/>
      <c r="I377" s="66"/>
      <c r="J377" s="66"/>
      <c r="K377" s="66"/>
      <c r="L377" s="66"/>
      <c r="M377" s="66"/>
      <c r="N377" s="66"/>
    </row>
    <row r="378" spans="1:14" x14ac:dyDescent="0.2">
      <c r="A378" s="84"/>
      <c r="B378" s="84"/>
      <c r="C378" s="60"/>
      <c r="D378" s="66"/>
      <c r="E378" s="66"/>
      <c r="F378" s="66"/>
      <c r="G378" s="66"/>
      <c r="H378" s="66"/>
      <c r="I378" s="66"/>
      <c r="J378" s="66"/>
      <c r="K378" s="66"/>
      <c r="L378" s="66"/>
      <c r="M378" s="66"/>
      <c r="N378" s="66"/>
    </row>
    <row r="379" spans="1:14" x14ac:dyDescent="0.2">
      <c r="A379" s="84"/>
      <c r="B379" s="84"/>
      <c r="C379" s="60"/>
      <c r="D379" s="66"/>
      <c r="E379" s="66"/>
      <c r="F379" s="66"/>
      <c r="G379" s="66"/>
      <c r="H379" s="66"/>
      <c r="I379" s="66"/>
      <c r="J379" s="66"/>
      <c r="K379" s="66"/>
      <c r="L379" s="66"/>
      <c r="M379" s="66"/>
      <c r="N379" s="66"/>
    </row>
    <row r="380" spans="1:14" x14ac:dyDescent="0.2">
      <c r="A380" s="84"/>
      <c r="B380" s="84"/>
      <c r="C380" s="60"/>
      <c r="D380" s="66"/>
      <c r="E380" s="66"/>
      <c r="F380" s="66"/>
      <c r="G380" s="66"/>
      <c r="H380" s="66"/>
      <c r="I380" s="66"/>
      <c r="J380" s="66"/>
      <c r="K380" s="66"/>
      <c r="L380" s="66"/>
      <c r="M380" s="66"/>
      <c r="N380" s="66"/>
    </row>
    <row r="381" spans="1:14" x14ac:dyDescent="0.2">
      <c r="A381" s="84"/>
      <c r="B381" s="84"/>
      <c r="C381" s="60"/>
      <c r="D381" s="66"/>
      <c r="E381" s="66"/>
      <c r="F381" s="66"/>
      <c r="G381" s="66"/>
      <c r="H381" s="66"/>
      <c r="I381" s="66"/>
      <c r="J381" s="66"/>
      <c r="K381" s="66"/>
      <c r="L381" s="66"/>
      <c r="M381" s="66"/>
      <c r="N381" s="66"/>
    </row>
    <row r="382" spans="1:14" x14ac:dyDescent="0.2">
      <c r="A382" s="84"/>
      <c r="B382" s="84"/>
      <c r="C382" s="60"/>
      <c r="D382" s="66"/>
      <c r="E382" s="66"/>
      <c r="F382" s="66"/>
      <c r="G382" s="66"/>
      <c r="H382" s="66"/>
      <c r="I382" s="66"/>
      <c r="J382" s="66"/>
      <c r="K382" s="66"/>
      <c r="L382" s="66"/>
      <c r="M382" s="66"/>
      <c r="N382" s="66"/>
    </row>
    <row r="383" spans="1:14" x14ac:dyDescent="0.2">
      <c r="A383" s="84"/>
      <c r="B383" s="84"/>
      <c r="C383" s="60"/>
      <c r="D383" s="66"/>
      <c r="E383" s="66"/>
      <c r="F383" s="66"/>
      <c r="G383" s="66"/>
      <c r="H383" s="66"/>
      <c r="I383" s="66"/>
      <c r="J383" s="66"/>
      <c r="K383" s="66"/>
      <c r="L383" s="66"/>
      <c r="M383" s="66"/>
      <c r="N383" s="66"/>
    </row>
    <row r="384" spans="1:14" x14ac:dyDescent="0.2">
      <c r="A384" s="84"/>
      <c r="B384" s="84"/>
      <c r="C384" s="60"/>
      <c r="D384" s="66"/>
      <c r="E384" s="66"/>
      <c r="F384" s="66"/>
      <c r="G384" s="66"/>
      <c r="H384" s="66"/>
      <c r="I384" s="66"/>
      <c r="J384" s="66"/>
      <c r="K384" s="66"/>
      <c r="L384" s="66"/>
      <c r="M384" s="66"/>
      <c r="N384" s="66"/>
    </row>
    <row r="385" spans="1:14" x14ac:dyDescent="0.2">
      <c r="A385" s="84"/>
      <c r="B385" s="84"/>
      <c r="C385" s="60"/>
      <c r="D385" s="66"/>
      <c r="E385" s="66"/>
      <c r="F385" s="66"/>
      <c r="G385" s="66"/>
      <c r="H385" s="66"/>
      <c r="I385" s="66"/>
      <c r="J385" s="66"/>
      <c r="K385" s="66"/>
      <c r="L385" s="66"/>
      <c r="M385" s="66"/>
      <c r="N385" s="66"/>
    </row>
    <row r="386" spans="1:14" x14ac:dyDescent="0.2">
      <c r="A386" s="84"/>
      <c r="B386" s="84"/>
      <c r="C386" s="60"/>
      <c r="D386" s="66"/>
      <c r="E386" s="66"/>
      <c r="F386" s="66"/>
      <c r="G386" s="66"/>
      <c r="H386" s="66"/>
      <c r="I386" s="66"/>
      <c r="J386" s="66"/>
      <c r="K386" s="66"/>
      <c r="L386" s="66"/>
      <c r="M386" s="66"/>
      <c r="N386" s="66"/>
    </row>
    <row r="387" spans="1:14" x14ac:dyDescent="0.2">
      <c r="A387" s="84"/>
      <c r="B387" s="84"/>
      <c r="C387" s="60"/>
      <c r="D387" s="66"/>
      <c r="E387" s="66"/>
      <c r="F387" s="66"/>
      <c r="G387" s="66"/>
      <c r="H387" s="66"/>
      <c r="I387" s="66"/>
      <c r="J387" s="66"/>
      <c r="K387" s="66"/>
      <c r="L387" s="66"/>
      <c r="M387" s="66"/>
      <c r="N387" s="66"/>
    </row>
    <row r="388" spans="1:14" x14ac:dyDescent="0.2">
      <c r="A388" s="84"/>
      <c r="B388" s="84"/>
      <c r="C388" s="60"/>
      <c r="D388" s="66"/>
      <c r="E388" s="66"/>
      <c r="F388" s="66"/>
      <c r="G388" s="66"/>
      <c r="H388" s="66"/>
      <c r="I388" s="66"/>
      <c r="J388" s="66"/>
      <c r="K388" s="66"/>
      <c r="L388" s="66"/>
      <c r="M388" s="66"/>
      <c r="N388" s="66"/>
    </row>
    <row r="389" spans="1:14" x14ac:dyDescent="0.2">
      <c r="A389" s="84"/>
      <c r="B389" s="84"/>
      <c r="C389" s="60"/>
      <c r="D389" s="66"/>
      <c r="E389" s="66"/>
      <c r="F389" s="66"/>
      <c r="G389" s="66"/>
      <c r="H389" s="66"/>
      <c r="I389" s="66"/>
      <c r="J389" s="66"/>
      <c r="K389" s="66"/>
      <c r="L389" s="66"/>
      <c r="M389" s="66"/>
      <c r="N389" s="66"/>
    </row>
    <row r="390" spans="1:14" x14ac:dyDescent="0.2">
      <c r="A390" s="84"/>
      <c r="B390" s="84"/>
      <c r="C390" s="60"/>
      <c r="D390" s="66"/>
      <c r="E390" s="66"/>
      <c r="F390" s="66"/>
      <c r="G390" s="66"/>
      <c r="H390" s="66"/>
      <c r="I390" s="66"/>
      <c r="J390" s="66"/>
      <c r="K390" s="66"/>
      <c r="L390" s="66"/>
      <c r="M390" s="66"/>
      <c r="N390" s="66"/>
    </row>
    <row r="391" spans="1:14" x14ac:dyDescent="0.2">
      <c r="A391" s="84"/>
      <c r="B391" s="84"/>
      <c r="C391" s="60"/>
      <c r="D391" s="66"/>
      <c r="E391" s="66"/>
      <c r="F391" s="66"/>
      <c r="G391" s="66"/>
      <c r="H391" s="66"/>
      <c r="I391" s="66"/>
      <c r="J391" s="66"/>
      <c r="K391" s="66"/>
      <c r="L391" s="66"/>
      <c r="M391" s="66"/>
      <c r="N391" s="66"/>
    </row>
    <row r="392" spans="1:14" x14ac:dyDescent="0.2">
      <c r="A392" s="84"/>
      <c r="B392" s="84"/>
      <c r="C392" s="60"/>
      <c r="D392" s="66"/>
      <c r="E392" s="66"/>
      <c r="F392" s="66"/>
      <c r="G392" s="66"/>
      <c r="H392" s="66"/>
      <c r="I392" s="66"/>
      <c r="J392" s="66"/>
      <c r="K392" s="66"/>
      <c r="L392" s="66"/>
      <c r="M392" s="66"/>
      <c r="N392" s="66"/>
    </row>
    <row r="393" spans="1:14" x14ac:dyDescent="0.2">
      <c r="A393" s="84"/>
      <c r="B393" s="84"/>
      <c r="C393" s="60"/>
      <c r="D393" s="66"/>
      <c r="E393" s="66"/>
      <c r="F393" s="66"/>
      <c r="G393" s="66"/>
      <c r="H393" s="66"/>
      <c r="I393" s="66"/>
      <c r="J393" s="66"/>
      <c r="K393" s="66"/>
      <c r="L393" s="66"/>
      <c r="M393" s="66"/>
      <c r="N393" s="66"/>
    </row>
    <row r="394" spans="1:14" x14ac:dyDescent="0.2">
      <c r="A394" s="84"/>
      <c r="B394" s="84"/>
      <c r="C394" s="60"/>
      <c r="D394" s="66"/>
      <c r="E394" s="66"/>
      <c r="F394" s="66"/>
      <c r="G394" s="66"/>
      <c r="H394" s="66"/>
      <c r="I394" s="66"/>
      <c r="J394" s="66"/>
      <c r="K394" s="66"/>
      <c r="L394" s="66"/>
      <c r="M394" s="66"/>
      <c r="N394" s="66"/>
    </row>
    <row r="395" spans="1:14" x14ac:dyDescent="0.2">
      <c r="A395" s="84"/>
      <c r="B395" s="84"/>
      <c r="C395" s="60"/>
      <c r="D395" s="66"/>
      <c r="E395" s="66"/>
      <c r="F395" s="66"/>
      <c r="G395" s="66"/>
      <c r="H395" s="66"/>
      <c r="I395" s="66"/>
      <c r="J395" s="66"/>
      <c r="K395" s="66"/>
      <c r="L395" s="66"/>
      <c r="M395" s="66"/>
      <c r="N395" s="66"/>
    </row>
    <row r="396" spans="1:14" x14ac:dyDescent="0.2">
      <c r="A396" s="84"/>
      <c r="B396" s="84"/>
      <c r="C396" s="60"/>
      <c r="D396" s="66"/>
      <c r="E396" s="66"/>
      <c r="F396" s="66"/>
      <c r="G396" s="66"/>
      <c r="H396" s="66"/>
      <c r="I396" s="66"/>
      <c r="J396" s="66"/>
      <c r="K396" s="66"/>
      <c r="L396" s="66"/>
      <c r="M396" s="66"/>
      <c r="N396" s="66"/>
    </row>
    <row r="397" spans="1:14" x14ac:dyDescent="0.2">
      <c r="A397" s="84"/>
      <c r="B397" s="84"/>
      <c r="C397" s="60"/>
      <c r="D397" s="66"/>
      <c r="E397" s="66"/>
      <c r="F397" s="66"/>
      <c r="G397" s="66"/>
      <c r="H397" s="66"/>
      <c r="I397" s="66"/>
      <c r="J397" s="66"/>
      <c r="K397" s="66"/>
      <c r="L397" s="66"/>
      <c r="M397" s="66"/>
      <c r="N397" s="66"/>
    </row>
    <row r="398" spans="1:14" x14ac:dyDescent="0.2">
      <c r="A398" s="84"/>
      <c r="B398" s="84"/>
      <c r="C398" s="60"/>
      <c r="D398" s="66"/>
      <c r="E398" s="66"/>
      <c r="F398" s="66"/>
      <c r="G398" s="66"/>
      <c r="H398" s="66"/>
      <c r="I398" s="66"/>
      <c r="J398" s="66"/>
      <c r="K398" s="66"/>
      <c r="L398" s="66"/>
      <c r="M398" s="66"/>
      <c r="N398" s="66"/>
    </row>
    <row r="399" spans="1:14" x14ac:dyDescent="0.2">
      <c r="A399" s="84"/>
      <c r="B399" s="84"/>
      <c r="C399" s="60"/>
      <c r="D399" s="66"/>
      <c r="E399" s="66"/>
      <c r="F399" s="66"/>
      <c r="G399" s="66"/>
      <c r="H399" s="66"/>
      <c r="I399" s="66"/>
      <c r="J399" s="66"/>
      <c r="K399" s="66"/>
      <c r="L399" s="66"/>
      <c r="M399" s="66"/>
      <c r="N399" s="66"/>
    </row>
    <row r="400" spans="1:14" x14ac:dyDescent="0.2">
      <c r="A400" s="84"/>
      <c r="B400" s="84"/>
      <c r="C400" s="60"/>
      <c r="D400" s="66"/>
      <c r="E400" s="66"/>
      <c r="F400" s="66"/>
      <c r="G400" s="66"/>
      <c r="H400" s="66"/>
      <c r="I400" s="66"/>
      <c r="J400" s="66"/>
      <c r="K400" s="66"/>
      <c r="L400" s="66"/>
      <c r="M400" s="66"/>
      <c r="N400" s="66"/>
    </row>
    <row r="401" spans="1:14" x14ac:dyDescent="0.2">
      <c r="A401" s="84"/>
      <c r="B401" s="84"/>
      <c r="C401" s="60"/>
      <c r="D401" s="66"/>
      <c r="E401" s="66"/>
      <c r="F401" s="66"/>
      <c r="G401" s="66"/>
      <c r="H401" s="66"/>
      <c r="I401" s="66"/>
      <c r="J401" s="66"/>
      <c r="K401" s="66"/>
      <c r="L401" s="66"/>
      <c r="M401" s="66"/>
      <c r="N401" s="66"/>
    </row>
    <row r="402" spans="1:14" x14ac:dyDescent="0.2">
      <c r="A402" s="84"/>
      <c r="B402" s="84"/>
      <c r="C402" s="60"/>
      <c r="D402" s="66"/>
      <c r="E402" s="66"/>
      <c r="F402" s="66"/>
      <c r="G402" s="66"/>
      <c r="H402" s="66"/>
      <c r="I402" s="66"/>
      <c r="J402" s="66"/>
      <c r="K402" s="66"/>
      <c r="L402" s="66"/>
      <c r="M402" s="66"/>
      <c r="N402" s="66"/>
    </row>
    <row r="403" spans="1:14" x14ac:dyDescent="0.2">
      <c r="A403" s="84"/>
      <c r="B403" s="84"/>
      <c r="C403" s="60"/>
      <c r="D403" s="66"/>
      <c r="E403" s="66"/>
      <c r="F403" s="66"/>
      <c r="G403" s="66"/>
      <c r="H403" s="66"/>
      <c r="I403" s="66"/>
      <c r="J403" s="66"/>
      <c r="K403" s="66"/>
      <c r="L403" s="66"/>
      <c r="M403" s="66"/>
      <c r="N403" s="66"/>
    </row>
    <row r="404" spans="1:14" x14ac:dyDescent="0.2">
      <c r="A404" s="84"/>
      <c r="B404" s="84"/>
      <c r="C404" s="60"/>
      <c r="D404" s="66"/>
      <c r="E404" s="66"/>
      <c r="F404" s="66"/>
      <c r="G404" s="66"/>
      <c r="H404" s="66"/>
      <c r="I404" s="66"/>
      <c r="J404" s="66"/>
      <c r="K404" s="66"/>
      <c r="L404" s="66"/>
      <c r="M404" s="66"/>
      <c r="N404" s="66"/>
    </row>
    <row r="405" spans="1:14" x14ac:dyDescent="0.2">
      <c r="A405" s="84"/>
      <c r="B405" s="84"/>
      <c r="C405" s="60"/>
      <c r="D405" s="66"/>
      <c r="E405" s="66"/>
      <c r="F405" s="66"/>
      <c r="G405" s="66"/>
      <c r="H405" s="66"/>
      <c r="I405" s="66"/>
      <c r="J405" s="66"/>
      <c r="K405" s="66"/>
      <c r="L405" s="66"/>
      <c r="M405" s="66"/>
      <c r="N405" s="66"/>
    </row>
    <row r="406" spans="1:14" x14ac:dyDescent="0.2">
      <c r="A406" s="84"/>
      <c r="B406" s="84"/>
      <c r="C406" s="60"/>
      <c r="D406" s="66"/>
      <c r="E406" s="66"/>
      <c r="F406" s="66"/>
      <c r="G406" s="66"/>
      <c r="H406" s="66"/>
      <c r="I406" s="66"/>
      <c r="J406" s="66"/>
      <c r="K406" s="66"/>
      <c r="L406" s="66"/>
      <c r="M406" s="66"/>
      <c r="N406" s="66"/>
    </row>
    <row r="407" spans="1:14" x14ac:dyDescent="0.2">
      <c r="A407" s="84"/>
      <c r="B407" s="84"/>
      <c r="C407" s="60"/>
      <c r="D407" s="66"/>
      <c r="E407" s="66"/>
      <c r="F407" s="66"/>
      <c r="G407" s="66"/>
      <c r="H407" s="66"/>
      <c r="I407" s="66"/>
      <c r="J407" s="66"/>
      <c r="K407" s="66"/>
      <c r="L407" s="66"/>
      <c r="M407" s="66"/>
      <c r="N407" s="66"/>
    </row>
    <row r="408" spans="1:14" x14ac:dyDescent="0.2">
      <c r="A408" s="84"/>
      <c r="B408" s="84"/>
      <c r="C408" s="60"/>
      <c r="D408" s="66"/>
      <c r="E408" s="66"/>
      <c r="F408" s="66"/>
      <c r="G408" s="66"/>
      <c r="H408" s="66"/>
      <c r="I408" s="66"/>
      <c r="J408" s="66"/>
      <c r="K408" s="66"/>
      <c r="L408" s="66"/>
      <c r="M408" s="66"/>
      <c r="N408" s="66"/>
    </row>
    <row r="409" spans="1:14" x14ac:dyDescent="0.2">
      <c r="A409" s="84"/>
      <c r="B409" s="84"/>
      <c r="C409" s="60"/>
      <c r="D409" s="66"/>
      <c r="E409" s="66"/>
      <c r="F409" s="66"/>
      <c r="G409" s="66"/>
      <c r="H409" s="66"/>
      <c r="I409" s="66"/>
      <c r="J409" s="66"/>
      <c r="K409" s="66"/>
      <c r="L409" s="66"/>
      <c r="M409" s="66"/>
      <c r="N409" s="66"/>
    </row>
    <row r="410" spans="1:14" x14ac:dyDescent="0.2">
      <c r="A410" s="84"/>
      <c r="B410" s="84"/>
      <c r="C410" s="60"/>
      <c r="D410" s="66"/>
      <c r="E410" s="66"/>
      <c r="F410" s="66"/>
      <c r="G410" s="66"/>
      <c r="H410" s="66"/>
      <c r="I410" s="66"/>
      <c r="J410" s="66"/>
      <c r="K410" s="66"/>
      <c r="L410" s="66"/>
      <c r="M410" s="66"/>
      <c r="N410" s="66"/>
    </row>
    <row r="411" spans="1:14" x14ac:dyDescent="0.2">
      <c r="A411" s="84"/>
      <c r="B411" s="84"/>
      <c r="C411" s="60"/>
      <c r="D411" s="66"/>
      <c r="E411" s="66"/>
      <c r="F411" s="66"/>
      <c r="G411" s="66"/>
      <c r="H411" s="66"/>
      <c r="I411" s="66"/>
      <c r="J411" s="66"/>
      <c r="K411" s="66"/>
      <c r="L411" s="66"/>
      <c r="M411" s="66"/>
      <c r="N411" s="66"/>
    </row>
    <row r="412" spans="1:14" x14ac:dyDescent="0.2">
      <c r="A412" s="84"/>
      <c r="B412" s="84"/>
      <c r="C412" s="60"/>
      <c r="D412" s="66"/>
      <c r="E412" s="66"/>
      <c r="F412" s="66"/>
      <c r="G412" s="66"/>
      <c r="H412" s="66"/>
      <c r="I412" s="66"/>
      <c r="J412" s="66"/>
      <c r="K412" s="66"/>
      <c r="L412" s="66"/>
      <c r="M412" s="66"/>
      <c r="N412" s="66"/>
    </row>
    <row r="413" spans="1:14" x14ac:dyDescent="0.2">
      <c r="A413" s="84"/>
      <c r="B413" s="84"/>
      <c r="C413" s="60"/>
      <c r="D413" s="66"/>
      <c r="E413" s="66"/>
      <c r="F413" s="66"/>
      <c r="G413" s="66"/>
      <c r="H413" s="66"/>
      <c r="I413" s="66"/>
      <c r="J413" s="66"/>
      <c r="K413" s="66"/>
      <c r="L413" s="66"/>
      <c r="M413" s="66"/>
      <c r="N413" s="66"/>
    </row>
    <row r="414" spans="1:14" x14ac:dyDescent="0.2">
      <c r="A414" s="84"/>
      <c r="B414" s="84"/>
      <c r="C414" s="60"/>
      <c r="D414" s="66"/>
      <c r="E414" s="66"/>
      <c r="F414" s="66"/>
      <c r="G414" s="66"/>
      <c r="H414" s="66"/>
      <c r="I414" s="66"/>
      <c r="J414" s="66"/>
      <c r="K414" s="66"/>
      <c r="L414" s="66"/>
      <c r="M414" s="66"/>
      <c r="N414" s="66"/>
    </row>
    <row r="415" spans="1:14" x14ac:dyDescent="0.2">
      <c r="A415" s="84"/>
      <c r="B415" s="84"/>
      <c r="C415" s="60"/>
      <c r="D415" s="66"/>
      <c r="E415" s="66"/>
      <c r="F415" s="66"/>
      <c r="G415" s="66"/>
      <c r="H415" s="66"/>
      <c r="I415" s="66"/>
      <c r="J415" s="66"/>
      <c r="K415" s="66"/>
      <c r="L415" s="66"/>
      <c r="M415" s="66"/>
      <c r="N415" s="66"/>
    </row>
    <row r="416" spans="1:14" x14ac:dyDescent="0.2">
      <c r="A416" s="84"/>
      <c r="B416" s="84"/>
      <c r="C416" s="60"/>
      <c r="D416" s="66"/>
      <c r="E416" s="66"/>
      <c r="F416" s="66"/>
      <c r="G416" s="66"/>
      <c r="H416" s="66"/>
      <c r="I416" s="66"/>
      <c r="J416" s="66"/>
      <c r="K416" s="66"/>
      <c r="L416" s="66"/>
      <c r="M416" s="66"/>
      <c r="N416" s="66"/>
    </row>
    <row r="417" spans="1:14" x14ac:dyDescent="0.2">
      <c r="A417" s="84"/>
      <c r="B417" s="84"/>
      <c r="C417" s="60"/>
      <c r="D417" s="66"/>
      <c r="E417" s="66"/>
      <c r="F417" s="66"/>
      <c r="G417" s="66"/>
      <c r="H417" s="66"/>
      <c r="I417" s="66"/>
      <c r="J417" s="66"/>
      <c r="K417" s="66"/>
      <c r="L417" s="66"/>
      <c r="M417" s="66"/>
      <c r="N417" s="66"/>
    </row>
    <row r="418" spans="1:14" x14ac:dyDescent="0.2">
      <c r="A418" s="84"/>
      <c r="B418" s="84"/>
      <c r="C418" s="60"/>
      <c r="D418" s="66"/>
      <c r="E418" s="66"/>
      <c r="F418" s="66"/>
      <c r="G418" s="66"/>
      <c r="H418" s="66"/>
      <c r="I418" s="66"/>
      <c r="J418" s="66"/>
      <c r="K418" s="66"/>
      <c r="L418" s="66"/>
      <c r="M418" s="66"/>
      <c r="N418" s="66"/>
    </row>
    <row r="419" spans="1:14" x14ac:dyDescent="0.2">
      <c r="A419" s="84"/>
      <c r="B419" s="84"/>
      <c r="C419" s="60"/>
      <c r="D419" s="66"/>
      <c r="E419" s="66"/>
      <c r="F419" s="66"/>
      <c r="G419" s="66"/>
      <c r="H419" s="66"/>
      <c r="I419" s="66"/>
      <c r="J419" s="66"/>
      <c r="K419" s="66"/>
      <c r="L419" s="66"/>
      <c r="M419" s="66"/>
      <c r="N419" s="66"/>
    </row>
    <row r="420" spans="1:14" x14ac:dyDescent="0.2">
      <c r="A420" s="84"/>
      <c r="B420" s="84"/>
      <c r="C420" s="60"/>
      <c r="D420" s="66"/>
      <c r="E420" s="66"/>
      <c r="F420" s="66"/>
      <c r="G420" s="66"/>
      <c r="H420" s="66"/>
      <c r="I420" s="66"/>
      <c r="J420" s="66"/>
      <c r="K420" s="66"/>
      <c r="L420" s="66"/>
      <c r="M420" s="66"/>
      <c r="N420" s="66"/>
    </row>
    <row r="421" spans="1:14" x14ac:dyDescent="0.2">
      <c r="A421" s="84"/>
      <c r="B421" s="84"/>
      <c r="C421" s="60"/>
      <c r="D421" s="66"/>
      <c r="E421" s="66"/>
      <c r="F421" s="66"/>
      <c r="G421" s="66"/>
      <c r="H421" s="66"/>
      <c r="I421" s="66"/>
      <c r="J421" s="66"/>
      <c r="K421" s="66"/>
      <c r="L421" s="66"/>
      <c r="M421" s="66"/>
      <c r="N421" s="66"/>
    </row>
    <row r="422" spans="1:14" x14ac:dyDescent="0.2">
      <c r="A422" s="84"/>
      <c r="B422" s="84"/>
      <c r="C422" s="60"/>
      <c r="D422" s="66"/>
      <c r="E422" s="66"/>
      <c r="F422" s="66"/>
      <c r="G422" s="66"/>
      <c r="H422" s="66"/>
      <c r="I422" s="66"/>
      <c r="J422" s="66"/>
      <c r="K422" s="66"/>
      <c r="L422" s="66"/>
      <c r="M422" s="66"/>
      <c r="N422" s="66"/>
    </row>
    <row r="423" spans="1:14" x14ac:dyDescent="0.2">
      <c r="A423" s="84"/>
      <c r="B423" s="84"/>
      <c r="C423" s="60"/>
      <c r="D423" s="66"/>
      <c r="E423" s="66"/>
      <c r="F423" s="66"/>
      <c r="G423" s="66"/>
      <c r="H423" s="66"/>
      <c r="I423" s="66"/>
      <c r="J423" s="66"/>
      <c r="K423" s="66"/>
      <c r="L423" s="66"/>
      <c r="M423" s="66"/>
      <c r="N423" s="66"/>
    </row>
    <row r="424" spans="1:14" x14ac:dyDescent="0.2">
      <c r="A424" s="84"/>
      <c r="B424" s="84"/>
      <c r="C424" s="60"/>
      <c r="D424" s="66"/>
      <c r="E424" s="66"/>
      <c r="F424" s="66"/>
      <c r="G424" s="66"/>
      <c r="H424" s="66"/>
      <c r="I424" s="66"/>
      <c r="J424" s="66"/>
      <c r="K424" s="66"/>
      <c r="L424" s="66"/>
      <c r="M424" s="66"/>
      <c r="N424" s="66"/>
    </row>
    <row r="425" spans="1:14" x14ac:dyDescent="0.2">
      <c r="A425" s="84"/>
      <c r="B425" s="84"/>
      <c r="C425" s="60"/>
      <c r="D425" s="66"/>
      <c r="E425" s="66"/>
      <c r="F425" s="66"/>
      <c r="G425" s="66"/>
      <c r="H425" s="66"/>
      <c r="I425" s="66"/>
      <c r="J425" s="66"/>
      <c r="K425" s="66"/>
      <c r="L425" s="66"/>
      <c r="M425" s="66"/>
      <c r="N425" s="66"/>
    </row>
    <row r="426" spans="1:14" x14ac:dyDescent="0.2">
      <c r="A426" s="84"/>
      <c r="B426" s="84"/>
      <c r="C426" s="60"/>
      <c r="D426" s="66"/>
      <c r="E426" s="66"/>
      <c r="F426" s="66"/>
      <c r="G426" s="66"/>
      <c r="H426" s="66"/>
      <c r="I426" s="66"/>
      <c r="J426" s="66"/>
      <c r="K426" s="66"/>
      <c r="L426" s="66"/>
      <c r="M426" s="66"/>
      <c r="N426" s="66"/>
    </row>
    <row r="427" spans="1:14" x14ac:dyDescent="0.2">
      <c r="A427" s="84"/>
      <c r="B427" s="84"/>
      <c r="C427" s="60"/>
      <c r="D427" s="66"/>
      <c r="E427" s="66"/>
      <c r="F427" s="66"/>
      <c r="G427" s="66"/>
      <c r="H427" s="66"/>
      <c r="I427" s="66"/>
      <c r="J427" s="66"/>
      <c r="K427" s="66"/>
      <c r="L427" s="66"/>
      <c r="M427" s="66"/>
      <c r="N427" s="66"/>
    </row>
    <row r="428" spans="1:14" x14ac:dyDescent="0.2">
      <c r="A428" s="84"/>
      <c r="B428" s="84"/>
      <c r="C428" s="60"/>
      <c r="D428" s="66"/>
      <c r="E428" s="66"/>
      <c r="F428" s="66"/>
      <c r="G428" s="66"/>
      <c r="H428" s="66"/>
      <c r="I428" s="66"/>
      <c r="J428" s="66"/>
      <c r="K428" s="66"/>
      <c r="L428" s="66"/>
      <c r="M428" s="66"/>
      <c r="N428" s="66"/>
    </row>
    <row r="429" spans="1:14" x14ac:dyDescent="0.2">
      <c r="A429" s="84"/>
      <c r="B429" s="84"/>
      <c r="C429" s="60"/>
      <c r="D429" s="66"/>
      <c r="E429" s="66"/>
      <c r="F429" s="66"/>
      <c r="G429" s="66"/>
      <c r="H429" s="66"/>
      <c r="I429" s="66"/>
      <c r="J429" s="66"/>
      <c r="K429" s="66"/>
      <c r="L429" s="66"/>
      <c r="M429" s="66"/>
      <c r="N429" s="66"/>
    </row>
    <row r="430" spans="1:14" x14ac:dyDescent="0.2">
      <c r="A430" s="84"/>
      <c r="B430" s="84"/>
      <c r="C430" s="60"/>
      <c r="D430" s="66"/>
      <c r="E430" s="66"/>
      <c r="F430" s="66"/>
      <c r="G430" s="66"/>
      <c r="H430" s="66"/>
      <c r="I430" s="66"/>
      <c r="J430" s="66"/>
      <c r="K430" s="66"/>
      <c r="L430" s="66"/>
      <c r="M430" s="66"/>
      <c r="N430" s="66"/>
    </row>
    <row r="431" spans="1:14" x14ac:dyDescent="0.2">
      <c r="A431" s="84"/>
      <c r="B431" s="84"/>
      <c r="C431" s="60"/>
      <c r="D431" s="66"/>
      <c r="E431" s="66"/>
      <c r="F431" s="66"/>
      <c r="G431" s="66"/>
      <c r="H431" s="66"/>
      <c r="I431" s="66"/>
      <c r="J431" s="66"/>
      <c r="K431" s="66"/>
      <c r="L431" s="66"/>
      <c r="M431" s="66"/>
      <c r="N431" s="66"/>
    </row>
    <row r="432" spans="1:14" x14ac:dyDescent="0.2">
      <c r="A432" s="84"/>
      <c r="B432" s="84"/>
      <c r="C432" s="60"/>
      <c r="D432" s="66"/>
      <c r="E432" s="66"/>
      <c r="F432" s="66"/>
      <c r="G432" s="66"/>
      <c r="H432" s="66"/>
      <c r="I432" s="66"/>
      <c r="J432" s="66"/>
      <c r="K432" s="66"/>
      <c r="L432" s="66"/>
      <c r="M432" s="66"/>
      <c r="N432" s="66"/>
    </row>
    <row r="433" spans="1:14" x14ac:dyDescent="0.2">
      <c r="A433" s="84"/>
      <c r="B433" s="84"/>
      <c r="C433" s="60"/>
      <c r="D433" s="66"/>
      <c r="E433" s="66"/>
      <c r="F433" s="66"/>
      <c r="G433" s="66"/>
      <c r="H433" s="66"/>
      <c r="I433" s="66"/>
      <c r="J433" s="66"/>
      <c r="K433" s="66"/>
      <c r="L433" s="66"/>
      <c r="M433" s="66"/>
      <c r="N433" s="66"/>
    </row>
    <row r="434" spans="1:14" x14ac:dyDescent="0.2">
      <c r="A434" s="84"/>
      <c r="B434" s="84"/>
      <c r="C434" s="60"/>
      <c r="D434" s="66"/>
      <c r="E434" s="66"/>
      <c r="F434" s="66"/>
      <c r="G434" s="66"/>
      <c r="H434" s="66"/>
      <c r="I434" s="66"/>
      <c r="J434" s="66"/>
      <c r="K434" s="66"/>
      <c r="L434" s="66"/>
      <c r="M434" s="66"/>
      <c r="N434" s="66"/>
    </row>
    <row r="435" spans="1:14" x14ac:dyDescent="0.2">
      <c r="A435" s="84"/>
      <c r="B435" s="84"/>
      <c r="C435" s="60"/>
      <c r="D435" s="66"/>
      <c r="E435" s="66"/>
      <c r="F435" s="66"/>
      <c r="G435" s="66"/>
      <c r="H435" s="66"/>
      <c r="I435" s="66"/>
      <c r="J435" s="66"/>
      <c r="K435" s="66"/>
      <c r="L435" s="66"/>
      <c r="M435" s="66"/>
      <c r="N435" s="66"/>
    </row>
    <row r="436" spans="1:14" x14ac:dyDescent="0.2">
      <c r="A436" s="84"/>
      <c r="B436" s="84"/>
      <c r="C436" s="60"/>
      <c r="D436" s="66"/>
      <c r="E436" s="66"/>
      <c r="F436" s="66"/>
      <c r="G436" s="66"/>
      <c r="H436" s="66"/>
      <c r="I436" s="66"/>
      <c r="J436" s="66"/>
      <c r="K436" s="66"/>
      <c r="L436" s="66"/>
      <c r="M436" s="66"/>
      <c r="N436" s="66"/>
    </row>
    <row r="437" spans="1:14" x14ac:dyDescent="0.2">
      <c r="A437" s="84"/>
      <c r="B437" s="84"/>
      <c r="C437" s="60"/>
      <c r="D437" s="66"/>
      <c r="E437" s="66"/>
      <c r="F437" s="66"/>
      <c r="G437" s="66"/>
      <c r="H437" s="66"/>
      <c r="I437" s="66"/>
      <c r="J437" s="66"/>
      <c r="K437" s="66"/>
      <c r="L437" s="66"/>
      <c r="M437" s="66"/>
      <c r="N437" s="66"/>
    </row>
    <row r="438" spans="1:14" x14ac:dyDescent="0.2">
      <c r="A438" s="84"/>
      <c r="B438" s="84"/>
      <c r="C438" s="60"/>
      <c r="D438" s="66"/>
      <c r="E438" s="66"/>
      <c r="F438" s="66"/>
      <c r="G438" s="66"/>
      <c r="H438" s="66"/>
      <c r="I438" s="66"/>
      <c r="J438" s="66"/>
      <c r="K438" s="66"/>
      <c r="L438" s="66"/>
      <c r="M438" s="66"/>
      <c r="N438" s="66"/>
    </row>
    <row r="439" spans="1:14" x14ac:dyDescent="0.2">
      <c r="A439" s="84"/>
      <c r="B439" s="84"/>
      <c r="C439" s="60"/>
      <c r="D439" s="66"/>
      <c r="E439" s="66"/>
      <c r="F439" s="66"/>
      <c r="G439" s="66"/>
      <c r="H439" s="66"/>
      <c r="I439" s="66"/>
      <c r="J439" s="66"/>
      <c r="K439" s="66"/>
      <c r="L439" s="66"/>
      <c r="M439" s="66"/>
      <c r="N439" s="66"/>
    </row>
    <row r="440" spans="1:14" x14ac:dyDescent="0.2">
      <c r="A440" s="84"/>
      <c r="B440" s="84"/>
      <c r="C440" s="60"/>
      <c r="D440" s="66"/>
      <c r="E440" s="66"/>
      <c r="F440" s="66"/>
      <c r="G440" s="66"/>
      <c r="H440" s="66"/>
      <c r="I440" s="66"/>
      <c r="J440" s="66"/>
      <c r="K440" s="66"/>
      <c r="L440" s="66"/>
      <c r="M440" s="66"/>
      <c r="N440" s="66"/>
    </row>
    <row r="441" spans="1:14" x14ac:dyDescent="0.2">
      <c r="A441" s="84"/>
      <c r="B441" s="84"/>
      <c r="C441" s="60"/>
      <c r="D441" s="66"/>
      <c r="E441" s="66"/>
      <c r="F441" s="66"/>
      <c r="G441" s="66"/>
      <c r="H441" s="66"/>
      <c r="I441" s="66"/>
      <c r="J441" s="66"/>
      <c r="K441" s="66"/>
      <c r="L441" s="66"/>
      <c r="M441" s="66"/>
      <c r="N441" s="66"/>
    </row>
    <row r="442" spans="1:14" x14ac:dyDescent="0.2">
      <c r="A442" s="84"/>
      <c r="B442" s="84"/>
      <c r="C442" s="60"/>
      <c r="D442" s="66"/>
      <c r="E442" s="66"/>
      <c r="F442" s="66"/>
      <c r="G442" s="66"/>
      <c r="H442" s="66"/>
      <c r="I442" s="66"/>
      <c r="J442" s="66"/>
      <c r="K442" s="66"/>
      <c r="L442" s="66"/>
      <c r="M442" s="66"/>
      <c r="N442" s="66"/>
    </row>
    <row r="443" spans="1:14" x14ac:dyDescent="0.2">
      <c r="A443" s="84"/>
      <c r="B443" s="84"/>
      <c r="C443" s="60"/>
      <c r="D443" s="66"/>
      <c r="E443" s="66"/>
      <c r="F443" s="66"/>
      <c r="G443" s="66"/>
      <c r="H443" s="66"/>
      <c r="I443" s="66"/>
      <c r="J443" s="66"/>
      <c r="K443" s="66"/>
      <c r="L443" s="66"/>
      <c r="M443" s="66"/>
      <c r="N443" s="66"/>
    </row>
    <row r="444" spans="1:14" x14ac:dyDescent="0.2">
      <c r="A444" s="84"/>
      <c r="B444" s="84"/>
      <c r="C444" s="60"/>
      <c r="D444" s="66"/>
      <c r="E444" s="66"/>
      <c r="F444" s="66"/>
      <c r="G444" s="66"/>
      <c r="H444" s="66"/>
      <c r="I444" s="66"/>
      <c r="J444" s="66"/>
      <c r="K444" s="66"/>
      <c r="L444" s="66"/>
      <c r="M444" s="66"/>
      <c r="N444" s="66"/>
    </row>
    <row r="445" spans="1:14" x14ac:dyDescent="0.2">
      <c r="A445" s="84"/>
      <c r="B445" s="84"/>
      <c r="C445" s="60"/>
      <c r="D445" s="66"/>
      <c r="E445" s="66"/>
      <c r="F445" s="66"/>
      <c r="G445" s="66"/>
      <c r="H445" s="66"/>
      <c r="I445" s="66"/>
      <c r="J445" s="66"/>
      <c r="K445" s="66"/>
      <c r="L445" s="66"/>
      <c r="M445" s="66"/>
      <c r="N445" s="66"/>
    </row>
    <row r="446" spans="1:14" x14ac:dyDescent="0.2">
      <c r="A446" s="84"/>
      <c r="B446" s="84"/>
      <c r="C446" s="60"/>
      <c r="D446" s="66"/>
      <c r="E446" s="66"/>
      <c r="F446" s="66"/>
      <c r="G446" s="66"/>
      <c r="H446" s="66"/>
      <c r="I446" s="66"/>
      <c r="J446" s="66"/>
      <c r="K446" s="66"/>
      <c r="L446" s="66"/>
      <c r="M446" s="66"/>
      <c r="N446" s="66"/>
    </row>
    <row r="447" spans="1:14" x14ac:dyDescent="0.2">
      <c r="A447" s="84"/>
      <c r="B447" s="84"/>
      <c r="C447" s="60"/>
      <c r="D447" s="66"/>
      <c r="E447" s="66"/>
      <c r="F447" s="66"/>
      <c r="G447" s="66"/>
      <c r="H447" s="66"/>
      <c r="I447" s="66"/>
      <c r="J447" s="66"/>
      <c r="K447" s="66"/>
      <c r="L447" s="66"/>
      <c r="M447" s="66"/>
      <c r="N447" s="66"/>
    </row>
    <row r="448" spans="1:14" x14ac:dyDescent="0.2">
      <c r="A448" s="84"/>
      <c r="B448" s="84"/>
      <c r="C448" s="60"/>
      <c r="D448" s="66"/>
      <c r="E448" s="66"/>
      <c r="F448" s="66"/>
      <c r="G448" s="66"/>
      <c r="H448" s="66"/>
      <c r="I448" s="66"/>
      <c r="J448" s="66"/>
      <c r="K448" s="66"/>
      <c r="L448" s="66"/>
      <c r="M448" s="66"/>
      <c r="N448" s="66"/>
    </row>
    <row r="449" spans="1:14" x14ac:dyDescent="0.2">
      <c r="A449" s="84"/>
      <c r="B449" s="84"/>
      <c r="C449" s="60"/>
      <c r="D449" s="66"/>
      <c r="E449" s="66"/>
      <c r="F449" s="66"/>
      <c r="G449" s="66"/>
      <c r="H449" s="66"/>
      <c r="I449" s="66"/>
      <c r="J449" s="66"/>
      <c r="K449" s="66"/>
      <c r="L449" s="66"/>
      <c r="M449" s="66"/>
      <c r="N449" s="66"/>
    </row>
    <row r="450" spans="1:14" x14ac:dyDescent="0.2">
      <c r="A450" s="84"/>
      <c r="B450" s="84"/>
      <c r="C450" s="60"/>
      <c r="D450" s="66"/>
      <c r="E450" s="66"/>
      <c r="F450" s="66"/>
      <c r="G450" s="66"/>
      <c r="H450" s="66"/>
      <c r="I450" s="66"/>
      <c r="J450" s="66"/>
      <c r="K450" s="66"/>
      <c r="L450" s="66"/>
      <c r="M450" s="66"/>
      <c r="N450" s="66"/>
    </row>
    <row r="451" spans="1:14" x14ac:dyDescent="0.2">
      <c r="A451" s="84"/>
      <c r="B451" s="84"/>
      <c r="C451" s="60"/>
      <c r="D451" s="66"/>
      <c r="E451" s="66"/>
      <c r="F451" s="66"/>
      <c r="G451" s="66"/>
      <c r="H451" s="66"/>
      <c r="I451" s="66"/>
      <c r="J451" s="66"/>
      <c r="K451" s="66"/>
      <c r="L451" s="66"/>
      <c r="M451" s="66"/>
      <c r="N451" s="66"/>
    </row>
    <row r="452" spans="1:14" x14ac:dyDescent="0.2">
      <c r="A452" s="84"/>
      <c r="B452" s="84"/>
      <c r="C452" s="60"/>
      <c r="D452" s="66"/>
      <c r="E452" s="66"/>
      <c r="F452" s="66"/>
      <c r="G452" s="66"/>
      <c r="H452" s="66"/>
      <c r="I452" s="66"/>
      <c r="J452" s="66"/>
      <c r="K452" s="66"/>
      <c r="L452" s="66"/>
      <c r="M452" s="66"/>
      <c r="N452" s="66"/>
    </row>
    <row r="453" spans="1:14" x14ac:dyDescent="0.2">
      <c r="A453" s="84"/>
      <c r="B453" s="84"/>
      <c r="C453" s="60"/>
      <c r="D453" s="66"/>
      <c r="E453" s="66"/>
      <c r="F453" s="66"/>
      <c r="G453" s="66"/>
      <c r="H453" s="66"/>
      <c r="I453" s="66"/>
      <c r="J453" s="66"/>
      <c r="K453" s="66"/>
      <c r="L453" s="66"/>
      <c r="M453" s="66"/>
      <c r="N453" s="66"/>
    </row>
    <row r="454" spans="1:14" x14ac:dyDescent="0.2">
      <c r="A454" s="84"/>
      <c r="B454" s="84"/>
      <c r="C454" s="60"/>
      <c r="D454" s="66"/>
      <c r="E454" s="66"/>
      <c r="F454" s="66"/>
      <c r="G454" s="66"/>
      <c r="H454" s="66"/>
      <c r="I454" s="66"/>
      <c r="J454" s="66"/>
      <c r="K454" s="66"/>
      <c r="L454" s="66"/>
      <c r="M454" s="66"/>
      <c r="N454" s="66"/>
    </row>
    <row r="455" spans="1:14" x14ac:dyDescent="0.2">
      <c r="A455" s="84"/>
      <c r="B455" s="84"/>
      <c r="C455" s="60"/>
      <c r="D455" s="66"/>
      <c r="E455" s="66"/>
      <c r="F455" s="66"/>
      <c r="G455" s="66"/>
      <c r="H455" s="66"/>
      <c r="I455" s="66"/>
      <c r="J455" s="66"/>
      <c r="K455" s="66"/>
      <c r="L455" s="66"/>
      <c r="M455" s="66"/>
      <c r="N455" s="66"/>
    </row>
    <row r="456" spans="1:14" x14ac:dyDescent="0.2">
      <c r="A456" s="84"/>
      <c r="B456" s="84"/>
      <c r="C456" s="60"/>
      <c r="D456" s="66"/>
      <c r="E456" s="66"/>
      <c r="F456" s="66"/>
      <c r="G456" s="66"/>
      <c r="H456" s="66"/>
      <c r="I456" s="66"/>
      <c r="J456" s="66"/>
      <c r="K456" s="66"/>
      <c r="L456" s="66"/>
      <c r="M456" s="66"/>
      <c r="N456" s="66"/>
    </row>
    <row r="457" spans="1:14" x14ac:dyDescent="0.2">
      <c r="A457" s="84"/>
      <c r="B457" s="84"/>
      <c r="C457" s="60"/>
      <c r="D457" s="66"/>
      <c r="E457" s="66"/>
      <c r="F457" s="66"/>
      <c r="G457" s="66"/>
      <c r="H457" s="66"/>
      <c r="I457" s="66"/>
      <c r="J457" s="66"/>
      <c r="K457" s="66"/>
      <c r="L457" s="66"/>
      <c r="M457" s="66"/>
      <c r="N457" s="66"/>
    </row>
    <row r="458" spans="1:14" x14ac:dyDescent="0.2">
      <c r="A458" s="84"/>
      <c r="B458" s="84"/>
      <c r="C458" s="60"/>
      <c r="D458" s="66"/>
      <c r="E458" s="66"/>
      <c r="F458" s="66"/>
      <c r="G458" s="66"/>
      <c r="H458" s="66"/>
      <c r="I458" s="66"/>
      <c r="J458" s="66"/>
      <c r="K458" s="66"/>
      <c r="L458" s="66"/>
      <c r="M458" s="66"/>
      <c r="N458" s="66"/>
    </row>
    <row r="459" spans="1:14" x14ac:dyDescent="0.2">
      <c r="A459" s="84"/>
      <c r="B459" s="84"/>
      <c r="C459" s="60"/>
      <c r="D459" s="66"/>
      <c r="E459" s="66"/>
      <c r="F459" s="66"/>
      <c r="G459" s="66"/>
      <c r="H459" s="66"/>
      <c r="I459" s="66"/>
      <c r="J459" s="66"/>
      <c r="K459" s="66"/>
      <c r="L459" s="66"/>
      <c r="M459" s="66"/>
      <c r="N459" s="66"/>
    </row>
    <row r="460" spans="1:14" x14ac:dyDescent="0.2">
      <c r="A460" s="84"/>
      <c r="B460" s="84"/>
      <c r="C460" s="60"/>
      <c r="D460" s="66"/>
      <c r="E460" s="66"/>
      <c r="F460" s="66"/>
      <c r="G460" s="66"/>
      <c r="H460" s="66"/>
      <c r="I460" s="66"/>
      <c r="J460" s="66"/>
      <c r="K460" s="66"/>
      <c r="L460" s="66"/>
      <c r="M460" s="66"/>
      <c r="N460" s="66"/>
    </row>
    <row r="461" spans="1:14" x14ac:dyDescent="0.2">
      <c r="A461" s="84"/>
      <c r="B461" s="84"/>
      <c r="C461" s="60"/>
      <c r="D461" s="66"/>
      <c r="E461" s="66"/>
      <c r="F461" s="66"/>
      <c r="G461" s="66"/>
      <c r="H461" s="66"/>
      <c r="I461" s="66"/>
      <c r="J461" s="66"/>
      <c r="K461" s="66"/>
      <c r="L461" s="66"/>
      <c r="M461" s="66"/>
      <c r="N461" s="66"/>
    </row>
    <row r="462" spans="1:14" x14ac:dyDescent="0.2">
      <c r="A462" s="84"/>
      <c r="B462" s="84"/>
      <c r="C462" s="60"/>
      <c r="D462" s="66"/>
      <c r="E462" s="66"/>
      <c r="F462" s="66"/>
      <c r="G462" s="66"/>
      <c r="H462" s="66"/>
      <c r="I462" s="66"/>
      <c r="J462" s="66"/>
      <c r="K462" s="66"/>
      <c r="L462" s="66"/>
      <c r="M462" s="66"/>
      <c r="N462" s="66"/>
    </row>
    <row r="463" spans="1:14" x14ac:dyDescent="0.2">
      <c r="A463" s="84"/>
      <c r="B463" s="84"/>
      <c r="C463" s="60"/>
      <c r="D463" s="66"/>
      <c r="E463" s="66"/>
      <c r="F463" s="66"/>
      <c r="G463" s="66"/>
      <c r="H463" s="66"/>
      <c r="I463" s="66"/>
      <c r="J463" s="66"/>
      <c r="K463" s="66"/>
      <c r="L463" s="66"/>
      <c r="M463" s="66"/>
      <c r="N463" s="66"/>
    </row>
    <row r="464" spans="1:14" x14ac:dyDescent="0.2">
      <c r="A464" s="84"/>
      <c r="B464" s="84"/>
      <c r="C464" s="60"/>
      <c r="D464" s="66"/>
      <c r="E464" s="66"/>
      <c r="F464" s="66"/>
      <c r="G464" s="66"/>
      <c r="H464" s="66"/>
      <c r="I464" s="66"/>
      <c r="J464" s="66"/>
      <c r="K464" s="66"/>
      <c r="L464" s="66"/>
      <c r="M464" s="66"/>
      <c r="N464" s="66"/>
    </row>
    <row r="465" spans="1:14" x14ac:dyDescent="0.2">
      <c r="A465" s="84"/>
      <c r="B465" s="84"/>
      <c r="C465" s="60"/>
      <c r="D465" s="66"/>
      <c r="E465" s="66"/>
      <c r="F465" s="66"/>
      <c r="G465" s="66"/>
      <c r="H465" s="66"/>
      <c r="I465" s="66"/>
      <c r="J465" s="66"/>
      <c r="K465" s="66"/>
      <c r="L465" s="66"/>
      <c r="M465" s="66"/>
      <c r="N465" s="66"/>
    </row>
    <row r="466" spans="1:14" x14ac:dyDescent="0.2">
      <c r="A466" s="84"/>
      <c r="B466" s="84"/>
      <c r="C466" s="60"/>
      <c r="D466" s="66"/>
      <c r="E466" s="66"/>
      <c r="F466" s="66"/>
      <c r="G466" s="66"/>
      <c r="H466" s="66"/>
      <c r="I466" s="66"/>
      <c r="J466" s="66"/>
      <c r="K466" s="66"/>
      <c r="L466" s="66"/>
      <c r="M466" s="66"/>
      <c r="N466" s="66"/>
    </row>
    <row r="467" spans="1:14" x14ac:dyDescent="0.2">
      <c r="A467" s="84"/>
      <c r="B467" s="84"/>
      <c r="C467" s="60"/>
      <c r="D467" s="66"/>
      <c r="E467" s="66"/>
      <c r="F467" s="66"/>
      <c r="G467" s="66"/>
      <c r="H467" s="66"/>
      <c r="I467" s="66"/>
      <c r="J467" s="66"/>
      <c r="K467" s="66"/>
      <c r="L467" s="66"/>
      <c r="M467" s="66"/>
      <c r="N467" s="66"/>
    </row>
    <row r="468" spans="1:14" x14ac:dyDescent="0.2">
      <c r="A468" s="84"/>
      <c r="B468" s="84"/>
      <c r="C468" s="60"/>
      <c r="D468" s="66"/>
      <c r="E468" s="66"/>
      <c r="F468" s="66"/>
      <c r="G468" s="66"/>
      <c r="H468" s="66"/>
      <c r="I468" s="66"/>
      <c r="J468" s="66"/>
      <c r="K468" s="66"/>
      <c r="L468" s="66"/>
      <c r="M468" s="66"/>
      <c r="N468" s="66"/>
    </row>
    <row r="469" spans="1:14" x14ac:dyDescent="0.2">
      <c r="A469" s="84"/>
      <c r="B469" s="84"/>
      <c r="C469" s="60"/>
      <c r="D469" s="66"/>
      <c r="E469" s="66"/>
      <c r="F469" s="66"/>
      <c r="G469" s="66"/>
      <c r="H469" s="66"/>
      <c r="I469" s="66"/>
      <c r="J469" s="66"/>
      <c r="K469" s="66"/>
      <c r="L469" s="66"/>
      <c r="M469" s="66"/>
      <c r="N469" s="66"/>
    </row>
    <row r="470" spans="1:14" x14ac:dyDescent="0.2">
      <c r="A470" s="84"/>
      <c r="B470" s="84"/>
      <c r="C470" s="60"/>
      <c r="D470" s="66"/>
      <c r="E470" s="66"/>
      <c r="F470" s="66"/>
      <c r="G470" s="66"/>
      <c r="H470" s="66"/>
      <c r="I470" s="66"/>
      <c r="J470" s="66"/>
      <c r="K470" s="66"/>
      <c r="L470" s="66"/>
      <c r="M470" s="66"/>
      <c r="N470" s="66"/>
    </row>
    <row r="471" spans="1:14" x14ac:dyDescent="0.2">
      <c r="A471" s="84"/>
      <c r="B471" s="84"/>
      <c r="C471" s="60"/>
      <c r="D471" s="66"/>
      <c r="E471" s="66"/>
      <c r="F471" s="66"/>
      <c r="G471" s="66"/>
      <c r="H471" s="66"/>
      <c r="I471" s="66"/>
      <c r="J471" s="66"/>
      <c r="K471" s="66"/>
      <c r="L471" s="66"/>
      <c r="M471" s="66"/>
      <c r="N471" s="66"/>
    </row>
    <row r="472" spans="1:14" x14ac:dyDescent="0.2">
      <c r="A472" s="84"/>
      <c r="B472" s="84"/>
      <c r="C472" s="60"/>
      <c r="D472" s="66"/>
      <c r="E472" s="66"/>
      <c r="F472" s="66"/>
      <c r="G472" s="66"/>
      <c r="H472" s="66"/>
      <c r="I472" s="66"/>
      <c r="J472" s="66"/>
      <c r="K472" s="66"/>
      <c r="L472" s="66"/>
      <c r="M472" s="66"/>
      <c r="N472" s="66"/>
    </row>
    <row r="473" spans="1:14" x14ac:dyDescent="0.2">
      <c r="A473" s="84"/>
      <c r="B473" s="84"/>
      <c r="C473" s="60"/>
      <c r="D473" s="66"/>
      <c r="E473" s="66"/>
      <c r="F473" s="66"/>
      <c r="G473" s="66"/>
      <c r="H473" s="66"/>
      <c r="I473" s="66"/>
      <c r="J473" s="66"/>
      <c r="K473" s="66"/>
      <c r="L473" s="66"/>
      <c r="M473" s="66"/>
      <c r="N473" s="66"/>
    </row>
    <row r="474" spans="1:14" x14ac:dyDescent="0.2">
      <c r="A474" s="84"/>
      <c r="B474" s="84"/>
      <c r="C474" s="60"/>
      <c r="D474" s="66"/>
      <c r="E474" s="66"/>
      <c r="F474" s="66"/>
      <c r="G474" s="66"/>
      <c r="H474" s="66"/>
      <c r="I474" s="66"/>
      <c r="J474" s="66"/>
      <c r="K474" s="66"/>
      <c r="L474" s="66"/>
      <c r="M474" s="66"/>
      <c r="N474" s="66"/>
    </row>
    <row r="475" spans="1:14" x14ac:dyDescent="0.2">
      <c r="A475" s="84"/>
      <c r="B475" s="84"/>
      <c r="C475" s="60"/>
      <c r="D475" s="66"/>
      <c r="E475" s="66"/>
      <c r="F475" s="66"/>
      <c r="G475" s="66"/>
      <c r="H475" s="66"/>
      <c r="I475" s="66"/>
      <c r="J475" s="66"/>
      <c r="K475" s="66"/>
      <c r="L475" s="66"/>
      <c r="M475" s="66"/>
      <c r="N475" s="66"/>
    </row>
    <row r="476" spans="1:14" x14ac:dyDescent="0.2">
      <c r="A476" s="84"/>
      <c r="B476" s="84"/>
      <c r="C476" s="60"/>
      <c r="D476" s="66"/>
      <c r="E476" s="66"/>
      <c r="F476" s="66"/>
      <c r="G476" s="66"/>
      <c r="H476" s="66"/>
      <c r="I476" s="66"/>
      <c r="J476" s="66"/>
      <c r="K476" s="66"/>
      <c r="L476" s="66"/>
      <c r="M476" s="66"/>
      <c r="N476" s="66"/>
    </row>
    <row r="477" spans="1:14" x14ac:dyDescent="0.2">
      <c r="A477" s="84"/>
      <c r="B477" s="84"/>
      <c r="C477" s="60"/>
      <c r="D477" s="66"/>
      <c r="E477" s="66"/>
      <c r="F477" s="66"/>
      <c r="G477" s="66"/>
      <c r="H477" s="66"/>
      <c r="I477" s="66"/>
      <c r="J477" s="66"/>
      <c r="K477" s="66"/>
      <c r="L477" s="66"/>
      <c r="M477" s="66"/>
      <c r="N477" s="66"/>
    </row>
    <row r="478" spans="1:14" x14ac:dyDescent="0.2">
      <c r="A478" s="84"/>
      <c r="B478" s="84"/>
      <c r="C478" s="60"/>
      <c r="D478" s="66"/>
      <c r="E478" s="66"/>
      <c r="F478" s="66"/>
      <c r="G478" s="66"/>
      <c r="H478" s="66"/>
      <c r="I478" s="66"/>
      <c r="J478" s="66"/>
      <c r="K478" s="66"/>
      <c r="L478" s="66"/>
      <c r="M478" s="66"/>
      <c r="N478" s="66"/>
    </row>
    <row r="479" spans="1:14" x14ac:dyDescent="0.2">
      <c r="A479" s="84"/>
      <c r="B479" s="84"/>
      <c r="C479" s="60"/>
      <c r="D479" s="66"/>
      <c r="E479" s="66"/>
      <c r="F479" s="66"/>
      <c r="G479" s="66"/>
      <c r="H479" s="66"/>
      <c r="I479" s="66"/>
      <c r="J479" s="66"/>
      <c r="K479" s="66"/>
      <c r="L479" s="66"/>
      <c r="M479" s="66"/>
      <c r="N479" s="66"/>
    </row>
    <row r="480" spans="1:14" x14ac:dyDescent="0.2">
      <c r="A480" s="84"/>
      <c r="B480" s="84"/>
      <c r="C480" s="60"/>
      <c r="D480" s="66"/>
      <c r="E480" s="66"/>
      <c r="F480" s="66"/>
      <c r="G480" s="66"/>
      <c r="H480" s="66"/>
      <c r="I480" s="66"/>
      <c r="J480" s="66"/>
      <c r="K480" s="66"/>
      <c r="L480" s="66"/>
      <c r="M480" s="66"/>
      <c r="N480" s="66"/>
    </row>
    <row r="481" spans="1:14" x14ac:dyDescent="0.2">
      <c r="A481" s="84"/>
      <c r="B481" s="84"/>
      <c r="C481" s="60"/>
      <c r="D481" s="66"/>
      <c r="E481" s="66"/>
      <c r="F481" s="66"/>
      <c r="G481" s="66"/>
      <c r="H481" s="66"/>
      <c r="I481" s="66"/>
      <c r="J481" s="66"/>
      <c r="K481" s="66"/>
      <c r="L481" s="66"/>
      <c r="M481" s="66"/>
      <c r="N481" s="66"/>
    </row>
    <row r="482" spans="1:14" x14ac:dyDescent="0.2">
      <c r="A482" s="84"/>
      <c r="B482" s="84"/>
      <c r="C482" s="60"/>
      <c r="D482" s="66"/>
      <c r="E482" s="66"/>
      <c r="F482" s="66"/>
      <c r="G482" s="66"/>
      <c r="H482" s="66"/>
      <c r="I482" s="66"/>
      <c r="J482" s="66"/>
      <c r="K482" s="66"/>
      <c r="L482" s="66"/>
      <c r="M482" s="66"/>
      <c r="N482" s="66"/>
    </row>
    <row r="483" spans="1:14" x14ac:dyDescent="0.2">
      <c r="A483" s="84"/>
      <c r="B483" s="84"/>
      <c r="C483" s="60"/>
      <c r="D483" s="66"/>
      <c r="E483" s="66"/>
      <c r="F483" s="66"/>
      <c r="G483" s="66"/>
      <c r="H483" s="66"/>
      <c r="I483" s="66"/>
      <c r="J483" s="66"/>
      <c r="K483" s="66"/>
      <c r="L483" s="66"/>
      <c r="M483" s="66"/>
      <c r="N483" s="66"/>
    </row>
    <row r="484" spans="1:14" x14ac:dyDescent="0.2">
      <c r="A484" s="84"/>
      <c r="B484" s="84"/>
      <c r="C484" s="60"/>
      <c r="D484" s="66"/>
      <c r="E484" s="66"/>
      <c r="F484" s="66"/>
      <c r="G484" s="66"/>
      <c r="H484" s="66"/>
      <c r="I484" s="66"/>
      <c r="J484" s="66"/>
      <c r="K484" s="66"/>
      <c r="L484" s="66"/>
      <c r="M484" s="66"/>
      <c r="N484" s="66"/>
    </row>
    <row r="485" spans="1:14" x14ac:dyDescent="0.2">
      <c r="A485" s="84"/>
      <c r="B485" s="84"/>
      <c r="C485" s="60"/>
      <c r="D485" s="66"/>
      <c r="E485" s="66"/>
      <c r="F485" s="66"/>
      <c r="G485" s="66"/>
      <c r="H485" s="66"/>
      <c r="I485" s="66"/>
      <c r="J485" s="66"/>
      <c r="K485" s="66"/>
      <c r="L485" s="66"/>
      <c r="M485" s="66"/>
      <c r="N485" s="66"/>
    </row>
    <row r="486" spans="1:14" x14ac:dyDescent="0.2">
      <c r="A486" s="84"/>
      <c r="B486" s="84"/>
      <c r="C486" s="60"/>
      <c r="D486" s="66"/>
      <c r="E486" s="66"/>
      <c r="F486" s="66"/>
      <c r="G486" s="66"/>
      <c r="H486" s="66"/>
      <c r="I486" s="66"/>
      <c r="J486" s="66"/>
      <c r="K486" s="66"/>
      <c r="L486" s="66"/>
      <c r="M486" s="66"/>
      <c r="N486" s="66"/>
    </row>
    <row r="487" spans="1:14" x14ac:dyDescent="0.2">
      <c r="A487" s="84"/>
      <c r="B487" s="84"/>
      <c r="C487" s="60"/>
      <c r="D487" s="66"/>
      <c r="E487" s="66"/>
      <c r="F487" s="66"/>
      <c r="G487" s="66"/>
      <c r="H487" s="66"/>
      <c r="I487" s="66"/>
      <c r="J487" s="66"/>
      <c r="K487" s="66"/>
      <c r="L487" s="66"/>
      <c r="M487" s="66"/>
      <c r="N487" s="66"/>
    </row>
    <row r="488" spans="1:14" x14ac:dyDescent="0.2">
      <c r="A488" s="84"/>
      <c r="B488" s="84"/>
      <c r="C488" s="60"/>
      <c r="D488" s="66"/>
      <c r="E488" s="66"/>
      <c r="F488" s="66"/>
      <c r="G488" s="66"/>
      <c r="H488" s="66"/>
      <c r="I488" s="66"/>
      <c r="J488" s="66"/>
      <c r="K488" s="66"/>
      <c r="L488" s="66"/>
      <c r="M488" s="66"/>
      <c r="N488" s="66"/>
    </row>
    <row r="489" spans="1:14" x14ac:dyDescent="0.2">
      <c r="A489" s="84"/>
      <c r="B489" s="84"/>
      <c r="C489" s="60"/>
      <c r="D489" s="66"/>
      <c r="E489" s="66"/>
      <c r="F489" s="66"/>
      <c r="G489" s="66"/>
      <c r="H489" s="66"/>
      <c r="I489" s="66"/>
      <c r="J489" s="66"/>
      <c r="K489" s="66"/>
      <c r="L489" s="66"/>
      <c r="M489" s="66"/>
      <c r="N489" s="66"/>
    </row>
    <row r="490" spans="1:14" x14ac:dyDescent="0.2">
      <c r="A490" s="84"/>
      <c r="B490" s="84"/>
      <c r="C490" s="60"/>
      <c r="D490" s="66"/>
      <c r="E490" s="66"/>
      <c r="F490" s="66"/>
      <c r="G490" s="66"/>
      <c r="H490" s="66"/>
      <c r="I490" s="66"/>
      <c r="J490" s="66"/>
      <c r="K490" s="66"/>
      <c r="L490" s="66"/>
      <c r="M490" s="66"/>
      <c r="N490" s="66"/>
    </row>
    <row r="491" spans="1:14" x14ac:dyDescent="0.2">
      <c r="A491" s="84"/>
      <c r="B491" s="84"/>
      <c r="C491" s="60"/>
      <c r="D491" s="66"/>
      <c r="E491" s="66"/>
      <c r="F491" s="66"/>
      <c r="G491" s="66"/>
      <c r="H491" s="66"/>
      <c r="I491" s="66"/>
      <c r="J491" s="66"/>
      <c r="K491" s="66"/>
      <c r="L491" s="66"/>
      <c r="M491" s="66"/>
      <c r="N491" s="66"/>
    </row>
    <row r="492" spans="1:14" x14ac:dyDescent="0.2">
      <c r="A492" s="84"/>
      <c r="B492" s="84"/>
      <c r="C492" s="60"/>
      <c r="D492" s="66"/>
      <c r="E492" s="66"/>
      <c r="F492" s="66"/>
      <c r="G492" s="66"/>
      <c r="H492" s="66"/>
      <c r="I492" s="66"/>
      <c r="J492" s="66"/>
      <c r="K492" s="66"/>
      <c r="L492" s="66"/>
      <c r="M492" s="66"/>
      <c r="N492" s="66"/>
    </row>
    <row r="493" spans="1:14" x14ac:dyDescent="0.2">
      <c r="A493" s="84"/>
      <c r="B493" s="84"/>
      <c r="C493" s="60"/>
      <c r="D493" s="66"/>
      <c r="E493" s="66"/>
      <c r="F493" s="66"/>
      <c r="G493" s="66"/>
      <c r="H493" s="66"/>
      <c r="I493" s="66"/>
      <c r="J493" s="66"/>
      <c r="K493" s="66"/>
      <c r="L493" s="66"/>
      <c r="M493" s="66"/>
      <c r="N493" s="66"/>
    </row>
    <row r="494" spans="1:14" x14ac:dyDescent="0.2">
      <c r="A494" s="84"/>
      <c r="B494" s="84"/>
      <c r="C494" s="60"/>
      <c r="D494" s="66"/>
      <c r="E494" s="66"/>
      <c r="F494" s="66"/>
      <c r="G494" s="66"/>
      <c r="H494" s="66"/>
      <c r="I494" s="66"/>
      <c r="J494" s="66"/>
      <c r="K494" s="66"/>
      <c r="L494" s="66"/>
      <c r="M494" s="66"/>
      <c r="N494" s="66"/>
    </row>
    <row r="495" spans="1:14" x14ac:dyDescent="0.2">
      <c r="A495" s="84"/>
      <c r="B495" s="84"/>
      <c r="C495" s="60"/>
      <c r="D495" s="66"/>
      <c r="E495" s="66"/>
      <c r="F495" s="66"/>
      <c r="G495" s="66"/>
      <c r="H495" s="66"/>
      <c r="I495" s="66"/>
      <c r="J495" s="66"/>
      <c r="K495" s="66"/>
      <c r="L495" s="66"/>
      <c r="M495" s="66"/>
      <c r="N495" s="66"/>
    </row>
    <row r="496" spans="1:14" x14ac:dyDescent="0.2">
      <c r="A496" s="84"/>
      <c r="B496" s="84"/>
      <c r="C496" s="60"/>
      <c r="D496" s="66"/>
      <c r="E496" s="66"/>
      <c r="F496" s="66"/>
      <c r="G496" s="66"/>
      <c r="H496" s="66"/>
      <c r="I496" s="66"/>
      <c r="J496" s="66"/>
      <c r="K496" s="66"/>
      <c r="L496" s="66"/>
      <c r="M496" s="66"/>
      <c r="N496" s="66"/>
    </row>
    <row r="497" spans="1:14" x14ac:dyDescent="0.2">
      <c r="A497" s="84"/>
      <c r="B497" s="84"/>
      <c r="C497" s="60"/>
      <c r="D497" s="66"/>
      <c r="E497" s="66"/>
      <c r="F497" s="66"/>
      <c r="G497" s="66"/>
      <c r="H497" s="66"/>
      <c r="I497" s="66"/>
      <c r="J497" s="66"/>
      <c r="K497" s="66"/>
      <c r="L497" s="66"/>
      <c r="M497" s="66"/>
      <c r="N497" s="66"/>
    </row>
    <row r="498" spans="1:14" x14ac:dyDescent="0.2">
      <c r="A498" s="84"/>
      <c r="B498" s="84"/>
      <c r="C498" s="60"/>
      <c r="D498" s="66"/>
      <c r="E498" s="66"/>
      <c r="F498" s="66"/>
      <c r="G498" s="66"/>
      <c r="H498" s="66"/>
      <c r="I498" s="66"/>
      <c r="J498" s="66"/>
      <c r="K498" s="66"/>
      <c r="L498" s="66"/>
      <c r="M498" s="66"/>
      <c r="N498" s="66"/>
    </row>
    <row r="499" spans="1:14" x14ac:dyDescent="0.2">
      <c r="A499" s="84"/>
      <c r="B499" s="84"/>
      <c r="C499" s="60"/>
      <c r="D499" s="66"/>
      <c r="E499" s="66"/>
      <c r="F499" s="66"/>
      <c r="G499" s="66"/>
      <c r="H499" s="66"/>
      <c r="I499" s="66"/>
      <c r="J499" s="66"/>
      <c r="K499" s="66"/>
      <c r="L499" s="66"/>
      <c r="M499" s="66"/>
      <c r="N499" s="66"/>
    </row>
    <row r="500" spans="1:14" x14ac:dyDescent="0.2">
      <c r="A500" s="84"/>
      <c r="B500" s="84"/>
      <c r="C500" s="60"/>
      <c r="D500" s="66"/>
      <c r="E500" s="66"/>
      <c r="F500" s="66"/>
      <c r="G500" s="66"/>
      <c r="H500" s="66"/>
      <c r="I500" s="66"/>
      <c r="J500" s="66"/>
      <c r="K500" s="66"/>
      <c r="L500" s="66"/>
      <c r="M500" s="66"/>
      <c r="N500" s="66"/>
    </row>
    <row r="501" spans="1:14" x14ac:dyDescent="0.2">
      <c r="A501" s="84"/>
      <c r="B501" s="84"/>
      <c r="C501" s="60"/>
      <c r="D501" s="66"/>
      <c r="E501" s="66"/>
      <c r="F501" s="66"/>
      <c r="G501" s="66"/>
      <c r="H501" s="66"/>
      <c r="I501" s="66"/>
      <c r="J501" s="66"/>
      <c r="K501" s="66"/>
      <c r="L501" s="66"/>
      <c r="M501" s="66"/>
      <c r="N501" s="66"/>
    </row>
    <row r="502" spans="1:14" x14ac:dyDescent="0.2">
      <c r="A502" s="84"/>
      <c r="B502" s="84"/>
      <c r="C502" s="60"/>
      <c r="D502" s="66"/>
      <c r="E502" s="66"/>
      <c r="F502" s="66"/>
      <c r="G502" s="66"/>
      <c r="H502" s="66"/>
      <c r="I502" s="66"/>
      <c r="J502" s="66"/>
      <c r="K502" s="66"/>
      <c r="L502" s="66"/>
      <c r="M502" s="66"/>
      <c r="N502" s="66"/>
    </row>
    <row r="503" spans="1:14" x14ac:dyDescent="0.2">
      <c r="A503" s="84"/>
      <c r="B503" s="84"/>
      <c r="C503" s="60"/>
      <c r="D503" s="66"/>
      <c r="E503" s="66"/>
      <c r="F503" s="66"/>
      <c r="G503" s="66"/>
      <c r="H503" s="66"/>
      <c r="I503" s="66"/>
      <c r="J503" s="66"/>
      <c r="K503" s="66"/>
      <c r="L503" s="66"/>
      <c r="M503" s="66"/>
      <c r="N503" s="66"/>
    </row>
    <row r="504" spans="1:14" x14ac:dyDescent="0.2">
      <c r="A504" s="84"/>
      <c r="B504" s="84"/>
      <c r="C504" s="60"/>
      <c r="D504" s="66"/>
      <c r="E504" s="66"/>
      <c r="F504" s="66"/>
      <c r="G504" s="66"/>
      <c r="H504" s="66"/>
      <c r="I504" s="66"/>
      <c r="J504" s="66"/>
      <c r="K504" s="66"/>
      <c r="L504" s="66"/>
      <c r="M504" s="66"/>
      <c r="N504" s="66"/>
    </row>
    <row r="505" spans="1:14" x14ac:dyDescent="0.2">
      <c r="A505" s="84"/>
      <c r="B505" s="84"/>
      <c r="C505" s="60"/>
      <c r="D505" s="66"/>
      <c r="E505" s="66"/>
      <c r="F505" s="66"/>
      <c r="G505" s="66"/>
      <c r="H505" s="66"/>
      <c r="I505" s="66"/>
      <c r="J505" s="66"/>
      <c r="K505" s="66"/>
      <c r="L505" s="66"/>
      <c r="M505" s="66"/>
      <c r="N505" s="66"/>
    </row>
    <row r="506" spans="1:14" x14ac:dyDescent="0.2">
      <c r="A506" s="84"/>
      <c r="B506" s="84"/>
      <c r="C506" s="60"/>
      <c r="D506" s="66"/>
      <c r="E506" s="66"/>
      <c r="F506" s="66"/>
      <c r="G506" s="66"/>
      <c r="H506" s="66"/>
      <c r="I506" s="66"/>
      <c r="J506" s="66"/>
      <c r="K506" s="66"/>
      <c r="L506" s="66"/>
      <c r="M506" s="66"/>
      <c r="N506" s="66"/>
    </row>
    <row r="507" spans="1:14" x14ac:dyDescent="0.2">
      <c r="A507" s="84"/>
      <c r="B507" s="84"/>
      <c r="C507" s="60"/>
      <c r="D507" s="66"/>
      <c r="E507" s="66"/>
      <c r="F507" s="66"/>
      <c r="G507" s="66"/>
      <c r="H507" s="66"/>
      <c r="I507" s="66"/>
      <c r="J507" s="66"/>
      <c r="K507" s="66"/>
      <c r="L507" s="66"/>
      <c r="M507" s="66"/>
      <c r="N507" s="66"/>
    </row>
    <row r="508" spans="1:14" x14ac:dyDescent="0.2">
      <c r="A508" s="84"/>
      <c r="B508" s="84"/>
      <c r="C508" s="60"/>
      <c r="D508" s="66"/>
      <c r="E508" s="66"/>
      <c r="F508" s="66"/>
      <c r="G508" s="66"/>
      <c r="H508" s="66"/>
      <c r="I508" s="66"/>
      <c r="J508" s="66"/>
      <c r="K508" s="66"/>
      <c r="L508" s="66"/>
      <c r="M508" s="66"/>
      <c r="N508" s="66"/>
    </row>
    <row r="509" spans="1:14" x14ac:dyDescent="0.2">
      <c r="A509" s="84"/>
      <c r="B509" s="84"/>
      <c r="C509" s="60"/>
      <c r="D509" s="66"/>
      <c r="E509" s="66"/>
      <c r="F509" s="66"/>
      <c r="G509" s="66"/>
      <c r="H509" s="66"/>
      <c r="I509" s="66"/>
      <c r="J509" s="66"/>
      <c r="K509" s="66"/>
      <c r="L509" s="66"/>
      <c r="M509" s="66"/>
      <c r="N509" s="66"/>
    </row>
    <row r="510" spans="1:14" x14ac:dyDescent="0.2">
      <c r="A510" s="84"/>
      <c r="B510" s="84"/>
      <c r="C510" s="60"/>
      <c r="D510" s="66"/>
      <c r="E510" s="66"/>
      <c r="F510" s="66"/>
      <c r="G510" s="66"/>
      <c r="H510" s="66"/>
      <c r="I510" s="66"/>
      <c r="J510" s="66"/>
      <c r="K510" s="66"/>
      <c r="L510" s="66"/>
      <c r="M510" s="66"/>
      <c r="N510" s="66"/>
    </row>
    <row r="511" spans="1:14" x14ac:dyDescent="0.2">
      <c r="A511" s="84"/>
      <c r="B511" s="84"/>
      <c r="C511" s="60"/>
      <c r="D511" s="66"/>
      <c r="E511" s="66"/>
      <c r="F511" s="66"/>
      <c r="G511" s="66"/>
      <c r="H511" s="66"/>
      <c r="I511" s="66"/>
      <c r="J511" s="66"/>
      <c r="K511" s="66"/>
      <c r="L511" s="66"/>
      <c r="M511" s="66"/>
      <c r="N511" s="66"/>
    </row>
    <row r="512" spans="1:14" x14ac:dyDescent="0.2">
      <c r="A512" s="84"/>
      <c r="B512" s="84"/>
      <c r="C512" s="60"/>
      <c r="D512" s="66"/>
      <c r="E512" s="66"/>
      <c r="F512" s="66"/>
      <c r="G512" s="66"/>
      <c r="H512" s="66"/>
      <c r="I512" s="66"/>
      <c r="J512" s="66"/>
      <c r="K512" s="66"/>
      <c r="L512" s="66"/>
      <c r="M512" s="66"/>
      <c r="N512" s="66"/>
    </row>
    <row r="513" spans="1:14" x14ac:dyDescent="0.2">
      <c r="A513" s="84"/>
      <c r="B513" s="84"/>
      <c r="C513" s="60"/>
      <c r="D513" s="66"/>
      <c r="E513" s="66"/>
      <c r="F513" s="66"/>
      <c r="G513" s="66"/>
      <c r="H513" s="66"/>
      <c r="I513" s="66"/>
      <c r="J513" s="66"/>
      <c r="K513" s="66"/>
      <c r="L513" s="66"/>
      <c r="M513" s="66"/>
      <c r="N513" s="66"/>
    </row>
    <row r="514" spans="1:14" x14ac:dyDescent="0.2">
      <c r="A514" s="84"/>
      <c r="B514" s="84"/>
      <c r="C514" s="60"/>
      <c r="D514" s="66"/>
      <c r="E514" s="66"/>
      <c r="F514" s="66"/>
      <c r="G514" s="66"/>
      <c r="H514" s="66"/>
      <c r="I514" s="66"/>
      <c r="J514" s="66"/>
      <c r="K514" s="66"/>
      <c r="L514" s="66"/>
      <c r="M514" s="66"/>
      <c r="N514" s="66"/>
    </row>
    <row r="515" spans="1:14" x14ac:dyDescent="0.2">
      <c r="A515" s="84"/>
      <c r="B515" s="84"/>
      <c r="C515" s="60"/>
      <c r="D515" s="66"/>
      <c r="E515" s="66"/>
      <c r="F515" s="66"/>
      <c r="G515" s="66"/>
      <c r="H515" s="66"/>
      <c r="I515" s="66"/>
      <c r="J515" s="66"/>
      <c r="K515" s="66"/>
      <c r="L515" s="66"/>
      <c r="M515" s="66"/>
      <c r="N515" s="66"/>
    </row>
    <row r="516" spans="1:14" x14ac:dyDescent="0.2">
      <c r="A516" s="84"/>
      <c r="B516" s="84"/>
      <c r="C516" s="60"/>
      <c r="D516" s="66"/>
      <c r="E516" s="66"/>
      <c r="F516" s="66"/>
      <c r="G516" s="66"/>
      <c r="H516" s="66"/>
      <c r="I516" s="66"/>
      <c r="J516" s="66"/>
      <c r="K516" s="66"/>
      <c r="L516" s="66"/>
      <c r="M516" s="66"/>
      <c r="N516" s="66"/>
    </row>
    <row r="517" spans="1:14" x14ac:dyDescent="0.2">
      <c r="A517" s="84"/>
      <c r="B517" s="84"/>
      <c r="C517" s="60"/>
      <c r="D517" s="66"/>
      <c r="E517" s="66"/>
      <c r="F517" s="66"/>
      <c r="G517" s="66"/>
      <c r="H517" s="66"/>
      <c r="I517" s="66"/>
      <c r="J517" s="66"/>
      <c r="K517" s="66"/>
      <c r="L517" s="66"/>
      <c r="M517" s="66"/>
      <c r="N517" s="66"/>
    </row>
    <row r="518" spans="1:14" x14ac:dyDescent="0.2">
      <c r="A518" s="84"/>
      <c r="B518" s="84"/>
      <c r="C518" s="60"/>
      <c r="D518" s="66"/>
      <c r="E518" s="66"/>
      <c r="F518" s="66"/>
      <c r="G518" s="66"/>
      <c r="H518" s="66"/>
      <c r="I518" s="66"/>
      <c r="J518" s="66"/>
      <c r="K518" s="66"/>
      <c r="L518" s="66"/>
      <c r="M518" s="66"/>
      <c r="N518" s="66"/>
    </row>
    <row r="519" spans="1:14" x14ac:dyDescent="0.2">
      <c r="A519" s="84"/>
      <c r="B519" s="84"/>
      <c r="C519" s="60"/>
      <c r="D519" s="66"/>
      <c r="E519" s="66"/>
      <c r="F519" s="66"/>
      <c r="G519" s="66"/>
      <c r="H519" s="66"/>
      <c r="I519" s="66"/>
      <c r="J519" s="66"/>
      <c r="K519" s="66"/>
      <c r="L519" s="66"/>
      <c r="M519" s="66"/>
      <c r="N519" s="66"/>
    </row>
    <row r="520" spans="1:14" x14ac:dyDescent="0.2">
      <c r="A520" s="84"/>
      <c r="B520" s="84"/>
      <c r="C520" s="60"/>
      <c r="D520" s="66"/>
      <c r="E520" s="66"/>
      <c r="F520" s="66"/>
      <c r="G520" s="66"/>
      <c r="H520" s="66"/>
      <c r="I520" s="66"/>
      <c r="J520" s="66"/>
      <c r="K520" s="66"/>
      <c r="L520" s="66"/>
      <c r="M520" s="66"/>
      <c r="N520" s="66"/>
    </row>
    <row r="521" spans="1:14" x14ac:dyDescent="0.2">
      <c r="A521" s="84"/>
      <c r="B521" s="84"/>
      <c r="C521" s="60"/>
      <c r="D521" s="66"/>
      <c r="E521" s="66"/>
      <c r="F521" s="66"/>
      <c r="G521" s="66"/>
      <c r="H521" s="66"/>
      <c r="I521" s="66"/>
      <c r="J521" s="66"/>
      <c r="K521" s="66"/>
      <c r="L521" s="66"/>
      <c r="M521" s="66"/>
      <c r="N521" s="66"/>
    </row>
    <row r="522" spans="1:14" x14ac:dyDescent="0.2">
      <c r="A522" s="84"/>
      <c r="B522" s="84"/>
      <c r="C522" s="60"/>
      <c r="D522" s="66"/>
      <c r="E522" s="66"/>
      <c r="F522" s="66"/>
      <c r="G522" s="66"/>
      <c r="H522" s="66"/>
      <c r="I522" s="66"/>
      <c r="J522" s="66"/>
      <c r="K522" s="66"/>
      <c r="L522" s="66"/>
      <c r="M522" s="66"/>
      <c r="N522" s="66"/>
    </row>
    <row r="523" spans="1:14" x14ac:dyDescent="0.2">
      <c r="A523" s="84"/>
      <c r="B523" s="84"/>
      <c r="C523" s="60"/>
      <c r="D523" s="66"/>
      <c r="E523" s="66"/>
      <c r="F523" s="66"/>
      <c r="G523" s="66"/>
      <c r="H523" s="66"/>
      <c r="I523" s="66"/>
      <c r="J523" s="66"/>
      <c r="K523" s="66"/>
      <c r="L523" s="66"/>
      <c r="M523" s="66"/>
      <c r="N523" s="66"/>
    </row>
    <row r="524" spans="1:14" x14ac:dyDescent="0.2">
      <c r="A524" s="84"/>
      <c r="B524" s="84"/>
      <c r="C524" s="60"/>
      <c r="D524" s="66"/>
      <c r="E524" s="66"/>
      <c r="F524" s="66"/>
      <c r="G524" s="66"/>
      <c r="H524" s="66"/>
      <c r="I524" s="66"/>
      <c r="J524" s="66"/>
      <c r="K524" s="66"/>
      <c r="L524" s="66"/>
      <c r="M524" s="66"/>
      <c r="N524" s="66"/>
    </row>
    <row r="525" spans="1:14" x14ac:dyDescent="0.2">
      <c r="A525" s="84"/>
      <c r="B525" s="84"/>
      <c r="C525" s="60"/>
      <c r="D525" s="66"/>
      <c r="E525" s="66"/>
      <c r="F525" s="66"/>
      <c r="G525" s="66"/>
      <c r="H525" s="66"/>
      <c r="I525" s="66"/>
      <c r="J525" s="66"/>
      <c r="K525" s="66"/>
      <c r="L525" s="66"/>
      <c r="M525" s="66"/>
      <c r="N525" s="66"/>
    </row>
    <row r="526" spans="1:14" x14ac:dyDescent="0.2">
      <c r="A526" s="84"/>
      <c r="B526" s="84"/>
      <c r="C526" s="60"/>
      <c r="D526" s="66"/>
      <c r="E526" s="66"/>
      <c r="F526" s="66"/>
      <c r="G526" s="66"/>
      <c r="H526" s="66"/>
      <c r="I526" s="66"/>
      <c r="J526" s="66"/>
      <c r="K526" s="66"/>
      <c r="L526" s="66"/>
      <c r="M526" s="66"/>
      <c r="N526" s="66"/>
    </row>
    <row r="527" spans="1:14" x14ac:dyDescent="0.2">
      <c r="A527" s="84"/>
      <c r="B527" s="84"/>
      <c r="C527" s="60"/>
      <c r="D527" s="66"/>
      <c r="E527" s="66"/>
      <c r="F527" s="66"/>
      <c r="G527" s="66"/>
      <c r="H527" s="66"/>
      <c r="I527" s="66"/>
      <c r="J527" s="66"/>
      <c r="K527" s="66"/>
      <c r="L527" s="66"/>
      <c r="M527" s="66"/>
      <c r="N527" s="66"/>
    </row>
    <row r="528" spans="1:14" x14ac:dyDescent="0.2">
      <c r="A528" s="84"/>
      <c r="B528" s="84"/>
      <c r="C528" s="60"/>
      <c r="D528" s="66"/>
      <c r="E528" s="66"/>
      <c r="F528" s="66"/>
      <c r="G528" s="66"/>
      <c r="H528" s="66"/>
      <c r="I528" s="66"/>
      <c r="J528" s="66"/>
      <c r="K528" s="66"/>
      <c r="L528" s="66"/>
      <c r="M528" s="66"/>
      <c r="N528" s="66"/>
    </row>
    <row r="529" spans="1:14" x14ac:dyDescent="0.2">
      <c r="A529" s="84"/>
      <c r="B529" s="84"/>
      <c r="C529" s="60"/>
      <c r="D529" s="66"/>
      <c r="E529" s="66"/>
      <c r="F529" s="66"/>
      <c r="G529" s="66"/>
      <c r="H529" s="66"/>
      <c r="I529" s="66"/>
      <c r="J529" s="66"/>
      <c r="K529" s="66"/>
      <c r="L529" s="66"/>
      <c r="M529" s="66"/>
      <c r="N529" s="66"/>
    </row>
    <row r="530" spans="1:14" x14ac:dyDescent="0.2">
      <c r="A530" s="84"/>
      <c r="B530" s="84"/>
      <c r="C530" s="60"/>
      <c r="D530" s="66"/>
      <c r="E530" s="66"/>
      <c r="F530" s="66"/>
      <c r="G530" s="66"/>
      <c r="H530" s="66"/>
      <c r="I530" s="66"/>
      <c r="J530" s="66"/>
      <c r="K530" s="66"/>
      <c r="L530" s="66"/>
      <c r="M530" s="66"/>
      <c r="N530" s="66"/>
    </row>
    <row r="531" spans="1:14" x14ac:dyDescent="0.2">
      <c r="A531" s="84"/>
      <c r="B531" s="84"/>
      <c r="C531" s="60"/>
      <c r="D531" s="66"/>
      <c r="E531" s="66"/>
      <c r="F531" s="66"/>
      <c r="G531" s="66"/>
      <c r="H531" s="66"/>
      <c r="I531" s="66"/>
      <c r="J531" s="66"/>
      <c r="K531" s="66"/>
      <c r="L531" s="66"/>
      <c r="M531" s="66"/>
      <c r="N531" s="66"/>
    </row>
    <row r="532" spans="1:14" x14ac:dyDescent="0.2">
      <c r="A532" s="84"/>
      <c r="B532" s="84"/>
      <c r="C532" s="60"/>
      <c r="D532" s="66"/>
      <c r="E532" s="66"/>
      <c r="F532" s="66"/>
      <c r="G532" s="66"/>
      <c r="H532" s="66"/>
      <c r="I532" s="66"/>
      <c r="J532" s="66"/>
      <c r="K532" s="66"/>
      <c r="L532" s="66"/>
      <c r="M532" s="66"/>
      <c r="N532" s="66"/>
    </row>
    <row r="533" spans="1:14" x14ac:dyDescent="0.2">
      <c r="A533" s="84"/>
      <c r="B533" s="84"/>
      <c r="C533" s="60"/>
      <c r="D533" s="66"/>
      <c r="E533" s="66"/>
      <c r="F533" s="66"/>
      <c r="G533" s="66"/>
      <c r="H533" s="66"/>
      <c r="I533" s="66"/>
      <c r="J533" s="66"/>
      <c r="K533" s="66"/>
      <c r="L533" s="66"/>
      <c r="M533" s="66"/>
      <c r="N533" s="66"/>
    </row>
    <row r="534" spans="1:14" x14ac:dyDescent="0.2">
      <c r="A534" s="84"/>
      <c r="B534" s="84"/>
      <c r="C534" s="60"/>
      <c r="D534" s="66"/>
      <c r="E534" s="66"/>
      <c r="F534" s="66"/>
      <c r="G534" s="66"/>
      <c r="H534" s="66"/>
      <c r="I534" s="66"/>
      <c r="J534" s="66"/>
      <c r="K534" s="66"/>
      <c r="L534" s="66"/>
      <c r="M534" s="66"/>
      <c r="N534" s="66"/>
    </row>
    <row r="535" spans="1:14" x14ac:dyDescent="0.2">
      <c r="A535" s="84"/>
      <c r="B535" s="84"/>
      <c r="C535" s="60"/>
      <c r="D535" s="66"/>
      <c r="E535" s="66"/>
      <c r="F535" s="66"/>
      <c r="G535" s="66"/>
      <c r="H535" s="66"/>
      <c r="I535" s="66"/>
      <c r="J535" s="66"/>
      <c r="K535" s="66"/>
      <c r="L535" s="66"/>
      <c r="M535" s="66"/>
      <c r="N535" s="66"/>
    </row>
    <row r="536" spans="1:14" x14ac:dyDescent="0.2">
      <c r="A536" s="84"/>
      <c r="B536" s="84"/>
      <c r="C536" s="60"/>
      <c r="D536" s="66"/>
      <c r="E536" s="66"/>
      <c r="F536" s="66"/>
      <c r="G536" s="66"/>
      <c r="H536" s="66"/>
      <c r="I536" s="66"/>
      <c r="J536" s="66"/>
      <c r="K536" s="66"/>
      <c r="L536" s="66"/>
      <c r="M536" s="66"/>
      <c r="N536" s="66"/>
    </row>
    <row r="537" spans="1:14" x14ac:dyDescent="0.2">
      <c r="A537" s="84"/>
      <c r="B537" s="84"/>
      <c r="C537" s="60"/>
      <c r="D537" s="66"/>
      <c r="E537" s="66"/>
      <c r="F537" s="66"/>
      <c r="G537" s="66"/>
      <c r="H537" s="66"/>
      <c r="I537" s="66"/>
      <c r="J537" s="66"/>
      <c r="K537" s="66"/>
      <c r="L537" s="66"/>
      <c r="M537" s="66"/>
      <c r="N537" s="66"/>
    </row>
    <row r="538" spans="1:14" x14ac:dyDescent="0.2">
      <c r="A538" s="84"/>
      <c r="B538" s="84"/>
      <c r="C538" s="60"/>
      <c r="D538" s="66"/>
      <c r="E538" s="66"/>
      <c r="F538" s="66"/>
      <c r="G538" s="66"/>
      <c r="H538" s="66"/>
      <c r="I538" s="66"/>
      <c r="J538" s="66"/>
      <c r="K538" s="66"/>
      <c r="L538" s="66"/>
      <c r="M538" s="66"/>
      <c r="N538" s="66"/>
    </row>
    <row r="539" spans="1:14" x14ac:dyDescent="0.2">
      <c r="A539" s="84"/>
      <c r="B539" s="84"/>
      <c r="C539" s="60"/>
      <c r="D539" s="66"/>
      <c r="E539" s="66"/>
      <c r="F539" s="66"/>
      <c r="G539" s="66"/>
      <c r="H539" s="66"/>
      <c r="I539" s="66"/>
      <c r="J539" s="66"/>
      <c r="K539" s="66"/>
      <c r="L539" s="66"/>
      <c r="M539" s="66"/>
      <c r="N539" s="66"/>
    </row>
    <row r="540" spans="1:14" x14ac:dyDescent="0.2">
      <c r="A540" s="84"/>
      <c r="B540" s="84"/>
      <c r="C540" s="60"/>
      <c r="D540" s="66"/>
      <c r="E540" s="66"/>
      <c r="F540" s="66"/>
      <c r="G540" s="66"/>
      <c r="H540" s="66"/>
      <c r="I540" s="66"/>
      <c r="J540" s="66"/>
      <c r="K540" s="66"/>
      <c r="L540" s="66"/>
      <c r="M540" s="66"/>
      <c r="N540" s="66"/>
    </row>
    <row r="541" spans="1:14" x14ac:dyDescent="0.2">
      <c r="A541" s="84"/>
      <c r="B541" s="84"/>
      <c r="C541" s="60"/>
      <c r="D541" s="66"/>
      <c r="E541" s="66"/>
      <c r="F541" s="66"/>
      <c r="G541" s="66"/>
      <c r="H541" s="66"/>
      <c r="I541" s="66"/>
      <c r="J541" s="66"/>
      <c r="K541" s="66"/>
      <c r="L541" s="66"/>
      <c r="M541" s="66"/>
      <c r="N541" s="66"/>
    </row>
    <row r="542" spans="1:14" x14ac:dyDescent="0.2">
      <c r="A542" s="84"/>
      <c r="B542" s="84"/>
      <c r="C542" s="60"/>
      <c r="D542" s="66"/>
      <c r="E542" s="66"/>
      <c r="F542" s="66"/>
      <c r="G542" s="66"/>
      <c r="H542" s="66"/>
      <c r="I542" s="66"/>
      <c r="J542" s="66"/>
      <c r="K542" s="66"/>
      <c r="L542" s="66"/>
      <c r="M542" s="66"/>
      <c r="N542" s="66"/>
    </row>
    <row r="543" spans="1:14" x14ac:dyDescent="0.2">
      <c r="A543" s="84"/>
      <c r="B543" s="84"/>
      <c r="C543" s="60"/>
      <c r="D543" s="66"/>
      <c r="E543" s="66"/>
      <c r="F543" s="66"/>
      <c r="G543" s="66"/>
      <c r="H543" s="66"/>
      <c r="I543" s="66"/>
      <c r="J543" s="66"/>
      <c r="K543" s="66"/>
      <c r="L543" s="66"/>
      <c r="M543" s="66"/>
      <c r="N543" s="66"/>
    </row>
    <row r="544" spans="1:14" x14ac:dyDescent="0.2">
      <c r="A544" s="84"/>
      <c r="B544" s="84"/>
      <c r="C544" s="60"/>
      <c r="D544" s="66"/>
      <c r="E544" s="66"/>
      <c r="F544" s="66"/>
      <c r="G544" s="66"/>
      <c r="H544" s="66"/>
      <c r="I544" s="66"/>
      <c r="J544" s="66"/>
      <c r="K544" s="66"/>
      <c r="L544" s="66"/>
      <c r="M544" s="66"/>
      <c r="N544" s="66"/>
    </row>
    <row r="545" spans="1:14" x14ac:dyDescent="0.2">
      <c r="A545" s="84"/>
      <c r="B545" s="84"/>
      <c r="C545" s="60"/>
      <c r="D545" s="66"/>
      <c r="E545" s="66"/>
      <c r="F545" s="66"/>
      <c r="G545" s="66"/>
      <c r="H545" s="66"/>
      <c r="I545" s="66"/>
      <c r="J545" s="66"/>
      <c r="K545" s="66"/>
      <c r="L545" s="66"/>
      <c r="M545" s="66"/>
      <c r="N545" s="66"/>
    </row>
    <row r="546" spans="1:14" x14ac:dyDescent="0.2">
      <c r="A546" s="84"/>
      <c r="B546" s="84"/>
      <c r="C546" s="60"/>
      <c r="D546" s="66"/>
      <c r="E546" s="66"/>
      <c r="F546" s="66"/>
      <c r="G546" s="66"/>
      <c r="H546" s="66"/>
      <c r="I546" s="66"/>
      <c r="J546" s="66"/>
      <c r="K546" s="66"/>
      <c r="L546" s="66"/>
      <c r="M546" s="66"/>
      <c r="N546" s="66"/>
    </row>
    <row r="547" spans="1:14" x14ac:dyDescent="0.2">
      <c r="A547" s="84"/>
      <c r="B547" s="84"/>
      <c r="C547" s="60"/>
      <c r="D547" s="66"/>
      <c r="E547" s="66"/>
      <c r="F547" s="66"/>
      <c r="G547" s="66"/>
      <c r="H547" s="66"/>
      <c r="I547" s="66"/>
      <c r="J547" s="66"/>
      <c r="K547" s="66"/>
      <c r="L547" s="66"/>
      <c r="M547" s="66"/>
      <c r="N547" s="66"/>
    </row>
    <row r="548" spans="1:14" x14ac:dyDescent="0.2">
      <c r="A548" s="84"/>
      <c r="B548" s="84"/>
      <c r="C548" s="60"/>
      <c r="D548" s="66"/>
      <c r="E548" s="66"/>
      <c r="F548" s="66"/>
      <c r="G548" s="66"/>
      <c r="H548" s="66"/>
      <c r="I548" s="66"/>
      <c r="J548" s="66"/>
      <c r="K548" s="66"/>
      <c r="L548" s="66"/>
      <c r="M548" s="66"/>
      <c r="N548" s="66"/>
    </row>
    <row r="549" spans="1:14" x14ac:dyDescent="0.2">
      <c r="A549" s="84"/>
      <c r="B549" s="84"/>
      <c r="C549" s="60"/>
      <c r="D549" s="66"/>
      <c r="E549" s="66"/>
      <c r="F549" s="66"/>
      <c r="G549" s="66"/>
      <c r="H549" s="66"/>
      <c r="I549" s="66"/>
      <c r="J549" s="66"/>
      <c r="K549" s="66"/>
      <c r="L549" s="66"/>
      <c r="M549" s="66"/>
      <c r="N549" s="66"/>
    </row>
    <row r="550" spans="1:14" x14ac:dyDescent="0.2">
      <c r="A550" s="84"/>
      <c r="B550" s="84"/>
      <c r="C550" s="60"/>
      <c r="D550" s="66"/>
      <c r="E550" s="66"/>
      <c r="F550" s="66"/>
      <c r="G550" s="66"/>
      <c r="H550" s="66"/>
      <c r="I550" s="66"/>
      <c r="J550" s="66"/>
      <c r="K550" s="66"/>
      <c r="L550" s="66"/>
      <c r="M550" s="66"/>
      <c r="N550" s="66"/>
    </row>
    <row r="551" spans="1:14" x14ac:dyDescent="0.2">
      <c r="A551" s="84"/>
      <c r="B551" s="84"/>
      <c r="C551" s="60"/>
      <c r="D551" s="66"/>
      <c r="E551" s="66"/>
      <c r="F551" s="66"/>
      <c r="G551" s="66"/>
      <c r="H551" s="66"/>
      <c r="I551" s="66"/>
      <c r="J551" s="66"/>
      <c r="K551" s="66"/>
      <c r="L551" s="66"/>
      <c r="M551" s="66"/>
      <c r="N551" s="66"/>
    </row>
    <row r="552" spans="1:14" x14ac:dyDescent="0.2">
      <c r="A552" s="84"/>
      <c r="B552" s="84"/>
      <c r="C552" s="60"/>
      <c r="D552" s="66"/>
      <c r="E552" s="66"/>
      <c r="F552" s="66"/>
      <c r="G552" s="66"/>
      <c r="H552" s="66"/>
      <c r="I552" s="66"/>
      <c r="J552" s="66"/>
      <c r="K552" s="66"/>
      <c r="L552" s="66"/>
      <c r="M552" s="66"/>
      <c r="N552" s="66"/>
    </row>
    <row r="553" spans="1:14" x14ac:dyDescent="0.2">
      <c r="A553" s="84"/>
      <c r="B553" s="84"/>
      <c r="C553" s="60"/>
      <c r="D553" s="66"/>
      <c r="E553" s="66"/>
      <c r="F553" s="66"/>
      <c r="G553" s="66"/>
      <c r="H553" s="66"/>
      <c r="I553" s="66"/>
      <c r="J553" s="66"/>
      <c r="K553" s="66"/>
      <c r="L553" s="66"/>
      <c r="M553" s="66"/>
      <c r="N553" s="66"/>
    </row>
    <row r="554" spans="1:14" x14ac:dyDescent="0.2">
      <c r="A554" s="84"/>
      <c r="B554" s="84"/>
      <c r="C554" s="60"/>
      <c r="D554" s="66"/>
      <c r="E554" s="66"/>
      <c r="F554" s="66"/>
      <c r="G554" s="66"/>
      <c r="H554" s="66"/>
      <c r="I554" s="66"/>
      <c r="J554" s="66"/>
      <c r="K554" s="66"/>
      <c r="L554" s="66"/>
      <c r="M554" s="66"/>
      <c r="N554" s="66"/>
    </row>
    <row r="555" spans="1:14" x14ac:dyDescent="0.2">
      <c r="A555" s="84"/>
      <c r="B555" s="84"/>
      <c r="C555" s="60"/>
      <c r="D555" s="66"/>
      <c r="E555" s="66"/>
      <c r="F555" s="66"/>
      <c r="G555" s="66"/>
      <c r="H555" s="66"/>
      <c r="I555" s="66"/>
      <c r="J555" s="66"/>
      <c r="K555" s="66"/>
      <c r="L555" s="66"/>
      <c r="M555" s="66"/>
      <c r="N555" s="66"/>
    </row>
    <row r="556" spans="1:14" x14ac:dyDescent="0.2">
      <c r="A556" s="84"/>
      <c r="B556" s="84"/>
      <c r="C556" s="60"/>
      <c r="D556" s="66"/>
      <c r="E556" s="66"/>
      <c r="F556" s="66"/>
      <c r="G556" s="66"/>
      <c r="H556" s="66"/>
      <c r="I556" s="66"/>
      <c r="J556" s="66"/>
      <c r="K556" s="66"/>
      <c r="L556" s="66"/>
      <c r="M556" s="66"/>
      <c r="N556" s="66"/>
    </row>
    <row r="557" spans="1:14" x14ac:dyDescent="0.2">
      <c r="A557" s="84"/>
      <c r="B557" s="84"/>
      <c r="C557" s="60"/>
      <c r="D557" s="66"/>
      <c r="E557" s="66"/>
      <c r="F557" s="66"/>
      <c r="G557" s="66"/>
      <c r="H557" s="66"/>
      <c r="I557" s="66"/>
      <c r="J557" s="66"/>
      <c r="K557" s="66"/>
      <c r="L557" s="66"/>
      <c r="M557" s="66"/>
      <c r="N557" s="66"/>
    </row>
    <row r="558" spans="1:14" x14ac:dyDescent="0.2">
      <c r="A558" s="84"/>
      <c r="B558" s="84"/>
      <c r="C558" s="60"/>
      <c r="D558" s="66"/>
      <c r="E558" s="66"/>
      <c r="F558" s="66"/>
      <c r="G558" s="66"/>
      <c r="H558" s="66"/>
      <c r="I558" s="66"/>
      <c r="J558" s="66"/>
      <c r="K558" s="66"/>
      <c r="L558" s="66"/>
      <c r="M558" s="66"/>
      <c r="N558" s="66"/>
    </row>
    <row r="559" spans="1:14" x14ac:dyDescent="0.2">
      <c r="A559" s="84"/>
      <c r="B559" s="84"/>
      <c r="C559" s="60"/>
      <c r="D559" s="66"/>
      <c r="E559" s="66"/>
      <c r="F559" s="66"/>
      <c r="G559" s="66"/>
      <c r="H559" s="66"/>
      <c r="I559" s="66"/>
      <c r="J559" s="66"/>
      <c r="K559" s="66"/>
      <c r="L559" s="66"/>
      <c r="M559" s="66"/>
      <c r="N559" s="66"/>
    </row>
    <row r="560" spans="1:14" x14ac:dyDescent="0.2">
      <c r="A560" s="84"/>
      <c r="B560" s="84"/>
      <c r="C560" s="60"/>
      <c r="D560" s="66"/>
      <c r="E560" s="66"/>
      <c r="F560" s="66"/>
      <c r="G560" s="66"/>
      <c r="H560" s="66"/>
      <c r="I560" s="66"/>
      <c r="J560" s="66"/>
      <c r="K560" s="66"/>
      <c r="L560" s="66"/>
      <c r="M560" s="66"/>
      <c r="N560" s="66"/>
    </row>
    <row r="561" spans="1:14" x14ac:dyDescent="0.2">
      <c r="A561" s="84"/>
      <c r="B561" s="84"/>
      <c r="C561" s="60"/>
      <c r="D561" s="66"/>
      <c r="E561" s="66"/>
      <c r="F561" s="66"/>
      <c r="G561" s="66"/>
      <c r="H561" s="66"/>
      <c r="I561" s="66"/>
      <c r="J561" s="66"/>
      <c r="K561" s="66"/>
      <c r="L561" s="66"/>
      <c r="M561" s="66"/>
      <c r="N561" s="66"/>
    </row>
    <row r="562" spans="1:14" x14ac:dyDescent="0.2">
      <c r="A562" s="84"/>
      <c r="B562" s="84"/>
      <c r="C562" s="60"/>
      <c r="D562" s="66"/>
      <c r="E562" s="66"/>
      <c r="F562" s="66"/>
      <c r="G562" s="66"/>
      <c r="H562" s="66"/>
      <c r="I562" s="66"/>
      <c r="J562" s="66"/>
      <c r="K562" s="66"/>
      <c r="L562" s="66"/>
      <c r="M562" s="66"/>
      <c r="N562" s="66"/>
    </row>
    <row r="563" spans="1:14" x14ac:dyDescent="0.2">
      <c r="A563" s="84"/>
      <c r="B563" s="84"/>
      <c r="C563" s="60"/>
      <c r="D563" s="66"/>
      <c r="E563" s="66"/>
      <c r="F563" s="66"/>
      <c r="G563" s="66"/>
      <c r="H563" s="66"/>
      <c r="I563" s="66"/>
      <c r="J563" s="66"/>
      <c r="K563" s="66"/>
      <c r="L563" s="66"/>
      <c r="M563" s="66"/>
      <c r="N563" s="66"/>
    </row>
    <row r="564" spans="1:14" x14ac:dyDescent="0.2">
      <c r="A564" s="84"/>
      <c r="B564" s="84"/>
      <c r="C564" s="60"/>
      <c r="D564" s="66"/>
      <c r="E564" s="66"/>
      <c r="F564" s="66"/>
      <c r="G564" s="66"/>
      <c r="H564" s="66"/>
      <c r="I564" s="66"/>
      <c r="J564" s="66"/>
      <c r="K564" s="66"/>
      <c r="L564" s="66"/>
      <c r="M564" s="66"/>
      <c r="N564" s="66"/>
    </row>
    <row r="565" spans="1:14" x14ac:dyDescent="0.2">
      <c r="A565" s="84"/>
      <c r="B565" s="84"/>
      <c r="C565" s="60"/>
      <c r="D565" s="66"/>
      <c r="E565" s="66"/>
      <c r="F565" s="66"/>
      <c r="G565" s="66"/>
      <c r="H565" s="66"/>
      <c r="I565" s="66"/>
      <c r="J565" s="66"/>
      <c r="K565" s="66"/>
      <c r="L565" s="66"/>
      <c r="M565" s="66"/>
      <c r="N565" s="66"/>
    </row>
    <row r="566" spans="1:14" x14ac:dyDescent="0.2">
      <c r="A566" s="84"/>
      <c r="B566" s="84"/>
      <c r="C566" s="60"/>
      <c r="D566" s="66"/>
      <c r="E566" s="66"/>
      <c r="F566" s="66"/>
      <c r="G566" s="66"/>
      <c r="H566" s="66"/>
      <c r="I566" s="66"/>
      <c r="J566" s="66"/>
      <c r="K566" s="66"/>
      <c r="L566" s="66"/>
      <c r="M566" s="66"/>
      <c r="N566" s="66"/>
    </row>
    <row r="567" spans="1:14" x14ac:dyDescent="0.2">
      <c r="A567" s="84"/>
      <c r="B567" s="84"/>
      <c r="C567" s="60"/>
      <c r="D567" s="66"/>
      <c r="E567" s="66"/>
      <c r="F567" s="66"/>
      <c r="G567" s="66"/>
      <c r="H567" s="66"/>
      <c r="I567" s="66"/>
      <c r="J567" s="66"/>
      <c r="K567" s="66"/>
      <c r="L567" s="66"/>
      <c r="M567" s="66"/>
      <c r="N567" s="66"/>
    </row>
    <row r="568" spans="1:14" x14ac:dyDescent="0.2">
      <c r="A568" s="84"/>
      <c r="B568" s="84"/>
      <c r="C568" s="60"/>
      <c r="D568" s="66"/>
      <c r="E568" s="66"/>
      <c r="F568" s="66"/>
      <c r="G568" s="66"/>
      <c r="H568" s="66"/>
      <c r="I568" s="66"/>
      <c r="J568" s="66"/>
      <c r="K568" s="66"/>
      <c r="L568" s="66"/>
      <c r="M568" s="66"/>
      <c r="N568" s="66"/>
    </row>
    <row r="569" spans="1:14" x14ac:dyDescent="0.2">
      <c r="A569" s="84"/>
      <c r="B569" s="84"/>
      <c r="C569" s="60"/>
      <c r="D569" s="66"/>
      <c r="E569" s="66"/>
      <c r="F569" s="66"/>
      <c r="G569" s="66"/>
      <c r="H569" s="66"/>
      <c r="I569" s="66"/>
      <c r="J569" s="66"/>
      <c r="K569" s="66"/>
      <c r="L569" s="66"/>
      <c r="M569" s="66"/>
      <c r="N569" s="66"/>
    </row>
    <row r="570" spans="1:14" x14ac:dyDescent="0.2">
      <c r="A570" s="84"/>
      <c r="B570" s="84"/>
      <c r="C570" s="60"/>
      <c r="D570" s="66"/>
      <c r="E570" s="66"/>
      <c r="F570" s="66"/>
      <c r="G570" s="66"/>
      <c r="H570" s="66"/>
      <c r="I570" s="66"/>
      <c r="J570" s="66"/>
      <c r="K570" s="66"/>
      <c r="L570" s="66"/>
      <c r="M570" s="66"/>
      <c r="N570" s="66"/>
    </row>
    <row r="571" spans="1:14" x14ac:dyDescent="0.2">
      <c r="A571" s="84"/>
      <c r="B571" s="84"/>
      <c r="C571" s="60"/>
      <c r="D571" s="66"/>
      <c r="E571" s="66"/>
      <c r="F571" s="66"/>
      <c r="G571" s="66"/>
      <c r="H571" s="66"/>
      <c r="I571" s="66"/>
      <c r="J571" s="66"/>
      <c r="K571" s="66"/>
      <c r="L571" s="66"/>
      <c r="M571" s="66"/>
      <c r="N571" s="66"/>
    </row>
    <row r="572" spans="1:14" x14ac:dyDescent="0.2">
      <c r="A572" s="84"/>
      <c r="B572" s="84"/>
      <c r="C572" s="60"/>
      <c r="D572" s="66"/>
      <c r="E572" s="66"/>
      <c r="F572" s="66"/>
      <c r="G572" s="66"/>
      <c r="H572" s="66"/>
      <c r="I572" s="66"/>
      <c r="J572" s="66"/>
      <c r="K572" s="66"/>
      <c r="L572" s="66"/>
      <c r="M572" s="66"/>
      <c r="N572" s="66"/>
    </row>
    <row r="573" spans="1:14" x14ac:dyDescent="0.2">
      <c r="A573" s="84"/>
      <c r="B573" s="84"/>
      <c r="C573" s="60"/>
      <c r="D573" s="66"/>
      <c r="E573" s="66"/>
      <c r="F573" s="66"/>
      <c r="G573" s="66"/>
      <c r="H573" s="66"/>
      <c r="I573" s="66"/>
      <c r="J573" s="66"/>
      <c r="K573" s="66"/>
      <c r="L573" s="66"/>
      <c r="M573" s="66"/>
      <c r="N573" s="66"/>
    </row>
    <row r="574" spans="1:14" x14ac:dyDescent="0.2">
      <c r="A574" s="84"/>
      <c r="B574" s="84"/>
      <c r="C574" s="60"/>
      <c r="D574" s="66"/>
      <c r="E574" s="66"/>
      <c r="F574" s="66"/>
      <c r="G574" s="66"/>
      <c r="H574" s="66"/>
      <c r="I574" s="66"/>
      <c r="J574" s="66"/>
      <c r="K574" s="66"/>
      <c r="L574" s="66"/>
      <c r="M574" s="66"/>
      <c r="N574" s="66"/>
    </row>
    <row r="575" spans="1:14" x14ac:dyDescent="0.2">
      <c r="A575" s="84"/>
      <c r="B575" s="84"/>
      <c r="C575" s="60"/>
      <c r="D575" s="66"/>
      <c r="E575" s="66"/>
      <c r="F575" s="66"/>
      <c r="G575" s="66"/>
      <c r="H575" s="66"/>
      <c r="I575" s="66"/>
      <c r="J575" s="66"/>
      <c r="K575" s="66"/>
      <c r="L575" s="66"/>
      <c r="M575" s="66"/>
      <c r="N575" s="66"/>
    </row>
    <row r="576" spans="1:14" x14ac:dyDescent="0.2">
      <c r="A576" s="84"/>
      <c r="B576" s="84"/>
      <c r="C576" s="60"/>
      <c r="D576" s="66"/>
      <c r="E576" s="66"/>
      <c r="F576" s="66"/>
      <c r="G576" s="66"/>
      <c r="H576" s="66"/>
      <c r="I576" s="66"/>
      <c r="J576" s="66"/>
      <c r="K576" s="66"/>
      <c r="L576" s="66"/>
      <c r="M576" s="66"/>
      <c r="N576" s="66"/>
    </row>
    <row r="577" spans="1:14" x14ac:dyDescent="0.2">
      <c r="A577" s="84"/>
      <c r="B577" s="84"/>
      <c r="C577" s="60"/>
      <c r="D577" s="66"/>
      <c r="E577" s="66"/>
      <c r="F577" s="66"/>
      <c r="G577" s="66"/>
      <c r="H577" s="66"/>
      <c r="I577" s="66"/>
      <c r="J577" s="66"/>
      <c r="K577" s="66"/>
      <c r="L577" s="66"/>
      <c r="M577" s="66"/>
      <c r="N577" s="66"/>
    </row>
    <row r="578" spans="1:14" x14ac:dyDescent="0.2">
      <c r="A578" s="84"/>
      <c r="B578" s="84"/>
      <c r="C578" s="60"/>
      <c r="D578" s="66"/>
      <c r="E578" s="66"/>
      <c r="F578" s="66"/>
      <c r="G578" s="66"/>
      <c r="H578" s="66"/>
      <c r="I578" s="66"/>
      <c r="J578" s="66"/>
      <c r="K578" s="66"/>
      <c r="L578" s="66"/>
      <c r="M578" s="66"/>
      <c r="N578" s="66"/>
    </row>
    <row r="579" spans="1:14" x14ac:dyDescent="0.2">
      <c r="A579" s="84"/>
      <c r="B579" s="84"/>
      <c r="C579" s="60"/>
      <c r="D579" s="66"/>
      <c r="E579" s="66"/>
      <c r="F579" s="66"/>
      <c r="G579" s="66"/>
      <c r="H579" s="66"/>
      <c r="I579" s="66"/>
      <c r="J579" s="66"/>
      <c r="K579" s="66"/>
      <c r="L579" s="66"/>
      <c r="M579" s="66"/>
      <c r="N579" s="66"/>
    </row>
    <row r="580" spans="1:14" x14ac:dyDescent="0.2">
      <c r="A580" s="84"/>
      <c r="B580" s="84"/>
      <c r="C580" s="60"/>
      <c r="D580" s="66"/>
      <c r="E580" s="66"/>
      <c r="F580" s="66"/>
      <c r="G580" s="66"/>
      <c r="H580" s="66"/>
      <c r="I580" s="66"/>
      <c r="J580" s="66"/>
      <c r="K580" s="66"/>
      <c r="L580" s="66"/>
      <c r="M580" s="66"/>
      <c r="N580" s="66"/>
    </row>
    <row r="581" spans="1:14" x14ac:dyDescent="0.2">
      <c r="A581" s="84"/>
      <c r="B581" s="84"/>
      <c r="C581" s="60"/>
      <c r="D581" s="66"/>
      <c r="E581" s="66"/>
      <c r="F581" s="66"/>
      <c r="G581" s="66"/>
      <c r="H581" s="66"/>
      <c r="I581" s="66"/>
      <c r="J581" s="66"/>
      <c r="K581" s="66"/>
      <c r="L581" s="66"/>
      <c r="M581" s="66"/>
      <c r="N581" s="66"/>
    </row>
    <row r="582" spans="1:14" x14ac:dyDescent="0.2">
      <c r="A582" s="84"/>
      <c r="B582" s="84"/>
      <c r="C582" s="60"/>
      <c r="D582" s="66"/>
      <c r="E582" s="66"/>
      <c r="F582" s="66"/>
      <c r="G582" s="66"/>
      <c r="H582" s="66"/>
      <c r="I582" s="66"/>
      <c r="J582" s="66"/>
      <c r="K582" s="66"/>
      <c r="L582" s="66"/>
      <c r="M582" s="66"/>
      <c r="N582" s="66"/>
    </row>
    <row r="583" spans="1:14" x14ac:dyDescent="0.2">
      <c r="A583" s="84"/>
      <c r="B583" s="84"/>
      <c r="C583" s="60"/>
      <c r="D583" s="66"/>
      <c r="E583" s="66"/>
      <c r="F583" s="66"/>
      <c r="G583" s="66"/>
      <c r="H583" s="66"/>
      <c r="I583" s="66"/>
      <c r="J583" s="66"/>
      <c r="K583" s="66"/>
      <c r="L583" s="66"/>
      <c r="M583" s="66"/>
      <c r="N583" s="66"/>
    </row>
    <row r="584" spans="1:14" x14ac:dyDescent="0.2">
      <c r="A584" s="84"/>
      <c r="B584" s="84"/>
      <c r="C584" s="60"/>
      <c r="D584" s="66"/>
      <c r="E584" s="66"/>
      <c r="F584" s="66"/>
      <c r="G584" s="66"/>
      <c r="H584" s="66"/>
      <c r="I584" s="66"/>
      <c r="J584" s="66"/>
      <c r="K584" s="66"/>
      <c r="L584" s="66"/>
      <c r="M584" s="66"/>
      <c r="N584" s="66"/>
    </row>
    <row r="585" spans="1:14" x14ac:dyDescent="0.2">
      <c r="A585" s="84"/>
      <c r="B585" s="84"/>
      <c r="C585" s="60"/>
      <c r="D585" s="66"/>
      <c r="E585" s="66"/>
      <c r="F585" s="66"/>
      <c r="G585" s="66"/>
      <c r="H585" s="66"/>
      <c r="I585" s="66"/>
      <c r="J585" s="66"/>
      <c r="K585" s="66"/>
      <c r="L585" s="66"/>
      <c r="M585" s="66"/>
      <c r="N585" s="66"/>
    </row>
    <row r="586" spans="1:14" x14ac:dyDescent="0.2">
      <c r="A586" s="84"/>
      <c r="B586" s="84"/>
      <c r="C586" s="60"/>
      <c r="D586" s="66"/>
      <c r="E586" s="66"/>
      <c r="F586" s="66"/>
      <c r="G586" s="66"/>
      <c r="H586" s="66"/>
      <c r="I586" s="66"/>
      <c r="J586" s="66"/>
      <c r="K586" s="66"/>
      <c r="L586" s="66"/>
      <c r="M586" s="66"/>
      <c r="N586" s="66"/>
    </row>
    <row r="587" spans="1:14" x14ac:dyDescent="0.2">
      <c r="A587" s="84"/>
      <c r="B587" s="84"/>
      <c r="C587" s="60"/>
      <c r="D587" s="66"/>
      <c r="E587" s="66"/>
      <c r="F587" s="66"/>
      <c r="G587" s="66"/>
      <c r="H587" s="66"/>
      <c r="I587" s="66"/>
      <c r="J587" s="66"/>
      <c r="K587" s="66"/>
      <c r="L587" s="66"/>
      <c r="M587" s="66"/>
      <c r="N587" s="66"/>
    </row>
    <row r="588" spans="1:14" x14ac:dyDescent="0.2">
      <c r="A588" s="84"/>
      <c r="B588" s="84"/>
      <c r="C588" s="60"/>
      <c r="D588" s="66"/>
      <c r="E588" s="66"/>
      <c r="F588" s="66"/>
      <c r="G588" s="66"/>
      <c r="H588" s="66"/>
      <c r="I588" s="66"/>
      <c r="J588" s="66"/>
      <c r="K588" s="66"/>
      <c r="L588" s="66"/>
      <c r="M588" s="66"/>
      <c r="N588" s="66"/>
    </row>
    <row r="589" spans="1:14" x14ac:dyDescent="0.2">
      <c r="A589" s="84"/>
      <c r="B589" s="84"/>
      <c r="C589" s="60"/>
      <c r="D589" s="66"/>
      <c r="E589" s="66"/>
      <c r="F589" s="66"/>
      <c r="G589" s="66"/>
      <c r="H589" s="66"/>
      <c r="I589" s="66"/>
      <c r="J589" s="66"/>
      <c r="K589" s="66"/>
      <c r="L589" s="66"/>
      <c r="M589" s="66"/>
      <c r="N589" s="66"/>
    </row>
    <row r="590" spans="1:14" x14ac:dyDescent="0.2">
      <c r="A590" s="84"/>
      <c r="B590" s="84"/>
      <c r="C590" s="60"/>
      <c r="D590" s="66"/>
      <c r="E590" s="66"/>
      <c r="F590" s="66"/>
      <c r="G590" s="66"/>
      <c r="H590" s="66"/>
      <c r="I590" s="66"/>
      <c r="J590" s="66"/>
      <c r="K590" s="66"/>
      <c r="L590" s="66"/>
      <c r="M590" s="66"/>
      <c r="N590" s="66"/>
    </row>
    <row r="591" spans="1:14" x14ac:dyDescent="0.2">
      <c r="A591" s="84"/>
      <c r="B591" s="84"/>
      <c r="C591" s="60"/>
      <c r="D591" s="66"/>
      <c r="E591" s="66"/>
      <c r="F591" s="66"/>
      <c r="G591" s="66"/>
      <c r="H591" s="66"/>
      <c r="I591" s="66"/>
      <c r="J591" s="66"/>
      <c r="K591" s="66"/>
      <c r="L591" s="66"/>
      <c r="M591" s="66"/>
      <c r="N591" s="66"/>
    </row>
    <row r="592" spans="1:14" x14ac:dyDescent="0.2">
      <c r="A592" s="84"/>
      <c r="B592" s="84"/>
      <c r="C592" s="60"/>
      <c r="D592" s="66"/>
      <c r="E592" s="66"/>
      <c r="F592" s="66"/>
      <c r="G592" s="66"/>
      <c r="H592" s="66"/>
      <c r="I592" s="66"/>
      <c r="J592" s="66"/>
      <c r="K592" s="66"/>
      <c r="L592" s="66"/>
      <c r="M592" s="66"/>
      <c r="N592" s="66"/>
    </row>
    <row r="593" spans="1:14" x14ac:dyDescent="0.2">
      <c r="A593" s="84"/>
      <c r="B593" s="84"/>
      <c r="C593" s="60"/>
      <c r="D593" s="66"/>
      <c r="E593" s="66"/>
      <c r="F593" s="66"/>
      <c r="G593" s="66"/>
      <c r="H593" s="66"/>
      <c r="I593" s="66"/>
      <c r="J593" s="66"/>
      <c r="K593" s="66"/>
      <c r="L593" s="66"/>
      <c r="M593" s="66"/>
      <c r="N593" s="66"/>
    </row>
    <row r="594" spans="1:14" x14ac:dyDescent="0.2">
      <c r="A594" s="84"/>
      <c r="B594" s="84"/>
      <c r="C594" s="60"/>
      <c r="D594" s="66"/>
      <c r="E594" s="66"/>
      <c r="F594" s="66"/>
      <c r="G594" s="66"/>
      <c r="H594" s="66"/>
      <c r="I594" s="66"/>
      <c r="J594" s="66"/>
      <c r="K594" s="66"/>
      <c r="L594" s="66"/>
      <c r="M594" s="66"/>
      <c r="N594" s="66"/>
    </row>
    <row r="595" spans="1:14" x14ac:dyDescent="0.2">
      <c r="A595" s="84"/>
      <c r="B595" s="84"/>
      <c r="C595" s="60"/>
      <c r="D595" s="66"/>
      <c r="E595" s="66"/>
      <c r="F595" s="66"/>
      <c r="G595" s="66"/>
      <c r="H595" s="66"/>
      <c r="I595" s="66"/>
      <c r="J595" s="66"/>
      <c r="K595" s="66"/>
      <c r="L595" s="66"/>
      <c r="M595" s="66"/>
      <c r="N595" s="66"/>
    </row>
    <row r="596" spans="1:14" x14ac:dyDescent="0.2">
      <c r="A596" s="84"/>
      <c r="B596" s="84"/>
      <c r="C596" s="60"/>
      <c r="D596" s="66"/>
      <c r="E596" s="66"/>
      <c r="F596" s="66"/>
      <c r="G596" s="66"/>
      <c r="H596" s="66"/>
      <c r="I596" s="66"/>
      <c r="J596" s="66"/>
      <c r="K596" s="66"/>
      <c r="L596" s="66"/>
      <c r="M596" s="66"/>
      <c r="N596" s="66"/>
    </row>
    <row r="597" spans="1:14" x14ac:dyDescent="0.2">
      <c r="A597" s="84"/>
      <c r="B597" s="84"/>
      <c r="C597" s="60"/>
      <c r="D597" s="66"/>
      <c r="E597" s="66"/>
      <c r="F597" s="66"/>
      <c r="G597" s="66"/>
      <c r="H597" s="66"/>
      <c r="I597" s="66"/>
      <c r="J597" s="66"/>
      <c r="K597" s="66"/>
      <c r="L597" s="66"/>
      <c r="M597" s="66"/>
      <c r="N597" s="66"/>
    </row>
    <row r="598" spans="1:14" x14ac:dyDescent="0.2">
      <c r="A598" s="84"/>
      <c r="B598" s="84"/>
      <c r="C598" s="60"/>
      <c r="D598" s="66"/>
      <c r="E598" s="66"/>
      <c r="F598" s="66"/>
      <c r="G598" s="66"/>
      <c r="H598" s="66"/>
      <c r="I598" s="66"/>
      <c r="J598" s="66"/>
      <c r="K598" s="66"/>
      <c r="L598" s="66"/>
      <c r="M598" s="66"/>
      <c r="N598" s="66"/>
    </row>
    <row r="599" spans="1:14" x14ac:dyDescent="0.2">
      <c r="A599" s="84"/>
      <c r="B599" s="84"/>
      <c r="C599" s="60"/>
      <c r="D599" s="66"/>
      <c r="E599" s="66"/>
      <c r="F599" s="66"/>
      <c r="G599" s="66"/>
      <c r="H599" s="66"/>
      <c r="I599" s="66"/>
      <c r="J599" s="66"/>
      <c r="K599" s="66"/>
      <c r="L599" s="66"/>
      <c r="M599" s="66"/>
      <c r="N599" s="66"/>
    </row>
    <row r="600" spans="1:14" x14ac:dyDescent="0.2">
      <c r="A600" s="84"/>
      <c r="B600" s="84"/>
      <c r="C600" s="60"/>
      <c r="D600" s="66"/>
      <c r="E600" s="66"/>
      <c r="F600" s="66"/>
      <c r="G600" s="66"/>
      <c r="H600" s="66"/>
      <c r="I600" s="66"/>
      <c r="J600" s="66"/>
      <c r="K600" s="66"/>
      <c r="L600" s="66"/>
      <c r="M600" s="66"/>
      <c r="N600" s="66"/>
    </row>
    <row r="601" spans="1:14" x14ac:dyDescent="0.2">
      <c r="A601" s="84"/>
      <c r="B601" s="84"/>
      <c r="C601" s="60"/>
      <c r="D601" s="66"/>
      <c r="E601" s="66"/>
      <c r="F601" s="66"/>
      <c r="G601" s="66"/>
      <c r="H601" s="66"/>
      <c r="I601" s="66"/>
      <c r="J601" s="66"/>
      <c r="K601" s="66"/>
      <c r="L601" s="66"/>
      <c r="M601" s="66"/>
      <c r="N601" s="66"/>
    </row>
    <row r="602" spans="1:14" x14ac:dyDescent="0.2">
      <c r="A602" s="84"/>
      <c r="B602" s="84"/>
      <c r="C602" s="60"/>
      <c r="D602" s="66"/>
      <c r="E602" s="66"/>
      <c r="F602" s="66"/>
      <c r="G602" s="66"/>
      <c r="H602" s="66"/>
      <c r="I602" s="66"/>
      <c r="J602" s="66"/>
      <c r="K602" s="66"/>
      <c r="L602" s="66"/>
      <c r="M602" s="66"/>
      <c r="N602" s="66"/>
    </row>
    <row r="603" spans="1:14" x14ac:dyDescent="0.2">
      <c r="A603" s="84"/>
      <c r="B603" s="84"/>
      <c r="C603" s="60"/>
      <c r="D603" s="66"/>
      <c r="E603" s="66"/>
      <c r="F603" s="66"/>
      <c r="G603" s="66"/>
      <c r="H603" s="66"/>
      <c r="I603" s="66"/>
      <c r="J603" s="66"/>
      <c r="K603" s="66"/>
      <c r="L603" s="66"/>
      <c r="M603" s="66"/>
      <c r="N603" s="66"/>
    </row>
    <row r="604" spans="1:14" x14ac:dyDescent="0.2">
      <c r="A604" s="84"/>
      <c r="B604" s="84"/>
      <c r="C604" s="60"/>
      <c r="D604" s="66"/>
      <c r="E604" s="66"/>
      <c r="F604" s="66"/>
      <c r="G604" s="66"/>
      <c r="H604" s="66"/>
      <c r="I604" s="66"/>
      <c r="J604" s="66"/>
      <c r="K604" s="66"/>
      <c r="L604" s="66"/>
      <c r="M604" s="66"/>
      <c r="N604" s="66"/>
    </row>
    <row r="605" spans="1:14" x14ac:dyDescent="0.2">
      <c r="A605" s="84"/>
      <c r="B605" s="84"/>
      <c r="C605" s="60"/>
      <c r="D605" s="66"/>
      <c r="E605" s="66"/>
      <c r="F605" s="66"/>
      <c r="G605" s="66"/>
      <c r="H605" s="66"/>
      <c r="I605" s="66"/>
      <c r="J605" s="66"/>
      <c r="K605" s="66"/>
      <c r="L605" s="66"/>
      <c r="M605" s="66"/>
      <c r="N605" s="66"/>
    </row>
    <row r="606" spans="1:14" x14ac:dyDescent="0.2">
      <c r="A606" s="84"/>
      <c r="B606" s="84"/>
      <c r="C606" s="60"/>
      <c r="D606" s="66"/>
      <c r="E606" s="66"/>
      <c r="F606" s="66"/>
      <c r="G606" s="66"/>
      <c r="H606" s="66"/>
      <c r="I606" s="66"/>
      <c r="J606" s="66"/>
      <c r="K606" s="66"/>
      <c r="L606" s="66"/>
      <c r="M606" s="66"/>
      <c r="N606" s="66"/>
    </row>
    <row r="607" spans="1:14" x14ac:dyDescent="0.2">
      <c r="A607" s="84"/>
      <c r="B607" s="84"/>
      <c r="C607" s="60"/>
      <c r="D607" s="66"/>
      <c r="E607" s="66"/>
      <c r="F607" s="66"/>
      <c r="G607" s="66"/>
      <c r="H607" s="66"/>
      <c r="I607" s="66"/>
      <c r="J607" s="66"/>
      <c r="K607" s="66"/>
      <c r="L607" s="66"/>
      <c r="M607" s="66"/>
      <c r="N607" s="66"/>
    </row>
    <row r="608" spans="1:14" x14ac:dyDescent="0.2">
      <c r="A608" s="84"/>
      <c r="B608" s="84"/>
      <c r="C608" s="60"/>
      <c r="D608" s="66"/>
      <c r="E608" s="66"/>
      <c r="F608" s="66"/>
      <c r="G608" s="66"/>
      <c r="H608" s="66"/>
      <c r="I608" s="66"/>
      <c r="J608" s="66"/>
      <c r="K608" s="66"/>
      <c r="L608" s="66"/>
      <c r="M608" s="66"/>
      <c r="N608" s="66"/>
    </row>
    <row r="609" spans="1:14" x14ac:dyDescent="0.2">
      <c r="A609" s="84"/>
      <c r="B609" s="84"/>
      <c r="C609" s="60"/>
      <c r="D609" s="66"/>
      <c r="E609" s="66"/>
      <c r="F609" s="66"/>
      <c r="G609" s="66"/>
      <c r="H609" s="66"/>
      <c r="I609" s="66"/>
      <c r="J609" s="66"/>
      <c r="K609" s="66"/>
      <c r="L609" s="66"/>
      <c r="M609" s="66"/>
      <c r="N609" s="66"/>
    </row>
    <row r="610" spans="1:14" x14ac:dyDescent="0.2">
      <c r="A610" s="84"/>
      <c r="B610" s="84"/>
      <c r="C610" s="60"/>
      <c r="D610" s="66"/>
      <c r="E610" s="66"/>
      <c r="F610" s="66"/>
      <c r="G610" s="66"/>
      <c r="H610" s="66"/>
      <c r="I610" s="66"/>
      <c r="J610" s="66"/>
      <c r="K610" s="66"/>
      <c r="L610" s="66"/>
      <c r="M610" s="66"/>
      <c r="N610" s="66"/>
    </row>
    <row r="611" spans="1:14" x14ac:dyDescent="0.2">
      <c r="A611" s="84"/>
      <c r="B611" s="84"/>
      <c r="C611" s="60"/>
      <c r="D611" s="66"/>
      <c r="E611" s="66"/>
      <c r="F611" s="66"/>
      <c r="G611" s="66"/>
      <c r="H611" s="66"/>
      <c r="I611" s="66"/>
      <c r="J611" s="66"/>
      <c r="K611" s="66"/>
      <c r="L611" s="66"/>
      <c r="M611" s="66"/>
      <c r="N611" s="66"/>
    </row>
    <row r="612" spans="1:14" x14ac:dyDescent="0.2">
      <c r="A612" s="84"/>
      <c r="B612" s="84"/>
      <c r="C612" s="60"/>
      <c r="D612" s="66"/>
      <c r="E612" s="66"/>
      <c r="F612" s="66"/>
      <c r="G612" s="66"/>
      <c r="H612" s="66"/>
      <c r="I612" s="66"/>
      <c r="J612" s="66"/>
      <c r="K612" s="66"/>
      <c r="L612" s="66"/>
      <c r="M612" s="66"/>
      <c r="N612" s="66"/>
    </row>
    <row r="613" spans="1:14" x14ac:dyDescent="0.2">
      <c r="A613" s="84"/>
      <c r="B613" s="84"/>
      <c r="C613" s="60"/>
      <c r="D613" s="66"/>
      <c r="E613" s="66"/>
      <c r="F613" s="66"/>
      <c r="G613" s="66"/>
      <c r="H613" s="66"/>
      <c r="I613" s="66"/>
      <c r="J613" s="66"/>
      <c r="K613" s="66"/>
      <c r="L613" s="66"/>
      <c r="M613" s="66"/>
      <c r="N613" s="66"/>
    </row>
    <row r="614" spans="1:14" x14ac:dyDescent="0.2">
      <c r="A614" s="84"/>
      <c r="B614" s="84"/>
      <c r="C614" s="60"/>
      <c r="D614" s="66"/>
      <c r="E614" s="66"/>
      <c r="F614" s="66"/>
      <c r="G614" s="66"/>
      <c r="H614" s="66"/>
      <c r="I614" s="66"/>
      <c r="J614" s="66"/>
      <c r="K614" s="66"/>
      <c r="L614" s="66"/>
      <c r="M614" s="66"/>
      <c r="N614" s="66"/>
    </row>
    <row r="615" spans="1:14" x14ac:dyDescent="0.2">
      <c r="A615" s="84"/>
      <c r="B615" s="84"/>
      <c r="C615" s="60"/>
      <c r="D615" s="66"/>
      <c r="E615" s="66"/>
      <c r="F615" s="66"/>
      <c r="G615" s="66"/>
      <c r="H615" s="66"/>
      <c r="I615" s="66"/>
      <c r="J615" s="66"/>
      <c r="K615" s="66"/>
      <c r="L615" s="66"/>
      <c r="M615" s="66"/>
      <c r="N615" s="66"/>
    </row>
    <row r="616" spans="1:14" x14ac:dyDescent="0.2">
      <c r="A616" s="84"/>
      <c r="B616" s="84"/>
      <c r="C616" s="60"/>
      <c r="D616" s="66"/>
      <c r="E616" s="66"/>
      <c r="F616" s="66"/>
      <c r="G616" s="66"/>
      <c r="H616" s="66"/>
      <c r="I616" s="66"/>
      <c r="J616" s="66"/>
      <c r="K616" s="66"/>
      <c r="L616" s="66"/>
      <c r="M616" s="66"/>
      <c r="N616" s="66"/>
    </row>
    <row r="617" spans="1:14" x14ac:dyDescent="0.2">
      <c r="A617" s="84"/>
      <c r="B617" s="84"/>
      <c r="C617" s="60"/>
      <c r="D617" s="66"/>
      <c r="E617" s="66"/>
      <c r="F617" s="66"/>
      <c r="G617" s="66"/>
      <c r="H617" s="66"/>
      <c r="I617" s="66"/>
      <c r="J617" s="66"/>
      <c r="K617" s="66"/>
      <c r="L617" s="66"/>
      <c r="M617" s="66"/>
      <c r="N617" s="66"/>
    </row>
    <row r="618" spans="1:14" x14ac:dyDescent="0.2">
      <c r="A618" s="84"/>
      <c r="B618" s="84"/>
      <c r="C618" s="60"/>
      <c r="D618" s="66"/>
      <c r="E618" s="66"/>
      <c r="F618" s="66"/>
      <c r="G618" s="66"/>
      <c r="H618" s="66"/>
      <c r="I618" s="66"/>
      <c r="J618" s="66"/>
      <c r="K618" s="66"/>
      <c r="L618" s="66"/>
      <c r="M618" s="66"/>
      <c r="N618" s="66"/>
    </row>
    <row r="619" spans="1:14" x14ac:dyDescent="0.2">
      <c r="A619" s="84"/>
      <c r="B619" s="84"/>
      <c r="C619" s="60"/>
      <c r="D619" s="66"/>
      <c r="E619" s="66"/>
      <c r="F619" s="66"/>
      <c r="G619" s="66"/>
      <c r="H619" s="66"/>
      <c r="I619" s="66"/>
      <c r="J619" s="66"/>
      <c r="K619" s="66"/>
      <c r="L619" s="66"/>
      <c r="M619" s="66"/>
      <c r="N619" s="66"/>
    </row>
    <row r="620" spans="1:14" x14ac:dyDescent="0.2">
      <c r="A620" s="84"/>
      <c r="B620" s="84"/>
      <c r="C620" s="60"/>
      <c r="D620" s="66"/>
      <c r="E620" s="66"/>
      <c r="F620" s="66"/>
      <c r="G620" s="66"/>
      <c r="H620" s="66"/>
      <c r="I620" s="66"/>
      <c r="J620" s="66"/>
      <c r="K620" s="66"/>
      <c r="L620" s="66"/>
      <c r="M620" s="66"/>
      <c r="N620" s="66"/>
    </row>
    <row r="621" spans="1:14" x14ac:dyDescent="0.2">
      <c r="A621" s="84"/>
      <c r="B621" s="84"/>
      <c r="C621" s="60"/>
      <c r="D621" s="66"/>
      <c r="E621" s="66"/>
      <c r="F621" s="66"/>
      <c r="G621" s="66"/>
      <c r="H621" s="66"/>
      <c r="I621" s="66"/>
      <c r="J621" s="66"/>
      <c r="K621" s="66"/>
      <c r="L621" s="66"/>
      <c r="M621" s="66"/>
      <c r="N621" s="66"/>
    </row>
    <row r="622" spans="1:14" x14ac:dyDescent="0.2">
      <c r="A622" s="84"/>
      <c r="B622" s="84"/>
      <c r="C622" s="60"/>
      <c r="D622" s="66"/>
      <c r="E622" s="66"/>
      <c r="F622" s="66"/>
      <c r="G622" s="66"/>
      <c r="H622" s="66"/>
      <c r="I622" s="66"/>
      <c r="J622" s="66"/>
      <c r="K622" s="66"/>
      <c r="L622" s="66"/>
      <c r="M622" s="66"/>
      <c r="N622" s="66"/>
    </row>
    <row r="623" spans="1:14" x14ac:dyDescent="0.2">
      <c r="A623" s="84"/>
      <c r="B623" s="84"/>
      <c r="C623" s="60"/>
      <c r="D623" s="66"/>
      <c r="E623" s="66"/>
      <c r="F623" s="66"/>
      <c r="G623" s="66"/>
      <c r="H623" s="66"/>
      <c r="I623" s="66"/>
      <c r="J623" s="66"/>
      <c r="K623" s="66"/>
      <c r="L623" s="66"/>
      <c r="M623" s="66"/>
      <c r="N623" s="66"/>
    </row>
    <row r="624" spans="1:14" x14ac:dyDescent="0.2">
      <c r="A624" s="84"/>
      <c r="B624" s="84"/>
      <c r="C624" s="60"/>
      <c r="D624" s="66"/>
      <c r="E624" s="66"/>
      <c r="F624" s="66"/>
      <c r="G624" s="66"/>
      <c r="H624" s="66"/>
      <c r="I624" s="66"/>
      <c r="J624" s="66"/>
      <c r="K624" s="66"/>
      <c r="L624" s="66"/>
      <c r="M624" s="66"/>
      <c r="N624" s="66"/>
    </row>
    <row r="625" spans="1:14" x14ac:dyDescent="0.2">
      <c r="A625" s="84"/>
      <c r="B625" s="84"/>
      <c r="C625" s="60"/>
      <c r="D625" s="66"/>
      <c r="E625" s="66"/>
      <c r="F625" s="66"/>
      <c r="G625" s="66"/>
      <c r="H625" s="66"/>
      <c r="I625" s="66"/>
      <c r="J625" s="66"/>
      <c r="K625" s="66"/>
      <c r="L625" s="66"/>
      <c r="M625" s="66"/>
      <c r="N625" s="66"/>
    </row>
    <row r="626" spans="1:14" x14ac:dyDescent="0.2">
      <c r="A626" s="84"/>
      <c r="B626" s="84"/>
      <c r="C626" s="60"/>
      <c r="D626" s="66"/>
      <c r="E626" s="66"/>
      <c r="F626" s="66"/>
      <c r="G626" s="66"/>
      <c r="H626" s="66"/>
      <c r="I626" s="66"/>
      <c r="J626" s="66"/>
      <c r="K626" s="66"/>
      <c r="L626" s="66"/>
      <c r="M626" s="66"/>
      <c r="N626" s="66"/>
    </row>
    <row r="627" spans="1:14" x14ac:dyDescent="0.2">
      <c r="A627" s="84"/>
      <c r="B627" s="84"/>
      <c r="C627" s="60"/>
      <c r="D627" s="66"/>
      <c r="E627" s="66"/>
      <c r="F627" s="66"/>
      <c r="G627" s="66"/>
      <c r="H627" s="66"/>
      <c r="I627" s="66"/>
      <c r="J627" s="66"/>
      <c r="K627" s="66"/>
      <c r="L627" s="66"/>
      <c r="M627" s="66"/>
      <c r="N627" s="66"/>
    </row>
    <row r="628" spans="1:14" x14ac:dyDescent="0.2">
      <c r="A628" s="84"/>
      <c r="B628" s="84"/>
      <c r="C628" s="60"/>
      <c r="D628" s="66"/>
      <c r="E628" s="66"/>
      <c r="F628" s="66"/>
      <c r="G628" s="66"/>
      <c r="H628" s="66"/>
      <c r="I628" s="66"/>
      <c r="J628" s="66"/>
      <c r="K628" s="66"/>
      <c r="L628" s="66"/>
      <c r="M628" s="66"/>
      <c r="N628" s="66"/>
    </row>
    <row r="629" spans="1:14" x14ac:dyDescent="0.2">
      <c r="A629" s="84"/>
      <c r="B629" s="84"/>
      <c r="C629" s="60"/>
      <c r="D629" s="66"/>
      <c r="E629" s="66"/>
      <c r="F629" s="66"/>
      <c r="G629" s="66"/>
      <c r="H629" s="66"/>
      <c r="I629" s="66"/>
      <c r="J629" s="66"/>
      <c r="K629" s="66"/>
      <c r="L629" s="66"/>
      <c r="M629" s="66"/>
      <c r="N629" s="66"/>
    </row>
    <row r="630" spans="1:14" x14ac:dyDescent="0.2">
      <c r="A630" s="84"/>
      <c r="B630" s="84"/>
      <c r="C630" s="60"/>
      <c r="D630" s="66"/>
      <c r="E630" s="66"/>
      <c r="F630" s="66"/>
      <c r="G630" s="66"/>
      <c r="H630" s="66"/>
      <c r="I630" s="66"/>
      <c r="J630" s="66"/>
      <c r="K630" s="66"/>
      <c r="L630" s="66"/>
      <c r="M630" s="66"/>
      <c r="N630" s="66"/>
    </row>
    <row r="631" spans="1:14" x14ac:dyDescent="0.2">
      <c r="A631" s="84"/>
      <c r="B631" s="84"/>
      <c r="C631" s="60"/>
      <c r="D631" s="66"/>
      <c r="E631" s="66"/>
      <c r="F631" s="66"/>
      <c r="G631" s="66"/>
      <c r="H631" s="66"/>
      <c r="I631" s="66"/>
      <c r="J631" s="66"/>
      <c r="K631" s="66"/>
      <c r="L631" s="66"/>
      <c r="M631" s="66"/>
      <c r="N631" s="66"/>
    </row>
    <row r="632" spans="1:14" x14ac:dyDescent="0.2">
      <c r="A632" s="84"/>
      <c r="B632" s="84"/>
      <c r="C632" s="60"/>
      <c r="D632" s="66"/>
      <c r="E632" s="66"/>
      <c r="F632" s="66"/>
      <c r="G632" s="66"/>
      <c r="H632" s="66"/>
      <c r="I632" s="66"/>
      <c r="J632" s="66"/>
      <c r="K632" s="66"/>
      <c r="L632" s="66"/>
      <c r="M632" s="66"/>
      <c r="N632" s="66"/>
    </row>
    <row r="633" spans="1:14" x14ac:dyDescent="0.2">
      <c r="A633" s="84"/>
      <c r="B633" s="84"/>
      <c r="C633" s="60"/>
      <c r="D633" s="66"/>
      <c r="E633" s="66"/>
      <c r="F633" s="66"/>
      <c r="G633" s="66"/>
      <c r="H633" s="66"/>
      <c r="I633" s="66"/>
      <c r="J633" s="66"/>
      <c r="K633" s="66"/>
      <c r="L633" s="66"/>
      <c r="M633" s="66"/>
      <c r="N633" s="66"/>
    </row>
    <row r="634" spans="1:14" x14ac:dyDescent="0.2">
      <c r="A634" s="84"/>
      <c r="B634" s="84"/>
      <c r="C634" s="60"/>
      <c r="D634" s="66"/>
      <c r="E634" s="66"/>
      <c r="F634" s="66"/>
      <c r="G634" s="66"/>
      <c r="H634" s="66"/>
      <c r="I634" s="66"/>
      <c r="J634" s="66"/>
      <c r="K634" s="66"/>
      <c r="L634" s="66"/>
      <c r="M634" s="66"/>
      <c r="N634" s="66"/>
    </row>
    <row r="635" spans="1:14" x14ac:dyDescent="0.2">
      <c r="A635" s="84"/>
      <c r="B635" s="84"/>
      <c r="C635" s="60"/>
      <c r="D635" s="66"/>
      <c r="E635" s="66"/>
      <c r="F635" s="66"/>
      <c r="G635" s="66"/>
      <c r="H635" s="66"/>
      <c r="I635" s="66"/>
      <c r="J635" s="66"/>
      <c r="K635" s="66"/>
      <c r="L635" s="66"/>
      <c r="M635" s="66"/>
      <c r="N635" s="66"/>
    </row>
    <row r="636" spans="1:14" x14ac:dyDescent="0.2">
      <c r="A636" s="84"/>
      <c r="B636" s="84"/>
      <c r="C636" s="60"/>
      <c r="D636" s="66"/>
      <c r="E636" s="66"/>
      <c r="F636" s="66"/>
      <c r="G636" s="66"/>
      <c r="H636" s="66"/>
      <c r="I636" s="66"/>
      <c r="J636" s="66"/>
      <c r="K636" s="66"/>
      <c r="L636" s="66"/>
      <c r="M636" s="66"/>
      <c r="N636" s="66"/>
    </row>
    <row r="637" spans="1:14" x14ac:dyDescent="0.2">
      <c r="A637" s="84"/>
      <c r="B637" s="84"/>
      <c r="C637" s="60"/>
      <c r="D637" s="66"/>
      <c r="E637" s="66"/>
      <c r="F637" s="66"/>
      <c r="G637" s="66"/>
      <c r="H637" s="66"/>
      <c r="I637" s="66"/>
      <c r="J637" s="66"/>
      <c r="K637" s="66"/>
      <c r="L637" s="66"/>
      <c r="M637" s="66"/>
      <c r="N637" s="66"/>
    </row>
    <row r="638" spans="1:14" x14ac:dyDescent="0.2">
      <c r="A638" s="84"/>
      <c r="B638" s="84"/>
      <c r="C638" s="60"/>
      <c r="D638" s="66"/>
      <c r="E638" s="66"/>
      <c r="F638" s="66"/>
      <c r="G638" s="66"/>
      <c r="H638" s="66"/>
      <c r="I638" s="66"/>
      <c r="J638" s="66"/>
      <c r="K638" s="66"/>
      <c r="L638" s="66"/>
      <c r="M638" s="66"/>
      <c r="N638" s="66"/>
    </row>
    <row r="639" spans="1:14" x14ac:dyDescent="0.2">
      <c r="A639" s="84"/>
      <c r="B639" s="84"/>
      <c r="C639" s="60"/>
      <c r="D639" s="66"/>
      <c r="E639" s="66"/>
      <c r="F639" s="66"/>
      <c r="G639" s="66"/>
      <c r="H639" s="66"/>
      <c r="I639" s="66"/>
      <c r="J639" s="66"/>
      <c r="K639" s="66"/>
      <c r="L639" s="66"/>
      <c r="M639" s="66"/>
      <c r="N639" s="66"/>
    </row>
    <row r="640" spans="1:14" x14ac:dyDescent="0.2">
      <c r="A640" s="84"/>
      <c r="B640" s="84"/>
      <c r="C640" s="60"/>
      <c r="D640" s="66"/>
      <c r="E640" s="66"/>
      <c r="F640" s="66"/>
      <c r="G640" s="66"/>
      <c r="H640" s="66"/>
      <c r="I640" s="66"/>
      <c r="J640" s="66"/>
      <c r="K640" s="66"/>
      <c r="L640" s="66"/>
      <c r="M640" s="66"/>
      <c r="N640" s="66"/>
    </row>
    <row r="641" spans="1:14" x14ac:dyDescent="0.2">
      <c r="A641" s="84"/>
      <c r="B641" s="84"/>
      <c r="C641" s="60"/>
      <c r="D641" s="66"/>
      <c r="E641" s="66"/>
      <c r="F641" s="66"/>
      <c r="G641" s="66"/>
      <c r="H641" s="66"/>
      <c r="I641" s="66"/>
      <c r="J641" s="66"/>
      <c r="K641" s="66"/>
      <c r="L641" s="66"/>
      <c r="M641" s="66"/>
      <c r="N641" s="66"/>
    </row>
    <row r="642" spans="1:14" x14ac:dyDescent="0.2">
      <c r="A642" s="84"/>
      <c r="B642" s="84"/>
      <c r="C642" s="60"/>
      <c r="D642" s="66"/>
      <c r="E642" s="66"/>
      <c r="F642" s="66"/>
      <c r="G642" s="66"/>
      <c r="H642" s="66"/>
      <c r="I642" s="66"/>
      <c r="J642" s="66"/>
      <c r="K642" s="66"/>
      <c r="L642" s="66"/>
      <c r="M642" s="66"/>
      <c r="N642" s="66"/>
    </row>
    <row r="643" spans="1:14" x14ac:dyDescent="0.2">
      <c r="A643" s="84"/>
      <c r="B643" s="84"/>
      <c r="C643" s="60"/>
      <c r="D643" s="66"/>
      <c r="E643" s="66"/>
      <c r="F643" s="66"/>
      <c r="G643" s="66"/>
      <c r="H643" s="66"/>
      <c r="I643" s="66"/>
      <c r="J643" s="66"/>
      <c r="K643" s="66"/>
      <c r="L643" s="66"/>
      <c r="M643" s="66"/>
      <c r="N643" s="66"/>
    </row>
    <row r="644" spans="1:14" x14ac:dyDescent="0.2">
      <c r="A644" s="84"/>
      <c r="B644" s="84"/>
      <c r="C644" s="60"/>
      <c r="D644" s="66"/>
      <c r="E644" s="66"/>
      <c r="F644" s="66"/>
      <c r="G644" s="66"/>
      <c r="H644" s="66"/>
      <c r="I644" s="66"/>
      <c r="J644" s="66"/>
      <c r="K644" s="66"/>
      <c r="L644" s="66"/>
      <c r="M644" s="66"/>
      <c r="N644" s="66"/>
    </row>
    <row r="645" spans="1:14" x14ac:dyDescent="0.2">
      <c r="A645" s="84"/>
      <c r="B645" s="84"/>
      <c r="C645" s="60"/>
      <c r="D645" s="66"/>
      <c r="E645" s="66"/>
      <c r="F645" s="66"/>
      <c r="G645" s="66"/>
      <c r="H645" s="66"/>
      <c r="I645" s="66"/>
      <c r="J645" s="66"/>
      <c r="K645" s="66"/>
      <c r="L645" s="66"/>
      <c r="M645" s="66"/>
      <c r="N645" s="66"/>
    </row>
    <row r="646" spans="1:14" x14ac:dyDescent="0.2">
      <c r="A646" s="84"/>
      <c r="B646" s="84"/>
      <c r="C646" s="60"/>
      <c r="D646" s="66"/>
      <c r="E646" s="66"/>
      <c r="F646" s="66"/>
      <c r="G646" s="66"/>
      <c r="H646" s="66"/>
      <c r="I646" s="66"/>
      <c r="J646" s="66"/>
      <c r="K646" s="66"/>
      <c r="L646" s="66"/>
      <c r="M646" s="66"/>
      <c r="N646" s="66"/>
    </row>
    <row r="647" spans="1:14" x14ac:dyDescent="0.2">
      <c r="A647" s="84"/>
      <c r="B647" s="84"/>
      <c r="C647" s="60"/>
      <c r="D647" s="66"/>
      <c r="E647" s="66"/>
      <c r="F647" s="66"/>
      <c r="G647" s="66"/>
      <c r="H647" s="66"/>
      <c r="I647" s="66"/>
      <c r="J647" s="66"/>
      <c r="K647" s="66"/>
      <c r="L647" s="66"/>
      <c r="M647" s="66"/>
      <c r="N647" s="66"/>
    </row>
    <row r="648" spans="1:14" x14ac:dyDescent="0.2">
      <c r="A648" s="84"/>
      <c r="B648" s="84"/>
      <c r="C648" s="60"/>
      <c r="D648" s="66"/>
      <c r="E648" s="66"/>
      <c r="F648" s="66"/>
      <c r="G648" s="66"/>
      <c r="H648" s="66"/>
      <c r="I648" s="66"/>
      <c r="J648" s="66"/>
      <c r="K648" s="66"/>
      <c r="L648" s="66"/>
      <c r="M648" s="66"/>
      <c r="N648" s="66"/>
    </row>
    <row r="649" spans="1:14" x14ac:dyDescent="0.2">
      <c r="A649" s="84"/>
      <c r="B649" s="84"/>
      <c r="C649" s="60"/>
      <c r="D649" s="66"/>
      <c r="E649" s="66"/>
      <c r="F649" s="66"/>
      <c r="G649" s="66"/>
      <c r="H649" s="66"/>
      <c r="I649" s="66"/>
      <c r="J649" s="66"/>
      <c r="K649" s="66"/>
      <c r="L649" s="66"/>
      <c r="M649" s="66"/>
      <c r="N649" s="66"/>
    </row>
    <row r="650" spans="1:14" x14ac:dyDescent="0.2">
      <c r="A650" s="84"/>
      <c r="B650" s="84"/>
      <c r="C650" s="60"/>
      <c r="D650" s="66"/>
      <c r="E650" s="66"/>
      <c r="F650" s="66"/>
      <c r="G650" s="66"/>
      <c r="H650" s="66"/>
      <c r="I650" s="66"/>
      <c r="J650" s="66"/>
      <c r="K650" s="66"/>
      <c r="L650" s="66"/>
      <c r="M650" s="66"/>
      <c r="N650" s="66"/>
    </row>
    <row r="651" spans="1:14" x14ac:dyDescent="0.2">
      <c r="A651" s="84"/>
      <c r="B651" s="84"/>
      <c r="C651" s="60"/>
      <c r="D651" s="66"/>
      <c r="E651" s="66"/>
      <c r="F651" s="66"/>
      <c r="G651" s="66"/>
      <c r="H651" s="66"/>
      <c r="I651" s="66"/>
      <c r="J651" s="66"/>
      <c r="K651" s="66"/>
      <c r="L651" s="66"/>
      <c r="M651" s="66"/>
      <c r="N651" s="66"/>
    </row>
    <row r="652" spans="1:14" x14ac:dyDescent="0.2">
      <c r="A652" s="84"/>
      <c r="B652" s="84"/>
      <c r="C652" s="60"/>
      <c r="D652" s="66"/>
      <c r="E652" s="66"/>
      <c r="F652" s="66"/>
      <c r="G652" s="66"/>
      <c r="H652" s="66"/>
      <c r="I652" s="66"/>
      <c r="J652" s="66"/>
      <c r="K652" s="66"/>
      <c r="L652" s="66"/>
      <c r="M652" s="66"/>
      <c r="N652" s="66"/>
    </row>
    <row r="653" spans="1:14" x14ac:dyDescent="0.2">
      <c r="A653" s="84"/>
      <c r="B653" s="84"/>
      <c r="C653" s="60"/>
      <c r="D653" s="66"/>
      <c r="E653" s="66"/>
      <c r="F653" s="66"/>
      <c r="G653" s="66"/>
      <c r="H653" s="66"/>
      <c r="I653" s="66"/>
      <c r="J653" s="66"/>
      <c r="K653" s="66"/>
      <c r="L653" s="66"/>
      <c r="M653" s="66"/>
      <c r="N653" s="66"/>
    </row>
    <row r="654" spans="1:14" x14ac:dyDescent="0.2">
      <c r="A654" s="84"/>
      <c r="B654" s="84"/>
      <c r="C654" s="60"/>
      <c r="D654" s="66"/>
      <c r="E654" s="66"/>
      <c r="F654" s="66"/>
      <c r="G654" s="66"/>
      <c r="H654" s="66"/>
      <c r="I654" s="66"/>
      <c r="J654" s="66"/>
      <c r="K654" s="66"/>
      <c r="L654" s="66"/>
      <c r="M654" s="66"/>
      <c r="N654" s="66"/>
    </row>
    <row r="655" spans="1:14" x14ac:dyDescent="0.2">
      <c r="A655" s="84"/>
      <c r="B655" s="84"/>
      <c r="C655" s="60"/>
      <c r="D655" s="66"/>
      <c r="E655" s="66"/>
      <c r="F655" s="66"/>
      <c r="G655" s="66"/>
      <c r="H655" s="66"/>
      <c r="I655" s="66"/>
      <c r="J655" s="66"/>
      <c r="K655" s="66"/>
      <c r="L655" s="66"/>
      <c r="M655" s="66"/>
      <c r="N655" s="66"/>
    </row>
    <row r="656" spans="1:14" x14ac:dyDescent="0.2">
      <c r="A656" s="84"/>
      <c r="B656" s="84"/>
      <c r="C656" s="60"/>
      <c r="D656" s="66"/>
      <c r="E656" s="66"/>
      <c r="F656" s="66"/>
      <c r="G656" s="66"/>
      <c r="H656" s="66"/>
      <c r="I656" s="66"/>
      <c r="J656" s="66"/>
      <c r="K656" s="66"/>
      <c r="L656" s="66"/>
      <c r="M656" s="66"/>
      <c r="N656" s="66"/>
    </row>
    <row r="657" spans="1:14" x14ac:dyDescent="0.2">
      <c r="A657" s="84"/>
      <c r="B657" s="84"/>
      <c r="C657" s="60"/>
      <c r="D657" s="66"/>
      <c r="E657" s="66"/>
      <c r="F657" s="66"/>
      <c r="G657" s="66"/>
      <c r="H657" s="66"/>
      <c r="I657" s="66"/>
      <c r="J657" s="66"/>
      <c r="K657" s="66"/>
      <c r="L657" s="66"/>
      <c r="M657" s="66"/>
      <c r="N657" s="66"/>
    </row>
    <row r="658" spans="1:14" x14ac:dyDescent="0.2">
      <c r="A658" s="84"/>
      <c r="B658" s="84"/>
      <c r="C658" s="60"/>
      <c r="D658" s="66"/>
      <c r="E658" s="66"/>
      <c r="F658" s="66"/>
      <c r="G658" s="66"/>
      <c r="H658" s="66"/>
      <c r="I658" s="66"/>
      <c r="J658" s="66"/>
      <c r="K658" s="66"/>
      <c r="L658" s="66"/>
      <c r="M658" s="66"/>
      <c r="N658" s="66"/>
    </row>
    <row r="659" spans="1:14" x14ac:dyDescent="0.2">
      <c r="A659" s="84"/>
      <c r="B659" s="84"/>
      <c r="C659" s="60"/>
      <c r="D659" s="66"/>
      <c r="E659" s="66"/>
      <c r="F659" s="66"/>
      <c r="G659" s="66"/>
      <c r="H659" s="66"/>
      <c r="I659" s="66"/>
      <c r="J659" s="66"/>
      <c r="K659" s="66"/>
      <c r="L659" s="66"/>
      <c r="M659" s="66"/>
      <c r="N659" s="66"/>
    </row>
    <row r="660" spans="1:14" x14ac:dyDescent="0.2">
      <c r="A660" s="84"/>
      <c r="B660" s="84"/>
      <c r="C660" s="60"/>
      <c r="D660" s="66"/>
      <c r="E660" s="66"/>
      <c r="F660" s="66"/>
      <c r="G660" s="66"/>
      <c r="H660" s="66"/>
      <c r="I660" s="66"/>
      <c r="J660" s="66"/>
      <c r="K660" s="66"/>
      <c r="L660" s="66"/>
      <c r="M660" s="66"/>
      <c r="N660" s="66"/>
    </row>
    <row r="661" spans="1:14" x14ac:dyDescent="0.2">
      <c r="A661" s="84"/>
      <c r="B661" s="84"/>
      <c r="C661" s="60"/>
      <c r="D661" s="66"/>
      <c r="E661" s="66"/>
      <c r="F661" s="66"/>
      <c r="G661" s="66"/>
      <c r="H661" s="66"/>
      <c r="I661" s="66"/>
      <c r="J661" s="66"/>
      <c r="K661" s="66"/>
      <c r="L661" s="66"/>
      <c r="M661" s="66"/>
      <c r="N661" s="66"/>
    </row>
    <row r="662" spans="1:14" x14ac:dyDescent="0.2">
      <c r="A662" s="84"/>
      <c r="B662" s="84"/>
      <c r="C662" s="60"/>
      <c r="D662" s="66"/>
      <c r="E662" s="66"/>
      <c r="F662" s="66"/>
      <c r="G662" s="66"/>
      <c r="H662" s="66"/>
      <c r="I662" s="66"/>
      <c r="J662" s="66"/>
      <c r="K662" s="66"/>
      <c r="L662" s="66"/>
      <c r="M662" s="66"/>
      <c r="N662" s="66"/>
    </row>
    <row r="663" spans="1:14" x14ac:dyDescent="0.2">
      <c r="A663" s="84"/>
      <c r="B663" s="84"/>
      <c r="C663" s="60"/>
      <c r="D663" s="66"/>
      <c r="E663" s="66"/>
      <c r="F663" s="66"/>
      <c r="G663" s="66"/>
      <c r="H663" s="66"/>
      <c r="I663" s="66"/>
      <c r="J663" s="66"/>
      <c r="K663" s="66"/>
      <c r="L663" s="66"/>
      <c r="M663" s="66"/>
      <c r="N663" s="66"/>
    </row>
    <row r="664" spans="1:14" x14ac:dyDescent="0.2">
      <c r="A664" s="84"/>
      <c r="B664" s="84"/>
      <c r="C664" s="60"/>
      <c r="D664" s="66"/>
      <c r="E664" s="66"/>
      <c r="F664" s="66"/>
      <c r="G664" s="66"/>
      <c r="H664" s="66"/>
      <c r="I664" s="66"/>
      <c r="J664" s="66"/>
      <c r="K664" s="66"/>
      <c r="L664" s="66"/>
      <c r="M664" s="66"/>
      <c r="N664" s="66"/>
    </row>
    <row r="665" spans="1:14" x14ac:dyDescent="0.2">
      <c r="A665" s="84"/>
      <c r="B665" s="84"/>
      <c r="C665" s="60"/>
      <c r="D665" s="66"/>
      <c r="E665" s="66"/>
      <c r="F665" s="66"/>
      <c r="G665" s="66"/>
      <c r="H665" s="66"/>
      <c r="I665" s="66"/>
      <c r="J665" s="66"/>
      <c r="K665" s="66"/>
      <c r="L665" s="66"/>
      <c r="M665" s="66"/>
      <c r="N665" s="66"/>
    </row>
    <row r="666" spans="1:14" x14ac:dyDescent="0.2">
      <c r="A666" s="84"/>
      <c r="B666" s="84"/>
      <c r="C666" s="60"/>
      <c r="D666" s="66"/>
      <c r="E666" s="66"/>
      <c r="F666" s="66"/>
      <c r="G666" s="66"/>
      <c r="H666" s="66"/>
      <c r="I666" s="66"/>
      <c r="J666" s="66"/>
      <c r="K666" s="66"/>
      <c r="L666" s="66"/>
      <c r="M666" s="66"/>
      <c r="N666" s="66"/>
    </row>
    <row r="667" spans="1:14" x14ac:dyDescent="0.2">
      <c r="A667" s="84"/>
      <c r="B667" s="84"/>
      <c r="C667" s="60"/>
      <c r="D667" s="66"/>
      <c r="E667" s="66"/>
      <c r="F667" s="66"/>
      <c r="G667" s="66"/>
      <c r="H667" s="66"/>
      <c r="I667" s="66"/>
      <c r="J667" s="66"/>
      <c r="K667" s="66"/>
      <c r="L667" s="66"/>
      <c r="M667" s="66"/>
      <c r="N667" s="66"/>
    </row>
    <row r="668" spans="1:14" x14ac:dyDescent="0.2">
      <c r="A668" s="84"/>
      <c r="B668" s="84"/>
      <c r="C668" s="60"/>
      <c r="D668" s="66"/>
      <c r="E668" s="66"/>
      <c r="F668" s="66"/>
      <c r="G668" s="66"/>
      <c r="H668" s="66"/>
      <c r="I668" s="66"/>
      <c r="J668" s="66"/>
      <c r="K668" s="66"/>
      <c r="L668" s="66"/>
      <c r="M668" s="66"/>
      <c r="N668" s="66"/>
    </row>
    <row r="669" spans="1:14" x14ac:dyDescent="0.2">
      <c r="A669" s="84"/>
      <c r="B669" s="84"/>
      <c r="C669" s="60"/>
      <c r="D669" s="66"/>
      <c r="E669" s="66"/>
      <c r="F669" s="66"/>
      <c r="G669" s="66"/>
      <c r="H669" s="66"/>
      <c r="I669" s="66"/>
      <c r="J669" s="66"/>
      <c r="K669" s="66"/>
      <c r="L669" s="66"/>
      <c r="M669" s="66"/>
      <c r="N669" s="66"/>
    </row>
    <row r="670" spans="1:14" x14ac:dyDescent="0.2">
      <c r="A670" s="84"/>
      <c r="B670" s="84"/>
      <c r="C670" s="60"/>
      <c r="D670" s="66"/>
      <c r="E670" s="66"/>
      <c r="F670" s="66"/>
      <c r="G670" s="66"/>
      <c r="H670" s="66"/>
      <c r="I670" s="66"/>
      <c r="J670" s="66"/>
      <c r="K670" s="66"/>
      <c r="L670" s="66"/>
      <c r="M670" s="66"/>
      <c r="N670" s="66"/>
    </row>
    <row r="671" spans="1:14" x14ac:dyDescent="0.2">
      <c r="A671" s="84"/>
      <c r="B671" s="84"/>
      <c r="C671" s="60"/>
      <c r="D671" s="66"/>
      <c r="E671" s="66"/>
      <c r="F671" s="66"/>
      <c r="G671" s="66"/>
      <c r="H671" s="66"/>
      <c r="I671" s="66"/>
      <c r="J671" s="66"/>
      <c r="K671" s="66"/>
      <c r="L671" s="66"/>
      <c r="M671" s="66"/>
      <c r="N671" s="66"/>
    </row>
    <row r="672" spans="1:14" x14ac:dyDescent="0.2">
      <c r="A672" s="84"/>
      <c r="B672" s="84"/>
      <c r="C672" s="60"/>
      <c r="D672" s="66"/>
      <c r="E672" s="66"/>
      <c r="F672" s="66"/>
      <c r="G672" s="66"/>
      <c r="H672" s="66"/>
      <c r="I672" s="66"/>
      <c r="J672" s="66"/>
      <c r="K672" s="66"/>
      <c r="L672" s="66"/>
      <c r="M672" s="66"/>
      <c r="N672" s="66"/>
    </row>
    <row r="673" spans="1:14" x14ac:dyDescent="0.2">
      <c r="A673" s="84"/>
      <c r="B673" s="84"/>
      <c r="C673" s="60"/>
      <c r="D673" s="66"/>
      <c r="E673" s="66"/>
      <c r="F673" s="66"/>
      <c r="G673" s="66"/>
      <c r="H673" s="66"/>
      <c r="I673" s="66"/>
      <c r="J673" s="66"/>
      <c r="K673" s="66"/>
      <c r="L673" s="66"/>
      <c r="M673" s="66"/>
      <c r="N673" s="66"/>
    </row>
    <row r="674" spans="1:14" x14ac:dyDescent="0.2">
      <c r="A674" s="84"/>
      <c r="B674" s="84"/>
      <c r="C674" s="60"/>
      <c r="D674" s="66"/>
      <c r="E674" s="66"/>
      <c r="F674" s="66"/>
      <c r="G674" s="66"/>
      <c r="H674" s="66"/>
      <c r="I674" s="66"/>
      <c r="J674" s="66"/>
      <c r="K674" s="66"/>
      <c r="L674" s="66"/>
      <c r="M674" s="66"/>
      <c r="N674" s="66"/>
    </row>
    <row r="675" spans="1:14" x14ac:dyDescent="0.2">
      <c r="A675" s="84"/>
      <c r="B675" s="84"/>
      <c r="C675" s="60"/>
      <c r="D675" s="66"/>
      <c r="E675" s="66"/>
      <c r="F675" s="66"/>
      <c r="G675" s="66"/>
      <c r="H675" s="66"/>
      <c r="I675" s="66"/>
      <c r="J675" s="66"/>
      <c r="K675" s="66"/>
      <c r="L675" s="66"/>
      <c r="M675" s="66"/>
      <c r="N675" s="66"/>
    </row>
    <row r="676" spans="1:14" x14ac:dyDescent="0.2">
      <c r="A676" s="84"/>
      <c r="B676" s="84"/>
      <c r="C676" s="60"/>
      <c r="D676" s="66"/>
      <c r="E676" s="66"/>
      <c r="F676" s="66"/>
      <c r="G676" s="66"/>
      <c r="H676" s="66"/>
      <c r="I676" s="66"/>
      <c r="J676" s="66"/>
      <c r="K676" s="66"/>
      <c r="L676" s="66"/>
      <c r="M676" s="66"/>
      <c r="N676" s="66"/>
    </row>
    <row r="677" spans="1:14" x14ac:dyDescent="0.2">
      <c r="A677" s="84"/>
      <c r="B677" s="84"/>
      <c r="C677" s="60"/>
      <c r="D677" s="66"/>
      <c r="E677" s="66"/>
      <c r="F677" s="66"/>
      <c r="G677" s="66"/>
      <c r="H677" s="66"/>
      <c r="I677" s="66"/>
      <c r="J677" s="66"/>
      <c r="K677" s="66"/>
      <c r="L677" s="66"/>
      <c r="M677" s="66"/>
      <c r="N677" s="66"/>
    </row>
    <row r="678" spans="1:14" x14ac:dyDescent="0.2">
      <c r="A678" s="84"/>
      <c r="B678" s="84"/>
      <c r="C678" s="60"/>
      <c r="D678" s="66"/>
      <c r="E678" s="66"/>
      <c r="F678" s="66"/>
      <c r="G678" s="66"/>
      <c r="H678" s="66"/>
      <c r="I678" s="66"/>
      <c r="J678" s="66"/>
      <c r="K678" s="66"/>
      <c r="L678" s="66"/>
      <c r="M678" s="66"/>
      <c r="N678" s="66"/>
    </row>
    <row r="679" spans="1:14" x14ac:dyDescent="0.2">
      <c r="A679" s="84"/>
      <c r="B679" s="84"/>
      <c r="C679" s="60"/>
      <c r="D679" s="66"/>
      <c r="E679" s="66"/>
      <c r="F679" s="66"/>
      <c r="G679" s="66"/>
      <c r="H679" s="66"/>
      <c r="I679" s="66"/>
      <c r="J679" s="66"/>
      <c r="K679" s="66"/>
      <c r="L679" s="66"/>
      <c r="M679" s="66"/>
      <c r="N679" s="66"/>
    </row>
    <row r="680" spans="1:14" x14ac:dyDescent="0.2">
      <c r="A680" s="84"/>
      <c r="B680" s="84"/>
      <c r="C680" s="60"/>
      <c r="D680" s="66"/>
      <c r="E680" s="66"/>
      <c r="F680" s="66"/>
      <c r="G680" s="66"/>
      <c r="H680" s="66"/>
      <c r="I680" s="66"/>
      <c r="J680" s="66"/>
      <c r="K680" s="66"/>
      <c r="L680" s="66"/>
      <c r="M680" s="66"/>
      <c r="N680" s="66"/>
    </row>
    <row r="681" spans="1:14" x14ac:dyDescent="0.2">
      <c r="A681" s="84"/>
      <c r="B681" s="84"/>
      <c r="C681" s="60"/>
      <c r="D681" s="66"/>
      <c r="E681" s="66"/>
      <c r="F681" s="66"/>
      <c r="G681" s="66"/>
      <c r="H681" s="66"/>
      <c r="I681" s="66"/>
      <c r="J681" s="66"/>
      <c r="K681" s="66"/>
      <c r="L681" s="66"/>
      <c r="M681" s="66"/>
      <c r="N681" s="66"/>
    </row>
    <row r="682" spans="1:14" x14ac:dyDescent="0.2">
      <c r="A682" s="84"/>
      <c r="B682" s="84"/>
      <c r="C682" s="60"/>
      <c r="D682" s="66"/>
      <c r="E682" s="66"/>
      <c r="F682" s="66"/>
      <c r="G682" s="66"/>
      <c r="H682" s="66"/>
      <c r="I682" s="66"/>
      <c r="J682" s="66"/>
      <c r="K682" s="66"/>
      <c r="L682" s="66"/>
      <c r="M682" s="66"/>
      <c r="N682" s="66"/>
    </row>
    <row r="683" spans="1:14" x14ac:dyDescent="0.2">
      <c r="A683" s="84"/>
      <c r="B683" s="84"/>
      <c r="C683" s="60"/>
      <c r="D683" s="66"/>
      <c r="E683" s="66"/>
      <c r="F683" s="66"/>
      <c r="G683" s="66"/>
      <c r="H683" s="66"/>
      <c r="I683" s="66"/>
      <c r="J683" s="66"/>
      <c r="K683" s="66"/>
      <c r="L683" s="66"/>
      <c r="M683" s="66"/>
      <c r="N683" s="66"/>
    </row>
    <row r="684" spans="1:14" x14ac:dyDescent="0.2">
      <c r="A684" s="84"/>
      <c r="B684" s="84"/>
      <c r="C684" s="60"/>
      <c r="D684" s="66"/>
      <c r="E684" s="66"/>
      <c r="F684" s="66"/>
      <c r="G684" s="66"/>
      <c r="H684" s="66"/>
      <c r="I684" s="66"/>
      <c r="J684" s="66"/>
      <c r="K684" s="66"/>
      <c r="L684" s="66"/>
      <c r="M684" s="66"/>
      <c r="N684" s="66"/>
    </row>
    <row r="685" spans="1:14" x14ac:dyDescent="0.2">
      <c r="A685" s="84"/>
      <c r="B685" s="84"/>
      <c r="C685" s="60"/>
      <c r="D685" s="66"/>
      <c r="E685" s="66"/>
      <c r="F685" s="66"/>
      <c r="G685" s="66"/>
      <c r="H685" s="66"/>
      <c r="I685" s="66"/>
      <c r="J685" s="66"/>
      <c r="K685" s="66"/>
      <c r="L685" s="66"/>
      <c r="M685" s="66"/>
      <c r="N685" s="66"/>
    </row>
    <row r="686" spans="1:14" x14ac:dyDescent="0.2">
      <c r="A686" s="84"/>
      <c r="B686" s="84"/>
      <c r="C686" s="60"/>
      <c r="D686" s="66"/>
      <c r="E686" s="66"/>
      <c r="F686" s="66"/>
      <c r="G686" s="66"/>
      <c r="H686" s="66"/>
      <c r="I686" s="66"/>
      <c r="J686" s="66"/>
      <c r="K686" s="66"/>
      <c r="L686" s="66"/>
      <c r="M686" s="66"/>
      <c r="N686" s="66"/>
    </row>
    <row r="687" spans="1:14" x14ac:dyDescent="0.2">
      <c r="A687" s="84"/>
      <c r="B687" s="84"/>
      <c r="C687" s="60"/>
      <c r="D687" s="66"/>
      <c r="E687" s="66"/>
      <c r="F687" s="66"/>
      <c r="G687" s="66"/>
      <c r="H687" s="66"/>
      <c r="I687" s="66"/>
      <c r="J687" s="66"/>
      <c r="K687" s="66"/>
      <c r="L687" s="66"/>
      <c r="M687" s="66"/>
      <c r="N687" s="66"/>
    </row>
    <row r="688" spans="1:14" x14ac:dyDescent="0.2">
      <c r="A688" s="84"/>
      <c r="B688" s="84"/>
      <c r="C688" s="60"/>
      <c r="D688" s="66"/>
      <c r="E688" s="66"/>
      <c r="F688" s="66"/>
      <c r="G688" s="66"/>
      <c r="H688" s="66"/>
      <c r="I688" s="66"/>
      <c r="J688" s="66"/>
      <c r="K688" s="66"/>
      <c r="L688" s="66"/>
      <c r="M688" s="66"/>
      <c r="N688" s="66"/>
    </row>
    <row r="689" spans="1:14" x14ac:dyDescent="0.2">
      <c r="A689" s="84"/>
      <c r="B689" s="84"/>
      <c r="C689" s="60"/>
      <c r="D689" s="66"/>
      <c r="E689" s="66"/>
      <c r="F689" s="66"/>
      <c r="G689" s="66"/>
      <c r="H689" s="66"/>
      <c r="I689" s="66"/>
      <c r="J689" s="66"/>
      <c r="K689" s="66"/>
      <c r="L689" s="66"/>
      <c r="M689" s="66"/>
      <c r="N689" s="66"/>
    </row>
    <row r="690" spans="1:14" x14ac:dyDescent="0.2">
      <c r="A690" s="84"/>
      <c r="B690" s="84"/>
      <c r="C690" s="60"/>
      <c r="D690" s="66"/>
      <c r="E690" s="66"/>
      <c r="F690" s="66"/>
      <c r="G690" s="66"/>
      <c r="H690" s="66"/>
      <c r="I690" s="66"/>
      <c r="J690" s="66"/>
      <c r="K690" s="66"/>
      <c r="L690" s="66"/>
      <c r="M690" s="66"/>
      <c r="N690" s="66"/>
    </row>
    <row r="691" spans="1:14" x14ac:dyDescent="0.2">
      <c r="A691" s="84"/>
      <c r="B691" s="84"/>
      <c r="C691" s="60"/>
      <c r="D691" s="66"/>
      <c r="E691" s="66"/>
      <c r="F691" s="66"/>
      <c r="G691" s="66"/>
      <c r="H691" s="66"/>
      <c r="I691" s="66"/>
      <c r="J691" s="66"/>
      <c r="K691" s="66"/>
      <c r="L691" s="66"/>
      <c r="M691" s="66"/>
      <c r="N691" s="66"/>
    </row>
    <row r="692" spans="1:14" x14ac:dyDescent="0.2">
      <c r="A692" s="84"/>
      <c r="B692" s="84"/>
      <c r="C692" s="60"/>
      <c r="D692" s="66"/>
      <c r="E692" s="66"/>
      <c r="F692" s="66"/>
      <c r="G692" s="66"/>
      <c r="H692" s="66"/>
      <c r="I692" s="66"/>
      <c r="J692" s="66"/>
      <c r="K692" s="66"/>
      <c r="L692" s="66"/>
      <c r="M692" s="66"/>
      <c r="N692" s="66"/>
    </row>
    <row r="693" spans="1:14" x14ac:dyDescent="0.2">
      <c r="A693" s="84"/>
      <c r="B693" s="84"/>
      <c r="C693" s="60"/>
      <c r="D693" s="66"/>
      <c r="E693" s="66"/>
      <c r="F693" s="66"/>
      <c r="G693" s="66"/>
      <c r="H693" s="66"/>
      <c r="I693" s="66"/>
      <c r="J693" s="66"/>
      <c r="K693" s="66"/>
      <c r="L693" s="66"/>
      <c r="M693" s="66"/>
      <c r="N693" s="66"/>
    </row>
    <row r="694" spans="1:14" x14ac:dyDescent="0.2">
      <c r="A694" s="84"/>
      <c r="B694" s="84"/>
      <c r="C694" s="60"/>
      <c r="D694" s="66"/>
      <c r="E694" s="66"/>
      <c r="F694" s="66"/>
      <c r="G694" s="66"/>
      <c r="H694" s="66"/>
      <c r="I694" s="66"/>
      <c r="J694" s="66"/>
      <c r="K694" s="66"/>
      <c r="L694" s="66"/>
      <c r="M694" s="66"/>
      <c r="N694" s="66"/>
    </row>
    <row r="695" spans="1:14" x14ac:dyDescent="0.2">
      <c r="A695" s="84"/>
      <c r="B695" s="84"/>
      <c r="C695" s="60"/>
      <c r="D695" s="66"/>
      <c r="E695" s="66"/>
      <c r="F695" s="66"/>
      <c r="G695" s="66"/>
      <c r="H695" s="66"/>
      <c r="I695" s="66"/>
      <c r="J695" s="66"/>
      <c r="K695" s="66"/>
      <c r="L695" s="66"/>
      <c r="M695" s="66"/>
      <c r="N695" s="66"/>
    </row>
    <row r="696" spans="1:14" x14ac:dyDescent="0.2">
      <c r="A696" s="84"/>
      <c r="B696" s="84"/>
      <c r="C696" s="60"/>
      <c r="D696" s="66"/>
      <c r="E696" s="66"/>
      <c r="F696" s="66"/>
      <c r="G696" s="66"/>
      <c r="H696" s="66"/>
      <c r="I696" s="66"/>
      <c r="J696" s="66"/>
      <c r="K696" s="66"/>
      <c r="L696" s="66"/>
      <c r="M696" s="66"/>
      <c r="N696" s="66"/>
    </row>
    <row r="697" spans="1:14" x14ac:dyDescent="0.2">
      <c r="A697" s="84"/>
      <c r="B697" s="84"/>
      <c r="C697" s="60"/>
      <c r="D697" s="66"/>
      <c r="E697" s="66"/>
      <c r="F697" s="66"/>
      <c r="G697" s="66"/>
      <c r="H697" s="66"/>
      <c r="I697" s="66"/>
      <c r="J697" s="66"/>
      <c r="K697" s="66"/>
      <c r="L697" s="66"/>
      <c r="M697" s="66"/>
      <c r="N697" s="66"/>
    </row>
    <row r="698" spans="1:14" x14ac:dyDescent="0.2">
      <c r="A698" s="84"/>
      <c r="B698" s="84"/>
      <c r="C698" s="60"/>
      <c r="D698" s="66"/>
      <c r="E698" s="66"/>
      <c r="F698" s="66"/>
      <c r="G698" s="66"/>
      <c r="H698" s="66"/>
      <c r="I698" s="66"/>
      <c r="J698" s="66"/>
      <c r="K698" s="66"/>
      <c r="L698" s="66"/>
      <c r="M698" s="66"/>
      <c r="N698" s="66"/>
    </row>
    <row r="699" spans="1:14" x14ac:dyDescent="0.2">
      <c r="A699" s="84"/>
      <c r="B699" s="84"/>
      <c r="C699" s="60"/>
      <c r="D699" s="66"/>
      <c r="E699" s="66"/>
      <c r="F699" s="66"/>
      <c r="G699" s="66"/>
      <c r="H699" s="66"/>
      <c r="I699" s="66"/>
      <c r="J699" s="66"/>
      <c r="K699" s="66"/>
      <c r="L699" s="66"/>
      <c r="M699" s="66"/>
      <c r="N699" s="66"/>
    </row>
    <row r="700" spans="1:14" x14ac:dyDescent="0.2">
      <c r="A700" s="84"/>
      <c r="B700" s="84"/>
      <c r="C700" s="60"/>
      <c r="D700" s="66"/>
      <c r="E700" s="66"/>
      <c r="F700" s="66"/>
      <c r="G700" s="66"/>
      <c r="H700" s="66"/>
      <c r="I700" s="66"/>
      <c r="J700" s="66"/>
      <c r="K700" s="66"/>
      <c r="L700" s="66"/>
      <c r="M700" s="66"/>
      <c r="N700" s="66"/>
    </row>
    <row r="701" spans="1:14" x14ac:dyDescent="0.2">
      <c r="A701" s="84"/>
      <c r="B701" s="84"/>
      <c r="C701" s="60"/>
      <c r="D701" s="66"/>
      <c r="E701" s="66"/>
      <c r="F701" s="66"/>
      <c r="G701" s="66"/>
      <c r="H701" s="66"/>
      <c r="I701" s="66"/>
      <c r="J701" s="66"/>
      <c r="K701" s="66"/>
      <c r="L701" s="66"/>
      <c r="M701" s="66"/>
      <c r="N701" s="66"/>
    </row>
    <row r="702" spans="1:14" x14ac:dyDescent="0.2">
      <c r="A702" s="84"/>
      <c r="B702" s="84"/>
      <c r="C702" s="60"/>
      <c r="D702" s="66"/>
      <c r="E702" s="66"/>
      <c r="F702" s="66"/>
      <c r="G702" s="66"/>
      <c r="H702" s="66"/>
      <c r="I702" s="66"/>
      <c r="J702" s="66"/>
      <c r="K702" s="66"/>
      <c r="L702" s="66"/>
      <c r="M702" s="66"/>
      <c r="N702" s="66"/>
    </row>
    <row r="703" spans="1:14" x14ac:dyDescent="0.2">
      <c r="A703" s="84"/>
      <c r="B703" s="84"/>
      <c r="C703" s="60"/>
      <c r="D703" s="66"/>
      <c r="E703" s="66"/>
      <c r="F703" s="66"/>
      <c r="G703" s="66"/>
      <c r="H703" s="66"/>
      <c r="I703" s="66"/>
      <c r="J703" s="66"/>
      <c r="K703" s="66"/>
      <c r="L703" s="66"/>
      <c r="M703" s="66"/>
      <c r="N703" s="66"/>
    </row>
    <row r="704" spans="1:14" x14ac:dyDescent="0.2">
      <c r="A704" s="84"/>
      <c r="B704" s="84"/>
      <c r="C704" s="60"/>
      <c r="D704" s="66"/>
      <c r="E704" s="66"/>
      <c r="F704" s="66"/>
      <c r="G704" s="66"/>
      <c r="H704" s="66"/>
      <c r="I704" s="66"/>
      <c r="J704" s="66"/>
      <c r="K704" s="66"/>
      <c r="L704" s="66"/>
      <c r="M704" s="66"/>
      <c r="N704" s="66"/>
    </row>
    <row r="705" spans="1:14" x14ac:dyDescent="0.2">
      <c r="A705" s="84"/>
      <c r="B705" s="84"/>
      <c r="C705" s="60"/>
      <c r="D705" s="66"/>
      <c r="E705" s="66"/>
      <c r="F705" s="66"/>
      <c r="G705" s="66"/>
      <c r="H705" s="66"/>
      <c r="I705" s="66"/>
      <c r="J705" s="66"/>
      <c r="K705" s="66"/>
      <c r="L705" s="66"/>
      <c r="M705" s="66"/>
      <c r="N705" s="66"/>
    </row>
    <row r="706" spans="1:14" x14ac:dyDescent="0.2">
      <c r="A706" s="84"/>
      <c r="B706" s="84"/>
      <c r="C706" s="60"/>
      <c r="D706" s="66"/>
      <c r="E706" s="66"/>
      <c r="F706" s="66"/>
      <c r="G706" s="66"/>
      <c r="H706" s="66"/>
      <c r="I706" s="66"/>
      <c r="J706" s="66"/>
      <c r="K706" s="66"/>
      <c r="L706" s="66"/>
      <c r="M706" s="66"/>
      <c r="N706" s="66"/>
    </row>
    <row r="707" spans="1:14" x14ac:dyDescent="0.2">
      <c r="A707" s="84"/>
      <c r="B707" s="84"/>
      <c r="C707" s="60"/>
      <c r="D707" s="66"/>
      <c r="E707" s="66"/>
      <c r="F707" s="66"/>
      <c r="G707" s="66"/>
      <c r="H707" s="66"/>
      <c r="I707" s="66"/>
      <c r="J707" s="66"/>
      <c r="K707" s="66"/>
      <c r="L707" s="66"/>
      <c r="M707" s="66"/>
      <c r="N707" s="66"/>
    </row>
    <row r="708" spans="1:14" x14ac:dyDescent="0.2">
      <c r="A708" s="84"/>
      <c r="B708" s="84"/>
      <c r="C708" s="60"/>
      <c r="D708" s="66"/>
      <c r="E708" s="66"/>
      <c r="F708" s="66"/>
      <c r="G708" s="66"/>
      <c r="H708" s="66"/>
      <c r="I708" s="66"/>
      <c r="J708" s="66"/>
      <c r="K708" s="66"/>
      <c r="L708" s="66"/>
      <c r="M708" s="66"/>
      <c r="N708" s="66"/>
    </row>
    <row r="709" spans="1:14" x14ac:dyDescent="0.2">
      <c r="A709" s="84"/>
      <c r="B709" s="84"/>
      <c r="C709" s="60"/>
      <c r="D709" s="66"/>
      <c r="E709" s="66"/>
      <c r="F709" s="66"/>
      <c r="G709" s="66"/>
      <c r="H709" s="66"/>
      <c r="I709" s="66"/>
      <c r="J709" s="66"/>
      <c r="K709" s="66"/>
      <c r="L709" s="66"/>
      <c r="M709" s="66"/>
      <c r="N709" s="66"/>
    </row>
    <row r="710" spans="1:14" x14ac:dyDescent="0.2">
      <c r="A710" s="84"/>
      <c r="B710" s="84"/>
      <c r="C710" s="60"/>
      <c r="D710" s="66"/>
      <c r="E710" s="66"/>
      <c r="F710" s="66"/>
      <c r="G710" s="66"/>
      <c r="H710" s="66"/>
      <c r="I710" s="66"/>
      <c r="J710" s="66"/>
      <c r="K710" s="66"/>
      <c r="L710" s="66"/>
      <c r="M710" s="66"/>
      <c r="N710" s="66"/>
    </row>
    <row r="711" spans="1:14" x14ac:dyDescent="0.2">
      <c r="A711" s="84"/>
      <c r="B711" s="84"/>
      <c r="C711" s="60"/>
      <c r="D711" s="66"/>
      <c r="E711" s="66"/>
      <c r="F711" s="66"/>
      <c r="G711" s="66"/>
      <c r="H711" s="66"/>
      <c r="I711" s="66"/>
      <c r="J711" s="66"/>
      <c r="K711" s="66"/>
      <c r="L711" s="66"/>
      <c r="M711" s="66"/>
      <c r="N711" s="66"/>
    </row>
    <row r="712" spans="1:14" x14ac:dyDescent="0.2">
      <c r="A712" s="84"/>
      <c r="B712" s="84"/>
      <c r="C712" s="60"/>
      <c r="D712" s="66"/>
      <c r="E712" s="66"/>
      <c r="F712" s="66"/>
      <c r="G712" s="66"/>
      <c r="H712" s="66"/>
      <c r="I712" s="66"/>
      <c r="J712" s="66"/>
      <c r="K712" s="66"/>
      <c r="L712" s="66"/>
      <c r="M712" s="66"/>
      <c r="N712" s="66"/>
    </row>
    <row r="713" spans="1:14" x14ac:dyDescent="0.2">
      <c r="A713" s="84"/>
      <c r="B713" s="84"/>
      <c r="C713" s="60"/>
      <c r="D713" s="66"/>
      <c r="E713" s="66"/>
      <c r="F713" s="66"/>
      <c r="G713" s="66"/>
      <c r="H713" s="66"/>
      <c r="I713" s="66"/>
      <c r="J713" s="66"/>
      <c r="K713" s="66"/>
      <c r="L713" s="66"/>
      <c r="M713" s="66"/>
      <c r="N713" s="66"/>
    </row>
    <row r="714" spans="1:14" x14ac:dyDescent="0.2">
      <c r="A714" s="84"/>
      <c r="B714" s="84"/>
      <c r="C714" s="60"/>
      <c r="D714" s="66"/>
      <c r="E714" s="66"/>
      <c r="F714" s="66"/>
      <c r="G714" s="66"/>
      <c r="H714" s="66"/>
      <c r="I714" s="66"/>
      <c r="J714" s="66"/>
      <c r="K714" s="66"/>
      <c r="L714" s="66"/>
      <c r="M714" s="66"/>
      <c r="N714" s="66"/>
    </row>
    <row r="715" spans="1:14" x14ac:dyDescent="0.2">
      <c r="A715" s="84"/>
      <c r="B715" s="84"/>
      <c r="C715" s="60"/>
      <c r="D715" s="66"/>
      <c r="E715" s="66"/>
      <c r="F715" s="66"/>
      <c r="G715" s="66"/>
      <c r="H715" s="66"/>
      <c r="I715" s="66"/>
      <c r="J715" s="66"/>
      <c r="K715" s="66"/>
      <c r="L715" s="66"/>
      <c r="M715" s="66"/>
      <c r="N715" s="66"/>
    </row>
    <row r="716" spans="1:14" x14ac:dyDescent="0.2">
      <c r="A716" s="84"/>
      <c r="B716" s="84"/>
      <c r="C716" s="60"/>
      <c r="D716" s="66"/>
      <c r="E716" s="66"/>
      <c r="F716" s="66"/>
      <c r="G716" s="66"/>
      <c r="H716" s="66"/>
      <c r="I716" s="66"/>
      <c r="J716" s="66"/>
      <c r="K716" s="66"/>
      <c r="L716" s="66"/>
      <c r="M716" s="66"/>
      <c r="N716" s="66"/>
    </row>
    <row r="717" spans="1:14" x14ac:dyDescent="0.2">
      <c r="A717" s="84"/>
      <c r="B717" s="84"/>
      <c r="C717" s="60"/>
      <c r="D717" s="66"/>
      <c r="E717" s="66"/>
      <c r="F717" s="66"/>
      <c r="G717" s="66"/>
      <c r="H717" s="66"/>
      <c r="I717" s="66"/>
      <c r="J717" s="66"/>
      <c r="K717" s="66"/>
      <c r="L717" s="66"/>
      <c r="M717" s="66"/>
      <c r="N717" s="66"/>
    </row>
    <row r="718" spans="1:14" x14ac:dyDescent="0.2">
      <c r="A718" s="84"/>
      <c r="B718" s="84"/>
      <c r="C718" s="60"/>
      <c r="D718" s="66"/>
      <c r="E718" s="66"/>
      <c r="F718" s="66"/>
      <c r="G718" s="66"/>
      <c r="H718" s="66"/>
      <c r="I718" s="66"/>
      <c r="J718" s="66"/>
      <c r="K718" s="66"/>
      <c r="L718" s="66"/>
      <c r="M718" s="66"/>
      <c r="N718" s="66"/>
    </row>
    <row r="719" spans="1:14" x14ac:dyDescent="0.2">
      <c r="A719" s="84"/>
      <c r="B719" s="84"/>
      <c r="C719" s="60"/>
      <c r="D719" s="66"/>
      <c r="E719" s="66"/>
      <c r="F719" s="66"/>
      <c r="G719" s="66"/>
      <c r="H719" s="66"/>
      <c r="I719" s="66"/>
      <c r="J719" s="66"/>
      <c r="K719" s="66"/>
      <c r="L719" s="66"/>
      <c r="M719" s="66"/>
      <c r="N719" s="66"/>
    </row>
    <row r="720" spans="1:14" x14ac:dyDescent="0.2">
      <c r="A720" s="84"/>
      <c r="B720" s="84"/>
      <c r="C720" s="60"/>
      <c r="D720" s="66"/>
      <c r="E720" s="66"/>
      <c r="F720" s="66"/>
      <c r="G720" s="66"/>
      <c r="H720" s="66"/>
      <c r="I720" s="66"/>
      <c r="J720" s="66"/>
      <c r="K720" s="66"/>
      <c r="L720" s="66"/>
      <c r="M720" s="66"/>
      <c r="N720" s="66"/>
    </row>
    <row r="721" spans="1:14" x14ac:dyDescent="0.2">
      <c r="A721" s="84"/>
      <c r="B721" s="84"/>
      <c r="C721" s="60"/>
      <c r="D721" s="66"/>
      <c r="E721" s="66"/>
      <c r="F721" s="66"/>
      <c r="G721" s="66"/>
      <c r="H721" s="66"/>
      <c r="I721" s="66"/>
      <c r="J721" s="66"/>
      <c r="K721" s="66"/>
      <c r="L721" s="66"/>
      <c r="M721" s="66"/>
      <c r="N721" s="66"/>
    </row>
    <row r="722" spans="1:14" x14ac:dyDescent="0.2">
      <c r="A722" s="84"/>
      <c r="B722" s="84"/>
      <c r="C722" s="60"/>
      <c r="D722" s="66"/>
      <c r="E722" s="66"/>
      <c r="F722" s="66"/>
      <c r="G722" s="66"/>
      <c r="H722" s="66"/>
      <c r="I722" s="66"/>
      <c r="J722" s="66"/>
      <c r="K722" s="66"/>
      <c r="L722" s="66"/>
      <c r="M722" s="66"/>
      <c r="N722" s="66"/>
    </row>
    <row r="723" spans="1:14" x14ac:dyDescent="0.2">
      <c r="A723" s="84"/>
      <c r="B723" s="84"/>
      <c r="C723" s="60"/>
      <c r="D723" s="66"/>
      <c r="E723" s="66"/>
      <c r="F723" s="66"/>
      <c r="G723" s="66"/>
      <c r="H723" s="66"/>
      <c r="I723" s="66"/>
      <c r="J723" s="66"/>
      <c r="K723" s="66"/>
      <c r="L723" s="66"/>
      <c r="M723" s="66"/>
      <c r="N723" s="66"/>
    </row>
    <row r="724" spans="1:14" x14ac:dyDescent="0.2">
      <c r="A724" s="84"/>
      <c r="B724" s="84"/>
      <c r="C724" s="60"/>
      <c r="D724" s="66"/>
      <c r="E724" s="66"/>
      <c r="F724" s="66"/>
      <c r="G724" s="66"/>
      <c r="H724" s="66"/>
      <c r="I724" s="66"/>
      <c r="J724" s="66"/>
      <c r="K724" s="66"/>
      <c r="L724" s="66"/>
      <c r="M724" s="66"/>
      <c r="N724" s="66"/>
    </row>
    <row r="725" spans="1:14" x14ac:dyDescent="0.2">
      <c r="A725" s="84"/>
      <c r="B725" s="84"/>
      <c r="C725" s="60"/>
      <c r="D725" s="66"/>
      <c r="E725" s="66"/>
      <c r="F725" s="66"/>
      <c r="G725" s="66"/>
      <c r="H725" s="66"/>
      <c r="I725" s="66"/>
      <c r="J725" s="66"/>
      <c r="K725" s="66"/>
      <c r="L725" s="66"/>
      <c r="M725" s="66"/>
      <c r="N725" s="66"/>
    </row>
    <row r="726" spans="1:14" x14ac:dyDescent="0.2">
      <c r="A726" s="84"/>
      <c r="B726" s="84"/>
      <c r="C726" s="60"/>
      <c r="D726" s="66"/>
      <c r="E726" s="66"/>
      <c r="F726" s="66"/>
      <c r="G726" s="66"/>
      <c r="H726" s="66"/>
      <c r="I726" s="66"/>
      <c r="J726" s="66"/>
      <c r="K726" s="66"/>
      <c r="L726" s="66"/>
      <c r="M726" s="66"/>
      <c r="N726" s="66"/>
    </row>
    <row r="727" spans="1:14" x14ac:dyDescent="0.2">
      <c r="A727" s="84"/>
      <c r="B727" s="84"/>
      <c r="C727" s="60"/>
      <c r="D727" s="66"/>
      <c r="E727" s="66"/>
      <c r="F727" s="66"/>
      <c r="G727" s="66"/>
      <c r="H727" s="66"/>
      <c r="I727" s="66"/>
      <c r="J727" s="66"/>
      <c r="K727" s="66"/>
      <c r="L727" s="66"/>
      <c r="M727" s="66"/>
      <c r="N727" s="66"/>
    </row>
    <row r="728" spans="1:14" x14ac:dyDescent="0.2">
      <c r="A728" s="84"/>
      <c r="B728" s="84"/>
      <c r="C728" s="60"/>
      <c r="D728" s="66"/>
      <c r="E728" s="66"/>
      <c r="F728" s="66"/>
      <c r="G728" s="66"/>
      <c r="H728" s="66"/>
      <c r="I728" s="66"/>
      <c r="J728" s="66"/>
      <c r="K728" s="66"/>
      <c r="L728" s="66"/>
      <c r="M728" s="66"/>
      <c r="N728" s="66"/>
    </row>
    <row r="729" spans="1:14" x14ac:dyDescent="0.2">
      <c r="A729" s="84"/>
      <c r="B729" s="84"/>
      <c r="C729" s="60"/>
      <c r="D729" s="66"/>
      <c r="E729" s="66"/>
      <c r="F729" s="66"/>
      <c r="G729" s="66"/>
      <c r="H729" s="66"/>
      <c r="I729" s="66"/>
      <c r="J729" s="66"/>
      <c r="K729" s="66"/>
      <c r="L729" s="66"/>
      <c r="M729" s="66"/>
      <c r="N729" s="66"/>
    </row>
    <row r="730" spans="1:14" x14ac:dyDescent="0.2">
      <c r="A730" s="84"/>
      <c r="B730" s="84"/>
      <c r="C730" s="60"/>
      <c r="D730" s="66"/>
      <c r="E730" s="66"/>
      <c r="F730" s="66"/>
      <c r="G730" s="66"/>
      <c r="H730" s="66"/>
      <c r="I730" s="66"/>
      <c r="J730" s="66"/>
      <c r="K730" s="66"/>
      <c r="L730" s="66"/>
      <c r="M730" s="66"/>
      <c r="N730" s="66"/>
    </row>
    <row r="731" spans="1:14" x14ac:dyDescent="0.2">
      <c r="A731" s="84"/>
      <c r="B731" s="84"/>
      <c r="C731" s="60"/>
      <c r="D731" s="66"/>
      <c r="E731" s="66"/>
      <c r="F731" s="66"/>
      <c r="G731" s="66"/>
      <c r="H731" s="66"/>
      <c r="I731" s="66"/>
      <c r="J731" s="66"/>
      <c r="K731" s="66"/>
      <c r="L731" s="66"/>
      <c r="M731" s="66"/>
      <c r="N731" s="66"/>
    </row>
    <row r="732" spans="1:14" x14ac:dyDescent="0.2">
      <c r="A732" s="84"/>
      <c r="B732" s="84"/>
      <c r="C732" s="60"/>
      <c r="D732" s="66"/>
      <c r="E732" s="66"/>
      <c r="F732" s="66"/>
      <c r="G732" s="66"/>
      <c r="H732" s="66"/>
      <c r="I732" s="66"/>
      <c r="J732" s="66"/>
      <c r="K732" s="66"/>
      <c r="L732" s="66"/>
      <c r="M732" s="66"/>
      <c r="N732" s="66"/>
    </row>
    <row r="733" spans="1:14" x14ac:dyDescent="0.2">
      <c r="A733" s="84"/>
      <c r="B733" s="84"/>
      <c r="C733" s="60"/>
      <c r="D733" s="66"/>
      <c r="E733" s="66"/>
      <c r="F733" s="66"/>
      <c r="G733" s="66"/>
      <c r="H733" s="66"/>
      <c r="I733" s="66"/>
      <c r="J733" s="66"/>
      <c r="K733" s="66"/>
      <c r="L733" s="66"/>
      <c r="M733" s="66"/>
      <c r="N733" s="66"/>
    </row>
    <row r="734" spans="1:14" x14ac:dyDescent="0.2">
      <c r="A734" s="84"/>
      <c r="B734" s="84"/>
      <c r="C734" s="60"/>
      <c r="D734" s="66"/>
      <c r="E734" s="66"/>
      <c r="F734" s="66"/>
      <c r="G734" s="66"/>
      <c r="H734" s="66"/>
      <c r="I734" s="66"/>
      <c r="J734" s="66"/>
      <c r="K734" s="66"/>
      <c r="L734" s="66"/>
      <c r="M734" s="66"/>
      <c r="N734" s="66"/>
    </row>
    <row r="735" spans="1:14" x14ac:dyDescent="0.2">
      <c r="A735" s="84"/>
      <c r="B735" s="84"/>
      <c r="C735" s="60"/>
      <c r="D735" s="66"/>
      <c r="E735" s="66"/>
      <c r="F735" s="66"/>
      <c r="G735" s="66"/>
      <c r="H735" s="66"/>
      <c r="I735" s="66"/>
      <c r="J735" s="66"/>
      <c r="K735" s="66"/>
      <c r="L735" s="66"/>
      <c r="M735" s="66"/>
      <c r="N735" s="66"/>
    </row>
    <row r="736" spans="1:14" x14ac:dyDescent="0.2">
      <c r="A736" s="84"/>
      <c r="B736" s="84"/>
      <c r="C736" s="60"/>
      <c r="D736" s="66"/>
      <c r="E736" s="66"/>
      <c r="F736" s="66"/>
      <c r="G736" s="66"/>
      <c r="H736" s="66"/>
      <c r="I736" s="66"/>
      <c r="J736" s="66"/>
      <c r="K736" s="66"/>
      <c r="L736" s="66"/>
      <c r="M736" s="66"/>
      <c r="N736" s="66"/>
    </row>
    <row r="737" spans="1:14" x14ac:dyDescent="0.2">
      <c r="A737" s="84"/>
      <c r="B737" s="84"/>
      <c r="C737" s="60"/>
      <c r="D737" s="66"/>
      <c r="E737" s="66"/>
      <c r="F737" s="66"/>
      <c r="G737" s="66"/>
      <c r="H737" s="66"/>
      <c r="I737" s="66"/>
      <c r="J737" s="66"/>
      <c r="K737" s="66"/>
      <c r="L737" s="66"/>
      <c r="M737" s="66"/>
      <c r="N737" s="66"/>
    </row>
    <row r="738" spans="1:14" x14ac:dyDescent="0.2">
      <c r="A738" s="84"/>
      <c r="B738" s="84"/>
      <c r="C738" s="60"/>
      <c r="D738" s="66"/>
      <c r="E738" s="66"/>
      <c r="F738" s="66"/>
      <c r="G738" s="66"/>
      <c r="H738" s="66"/>
      <c r="I738" s="66"/>
      <c r="J738" s="66"/>
      <c r="K738" s="66"/>
      <c r="L738" s="66"/>
      <c r="M738" s="66"/>
      <c r="N738" s="66"/>
    </row>
    <row r="739" spans="1:14" x14ac:dyDescent="0.2">
      <c r="A739" s="84"/>
      <c r="B739" s="84"/>
      <c r="C739" s="60"/>
      <c r="D739" s="66"/>
      <c r="E739" s="66"/>
      <c r="F739" s="66"/>
      <c r="G739" s="66"/>
      <c r="H739" s="66"/>
      <c r="I739" s="66"/>
      <c r="J739" s="66"/>
      <c r="K739" s="66"/>
      <c r="L739" s="66"/>
      <c r="M739" s="66"/>
      <c r="N739" s="66"/>
    </row>
    <row r="740" spans="1:14" x14ac:dyDescent="0.2">
      <c r="A740" s="84"/>
      <c r="B740" s="84"/>
      <c r="C740" s="60"/>
      <c r="D740" s="66"/>
      <c r="E740" s="66"/>
      <c r="F740" s="66"/>
      <c r="G740" s="66"/>
      <c r="H740" s="66"/>
      <c r="I740" s="66"/>
      <c r="J740" s="66"/>
      <c r="K740" s="66"/>
      <c r="L740" s="66"/>
      <c r="M740" s="66"/>
      <c r="N740" s="66"/>
    </row>
    <row r="741" spans="1:14" x14ac:dyDescent="0.2">
      <c r="A741" s="84"/>
      <c r="B741" s="84"/>
      <c r="C741" s="60"/>
      <c r="D741" s="66"/>
      <c r="E741" s="66"/>
      <c r="F741" s="66"/>
      <c r="G741" s="66"/>
      <c r="H741" s="66"/>
      <c r="I741" s="66"/>
      <c r="J741" s="66"/>
      <c r="K741" s="66"/>
      <c r="L741" s="66"/>
      <c r="M741" s="66"/>
      <c r="N741" s="66"/>
    </row>
    <row r="742" spans="1:14" x14ac:dyDescent="0.2">
      <c r="A742" s="84"/>
      <c r="B742" s="84"/>
      <c r="C742" s="60"/>
      <c r="D742" s="66"/>
      <c r="E742" s="66"/>
      <c r="F742" s="66"/>
      <c r="G742" s="66"/>
      <c r="H742" s="66"/>
      <c r="I742" s="66"/>
      <c r="J742" s="66"/>
      <c r="K742" s="66"/>
      <c r="L742" s="66"/>
      <c r="M742" s="66"/>
      <c r="N742" s="66"/>
    </row>
    <row r="743" spans="1:14" x14ac:dyDescent="0.2">
      <c r="A743" s="84"/>
      <c r="B743" s="84"/>
      <c r="C743" s="60"/>
      <c r="D743" s="66"/>
      <c r="E743" s="66"/>
      <c r="F743" s="66"/>
      <c r="G743" s="66"/>
      <c r="H743" s="66"/>
      <c r="I743" s="66"/>
      <c r="J743" s="66"/>
      <c r="K743" s="66"/>
      <c r="L743" s="66"/>
      <c r="M743" s="66"/>
      <c r="N743" s="66"/>
    </row>
    <row r="744" spans="1:14" x14ac:dyDescent="0.2">
      <c r="A744" s="84"/>
      <c r="B744" s="84"/>
      <c r="C744" s="60"/>
      <c r="D744" s="66"/>
      <c r="E744" s="66"/>
      <c r="F744" s="66"/>
      <c r="G744" s="66"/>
      <c r="H744" s="66"/>
      <c r="I744" s="66"/>
      <c r="J744" s="66"/>
      <c r="K744" s="66"/>
      <c r="L744" s="66"/>
      <c r="M744" s="66"/>
      <c r="N744" s="66"/>
    </row>
    <row r="745" spans="1:14" x14ac:dyDescent="0.2">
      <c r="A745" s="84"/>
      <c r="B745" s="84"/>
      <c r="C745" s="60"/>
      <c r="D745" s="66"/>
      <c r="E745" s="66"/>
      <c r="F745" s="66"/>
      <c r="G745" s="66"/>
      <c r="H745" s="66"/>
      <c r="I745" s="66"/>
      <c r="J745" s="66"/>
      <c r="K745" s="66"/>
      <c r="L745" s="66"/>
      <c r="M745" s="66"/>
      <c r="N745" s="66"/>
    </row>
    <row r="746" spans="1:14" x14ac:dyDescent="0.2">
      <c r="A746" s="84"/>
      <c r="B746" s="84"/>
      <c r="C746" s="60"/>
      <c r="D746" s="66"/>
      <c r="E746" s="66"/>
      <c r="F746" s="66"/>
      <c r="G746" s="66"/>
      <c r="H746" s="66"/>
      <c r="I746" s="66"/>
      <c r="J746" s="66"/>
      <c r="K746" s="66"/>
      <c r="L746" s="66"/>
      <c r="M746" s="66"/>
      <c r="N746" s="66"/>
    </row>
    <row r="747" spans="1:14" x14ac:dyDescent="0.2">
      <c r="A747" s="84"/>
      <c r="B747" s="84"/>
      <c r="C747" s="60"/>
      <c r="D747" s="66"/>
      <c r="E747" s="66"/>
      <c r="F747" s="66"/>
      <c r="G747" s="66"/>
      <c r="H747" s="66"/>
      <c r="I747" s="66"/>
      <c r="J747" s="66"/>
      <c r="K747" s="66"/>
      <c r="L747" s="66"/>
      <c r="M747" s="66"/>
      <c r="N747" s="66"/>
    </row>
    <row r="748" spans="1:14" x14ac:dyDescent="0.2">
      <c r="A748" s="84"/>
      <c r="B748" s="84"/>
      <c r="C748" s="60"/>
      <c r="D748" s="66"/>
      <c r="E748" s="66"/>
      <c r="F748" s="66"/>
      <c r="G748" s="66"/>
      <c r="H748" s="66"/>
      <c r="I748" s="66"/>
      <c r="J748" s="66"/>
      <c r="K748" s="66"/>
      <c r="L748" s="66"/>
      <c r="M748" s="66"/>
      <c r="N748" s="66"/>
    </row>
    <row r="749" spans="1:14" x14ac:dyDescent="0.2">
      <c r="A749" s="84"/>
      <c r="B749" s="84"/>
      <c r="C749" s="60"/>
      <c r="D749" s="66"/>
      <c r="E749" s="66"/>
      <c r="F749" s="66"/>
      <c r="G749" s="66"/>
      <c r="H749" s="66"/>
      <c r="I749" s="66"/>
      <c r="J749" s="66"/>
      <c r="K749" s="66"/>
      <c r="L749" s="66"/>
      <c r="M749" s="66"/>
      <c r="N749" s="66"/>
    </row>
    <row r="750" spans="1:14" x14ac:dyDescent="0.2">
      <c r="A750" s="84"/>
      <c r="B750" s="84"/>
      <c r="C750" s="60"/>
      <c r="D750" s="66"/>
      <c r="E750" s="66"/>
      <c r="F750" s="66"/>
      <c r="G750" s="66"/>
      <c r="H750" s="66"/>
      <c r="I750" s="66"/>
      <c r="J750" s="66"/>
      <c r="K750" s="66"/>
      <c r="L750" s="66"/>
      <c r="M750" s="66"/>
      <c r="N750" s="66"/>
    </row>
    <row r="751" spans="1:14" x14ac:dyDescent="0.2">
      <c r="A751" s="84"/>
      <c r="B751" s="84"/>
      <c r="C751" s="60"/>
      <c r="D751" s="66"/>
      <c r="E751" s="66"/>
      <c r="F751" s="66"/>
      <c r="G751" s="66"/>
      <c r="H751" s="66"/>
      <c r="I751" s="66"/>
      <c r="J751" s="66"/>
      <c r="K751" s="66"/>
      <c r="L751" s="66"/>
      <c r="M751" s="66"/>
      <c r="N751" s="66"/>
    </row>
    <row r="752" spans="1:14" x14ac:dyDescent="0.2">
      <c r="A752" s="84"/>
      <c r="B752" s="84"/>
      <c r="C752" s="60"/>
      <c r="D752" s="66"/>
      <c r="E752" s="66"/>
      <c r="F752" s="66"/>
      <c r="G752" s="66"/>
      <c r="H752" s="66"/>
      <c r="I752" s="66"/>
      <c r="J752" s="66"/>
      <c r="K752" s="66"/>
      <c r="L752" s="66"/>
      <c r="M752" s="66"/>
      <c r="N752" s="66"/>
    </row>
    <row r="753" spans="1:14" x14ac:dyDescent="0.2">
      <c r="A753" s="84"/>
      <c r="B753" s="84"/>
      <c r="C753" s="60"/>
      <c r="D753" s="66"/>
      <c r="E753" s="66"/>
      <c r="F753" s="66"/>
      <c r="G753" s="66"/>
      <c r="H753" s="66"/>
      <c r="I753" s="66"/>
      <c r="J753" s="66"/>
      <c r="K753" s="66"/>
      <c r="L753" s="66"/>
      <c r="M753" s="66"/>
      <c r="N753" s="66"/>
    </row>
    <row r="754" spans="1:14" x14ac:dyDescent="0.2">
      <c r="A754" s="84"/>
      <c r="B754" s="84"/>
      <c r="C754" s="60"/>
      <c r="D754" s="66"/>
      <c r="E754" s="66"/>
      <c r="F754" s="66"/>
      <c r="G754" s="66"/>
      <c r="H754" s="66"/>
      <c r="I754" s="66"/>
      <c r="J754" s="66"/>
      <c r="K754" s="66"/>
      <c r="L754" s="66"/>
      <c r="M754" s="66"/>
      <c r="N754" s="66"/>
    </row>
    <row r="755" spans="1:14" x14ac:dyDescent="0.2">
      <c r="A755" s="84"/>
      <c r="B755" s="84"/>
      <c r="C755" s="60"/>
      <c r="D755" s="66"/>
      <c r="E755" s="66"/>
      <c r="F755" s="66"/>
      <c r="G755" s="66"/>
      <c r="H755" s="66"/>
      <c r="I755" s="66"/>
      <c r="J755" s="66"/>
      <c r="K755" s="66"/>
      <c r="L755" s="66"/>
      <c r="M755" s="66"/>
      <c r="N755" s="66"/>
    </row>
    <row r="756" spans="1:14" x14ac:dyDescent="0.2">
      <c r="A756" s="84"/>
      <c r="B756" s="84"/>
      <c r="C756" s="60"/>
      <c r="D756" s="66"/>
      <c r="E756" s="66"/>
      <c r="F756" s="66"/>
      <c r="G756" s="66"/>
      <c r="H756" s="66"/>
      <c r="I756" s="66"/>
      <c r="J756" s="66"/>
      <c r="K756" s="66"/>
      <c r="L756" s="66"/>
      <c r="M756" s="66"/>
      <c r="N756" s="66"/>
    </row>
    <row r="757" spans="1:14" x14ac:dyDescent="0.2">
      <c r="A757" s="84"/>
      <c r="B757" s="84"/>
      <c r="C757" s="60"/>
      <c r="D757" s="66"/>
      <c r="E757" s="66"/>
      <c r="F757" s="66"/>
      <c r="G757" s="66"/>
      <c r="H757" s="66"/>
      <c r="I757" s="66"/>
      <c r="J757" s="66"/>
      <c r="K757" s="66"/>
      <c r="L757" s="66"/>
      <c r="M757" s="66"/>
      <c r="N757" s="66"/>
    </row>
    <row r="758" spans="1:14" x14ac:dyDescent="0.2">
      <c r="A758" s="84"/>
      <c r="B758" s="84"/>
      <c r="C758" s="60"/>
      <c r="D758" s="66"/>
      <c r="E758" s="66"/>
      <c r="F758" s="66"/>
      <c r="G758" s="66"/>
      <c r="H758" s="66"/>
      <c r="I758" s="66"/>
      <c r="J758" s="66"/>
      <c r="K758" s="66"/>
      <c r="L758" s="66"/>
      <c r="M758" s="66"/>
      <c r="N758" s="66"/>
    </row>
    <row r="759" spans="1:14" x14ac:dyDescent="0.2">
      <c r="A759" s="84"/>
      <c r="B759" s="84"/>
      <c r="C759" s="60"/>
      <c r="D759" s="66"/>
      <c r="E759" s="66"/>
      <c r="F759" s="66"/>
      <c r="G759" s="66"/>
      <c r="H759" s="66"/>
      <c r="I759" s="66"/>
      <c r="J759" s="66"/>
      <c r="K759" s="66"/>
      <c r="L759" s="66"/>
      <c r="M759" s="66"/>
      <c r="N759" s="66"/>
    </row>
    <row r="760" spans="1:14" x14ac:dyDescent="0.2">
      <c r="A760" s="84"/>
      <c r="B760" s="84"/>
      <c r="C760" s="60"/>
      <c r="D760" s="66"/>
      <c r="E760" s="66"/>
      <c r="F760" s="66"/>
      <c r="G760" s="66"/>
      <c r="H760" s="66"/>
      <c r="I760" s="66"/>
      <c r="J760" s="66"/>
      <c r="K760" s="66"/>
      <c r="L760" s="66"/>
      <c r="M760" s="66"/>
      <c r="N760" s="66"/>
    </row>
    <row r="761" spans="1:14" x14ac:dyDescent="0.2">
      <c r="A761" s="84"/>
      <c r="B761" s="84"/>
      <c r="C761" s="60"/>
      <c r="D761" s="66"/>
      <c r="E761" s="66"/>
      <c r="F761" s="66"/>
      <c r="G761" s="66"/>
      <c r="H761" s="66"/>
      <c r="I761" s="66"/>
      <c r="J761" s="66"/>
      <c r="K761" s="66"/>
      <c r="L761" s="66"/>
      <c r="M761" s="66"/>
      <c r="N761" s="66"/>
    </row>
    <row r="762" spans="1:14" x14ac:dyDescent="0.2">
      <c r="A762" s="84"/>
      <c r="B762" s="84"/>
      <c r="C762" s="60"/>
      <c r="D762" s="66"/>
      <c r="E762" s="66"/>
      <c r="F762" s="66"/>
      <c r="G762" s="66"/>
      <c r="H762" s="66"/>
      <c r="I762" s="66"/>
      <c r="J762" s="66"/>
      <c r="K762" s="66"/>
      <c r="L762" s="66"/>
      <c r="M762" s="66"/>
      <c r="N762" s="66"/>
    </row>
    <row r="763" spans="1:14" x14ac:dyDescent="0.2">
      <c r="A763" s="84"/>
      <c r="B763" s="84"/>
      <c r="C763" s="60"/>
      <c r="D763" s="66"/>
      <c r="E763" s="66"/>
      <c r="F763" s="66"/>
      <c r="G763" s="66"/>
      <c r="H763" s="66"/>
      <c r="I763" s="66"/>
      <c r="J763" s="66"/>
      <c r="K763" s="66"/>
      <c r="L763" s="66"/>
      <c r="M763" s="66"/>
      <c r="N763" s="66"/>
    </row>
    <row r="764" spans="1:14" x14ac:dyDescent="0.2">
      <c r="A764" s="84"/>
      <c r="B764" s="84"/>
      <c r="C764" s="60"/>
      <c r="D764" s="66"/>
      <c r="E764" s="66"/>
      <c r="F764" s="66"/>
      <c r="G764" s="66"/>
      <c r="H764" s="66"/>
      <c r="I764" s="66"/>
      <c r="J764" s="66"/>
      <c r="K764" s="66"/>
      <c r="L764" s="66"/>
      <c r="M764" s="66"/>
      <c r="N764" s="66"/>
    </row>
    <row r="765" spans="1:14" x14ac:dyDescent="0.2">
      <c r="A765" s="84"/>
      <c r="B765" s="84"/>
      <c r="C765" s="60"/>
      <c r="D765" s="66"/>
      <c r="E765" s="66"/>
      <c r="F765" s="66"/>
      <c r="G765" s="66"/>
      <c r="H765" s="66"/>
      <c r="I765" s="66"/>
      <c r="J765" s="66"/>
      <c r="K765" s="66"/>
      <c r="L765" s="66"/>
      <c r="M765" s="66"/>
      <c r="N765" s="66"/>
    </row>
    <row r="766" spans="1:14" x14ac:dyDescent="0.2">
      <c r="A766" s="84"/>
      <c r="B766" s="84"/>
      <c r="C766" s="60"/>
      <c r="D766" s="66"/>
      <c r="E766" s="66"/>
      <c r="F766" s="66"/>
      <c r="G766" s="66"/>
      <c r="H766" s="66"/>
      <c r="I766" s="66"/>
      <c r="J766" s="66"/>
      <c r="K766" s="66"/>
      <c r="L766" s="66"/>
      <c r="M766" s="66"/>
      <c r="N766" s="66"/>
    </row>
    <row r="767" spans="1:14" x14ac:dyDescent="0.2">
      <c r="A767" s="84"/>
      <c r="B767" s="84"/>
      <c r="C767" s="60"/>
      <c r="D767" s="66"/>
      <c r="E767" s="66"/>
      <c r="F767" s="66"/>
      <c r="G767" s="66"/>
      <c r="H767" s="66"/>
      <c r="I767" s="66"/>
      <c r="J767" s="66"/>
      <c r="K767" s="66"/>
      <c r="L767" s="66"/>
      <c r="M767" s="66"/>
      <c r="N767" s="66"/>
    </row>
    <row r="768" spans="1:14" x14ac:dyDescent="0.2">
      <c r="A768" s="84"/>
      <c r="B768" s="84"/>
      <c r="C768" s="60"/>
      <c r="D768" s="66"/>
      <c r="E768" s="66"/>
      <c r="F768" s="66"/>
      <c r="G768" s="66"/>
      <c r="H768" s="66"/>
      <c r="I768" s="66"/>
      <c r="J768" s="66"/>
      <c r="K768" s="66"/>
      <c r="L768" s="66"/>
      <c r="M768" s="66"/>
      <c r="N768" s="66"/>
    </row>
    <row r="769" spans="1:14" x14ac:dyDescent="0.2">
      <c r="A769" s="84"/>
      <c r="B769" s="84"/>
      <c r="C769" s="60"/>
      <c r="D769" s="66"/>
      <c r="E769" s="66"/>
      <c r="F769" s="66"/>
      <c r="G769" s="66"/>
      <c r="H769" s="66"/>
      <c r="I769" s="66"/>
      <c r="J769" s="66"/>
      <c r="K769" s="66"/>
      <c r="L769" s="66"/>
      <c r="M769" s="66"/>
      <c r="N769" s="66"/>
    </row>
    <row r="770" spans="1:14" x14ac:dyDescent="0.2">
      <c r="A770" s="84"/>
      <c r="B770" s="84"/>
      <c r="C770" s="60"/>
      <c r="D770" s="66"/>
      <c r="E770" s="66"/>
      <c r="F770" s="66"/>
      <c r="G770" s="66"/>
      <c r="H770" s="66"/>
      <c r="I770" s="66"/>
      <c r="J770" s="66"/>
      <c r="K770" s="66"/>
      <c r="L770" s="66"/>
      <c r="M770" s="66"/>
      <c r="N770" s="66"/>
    </row>
    <row r="771" spans="1:14" x14ac:dyDescent="0.2">
      <c r="A771" s="84"/>
      <c r="B771" s="84"/>
      <c r="C771" s="60"/>
      <c r="D771" s="66"/>
      <c r="E771" s="66"/>
      <c r="F771" s="66"/>
      <c r="G771" s="66"/>
      <c r="H771" s="66"/>
      <c r="I771" s="66"/>
      <c r="J771" s="66"/>
      <c r="K771" s="66"/>
      <c r="L771" s="66"/>
      <c r="M771" s="66"/>
      <c r="N771" s="66"/>
    </row>
    <row r="772" spans="1:14" x14ac:dyDescent="0.2">
      <c r="A772" s="84"/>
      <c r="B772" s="84"/>
      <c r="C772" s="60"/>
      <c r="D772" s="66"/>
      <c r="E772" s="66"/>
      <c r="F772" s="66"/>
      <c r="G772" s="66"/>
      <c r="H772" s="66"/>
      <c r="I772" s="66"/>
      <c r="J772" s="66"/>
      <c r="K772" s="66"/>
      <c r="L772" s="66"/>
      <c r="M772" s="66"/>
      <c r="N772" s="66"/>
    </row>
    <row r="773" spans="1:14" x14ac:dyDescent="0.2">
      <c r="A773" s="84"/>
      <c r="B773" s="84"/>
      <c r="C773" s="60"/>
      <c r="D773" s="66"/>
      <c r="E773" s="66"/>
      <c r="F773" s="66"/>
      <c r="G773" s="66"/>
      <c r="H773" s="66"/>
      <c r="I773" s="66"/>
      <c r="J773" s="66"/>
      <c r="K773" s="66"/>
      <c r="L773" s="66"/>
      <c r="M773" s="66"/>
      <c r="N773" s="66"/>
    </row>
    <row r="774" spans="1:14" x14ac:dyDescent="0.2">
      <c r="A774" s="84"/>
      <c r="B774" s="84"/>
      <c r="C774" s="60"/>
      <c r="D774" s="66"/>
      <c r="E774" s="66"/>
      <c r="F774" s="66"/>
      <c r="G774" s="66"/>
      <c r="H774" s="66"/>
      <c r="I774" s="66"/>
      <c r="J774" s="66"/>
      <c r="K774" s="66"/>
      <c r="L774" s="66"/>
      <c r="M774" s="66"/>
      <c r="N774" s="66"/>
    </row>
    <row r="775" spans="1:14" x14ac:dyDescent="0.2">
      <c r="A775" s="84"/>
      <c r="B775" s="84"/>
      <c r="C775" s="60"/>
      <c r="D775" s="66"/>
      <c r="E775" s="66"/>
      <c r="F775" s="66"/>
      <c r="G775" s="66"/>
      <c r="H775" s="66"/>
      <c r="I775" s="66"/>
      <c r="J775" s="66"/>
      <c r="K775" s="66"/>
      <c r="L775" s="66"/>
      <c r="M775" s="66"/>
      <c r="N775" s="66"/>
    </row>
    <row r="776" spans="1:14" x14ac:dyDescent="0.2">
      <c r="A776" s="84"/>
      <c r="B776" s="84"/>
      <c r="C776" s="60"/>
      <c r="D776" s="66"/>
      <c r="E776" s="66"/>
      <c r="F776" s="66"/>
      <c r="G776" s="66"/>
      <c r="H776" s="66"/>
      <c r="I776" s="66"/>
      <c r="J776" s="66"/>
      <c r="K776" s="66"/>
      <c r="L776" s="66"/>
      <c r="M776" s="66"/>
      <c r="N776" s="66"/>
    </row>
    <row r="777" spans="1:14" x14ac:dyDescent="0.2">
      <c r="A777" s="84"/>
      <c r="B777" s="84"/>
      <c r="C777" s="60"/>
      <c r="D777" s="66"/>
      <c r="E777" s="66"/>
      <c r="F777" s="66"/>
      <c r="G777" s="66"/>
      <c r="H777" s="66"/>
      <c r="I777" s="66"/>
      <c r="J777" s="66"/>
      <c r="K777" s="66"/>
      <c r="L777" s="66"/>
      <c r="M777" s="66"/>
      <c r="N777" s="66"/>
    </row>
    <row r="778" spans="1:14" x14ac:dyDescent="0.2">
      <c r="A778" s="84"/>
      <c r="B778" s="84"/>
      <c r="C778" s="60"/>
      <c r="D778" s="66"/>
      <c r="E778" s="66"/>
      <c r="F778" s="66"/>
      <c r="G778" s="66"/>
      <c r="H778" s="66"/>
      <c r="I778" s="66"/>
      <c r="J778" s="66"/>
      <c r="K778" s="66"/>
      <c r="L778" s="66"/>
      <c r="M778" s="66"/>
      <c r="N778" s="66"/>
    </row>
    <row r="779" spans="1:14" x14ac:dyDescent="0.2">
      <c r="A779" s="84"/>
      <c r="B779" s="84"/>
      <c r="C779" s="60"/>
      <c r="D779" s="66"/>
      <c r="E779" s="66"/>
      <c r="F779" s="66"/>
      <c r="G779" s="66"/>
      <c r="H779" s="66"/>
      <c r="I779" s="66"/>
      <c r="J779" s="66"/>
      <c r="K779" s="66"/>
      <c r="L779" s="66"/>
      <c r="M779" s="66"/>
      <c r="N779" s="66"/>
    </row>
    <row r="780" spans="1:14" x14ac:dyDescent="0.2">
      <c r="A780" s="84"/>
      <c r="B780" s="84"/>
      <c r="C780" s="60"/>
      <c r="D780" s="66"/>
      <c r="E780" s="66"/>
      <c r="F780" s="66"/>
      <c r="G780" s="66"/>
      <c r="H780" s="66"/>
      <c r="I780" s="66"/>
      <c r="J780" s="66"/>
      <c r="K780" s="66"/>
      <c r="L780" s="66"/>
      <c r="M780" s="66"/>
      <c r="N780" s="66"/>
    </row>
    <row r="781" spans="1:14" x14ac:dyDescent="0.2">
      <c r="A781" s="84"/>
      <c r="B781" s="84"/>
      <c r="C781" s="60"/>
      <c r="D781" s="66"/>
      <c r="E781" s="66"/>
      <c r="F781" s="66"/>
      <c r="G781" s="66"/>
      <c r="H781" s="66"/>
      <c r="I781" s="66"/>
      <c r="J781" s="66"/>
      <c r="K781" s="66"/>
      <c r="L781" s="66"/>
      <c r="M781" s="66"/>
      <c r="N781" s="66"/>
    </row>
    <row r="782" spans="1:14" x14ac:dyDescent="0.2">
      <c r="A782" s="84"/>
      <c r="B782" s="84"/>
      <c r="C782" s="60"/>
      <c r="D782" s="66"/>
      <c r="E782" s="66"/>
      <c r="F782" s="66"/>
      <c r="G782" s="66"/>
      <c r="H782" s="66"/>
      <c r="I782" s="66"/>
      <c r="J782" s="66"/>
      <c r="K782" s="66"/>
      <c r="L782" s="66"/>
      <c r="M782" s="66"/>
      <c r="N782" s="66"/>
    </row>
    <row r="783" spans="1:14" x14ac:dyDescent="0.2">
      <c r="A783" s="84"/>
      <c r="B783" s="84"/>
      <c r="C783" s="60"/>
      <c r="D783" s="66"/>
      <c r="E783" s="66"/>
      <c r="F783" s="66"/>
      <c r="G783" s="66"/>
      <c r="H783" s="66"/>
      <c r="I783" s="66"/>
      <c r="J783" s="66"/>
      <c r="K783" s="66"/>
      <c r="L783" s="66"/>
      <c r="M783" s="66"/>
      <c r="N783" s="66"/>
    </row>
    <row r="784" spans="1:14" x14ac:dyDescent="0.2">
      <c r="A784" s="84"/>
      <c r="B784" s="84"/>
      <c r="C784" s="60"/>
      <c r="D784" s="66"/>
      <c r="E784" s="66"/>
      <c r="F784" s="66"/>
      <c r="G784" s="66"/>
      <c r="H784" s="66"/>
      <c r="I784" s="66"/>
      <c r="J784" s="66"/>
      <c r="K784" s="66"/>
      <c r="L784" s="66"/>
      <c r="M784" s="66"/>
      <c r="N784" s="66"/>
    </row>
    <row r="785" spans="1:14" x14ac:dyDescent="0.2">
      <c r="A785" s="84"/>
      <c r="B785" s="84"/>
      <c r="C785" s="60"/>
      <c r="D785" s="66"/>
      <c r="E785" s="66"/>
      <c r="F785" s="66"/>
      <c r="G785" s="66"/>
      <c r="H785" s="66"/>
      <c r="I785" s="66"/>
      <c r="J785" s="66"/>
      <c r="K785" s="66"/>
      <c r="L785" s="66"/>
      <c r="M785" s="66"/>
      <c r="N785" s="66"/>
    </row>
    <row r="786" spans="1:14" x14ac:dyDescent="0.2">
      <c r="A786" s="84"/>
      <c r="B786" s="84"/>
      <c r="C786" s="60"/>
      <c r="D786" s="66"/>
      <c r="E786" s="66"/>
      <c r="F786" s="66"/>
      <c r="G786" s="66"/>
      <c r="H786" s="66"/>
      <c r="I786" s="66"/>
      <c r="J786" s="66"/>
      <c r="K786" s="66"/>
      <c r="L786" s="66"/>
      <c r="M786" s="66"/>
      <c r="N786" s="66"/>
    </row>
    <row r="787" spans="1:14" x14ac:dyDescent="0.2">
      <c r="A787" s="84"/>
      <c r="B787" s="84"/>
      <c r="C787" s="60"/>
      <c r="D787" s="66"/>
      <c r="E787" s="66"/>
      <c r="F787" s="66"/>
      <c r="G787" s="66"/>
      <c r="H787" s="66"/>
      <c r="I787" s="66"/>
      <c r="J787" s="66"/>
      <c r="K787" s="66"/>
      <c r="L787" s="66"/>
      <c r="M787" s="66"/>
      <c r="N787" s="66"/>
    </row>
    <row r="788" spans="1:14" x14ac:dyDescent="0.2">
      <c r="A788" s="84"/>
      <c r="B788" s="84"/>
      <c r="C788" s="60"/>
      <c r="D788" s="66"/>
      <c r="E788" s="66"/>
      <c r="F788" s="66"/>
      <c r="G788" s="66"/>
      <c r="H788" s="66"/>
      <c r="I788" s="66"/>
      <c r="J788" s="66"/>
      <c r="K788" s="66"/>
      <c r="L788" s="66"/>
      <c r="M788" s="66"/>
      <c r="N788" s="66"/>
    </row>
    <row r="789" spans="1:14" x14ac:dyDescent="0.2">
      <c r="A789" s="84"/>
      <c r="B789" s="84"/>
      <c r="C789" s="60"/>
      <c r="D789" s="66"/>
      <c r="E789" s="66"/>
      <c r="F789" s="66"/>
      <c r="G789" s="66"/>
      <c r="H789" s="66"/>
      <c r="I789" s="66"/>
      <c r="J789" s="66"/>
      <c r="K789" s="66"/>
      <c r="L789" s="66"/>
      <c r="M789" s="66"/>
      <c r="N789" s="66"/>
    </row>
    <row r="790" spans="1:14" x14ac:dyDescent="0.2">
      <c r="A790" s="84"/>
      <c r="B790" s="84"/>
      <c r="C790" s="60"/>
      <c r="D790" s="66"/>
      <c r="E790" s="66"/>
      <c r="F790" s="66"/>
      <c r="G790" s="66"/>
      <c r="H790" s="66"/>
      <c r="I790" s="66"/>
      <c r="J790" s="66"/>
      <c r="K790" s="66"/>
      <c r="L790" s="66"/>
      <c r="M790" s="66"/>
      <c r="N790" s="66"/>
    </row>
    <row r="791" spans="1:14" x14ac:dyDescent="0.2">
      <c r="A791" s="84"/>
      <c r="B791" s="84"/>
      <c r="C791" s="60"/>
      <c r="D791" s="66"/>
      <c r="E791" s="66"/>
      <c r="F791" s="66"/>
      <c r="G791" s="66"/>
      <c r="H791" s="66"/>
      <c r="I791" s="66"/>
      <c r="J791" s="66"/>
      <c r="K791" s="66"/>
      <c r="L791" s="66"/>
      <c r="M791" s="66"/>
      <c r="N791" s="66"/>
    </row>
    <row r="792" spans="1:14" x14ac:dyDescent="0.2">
      <c r="A792" s="84"/>
      <c r="B792" s="84"/>
      <c r="C792" s="60"/>
      <c r="D792" s="66"/>
      <c r="E792" s="66"/>
      <c r="F792" s="66"/>
      <c r="G792" s="66"/>
      <c r="H792" s="66"/>
      <c r="I792" s="66"/>
      <c r="J792" s="66"/>
      <c r="K792" s="66"/>
      <c r="L792" s="66"/>
      <c r="M792" s="66"/>
      <c r="N792" s="66"/>
    </row>
    <row r="793" spans="1:14" x14ac:dyDescent="0.2">
      <c r="A793" s="84"/>
      <c r="B793" s="84"/>
      <c r="C793" s="60"/>
      <c r="D793" s="66"/>
      <c r="E793" s="66"/>
      <c r="F793" s="66"/>
      <c r="G793" s="66"/>
      <c r="H793" s="66"/>
      <c r="I793" s="66"/>
      <c r="J793" s="66"/>
      <c r="K793" s="66"/>
      <c r="L793" s="66"/>
      <c r="M793" s="66"/>
      <c r="N793" s="66"/>
    </row>
    <row r="794" spans="1:14" x14ac:dyDescent="0.2">
      <c r="A794" s="84"/>
      <c r="B794" s="84"/>
      <c r="C794" s="60"/>
      <c r="D794" s="66"/>
      <c r="E794" s="66"/>
      <c r="F794" s="66"/>
      <c r="G794" s="66"/>
      <c r="H794" s="66"/>
      <c r="I794" s="66"/>
      <c r="J794" s="66"/>
      <c r="K794" s="66"/>
      <c r="L794" s="66"/>
      <c r="M794" s="66"/>
      <c r="N794" s="66"/>
    </row>
    <row r="795" spans="1:14" x14ac:dyDescent="0.2">
      <c r="A795" s="84"/>
      <c r="B795" s="84"/>
      <c r="C795" s="60"/>
      <c r="D795" s="66"/>
      <c r="E795" s="66"/>
      <c r="F795" s="66"/>
      <c r="G795" s="66"/>
      <c r="H795" s="66"/>
      <c r="I795" s="66"/>
      <c r="J795" s="66"/>
      <c r="K795" s="66"/>
      <c r="L795" s="66"/>
      <c r="M795" s="66"/>
      <c r="N795" s="66"/>
    </row>
    <row r="796" spans="1:14" x14ac:dyDescent="0.2">
      <c r="A796" s="84"/>
      <c r="B796" s="84"/>
      <c r="C796" s="60"/>
      <c r="D796" s="66"/>
      <c r="E796" s="66"/>
      <c r="F796" s="66"/>
      <c r="G796" s="66"/>
      <c r="H796" s="66"/>
      <c r="I796" s="66"/>
      <c r="J796" s="66"/>
      <c r="K796" s="66"/>
      <c r="L796" s="66"/>
      <c r="M796" s="66"/>
      <c r="N796" s="66"/>
    </row>
    <row r="797" spans="1:14" x14ac:dyDescent="0.2">
      <c r="A797" s="84"/>
      <c r="B797" s="84"/>
      <c r="C797" s="60"/>
      <c r="D797" s="66"/>
      <c r="E797" s="66"/>
      <c r="F797" s="66"/>
      <c r="G797" s="66"/>
      <c r="H797" s="66"/>
      <c r="I797" s="66"/>
      <c r="J797" s="66"/>
      <c r="K797" s="66"/>
      <c r="L797" s="66"/>
      <c r="M797" s="66"/>
      <c r="N797" s="66"/>
    </row>
    <row r="798" spans="1:14" x14ac:dyDescent="0.2">
      <c r="A798" s="84"/>
      <c r="B798" s="84"/>
      <c r="C798" s="60"/>
      <c r="D798" s="66"/>
      <c r="E798" s="66"/>
      <c r="F798" s="66"/>
      <c r="G798" s="66"/>
      <c r="H798" s="66"/>
      <c r="I798" s="66"/>
      <c r="J798" s="66"/>
      <c r="K798" s="66"/>
      <c r="L798" s="66"/>
      <c r="M798" s="66"/>
      <c r="N798" s="66"/>
    </row>
    <row r="799" spans="1:14" x14ac:dyDescent="0.2">
      <c r="A799" s="84"/>
      <c r="B799" s="84"/>
      <c r="C799" s="60"/>
      <c r="D799" s="66"/>
      <c r="E799" s="66"/>
      <c r="F799" s="66"/>
      <c r="G799" s="66"/>
      <c r="H799" s="66"/>
      <c r="I799" s="66"/>
      <c r="J799" s="66"/>
      <c r="K799" s="66"/>
      <c r="L799" s="66"/>
      <c r="M799" s="66"/>
      <c r="N799" s="66"/>
    </row>
    <row r="800" spans="1:14" x14ac:dyDescent="0.2">
      <c r="A800" s="84"/>
      <c r="B800" s="84"/>
      <c r="C800" s="60"/>
      <c r="D800" s="66"/>
      <c r="E800" s="66"/>
      <c r="F800" s="66"/>
      <c r="G800" s="66"/>
      <c r="H800" s="66"/>
      <c r="I800" s="66"/>
      <c r="J800" s="66"/>
      <c r="K800" s="66"/>
      <c r="L800" s="66"/>
      <c r="M800" s="66"/>
      <c r="N800" s="66"/>
    </row>
    <row r="801" spans="1:14" x14ac:dyDescent="0.2">
      <c r="A801" s="84"/>
      <c r="B801" s="84"/>
      <c r="C801" s="60"/>
      <c r="D801" s="66"/>
      <c r="E801" s="66"/>
      <c r="F801" s="66"/>
      <c r="G801" s="66"/>
      <c r="H801" s="66"/>
      <c r="I801" s="66"/>
      <c r="J801" s="66"/>
      <c r="K801" s="66"/>
      <c r="L801" s="66"/>
      <c r="M801" s="66"/>
      <c r="N801" s="66"/>
    </row>
    <row r="802" spans="1:14" x14ac:dyDescent="0.2">
      <c r="A802" s="84"/>
      <c r="B802" s="84"/>
      <c r="C802" s="60"/>
      <c r="D802" s="66"/>
      <c r="E802" s="66"/>
      <c r="F802" s="66"/>
      <c r="G802" s="66"/>
      <c r="H802" s="66"/>
      <c r="I802" s="66"/>
      <c r="J802" s="66"/>
      <c r="K802" s="66"/>
      <c r="L802" s="66"/>
      <c r="M802" s="66"/>
      <c r="N802" s="66"/>
    </row>
    <row r="803" spans="1:14" x14ac:dyDescent="0.2">
      <c r="A803" s="84"/>
      <c r="B803" s="84"/>
      <c r="C803" s="60"/>
      <c r="D803" s="66"/>
      <c r="E803" s="66"/>
      <c r="F803" s="66"/>
      <c r="G803" s="66"/>
      <c r="H803" s="66"/>
      <c r="I803" s="66"/>
      <c r="J803" s="66"/>
      <c r="K803" s="66"/>
      <c r="L803" s="66"/>
      <c r="M803" s="66"/>
      <c r="N803" s="66"/>
    </row>
    <row r="804" spans="1:14" x14ac:dyDescent="0.2">
      <c r="A804" s="84"/>
      <c r="B804" s="84"/>
      <c r="C804" s="60"/>
      <c r="D804" s="66"/>
      <c r="E804" s="66"/>
      <c r="F804" s="66"/>
      <c r="G804" s="66"/>
      <c r="H804" s="66"/>
      <c r="I804" s="66"/>
      <c r="J804" s="66"/>
      <c r="K804" s="66"/>
      <c r="L804" s="66"/>
      <c r="M804" s="66"/>
      <c r="N804" s="66"/>
    </row>
    <row r="805" spans="1:14" x14ac:dyDescent="0.2">
      <c r="A805" s="84"/>
      <c r="B805" s="84"/>
      <c r="C805" s="60"/>
      <c r="D805" s="66"/>
      <c r="E805" s="66"/>
      <c r="F805" s="66"/>
      <c r="G805" s="66"/>
      <c r="H805" s="66"/>
      <c r="I805" s="66"/>
      <c r="J805" s="66"/>
      <c r="K805" s="66"/>
      <c r="L805" s="66"/>
      <c r="M805" s="66"/>
      <c r="N805" s="66"/>
    </row>
    <row r="806" spans="1:14" x14ac:dyDescent="0.2">
      <c r="A806" s="84"/>
      <c r="B806" s="84"/>
      <c r="C806" s="60"/>
      <c r="D806" s="66"/>
      <c r="E806" s="66"/>
      <c r="F806" s="66"/>
      <c r="G806" s="66"/>
      <c r="H806" s="66"/>
      <c r="I806" s="66"/>
      <c r="J806" s="66"/>
      <c r="K806" s="66"/>
      <c r="L806" s="66"/>
      <c r="M806" s="66"/>
      <c r="N806" s="66"/>
    </row>
    <row r="807" spans="1:14" x14ac:dyDescent="0.2">
      <c r="A807" s="84"/>
      <c r="B807" s="84"/>
      <c r="C807" s="60"/>
      <c r="D807" s="66"/>
      <c r="E807" s="66"/>
      <c r="F807" s="66"/>
      <c r="G807" s="66"/>
      <c r="H807" s="66"/>
      <c r="I807" s="66"/>
      <c r="J807" s="66"/>
      <c r="K807" s="66"/>
      <c r="L807" s="66"/>
      <c r="M807" s="66"/>
      <c r="N807" s="66"/>
    </row>
    <row r="808" spans="1:14" x14ac:dyDescent="0.2">
      <c r="A808" s="84"/>
      <c r="B808" s="84"/>
      <c r="C808" s="60"/>
      <c r="D808" s="66"/>
      <c r="E808" s="66"/>
      <c r="F808" s="66"/>
      <c r="G808" s="66"/>
      <c r="H808" s="66"/>
      <c r="I808" s="66"/>
      <c r="J808" s="66"/>
      <c r="K808" s="66"/>
      <c r="L808" s="66"/>
      <c r="M808" s="66"/>
      <c r="N808" s="66"/>
    </row>
    <row r="809" spans="1:14" x14ac:dyDescent="0.2">
      <c r="A809" s="84"/>
      <c r="B809" s="84"/>
      <c r="C809" s="60"/>
      <c r="D809" s="66"/>
      <c r="E809" s="66"/>
      <c r="F809" s="66"/>
      <c r="G809" s="66"/>
      <c r="H809" s="66"/>
      <c r="I809" s="66"/>
      <c r="J809" s="66"/>
      <c r="K809" s="66"/>
      <c r="L809" s="66"/>
      <c r="M809" s="66"/>
      <c r="N809" s="66"/>
    </row>
    <row r="810" spans="1:14" x14ac:dyDescent="0.2">
      <c r="A810" s="84"/>
      <c r="B810" s="84"/>
      <c r="C810" s="60"/>
      <c r="D810" s="66"/>
      <c r="E810" s="66"/>
      <c r="F810" s="66"/>
      <c r="G810" s="66"/>
      <c r="H810" s="66"/>
      <c r="I810" s="66"/>
      <c r="J810" s="66"/>
      <c r="K810" s="66"/>
      <c r="L810" s="66"/>
      <c r="M810" s="66"/>
      <c r="N810" s="66"/>
    </row>
    <row r="811" spans="1:14" x14ac:dyDescent="0.2">
      <c r="A811" s="84"/>
      <c r="B811" s="84"/>
      <c r="C811" s="60"/>
      <c r="D811" s="66"/>
      <c r="E811" s="66"/>
      <c r="F811" s="66"/>
      <c r="G811" s="66"/>
      <c r="H811" s="66"/>
      <c r="I811" s="66"/>
      <c r="J811" s="66"/>
      <c r="K811" s="66"/>
      <c r="L811" s="66"/>
      <c r="M811" s="66"/>
      <c r="N811" s="66"/>
    </row>
    <row r="812" spans="1:14" x14ac:dyDescent="0.2">
      <c r="A812" s="84"/>
      <c r="B812" s="84"/>
      <c r="C812" s="60"/>
      <c r="D812" s="66"/>
      <c r="E812" s="66"/>
      <c r="F812" s="66"/>
      <c r="G812" s="66"/>
      <c r="H812" s="66"/>
      <c r="I812" s="66"/>
      <c r="J812" s="66"/>
      <c r="K812" s="66"/>
      <c r="L812" s="66"/>
      <c r="M812" s="66"/>
      <c r="N812" s="66"/>
    </row>
    <row r="813" spans="1:14" x14ac:dyDescent="0.2">
      <c r="A813" s="84"/>
      <c r="B813" s="84"/>
      <c r="C813" s="60"/>
      <c r="D813" s="66"/>
      <c r="E813" s="66"/>
      <c r="F813" s="66"/>
      <c r="G813" s="66"/>
      <c r="H813" s="66"/>
      <c r="I813" s="66"/>
      <c r="J813" s="66"/>
      <c r="K813" s="66"/>
      <c r="L813" s="66"/>
      <c r="M813" s="66"/>
      <c r="N813" s="66"/>
    </row>
    <row r="814" spans="1:14" x14ac:dyDescent="0.2">
      <c r="A814" s="84"/>
      <c r="B814" s="84"/>
      <c r="C814" s="60"/>
      <c r="D814" s="66"/>
      <c r="E814" s="66"/>
      <c r="F814" s="66"/>
      <c r="G814" s="66"/>
      <c r="H814" s="66"/>
      <c r="I814" s="66"/>
      <c r="J814" s="66"/>
      <c r="K814" s="66"/>
      <c r="L814" s="66"/>
      <c r="M814" s="66"/>
      <c r="N814" s="66"/>
    </row>
    <row r="815" spans="1:14" x14ac:dyDescent="0.2">
      <c r="A815" s="84"/>
      <c r="B815" s="84"/>
      <c r="C815" s="60"/>
      <c r="D815" s="66"/>
      <c r="E815" s="66"/>
      <c r="F815" s="66"/>
      <c r="G815" s="66"/>
      <c r="H815" s="66"/>
      <c r="I815" s="66"/>
      <c r="J815" s="66"/>
      <c r="K815" s="66"/>
      <c r="L815" s="66"/>
      <c r="M815" s="66"/>
      <c r="N815" s="66"/>
    </row>
    <row r="816" spans="1:14" x14ac:dyDescent="0.2">
      <c r="A816" s="84"/>
      <c r="B816" s="84"/>
      <c r="C816" s="60"/>
      <c r="D816" s="66"/>
      <c r="E816" s="66"/>
      <c r="F816" s="66"/>
      <c r="G816" s="66"/>
      <c r="H816" s="66"/>
      <c r="I816" s="66"/>
      <c r="J816" s="66"/>
      <c r="K816" s="66"/>
      <c r="L816" s="66"/>
      <c r="M816" s="66"/>
      <c r="N816" s="66"/>
    </row>
    <row r="817" spans="1:14" x14ac:dyDescent="0.2">
      <c r="A817" s="84"/>
      <c r="B817" s="84"/>
      <c r="C817" s="60"/>
      <c r="D817" s="66"/>
      <c r="E817" s="66"/>
      <c r="F817" s="66"/>
      <c r="G817" s="66"/>
      <c r="H817" s="66"/>
      <c r="I817" s="66"/>
      <c r="J817" s="66"/>
      <c r="K817" s="66"/>
      <c r="L817" s="66"/>
      <c r="M817" s="66"/>
      <c r="N817" s="66"/>
    </row>
    <row r="818" spans="1:14" x14ac:dyDescent="0.2">
      <c r="A818" s="84"/>
      <c r="B818" s="84"/>
      <c r="C818" s="60"/>
      <c r="D818" s="66"/>
      <c r="E818" s="66"/>
      <c r="F818" s="66"/>
      <c r="G818" s="66"/>
      <c r="H818" s="66"/>
      <c r="I818" s="66"/>
      <c r="J818" s="66"/>
      <c r="K818" s="66"/>
      <c r="L818" s="66"/>
      <c r="M818" s="66"/>
      <c r="N818" s="66"/>
    </row>
    <row r="819" spans="1:14" x14ac:dyDescent="0.2">
      <c r="A819" s="84"/>
      <c r="B819" s="84"/>
      <c r="C819" s="60"/>
      <c r="D819" s="66"/>
      <c r="E819" s="66"/>
      <c r="F819" s="66"/>
      <c r="G819" s="66"/>
      <c r="H819" s="66"/>
      <c r="I819" s="66"/>
      <c r="J819" s="66"/>
      <c r="K819" s="66"/>
      <c r="L819" s="66"/>
      <c r="M819" s="66"/>
      <c r="N819" s="66"/>
    </row>
    <row r="820" spans="1:14" x14ac:dyDescent="0.2">
      <c r="A820" s="84"/>
      <c r="B820" s="84"/>
      <c r="C820" s="60"/>
      <c r="D820" s="66"/>
      <c r="E820" s="66"/>
      <c r="F820" s="66"/>
      <c r="G820" s="66"/>
      <c r="H820" s="66"/>
      <c r="I820" s="66"/>
      <c r="J820" s="66"/>
      <c r="K820" s="66"/>
      <c r="L820" s="66"/>
      <c r="M820" s="66"/>
      <c r="N820" s="66"/>
    </row>
    <row r="821" spans="1:14" x14ac:dyDescent="0.2">
      <c r="A821" s="84"/>
      <c r="B821" s="84"/>
      <c r="C821" s="60"/>
      <c r="D821" s="66"/>
      <c r="E821" s="66"/>
      <c r="F821" s="66"/>
      <c r="G821" s="66"/>
      <c r="H821" s="66"/>
      <c r="I821" s="66"/>
      <c r="J821" s="66"/>
      <c r="K821" s="66"/>
      <c r="L821" s="66"/>
      <c r="M821" s="66"/>
      <c r="N821" s="66"/>
    </row>
    <row r="822" spans="1:14" x14ac:dyDescent="0.2">
      <c r="A822" s="84"/>
      <c r="B822" s="84"/>
      <c r="C822" s="60"/>
      <c r="D822" s="66"/>
      <c r="E822" s="66"/>
      <c r="F822" s="66"/>
      <c r="G822" s="66"/>
      <c r="H822" s="66"/>
      <c r="I822" s="66"/>
      <c r="J822" s="66"/>
      <c r="K822" s="66"/>
      <c r="L822" s="66"/>
      <c r="M822" s="66"/>
      <c r="N822" s="66"/>
    </row>
    <row r="823" spans="1:14" x14ac:dyDescent="0.2">
      <c r="A823" s="84"/>
      <c r="B823" s="84"/>
      <c r="C823" s="60"/>
      <c r="D823" s="66"/>
      <c r="E823" s="66"/>
      <c r="F823" s="66"/>
      <c r="G823" s="66"/>
      <c r="H823" s="66"/>
      <c r="I823" s="66"/>
      <c r="J823" s="66"/>
      <c r="K823" s="66"/>
      <c r="L823" s="66"/>
      <c r="M823" s="66"/>
      <c r="N823" s="66"/>
    </row>
    <row r="824" spans="1:14" x14ac:dyDescent="0.2">
      <c r="A824" s="84"/>
      <c r="B824" s="84"/>
      <c r="C824" s="60"/>
      <c r="D824" s="66"/>
      <c r="E824" s="66"/>
      <c r="F824" s="66"/>
      <c r="G824" s="66"/>
      <c r="H824" s="66"/>
      <c r="I824" s="66"/>
      <c r="J824" s="66"/>
      <c r="K824" s="66"/>
      <c r="L824" s="66"/>
      <c r="M824" s="66"/>
      <c r="N824" s="66"/>
    </row>
    <row r="825" spans="1:14" x14ac:dyDescent="0.2">
      <c r="A825" s="84"/>
      <c r="B825" s="84"/>
      <c r="C825" s="60"/>
      <c r="D825" s="66"/>
      <c r="E825" s="66"/>
      <c r="F825" s="66"/>
      <c r="G825" s="66"/>
      <c r="H825" s="66"/>
      <c r="I825" s="66"/>
      <c r="J825" s="66"/>
      <c r="K825" s="66"/>
      <c r="L825" s="66"/>
      <c r="M825" s="66"/>
      <c r="N825" s="66"/>
    </row>
    <row r="826" spans="1:14" x14ac:dyDescent="0.2">
      <c r="A826" s="84"/>
      <c r="B826" s="84"/>
      <c r="C826" s="60"/>
      <c r="D826" s="66"/>
      <c r="E826" s="66"/>
      <c r="F826" s="66"/>
      <c r="G826" s="66"/>
      <c r="H826" s="66"/>
      <c r="I826" s="66"/>
      <c r="J826" s="66"/>
      <c r="K826" s="66"/>
      <c r="L826" s="66"/>
      <c r="M826" s="66"/>
      <c r="N826" s="66"/>
    </row>
    <row r="827" spans="1:14" x14ac:dyDescent="0.2">
      <c r="A827" s="84"/>
      <c r="B827" s="84"/>
      <c r="C827" s="60"/>
      <c r="D827" s="66"/>
      <c r="E827" s="66"/>
      <c r="F827" s="66"/>
      <c r="G827" s="66"/>
      <c r="H827" s="66"/>
      <c r="I827" s="66"/>
      <c r="J827" s="66"/>
      <c r="K827" s="66"/>
      <c r="L827" s="66"/>
      <c r="M827" s="66"/>
      <c r="N827" s="66"/>
    </row>
    <row r="828" spans="1:14" x14ac:dyDescent="0.2">
      <c r="A828" s="84"/>
      <c r="B828" s="84"/>
      <c r="C828" s="60"/>
      <c r="D828" s="66"/>
      <c r="E828" s="66"/>
      <c r="F828" s="66"/>
      <c r="G828" s="66"/>
      <c r="H828" s="66"/>
      <c r="I828" s="66"/>
      <c r="J828" s="66"/>
      <c r="K828" s="66"/>
      <c r="L828" s="66"/>
      <c r="M828" s="66"/>
      <c r="N828" s="66"/>
    </row>
    <row r="829" spans="1:14" x14ac:dyDescent="0.2">
      <c r="A829" s="84"/>
      <c r="B829" s="84"/>
      <c r="C829" s="60"/>
      <c r="D829" s="66"/>
      <c r="E829" s="66"/>
      <c r="F829" s="66"/>
      <c r="G829" s="66"/>
      <c r="H829" s="66"/>
      <c r="I829" s="66"/>
      <c r="J829" s="66"/>
      <c r="K829" s="66"/>
      <c r="L829" s="66"/>
      <c r="M829" s="66"/>
      <c r="N829" s="66"/>
    </row>
    <row r="830" spans="1:14" x14ac:dyDescent="0.2">
      <c r="A830" s="84"/>
      <c r="B830" s="84"/>
      <c r="C830" s="60"/>
      <c r="D830" s="66"/>
      <c r="E830" s="66"/>
      <c r="F830" s="66"/>
      <c r="G830" s="66"/>
      <c r="H830" s="66"/>
      <c r="I830" s="66"/>
      <c r="J830" s="66"/>
      <c r="K830" s="66"/>
      <c r="L830" s="66"/>
      <c r="M830" s="66"/>
      <c r="N830" s="66"/>
    </row>
    <row r="831" spans="1:14" x14ac:dyDescent="0.2">
      <c r="A831" s="84"/>
      <c r="B831" s="84"/>
      <c r="C831" s="60"/>
      <c r="D831" s="66"/>
      <c r="E831" s="66"/>
      <c r="F831" s="66"/>
      <c r="G831" s="66"/>
      <c r="H831" s="66"/>
      <c r="I831" s="66"/>
      <c r="J831" s="66"/>
      <c r="K831" s="66"/>
      <c r="L831" s="66"/>
      <c r="M831" s="66"/>
      <c r="N831" s="66"/>
    </row>
    <row r="832" spans="1:14" x14ac:dyDescent="0.2">
      <c r="A832" s="84"/>
      <c r="B832" s="84"/>
      <c r="C832" s="60"/>
      <c r="D832" s="66"/>
      <c r="E832" s="66"/>
      <c r="F832" s="66"/>
      <c r="G832" s="66"/>
      <c r="H832" s="66"/>
      <c r="I832" s="66"/>
      <c r="J832" s="66"/>
      <c r="K832" s="66"/>
      <c r="L832" s="66"/>
      <c r="M832" s="66"/>
      <c r="N832" s="66"/>
    </row>
    <row r="833" spans="1:14" x14ac:dyDescent="0.2">
      <c r="A833" s="84"/>
      <c r="B833" s="84"/>
      <c r="C833" s="60"/>
      <c r="D833" s="66"/>
      <c r="E833" s="66"/>
      <c r="F833" s="66"/>
      <c r="G833" s="66"/>
      <c r="H833" s="66"/>
      <c r="I833" s="66"/>
      <c r="J833" s="66"/>
      <c r="K833" s="66"/>
      <c r="L833" s="66"/>
      <c r="M833" s="66"/>
      <c r="N833" s="66"/>
    </row>
    <row r="834" spans="1:14" x14ac:dyDescent="0.2">
      <c r="A834" s="84"/>
      <c r="B834" s="84"/>
      <c r="C834" s="60"/>
      <c r="D834" s="66"/>
      <c r="E834" s="66"/>
      <c r="F834" s="66"/>
      <c r="G834" s="66"/>
      <c r="H834" s="66"/>
      <c r="I834" s="66"/>
      <c r="J834" s="66"/>
      <c r="K834" s="66"/>
      <c r="L834" s="66"/>
      <c r="M834" s="66"/>
      <c r="N834" s="66"/>
    </row>
    <row r="835" spans="1:14" x14ac:dyDescent="0.2">
      <c r="A835" s="84"/>
      <c r="B835" s="84"/>
      <c r="C835" s="60"/>
      <c r="D835" s="66"/>
      <c r="E835" s="66"/>
      <c r="F835" s="66"/>
      <c r="G835" s="66"/>
      <c r="H835" s="66"/>
      <c r="I835" s="66"/>
      <c r="J835" s="66"/>
      <c r="K835" s="66"/>
      <c r="L835" s="66"/>
      <c r="M835" s="66"/>
      <c r="N835" s="66"/>
    </row>
    <row r="836" spans="1:14" x14ac:dyDescent="0.2">
      <c r="A836" s="84"/>
      <c r="B836" s="84"/>
      <c r="C836" s="60"/>
      <c r="D836" s="66"/>
      <c r="E836" s="66"/>
      <c r="F836" s="66"/>
      <c r="G836" s="66"/>
      <c r="H836" s="66"/>
      <c r="I836" s="66"/>
      <c r="J836" s="66"/>
      <c r="K836" s="66"/>
      <c r="L836" s="66"/>
      <c r="M836" s="66"/>
      <c r="N836" s="66"/>
    </row>
    <row r="837" spans="1:14" x14ac:dyDescent="0.2">
      <c r="A837" s="84"/>
      <c r="B837" s="84"/>
      <c r="C837" s="60"/>
      <c r="D837" s="66"/>
      <c r="E837" s="66"/>
      <c r="F837" s="66"/>
      <c r="G837" s="66"/>
      <c r="H837" s="66"/>
      <c r="I837" s="66"/>
      <c r="J837" s="66"/>
      <c r="K837" s="66"/>
      <c r="L837" s="66"/>
      <c r="M837" s="66"/>
      <c r="N837" s="66"/>
    </row>
    <row r="838" spans="1:14" x14ac:dyDescent="0.2">
      <c r="A838" s="84"/>
      <c r="B838" s="84"/>
      <c r="C838" s="60"/>
      <c r="D838" s="66"/>
      <c r="E838" s="66"/>
      <c r="F838" s="66"/>
      <c r="G838" s="66"/>
      <c r="H838" s="66"/>
      <c r="I838" s="66"/>
      <c r="J838" s="66"/>
      <c r="K838" s="66"/>
      <c r="L838" s="66"/>
      <c r="M838" s="66"/>
      <c r="N838" s="66"/>
    </row>
    <row r="839" spans="1:14" x14ac:dyDescent="0.2">
      <c r="A839" s="84"/>
      <c r="B839" s="84"/>
      <c r="C839" s="60"/>
      <c r="D839" s="66"/>
      <c r="E839" s="66"/>
      <c r="F839" s="66"/>
      <c r="G839" s="66"/>
      <c r="H839" s="66"/>
      <c r="I839" s="66"/>
      <c r="J839" s="66"/>
      <c r="K839" s="66"/>
      <c r="L839" s="66"/>
      <c r="M839" s="66"/>
      <c r="N839" s="66"/>
    </row>
    <row r="840" spans="1:14" x14ac:dyDescent="0.2">
      <c r="A840" s="84"/>
      <c r="B840" s="84"/>
      <c r="C840" s="60"/>
      <c r="D840" s="66"/>
      <c r="E840" s="66"/>
      <c r="F840" s="66"/>
      <c r="G840" s="66"/>
      <c r="H840" s="66"/>
      <c r="I840" s="66"/>
      <c r="J840" s="66"/>
      <c r="K840" s="66"/>
      <c r="L840" s="66"/>
      <c r="M840" s="66"/>
      <c r="N840" s="66"/>
    </row>
    <row r="841" spans="1:14" x14ac:dyDescent="0.2">
      <c r="A841" s="84"/>
      <c r="B841" s="84"/>
      <c r="C841" s="60"/>
      <c r="D841" s="66"/>
      <c r="E841" s="66"/>
      <c r="F841" s="66"/>
      <c r="G841" s="66"/>
      <c r="H841" s="66"/>
      <c r="I841" s="66"/>
      <c r="J841" s="66"/>
      <c r="K841" s="66"/>
      <c r="L841" s="66"/>
      <c r="M841" s="66"/>
      <c r="N841" s="66"/>
    </row>
    <row r="842" spans="1:14" x14ac:dyDescent="0.2">
      <c r="A842" s="84"/>
      <c r="B842" s="84"/>
      <c r="C842" s="60"/>
      <c r="D842" s="66"/>
      <c r="E842" s="66"/>
      <c r="F842" s="66"/>
      <c r="G842" s="66"/>
      <c r="H842" s="66"/>
      <c r="I842" s="66"/>
      <c r="J842" s="66"/>
      <c r="K842" s="66"/>
      <c r="L842" s="66"/>
      <c r="M842" s="66"/>
      <c r="N842" s="66"/>
    </row>
    <row r="843" spans="1:14" x14ac:dyDescent="0.2">
      <c r="A843" s="84"/>
      <c r="B843" s="84"/>
      <c r="C843" s="60"/>
      <c r="D843" s="66"/>
      <c r="E843" s="66"/>
      <c r="F843" s="66"/>
      <c r="G843" s="66"/>
      <c r="H843" s="66"/>
      <c r="I843" s="66"/>
      <c r="J843" s="66"/>
      <c r="K843" s="66"/>
      <c r="L843" s="66"/>
      <c r="M843" s="66"/>
      <c r="N843" s="66"/>
    </row>
    <row r="844" spans="1:14" x14ac:dyDescent="0.2">
      <c r="A844" s="84"/>
      <c r="B844" s="84"/>
      <c r="C844" s="60"/>
      <c r="D844" s="66"/>
      <c r="E844" s="66"/>
      <c r="F844" s="66"/>
      <c r="G844" s="66"/>
      <c r="H844" s="66"/>
      <c r="I844" s="66"/>
      <c r="J844" s="66"/>
      <c r="K844" s="66"/>
      <c r="L844" s="66"/>
      <c r="M844" s="66"/>
      <c r="N844" s="66"/>
    </row>
    <row r="845" spans="1:14" x14ac:dyDescent="0.2">
      <c r="A845" s="84"/>
      <c r="B845" s="84"/>
      <c r="C845" s="60"/>
      <c r="D845" s="66"/>
      <c r="E845" s="66"/>
      <c r="F845" s="66"/>
      <c r="G845" s="66"/>
      <c r="H845" s="66"/>
      <c r="I845" s="66"/>
      <c r="J845" s="66"/>
      <c r="K845" s="66"/>
      <c r="L845" s="66"/>
      <c r="M845" s="66"/>
      <c r="N845" s="66"/>
    </row>
    <row r="846" spans="1:14" x14ac:dyDescent="0.2">
      <c r="A846" s="84"/>
      <c r="B846" s="84"/>
      <c r="C846" s="60"/>
      <c r="D846" s="66"/>
      <c r="E846" s="66"/>
      <c r="F846" s="66"/>
      <c r="G846" s="66"/>
      <c r="H846" s="66"/>
      <c r="I846" s="66"/>
      <c r="J846" s="66"/>
      <c r="K846" s="66"/>
      <c r="L846" s="66"/>
      <c r="M846" s="66"/>
      <c r="N846" s="66"/>
    </row>
    <row r="847" spans="1:14" x14ac:dyDescent="0.2">
      <c r="A847" s="84"/>
      <c r="B847" s="84"/>
      <c r="C847" s="60"/>
      <c r="D847" s="66"/>
      <c r="E847" s="66"/>
      <c r="F847" s="66"/>
      <c r="G847" s="66"/>
      <c r="H847" s="66"/>
      <c r="I847" s="66"/>
      <c r="J847" s="66"/>
      <c r="K847" s="66"/>
      <c r="L847" s="66"/>
      <c r="M847" s="66"/>
      <c r="N847" s="66"/>
    </row>
    <row r="848" spans="1:14" x14ac:dyDescent="0.2">
      <c r="A848" s="84"/>
      <c r="B848" s="84"/>
      <c r="C848" s="60"/>
      <c r="D848" s="66"/>
      <c r="E848" s="66"/>
      <c r="F848" s="66"/>
      <c r="G848" s="66"/>
      <c r="H848" s="66"/>
      <c r="I848" s="66"/>
      <c r="J848" s="66"/>
      <c r="K848" s="66"/>
      <c r="L848" s="66"/>
      <c r="M848" s="66"/>
      <c r="N848" s="66"/>
    </row>
    <row r="849" spans="1:14" x14ac:dyDescent="0.2">
      <c r="A849" s="84"/>
      <c r="B849" s="84"/>
      <c r="C849" s="60"/>
      <c r="D849" s="66"/>
      <c r="E849" s="66"/>
      <c r="F849" s="66"/>
      <c r="G849" s="66"/>
      <c r="H849" s="66"/>
      <c r="I849" s="66"/>
      <c r="J849" s="66"/>
      <c r="K849" s="66"/>
      <c r="L849" s="66"/>
      <c r="M849" s="66"/>
      <c r="N849" s="66"/>
    </row>
    <row r="850" spans="1:14" x14ac:dyDescent="0.2">
      <c r="A850" s="84"/>
      <c r="B850" s="84"/>
      <c r="C850" s="60"/>
      <c r="D850" s="66"/>
      <c r="E850" s="66"/>
      <c r="F850" s="66"/>
      <c r="G850" s="66"/>
      <c r="H850" s="66"/>
      <c r="I850" s="66"/>
      <c r="J850" s="66"/>
      <c r="K850" s="66"/>
      <c r="L850" s="66"/>
      <c r="M850" s="66"/>
      <c r="N850" s="66"/>
    </row>
    <row r="851" spans="1:14" x14ac:dyDescent="0.2">
      <c r="A851" s="84"/>
      <c r="B851" s="84"/>
      <c r="C851" s="60"/>
      <c r="D851" s="66"/>
      <c r="E851" s="66"/>
      <c r="F851" s="66"/>
      <c r="G851" s="66"/>
      <c r="H851" s="66"/>
      <c r="I851" s="66"/>
      <c r="J851" s="66"/>
      <c r="K851" s="66"/>
      <c r="L851" s="66"/>
      <c r="M851" s="66"/>
      <c r="N851" s="66"/>
    </row>
    <row r="852" spans="1:14" x14ac:dyDescent="0.2">
      <c r="A852" s="84"/>
      <c r="B852" s="84"/>
      <c r="C852" s="60"/>
      <c r="D852" s="66"/>
      <c r="E852" s="66"/>
      <c r="F852" s="66"/>
      <c r="G852" s="66"/>
      <c r="H852" s="66"/>
      <c r="I852" s="66"/>
      <c r="J852" s="66"/>
      <c r="K852" s="66"/>
      <c r="L852" s="66"/>
      <c r="M852" s="66"/>
      <c r="N852" s="66"/>
    </row>
    <row r="853" spans="1:14" x14ac:dyDescent="0.2">
      <c r="A853" s="84"/>
      <c r="B853" s="84"/>
      <c r="C853" s="60"/>
      <c r="D853" s="66"/>
      <c r="E853" s="66"/>
      <c r="F853" s="66"/>
      <c r="G853" s="66"/>
      <c r="H853" s="66"/>
      <c r="I853" s="66"/>
      <c r="J853" s="66"/>
      <c r="K853" s="66"/>
      <c r="L853" s="66"/>
      <c r="M853" s="66"/>
      <c r="N853" s="66"/>
    </row>
    <row r="854" spans="1:14" x14ac:dyDescent="0.2">
      <c r="A854" s="84"/>
      <c r="B854" s="84"/>
      <c r="C854" s="60"/>
      <c r="D854" s="66"/>
      <c r="E854" s="66"/>
      <c r="F854" s="66"/>
      <c r="G854" s="66"/>
      <c r="H854" s="66"/>
      <c r="I854" s="66"/>
      <c r="J854" s="66"/>
      <c r="K854" s="66"/>
      <c r="L854" s="66"/>
      <c r="M854" s="66"/>
      <c r="N854" s="66"/>
    </row>
    <row r="855" spans="1:14" x14ac:dyDescent="0.2">
      <c r="A855" s="84"/>
      <c r="B855" s="84"/>
      <c r="C855" s="60"/>
      <c r="D855" s="66"/>
      <c r="E855" s="66"/>
      <c r="F855" s="66"/>
      <c r="G855" s="66"/>
      <c r="H855" s="66"/>
      <c r="I855" s="66"/>
      <c r="J855" s="66"/>
      <c r="K855" s="66"/>
      <c r="L855" s="66"/>
      <c r="M855" s="66"/>
      <c r="N855" s="66"/>
    </row>
    <row r="856" spans="1:14" x14ac:dyDescent="0.2">
      <c r="A856" s="84"/>
      <c r="B856" s="84"/>
      <c r="C856" s="60"/>
      <c r="D856" s="66"/>
      <c r="E856" s="66"/>
      <c r="F856" s="66"/>
      <c r="G856" s="66"/>
      <c r="H856" s="66"/>
      <c r="I856" s="66"/>
      <c r="J856" s="66"/>
      <c r="K856" s="66"/>
      <c r="L856" s="66"/>
      <c r="M856" s="66"/>
      <c r="N856" s="66"/>
    </row>
    <row r="857" spans="1:14" x14ac:dyDescent="0.2">
      <c r="A857" s="84"/>
      <c r="B857" s="84"/>
      <c r="C857" s="60"/>
      <c r="D857" s="66"/>
      <c r="E857" s="66"/>
      <c r="F857" s="66"/>
      <c r="G857" s="66"/>
      <c r="H857" s="66"/>
      <c r="I857" s="66"/>
      <c r="J857" s="66"/>
      <c r="K857" s="66"/>
      <c r="L857" s="66"/>
      <c r="M857" s="66"/>
      <c r="N857" s="66"/>
    </row>
    <row r="858" spans="1:14" x14ac:dyDescent="0.2">
      <c r="A858" s="84"/>
      <c r="B858" s="84"/>
      <c r="C858" s="60"/>
      <c r="D858" s="66"/>
      <c r="E858" s="66"/>
      <c r="F858" s="66"/>
      <c r="G858" s="66"/>
      <c r="H858" s="66"/>
      <c r="I858" s="66"/>
      <c r="J858" s="66"/>
      <c r="K858" s="66"/>
      <c r="L858" s="66"/>
      <c r="M858" s="66"/>
      <c r="N858" s="66"/>
    </row>
    <row r="859" spans="1:14" x14ac:dyDescent="0.2">
      <c r="A859" s="84"/>
      <c r="B859" s="84"/>
      <c r="C859" s="60"/>
      <c r="D859" s="66"/>
      <c r="E859" s="66"/>
      <c r="F859" s="66"/>
      <c r="G859" s="66"/>
      <c r="H859" s="66"/>
      <c r="I859" s="66"/>
      <c r="J859" s="66"/>
      <c r="K859" s="66"/>
      <c r="L859" s="66"/>
      <c r="M859" s="66"/>
      <c r="N859" s="66"/>
    </row>
    <row r="860" spans="1:14" x14ac:dyDescent="0.2">
      <c r="A860" s="84"/>
      <c r="B860" s="84"/>
      <c r="C860" s="60"/>
      <c r="D860" s="66"/>
      <c r="E860" s="66"/>
      <c r="F860" s="66"/>
      <c r="G860" s="66"/>
      <c r="H860" s="66"/>
      <c r="I860" s="66"/>
      <c r="J860" s="66"/>
      <c r="K860" s="66"/>
      <c r="L860" s="66"/>
      <c r="M860" s="66"/>
      <c r="N860" s="66"/>
    </row>
    <row r="861" spans="1:14" x14ac:dyDescent="0.2">
      <c r="A861" s="84"/>
      <c r="B861" s="84"/>
      <c r="C861" s="60"/>
      <c r="D861" s="66"/>
      <c r="E861" s="66"/>
      <c r="F861" s="66"/>
      <c r="G861" s="66"/>
      <c r="H861" s="66"/>
      <c r="I861" s="66"/>
      <c r="J861" s="66"/>
      <c r="K861" s="66"/>
      <c r="L861" s="66"/>
      <c r="M861" s="66"/>
      <c r="N861" s="66"/>
    </row>
    <row r="862" spans="1:14" x14ac:dyDescent="0.2">
      <c r="A862" s="84"/>
      <c r="B862" s="84"/>
      <c r="C862" s="60"/>
      <c r="D862" s="66"/>
      <c r="E862" s="66"/>
      <c r="F862" s="66"/>
      <c r="G862" s="66"/>
      <c r="H862" s="66"/>
      <c r="I862" s="66"/>
      <c r="J862" s="66"/>
      <c r="K862" s="66"/>
      <c r="L862" s="66"/>
      <c r="M862" s="66"/>
      <c r="N862" s="66"/>
    </row>
    <row r="863" spans="1:14" x14ac:dyDescent="0.2">
      <c r="A863" s="84"/>
      <c r="B863" s="84"/>
      <c r="C863" s="60"/>
      <c r="D863" s="66"/>
      <c r="E863" s="66"/>
      <c r="F863" s="66"/>
      <c r="G863" s="66"/>
      <c r="H863" s="66"/>
      <c r="I863" s="66"/>
      <c r="J863" s="66"/>
      <c r="K863" s="66"/>
      <c r="L863" s="66"/>
      <c r="M863" s="66"/>
      <c r="N863" s="66"/>
    </row>
    <row r="864" spans="1:14" x14ac:dyDescent="0.2">
      <c r="A864" s="84"/>
      <c r="B864" s="84"/>
      <c r="C864" s="60"/>
      <c r="D864" s="66"/>
      <c r="E864" s="66"/>
      <c r="F864" s="66"/>
      <c r="G864" s="66"/>
      <c r="H864" s="66"/>
      <c r="I864" s="66"/>
      <c r="J864" s="66"/>
      <c r="K864" s="66"/>
      <c r="L864" s="66"/>
      <c r="M864" s="66"/>
      <c r="N864" s="66"/>
    </row>
    <row r="865" spans="1:14" x14ac:dyDescent="0.2">
      <c r="A865" s="84"/>
      <c r="B865" s="84"/>
      <c r="C865" s="60"/>
      <c r="D865" s="66"/>
      <c r="E865" s="66"/>
      <c r="F865" s="66"/>
      <c r="G865" s="66"/>
      <c r="H865" s="66"/>
      <c r="I865" s="66"/>
      <c r="J865" s="66"/>
      <c r="K865" s="66"/>
      <c r="L865" s="66"/>
      <c r="M865" s="66"/>
      <c r="N865" s="66"/>
    </row>
    <row r="866" spans="1:14" x14ac:dyDescent="0.2">
      <c r="A866" s="84"/>
      <c r="B866" s="84"/>
      <c r="C866" s="60"/>
      <c r="D866" s="66"/>
      <c r="E866" s="66"/>
      <c r="F866" s="66"/>
      <c r="G866" s="66"/>
      <c r="H866" s="66"/>
      <c r="I866" s="66"/>
      <c r="J866" s="66"/>
      <c r="K866" s="66"/>
      <c r="L866" s="66"/>
      <c r="M866" s="66"/>
      <c r="N866" s="66"/>
    </row>
    <row r="867" spans="1:14" x14ac:dyDescent="0.2">
      <c r="A867" s="84"/>
      <c r="B867" s="84"/>
      <c r="C867" s="60"/>
      <c r="D867" s="66"/>
      <c r="E867" s="66"/>
      <c r="F867" s="66"/>
      <c r="G867" s="66"/>
      <c r="H867" s="66"/>
      <c r="I867" s="66"/>
      <c r="J867" s="66"/>
      <c r="K867" s="66"/>
      <c r="L867" s="66"/>
      <c r="M867" s="66"/>
      <c r="N867" s="66"/>
    </row>
    <row r="868" spans="1:14" x14ac:dyDescent="0.2">
      <c r="A868" s="84"/>
      <c r="B868" s="84"/>
      <c r="C868" s="60"/>
      <c r="D868" s="66"/>
      <c r="E868" s="66"/>
      <c r="F868" s="66"/>
      <c r="G868" s="66"/>
      <c r="H868" s="66"/>
      <c r="I868" s="66"/>
      <c r="J868" s="66"/>
      <c r="K868" s="66"/>
      <c r="L868" s="66"/>
      <c r="M868" s="66"/>
      <c r="N868" s="66"/>
    </row>
    <row r="869" spans="1:14" x14ac:dyDescent="0.2">
      <c r="A869" s="84"/>
      <c r="B869" s="84"/>
      <c r="C869" s="60"/>
      <c r="D869" s="66"/>
      <c r="E869" s="66"/>
      <c r="F869" s="66"/>
      <c r="G869" s="66"/>
      <c r="H869" s="66"/>
      <c r="I869" s="66"/>
      <c r="J869" s="66"/>
      <c r="K869" s="66"/>
      <c r="L869" s="66"/>
      <c r="M869" s="66"/>
      <c r="N869" s="66"/>
    </row>
    <row r="870" spans="1:14" x14ac:dyDescent="0.2">
      <c r="A870" s="84"/>
      <c r="B870" s="84"/>
      <c r="C870" s="60"/>
      <c r="D870" s="66"/>
      <c r="E870" s="66"/>
      <c r="F870" s="66"/>
      <c r="G870" s="66"/>
      <c r="H870" s="66"/>
      <c r="I870" s="66"/>
      <c r="J870" s="66"/>
      <c r="K870" s="66"/>
      <c r="L870" s="66"/>
      <c r="M870" s="66"/>
      <c r="N870" s="66"/>
    </row>
    <row r="871" spans="1:14" x14ac:dyDescent="0.2">
      <c r="A871" s="84"/>
      <c r="B871" s="84"/>
      <c r="C871" s="60"/>
      <c r="D871" s="66"/>
      <c r="E871" s="66"/>
      <c r="F871" s="66"/>
      <c r="G871" s="66"/>
      <c r="H871" s="66"/>
      <c r="I871" s="66"/>
      <c r="J871" s="66"/>
      <c r="K871" s="66"/>
      <c r="L871" s="66"/>
      <c r="M871" s="66"/>
      <c r="N871" s="66"/>
    </row>
    <row r="872" spans="1:14" x14ac:dyDescent="0.2">
      <c r="A872" s="84"/>
      <c r="B872" s="84"/>
      <c r="C872" s="60"/>
      <c r="D872" s="66"/>
      <c r="E872" s="66"/>
      <c r="F872" s="66"/>
      <c r="G872" s="66"/>
      <c r="H872" s="66"/>
      <c r="I872" s="66"/>
      <c r="J872" s="66"/>
      <c r="K872" s="66"/>
      <c r="L872" s="66"/>
      <c r="M872" s="66"/>
      <c r="N872" s="66"/>
    </row>
    <row r="873" spans="1:14" x14ac:dyDescent="0.2">
      <c r="A873" s="84"/>
      <c r="B873" s="84"/>
      <c r="C873" s="60"/>
      <c r="D873" s="66"/>
      <c r="E873" s="66"/>
      <c r="F873" s="66"/>
      <c r="G873" s="66"/>
      <c r="H873" s="66"/>
      <c r="I873" s="66"/>
      <c r="J873" s="66"/>
      <c r="K873" s="66"/>
      <c r="L873" s="66"/>
      <c r="M873" s="66"/>
      <c r="N873" s="66"/>
    </row>
    <row r="874" spans="1:14" x14ac:dyDescent="0.2">
      <c r="A874" s="84"/>
      <c r="B874" s="84"/>
      <c r="C874" s="60"/>
      <c r="D874" s="66"/>
      <c r="E874" s="66"/>
      <c r="F874" s="66"/>
      <c r="G874" s="66"/>
      <c r="H874" s="66"/>
      <c r="I874" s="66"/>
      <c r="J874" s="66"/>
      <c r="K874" s="66"/>
      <c r="L874" s="66"/>
      <c r="M874" s="66"/>
      <c r="N874" s="66"/>
    </row>
    <row r="875" spans="1:14" x14ac:dyDescent="0.2">
      <c r="A875" s="84"/>
      <c r="B875" s="84"/>
      <c r="C875" s="60"/>
      <c r="D875" s="66"/>
      <c r="E875" s="66"/>
      <c r="F875" s="66"/>
      <c r="G875" s="66"/>
      <c r="H875" s="66"/>
      <c r="I875" s="66"/>
      <c r="J875" s="66"/>
      <c r="K875" s="66"/>
      <c r="L875" s="66"/>
      <c r="M875" s="66"/>
      <c r="N875" s="66"/>
    </row>
    <row r="876" spans="1:14" x14ac:dyDescent="0.2">
      <c r="A876" s="84"/>
      <c r="B876" s="84"/>
      <c r="C876" s="60"/>
      <c r="D876" s="66"/>
      <c r="E876" s="66"/>
      <c r="F876" s="66"/>
      <c r="G876" s="66"/>
      <c r="H876" s="66"/>
      <c r="I876" s="66"/>
      <c r="J876" s="66"/>
      <c r="K876" s="66"/>
      <c r="L876" s="66"/>
      <c r="M876" s="66"/>
      <c r="N876" s="66"/>
    </row>
    <row r="877" spans="1:14" x14ac:dyDescent="0.2">
      <c r="A877" s="84"/>
      <c r="B877" s="84"/>
      <c r="C877" s="60"/>
      <c r="D877" s="66"/>
      <c r="E877" s="66"/>
      <c r="F877" s="66"/>
      <c r="G877" s="66"/>
      <c r="H877" s="66"/>
      <c r="I877" s="66"/>
      <c r="J877" s="66"/>
      <c r="K877" s="66"/>
      <c r="L877" s="66"/>
      <c r="M877" s="66"/>
      <c r="N877" s="66"/>
    </row>
    <row r="878" spans="1:14" x14ac:dyDescent="0.2">
      <c r="A878" s="84"/>
      <c r="B878" s="84"/>
      <c r="C878" s="60"/>
      <c r="D878" s="66"/>
      <c r="E878" s="66"/>
      <c r="F878" s="66"/>
      <c r="G878" s="66"/>
      <c r="H878" s="66"/>
      <c r="I878" s="66"/>
      <c r="J878" s="66"/>
      <c r="K878" s="66"/>
      <c r="L878" s="66"/>
      <c r="M878" s="66"/>
      <c r="N878" s="66"/>
    </row>
    <row r="879" spans="1:14" x14ac:dyDescent="0.2">
      <c r="A879" s="84"/>
      <c r="B879" s="84"/>
      <c r="C879" s="60"/>
      <c r="D879" s="66"/>
      <c r="E879" s="66"/>
      <c r="F879" s="66"/>
      <c r="G879" s="66"/>
      <c r="H879" s="66"/>
      <c r="I879" s="66"/>
      <c r="J879" s="66"/>
      <c r="K879" s="66"/>
      <c r="L879" s="66"/>
      <c r="M879" s="66"/>
      <c r="N879" s="66"/>
    </row>
    <row r="880" spans="1:14" x14ac:dyDescent="0.2">
      <c r="A880" s="84"/>
      <c r="B880" s="84"/>
      <c r="C880" s="60"/>
      <c r="D880" s="66"/>
      <c r="E880" s="66"/>
      <c r="F880" s="66"/>
      <c r="G880" s="66"/>
      <c r="H880" s="66"/>
      <c r="I880" s="66"/>
      <c r="J880" s="66"/>
      <c r="K880" s="66"/>
      <c r="L880" s="66"/>
      <c r="M880" s="66"/>
      <c r="N880" s="66"/>
    </row>
    <row r="881" spans="1:14" x14ac:dyDescent="0.2">
      <c r="A881" s="84"/>
      <c r="B881" s="84"/>
      <c r="C881" s="60"/>
      <c r="D881" s="66"/>
      <c r="E881" s="66"/>
      <c r="F881" s="66"/>
      <c r="G881" s="66"/>
      <c r="H881" s="66"/>
      <c r="I881" s="66"/>
      <c r="J881" s="66"/>
      <c r="K881" s="66"/>
      <c r="L881" s="66"/>
      <c r="M881" s="66"/>
      <c r="N881" s="66"/>
    </row>
    <row r="882" spans="1:14" x14ac:dyDescent="0.2">
      <c r="A882" s="84"/>
      <c r="B882" s="84"/>
      <c r="C882" s="60"/>
      <c r="D882" s="66"/>
      <c r="E882" s="66"/>
      <c r="F882" s="66"/>
      <c r="G882" s="66"/>
      <c r="H882" s="66"/>
      <c r="I882" s="66"/>
      <c r="J882" s="66"/>
      <c r="K882" s="66"/>
      <c r="L882" s="66"/>
      <c r="M882" s="66"/>
      <c r="N882" s="66"/>
    </row>
    <row r="883" spans="1:14" x14ac:dyDescent="0.2">
      <c r="A883" s="84"/>
      <c r="B883" s="84"/>
      <c r="C883" s="60"/>
      <c r="D883" s="66"/>
      <c r="E883" s="66"/>
      <c r="F883" s="66"/>
      <c r="G883" s="66"/>
      <c r="H883" s="66"/>
      <c r="I883" s="66"/>
      <c r="J883" s="66"/>
      <c r="K883" s="66"/>
      <c r="L883" s="66"/>
      <c r="M883" s="66"/>
      <c r="N883" s="66"/>
    </row>
    <row r="884" spans="1:14" x14ac:dyDescent="0.2">
      <c r="A884" s="84"/>
      <c r="B884" s="84"/>
      <c r="C884" s="60"/>
      <c r="D884" s="66"/>
      <c r="E884" s="66"/>
      <c r="F884" s="66"/>
      <c r="G884" s="66"/>
      <c r="H884" s="66"/>
      <c r="I884" s="66"/>
      <c r="J884" s="66"/>
      <c r="K884" s="66"/>
      <c r="L884" s="66"/>
      <c r="M884" s="66"/>
      <c r="N884" s="66"/>
    </row>
    <row r="885" spans="1:14" x14ac:dyDescent="0.2">
      <c r="A885" s="84"/>
      <c r="B885" s="84"/>
      <c r="C885" s="60"/>
      <c r="D885" s="66"/>
      <c r="E885" s="66"/>
      <c r="F885" s="66"/>
      <c r="G885" s="66"/>
      <c r="H885" s="66"/>
      <c r="I885" s="66"/>
      <c r="J885" s="66"/>
      <c r="K885" s="66"/>
      <c r="L885" s="66"/>
      <c r="M885" s="66"/>
      <c r="N885" s="66"/>
    </row>
    <row r="886" spans="1:14" x14ac:dyDescent="0.2">
      <c r="A886" s="84"/>
      <c r="B886" s="84"/>
      <c r="C886" s="60"/>
      <c r="D886" s="66"/>
      <c r="E886" s="66"/>
      <c r="F886" s="66"/>
      <c r="G886" s="66"/>
      <c r="H886" s="66"/>
      <c r="I886" s="66"/>
      <c r="J886" s="66"/>
      <c r="K886" s="66"/>
      <c r="L886" s="66"/>
      <c r="M886" s="66"/>
      <c r="N886" s="66"/>
    </row>
    <row r="887" spans="1:14" x14ac:dyDescent="0.2">
      <c r="A887" s="84"/>
      <c r="B887" s="84"/>
      <c r="C887" s="60"/>
      <c r="D887" s="66"/>
      <c r="E887" s="66"/>
      <c r="F887" s="66"/>
      <c r="G887" s="66"/>
      <c r="H887" s="66"/>
      <c r="I887" s="66"/>
      <c r="J887" s="66"/>
      <c r="K887" s="66"/>
      <c r="L887" s="66"/>
      <c r="M887" s="66"/>
      <c r="N887" s="66"/>
    </row>
    <row r="888" spans="1:14" x14ac:dyDescent="0.2">
      <c r="A888" s="84"/>
      <c r="B888" s="84"/>
      <c r="C888" s="60"/>
      <c r="D888" s="66"/>
      <c r="E888" s="66"/>
      <c r="F888" s="66"/>
      <c r="G888" s="66"/>
      <c r="H888" s="66"/>
      <c r="I888" s="66"/>
      <c r="J888" s="66"/>
      <c r="K888" s="66"/>
      <c r="L888" s="66"/>
      <c r="M888" s="66"/>
      <c r="N888" s="66"/>
    </row>
    <row r="889" spans="1:14" x14ac:dyDescent="0.2">
      <c r="A889" s="84"/>
      <c r="B889" s="84"/>
      <c r="C889" s="60"/>
      <c r="D889" s="66"/>
      <c r="E889" s="66"/>
      <c r="F889" s="66"/>
      <c r="G889" s="66"/>
      <c r="H889" s="66"/>
      <c r="I889" s="66"/>
      <c r="J889" s="66"/>
      <c r="K889" s="66"/>
      <c r="L889" s="66"/>
      <c r="M889" s="66"/>
      <c r="N889" s="66"/>
    </row>
    <row r="890" spans="1:14" x14ac:dyDescent="0.2">
      <c r="A890" s="84"/>
      <c r="B890" s="84"/>
      <c r="C890" s="60"/>
      <c r="D890" s="66"/>
      <c r="E890" s="66"/>
      <c r="F890" s="66"/>
      <c r="G890" s="66"/>
      <c r="H890" s="66"/>
      <c r="I890" s="66"/>
      <c r="J890" s="66"/>
      <c r="K890" s="66"/>
      <c r="L890" s="66"/>
      <c r="M890" s="66"/>
      <c r="N890" s="66"/>
    </row>
    <row r="891" spans="1:14" x14ac:dyDescent="0.2">
      <c r="A891" s="84"/>
      <c r="B891" s="84"/>
      <c r="C891" s="60"/>
      <c r="D891" s="66"/>
      <c r="E891" s="66"/>
      <c r="F891" s="66"/>
      <c r="G891" s="66"/>
      <c r="H891" s="66"/>
      <c r="I891" s="66"/>
      <c r="J891" s="66"/>
      <c r="K891" s="66"/>
      <c r="L891" s="66"/>
      <c r="M891" s="66"/>
      <c r="N891" s="66"/>
    </row>
    <row r="892" spans="1:14" x14ac:dyDescent="0.2">
      <c r="A892" s="84"/>
      <c r="B892" s="84"/>
      <c r="C892" s="60"/>
      <c r="D892" s="66"/>
      <c r="E892" s="66"/>
      <c r="F892" s="66"/>
      <c r="G892" s="66"/>
      <c r="H892" s="66"/>
      <c r="I892" s="66"/>
      <c r="J892" s="66"/>
      <c r="K892" s="66"/>
      <c r="L892" s="66"/>
      <c r="M892" s="66"/>
      <c r="N892" s="66"/>
    </row>
    <row r="893" spans="1:14" x14ac:dyDescent="0.2">
      <c r="A893" s="84"/>
      <c r="B893" s="84"/>
      <c r="C893" s="60"/>
      <c r="D893" s="66"/>
      <c r="E893" s="66"/>
      <c r="F893" s="66"/>
      <c r="G893" s="66"/>
      <c r="H893" s="66"/>
      <c r="I893" s="66"/>
      <c r="J893" s="66"/>
      <c r="K893" s="66"/>
      <c r="L893" s="66"/>
      <c r="M893" s="66"/>
      <c r="N893" s="66"/>
    </row>
    <row r="894" spans="1:14" x14ac:dyDescent="0.2">
      <c r="A894" s="84"/>
      <c r="B894" s="84"/>
      <c r="C894" s="60"/>
      <c r="D894" s="66"/>
      <c r="E894" s="66"/>
      <c r="F894" s="66"/>
      <c r="G894" s="66"/>
      <c r="H894" s="66"/>
      <c r="I894" s="66"/>
      <c r="J894" s="66"/>
      <c r="K894" s="66"/>
      <c r="L894" s="66"/>
      <c r="M894" s="66"/>
      <c r="N894" s="66"/>
    </row>
    <row r="895" spans="1:14" x14ac:dyDescent="0.2">
      <c r="A895" s="84"/>
      <c r="B895" s="84"/>
      <c r="C895" s="60"/>
      <c r="D895" s="66"/>
      <c r="E895" s="66"/>
      <c r="F895" s="66"/>
      <c r="G895" s="66"/>
      <c r="H895" s="66"/>
      <c r="I895" s="66"/>
      <c r="J895" s="66"/>
      <c r="K895" s="66"/>
      <c r="L895" s="66"/>
      <c r="M895" s="66"/>
      <c r="N895" s="66"/>
    </row>
    <row r="896" spans="1:14" x14ac:dyDescent="0.2">
      <c r="A896" s="84"/>
      <c r="B896" s="84"/>
      <c r="C896" s="60"/>
      <c r="D896" s="66"/>
      <c r="E896" s="66"/>
      <c r="F896" s="66"/>
      <c r="G896" s="66"/>
      <c r="H896" s="66"/>
      <c r="I896" s="66"/>
      <c r="J896" s="66"/>
      <c r="K896" s="66"/>
      <c r="L896" s="66"/>
      <c r="M896" s="66"/>
      <c r="N896" s="66"/>
    </row>
    <row r="897" spans="1:14" x14ac:dyDescent="0.2">
      <c r="A897" s="84"/>
      <c r="B897" s="84"/>
      <c r="C897" s="60"/>
      <c r="D897" s="66"/>
      <c r="E897" s="66"/>
      <c r="F897" s="66"/>
      <c r="G897" s="66"/>
      <c r="H897" s="66"/>
      <c r="I897" s="66"/>
      <c r="J897" s="66"/>
      <c r="K897" s="66"/>
      <c r="L897" s="66"/>
      <c r="M897" s="66"/>
      <c r="N897" s="66"/>
    </row>
    <row r="898" spans="1:14" x14ac:dyDescent="0.2">
      <c r="A898" s="84"/>
      <c r="B898" s="84"/>
      <c r="C898" s="60"/>
      <c r="D898" s="66"/>
      <c r="E898" s="66"/>
      <c r="F898" s="66"/>
      <c r="G898" s="66"/>
      <c r="H898" s="66"/>
      <c r="I898" s="66"/>
      <c r="J898" s="66"/>
      <c r="K898" s="66"/>
      <c r="L898" s="66"/>
      <c r="M898" s="66"/>
      <c r="N898" s="66"/>
    </row>
    <row r="899" spans="1:14" x14ac:dyDescent="0.2">
      <c r="A899" s="84"/>
      <c r="B899" s="84"/>
      <c r="C899" s="60"/>
      <c r="D899" s="66"/>
      <c r="E899" s="66"/>
      <c r="F899" s="66"/>
      <c r="G899" s="66"/>
      <c r="H899" s="66"/>
      <c r="I899" s="66"/>
      <c r="J899" s="66"/>
      <c r="K899" s="66"/>
      <c r="L899" s="66"/>
      <c r="M899" s="66"/>
      <c r="N899" s="66"/>
    </row>
    <row r="900" spans="1:14" x14ac:dyDescent="0.2">
      <c r="A900" s="84"/>
      <c r="B900" s="84"/>
      <c r="C900" s="60"/>
      <c r="D900" s="66"/>
      <c r="E900" s="66"/>
      <c r="F900" s="66"/>
      <c r="G900" s="66"/>
      <c r="H900" s="66"/>
      <c r="I900" s="66"/>
      <c r="J900" s="66"/>
      <c r="K900" s="66"/>
      <c r="L900" s="66"/>
      <c r="M900" s="66"/>
      <c r="N900" s="66"/>
    </row>
    <row r="901" spans="1:14" x14ac:dyDescent="0.2">
      <c r="A901" s="84"/>
      <c r="B901" s="84"/>
      <c r="C901" s="60"/>
      <c r="D901" s="66"/>
      <c r="E901" s="66"/>
      <c r="F901" s="66"/>
      <c r="G901" s="66"/>
      <c r="H901" s="66"/>
      <c r="I901" s="66"/>
      <c r="J901" s="66"/>
      <c r="K901" s="66"/>
      <c r="L901" s="66"/>
      <c r="M901" s="66"/>
      <c r="N901" s="66"/>
    </row>
    <row r="902" spans="1:14" x14ac:dyDescent="0.2">
      <c r="A902" s="84"/>
      <c r="B902" s="84"/>
      <c r="C902" s="60"/>
      <c r="D902" s="66"/>
      <c r="E902" s="66"/>
      <c r="F902" s="66"/>
      <c r="G902" s="66"/>
      <c r="H902" s="66"/>
      <c r="I902" s="66"/>
      <c r="J902" s="66"/>
      <c r="K902" s="66"/>
      <c r="L902" s="66"/>
      <c r="M902" s="66"/>
      <c r="N902" s="66"/>
    </row>
    <row r="903" spans="1:14" x14ac:dyDescent="0.2">
      <c r="A903" s="84"/>
      <c r="B903" s="84"/>
      <c r="C903" s="60"/>
      <c r="D903" s="66"/>
      <c r="E903" s="66"/>
      <c r="F903" s="66"/>
      <c r="G903" s="66"/>
      <c r="H903" s="66"/>
      <c r="I903" s="66"/>
      <c r="J903" s="66"/>
      <c r="K903" s="66"/>
      <c r="L903" s="66"/>
      <c r="M903" s="66"/>
      <c r="N903" s="66"/>
    </row>
    <row r="904" spans="1:14" x14ac:dyDescent="0.2">
      <c r="A904" s="84"/>
      <c r="B904" s="84"/>
      <c r="C904" s="60"/>
      <c r="D904" s="66"/>
      <c r="E904" s="66"/>
      <c r="F904" s="66"/>
      <c r="G904" s="66"/>
      <c r="H904" s="66"/>
      <c r="I904" s="66"/>
      <c r="J904" s="66"/>
      <c r="K904" s="66"/>
      <c r="L904" s="66"/>
      <c r="M904" s="66"/>
      <c r="N904" s="66"/>
    </row>
    <row r="905" spans="1:14" x14ac:dyDescent="0.2">
      <c r="A905" s="84"/>
      <c r="B905" s="84"/>
      <c r="C905" s="60"/>
      <c r="D905" s="66"/>
      <c r="E905" s="66"/>
      <c r="F905" s="66"/>
      <c r="G905" s="66"/>
      <c r="H905" s="66"/>
      <c r="I905" s="66"/>
      <c r="J905" s="66"/>
      <c r="K905" s="66"/>
      <c r="L905" s="66"/>
      <c r="M905" s="66"/>
      <c r="N905" s="66"/>
    </row>
    <row r="906" spans="1:14" x14ac:dyDescent="0.2">
      <c r="A906" s="84"/>
      <c r="B906" s="84"/>
      <c r="C906" s="60"/>
      <c r="D906" s="66"/>
      <c r="E906" s="66"/>
      <c r="F906" s="66"/>
      <c r="G906" s="66"/>
      <c r="H906" s="66"/>
      <c r="I906" s="66"/>
      <c r="J906" s="66"/>
      <c r="K906" s="66"/>
      <c r="L906" s="66"/>
      <c r="M906" s="66"/>
      <c r="N906" s="66"/>
    </row>
    <row r="907" spans="1:14" x14ac:dyDescent="0.2">
      <c r="A907" s="84"/>
      <c r="B907" s="84"/>
      <c r="C907" s="60"/>
      <c r="D907" s="66"/>
      <c r="E907" s="66"/>
      <c r="F907" s="66"/>
      <c r="G907" s="66"/>
      <c r="H907" s="66"/>
      <c r="I907" s="66"/>
      <c r="J907" s="66"/>
      <c r="K907" s="66"/>
      <c r="L907" s="66"/>
      <c r="M907" s="66"/>
      <c r="N907" s="66"/>
    </row>
    <row r="908" spans="1:14" x14ac:dyDescent="0.2">
      <c r="A908" s="84"/>
      <c r="B908" s="84"/>
      <c r="C908" s="60"/>
      <c r="D908" s="66"/>
      <c r="E908" s="66"/>
      <c r="F908" s="66"/>
      <c r="G908" s="66"/>
      <c r="H908" s="66"/>
      <c r="I908" s="66"/>
      <c r="J908" s="66"/>
      <c r="K908" s="66"/>
      <c r="L908" s="66"/>
      <c r="M908" s="66"/>
      <c r="N908" s="66"/>
    </row>
    <row r="909" spans="1:14" x14ac:dyDescent="0.2">
      <c r="A909" s="84"/>
      <c r="B909" s="84"/>
      <c r="C909" s="60"/>
      <c r="D909" s="66"/>
      <c r="E909" s="66"/>
      <c r="F909" s="66"/>
      <c r="G909" s="66"/>
      <c r="H909" s="66"/>
      <c r="I909" s="66"/>
      <c r="J909" s="66"/>
      <c r="K909" s="66"/>
      <c r="L909" s="66"/>
      <c r="M909" s="66"/>
      <c r="N909" s="66"/>
    </row>
    <row r="910" spans="1:14" x14ac:dyDescent="0.2">
      <c r="A910" s="84"/>
      <c r="B910" s="84"/>
      <c r="C910" s="60"/>
      <c r="D910" s="66"/>
      <c r="E910" s="66"/>
      <c r="F910" s="66"/>
      <c r="G910" s="66"/>
      <c r="H910" s="66"/>
      <c r="I910" s="66"/>
      <c r="J910" s="66"/>
      <c r="K910" s="66"/>
      <c r="L910" s="66"/>
      <c r="M910" s="66"/>
      <c r="N910" s="66"/>
    </row>
    <row r="911" spans="1:14" x14ac:dyDescent="0.2">
      <c r="A911" s="84"/>
      <c r="B911" s="84"/>
      <c r="C911" s="60"/>
      <c r="D911" s="66"/>
      <c r="E911" s="66"/>
      <c r="F911" s="66"/>
      <c r="G911" s="66"/>
      <c r="H911" s="66"/>
      <c r="I911" s="66"/>
      <c r="J911" s="66"/>
      <c r="K911" s="66"/>
      <c r="L911" s="66"/>
      <c r="M911" s="66"/>
      <c r="N911" s="66"/>
    </row>
    <row r="912" spans="1:14" x14ac:dyDescent="0.2">
      <c r="A912" s="84"/>
      <c r="B912" s="84"/>
      <c r="C912" s="60"/>
      <c r="D912" s="66"/>
      <c r="E912" s="66"/>
      <c r="F912" s="66"/>
      <c r="G912" s="66"/>
      <c r="H912" s="66"/>
      <c r="I912" s="66"/>
      <c r="J912" s="66"/>
      <c r="K912" s="66"/>
      <c r="L912" s="66"/>
      <c r="M912" s="66"/>
      <c r="N912" s="66"/>
    </row>
    <row r="913" spans="1:14" x14ac:dyDescent="0.2">
      <c r="A913" s="84"/>
      <c r="B913" s="84"/>
      <c r="C913" s="60"/>
      <c r="D913" s="66"/>
      <c r="E913" s="66"/>
      <c r="F913" s="66"/>
      <c r="G913" s="66"/>
      <c r="H913" s="66"/>
      <c r="I913" s="66"/>
      <c r="J913" s="66"/>
      <c r="K913" s="66"/>
      <c r="L913" s="66"/>
      <c r="M913" s="66"/>
      <c r="N913" s="66"/>
    </row>
    <row r="914" spans="1:14" x14ac:dyDescent="0.2">
      <c r="A914" s="84"/>
      <c r="B914" s="84"/>
      <c r="C914" s="60"/>
      <c r="D914" s="66"/>
      <c r="E914" s="66"/>
      <c r="F914" s="66"/>
      <c r="G914" s="66"/>
      <c r="H914" s="66"/>
      <c r="I914" s="66"/>
      <c r="J914" s="66"/>
      <c r="K914" s="66"/>
      <c r="L914" s="66"/>
      <c r="M914" s="66"/>
      <c r="N914" s="66"/>
    </row>
    <row r="915" spans="1:14" x14ac:dyDescent="0.2">
      <c r="A915" s="84"/>
      <c r="B915" s="84"/>
      <c r="C915" s="60"/>
      <c r="D915" s="66"/>
      <c r="E915" s="66"/>
      <c r="F915" s="66"/>
      <c r="G915" s="66"/>
      <c r="H915" s="66"/>
      <c r="I915" s="66"/>
      <c r="J915" s="66"/>
      <c r="K915" s="66"/>
      <c r="L915" s="66"/>
      <c r="M915" s="66"/>
      <c r="N915" s="66"/>
    </row>
    <row r="916" spans="1:14" x14ac:dyDescent="0.2">
      <c r="A916" s="84"/>
      <c r="B916" s="84"/>
      <c r="C916" s="60"/>
      <c r="D916" s="66"/>
      <c r="E916" s="66"/>
      <c r="F916" s="66"/>
      <c r="G916" s="66"/>
      <c r="H916" s="66"/>
      <c r="I916" s="66"/>
      <c r="J916" s="66"/>
      <c r="K916" s="66"/>
      <c r="L916" s="66"/>
      <c r="M916" s="66"/>
      <c r="N916" s="66"/>
    </row>
    <row r="917" spans="1:14" x14ac:dyDescent="0.2">
      <c r="A917" s="84"/>
      <c r="B917" s="84"/>
      <c r="C917" s="60"/>
      <c r="D917" s="66"/>
      <c r="E917" s="66"/>
      <c r="F917" s="66"/>
      <c r="G917" s="66"/>
      <c r="H917" s="66"/>
      <c r="I917" s="66"/>
      <c r="J917" s="66"/>
      <c r="K917" s="66"/>
      <c r="L917" s="66"/>
      <c r="M917" s="66"/>
      <c r="N917" s="66"/>
    </row>
    <row r="918" spans="1:14" x14ac:dyDescent="0.2">
      <c r="A918" s="84"/>
      <c r="B918" s="84"/>
      <c r="C918" s="60"/>
      <c r="D918" s="66"/>
      <c r="E918" s="66"/>
      <c r="F918" s="66"/>
      <c r="G918" s="66"/>
      <c r="H918" s="66"/>
      <c r="I918" s="66"/>
      <c r="J918" s="66"/>
      <c r="K918" s="66"/>
      <c r="L918" s="66"/>
      <c r="M918" s="66"/>
      <c r="N918" s="66"/>
    </row>
    <row r="919" spans="1:14" x14ac:dyDescent="0.2">
      <c r="A919" s="84"/>
      <c r="B919" s="84"/>
      <c r="C919" s="60"/>
      <c r="D919" s="66"/>
      <c r="E919" s="66"/>
      <c r="F919" s="66"/>
      <c r="G919" s="66"/>
      <c r="H919" s="66"/>
      <c r="I919" s="66"/>
      <c r="J919" s="66"/>
      <c r="K919" s="66"/>
      <c r="L919" s="66"/>
      <c r="M919" s="66"/>
      <c r="N919" s="66"/>
    </row>
    <row r="920" spans="1:14" x14ac:dyDescent="0.2">
      <c r="A920" s="84"/>
      <c r="B920" s="84"/>
      <c r="C920" s="60"/>
      <c r="D920" s="66"/>
      <c r="E920" s="66"/>
      <c r="F920" s="66"/>
      <c r="G920" s="66"/>
      <c r="H920" s="66"/>
      <c r="I920" s="66"/>
      <c r="J920" s="66"/>
      <c r="K920" s="66"/>
      <c r="L920" s="66"/>
      <c r="M920" s="66"/>
      <c r="N920" s="66"/>
    </row>
    <row r="921" spans="1:14" x14ac:dyDescent="0.2">
      <c r="A921" s="84"/>
      <c r="B921" s="84"/>
      <c r="C921" s="60"/>
      <c r="D921" s="66"/>
      <c r="E921" s="66"/>
      <c r="F921" s="66"/>
      <c r="G921" s="66"/>
      <c r="H921" s="66"/>
      <c r="I921" s="66"/>
      <c r="J921" s="66"/>
      <c r="K921" s="66"/>
      <c r="L921" s="66"/>
      <c r="M921" s="66"/>
      <c r="N921" s="66"/>
    </row>
    <row r="922" spans="1:14" x14ac:dyDescent="0.2">
      <c r="A922" s="84"/>
      <c r="B922" s="84"/>
      <c r="C922" s="60"/>
      <c r="D922" s="66"/>
      <c r="E922" s="66"/>
      <c r="F922" s="66"/>
      <c r="G922" s="66"/>
      <c r="H922" s="66"/>
      <c r="I922" s="66"/>
      <c r="J922" s="66"/>
      <c r="K922" s="66"/>
      <c r="L922" s="66"/>
      <c r="M922" s="66"/>
      <c r="N922" s="66"/>
    </row>
    <row r="923" spans="1:14" x14ac:dyDescent="0.2">
      <c r="A923" s="84"/>
      <c r="B923" s="84"/>
      <c r="C923" s="60"/>
      <c r="D923" s="66"/>
      <c r="E923" s="66"/>
      <c r="F923" s="66"/>
      <c r="G923" s="66"/>
      <c r="H923" s="66"/>
      <c r="I923" s="66"/>
      <c r="J923" s="66"/>
      <c r="K923" s="66"/>
      <c r="L923" s="66"/>
      <c r="M923" s="66"/>
      <c r="N923" s="66"/>
    </row>
    <row r="924" spans="1:14" x14ac:dyDescent="0.2">
      <c r="A924" s="84"/>
      <c r="B924" s="84"/>
      <c r="C924" s="60"/>
      <c r="D924" s="66"/>
      <c r="E924" s="66"/>
      <c r="F924" s="66"/>
      <c r="G924" s="66"/>
      <c r="H924" s="66"/>
      <c r="I924" s="66"/>
      <c r="J924" s="66"/>
      <c r="K924" s="66"/>
      <c r="L924" s="66"/>
      <c r="M924" s="66"/>
      <c r="N924" s="66"/>
    </row>
    <row r="925" spans="1:14" x14ac:dyDescent="0.2">
      <c r="A925" s="84"/>
      <c r="B925" s="84"/>
      <c r="C925" s="60"/>
      <c r="D925" s="66"/>
      <c r="E925" s="66"/>
      <c r="F925" s="66"/>
      <c r="G925" s="66"/>
      <c r="H925" s="66"/>
      <c r="I925" s="66"/>
      <c r="J925" s="66"/>
      <c r="K925" s="66"/>
      <c r="L925" s="66"/>
      <c r="M925" s="66"/>
      <c r="N925" s="66"/>
    </row>
    <row r="926" spans="1:14" x14ac:dyDescent="0.2">
      <c r="A926" s="84"/>
      <c r="B926" s="84"/>
      <c r="C926" s="60"/>
      <c r="D926" s="66"/>
      <c r="E926" s="66"/>
      <c r="F926" s="66"/>
      <c r="G926" s="66"/>
      <c r="H926" s="66"/>
      <c r="I926" s="66"/>
      <c r="J926" s="66"/>
      <c r="K926" s="66"/>
      <c r="L926" s="66"/>
      <c r="M926" s="66"/>
      <c r="N926" s="66"/>
    </row>
    <row r="927" spans="1:14" x14ac:dyDescent="0.2">
      <c r="A927" s="84"/>
      <c r="B927" s="84"/>
      <c r="C927" s="60"/>
      <c r="D927" s="66"/>
      <c r="E927" s="66"/>
      <c r="F927" s="66"/>
      <c r="G927" s="66"/>
      <c r="H927" s="66"/>
      <c r="I927" s="66"/>
      <c r="J927" s="66"/>
      <c r="K927" s="66"/>
      <c r="L927" s="66"/>
      <c r="M927" s="66"/>
      <c r="N927" s="66"/>
    </row>
    <row r="928" spans="1:14" x14ac:dyDescent="0.2">
      <c r="A928" s="84"/>
      <c r="B928" s="84"/>
      <c r="C928" s="60"/>
      <c r="D928" s="66"/>
      <c r="E928" s="66"/>
      <c r="F928" s="66"/>
      <c r="G928" s="66"/>
      <c r="H928" s="66"/>
      <c r="I928" s="66"/>
      <c r="J928" s="66"/>
      <c r="K928" s="66"/>
      <c r="L928" s="66"/>
      <c r="M928" s="66"/>
      <c r="N928" s="66"/>
    </row>
    <row r="929" spans="1:14" x14ac:dyDescent="0.2">
      <c r="A929" s="84"/>
      <c r="B929" s="84"/>
      <c r="C929" s="60"/>
      <c r="D929" s="66"/>
      <c r="E929" s="66"/>
      <c r="F929" s="66"/>
      <c r="G929" s="66"/>
      <c r="H929" s="66"/>
      <c r="I929" s="66"/>
      <c r="J929" s="66"/>
      <c r="K929" s="66"/>
      <c r="L929" s="66"/>
      <c r="M929" s="66"/>
      <c r="N929" s="66"/>
    </row>
    <row r="930" spans="1:14" x14ac:dyDescent="0.2">
      <c r="A930" s="84"/>
      <c r="B930" s="84"/>
      <c r="C930" s="60"/>
      <c r="D930" s="66"/>
      <c r="E930" s="66"/>
      <c r="F930" s="66"/>
      <c r="G930" s="66"/>
      <c r="H930" s="66"/>
      <c r="I930" s="66"/>
      <c r="J930" s="66"/>
      <c r="K930" s="66"/>
      <c r="L930" s="66"/>
      <c r="M930" s="66"/>
      <c r="N930" s="66"/>
    </row>
    <row r="931" spans="1:14" x14ac:dyDescent="0.2">
      <c r="A931" s="84"/>
      <c r="B931" s="84"/>
      <c r="C931" s="60"/>
      <c r="D931" s="66"/>
      <c r="E931" s="66"/>
      <c r="F931" s="66"/>
      <c r="G931" s="66"/>
      <c r="H931" s="66"/>
      <c r="I931" s="66"/>
      <c r="J931" s="66"/>
      <c r="K931" s="66"/>
      <c r="L931" s="66"/>
      <c r="M931" s="66"/>
      <c r="N931" s="66"/>
    </row>
    <row r="932" spans="1:14" x14ac:dyDescent="0.2">
      <c r="A932" s="84"/>
      <c r="B932" s="84"/>
      <c r="C932" s="60"/>
      <c r="D932" s="66"/>
      <c r="E932" s="66"/>
      <c r="F932" s="66"/>
      <c r="G932" s="66"/>
      <c r="H932" s="66"/>
      <c r="I932" s="66"/>
      <c r="J932" s="66"/>
      <c r="K932" s="66"/>
      <c r="L932" s="66"/>
      <c r="M932" s="66"/>
      <c r="N932" s="66"/>
    </row>
    <row r="933" spans="1:14" x14ac:dyDescent="0.2">
      <c r="A933" s="84"/>
      <c r="B933" s="84"/>
      <c r="C933" s="60"/>
      <c r="D933" s="66"/>
      <c r="E933" s="66"/>
      <c r="F933" s="66"/>
      <c r="G933" s="66"/>
      <c r="H933" s="66"/>
      <c r="I933" s="66"/>
      <c r="J933" s="66"/>
      <c r="K933" s="66"/>
      <c r="L933" s="66"/>
      <c r="M933" s="66"/>
      <c r="N933" s="66"/>
    </row>
    <row r="934" spans="1:14" x14ac:dyDescent="0.2">
      <c r="A934" s="84"/>
      <c r="B934" s="84"/>
      <c r="C934" s="60"/>
      <c r="D934" s="66"/>
      <c r="E934" s="66"/>
      <c r="F934" s="66"/>
      <c r="G934" s="66"/>
      <c r="H934" s="66"/>
      <c r="I934" s="66"/>
      <c r="J934" s="66"/>
      <c r="K934" s="66"/>
      <c r="L934" s="66"/>
      <c r="M934" s="66"/>
      <c r="N934" s="66"/>
    </row>
    <row r="935" spans="1:14" x14ac:dyDescent="0.2">
      <c r="A935" s="84"/>
      <c r="B935" s="84"/>
      <c r="C935" s="60"/>
      <c r="D935" s="66"/>
      <c r="E935" s="66"/>
      <c r="F935" s="66"/>
      <c r="G935" s="66"/>
      <c r="H935" s="66"/>
      <c r="I935" s="66"/>
      <c r="J935" s="66"/>
      <c r="K935" s="66"/>
      <c r="L935" s="66"/>
      <c r="M935" s="66"/>
      <c r="N935" s="66"/>
    </row>
    <row r="936" spans="1:14" x14ac:dyDescent="0.2">
      <c r="A936" s="84"/>
      <c r="B936" s="84"/>
      <c r="C936" s="60"/>
      <c r="D936" s="66"/>
      <c r="E936" s="66"/>
      <c r="F936" s="66"/>
      <c r="G936" s="66"/>
      <c r="H936" s="66"/>
      <c r="I936" s="66"/>
      <c r="J936" s="66"/>
      <c r="K936" s="66"/>
      <c r="L936" s="66"/>
      <c r="M936" s="66"/>
      <c r="N936" s="66"/>
    </row>
    <row r="937" spans="1:14" x14ac:dyDescent="0.2">
      <c r="A937" s="84"/>
      <c r="B937" s="84"/>
      <c r="C937" s="60"/>
      <c r="D937" s="66"/>
      <c r="E937" s="66"/>
      <c r="F937" s="66"/>
      <c r="G937" s="66"/>
      <c r="H937" s="66"/>
      <c r="I937" s="66"/>
      <c r="J937" s="66"/>
      <c r="K937" s="66"/>
      <c r="L937" s="66"/>
      <c r="M937" s="66"/>
      <c r="N937" s="66"/>
    </row>
    <row r="938" spans="1:14" x14ac:dyDescent="0.2">
      <c r="A938" s="84"/>
      <c r="B938" s="84"/>
      <c r="C938" s="60"/>
      <c r="D938" s="66"/>
      <c r="E938" s="66"/>
      <c r="F938" s="66"/>
      <c r="G938" s="66"/>
      <c r="H938" s="66"/>
      <c r="I938" s="66"/>
      <c r="J938" s="66"/>
      <c r="K938" s="66"/>
      <c r="L938" s="66"/>
      <c r="M938" s="66"/>
      <c r="N938" s="66"/>
    </row>
    <row r="939" spans="1:14" x14ac:dyDescent="0.2">
      <c r="A939" s="84"/>
      <c r="B939" s="84"/>
      <c r="C939" s="60"/>
      <c r="D939" s="66"/>
      <c r="E939" s="66"/>
      <c r="F939" s="66"/>
      <c r="G939" s="66"/>
      <c r="H939" s="66"/>
      <c r="I939" s="66"/>
      <c r="J939" s="66"/>
      <c r="K939" s="66"/>
      <c r="L939" s="66"/>
      <c r="M939" s="66"/>
      <c r="N939" s="66"/>
    </row>
    <row r="940" spans="1:14" x14ac:dyDescent="0.2">
      <c r="A940" s="84"/>
      <c r="B940" s="84"/>
      <c r="C940" s="60"/>
      <c r="D940" s="66"/>
      <c r="E940" s="66"/>
      <c r="F940" s="66"/>
      <c r="G940" s="66"/>
      <c r="H940" s="66"/>
      <c r="I940" s="66"/>
      <c r="J940" s="66"/>
      <c r="K940" s="66"/>
      <c r="L940" s="66"/>
      <c r="M940" s="66"/>
      <c r="N940" s="66"/>
    </row>
    <row r="941" spans="1:14" x14ac:dyDescent="0.2">
      <c r="A941" s="84"/>
      <c r="B941" s="84"/>
      <c r="C941" s="60"/>
      <c r="D941" s="66"/>
      <c r="E941" s="66"/>
      <c r="F941" s="66"/>
      <c r="G941" s="66"/>
      <c r="H941" s="66"/>
      <c r="I941" s="66"/>
      <c r="J941" s="66"/>
      <c r="K941" s="66"/>
      <c r="L941" s="66"/>
      <c r="M941" s="66"/>
      <c r="N941" s="66"/>
    </row>
    <row r="942" spans="1:14" x14ac:dyDescent="0.2">
      <c r="A942" s="84"/>
      <c r="B942" s="84"/>
      <c r="C942" s="60"/>
      <c r="D942" s="66"/>
      <c r="E942" s="66"/>
      <c r="F942" s="66"/>
      <c r="G942" s="66"/>
      <c r="H942" s="66"/>
      <c r="I942" s="66"/>
      <c r="J942" s="66"/>
      <c r="K942" s="66"/>
      <c r="L942" s="66"/>
      <c r="M942" s="66"/>
      <c r="N942" s="66"/>
    </row>
    <row r="943" spans="1:14" x14ac:dyDescent="0.2">
      <c r="A943" s="84"/>
      <c r="B943" s="84"/>
      <c r="C943" s="60"/>
      <c r="D943" s="66"/>
      <c r="E943" s="66"/>
      <c r="F943" s="66"/>
      <c r="G943" s="66"/>
      <c r="H943" s="66"/>
      <c r="I943" s="66"/>
      <c r="J943" s="66"/>
      <c r="K943" s="66"/>
      <c r="L943" s="66"/>
      <c r="M943" s="66"/>
      <c r="N943" s="66"/>
    </row>
    <row r="944" spans="1:14" x14ac:dyDescent="0.2">
      <c r="A944" s="84"/>
      <c r="B944" s="84"/>
      <c r="C944" s="60"/>
      <c r="D944" s="66"/>
      <c r="E944" s="66"/>
      <c r="F944" s="66"/>
      <c r="G944" s="66"/>
      <c r="H944" s="66"/>
      <c r="I944" s="66"/>
      <c r="J944" s="66"/>
      <c r="K944" s="66"/>
      <c r="L944" s="66"/>
      <c r="M944" s="66"/>
      <c r="N944" s="66"/>
    </row>
    <row r="945" spans="1:14" x14ac:dyDescent="0.2">
      <c r="A945" s="84"/>
      <c r="B945" s="84"/>
      <c r="C945" s="60"/>
      <c r="D945" s="66"/>
      <c r="E945" s="66"/>
      <c r="F945" s="66"/>
      <c r="G945" s="66"/>
      <c r="H945" s="66"/>
      <c r="I945" s="66"/>
      <c r="J945" s="66"/>
      <c r="K945" s="66"/>
      <c r="L945" s="66"/>
      <c r="M945" s="66"/>
      <c r="N945" s="66"/>
    </row>
    <row r="946" spans="1:14" x14ac:dyDescent="0.2">
      <c r="A946" s="84"/>
      <c r="B946" s="84"/>
      <c r="C946" s="60"/>
      <c r="D946" s="66"/>
      <c r="E946" s="66"/>
      <c r="F946" s="66"/>
      <c r="G946" s="66"/>
      <c r="H946" s="66"/>
      <c r="I946" s="66"/>
      <c r="J946" s="66"/>
      <c r="K946" s="66"/>
      <c r="L946" s="66"/>
      <c r="M946" s="66"/>
      <c r="N946" s="66"/>
    </row>
    <row r="947" spans="1:14" x14ac:dyDescent="0.2">
      <c r="A947" s="84"/>
      <c r="B947" s="84"/>
      <c r="C947" s="60"/>
      <c r="D947" s="66"/>
      <c r="E947" s="66"/>
      <c r="F947" s="66"/>
      <c r="G947" s="66"/>
      <c r="H947" s="66"/>
      <c r="I947" s="66"/>
      <c r="J947" s="66"/>
      <c r="K947" s="66"/>
      <c r="L947" s="66"/>
      <c r="M947" s="66"/>
      <c r="N947" s="66"/>
    </row>
    <row r="948" spans="1:14" x14ac:dyDescent="0.2">
      <c r="A948" s="84"/>
      <c r="B948" s="84"/>
      <c r="C948" s="60"/>
      <c r="D948" s="66"/>
      <c r="E948" s="66"/>
      <c r="F948" s="66"/>
      <c r="G948" s="66"/>
      <c r="H948" s="66"/>
      <c r="I948" s="66"/>
      <c r="J948" s="66"/>
      <c r="K948" s="66"/>
      <c r="L948" s="66"/>
      <c r="M948" s="66"/>
      <c r="N948" s="66"/>
    </row>
    <row r="949" spans="1:14" x14ac:dyDescent="0.2">
      <c r="A949" s="84"/>
      <c r="B949" s="84"/>
      <c r="C949" s="60"/>
      <c r="D949" s="66"/>
      <c r="E949" s="66"/>
      <c r="F949" s="66"/>
      <c r="G949" s="66"/>
      <c r="H949" s="66"/>
      <c r="I949" s="66"/>
      <c r="J949" s="66"/>
      <c r="K949" s="66"/>
      <c r="L949" s="66"/>
      <c r="M949" s="66"/>
      <c r="N949" s="66"/>
    </row>
    <row r="950" spans="1:14" x14ac:dyDescent="0.2">
      <c r="A950" s="84"/>
      <c r="B950" s="84"/>
      <c r="C950" s="60"/>
      <c r="D950" s="66"/>
      <c r="E950" s="66"/>
      <c r="F950" s="66"/>
      <c r="G950" s="66"/>
      <c r="H950" s="66"/>
      <c r="I950" s="66"/>
      <c r="J950" s="66"/>
      <c r="K950" s="66"/>
      <c r="L950" s="66"/>
      <c r="M950" s="66"/>
      <c r="N950" s="66"/>
    </row>
    <row r="951" spans="1:14" x14ac:dyDescent="0.2">
      <c r="A951" s="84"/>
      <c r="B951" s="84"/>
      <c r="C951" s="60"/>
      <c r="D951" s="66"/>
      <c r="E951" s="66"/>
      <c r="F951" s="66"/>
      <c r="G951" s="66"/>
      <c r="H951" s="66"/>
      <c r="I951" s="66"/>
      <c r="J951" s="66"/>
      <c r="K951" s="66"/>
      <c r="L951" s="66"/>
      <c r="M951" s="66"/>
      <c r="N951" s="66"/>
    </row>
    <row r="952" spans="1:14" x14ac:dyDescent="0.2">
      <c r="A952" s="84"/>
      <c r="B952" s="84"/>
      <c r="C952" s="60"/>
      <c r="D952" s="66"/>
      <c r="E952" s="66"/>
      <c r="F952" s="66"/>
      <c r="G952" s="66"/>
      <c r="H952" s="66"/>
      <c r="I952" s="66"/>
      <c r="J952" s="66"/>
      <c r="K952" s="66"/>
      <c r="L952" s="66"/>
      <c r="M952" s="66"/>
      <c r="N952" s="66"/>
    </row>
    <row r="953" spans="1:14" x14ac:dyDescent="0.2">
      <c r="A953" s="84"/>
      <c r="B953" s="84"/>
      <c r="C953" s="60"/>
      <c r="D953" s="66"/>
      <c r="E953" s="66"/>
      <c r="F953" s="66"/>
      <c r="G953" s="66"/>
      <c r="H953" s="66"/>
      <c r="I953" s="66"/>
      <c r="J953" s="66"/>
      <c r="K953" s="66"/>
      <c r="L953" s="66"/>
      <c r="M953" s="66"/>
      <c r="N953" s="66"/>
    </row>
    <row r="954" spans="1:14" x14ac:dyDescent="0.2">
      <c r="A954" s="84"/>
      <c r="B954" s="84"/>
      <c r="C954" s="60"/>
      <c r="D954" s="66"/>
      <c r="E954" s="66"/>
      <c r="F954" s="66"/>
      <c r="G954" s="66"/>
      <c r="H954" s="66"/>
      <c r="I954" s="66"/>
      <c r="J954" s="66"/>
      <c r="K954" s="66"/>
      <c r="L954" s="66"/>
      <c r="M954" s="66"/>
      <c r="N954" s="66"/>
    </row>
    <row r="955" spans="1:14" x14ac:dyDescent="0.2">
      <c r="A955" s="84"/>
      <c r="B955" s="84"/>
      <c r="C955" s="60"/>
      <c r="D955" s="66"/>
      <c r="E955" s="66"/>
      <c r="F955" s="66"/>
      <c r="G955" s="66"/>
      <c r="H955" s="66"/>
      <c r="I955" s="66"/>
      <c r="J955" s="66"/>
      <c r="K955" s="66"/>
      <c r="L955" s="66"/>
      <c r="M955" s="66"/>
      <c r="N955" s="66"/>
    </row>
    <row r="956" spans="1:14" x14ac:dyDescent="0.2">
      <c r="A956" s="84"/>
      <c r="B956" s="84"/>
      <c r="C956" s="60"/>
      <c r="D956" s="66"/>
      <c r="E956" s="66"/>
      <c r="F956" s="66"/>
      <c r="G956" s="66"/>
      <c r="H956" s="66"/>
      <c r="I956" s="66"/>
      <c r="J956" s="66"/>
      <c r="K956" s="66"/>
      <c r="L956" s="66"/>
      <c r="M956" s="66"/>
      <c r="N956" s="66"/>
    </row>
    <row r="957" spans="1:14" x14ac:dyDescent="0.2">
      <c r="A957" s="84"/>
      <c r="B957" s="84"/>
      <c r="C957" s="60"/>
      <c r="D957" s="66"/>
      <c r="E957" s="66"/>
      <c r="F957" s="66"/>
      <c r="G957" s="66"/>
      <c r="H957" s="66"/>
      <c r="I957" s="66"/>
      <c r="J957" s="66"/>
      <c r="K957" s="66"/>
      <c r="L957" s="66"/>
      <c r="M957" s="66"/>
      <c r="N957" s="66"/>
    </row>
    <row r="958" spans="1:14" x14ac:dyDescent="0.2">
      <c r="A958" s="84"/>
      <c r="B958" s="84"/>
      <c r="C958" s="60"/>
      <c r="D958" s="66"/>
      <c r="E958" s="66"/>
      <c r="F958" s="66"/>
      <c r="G958" s="66"/>
      <c r="H958" s="66"/>
      <c r="I958" s="66"/>
      <c r="J958" s="66"/>
      <c r="K958" s="66"/>
      <c r="L958" s="66"/>
      <c r="M958" s="66"/>
      <c r="N958" s="66"/>
    </row>
    <row r="959" spans="1:14" x14ac:dyDescent="0.2">
      <c r="A959" s="84"/>
      <c r="B959" s="84"/>
      <c r="C959" s="60"/>
      <c r="D959" s="66"/>
      <c r="E959" s="66"/>
      <c r="F959" s="66"/>
      <c r="G959" s="66"/>
      <c r="H959" s="66"/>
      <c r="I959" s="66"/>
      <c r="J959" s="66"/>
      <c r="K959" s="66"/>
      <c r="L959" s="66"/>
      <c r="M959" s="66"/>
      <c r="N959" s="66"/>
    </row>
    <row r="960" spans="1:14" x14ac:dyDescent="0.2">
      <c r="A960" s="84"/>
      <c r="B960" s="84"/>
      <c r="C960" s="60"/>
      <c r="D960" s="66"/>
      <c r="E960" s="66"/>
      <c r="F960" s="66"/>
      <c r="G960" s="66"/>
      <c r="H960" s="66"/>
      <c r="I960" s="66"/>
      <c r="J960" s="66"/>
      <c r="K960" s="66"/>
      <c r="L960" s="66"/>
      <c r="M960" s="66"/>
      <c r="N960" s="66"/>
    </row>
    <row r="961" spans="1:14" x14ac:dyDescent="0.2">
      <c r="A961" s="84"/>
      <c r="B961" s="84"/>
      <c r="C961" s="60"/>
      <c r="D961" s="66"/>
      <c r="E961" s="66"/>
      <c r="F961" s="66"/>
      <c r="G961" s="66"/>
      <c r="H961" s="66"/>
      <c r="I961" s="66"/>
      <c r="J961" s="66"/>
      <c r="K961" s="66"/>
      <c r="L961" s="66"/>
      <c r="M961" s="66"/>
      <c r="N961" s="66"/>
    </row>
    <row r="962" spans="1:14" x14ac:dyDescent="0.2">
      <c r="A962" s="84"/>
      <c r="B962" s="84"/>
      <c r="C962" s="60"/>
      <c r="D962" s="66"/>
      <c r="E962" s="66"/>
      <c r="F962" s="66"/>
      <c r="G962" s="66"/>
      <c r="H962" s="66"/>
      <c r="I962" s="66"/>
      <c r="J962" s="66"/>
      <c r="K962" s="66"/>
      <c r="L962" s="66"/>
      <c r="M962" s="66"/>
      <c r="N962" s="66"/>
    </row>
    <row r="963" spans="1:14" x14ac:dyDescent="0.2">
      <c r="A963" s="84"/>
      <c r="B963" s="84"/>
      <c r="C963" s="60"/>
      <c r="D963" s="66"/>
      <c r="E963" s="66"/>
      <c r="F963" s="66"/>
      <c r="G963" s="66"/>
      <c r="H963" s="66"/>
      <c r="I963" s="66"/>
      <c r="J963" s="66"/>
      <c r="K963" s="66"/>
      <c r="L963" s="66"/>
      <c r="M963" s="66"/>
      <c r="N963" s="66"/>
    </row>
    <row r="964" spans="1:14" x14ac:dyDescent="0.2">
      <c r="A964" s="84"/>
      <c r="B964" s="84"/>
      <c r="C964" s="60"/>
      <c r="D964" s="66"/>
      <c r="E964" s="66"/>
      <c r="F964" s="66"/>
      <c r="G964" s="66"/>
      <c r="H964" s="66"/>
      <c r="I964" s="66"/>
      <c r="J964" s="66"/>
      <c r="K964" s="66"/>
      <c r="L964" s="66"/>
      <c r="M964" s="66"/>
      <c r="N964" s="66"/>
    </row>
    <row r="965" spans="1:14" x14ac:dyDescent="0.2">
      <c r="A965" s="84"/>
      <c r="B965" s="84"/>
      <c r="C965" s="60"/>
      <c r="D965" s="66"/>
      <c r="E965" s="66"/>
      <c r="F965" s="66"/>
      <c r="G965" s="66"/>
      <c r="H965" s="66"/>
      <c r="I965" s="66"/>
      <c r="J965" s="66"/>
      <c r="K965" s="66"/>
      <c r="L965" s="66"/>
      <c r="M965" s="66"/>
      <c r="N965" s="66"/>
    </row>
    <row r="966" spans="1:14" x14ac:dyDescent="0.2">
      <c r="A966" s="84"/>
      <c r="B966" s="84"/>
      <c r="C966" s="60"/>
      <c r="D966" s="66"/>
      <c r="E966" s="66"/>
      <c r="F966" s="66"/>
      <c r="G966" s="66"/>
      <c r="H966" s="66"/>
      <c r="I966" s="66"/>
      <c r="J966" s="66"/>
      <c r="K966" s="66"/>
      <c r="L966" s="66"/>
      <c r="M966" s="66"/>
      <c r="N966" s="66"/>
    </row>
    <row r="967" spans="1:14" x14ac:dyDescent="0.2">
      <c r="A967" s="84"/>
      <c r="B967" s="84"/>
      <c r="C967" s="60"/>
      <c r="D967" s="66"/>
      <c r="E967" s="66"/>
      <c r="F967" s="66"/>
      <c r="G967" s="66"/>
      <c r="H967" s="66"/>
      <c r="I967" s="66"/>
      <c r="J967" s="66"/>
      <c r="K967" s="66"/>
      <c r="L967" s="66"/>
      <c r="M967" s="66"/>
      <c r="N967" s="66"/>
    </row>
    <row r="968" spans="1:14" x14ac:dyDescent="0.2">
      <c r="A968" s="84"/>
      <c r="B968" s="84"/>
      <c r="C968" s="60"/>
      <c r="D968" s="66"/>
      <c r="E968" s="66"/>
      <c r="F968" s="66"/>
      <c r="G968" s="66"/>
      <c r="H968" s="66"/>
      <c r="I968" s="66"/>
      <c r="J968" s="66"/>
      <c r="K968" s="66"/>
      <c r="L968" s="66"/>
      <c r="M968" s="66"/>
      <c r="N968" s="66"/>
    </row>
    <row r="969" spans="1:14" x14ac:dyDescent="0.2">
      <c r="A969" s="84"/>
      <c r="B969" s="84"/>
      <c r="C969" s="60"/>
      <c r="D969" s="66"/>
      <c r="E969" s="66"/>
      <c r="F969" s="66"/>
      <c r="G969" s="66"/>
      <c r="H969" s="66"/>
      <c r="I969" s="66"/>
      <c r="J969" s="66"/>
      <c r="K969" s="66"/>
      <c r="L969" s="66"/>
      <c r="M969" s="66"/>
      <c r="N969" s="66"/>
    </row>
    <row r="970" spans="1:14" x14ac:dyDescent="0.2">
      <c r="A970" s="84"/>
      <c r="B970" s="84"/>
      <c r="C970" s="60"/>
      <c r="D970" s="66"/>
      <c r="E970" s="66"/>
      <c r="F970" s="66"/>
      <c r="G970" s="66"/>
      <c r="H970" s="66"/>
      <c r="I970" s="66"/>
      <c r="J970" s="66"/>
      <c r="K970" s="66"/>
      <c r="L970" s="66"/>
      <c r="M970" s="66"/>
      <c r="N970" s="66"/>
    </row>
    <row r="971" spans="1:14" x14ac:dyDescent="0.2">
      <c r="A971" s="84"/>
      <c r="B971" s="84"/>
      <c r="C971" s="60"/>
      <c r="D971" s="66"/>
      <c r="E971" s="66"/>
      <c r="F971" s="66"/>
      <c r="G971" s="66"/>
      <c r="H971" s="66"/>
      <c r="I971" s="66"/>
      <c r="J971" s="66"/>
      <c r="K971" s="66"/>
      <c r="L971" s="66"/>
      <c r="M971" s="66"/>
      <c r="N971" s="66"/>
    </row>
    <row r="972" spans="1:14" x14ac:dyDescent="0.2">
      <c r="A972" s="84"/>
      <c r="B972" s="84"/>
      <c r="C972" s="60"/>
      <c r="D972" s="66"/>
      <c r="E972" s="66"/>
      <c r="F972" s="66"/>
      <c r="G972" s="66"/>
      <c r="H972" s="66"/>
      <c r="I972" s="66"/>
      <c r="J972" s="66"/>
      <c r="K972" s="66"/>
      <c r="L972" s="66"/>
      <c r="M972" s="66"/>
      <c r="N972" s="66"/>
    </row>
    <row r="973" spans="1:14" x14ac:dyDescent="0.2">
      <c r="A973" s="84"/>
      <c r="B973" s="84"/>
      <c r="C973" s="60"/>
      <c r="D973" s="66"/>
      <c r="E973" s="66"/>
      <c r="F973" s="66"/>
      <c r="G973" s="66"/>
      <c r="H973" s="66"/>
      <c r="I973" s="66"/>
      <c r="J973" s="66"/>
      <c r="K973" s="66"/>
      <c r="L973" s="66"/>
      <c r="M973" s="66"/>
      <c r="N973" s="66"/>
    </row>
    <row r="974" spans="1:14" x14ac:dyDescent="0.2">
      <c r="A974" s="84"/>
      <c r="B974" s="84"/>
      <c r="C974" s="60"/>
      <c r="D974" s="66"/>
      <c r="E974" s="66"/>
      <c r="F974" s="66"/>
      <c r="G974" s="66"/>
      <c r="H974" s="66"/>
      <c r="I974" s="66"/>
      <c r="J974" s="66"/>
      <c r="K974" s="66"/>
      <c r="L974" s="66"/>
      <c r="M974" s="66"/>
      <c r="N974" s="66"/>
    </row>
    <row r="975" spans="1:14" x14ac:dyDescent="0.2">
      <c r="A975" s="84"/>
      <c r="B975" s="84"/>
      <c r="C975" s="60"/>
      <c r="D975" s="66"/>
      <c r="E975" s="66"/>
      <c r="F975" s="66"/>
      <c r="G975" s="66"/>
      <c r="H975" s="66"/>
      <c r="I975" s="66"/>
      <c r="J975" s="66"/>
      <c r="K975" s="66"/>
      <c r="L975" s="66"/>
      <c r="M975" s="66"/>
      <c r="N975" s="66"/>
    </row>
    <row r="976" spans="1:14" x14ac:dyDescent="0.2">
      <c r="A976" s="84"/>
      <c r="B976" s="84"/>
      <c r="C976" s="60"/>
      <c r="D976" s="66"/>
      <c r="E976" s="66"/>
      <c r="F976" s="66"/>
      <c r="G976" s="66"/>
      <c r="H976" s="66"/>
      <c r="I976" s="66"/>
      <c r="J976" s="66"/>
      <c r="K976" s="66"/>
      <c r="L976" s="66"/>
      <c r="M976" s="66"/>
      <c r="N976" s="66"/>
    </row>
    <row r="977" spans="1:14" x14ac:dyDescent="0.2">
      <c r="A977" s="84"/>
      <c r="B977" s="84"/>
      <c r="C977" s="60"/>
      <c r="D977" s="66"/>
      <c r="E977" s="66"/>
      <c r="F977" s="66"/>
      <c r="G977" s="66"/>
      <c r="H977" s="66"/>
      <c r="I977" s="66"/>
      <c r="J977" s="66"/>
      <c r="K977" s="66"/>
      <c r="L977" s="66"/>
      <c r="M977" s="66"/>
      <c r="N977" s="66"/>
    </row>
    <row r="978" spans="1:14" x14ac:dyDescent="0.2">
      <c r="A978" s="84"/>
      <c r="B978" s="84"/>
      <c r="C978" s="60"/>
      <c r="D978" s="66"/>
      <c r="E978" s="66"/>
      <c r="F978" s="66"/>
      <c r="G978" s="66"/>
      <c r="H978" s="66"/>
      <c r="I978" s="66"/>
      <c r="J978" s="66"/>
      <c r="K978" s="66"/>
      <c r="L978" s="66"/>
      <c r="M978" s="66"/>
      <c r="N978" s="66"/>
    </row>
    <row r="979" spans="1:14" x14ac:dyDescent="0.2">
      <c r="A979" s="84"/>
      <c r="B979" s="84"/>
      <c r="C979" s="60"/>
      <c r="D979" s="66"/>
      <c r="E979" s="66"/>
      <c r="F979" s="66"/>
      <c r="G979" s="66"/>
      <c r="H979" s="66"/>
      <c r="I979" s="66"/>
      <c r="J979" s="66"/>
      <c r="K979" s="66"/>
      <c r="L979" s="66"/>
      <c r="M979" s="66"/>
      <c r="N979" s="66"/>
    </row>
    <row r="980" spans="1:14" x14ac:dyDescent="0.2">
      <c r="A980" s="84"/>
      <c r="B980" s="84"/>
      <c r="C980" s="60"/>
      <c r="D980" s="66"/>
      <c r="E980" s="66"/>
      <c r="F980" s="66"/>
      <c r="G980" s="66"/>
      <c r="H980" s="66"/>
      <c r="I980" s="66"/>
      <c r="J980" s="66"/>
      <c r="K980" s="66"/>
      <c r="L980" s="66"/>
      <c r="M980" s="66"/>
      <c r="N980" s="66"/>
    </row>
    <row r="981" spans="1:14" x14ac:dyDescent="0.2">
      <c r="A981" s="84"/>
      <c r="B981" s="84"/>
      <c r="C981" s="60"/>
      <c r="D981" s="66"/>
      <c r="E981" s="66"/>
      <c r="F981" s="66"/>
      <c r="G981" s="66"/>
      <c r="H981" s="66"/>
      <c r="I981" s="66"/>
      <c r="J981" s="66"/>
      <c r="K981" s="66"/>
      <c r="L981" s="66"/>
      <c r="M981" s="66"/>
      <c r="N981" s="66"/>
    </row>
    <row r="982" spans="1:14" x14ac:dyDescent="0.2">
      <c r="A982" s="84"/>
      <c r="B982" s="84"/>
      <c r="C982" s="60"/>
      <c r="D982" s="66"/>
      <c r="E982" s="66"/>
      <c r="F982" s="66"/>
      <c r="G982" s="66"/>
      <c r="H982" s="66"/>
      <c r="I982" s="66"/>
      <c r="J982" s="66"/>
      <c r="K982" s="66"/>
      <c r="L982" s="66"/>
      <c r="M982" s="66"/>
      <c r="N982" s="66"/>
    </row>
    <row r="983" spans="1:14" x14ac:dyDescent="0.2">
      <c r="A983" s="84"/>
      <c r="B983" s="84"/>
      <c r="C983" s="60"/>
      <c r="D983" s="66"/>
      <c r="E983" s="66"/>
      <c r="F983" s="66"/>
      <c r="G983" s="66"/>
      <c r="H983" s="66"/>
      <c r="I983" s="66"/>
      <c r="J983" s="66"/>
      <c r="K983" s="66"/>
      <c r="L983" s="66"/>
      <c r="M983" s="66"/>
      <c r="N983" s="66"/>
    </row>
    <row r="984" spans="1:14" x14ac:dyDescent="0.2">
      <c r="A984" s="84"/>
      <c r="B984" s="84"/>
      <c r="C984" s="60"/>
      <c r="D984" s="66"/>
      <c r="E984" s="66"/>
      <c r="F984" s="66"/>
      <c r="G984" s="66"/>
      <c r="H984" s="66"/>
      <c r="I984" s="66"/>
      <c r="J984" s="66"/>
      <c r="K984" s="66"/>
      <c r="L984" s="66"/>
      <c r="M984" s="66"/>
      <c r="N984" s="66"/>
    </row>
    <row r="985" spans="1:14" x14ac:dyDescent="0.2">
      <c r="A985" s="84"/>
      <c r="B985" s="84"/>
      <c r="C985" s="60"/>
      <c r="D985" s="66"/>
      <c r="E985" s="66"/>
      <c r="F985" s="66"/>
      <c r="G985" s="66"/>
      <c r="H985" s="66"/>
      <c r="I985" s="66"/>
      <c r="J985" s="66"/>
      <c r="K985" s="66"/>
      <c r="L985" s="66"/>
      <c r="M985" s="66"/>
      <c r="N985" s="66"/>
    </row>
    <row r="986" spans="1:14" x14ac:dyDescent="0.2">
      <c r="A986" s="84"/>
      <c r="B986" s="84"/>
      <c r="C986" s="60"/>
      <c r="D986" s="66"/>
      <c r="E986" s="66"/>
      <c r="F986" s="66"/>
      <c r="G986" s="66"/>
      <c r="H986" s="66"/>
      <c r="I986" s="66"/>
      <c r="J986" s="66"/>
      <c r="K986" s="66"/>
      <c r="L986" s="66"/>
      <c r="M986" s="66"/>
      <c r="N986" s="66"/>
    </row>
    <row r="987" spans="1:14" x14ac:dyDescent="0.2">
      <c r="A987" s="84"/>
      <c r="B987" s="84"/>
      <c r="C987" s="60"/>
      <c r="D987" s="66"/>
      <c r="E987" s="66"/>
      <c r="F987" s="66"/>
      <c r="G987" s="66"/>
      <c r="H987" s="66"/>
      <c r="I987" s="66"/>
      <c r="J987" s="66"/>
      <c r="K987" s="66"/>
      <c r="L987" s="66"/>
      <c r="M987" s="66"/>
      <c r="N987" s="66"/>
    </row>
    <row r="988" spans="1:14" x14ac:dyDescent="0.2">
      <c r="A988" s="84"/>
      <c r="B988" s="84"/>
      <c r="C988" s="60"/>
      <c r="D988" s="66"/>
      <c r="E988" s="66"/>
      <c r="F988" s="66"/>
      <c r="G988" s="66"/>
      <c r="H988" s="66"/>
      <c r="I988" s="66"/>
      <c r="J988" s="66"/>
      <c r="K988" s="66"/>
      <c r="L988" s="66"/>
      <c r="M988" s="66"/>
      <c r="N988" s="66"/>
    </row>
    <row r="989" spans="1:14" x14ac:dyDescent="0.2">
      <c r="A989" s="84"/>
      <c r="B989" s="84"/>
      <c r="C989" s="60"/>
      <c r="D989" s="66"/>
      <c r="E989" s="66"/>
      <c r="F989" s="66"/>
      <c r="G989" s="66"/>
      <c r="H989" s="66"/>
      <c r="I989" s="66"/>
      <c r="J989" s="66"/>
      <c r="K989" s="66"/>
      <c r="L989" s="66"/>
      <c r="M989" s="66"/>
      <c r="N989" s="66"/>
    </row>
    <row r="990" spans="1:14" x14ac:dyDescent="0.2">
      <c r="A990" s="84"/>
      <c r="B990" s="84"/>
      <c r="C990" s="60"/>
      <c r="D990" s="66"/>
      <c r="E990" s="66"/>
      <c r="F990" s="66"/>
      <c r="G990" s="66"/>
      <c r="H990" s="66"/>
      <c r="I990" s="66"/>
      <c r="J990" s="66"/>
      <c r="K990" s="66"/>
      <c r="L990" s="66"/>
      <c r="M990" s="66"/>
      <c r="N990" s="66"/>
    </row>
    <row r="991" spans="1:14" x14ac:dyDescent="0.2">
      <c r="A991" s="84"/>
      <c r="B991" s="84"/>
      <c r="C991" s="60"/>
      <c r="D991" s="66"/>
      <c r="E991" s="66"/>
      <c r="F991" s="66"/>
      <c r="G991" s="66"/>
      <c r="H991" s="66"/>
      <c r="I991" s="66"/>
      <c r="J991" s="66"/>
      <c r="K991" s="66"/>
      <c r="L991" s="66"/>
      <c r="M991" s="66"/>
      <c r="N991" s="66"/>
    </row>
    <row r="992" spans="1:14" x14ac:dyDescent="0.2">
      <c r="A992" s="84"/>
      <c r="B992" s="84"/>
      <c r="C992" s="60"/>
      <c r="D992" s="66"/>
      <c r="E992" s="66"/>
      <c r="F992" s="66"/>
      <c r="G992" s="66"/>
      <c r="H992" s="66"/>
      <c r="I992" s="66"/>
      <c r="J992" s="66"/>
      <c r="K992" s="66"/>
      <c r="L992" s="66"/>
      <c r="M992" s="66"/>
      <c r="N992" s="66"/>
    </row>
    <row r="993" spans="1:14" x14ac:dyDescent="0.2">
      <c r="A993" s="84"/>
      <c r="B993" s="84"/>
      <c r="C993" s="60"/>
      <c r="D993" s="66"/>
      <c r="E993" s="66"/>
      <c r="F993" s="66"/>
      <c r="G993" s="66"/>
      <c r="H993" s="66"/>
      <c r="I993" s="66"/>
      <c r="J993" s="66"/>
      <c r="K993" s="66"/>
      <c r="L993" s="66"/>
      <c r="M993" s="66"/>
      <c r="N993" s="66"/>
    </row>
    <row r="994" spans="1:14" x14ac:dyDescent="0.2">
      <c r="A994" s="84"/>
      <c r="B994" s="84"/>
      <c r="C994" s="60"/>
      <c r="D994" s="66"/>
      <c r="E994" s="66"/>
      <c r="F994" s="66"/>
      <c r="G994" s="66"/>
      <c r="H994" s="66"/>
      <c r="I994" s="66"/>
      <c r="J994" s="66"/>
      <c r="K994" s="66"/>
      <c r="L994" s="66"/>
      <c r="M994" s="66"/>
      <c r="N994" s="66"/>
    </row>
    <row r="995" spans="1:14" x14ac:dyDescent="0.2">
      <c r="A995" s="84"/>
      <c r="B995" s="84"/>
      <c r="C995" s="60"/>
      <c r="D995" s="66"/>
      <c r="E995" s="66"/>
      <c r="F995" s="66"/>
      <c r="G995" s="66"/>
      <c r="H995" s="66"/>
      <c r="I995" s="66"/>
      <c r="J995" s="66"/>
      <c r="K995" s="66"/>
      <c r="L995" s="66"/>
      <c r="M995" s="66"/>
      <c r="N995" s="66"/>
    </row>
    <row r="996" spans="1:14" x14ac:dyDescent="0.2">
      <c r="A996" s="84"/>
      <c r="B996" s="84"/>
      <c r="C996" s="60"/>
      <c r="D996" s="66"/>
      <c r="E996" s="66"/>
      <c r="F996" s="66"/>
      <c r="G996" s="66"/>
      <c r="H996" s="66"/>
      <c r="I996" s="66"/>
      <c r="J996" s="66"/>
      <c r="K996" s="66"/>
      <c r="L996" s="66"/>
      <c r="M996" s="66"/>
      <c r="N996" s="66"/>
    </row>
    <row r="997" spans="1:14" x14ac:dyDescent="0.2">
      <c r="A997" s="84"/>
      <c r="B997" s="84"/>
      <c r="C997" s="60"/>
      <c r="D997" s="66"/>
      <c r="E997" s="66"/>
      <c r="F997" s="66"/>
      <c r="G997" s="66"/>
      <c r="H997" s="66"/>
      <c r="I997" s="66"/>
      <c r="J997" s="66"/>
      <c r="K997" s="66"/>
      <c r="L997" s="66"/>
      <c r="M997" s="66"/>
      <c r="N997" s="66"/>
    </row>
    <row r="998" spans="1:14" x14ac:dyDescent="0.2">
      <c r="A998" s="84"/>
      <c r="B998" s="84"/>
      <c r="C998" s="60"/>
      <c r="D998" s="66"/>
      <c r="E998" s="66"/>
      <c r="F998" s="66"/>
      <c r="G998" s="66"/>
      <c r="H998" s="66"/>
      <c r="I998" s="66"/>
      <c r="J998" s="66"/>
      <c r="K998" s="66"/>
      <c r="L998" s="66"/>
      <c r="M998" s="66"/>
      <c r="N998" s="66"/>
    </row>
    <row r="999" spans="1:14" x14ac:dyDescent="0.2">
      <c r="A999" s="84"/>
      <c r="B999" s="84"/>
      <c r="C999" s="60"/>
      <c r="D999" s="66"/>
      <c r="E999" s="66"/>
      <c r="F999" s="66"/>
      <c r="G999" s="66"/>
      <c r="H999" s="66"/>
      <c r="I999" s="66"/>
      <c r="J999" s="66"/>
      <c r="K999" s="66"/>
      <c r="L999" s="66"/>
      <c r="M999" s="66"/>
      <c r="N999" s="66"/>
    </row>
    <row r="1000" spans="1:14" x14ac:dyDescent="0.2">
      <c r="A1000" s="84"/>
      <c r="B1000" s="84"/>
      <c r="C1000" s="60"/>
      <c r="D1000" s="66"/>
      <c r="E1000" s="66"/>
      <c r="F1000" s="66"/>
      <c r="G1000" s="66"/>
      <c r="H1000" s="66"/>
      <c r="I1000" s="66"/>
      <c r="J1000" s="66"/>
      <c r="K1000" s="66"/>
      <c r="L1000" s="66"/>
      <c r="M1000" s="66"/>
      <c r="N1000" s="66"/>
    </row>
    <row r="1001" spans="1:14" x14ac:dyDescent="0.2">
      <c r="A1001" s="84"/>
      <c r="B1001" s="84"/>
      <c r="C1001" s="60"/>
      <c r="D1001" s="66"/>
      <c r="E1001" s="66"/>
      <c r="F1001" s="66"/>
      <c r="G1001" s="66"/>
      <c r="H1001" s="66"/>
      <c r="I1001" s="66"/>
      <c r="J1001" s="66"/>
      <c r="K1001" s="66"/>
      <c r="L1001" s="66"/>
      <c r="M1001" s="66"/>
      <c r="N1001" s="66"/>
    </row>
    <row r="1002" spans="1:14" x14ac:dyDescent="0.2">
      <c r="A1002" s="84"/>
      <c r="B1002" s="84"/>
      <c r="C1002" s="60"/>
      <c r="D1002" s="66"/>
      <c r="E1002" s="66"/>
      <c r="F1002" s="66"/>
      <c r="G1002" s="66"/>
      <c r="H1002" s="66"/>
      <c r="I1002" s="66"/>
      <c r="J1002" s="66"/>
      <c r="K1002" s="66"/>
      <c r="L1002" s="66"/>
      <c r="M1002" s="66"/>
      <c r="N1002" s="66"/>
    </row>
    <row r="1003" spans="1:14" x14ac:dyDescent="0.2">
      <c r="A1003" s="84"/>
      <c r="B1003" s="84"/>
      <c r="C1003" s="60"/>
      <c r="D1003" s="66"/>
      <c r="E1003" s="66"/>
      <c r="F1003" s="66"/>
      <c r="G1003" s="66"/>
      <c r="H1003" s="66"/>
      <c r="I1003" s="66"/>
      <c r="J1003" s="66"/>
      <c r="K1003" s="66"/>
      <c r="L1003" s="66"/>
      <c r="M1003" s="66"/>
      <c r="N1003" s="66"/>
    </row>
    <row r="1004" spans="1:14" x14ac:dyDescent="0.2">
      <c r="A1004" s="84"/>
      <c r="B1004" s="84"/>
      <c r="C1004" s="60"/>
      <c r="D1004" s="66"/>
      <c r="E1004" s="66"/>
      <c r="F1004" s="66"/>
      <c r="G1004" s="66"/>
      <c r="H1004" s="66"/>
      <c r="I1004" s="66"/>
      <c r="J1004" s="66"/>
      <c r="K1004" s="66"/>
      <c r="L1004" s="66"/>
      <c r="M1004" s="66"/>
      <c r="N1004" s="66"/>
    </row>
    <row r="1005" spans="1:14" x14ac:dyDescent="0.2">
      <c r="A1005" s="84"/>
      <c r="B1005" s="84"/>
      <c r="C1005" s="60"/>
      <c r="D1005" s="66"/>
      <c r="E1005" s="66"/>
      <c r="F1005" s="66"/>
      <c r="G1005" s="66"/>
      <c r="H1005" s="66"/>
      <c r="I1005" s="66"/>
      <c r="J1005" s="66"/>
      <c r="K1005" s="66"/>
      <c r="L1005" s="66"/>
      <c r="M1005" s="66"/>
      <c r="N1005" s="66"/>
    </row>
    <row r="1006" spans="1:14" x14ac:dyDescent="0.2">
      <c r="A1006" s="84"/>
      <c r="B1006" s="84"/>
      <c r="C1006" s="60"/>
      <c r="D1006" s="66"/>
      <c r="E1006" s="66"/>
      <c r="F1006" s="66"/>
      <c r="G1006" s="66"/>
      <c r="H1006" s="66"/>
      <c r="I1006" s="66"/>
      <c r="J1006" s="66"/>
      <c r="K1006" s="66"/>
      <c r="L1006" s="66"/>
      <c r="M1006" s="66"/>
      <c r="N1006" s="66"/>
    </row>
    <row r="1007" spans="1:14" x14ac:dyDescent="0.2">
      <c r="A1007" s="84"/>
      <c r="B1007" s="84"/>
      <c r="C1007" s="60"/>
      <c r="D1007" s="66"/>
      <c r="E1007" s="66"/>
      <c r="F1007" s="66"/>
      <c r="G1007" s="66"/>
      <c r="H1007" s="66"/>
      <c r="I1007" s="66"/>
      <c r="J1007" s="66"/>
      <c r="K1007" s="66"/>
      <c r="L1007" s="66"/>
      <c r="M1007" s="66"/>
      <c r="N1007" s="66"/>
    </row>
    <row r="1008" spans="1:14" x14ac:dyDescent="0.2">
      <c r="A1008" s="84"/>
      <c r="B1008" s="84"/>
      <c r="C1008" s="60"/>
      <c r="D1008" s="66"/>
      <c r="E1008" s="66"/>
      <c r="F1008" s="66"/>
      <c r="G1008" s="66"/>
      <c r="H1008" s="66"/>
      <c r="I1008" s="66"/>
      <c r="J1008" s="66"/>
      <c r="K1008" s="66"/>
      <c r="L1008" s="66"/>
      <c r="M1008" s="66"/>
      <c r="N1008" s="66"/>
    </row>
    <row r="1009" spans="1:14" x14ac:dyDescent="0.2">
      <c r="A1009" s="84"/>
      <c r="B1009" s="84"/>
      <c r="C1009" s="60"/>
      <c r="D1009" s="66"/>
      <c r="E1009" s="66"/>
      <c r="F1009" s="66"/>
      <c r="G1009" s="66"/>
      <c r="H1009" s="66"/>
      <c r="I1009" s="66"/>
      <c r="J1009" s="66"/>
      <c r="K1009" s="66"/>
      <c r="L1009" s="66"/>
      <c r="M1009" s="66"/>
      <c r="N1009" s="66"/>
    </row>
    <row r="1010" spans="1:14" x14ac:dyDescent="0.2">
      <c r="A1010" s="84"/>
      <c r="B1010" s="84"/>
      <c r="C1010" s="60"/>
      <c r="D1010" s="66"/>
      <c r="E1010" s="66"/>
      <c r="F1010" s="66"/>
      <c r="G1010" s="66"/>
      <c r="H1010" s="66"/>
      <c r="I1010" s="66"/>
      <c r="J1010" s="66"/>
      <c r="K1010" s="66"/>
      <c r="L1010" s="66"/>
      <c r="M1010" s="66"/>
      <c r="N1010" s="66"/>
    </row>
    <row r="1011" spans="1:14" x14ac:dyDescent="0.2">
      <c r="A1011" s="84"/>
      <c r="B1011" s="84"/>
      <c r="C1011" s="60"/>
      <c r="D1011" s="66"/>
      <c r="E1011" s="66"/>
      <c r="F1011" s="66"/>
      <c r="G1011" s="66"/>
      <c r="H1011" s="66"/>
      <c r="I1011" s="66"/>
      <c r="J1011" s="66"/>
      <c r="K1011" s="66"/>
      <c r="L1011" s="66"/>
      <c r="M1011" s="66"/>
      <c r="N1011" s="66"/>
    </row>
    <row r="1012" spans="1:14" x14ac:dyDescent="0.2">
      <c r="A1012" s="84"/>
      <c r="B1012" s="84"/>
      <c r="C1012" s="60"/>
      <c r="D1012" s="66"/>
      <c r="E1012" s="66"/>
      <c r="F1012" s="66"/>
      <c r="G1012" s="66"/>
      <c r="H1012" s="66"/>
      <c r="I1012" s="66"/>
      <c r="J1012" s="66"/>
      <c r="K1012" s="66"/>
      <c r="L1012" s="66"/>
      <c r="M1012" s="66"/>
      <c r="N1012" s="66"/>
    </row>
    <row r="1013" spans="1:14" x14ac:dyDescent="0.2">
      <c r="A1013" s="84"/>
      <c r="B1013" s="84"/>
      <c r="C1013" s="60"/>
      <c r="D1013" s="66"/>
      <c r="E1013" s="66"/>
      <c r="F1013" s="66"/>
      <c r="G1013" s="66"/>
      <c r="H1013" s="66"/>
      <c r="I1013" s="66"/>
      <c r="J1013" s="66"/>
      <c r="K1013" s="66"/>
      <c r="L1013" s="66"/>
      <c r="M1013" s="66"/>
      <c r="N1013" s="66"/>
    </row>
    <row r="1014" spans="1:14" x14ac:dyDescent="0.2">
      <c r="A1014" s="84"/>
      <c r="B1014" s="84"/>
      <c r="C1014" s="60"/>
      <c r="D1014" s="66"/>
      <c r="E1014" s="66"/>
      <c r="F1014" s="66"/>
      <c r="G1014" s="66"/>
      <c r="H1014" s="66"/>
      <c r="I1014" s="66"/>
      <c r="J1014" s="66"/>
      <c r="K1014" s="66"/>
      <c r="L1014" s="66"/>
      <c r="M1014" s="66"/>
      <c r="N1014" s="66"/>
    </row>
    <row r="1015" spans="1:14" x14ac:dyDescent="0.2">
      <c r="A1015" s="84"/>
      <c r="B1015" s="84"/>
      <c r="C1015" s="60"/>
      <c r="D1015" s="66"/>
      <c r="E1015" s="66"/>
      <c r="F1015" s="66"/>
      <c r="G1015" s="66"/>
      <c r="H1015" s="66"/>
      <c r="I1015" s="66"/>
      <c r="J1015" s="66"/>
      <c r="K1015" s="66"/>
      <c r="L1015" s="66"/>
      <c r="M1015" s="66"/>
      <c r="N1015" s="66"/>
    </row>
    <row r="1016" spans="1:14" x14ac:dyDescent="0.2">
      <c r="A1016" s="84"/>
      <c r="B1016" s="84"/>
      <c r="C1016" s="60"/>
      <c r="D1016" s="66"/>
      <c r="E1016" s="66"/>
      <c r="F1016" s="66"/>
      <c r="G1016" s="66"/>
      <c r="H1016" s="66"/>
      <c r="I1016" s="66"/>
      <c r="J1016" s="66"/>
      <c r="K1016" s="66"/>
      <c r="L1016" s="66"/>
      <c r="M1016" s="66"/>
      <c r="N1016" s="66"/>
    </row>
    <row r="1017" spans="1:14" x14ac:dyDescent="0.2">
      <c r="A1017" s="84"/>
      <c r="B1017" s="84"/>
      <c r="C1017" s="60"/>
      <c r="D1017" s="66"/>
      <c r="E1017" s="66"/>
      <c r="F1017" s="66"/>
      <c r="G1017" s="66"/>
      <c r="H1017" s="66"/>
      <c r="I1017" s="66"/>
      <c r="J1017" s="66"/>
      <c r="K1017" s="66"/>
      <c r="L1017" s="66"/>
      <c r="M1017" s="66"/>
      <c r="N1017" s="66"/>
    </row>
    <row r="1018" spans="1:14" x14ac:dyDescent="0.2">
      <c r="A1018" s="84"/>
      <c r="B1018" s="84"/>
      <c r="C1018" s="60"/>
      <c r="D1018" s="66"/>
      <c r="E1018" s="66"/>
      <c r="F1018" s="66"/>
      <c r="G1018" s="66"/>
      <c r="H1018" s="66"/>
      <c r="I1018" s="66"/>
      <c r="J1018" s="66"/>
      <c r="K1018" s="66"/>
      <c r="L1018" s="66"/>
      <c r="M1018" s="66"/>
      <c r="N1018" s="66"/>
    </row>
    <row r="1019" spans="1:14" x14ac:dyDescent="0.2">
      <c r="A1019" s="84"/>
      <c r="B1019" s="84"/>
      <c r="C1019" s="60"/>
      <c r="D1019" s="66"/>
      <c r="E1019" s="66"/>
      <c r="F1019" s="66"/>
      <c r="G1019" s="66"/>
      <c r="H1019" s="66"/>
      <c r="I1019" s="66"/>
      <c r="J1019" s="66"/>
      <c r="K1019" s="66"/>
      <c r="L1019" s="66"/>
      <c r="M1019" s="66"/>
      <c r="N1019" s="66"/>
    </row>
    <row r="1020" spans="1:14" x14ac:dyDescent="0.2">
      <c r="A1020" s="84"/>
      <c r="B1020" s="84"/>
      <c r="C1020" s="60"/>
      <c r="D1020" s="66"/>
      <c r="E1020" s="66"/>
      <c r="F1020" s="66"/>
      <c r="G1020" s="66"/>
      <c r="H1020" s="66"/>
      <c r="I1020" s="66"/>
      <c r="J1020" s="66"/>
      <c r="K1020" s="66"/>
      <c r="L1020" s="66"/>
      <c r="M1020" s="66"/>
      <c r="N1020" s="66"/>
    </row>
    <row r="1021" spans="1:14" x14ac:dyDescent="0.2">
      <c r="A1021" s="84"/>
      <c r="B1021" s="84"/>
      <c r="C1021" s="60"/>
      <c r="D1021" s="66"/>
      <c r="E1021" s="66"/>
      <c r="F1021" s="66"/>
      <c r="G1021" s="66"/>
      <c r="H1021" s="66"/>
      <c r="I1021" s="66"/>
      <c r="J1021" s="66"/>
      <c r="K1021" s="66"/>
      <c r="L1021" s="66"/>
      <c r="M1021" s="66"/>
      <c r="N1021" s="66"/>
    </row>
    <row r="1022" spans="1:14" x14ac:dyDescent="0.2">
      <c r="A1022" s="84"/>
      <c r="B1022" s="84"/>
      <c r="C1022" s="60"/>
      <c r="D1022" s="66"/>
      <c r="E1022" s="66"/>
      <c r="F1022" s="66"/>
      <c r="G1022" s="66"/>
      <c r="H1022" s="66"/>
      <c r="I1022" s="66"/>
      <c r="J1022" s="66"/>
      <c r="K1022" s="66"/>
      <c r="L1022" s="66"/>
      <c r="M1022" s="66"/>
      <c r="N1022" s="66"/>
    </row>
    <row r="1023" spans="1:14" x14ac:dyDescent="0.2">
      <c r="A1023" s="84"/>
      <c r="B1023" s="84"/>
      <c r="C1023" s="60"/>
      <c r="D1023" s="66"/>
      <c r="E1023" s="66"/>
      <c r="F1023" s="66"/>
      <c r="G1023" s="66"/>
      <c r="H1023" s="66"/>
      <c r="I1023" s="66"/>
      <c r="J1023" s="66"/>
      <c r="K1023" s="66"/>
      <c r="L1023" s="66"/>
      <c r="M1023" s="66"/>
      <c r="N1023" s="66"/>
    </row>
    <row r="1024" spans="1:14" x14ac:dyDescent="0.2">
      <c r="A1024" s="84"/>
      <c r="B1024" s="84"/>
      <c r="C1024" s="60"/>
      <c r="D1024" s="66"/>
      <c r="E1024" s="66"/>
      <c r="F1024" s="66"/>
      <c r="G1024" s="66"/>
      <c r="H1024" s="66"/>
      <c r="I1024" s="66"/>
      <c r="J1024" s="66"/>
      <c r="K1024" s="66"/>
      <c r="L1024" s="66"/>
      <c r="M1024" s="66"/>
      <c r="N1024" s="66"/>
    </row>
    <row r="1025" spans="1:14" x14ac:dyDescent="0.2">
      <c r="A1025" s="84"/>
      <c r="B1025" s="84"/>
      <c r="C1025" s="60"/>
      <c r="D1025" s="66"/>
      <c r="E1025" s="66"/>
      <c r="F1025" s="66"/>
      <c r="G1025" s="66"/>
      <c r="H1025" s="66"/>
      <c r="I1025" s="66"/>
      <c r="J1025" s="66"/>
      <c r="K1025" s="66"/>
      <c r="L1025" s="66"/>
      <c r="M1025" s="66"/>
      <c r="N1025" s="66"/>
    </row>
    <row r="1026" spans="1:14" x14ac:dyDescent="0.2">
      <c r="A1026" s="84"/>
      <c r="B1026" s="84"/>
      <c r="C1026" s="60"/>
      <c r="D1026" s="66"/>
      <c r="E1026" s="66"/>
      <c r="F1026" s="66"/>
      <c r="G1026" s="66"/>
      <c r="H1026" s="66"/>
      <c r="I1026" s="66"/>
      <c r="J1026" s="66"/>
      <c r="K1026" s="66"/>
      <c r="L1026" s="66"/>
      <c r="M1026" s="66"/>
      <c r="N1026" s="66"/>
    </row>
    <row r="1027" spans="1:14" x14ac:dyDescent="0.2">
      <c r="A1027" s="84"/>
      <c r="B1027" s="84"/>
      <c r="C1027" s="60"/>
      <c r="D1027" s="66"/>
      <c r="E1027" s="66"/>
      <c r="F1027" s="66"/>
      <c r="G1027" s="66"/>
      <c r="H1027" s="66"/>
      <c r="I1027" s="66"/>
      <c r="J1027" s="66"/>
      <c r="K1027" s="66"/>
      <c r="L1027" s="66"/>
      <c r="M1027" s="66"/>
      <c r="N1027" s="66"/>
    </row>
    <row r="1028" spans="1:14" x14ac:dyDescent="0.2">
      <c r="A1028" s="84"/>
      <c r="B1028" s="84"/>
      <c r="C1028" s="60"/>
      <c r="D1028" s="66"/>
      <c r="E1028" s="66"/>
      <c r="F1028" s="66"/>
      <c r="G1028" s="66"/>
      <c r="H1028" s="66"/>
      <c r="I1028" s="66"/>
      <c r="J1028" s="66"/>
      <c r="K1028" s="66"/>
      <c r="L1028" s="66"/>
      <c r="M1028" s="66"/>
      <c r="N1028" s="66"/>
    </row>
    <row r="1029" spans="1:14" x14ac:dyDescent="0.2">
      <c r="A1029" s="84"/>
      <c r="B1029" s="84"/>
      <c r="C1029" s="60"/>
      <c r="D1029" s="66"/>
      <c r="E1029" s="66"/>
      <c r="F1029" s="66"/>
      <c r="G1029" s="66"/>
      <c r="H1029" s="66"/>
      <c r="I1029" s="66"/>
      <c r="J1029" s="66"/>
      <c r="K1029" s="66"/>
      <c r="L1029" s="66"/>
      <c r="M1029" s="66"/>
      <c r="N1029" s="66"/>
    </row>
    <row r="1030" spans="1:14" x14ac:dyDescent="0.2">
      <c r="A1030" s="84"/>
      <c r="B1030" s="84"/>
      <c r="C1030" s="60"/>
      <c r="D1030" s="66"/>
      <c r="E1030" s="66"/>
      <c r="F1030" s="66"/>
      <c r="G1030" s="66"/>
      <c r="H1030" s="66"/>
      <c r="I1030" s="66"/>
      <c r="J1030" s="66"/>
      <c r="K1030" s="66"/>
      <c r="L1030" s="66"/>
      <c r="M1030" s="66"/>
      <c r="N1030" s="66"/>
    </row>
    <row r="1031" spans="1:14" x14ac:dyDescent="0.2">
      <c r="A1031" s="84"/>
      <c r="B1031" s="84"/>
      <c r="C1031" s="60"/>
      <c r="D1031" s="66"/>
      <c r="E1031" s="66"/>
      <c r="F1031" s="66"/>
      <c r="G1031" s="66"/>
      <c r="H1031" s="66"/>
      <c r="I1031" s="66"/>
      <c r="J1031" s="66"/>
      <c r="K1031" s="66"/>
      <c r="L1031" s="66"/>
      <c r="M1031" s="66"/>
      <c r="N1031" s="66"/>
    </row>
    <row r="1032" spans="1:14" x14ac:dyDescent="0.2">
      <c r="A1032" s="84"/>
      <c r="B1032" s="84"/>
      <c r="C1032" s="60"/>
      <c r="D1032" s="66"/>
      <c r="E1032" s="66"/>
      <c r="F1032" s="66"/>
      <c r="G1032" s="66"/>
      <c r="H1032" s="66"/>
      <c r="I1032" s="66"/>
      <c r="J1032" s="66"/>
      <c r="K1032" s="66"/>
      <c r="L1032" s="66"/>
      <c r="M1032" s="66"/>
      <c r="N1032" s="66"/>
    </row>
    <row r="1033" spans="1:14" x14ac:dyDescent="0.2">
      <c r="A1033" s="84"/>
      <c r="B1033" s="84"/>
      <c r="C1033" s="60"/>
      <c r="D1033" s="66"/>
      <c r="E1033" s="66"/>
      <c r="F1033" s="66"/>
      <c r="G1033" s="66"/>
      <c r="H1033" s="66"/>
      <c r="I1033" s="66"/>
      <c r="J1033" s="66"/>
      <c r="K1033" s="66"/>
      <c r="L1033" s="66"/>
      <c r="M1033" s="66"/>
      <c r="N1033" s="66"/>
    </row>
    <row r="1034" spans="1:14" x14ac:dyDescent="0.2">
      <c r="A1034" s="84"/>
      <c r="B1034" s="84"/>
      <c r="C1034" s="60"/>
      <c r="D1034" s="66"/>
      <c r="E1034" s="66"/>
      <c r="F1034" s="66"/>
      <c r="G1034" s="66"/>
      <c r="H1034" s="66"/>
      <c r="I1034" s="66"/>
      <c r="J1034" s="66"/>
      <c r="K1034" s="66"/>
      <c r="L1034" s="66"/>
      <c r="M1034" s="66"/>
      <c r="N1034" s="66"/>
    </row>
    <row r="1035" spans="1:14" x14ac:dyDescent="0.2">
      <c r="A1035" s="84"/>
      <c r="B1035" s="84"/>
      <c r="C1035" s="60"/>
      <c r="D1035" s="66"/>
      <c r="E1035" s="66"/>
      <c r="F1035" s="66"/>
      <c r="G1035" s="66"/>
      <c r="H1035" s="66"/>
      <c r="I1035" s="66"/>
      <c r="J1035" s="66"/>
      <c r="K1035" s="66"/>
      <c r="L1035" s="66"/>
      <c r="M1035" s="66"/>
      <c r="N1035" s="66"/>
    </row>
    <row r="1036" spans="1:14" x14ac:dyDescent="0.2">
      <c r="A1036" s="84"/>
      <c r="B1036" s="84"/>
      <c r="C1036" s="60"/>
      <c r="D1036" s="66"/>
      <c r="E1036" s="66"/>
      <c r="F1036" s="66"/>
      <c r="G1036" s="66"/>
      <c r="H1036" s="66"/>
      <c r="I1036" s="66"/>
      <c r="J1036" s="66"/>
      <c r="K1036" s="66"/>
      <c r="L1036" s="66"/>
      <c r="M1036" s="66"/>
      <c r="N1036" s="66"/>
    </row>
    <row r="1037" spans="1:14" x14ac:dyDescent="0.2">
      <c r="A1037" s="84"/>
      <c r="B1037" s="84"/>
      <c r="C1037" s="60"/>
      <c r="D1037" s="66"/>
      <c r="E1037" s="66"/>
      <c r="F1037" s="66"/>
      <c r="G1037" s="66"/>
      <c r="H1037" s="66"/>
      <c r="I1037" s="66"/>
      <c r="J1037" s="66"/>
      <c r="K1037" s="66"/>
      <c r="L1037" s="66"/>
      <c r="M1037" s="66"/>
      <c r="N1037" s="66"/>
    </row>
    <row r="1038" spans="1:14" x14ac:dyDescent="0.2">
      <c r="A1038" s="84"/>
      <c r="B1038" s="84"/>
      <c r="C1038" s="60"/>
      <c r="D1038" s="66"/>
      <c r="E1038" s="66"/>
      <c r="F1038" s="66"/>
      <c r="G1038" s="66"/>
      <c r="H1038" s="66"/>
      <c r="I1038" s="66"/>
      <c r="J1038" s="66"/>
      <c r="K1038" s="66"/>
      <c r="L1038" s="66"/>
      <c r="M1038" s="66"/>
      <c r="N1038" s="66"/>
    </row>
    <row r="1039" spans="1:14" x14ac:dyDescent="0.2">
      <c r="A1039" s="84"/>
      <c r="B1039" s="84"/>
      <c r="C1039" s="60"/>
      <c r="D1039" s="66"/>
      <c r="E1039" s="66"/>
      <c r="F1039" s="66"/>
      <c r="G1039" s="66"/>
      <c r="H1039" s="66"/>
      <c r="I1039" s="66"/>
      <c r="J1039" s="66"/>
      <c r="K1039" s="66"/>
      <c r="L1039" s="66"/>
      <c r="M1039" s="66"/>
      <c r="N1039" s="66"/>
    </row>
    <row r="1040" spans="1:14" x14ac:dyDescent="0.2">
      <c r="A1040" s="84"/>
      <c r="B1040" s="84"/>
      <c r="C1040" s="60"/>
      <c r="D1040" s="66"/>
      <c r="E1040" s="66"/>
      <c r="F1040" s="66"/>
      <c r="G1040" s="66"/>
      <c r="H1040" s="66"/>
      <c r="I1040" s="66"/>
      <c r="J1040" s="66"/>
      <c r="K1040" s="66"/>
      <c r="L1040" s="66"/>
      <c r="M1040" s="66"/>
      <c r="N1040" s="66"/>
    </row>
    <row r="1041" spans="1:14" x14ac:dyDescent="0.2">
      <c r="A1041" s="84"/>
      <c r="B1041" s="84"/>
      <c r="C1041" s="60"/>
      <c r="D1041" s="66"/>
      <c r="E1041" s="66"/>
      <c r="F1041" s="66"/>
      <c r="G1041" s="66"/>
      <c r="H1041" s="66"/>
      <c r="I1041" s="66"/>
      <c r="J1041" s="66"/>
      <c r="K1041" s="66"/>
      <c r="L1041" s="66"/>
      <c r="M1041" s="66"/>
      <c r="N1041" s="66"/>
    </row>
    <row r="1042" spans="1:14" x14ac:dyDescent="0.2">
      <c r="A1042" s="84"/>
      <c r="B1042" s="84"/>
      <c r="C1042" s="60"/>
      <c r="D1042" s="66"/>
      <c r="E1042" s="66"/>
      <c r="F1042" s="66"/>
      <c r="G1042" s="66"/>
      <c r="H1042" s="66"/>
      <c r="I1042" s="66"/>
      <c r="J1042" s="66"/>
      <c r="K1042" s="66"/>
      <c r="L1042" s="66"/>
      <c r="M1042" s="66"/>
      <c r="N1042" s="66"/>
    </row>
    <row r="1043" spans="1:14" x14ac:dyDescent="0.2">
      <c r="A1043" s="84"/>
      <c r="B1043" s="84"/>
      <c r="C1043" s="60"/>
      <c r="D1043" s="66"/>
      <c r="E1043" s="66"/>
      <c r="F1043" s="66"/>
      <c r="G1043" s="66"/>
      <c r="H1043" s="66"/>
      <c r="I1043" s="66"/>
      <c r="J1043" s="66"/>
      <c r="K1043" s="66"/>
      <c r="L1043" s="66"/>
      <c r="M1043" s="66"/>
      <c r="N1043" s="66"/>
    </row>
    <row r="1044" spans="1:14" x14ac:dyDescent="0.2">
      <c r="A1044" s="84"/>
      <c r="B1044" s="84"/>
      <c r="C1044" s="60"/>
      <c r="D1044" s="66"/>
      <c r="E1044" s="66"/>
      <c r="F1044" s="66"/>
      <c r="G1044" s="66"/>
      <c r="H1044" s="66"/>
      <c r="I1044" s="66"/>
      <c r="J1044" s="66"/>
      <c r="K1044" s="66"/>
      <c r="L1044" s="66"/>
      <c r="M1044" s="66"/>
      <c r="N1044" s="66"/>
    </row>
    <row r="1045" spans="1:14" x14ac:dyDescent="0.2">
      <c r="A1045" s="84"/>
      <c r="B1045" s="84"/>
      <c r="C1045" s="60"/>
      <c r="D1045" s="66"/>
      <c r="E1045" s="66"/>
      <c r="F1045" s="66"/>
      <c r="G1045" s="66"/>
      <c r="H1045" s="66"/>
      <c r="I1045" s="66"/>
      <c r="J1045" s="66"/>
      <c r="K1045" s="66"/>
      <c r="L1045" s="66"/>
      <c r="M1045" s="66"/>
      <c r="N1045" s="66"/>
    </row>
    <row r="1046" spans="1:14" x14ac:dyDescent="0.2">
      <c r="A1046" s="84"/>
      <c r="B1046" s="84"/>
      <c r="C1046" s="60"/>
      <c r="D1046" s="66"/>
      <c r="E1046" s="66"/>
      <c r="F1046" s="66"/>
      <c r="G1046" s="66"/>
      <c r="H1046" s="66"/>
      <c r="I1046" s="66"/>
      <c r="J1046" s="66"/>
      <c r="K1046" s="66"/>
      <c r="L1046" s="66"/>
      <c r="M1046" s="66"/>
      <c r="N1046" s="66"/>
    </row>
    <row r="1047" spans="1:14" x14ac:dyDescent="0.2">
      <c r="A1047" s="84"/>
      <c r="B1047" s="84"/>
      <c r="C1047" s="60"/>
      <c r="D1047" s="66"/>
      <c r="E1047" s="66"/>
      <c r="F1047" s="66"/>
      <c r="G1047" s="66"/>
      <c r="H1047" s="66"/>
      <c r="I1047" s="66"/>
      <c r="J1047" s="66"/>
      <c r="K1047" s="66"/>
      <c r="L1047" s="66"/>
      <c r="M1047" s="66"/>
      <c r="N1047" s="66"/>
    </row>
    <row r="1048" spans="1:14" x14ac:dyDescent="0.2">
      <c r="A1048" s="84"/>
      <c r="B1048" s="84"/>
      <c r="C1048" s="60"/>
      <c r="D1048" s="66"/>
      <c r="E1048" s="66"/>
      <c r="F1048" s="66"/>
      <c r="G1048" s="66"/>
      <c r="H1048" s="66"/>
      <c r="I1048" s="66"/>
      <c r="J1048" s="66"/>
      <c r="K1048" s="66"/>
      <c r="L1048" s="66"/>
      <c r="M1048" s="66"/>
      <c r="N1048" s="66"/>
    </row>
    <row r="1049" spans="1:14" x14ac:dyDescent="0.2">
      <c r="A1049" s="84"/>
      <c r="B1049" s="84"/>
      <c r="C1049" s="60"/>
      <c r="D1049" s="66"/>
      <c r="E1049" s="66"/>
      <c r="F1049" s="66"/>
      <c r="G1049" s="66"/>
      <c r="H1049" s="66"/>
      <c r="I1049" s="66"/>
      <c r="J1049" s="66"/>
      <c r="K1049" s="66"/>
      <c r="L1049" s="66"/>
      <c r="M1049" s="66"/>
      <c r="N1049" s="66"/>
    </row>
    <row r="1050" spans="1:14" x14ac:dyDescent="0.2">
      <c r="A1050" s="84"/>
      <c r="B1050" s="84"/>
      <c r="C1050" s="60"/>
      <c r="D1050" s="66"/>
      <c r="E1050" s="66"/>
      <c r="F1050" s="66"/>
      <c r="G1050" s="66"/>
      <c r="H1050" s="66"/>
      <c r="I1050" s="66"/>
      <c r="J1050" s="66"/>
      <c r="K1050" s="66"/>
      <c r="L1050" s="66"/>
      <c r="M1050" s="66"/>
      <c r="N1050" s="66"/>
    </row>
    <row r="1051" spans="1:14" x14ac:dyDescent="0.2">
      <c r="A1051" s="84"/>
      <c r="B1051" s="84"/>
      <c r="C1051" s="60"/>
      <c r="D1051" s="66"/>
      <c r="E1051" s="66"/>
      <c r="F1051" s="66"/>
      <c r="G1051" s="66"/>
      <c r="H1051" s="66"/>
      <c r="I1051" s="66"/>
      <c r="J1051" s="66"/>
      <c r="K1051" s="66"/>
      <c r="L1051" s="66"/>
      <c r="M1051" s="66"/>
      <c r="N1051" s="66"/>
    </row>
    <row r="1052" spans="1:14" x14ac:dyDescent="0.2">
      <c r="A1052" s="84"/>
      <c r="B1052" s="84"/>
      <c r="C1052" s="60"/>
      <c r="D1052" s="66"/>
      <c r="E1052" s="66"/>
      <c r="F1052" s="66"/>
      <c r="G1052" s="66"/>
      <c r="H1052" s="66"/>
      <c r="I1052" s="66"/>
      <c r="J1052" s="66"/>
      <c r="K1052" s="66"/>
      <c r="L1052" s="66"/>
      <c r="M1052" s="66"/>
      <c r="N1052" s="66"/>
    </row>
    <row r="1053" spans="1:14" x14ac:dyDescent="0.2">
      <c r="A1053" s="84"/>
      <c r="B1053" s="84"/>
      <c r="C1053" s="60"/>
      <c r="D1053" s="66"/>
      <c r="E1053" s="66"/>
      <c r="F1053" s="66"/>
      <c r="G1053" s="66"/>
      <c r="H1053" s="66"/>
      <c r="I1053" s="66"/>
      <c r="J1053" s="66"/>
      <c r="K1053" s="66"/>
      <c r="L1053" s="66"/>
      <c r="M1053" s="66"/>
      <c r="N1053" s="66"/>
    </row>
    <row r="1054" spans="1:14" x14ac:dyDescent="0.2">
      <c r="A1054" s="84"/>
      <c r="B1054" s="84"/>
      <c r="C1054" s="60"/>
      <c r="D1054" s="66"/>
      <c r="E1054" s="66"/>
      <c r="F1054" s="66"/>
      <c r="G1054" s="66"/>
      <c r="H1054" s="66"/>
      <c r="I1054" s="66"/>
      <c r="J1054" s="66"/>
      <c r="K1054" s="66"/>
      <c r="L1054" s="66"/>
      <c r="M1054" s="66"/>
      <c r="N1054" s="66"/>
    </row>
    <row r="1055" spans="1:14" x14ac:dyDescent="0.2">
      <c r="A1055" s="84"/>
      <c r="B1055" s="84"/>
      <c r="C1055" s="60"/>
      <c r="D1055" s="66"/>
      <c r="E1055" s="66"/>
      <c r="F1055" s="66"/>
      <c r="G1055" s="66"/>
      <c r="H1055" s="66"/>
      <c r="I1055" s="66"/>
      <c r="J1055" s="66"/>
      <c r="K1055" s="66"/>
      <c r="L1055" s="66"/>
      <c r="M1055" s="66"/>
      <c r="N1055" s="66"/>
    </row>
    <row r="1056" spans="1:14" x14ac:dyDescent="0.2">
      <c r="A1056" s="84"/>
      <c r="B1056" s="84"/>
      <c r="C1056" s="60"/>
      <c r="D1056" s="66"/>
      <c r="E1056" s="66"/>
      <c r="F1056" s="66"/>
      <c r="G1056" s="66"/>
      <c r="H1056" s="66"/>
      <c r="I1056" s="66"/>
      <c r="J1056" s="66"/>
      <c r="K1056" s="66"/>
      <c r="L1056" s="66"/>
      <c r="M1056" s="66"/>
      <c r="N1056" s="66"/>
    </row>
    <row r="1057" spans="1:14" x14ac:dyDescent="0.2">
      <c r="A1057" s="84"/>
      <c r="B1057" s="84"/>
      <c r="C1057" s="60"/>
      <c r="D1057" s="66"/>
      <c r="E1057" s="66"/>
      <c r="F1057" s="66"/>
      <c r="G1057" s="66"/>
      <c r="H1057" s="66"/>
      <c r="I1057" s="66"/>
      <c r="J1057" s="66"/>
      <c r="K1057" s="66"/>
      <c r="L1057" s="66"/>
      <c r="M1057" s="66"/>
      <c r="N1057" s="66"/>
    </row>
    <row r="1058" spans="1:14" x14ac:dyDescent="0.2">
      <c r="A1058" s="84"/>
      <c r="B1058" s="84"/>
      <c r="C1058" s="60"/>
      <c r="D1058" s="66"/>
      <c r="E1058" s="66"/>
      <c r="F1058" s="66"/>
      <c r="G1058" s="66"/>
      <c r="H1058" s="66"/>
      <c r="I1058" s="66"/>
      <c r="J1058" s="66"/>
      <c r="K1058" s="66"/>
      <c r="L1058" s="66"/>
      <c r="M1058" s="66"/>
      <c r="N1058" s="66"/>
    </row>
    <row r="1059" spans="1:14" x14ac:dyDescent="0.2">
      <c r="A1059" s="84"/>
      <c r="B1059" s="84"/>
      <c r="C1059" s="60"/>
      <c r="D1059" s="66"/>
      <c r="E1059" s="66"/>
      <c r="F1059" s="66"/>
      <c r="G1059" s="66"/>
      <c r="H1059" s="66"/>
      <c r="I1059" s="66"/>
      <c r="J1059" s="66"/>
      <c r="K1059" s="66"/>
      <c r="L1059" s="66"/>
      <c r="M1059" s="66"/>
      <c r="N1059" s="66"/>
    </row>
    <row r="1060" spans="1:14" x14ac:dyDescent="0.2">
      <c r="A1060" s="84"/>
      <c r="B1060" s="84"/>
      <c r="C1060" s="60"/>
      <c r="D1060" s="66"/>
      <c r="E1060" s="66"/>
      <c r="F1060" s="66"/>
      <c r="G1060" s="66"/>
      <c r="H1060" s="66"/>
      <c r="I1060" s="66"/>
      <c r="J1060" s="66"/>
      <c r="K1060" s="66"/>
      <c r="L1060" s="66"/>
      <c r="M1060" s="66"/>
      <c r="N1060" s="66"/>
    </row>
    <row r="1061" spans="1:14" x14ac:dyDescent="0.2">
      <c r="A1061" s="84"/>
      <c r="B1061" s="84"/>
      <c r="C1061" s="60"/>
      <c r="D1061" s="66"/>
      <c r="E1061" s="66"/>
      <c r="F1061" s="66"/>
      <c r="G1061" s="66"/>
      <c r="H1061" s="66"/>
      <c r="I1061" s="66"/>
      <c r="J1061" s="66"/>
      <c r="K1061" s="66"/>
      <c r="L1061" s="66"/>
      <c r="M1061" s="66"/>
      <c r="N1061" s="66"/>
    </row>
    <row r="1062" spans="1:14" x14ac:dyDescent="0.2">
      <c r="A1062" s="84"/>
      <c r="B1062" s="84"/>
      <c r="C1062" s="60"/>
      <c r="D1062" s="66"/>
      <c r="E1062" s="66"/>
      <c r="F1062" s="66"/>
      <c r="G1062" s="66"/>
      <c r="H1062" s="66"/>
      <c r="I1062" s="66"/>
      <c r="J1062" s="66"/>
      <c r="K1062" s="66"/>
      <c r="L1062" s="66"/>
      <c r="M1062" s="66"/>
      <c r="N1062" s="66"/>
    </row>
    <row r="1063" spans="1:14" x14ac:dyDescent="0.2">
      <c r="A1063" s="84"/>
      <c r="B1063" s="84"/>
      <c r="C1063" s="60"/>
      <c r="D1063" s="66"/>
      <c r="E1063" s="66"/>
      <c r="F1063" s="66"/>
      <c r="G1063" s="66"/>
      <c r="H1063" s="66"/>
      <c r="I1063" s="66"/>
      <c r="J1063" s="66"/>
      <c r="K1063" s="66"/>
      <c r="L1063" s="66"/>
      <c r="M1063" s="66"/>
      <c r="N1063" s="66"/>
    </row>
    <row r="1064" spans="1:14" x14ac:dyDescent="0.2">
      <c r="A1064" s="84"/>
      <c r="B1064" s="84"/>
      <c r="C1064" s="60"/>
      <c r="D1064" s="66"/>
      <c r="E1064" s="66"/>
      <c r="F1064" s="66"/>
      <c r="G1064" s="66"/>
      <c r="H1064" s="66"/>
      <c r="I1064" s="66"/>
      <c r="J1064" s="66"/>
      <c r="K1064" s="66"/>
      <c r="L1064" s="66"/>
      <c r="M1064" s="66"/>
      <c r="N1064" s="66"/>
    </row>
    <row r="1065" spans="1:14" x14ac:dyDescent="0.2">
      <c r="A1065" s="84"/>
      <c r="B1065" s="84"/>
      <c r="C1065" s="60"/>
      <c r="D1065" s="66"/>
      <c r="E1065" s="66"/>
      <c r="F1065" s="66"/>
      <c r="G1065" s="66"/>
      <c r="H1065" s="66"/>
      <c r="I1065" s="66"/>
      <c r="J1065" s="66"/>
      <c r="K1065" s="66"/>
      <c r="L1065" s="66"/>
      <c r="M1065" s="66"/>
      <c r="N1065" s="66"/>
    </row>
    <row r="1066" spans="1:14" x14ac:dyDescent="0.2">
      <c r="A1066" s="84"/>
      <c r="B1066" s="84"/>
      <c r="C1066" s="60"/>
      <c r="D1066" s="66"/>
      <c r="E1066" s="66"/>
      <c r="F1066" s="66"/>
      <c r="G1066" s="66"/>
      <c r="H1066" s="66"/>
      <c r="I1066" s="66"/>
      <c r="J1066" s="66"/>
      <c r="K1066" s="66"/>
      <c r="L1066" s="66"/>
      <c r="M1066" s="66"/>
      <c r="N1066" s="66"/>
    </row>
    <row r="1067" spans="1:14" x14ac:dyDescent="0.2">
      <c r="A1067" s="84"/>
      <c r="B1067" s="84"/>
      <c r="C1067" s="60"/>
      <c r="D1067" s="66"/>
      <c r="E1067" s="66"/>
      <c r="F1067" s="66"/>
      <c r="G1067" s="66"/>
      <c r="H1067" s="66"/>
      <c r="I1067" s="66"/>
      <c r="J1067" s="66"/>
      <c r="K1067" s="66"/>
      <c r="L1067" s="66"/>
      <c r="M1067" s="66"/>
      <c r="N1067" s="66"/>
    </row>
    <row r="1068" spans="1:14" x14ac:dyDescent="0.2">
      <c r="A1068" s="84"/>
      <c r="B1068" s="84"/>
      <c r="C1068" s="60"/>
      <c r="D1068" s="66"/>
      <c r="E1068" s="66"/>
      <c r="F1068" s="66"/>
      <c r="G1068" s="66"/>
      <c r="H1068" s="66"/>
      <c r="I1068" s="66"/>
      <c r="J1068" s="66"/>
      <c r="K1068" s="66"/>
      <c r="L1068" s="66"/>
      <c r="M1068" s="66"/>
      <c r="N1068" s="66"/>
    </row>
    <row r="1069" spans="1:14" x14ac:dyDescent="0.2">
      <c r="A1069" s="84"/>
      <c r="B1069" s="84"/>
      <c r="C1069" s="60"/>
      <c r="D1069" s="66"/>
      <c r="E1069" s="66"/>
      <c r="F1069" s="66"/>
      <c r="G1069" s="66"/>
      <c r="H1069" s="66"/>
      <c r="I1069" s="66"/>
      <c r="J1069" s="66"/>
      <c r="K1069" s="66"/>
      <c r="L1069" s="66"/>
      <c r="M1069" s="66"/>
      <c r="N1069" s="66"/>
    </row>
    <row r="1070" spans="1:14" x14ac:dyDescent="0.2">
      <c r="A1070" s="84"/>
      <c r="B1070" s="84"/>
      <c r="C1070" s="60"/>
      <c r="D1070" s="66"/>
      <c r="E1070" s="66"/>
      <c r="F1070" s="66"/>
      <c r="G1070" s="66"/>
      <c r="H1070" s="66"/>
      <c r="I1070" s="66"/>
      <c r="J1070" s="66"/>
      <c r="K1070" s="66"/>
      <c r="L1070" s="66"/>
      <c r="M1070" s="66"/>
      <c r="N1070" s="66"/>
    </row>
    <row r="1071" spans="1:14" x14ac:dyDescent="0.2">
      <c r="A1071" s="84"/>
      <c r="B1071" s="84"/>
      <c r="C1071" s="60"/>
      <c r="D1071" s="66"/>
      <c r="E1071" s="66"/>
      <c r="F1071" s="66"/>
      <c r="G1071" s="66"/>
      <c r="H1071" s="66"/>
      <c r="I1071" s="66"/>
      <c r="J1071" s="66"/>
      <c r="K1071" s="66"/>
      <c r="L1071" s="66"/>
      <c r="M1071" s="66"/>
      <c r="N1071" s="66"/>
    </row>
    <row r="1072" spans="1:14" x14ac:dyDescent="0.2">
      <c r="A1072" s="84"/>
      <c r="B1072" s="84"/>
      <c r="C1072" s="60"/>
      <c r="D1072" s="66"/>
      <c r="E1072" s="66"/>
      <c r="F1072" s="66"/>
      <c r="G1072" s="66"/>
      <c r="H1072" s="66"/>
      <c r="I1072" s="66"/>
      <c r="J1072" s="66"/>
      <c r="K1072" s="66"/>
      <c r="L1072" s="66"/>
      <c r="M1072" s="66"/>
      <c r="N1072" s="66"/>
    </row>
    <row r="1073" spans="1:14" x14ac:dyDescent="0.2">
      <c r="A1073" s="84"/>
      <c r="B1073" s="84"/>
      <c r="C1073" s="60"/>
      <c r="D1073" s="66"/>
      <c r="E1073" s="66"/>
      <c r="F1073" s="66"/>
      <c r="G1073" s="66"/>
      <c r="H1073" s="66"/>
      <c r="I1073" s="66"/>
      <c r="J1073" s="66"/>
      <c r="K1073" s="66"/>
      <c r="L1073" s="66"/>
      <c r="M1073" s="66"/>
      <c r="N1073" s="66"/>
    </row>
    <row r="1074" spans="1:14" x14ac:dyDescent="0.2">
      <c r="A1074" s="84"/>
      <c r="B1074" s="84"/>
      <c r="C1074" s="60"/>
      <c r="D1074" s="66"/>
      <c r="E1074" s="66"/>
      <c r="F1074" s="66"/>
      <c r="G1074" s="66"/>
      <c r="H1074" s="66"/>
      <c r="I1074" s="66"/>
      <c r="J1074" s="66"/>
      <c r="K1074" s="66"/>
      <c r="L1074" s="66"/>
      <c r="M1074" s="66"/>
      <c r="N1074" s="66"/>
    </row>
    <row r="1075" spans="1:14" x14ac:dyDescent="0.2">
      <c r="A1075" s="84"/>
      <c r="B1075" s="84"/>
      <c r="C1075" s="60"/>
      <c r="D1075" s="66"/>
      <c r="E1075" s="66"/>
      <c r="F1075" s="66"/>
      <c r="G1075" s="66"/>
      <c r="H1075" s="66"/>
      <c r="I1075" s="66"/>
      <c r="J1075" s="66"/>
      <c r="K1075" s="66"/>
      <c r="L1075" s="66"/>
      <c r="M1075" s="66"/>
      <c r="N1075" s="66"/>
    </row>
    <row r="1076" spans="1:14" x14ac:dyDescent="0.2">
      <c r="A1076" s="84"/>
      <c r="B1076" s="84"/>
      <c r="C1076" s="60"/>
      <c r="D1076" s="66"/>
      <c r="E1076" s="66"/>
      <c r="F1076" s="66"/>
      <c r="G1076" s="66"/>
      <c r="H1076" s="66"/>
      <c r="I1076" s="66"/>
      <c r="J1076" s="66"/>
      <c r="K1076" s="66"/>
      <c r="L1076" s="66"/>
      <c r="M1076" s="66"/>
      <c r="N1076" s="66"/>
    </row>
    <row r="1077" spans="1:14" x14ac:dyDescent="0.2">
      <c r="A1077" s="84"/>
      <c r="B1077" s="84"/>
      <c r="C1077" s="60"/>
      <c r="D1077" s="66"/>
      <c r="E1077" s="66"/>
      <c r="F1077" s="66"/>
      <c r="G1077" s="66"/>
      <c r="H1077" s="66"/>
      <c r="I1077" s="66"/>
      <c r="J1077" s="66"/>
      <c r="K1077" s="66"/>
      <c r="L1077" s="66"/>
      <c r="M1077" s="66"/>
      <c r="N1077" s="66"/>
    </row>
    <row r="1078" spans="1:14" x14ac:dyDescent="0.2">
      <c r="A1078" s="84"/>
      <c r="B1078" s="84"/>
      <c r="C1078" s="60"/>
      <c r="D1078" s="66"/>
      <c r="E1078" s="66"/>
      <c r="F1078" s="66"/>
      <c r="G1078" s="66"/>
      <c r="H1078" s="66"/>
      <c r="I1078" s="66"/>
      <c r="J1078" s="66"/>
      <c r="K1078" s="66"/>
      <c r="L1078" s="66"/>
      <c r="M1078" s="66"/>
      <c r="N1078" s="66"/>
    </row>
    <row r="1079" spans="1:14" x14ac:dyDescent="0.2">
      <c r="A1079" s="84"/>
      <c r="B1079" s="84"/>
      <c r="C1079" s="60"/>
      <c r="D1079" s="66"/>
      <c r="E1079" s="66"/>
      <c r="F1079" s="66"/>
      <c r="G1079" s="66"/>
      <c r="H1079" s="66"/>
      <c r="I1079" s="66"/>
      <c r="J1079" s="66"/>
      <c r="K1079" s="66"/>
      <c r="L1079" s="66"/>
      <c r="M1079" s="66"/>
      <c r="N1079" s="66"/>
    </row>
    <row r="1080" spans="1:14" x14ac:dyDescent="0.2">
      <c r="A1080" s="84"/>
      <c r="B1080" s="84"/>
      <c r="C1080" s="60"/>
      <c r="D1080" s="66"/>
      <c r="E1080" s="66"/>
      <c r="F1080" s="66"/>
      <c r="G1080" s="66"/>
      <c r="H1080" s="66"/>
      <c r="I1080" s="66"/>
      <c r="J1080" s="66"/>
      <c r="K1080" s="66"/>
      <c r="L1080" s="66"/>
      <c r="M1080" s="66"/>
      <c r="N1080" s="66"/>
    </row>
    <row r="1081" spans="1:14" x14ac:dyDescent="0.2">
      <c r="A1081" s="84"/>
      <c r="B1081" s="84"/>
      <c r="C1081" s="60"/>
      <c r="D1081" s="66"/>
      <c r="E1081" s="66"/>
      <c r="F1081" s="66"/>
      <c r="G1081" s="66"/>
      <c r="H1081" s="66"/>
      <c r="I1081" s="66"/>
      <c r="J1081" s="66"/>
      <c r="K1081" s="66"/>
      <c r="L1081" s="66"/>
      <c r="M1081" s="66"/>
      <c r="N1081" s="66"/>
    </row>
    <row r="1082" spans="1:14" x14ac:dyDescent="0.2">
      <c r="A1082" s="84"/>
      <c r="B1082" s="84"/>
      <c r="C1082" s="60"/>
      <c r="D1082" s="66"/>
      <c r="E1082" s="66"/>
      <c r="F1082" s="66"/>
      <c r="G1082" s="66"/>
      <c r="H1082" s="66"/>
      <c r="I1082" s="66"/>
      <c r="J1082" s="66"/>
      <c r="K1082" s="66"/>
      <c r="L1082" s="66"/>
      <c r="M1082" s="66"/>
      <c r="N1082" s="66"/>
    </row>
    <row r="1083" spans="1:14" x14ac:dyDescent="0.2">
      <c r="A1083" s="84"/>
      <c r="B1083" s="84"/>
      <c r="C1083" s="60"/>
      <c r="D1083" s="66"/>
      <c r="E1083" s="66"/>
      <c r="F1083" s="66"/>
      <c r="G1083" s="66"/>
      <c r="H1083" s="66"/>
      <c r="I1083" s="66"/>
      <c r="J1083" s="66"/>
      <c r="K1083" s="66"/>
      <c r="L1083" s="66"/>
      <c r="M1083" s="66"/>
      <c r="N1083" s="66"/>
    </row>
    <row r="1084" spans="1:14" x14ac:dyDescent="0.2">
      <c r="A1084" s="84"/>
      <c r="B1084" s="84"/>
      <c r="C1084" s="60"/>
      <c r="D1084" s="66"/>
      <c r="E1084" s="66"/>
      <c r="F1084" s="66"/>
      <c r="G1084" s="66"/>
      <c r="H1084" s="66"/>
      <c r="I1084" s="66"/>
      <c r="J1084" s="66"/>
      <c r="K1084" s="66"/>
      <c r="L1084" s="66"/>
      <c r="M1084" s="66"/>
      <c r="N1084" s="66"/>
    </row>
    <row r="1085" spans="1:14" x14ac:dyDescent="0.2">
      <c r="A1085" s="84"/>
      <c r="B1085" s="84"/>
      <c r="C1085" s="60"/>
      <c r="D1085" s="66"/>
      <c r="E1085" s="66"/>
      <c r="F1085" s="66"/>
      <c r="G1085" s="66"/>
      <c r="H1085" s="66"/>
      <c r="I1085" s="66"/>
      <c r="J1085" s="66"/>
      <c r="K1085" s="66"/>
      <c r="L1085" s="66"/>
      <c r="M1085" s="66"/>
      <c r="N1085" s="66"/>
    </row>
    <row r="1086" spans="1:14" x14ac:dyDescent="0.2">
      <c r="A1086" s="84"/>
      <c r="B1086" s="84"/>
      <c r="C1086" s="60"/>
      <c r="D1086" s="66"/>
      <c r="E1086" s="66"/>
      <c r="F1086" s="66"/>
      <c r="G1086" s="66"/>
      <c r="H1086" s="66"/>
      <c r="I1086" s="66"/>
      <c r="J1086" s="66"/>
      <c r="K1086" s="66"/>
      <c r="L1086" s="66"/>
      <c r="M1086" s="66"/>
      <c r="N1086" s="66"/>
    </row>
    <row r="1087" spans="1:14" x14ac:dyDescent="0.2">
      <c r="A1087" s="84"/>
      <c r="B1087" s="84"/>
      <c r="C1087" s="60"/>
      <c r="D1087" s="66"/>
      <c r="E1087" s="66"/>
      <c r="F1087" s="66"/>
      <c r="G1087" s="66"/>
      <c r="H1087" s="66"/>
      <c r="I1087" s="66"/>
      <c r="J1087" s="66"/>
      <c r="K1087" s="66"/>
      <c r="L1087" s="66"/>
      <c r="M1087" s="66"/>
      <c r="N1087" s="66"/>
    </row>
    <row r="1088" spans="1:14" x14ac:dyDescent="0.2">
      <c r="A1088" s="84"/>
      <c r="B1088" s="84"/>
      <c r="C1088" s="60"/>
      <c r="D1088" s="66"/>
      <c r="E1088" s="66"/>
      <c r="F1088" s="66"/>
      <c r="G1088" s="66"/>
      <c r="H1088" s="66"/>
      <c r="I1088" s="66"/>
      <c r="J1088" s="66"/>
      <c r="K1088" s="66"/>
      <c r="L1088" s="66"/>
      <c r="M1088" s="66"/>
      <c r="N1088" s="66"/>
    </row>
    <row r="1089" spans="1:14" x14ac:dyDescent="0.2">
      <c r="A1089" s="84"/>
      <c r="B1089" s="84"/>
      <c r="C1089" s="60"/>
      <c r="D1089" s="66"/>
      <c r="E1089" s="66"/>
      <c r="F1089" s="66"/>
      <c r="G1089" s="66"/>
      <c r="H1089" s="66"/>
      <c r="I1089" s="66"/>
      <c r="J1089" s="66"/>
      <c r="K1089" s="66"/>
      <c r="L1089" s="66"/>
      <c r="M1089" s="66"/>
      <c r="N1089" s="66"/>
    </row>
    <row r="1090" spans="1:14" x14ac:dyDescent="0.2">
      <c r="A1090" s="84"/>
      <c r="B1090" s="84"/>
      <c r="C1090" s="60"/>
      <c r="D1090" s="66"/>
      <c r="E1090" s="66"/>
      <c r="F1090" s="66"/>
      <c r="G1090" s="66"/>
      <c r="H1090" s="66"/>
      <c r="I1090" s="66"/>
      <c r="J1090" s="66"/>
      <c r="K1090" s="66"/>
      <c r="L1090" s="66"/>
      <c r="M1090" s="66"/>
      <c r="N1090" s="66"/>
    </row>
    <row r="1091" spans="1:14" x14ac:dyDescent="0.2">
      <c r="A1091" s="84"/>
      <c r="B1091" s="84"/>
      <c r="C1091" s="60"/>
      <c r="D1091" s="66"/>
      <c r="E1091" s="66"/>
      <c r="F1091" s="66"/>
      <c r="G1091" s="66"/>
      <c r="H1091" s="66"/>
      <c r="I1091" s="66"/>
      <c r="J1091" s="66"/>
      <c r="K1091" s="66"/>
      <c r="L1091" s="66"/>
      <c r="M1091" s="66"/>
      <c r="N1091" s="66"/>
    </row>
    <row r="1092" spans="1:14" x14ac:dyDescent="0.2">
      <c r="A1092" s="84"/>
      <c r="B1092" s="84"/>
      <c r="C1092" s="60"/>
      <c r="D1092" s="66"/>
      <c r="E1092" s="66"/>
      <c r="F1092" s="66"/>
      <c r="G1092" s="66"/>
      <c r="H1092" s="66"/>
      <c r="I1092" s="66"/>
      <c r="J1092" s="66"/>
      <c r="K1092" s="66"/>
      <c r="L1092" s="66"/>
      <c r="M1092" s="66"/>
      <c r="N1092" s="66"/>
    </row>
    <row r="1093" spans="1:14" x14ac:dyDescent="0.2">
      <c r="A1093" s="84"/>
      <c r="B1093" s="84"/>
      <c r="C1093" s="60"/>
      <c r="D1093" s="66"/>
      <c r="E1093" s="66"/>
      <c r="F1093" s="66"/>
      <c r="G1093" s="66"/>
      <c r="H1093" s="66"/>
      <c r="I1093" s="66"/>
      <c r="J1093" s="66"/>
      <c r="K1093" s="66"/>
      <c r="L1093" s="66"/>
      <c r="M1093" s="66"/>
      <c r="N1093" s="66"/>
    </row>
    <row r="1094" spans="1:14" x14ac:dyDescent="0.2">
      <c r="A1094" s="84"/>
      <c r="B1094" s="84"/>
      <c r="C1094" s="60"/>
      <c r="D1094" s="66"/>
      <c r="E1094" s="66"/>
      <c r="F1094" s="66"/>
      <c r="G1094" s="66"/>
      <c r="H1094" s="66"/>
      <c r="I1094" s="66"/>
      <c r="J1094" s="66"/>
      <c r="K1094" s="66"/>
      <c r="L1094" s="66"/>
      <c r="M1094" s="66"/>
      <c r="N1094" s="66"/>
    </row>
    <row r="1095" spans="1:14" x14ac:dyDescent="0.2">
      <c r="A1095" s="84"/>
      <c r="B1095" s="84"/>
      <c r="C1095" s="60"/>
      <c r="D1095" s="66"/>
      <c r="E1095" s="66"/>
      <c r="F1095" s="66"/>
      <c r="G1095" s="66"/>
      <c r="H1095" s="66"/>
      <c r="I1095" s="66"/>
      <c r="J1095" s="66"/>
      <c r="K1095" s="66"/>
      <c r="L1095" s="66"/>
      <c r="M1095" s="66"/>
      <c r="N1095" s="66"/>
    </row>
    <row r="1096" spans="1:14" x14ac:dyDescent="0.2">
      <c r="A1096" s="84"/>
      <c r="B1096" s="84"/>
      <c r="C1096" s="60"/>
      <c r="D1096" s="66"/>
      <c r="E1096" s="66"/>
      <c r="F1096" s="66"/>
      <c r="G1096" s="66"/>
      <c r="H1096" s="66"/>
      <c r="I1096" s="66"/>
      <c r="J1096" s="66"/>
      <c r="K1096" s="66"/>
      <c r="L1096" s="66"/>
      <c r="M1096" s="66"/>
      <c r="N1096" s="66"/>
    </row>
    <row r="1097" spans="1:14" x14ac:dyDescent="0.2">
      <c r="A1097" s="84"/>
      <c r="B1097" s="84"/>
      <c r="C1097" s="60"/>
      <c r="D1097" s="66"/>
      <c r="E1097" s="66"/>
      <c r="F1097" s="66"/>
      <c r="G1097" s="66"/>
      <c r="H1097" s="66"/>
      <c r="I1097" s="66"/>
      <c r="J1097" s="66"/>
      <c r="K1097" s="66"/>
      <c r="L1097" s="66"/>
      <c r="M1097" s="66"/>
      <c r="N1097" s="66"/>
    </row>
    <row r="1098" spans="1:14" x14ac:dyDescent="0.2">
      <c r="A1098" s="84"/>
      <c r="B1098" s="84"/>
      <c r="C1098" s="60"/>
      <c r="D1098" s="66"/>
      <c r="E1098" s="66"/>
      <c r="F1098" s="66"/>
      <c r="G1098" s="66"/>
      <c r="H1098" s="66"/>
      <c r="I1098" s="66"/>
      <c r="J1098" s="66"/>
      <c r="K1098" s="66"/>
      <c r="L1098" s="66"/>
      <c r="M1098" s="66"/>
      <c r="N1098" s="66"/>
    </row>
    <row r="1099" spans="1:14" x14ac:dyDescent="0.2">
      <c r="A1099" s="84"/>
      <c r="B1099" s="84"/>
      <c r="C1099" s="60"/>
      <c r="D1099" s="66"/>
      <c r="E1099" s="66"/>
      <c r="F1099" s="66"/>
      <c r="G1099" s="66"/>
      <c r="H1099" s="66"/>
      <c r="I1099" s="66"/>
      <c r="J1099" s="66"/>
      <c r="K1099" s="66"/>
      <c r="L1099" s="66"/>
      <c r="M1099" s="66"/>
      <c r="N1099" s="66"/>
    </row>
    <row r="1100" spans="1:14" x14ac:dyDescent="0.2">
      <c r="A1100" s="84"/>
      <c r="B1100" s="84"/>
      <c r="C1100" s="60"/>
      <c r="D1100" s="66"/>
      <c r="E1100" s="66"/>
      <c r="F1100" s="66"/>
      <c r="G1100" s="66"/>
      <c r="H1100" s="66"/>
      <c r="I1100" s="66"/>
      <c r="J1100" s="66"/>
      <c r="K1100" s="66"/>
      <c r="L1100" s="66"/>
      <c r="M1100" s="66"/>
      <c r="N1100" s="66"/>
    </row>
    <row r="1101" spans="1:14" x14ac:dyDescent="0.2">
      <c r="A1101" s="84"/>
      <c r="B1101" s="84"/>
      <c r="C1101" s="60"/>
      <c r="D1101" s="66"/>
      <c r="E1101" s="66"/>
      <c r="F1101" s="66"/>
      <c r="G1101" s="66"/>
      <c r="H1101" s="66"/>
      <c r="I1101" s="66"/>
      <c r="J1101" s="66"/>
      <c r="K1101" s="66"/>
      <c r="L1101" s="66"/>
      <c r="M1101" s="66"/>
      <c r="N1101" s="66"/>
    </row>
    <row r="1102" spans="1:14" x14ac:dyDescent="0.2">
      <c r="A1102" s="84"/>
      <c r="B1102" s="84"/>
      <c r="C1102" s="60"/>
      <c r="D1102" s="66"/>
      <c r="E1102" s="66"/>
      <c r="F1102" s="66"/>
      <c r="G1102" s="66"/>
      <c r="H1102" s="66"/>
      <c r="I1102" s="66"/>
      <c r="J1102" s="66"/>
      <c r="K1102" s="66"/>
      <c r="L1102" s="66"/>
      <c r="M1102" s="66"/>
      <c r="N1102" s="66"/>
    </row>
    <row r="1103" spans="1:14" x14ac:dyDescent="0.2">
      <c r="A1103" s="84"/>
      <c r="B1103" s="84"/>
      <c r="C1103" s="60"/>
      <c r="D1103" s="66"/>
      <c r="E1103" s="66"/>
      <c r="F1103" s="66"/>
      <c r="G1103" s="66"/>
      <c r="H1103" s="66"/>
      <c r="I1103" s="66"/>
      <c r="J1103" s="66"/>
      <c r="K1103" s="66"/>
      <c r="L1103" s="66"/>
      <c r="M1103" s="66"/>
      <c r="N1103" s="66"/>
    </row>
    <row r="1104" spans="1:14" x14ac:dyDescent="0.2">
      <c r="A1104" s="84"/>
      <c r="B1104" s="84"/>
      <c r="C1104" s="60"/>
      <c r="D1104" s="66"/>
      <c r="E1104" s="66"/>
      <c r="F1104" s="66"/>
      <c r="G1104" s="66"/>
      <c r="H1104" s="66"/>
      <c r="I1104" s="66"/>
      <c r="J1104" s="66"/>
      <c r="K1104" s="66"/>
      <c r="L1104" s="66"/>
      <c r="M1104" s="66"/>
      <c r="N1104" s="66"/>
    </row>
    <row r="1105" spans="1:14" x14ac:dyDescent="0.2">
      <c r="A1105" s="84"/>
      <c r="B1105" s="84"/>
      <c r="C1105" s="60"/>
      <c r="D1105" s="66"/>
      <c r="E1105" s="66"/>
      <c r="F1105" s="66"/>
      <c r="G1105" s="66"/>
      <c r="H1105" s="66"/>
      <c r="I1105" s="66"/>
      <c r="J1105" s="66"/>
      <c r="K1105" s="66"/>
      <c r="L1105" s="66"/>
      <c r="M1105" s="66"/>
      <c r="N1105" s="66"/>
    </row>
    <row r="1106" spans="1:14" x14ac:dyDescent="0.2">
      <c r="A1106" s="84"/>
      <c r="B1106" s="84"/>
      <c r="C1106" s="60"/>
      <c r="D1106" s="66"/>
      <c r="E1106" s="66"/>
      <c r="F1106" s="66"/>
      <c r="G1106" s="66"/>
      <c r="H1106" s="66"/>
      <c r="I1106" s="66"/>
      <c r="J1106" s="66"/>
      <c r="K1106" s="66"/>
      <c r="L1106" s="66"/>
      <c r="M1106" s="66"/>
      <c r="N1106" s="66"/>
    </row>
    <row r="1107" spans="1:14" x14ac:dyDescent="0.2">
      <c r="A1107" s="84"/>
      <c r="B1107" s="84"/>
      <c r="C1107" s="60"/>
      <c r="D1107" s="66"/>
      <c r="E1107" s="66"/>
      <c r="F1107" s="66"/>
      <c r="G1107" s="66"/>
      <c r="H1107" s="66"/>
      <c r="I1107" s="66"/>
      <c r="J1107" s="66"/>
      <c r="K1107" s="66"/>
      <c r="L1107" s="66"/>
      <c r="M1107" s="66"/>
      <c r="N1107" s="66"/>
    </row>
    <row r="1108" spans="1:14" x14ac:dyDescent="0.2">
      <c r="A1108" s="84"/>
      <c r="B1108" s="84"/>
      <c r="C1108" s="60"/>
      <c r="D1108" s="66"/>
      <c r="E1108" s="66"/>
      <c r="F1108" s="66"/>
      <c r="G1108" s="66"/>
      <c r="H1108" s="66"/>
      <c r="I1108" s="66"/>
      <c r="J1108" s="66"/>
      <c r="K1108" s="66"/>
      <c r="L1108" s="66"/>
      <c r="M1108" s="66"/>
      <c r="N1108" s="66"/>
    </row>
    <row r="1109" spans="1:14" x14ac:dyDescent="0.2">
      <c r="A1109" s="84"/>
      <c r="B1109" s="84"/>
      <c r="C1109" s="60"/>
      <c r="D1109" s="66"/>
      <c r="E1109" s="66"/>
      <c r="F1109" s="66"/>
      <c r="G1109" s="66"/>
      <c r="H1109" s="66"/>
      <c r="I1109" s="66"/>
      <c r="J1109" s="66"/>
      <c r="K1109" s="66"/>
      <c r="L1109" s="66"/>
      <c r="M1109" s="66"/>
      <c r="N1109" s="66"/>
    </row>
    <row r="1110" spans="1:14" x14ac:dyDescent="0.2">
      <c r="A1110" s="84"/>
      <c r="B1110" s="84"/>
      <c r="C1110" s="60"/>
      <c r="D1110" s="66"/>
      <c r="E1110" s="66"/>
      <c r="F1110" s="66"/>
      <c r="G1110" s="66"/>
      <c r="H1110" s="66"/>
      <c r="I1110" s="66"/>
      <c r="J1110" s="66"/>
      <c r="K1110" s="66"/>
      <c r="L1110" s="66"/>
      <c r="M1110" s="66"/>
      <c r="N1110" s="66"/>
    </row>
    <row r="1111" spans="1:14" x14ac:dyDescent="0.2">
      <c r="A1111" s="84"/>
      <c r="B1111" s="84"/>
      <c r="C1111" s="60"/>
      <c r="D1111" s="66"/>
      <c r="E1111" s="66"/>
      <c r="F1111" s="66"/>
      <c r="G1111" s="66"/>
      <c r="H1111" s="66"/>
      <c r="I1111" s="66"/>
      <c r="J1111" s="66"/>
      <c r="K1111" s="66"/>
      <c r="L1111" s="66"/>
      <c r="M1111" s="66"/>
      <c r="N1111" s="66"/>
    </row>
    <row r="1112" spans="1:14" x14ac:dyDescent="0.2">
      <c r="A1112" s="84"/>
      <c r="B1112" s="84"/>
      <c r="C1112" s="60"/>
      <c r="D1112" s="66"/>
      <c r="E1112" s="66"/>
      <c r="F1112" s="66"/>
      <c r="G1112" s="66"/>
      <c r="H1112" s="66"/>
      <c r="I1112" s="66"/>
      <c r="J1112" s="66"/>
      <c r="K1112" s="66"/>
      <c r="L1112" s="66"/>
      <c r="M1112" s="66"/>
      <c r="N1112" s="66"/>
    </row>
    <row r="1113" spans="1:14" x14ac:dyDescent="0.2">
      <c r="A1113" s="84"/>
      <c r="B1113" s="84"/>
      <c r="C1113" s="60"/>
      <c r="D1113" s="66"/>
      <c r="E1113" s="66"/>
      <c r="F1113" s="66"/>
      <c r="G1113" s="66"/>
      <c r="H1113" s="66"/>
      <c r="I1113" s="66"/>
      <c r="J1113" s="66"/>
      <c r="K1113" s="66"/>
      <c r="L1113" s="66"/>
      <c r="M1113" s="66"/>
      <c r="N1113" s="66"/>
    </row>
    <row r="1114" spans="1:14" x14ac:dyDescent="0.2">
      <c r="A1114" s="84"/>
      <c r="B1114" s="84"/>
      <c r="C1114" s="60"/>
      <c r="D1114" s="66"/>
      <c r="E1114" s="66"/>
      <c r="F1114" s="66"/>
      <c r="G1114" s="66"/>
      <c r="H1114" s="66"/>
      <c r="I1114" s="66"/>
      <c r="J1114" s="66"/>
      <c r="K1114" s="66"/>
      <c r="L1114" s="66"/>
      <c r="M1114" s="66"/>
      <c r="N1114" s="66"/>
    </row>
    <row r="1115" spans="1:14" x14ac:dyDescent="0.2">
      <c r="A1115" s="84"/>
      <c r="B1115" s="84"/>
      <c r="C1115" s="60"/>
      <c r="D1115" s="66"/>
      <c r="E1115" s="66"/>
      <c r="F1115" s="66"/>
      <c r="G1115" s="66"/>
      <c r="H1115" s="66"/>
      <c r="I1115" s="66"/>
      <c r="J1115" s="66"/>
      <c r="K1115" s="66"/>
      <c r="L1115" s="66"/>
      <c r="M1115" s="66"/>
      <c r="N1115" s="66"/>
    </row>
    <row r="1116" spans="1:14" x14ac:dyDescent="0.2">
      <c r="A1116" s="84"/>
      <c r="B1116" s="84"/>
      <c r="C1116" s="60"/>
      <c r="D1116" s="66"/>
      <c r="E1116" s="66"/>
      <c r="F1116" s="66"/>
      <c r="G1116" s="66"/>
      <c r="H1116" s="66"/>
      <c r="I1116" s="66"/>
      <c r="J1116" s="66"/>
      <c r="K1116" s="66"/>
      <c r="L1116" s="66"/>
      <c r="M1116" s="66"/>
      <c r="N1116" s="66"/>
    </row>
    <row r="1117" spans="1:14" x14ac:dyDescent="0.2">
      <c r="A1117" s="84"/>
      <c r="B1117" s="84"/>
      <c r="C1117" s="60"/>
      <c r="D1117" s="66"/>
      <c r="E1117" s="66"/>
      <c r="F1117" s="66"/>
      <c r="G1117" s="66"/>
      <c r="H1117" s="66"/>
      <c r="I1117" s="66"/>
      <c r="J1117" s="66"/>
      <c r="K1117" s="66"/>
      <c r="L1117" s="66"/>
      <c r="M1117" s="66"/>
      <c r="N1117" s="66"/>
    </row>
    <row r="1118" spans="1:14" x14ac:dyDescent="0.2">
      <c r="A1118" s="84"/>
      <c r="B1118" s="84"/>
      <c r="C1118" s="60"/>
      <c r="D1118" s="66"/>
      <c r="E1118" s="66"/>
      <c r="F1118" s="66"/>
      <c r="G1118" s="66"/>
      <c r="H1118" s="66"/>
      <c r="I1118" s="66"/>
      <c r="J1118" s="66"/>
      <c r="K1118" s="66"/>
      <c r="L1118" s="66"/>
      <c r="M1118" s="66"/>
      <c r="N1118" s="66"/>
    </row>
    <row r="1119" spans="1:14" x14ac:dyDescent="0.2">
      <c r="A1119" s="84"/>
      <c r="B1119" s="84"/>
      <c r="C1119" s="60"/>
      <c r="D1119" s="66"/>
      <c r="E1119" s="66"/>
      <c r="F1119" s="66"/>
      <c r="G1119" s="66"/>
      <c r="H1119" s="66"/>
      <c r="I1119" s="66"/>
      <c r="J1119" s="66"/>
      <c r="K1119" s="66"/>
      <c r="L1119" s="66"/>
      <c r="M1119" s="66"/>
      <c r="N1119" s="66"/>
    </row>
    <row r="1120" spans="1:14" x14ac:dyDescent="0.2">
      <c r="A1120" s="84"/>
      <c r="B1120" s="84"/>
      <c r="C1120" s="60"/>
      <c r="D1120" s="66"/>
      <c r="E1120" s="66"/>
      <c r="F1120" s="66"/>
      <c r="G1120" s="66"/>
      <c r="H1120" s="66"/>
      <c r="I1120" s="66"/>
      <c r="J1120" s="66"/>
      <c r="K1120" s="66"/>
      <c r="L1120" s="66"/>
      <c r="M1120" s="66"/>
      <c r="N1120" s="66"/>
    </row>
    <row r="1121" spans="1:14" x14ac:dyDescent="0.2">
      <c r="A1121" s="84"/>
      <c r="B1121" s="84"/>
      <c r="C1121" s="60"/>
      <c r="D1121" s="66"/>
      <c r="E1121" s="66"/>
      <c r="F1121" s="66"/>
      <c r="G1121" s="66"/>
      <c r="H1121" s="66"/>
      <c r="I1121" s="66"/>
      <c r="J1121" s="66"/>
      <c r="K1121" s="66"/>
      <c r="L1121" s="66"/>
      <c r="M1121" s="66"/>
      <c r="N1121" s="66"/>
    </row>
    <row r="1122" spans="1:14" x14ac:dyDescent="0.2">
      <c r="A1122" s="84"/>
      <c r="B1122" s="84"/>
      <c r="C1122" s="60"/>
      <c r="D1122" s="66"/>
      <c r="E1122" s="66"/>
      <c r="F1122" s="66"/>
      <c r="G1122" s="66"/>
      <c r="H1122" s="66"/>
      <c r="I1122" s="66"/>
      <c r="J1122" s="66"/>
      <c r="K1122" s="66"/>
      <c r="L1122" s="66"/>
      <c r="M1122" s="66"/>
      <c r="N1122" s="66"/>
    </row>
    <row r="1123" spans="1:14" x14ac:dyDescent="0.2">
      <c r="A1123" s="84"/>
      <c r="B1123" s="84"/>
      <c r="C1123" s="60"/>
      <c r="D1123" s="66"/>
      <c r="E1123" s="66"/>
      <c r="F1123" s="66"/>
      <c r="G1123" s="66"/>
      <c r="H1123" s="66"/>
      <c r="I1123" s="66"/>
      <c r="J1123" s="66"/>
      <c r="K1123" s="66"/>
      <c r="L1123" s="66"/>
      <c r="M1123" s="66"/>
      <c r="N1123" s="66"/>
    </row>
    <row r="1124" spans="1:14" x14ac:dyDescent="0.2">
      <c r="A1124" s="84"/>
      <c r="B1124" s="84"/>
      <c r="C1124" s="60"/>
      <c r="D1124" s="66"/>
      <c r="E1124" s="66"/>
      <c r="F1124" s="66"/>
      <c r="G1124" s="66"/>
      <c r="H1124" s="66"/>
      <c r="I1124" s="66"/>
      <c r="J1124" s="66"/>
      <c r="K1124" s="66"/>
      <c r="L1124" s="66"/>
      <c r="M1124" s="66"/>
      <c r="N1124" s="66"/>
    </row>
    <row r="1125" spans="1:14" x14ac:dyDescent="0.2">
      <c r="A1125" s="84"/>
      <c r="B1125" s="84"/>
      <c r="C1125" s="60"/>
      <c r="D1125" s="66"/>
      <c r="E1125" s="66"/>
      <c r="F1125" s="66"/>
      <c r="G1125" s="66"/>
      <c r="H1125" s="66"/>
      <c r="I1125" s="66"/>
      <c r="J1125" s="66"/>
      <c r="K1125" s="66"/>
      <c r="L1125" s="66"/>
      <c r="M1125" s="66"/>
      <c r="N1125" s="66"/>
    </row>
    <row r="1126" spans="1:14" x14ac:dyDescent="0.2">
      <c r="A1126" s="84"/>
      <c r="B1126" s="84"/>
      <c r="C1126" s="60"/>
      <c r="D1126" s="66"/>
      <c r="E1126" s="66"/>
      <c r="F1126" s="66"/>
      <c r="G1126" s="66"/>
      <c r="H1126" s="66"/>
      <c r="I1126" s="66"/>
      <c r="J1126" s="66"/>
      <c r="K1126" s="66"/>
      <c r="L1126" s="66"/>
      <c r="M1126" s="66"/>
      <c r="N1126" s="66"/>
    </row>
    <row r="1127" spans="1:14" x14ac:dyDescent="0.2">
      <c r="A1127" s="84"/>
      <c r="B1127" s="84"/>
      <c r="C1127" s="60"/>
      <c r="D1127" s="66"/>
      <c r="E1127" s="66"/>
      <c r="F1127" s="66"/>
      <c r="G1127" s="66"/>
      <c r="H1127" s="66"/>
      <c r="I1127" s="66"/>
      <c r="J1127" s="66"/>
      <c r="K1127" s="66"/>
      <c r="L1127" s="66"/>
      <c r="M1127" s="66"/>
      <c r="N1127" s="66"/>
    </row>
    <row r="1128" spans="1:14" x14ac:dyDescent="0.2">
      <c r="A1128" s="84"/>
      <c r="B1128" s="84"/>
      <c r="C1128" s="60"/>
      <c r="D1128" s="66"/>
      <c r="E1128" s="66"/>
      <c r="F1128" s="66"/>
      <c r="G1128" s="66"/>
      <c r="H1128" s="66"/>
      <c r="I1128" s="66"/>
      <c r="J1128" s="66"/>
      <c r="K1128" s="66"/>
      <c r="L1128" s="66"/>
      <c r="M1128" s="66"/>
      <c r="N1128" s="66"/>
    </row>
    <row r="1129" spans="1:14" x14ac:dyDescent="0.2">
      <c r="A1129" s="84"/>
      <c r="B1129" s="84"/>
      <c r="C1129" s="60"/>
      <c r="D1129" s="66"/>
      <c r="E1129" s="66"/>
      <c r="F1129" s="66"/>
      <c r="G1129" s="66"/>
      <c r="H1129" s="66"/>
      <c r="I1129" s="66"/>
      <c r="J1129" s="66"/>
      <c r="K1129" s="66"/>
      <c r="L1129" s="66"/>
      <c r="M1129" s="66"/>
      <c r="N1129" s="66"/>
    </row>
    <row r="1130" spans="1:14" x14ac:dyDescent="0.2">
      <c r="A1130" s="84"/>
      <c r="B1130" s="84"/>
      <c r="C1130" s="60"/>
      <c r="D1130" s="66"/>
      <c r="E1130" s="66"/>
      <c r="F1130" s="66"/>
      <c r="G1130" s="66"/>
      <c r="H1130" s="66"/>
      <c r="I1130" s="66"/>
      <c r="J1130" s="66"/>
      <c r="K1130" s="66"/>
      <c r="L1130" s="66"/>
      <c r="M1130" s="66"/>
      <c r="N1130" s="66"/>
    </row>
    <row r="1131" spans="1:14" x14ac:dyDescent="0.2">
      <c r="A1131" s="84"/>
      <c r="B1131" s="84"/>
      <c r="C1131" s="60"/>
      <c r="D1131" s="66"/>
      <c r="E1131" s="66"/>
      <c r="F1131" s="66"/>
      <c r="G1131" s="66"/>
      <c r="H1131" s="66"/>
      <c r="I1131" s="66"/>
      <c r="J1131" s="66"/>
      <c r="K1131" s="66"/>
      <c r="L1131" s="66"/>
      <c r="M1131" s="66"/>
      <c r="N1131" s="66"/>
    </row>
    <row r="1132" spans="1:14" x14ac:dyDescent="0.2">
      <c r="A1132" s="84"/>
      <c r="B1132" s="84"/>
      <c r="C1132" s="60"/>
      <c r="D1132" s="66"/>
      <c r="E1132" s="66"/>
      <c r="F1132" s="66"/>
      <c r="G1132" s="66"/>
      <c r="H1132" s="66"/>
      <c r="I1132" s="66"/>
      <c r="J1132" s="66"/>
      <c r="K1132" s="66"/>
      <c r="L1132" s="66"/>
      <c r="M1132" s="66"/>
      <c r="N1132" s="66"/>
    </row>
    <row r="1133" spans="1:14" x14ac:dyDescent="0.2">
      <c r="A1133" s="84"/>
      <c r="B1133" s="84"/>
      <c r="C1133" s="60"/>
      <c r="D1133" s="66"/>
      <c r="E1133" s="66"/>
      <c r="F1133" s="66"/>
      <c r="G1133" s="66"/>
      <c r="H1133" s="66"/>
      <c r="I1133" s="66"/>
      <c r="J1133" s="66"/>
      <c r="K1133" s="66"/>
      <c r="L1133" s="66"/>
      <c r="M1133" s="66"/>
      <c r="N1133" s="66"/>
    </row>
    <row r="1134" spans="1:14" x14ac:dyDescent="0.2">
      <c r="A1134" s="84"/>
      <c r="B1134" s="84"/>
      <c r="C1134" s="60"/>
      <c r="D1134" s="66"/>
      <c r="E1134" s="66"/>
      <c r="F1134" s="66"/>
      <c r="G1134" s="66"/>
      <c r="H1134" s="66"/>
      <c r="I1134" s="66"/>
      <c r="J1134" s="66"/>
      <c r="K1134" s="66"/>
      <c r="L1134" s="66"/>
      <c r="M1134" s="66"/>
      <c r="N1134" s="66"/>
    </row>
    <row r="1135" spans="1:14" x14ac:dyDescent="0.2">
      <c r="A1135" s="84"/>
      <c r="B1135" s="84"/>
      <c r="C1135" s="60"/>
      <c r="D1135" s="66"/>
      <c r="E1135" s="66"/>
      <c r="F1135" s="66"/>
      <c r="G1135" s="66"/>
      <c r="H1135" s="66"/>
      <c r="I1135" s="66"/>
      <c r="J1135" s="66"/>
      <c r="K1135" s="66"/>
      <c r="L1135" s="66"/>
      <c r="M1135" s="66"/>
      <c r="N1135" s="66"/>
    </row>
    <row r="1136" spans="1:14" x14ac:dyDescent="0.2">
      <c r="A1136" s="84"/>
      <c r="B1136" s="84"/>
      <c r="C1136" s="60"/>
      <c r="D1136" s="66"/>
      <c r="E1136" s="66"/>
      <c r="F1136" s="66"/>
      <c r="G1136" s="66"/>
      <c r="H1136" s="66"/>
      <c r="I1136" s="66"/>
      <c r="J1136" s="66"/>
      <c r="K1136" s="66"/>
      <c r="L1136" s="66"/>
      <c r="M1136" s="66"/>
      <c r="N1136" s="66"/>
    </row>
    <row r="1137" spans="1:14" x14ac:dyDescent="0.2">
      <c r="A1137" s="84"/>
      <c r="B1137" s="84"/>
      <c r="C1137" s="60"/>
      <c r="D1137" s="66"/>
      <c r="E1137" s="66"/>
      <c r="F1137" s="66"/>
      <c r="G1137" s="66"/>
      <c r="H1137" s="66"/>
      <c r="I1137" s="66"/>
      <c r="J1137" s="66"/>
      <c r="K1137" s="66"/>
      <c r="L1137" s="66"/>
      <c r="M1137" s="66"/>
      <c r="N1137" s="66"/>
    </row>
    <row r="1138" spans="1:14" x14ac:dyDescent="0.2">
      <c r="A1138" s="84"/>
      <c r="B1138" s="84"/>
      <c r="C1138" s="60"/>
      <c r="D1138" s="66"/>
      <c r="E1138" s="66"/>
      <c r="F1138" s="66"/>
      <c r="G1138" s="66"/>
      <c r="H1138" s="66"/>
      <c r="I1138" s="66"/>
      <c r="J1138" s="66"/>
      <c r="K1138" s="66"/>
      <c r="L1138" s="66"/>
      <c r="M1138" s="66"/>
      <c r="N1138" s="66"/>
    </row>
    <row r="1139" spans="1:14" x14ac:dyDescent="0.2">
      <c r="A1139" s="84"/>
      <c r="B1139" s="84"/>
      <c r="C1139" s="60"/>
      <c r="D1139" s="66"/>
      <c r="E1139" s="66"/>
      <c r="F1139" s="66"/>
      <c r="G1139" s="66"/>
      <c r="H1139" s="66"/>
      <c r="I1139" s="66"/>
      <c r="J1139" s="66"/>
      <c r="K1139" s="66"/>
      <c r="L1139" s="66"/>
      <c r="M1139" s="66"/>
      <c r="N1139" s="66"/>
    </row>
    <row r="1140" spans="1:14" x14ac:dyDescent="0.2">
      <c r="A1140" s="84"/>
      <c r="B1140" s="84"/>
      <c r="C1140" s="60"/>
      <c r="D1140" s="66"/>
      <c r="E1140" s="66"/>
      <c r="F1140" s="66"/>
      <c r="G1140" s="66"/>
      <c r="H1140" s="66"/>
      <c r="I1140" s="66"/>
      <c r="J1140" s="66"/>
      <c r="K1140" s="66"/>
      <c r="L1140" s="66"/>
      <c r="M1140" s="66"/>
      <c r="N1140" s="66"/>
    </row>
    <row r="1141" spans="1:14" x14ac:dyDescent="0.2">
      <c r="A1141" s="84"/>
      <c r="B1141" s="84"/>
      <c r="C1141" s="60"/>
      <c r="D1141" s="66"/>
      <c r="E1141" s="66"/>
      <c r="F1141" s="66"/>
      <c r="G1141" s="66"/>
      <c r="H1141" s="66"/>
      <c r="I1141" s="66"/>
      <c r="J1141" s="66"/>
      <c r="K1141" s="66"/>
      <c r="L1141" s="66"/>
      <c r="M1141" s="66"/>
      <c r="N1141" s="66"/>
    </row>
    <row r="1142" spans="1:14" x14ac:dyDescent="0.2">
      <c r="A1142" s="84"/>
      <c r="B1142" s="84"/>
      <c r="C1142" s="60"/>
      <c r="D1142" s="66"/>
      <c r="E1142" s="66"/>
      <c r="F1142" s="66"/>
      <c r="G1142" s="66"/>
      <c r="H1142" s="66"/>
      <c r="I1142" s="66"/>
      <c r="J1142" s="66"/>
      <c r="K1142" s="66"/>
      <c r="L1142" s="66"/>
      <c r="M1142" s="66"/>
      <c r="N1142" s="66"/>
    </row>
    <row r="1143" spans="1:14" x14ac:dyDescent="0.2">
      <c r="A1143" s="84"/>
      <c r="B1143" s="84"/>
      <c r="C1143" s="60"/>
      <c r="D1143" s="66"/>
      <c r="E1143" s="66"/>
      <c r="F1143" s="66"/>
      <c r="G1143" s="66"/>
      <c r="H1143" s="66"/>
      <c r="I1143" s="66"/>
      <c r="J1143" s="66"/>
      <c r="K1143" s="66"/>
      <c r="L1143" s="66"/>
      <c r="M1143" s="66"/>
      <c r="N1143" s="66"/>
    </row>
    <row r="1144" spans="1:14" x14ac:dyDescent="0.2">
      <c r="A1144" s="84"/>
      <c r="B1144" s="84"/>
      <c r="C1144" s="60"/>
      <c r="D1144" s="66"/>
      <c r="E1144" s="66"/>
      <c r="F1144" s="66"/>
      <c r="G1144" s="66"/>
      <c r="H1144" s="66"/>
      <c r="I1144" s="66"/>
      <c r="J1144" s="66"/>
      <c r="K1144" s="66"/>
      <c r="L1144" s="66"/>
      <c r="M1144" s="66"/>
      <c r="N1144" s="66"/>
    </row>
    <row r="1145" spans="1:14" x14ac:dyDescent="0.2">
      <c r="A1145" s="84"/>
      <c r="B1145" s="84"/>
      <c r="C1145" s="60"/>
      <c r="D1145" s="66"/>
      <c r="E1145" s="66"/>
      <c r="F1145" s="66"/>
      <c r="G1145" s="66"/>
      <c r="H1145" s="66"/>
      <c r="I1145" s="66"/>
      <c r="J1145" s="66"/>
      <c r="K1145" s="66"/>
      <c r="L1145" s="66"/>
      <c r="M1145" s="66"/>
      <c r="N1145" s="66"/>
    </row>
    <row r="1146" spans="1:14" x14ac:dyDescent="0.2">
      <c r="A1146" s="84"/>
      <c r="B1146" s="84"/>
      <c r="C1146" s="60"/>
      <c r="D1146" s="66"/>
      <c r="E1146" s="66"/>
      <c r="F1146" s="66"/>
      <c r="G1146" s="66"/>
      <c r="H1146" s="66"/>
      <c r="I1146" s="66"/>
      <c r="J1146" s="66"/>
      <c r="K1146" s="66"/>
      <c r="L1146" s="66"/>
      <c r="M1146" s="66"/>
      <c r="N1146" s="66"/>
    </row>
    <row r="1147" spans="1:14" x14ac:dyDescent="0.2">
      <c r="A1147" s="84"/>
      <c r="B1147" s="84"/>
      <c r="C1147" s="60"/>
      <c r="D1147" s="66"/>
      <c r="E1147" s="66"/>
      <c r="F1147" s="66"/>
      <c r="G1147" s="66"/>
      <c r="H1147" s="66"/>
      <c r="I1147" s="66"/>
      <c r="J1147" s="66"/>
      <c r="K1147" s="66"/>
      <c r="L1147" s="66"/>
      <c r="M1147" s="66"/>
      <c r="N1147" s="66"/>
    </row>
    <row r="1148" spans="1:14" x14ac:dyDescent="0.2">
      <c r="A1148" s="84"/>
      <c r="B1148" s="84"/>
      <c r="C1148" s="60"/>
      <c r="D1148" s="66"/>
      <c r="E1148" s="66"/>
      <c r="F1148" s="66"/>
      <c r="G1148" s="66"/>
      <c r="H1148" s="66"/>
      <c r="I1148" s="66"/>
      <c r="J1148" s="66"/>
      <c r="K1148" s="66"/>
      <c r="L1148" s="66"/>
      <c r="M1148" s="66"/>
      <c r="N1148" s="66"/>
    </row>
    <row r="1149" spans="1:14" x14ac:dyDescent="0.2">
      <c r="A1149" s="84"/>
      <c r="B1149" s="84"/>
      <c r="C1149" s="60"/>
      <c r="D1149" s="66"/>
      <c r="E1149" s="66"/>
      <c r="F1149" s="66"/>
      <c r="G1149" s="66"/>
      <c r="H1149" s="66"/>
      <c r="I1149" s="66"/>
      <c r="J1149" s="66"/>
      <c r="K1149" s="66"/>
      <c r="L1149" s="66"/>
      <c r="M1149" s="66"/>
      <c r="N1149" s="66"/>
    </row>
    <row r="1150" spans="1:14" x14ac:dyDescent="0.2">
      <c r="A1150" s="84"/>
      <c r="B1150" s="84"/>
      <c r="C1150" s="60"/>
      <c r="D1150" s="66"/>
      <c r="E1150" s="66"/>
      <c r="F1150" s="66"/>
      <c r="G1150" s="66"/>
      <c r="H1150" s="66"/>
      <c r="I1150" s="66"/>
      <c r="J1150" s="66"/>
      <c r="K1150" s="66"/>
      <c r="L1150" s="66"/>
      <c r="M1150" s="66"/>
      <c r="N1150" s="66"/>
    </row>
    <row r="1151" spans="1:14" x14ac:dyDescent="0.2">
      <c r="A1151" s="84"/>
      <c r="B1151" s="84"/>
      <c r="C1151" s="60"/>
      <c r="D1151" s="66"/>
      <c r="E1151" s="66"/>
      <c r="F1151" s="66"/>
      <c r="G1151" s="66"/>
      <c r="H1151" s="66"/>
      <c r="I1151" s="66"/>
      <c r="J1151" s="66"/>
      <c r="K1151" s="66"/>
      <c r="L1151" s="66"/>
      <c r="M1151" s="66"/>
      <c r="N1151" s="66"/>
    </row>
    <row r="1152" spans="1:14" x14ac:dyDescent="0.2">
      <c r="A1152" s="84"/>
      <c r="B1152" s="84"/>
      <c r="C1152" s="60"/>
      <c r="D1152" s="66"/>
      <c r="E1152" s="66"/>
      <c r="F1152" s="66"/>
      <c r="G1152" s="66"/>
      <c r="H1152" s="66"/>
      <c r="I1152" s="66"/>
      <c r="J1152" s="66"/>
      <c r="K1152" s="66"/>
      <c r="L1152" s="66"/>
      <c r="M1152" s="66"/>
      <c r="N1152" s="66"/>
    </row>
    <row r="1153" spans="1:14" x14ac:dyDescent="0.2">
      <c r="A1153" s="84"/>
      <c r="B1153" s="84"/>
      <c r="C1153" s="60"/>
      <c r="D1153" s="66"/>
      <c r="E1153" s="66"/>
      <c r="F1153" s="66"/>
      <c r="G1153" s="66"/>
      <c r="H1153" s="66"/>
      <c r="I1153" s="66"/>
      <c r="J1153" s="66"/>
      <c r="K1153" s="66"/>
      <c r="L1153" s="66"/>
      <c r="M1153" s="66"/>
      <c r="N1153" s="66"/>
    </row>
    <row r="1154" spans="1:14" x14ac:dyDescent="0.2">
      <c r="A1154" s="84"/>
      <c r="B1154" s="84"/>
      <c r="C1154" s="60"/>
      <c r="D1154" s="66"/>
      <c r="E1154" s="66"/>
      <c r="F1154" s="66"/>
      <c r="G1154" s="66"/>
      <c r="H1154" s="66"/>
      <c r="I1154" s="66"/>
      <c r="J1154" s="66"/>
      <c r="K1154" s="66"/>
      <c r="L1154" s="66"/>
      <c r="M1154" s="66"/>
      <c r="N1154" s="66"/>
    </row>
    <row r="1155" spans="1:14" x14ac:dyDescent="0.2">
      <c r="A1155" s="84"/>
      <c r="B1155" s="84"/>
      <c r="C1155" s="60"/>
      <c r="D1155" s="66"/>
      <c r="E1155" s="66"/>
      <c r="F1155" s="66"/>
      <c r="G1155" s="66"/>
      <c r="H1155" s="66"/>
      <c r="I1155" s="66"/>
      <c r="J1155" s="66"/>
      <c r="K1155" s="66"/>
      <c r="L1155" s="66"/>
      <c r="M1155" s="66"/>
      <c r="N1155" s="66"/>
    </row>
    <row r="1156" spans="1:14" x14ac:dyDescent="0.2">
      <c r="A1156" s="84"/>
      <c r="B1156" s="84"/>
      <c r="C1156" s="60"/>
      <c r="D1156" s="66"/>
      <c r="E1156" s="66"/>
      <c r="F1156" s="66"/>
      <c r="G1156" s="66"/>
      <c r="H1156" s="66"/>
      <c r="I1156" s="66"/>
      <c r="J1156" s="66"/>
      <c r="K1156" s="66"/>
      <c r="L1156" s="66"/>
      <c r="M1156" s="66"/>
      <c r="N1156" s="66"/>
    </row>
    <row r="1157" spans="1:14" x14ac:dyDescent="0.2">
      <c r="A1157" s="84"/>
      <c r="B1157" s="84"/>
      <c r="C1157" s="60"/>
      <c r="D1157" s="66"/>
      <c r="E1157" s="66"/>
      <c r="F1157" s="66"/>
      <c r="G1157" s="66"/>
      <c r="H1157" s="66"/>
      <c r="I1157" s="66"/>
      <c r="J1157" s="66"/>
      <c r="K1157" s="66"/>
      <c r="L1157" s="66"/>
      <c r="M1157" s="66"/>
      <c r="N1157" s="66"/>
    </row>
    <row r="1158" spans="1:14" x14ac:dyDescent="0.2">
      <c r="A1158" s="84"/>
      <c r="B1158" s="84"/>
      <c r="C1158" s="60"/>
      <c r="D1158" s="66"/>
      <c r="E1158" s="66"/>
      <c r="F1158" s="66"/>
      <c r="G1158" s="66"/>
      <c r="H1158" s="66"/>
      <c r="I1158" s="66"/>
      <c r="J1158" s="66"/>
      <c r="K1158" s="66"/>
      <c r="L1158" s="66"/>
      <c r="M1158" s="66"/>
      <c r="N1158" s="66"/>
    </row>
    <row r="1159" spans="1:14" x14ac:dyDescent="0.2">
      <c r="A1159" s="84"/>
      <c r="B1159" s="84"/>
      <c r="C1159" s="60"/>
      <c r="D1159" s="66"/>
      <c r="E1159" s="66"/>
      <c r="F1159" s="66"/>
      <c r="G1159" s="66"/>
      <c r="H1159" s="66"/>
      <c r="I1159" s="66"/>
      <c r="J1159" s="66"/>
      <c r="K1159" s="66"/>
      <c r="L1159" s="66"/>
      <c r="M1159" s="66"/>
      <c r="N1159" s="66"/>
    </row>
    <row r="1160" spans="1:14" x14ac:dyDescent="0.2">
      <c r="A1160" s="84"/>
      <c r="B1160" s="84"/>
      <c r="C1160" s="60"/>
      <c r="D1160" s="66"/>
      <c r="E1160" s="66"/>
      <c r="F1160" s="66"/>
      <c r="G1160" s="66"/>
      <c r="H1160" s="66"/>
      <c r="I1160" s="66"/>
      <c r="J1160" s="66"/>
      <c r="K1160" s="66"/>
      <c r="L1160" s="66"/>
      <c r="M1160" s="66"/>
      <c r="N1160" s="66"/>
    </row>
    <row r="1161" spans="1:14" x14ac:dyDescent="0.2">
      <c r="A1161" s="84"/>
      <c r="B1161" s="84"/>
      <c r="C1161" s="60"/>
      <c r="D1161" s="66"/>
      <c r="E1161" s="66"/>
      <c r="F1161" s="66"/>
      <c r="G1161" s="66"/>
      <c r="H1161" s="66"/>
      <c r="I1161" s="66"/>
      <c r="J1161" s="66"/>
      <c r="K1161" s="66"/>
      <c r="L1161" s="66"/>
      <c r="M1161" s="66"/>
      <c r="N1161" s="66"/>
    </row>
    <row r="1162" spans="1:14" x14ac:dyDescent="0.2">
      <c r="A1162" s="84"/>
      <c r="B1162" s="84"/>
      <c r="C1162" s="60"/>
      <c r="D1162" s="66"/>
      <c r="E1162" s="66"/>
      <c r="F1162" s="66"/>
      <c r="G1162" s="66"/>
      <c r="H1162" s="66"/>
      <c r="I1162" s="66"/>
      <c r="J1162" s="66"/>
      <c r="K1162" s="66"/>
      <c r="L1162" s="66"/>
      <c r="M1162" s="66"/>
      <c r="N1162" s="66"/>
    </row>
    <row r="1163" spans="1:14" x14ac:dyDescent="0.2">
      <c r="A1163" s="84"/>
      <c r="B1163" s="84"/>
      <c r="C1163" s="60"/>
      <c r="D1163" s="66"/>
      <c r="E1163" s="66"/>
      <c r="F1163" s="66"/>
      <c r="G1163" s="66"/>
      <c r="H1163" s="66"/>
      <c r="I1163" s="66"/>
      <c r="J1163" s="66"/>
      <c r="K1163" s="66"/>
      <c r="L1163" s="66"/>
      <c r="M1163" s="66"/>
      <c r="N1163" s="66"/>
    </row>
    <row r="1164" spans="1:14" x14ac:dyDescent="0.2">
      <c r="A1164" s="84"/>
      <c r="B1164" s="84"/>
      <c r="C1164" s="60"/>
      <c r="D1164" s="66"/>
      <c r="E1164" s="66"/>
      <c r="F1164" s="66"/>
      <c r="G1164" s="66"/>
      <c r="H1164" s="66"/>
      <c r="I1164" s="66"/>
      <c r="J1164" s="66"/>
      <c r="K1164" s="66"/>
      <c r="L1164" s="66"/>
      <c r="M1164" s="66"/>
      <c r="N1164" s="66"/>
    </row>
    <row r="1165" spans="1:14" x14ac:dyDescent="0.2">
      <c r="A1165" s="84"/>
      <c r="B1165" s="84"/>
      <c r="C1165" s="60"/>
      <c r="D1165" s="66"/>
      <c r="E1165" s="66"/>
      <c r="F1165" s="66"/>
      <c r="G1165" s="66"/>
      <c r="H1165" s="66"/>
      <c r="I1165" s="66"/>
      <c r="J1165" s="66"/>
      <c r="K1165" s="66"/>
      <c r="L1165" s="66"/>
      <c r="M1165" s="66"/>
      <c r="N1165" s="66"/>
    </row>
    <row r="1166" spans="1:14" x14ac:dyDescent="0.2">
      <c r="A1166" s="84"/>
      <c r="B1166" s="84"/>
      <c r="C1166" s="60"/>
      <c r="D1166" s="66"/>
      <c r="E1166" s="66"/>
      <c r="F1166" s="66"/>
      <c r="G1166" s="66"/>
      <c r="H1166" s="66"/>
      <c r="I1166" s="66"/>
      <c r="J1166" s="66"/>
      <c r="K1166" s="66"/>
      <c r="L1166" s="66"/>
      <c r="M1166" s="66"/>
      <c r="N1166" s="66"/>
    </row>
    <row r="1167" spans="1:14" x14ac:dyDescent="0.2">
      <c r="A1167" s="84"/>
      <c r="B1167" s="84"/>
      <c r="C1167" s="60"/>
      <c r="D1167" s="66"/>
      <c r="E1167" s="66"/>
      <c r="F1167" s="66"/>
      <c r="G1167" s="66"/>
      <c r="H1167" s="66"/>
      <c r="I1167" s="66"/>
      <c r="J1167" s="66"/>
      <c r="K1167" s="66"/>
      <c r="L1167" s="66"/>
      <c r="M1167" s="66"/>
      <c r="N1167" s="66"/>
    </row>
    <row r="1168" spans="1:14" x14ac:dyDescent="0.2">
      <c r="A1168" s="84"/>
      <c r="B1168" s="84"/>
      <c r="C1168" s="60"/>
      <c r="D1168" s="66"/>
      <c r="E1168" s="66"/>
      <c r="F1168" s="66"/>
      <c r="G1168" s="66"/>
      <c r="H1168" s="66"/>
      <c r="I1168" s="66"/>
      <c r="J1168" s="66"/>
      <c r="K1168" s="66"/>
      <c r="L1168" s="66"/>
      <c r="M1168" s="66"/>
      <c r="N1168" s="66"/>
    </row>
    <row r="1169" spans="1:14" x14ac:dyDescent="0.2">
      <c r="A1169" s="84"/>
      <c r="B1169" s="84"/>
      <c r="C1169" s="60"/>
      <c r="D1169" s="66"/>
      <c r="E1169" s="66"/>
      <c r="F1169" s="66"/>
      <c r="G1169" s="66"/>
      <c r="H1169" s="66"/>
      <c r="I1169" s="66"/>
      <c r="J1169" s="66"/>
      <c r="K1169" s="66"/>
      <c r="L1169" s="66"/>
      <c r="M1169" s="66"/>
      <c r="N1169" s="66"/>
    </row>
    <row r="1170" spans="1:14" x14ac:dyDescent="0.2">
      <c r="A1170" s="84"/>
      <c r="B1170" s="84"/>
      <c r="C1170" s="60"/>
      <c r="D1170" s="66"/>
      <c r="E1170" s="66"/>
      <c r="F1170" s="66"/>
      <c r="G1170" s="66"/>
      <c r="H1170" s="66"/>
      <c r="I1170" s="66"/>
      <c r="J1170" s="66"/>
      <c r="K1170" s="66"/>
      <c r="L1170" s="66"/>
      <c r="M1170" s="66"/>
      <c r="N1170" s="66"/>
    </row>
    <row r="1171" spans="1:14" x14ac:dyDescent="0.2">
      <c r="A1171" s="84"/>
      <c r="B1171" s="84"/>
      <c r="C1171" s="60"/>
      <c r="D1171" s="66"/>
      <c r="E1171" s="66"/>
      <c r="F1171" s="66"/>
      <c r="G1171" s="66"/>
      <c r="H1171" s="66"/>
      <c r="I1171" s="66"/>
      <c r="J1171" s="66"/>
      <c r="K1171" s="66"/>
      <c r="L1171" s="66"/>
      <c r="M1171" s="66"/>
      <c r="N1171" s="66"/>
    </row>
    <row r="1172" spans="1:14" x14ac:dyDescent="0.2">
      <c r="A1172" s="84"/>
      <c r="B1172" s="84"/>
      <c r="C1172" s="60"/>
      <c r="D1172" s="66"/>
      <c r="E1172" s="66"/>
      <c r="F1172" s="66"/>
      <c r="G1172" s="66"/>
      <c r="H1172" s="66"/>
      <c r="I1172" s="66"/>
      <c r="J1172" s="66"/>
      <c r="K1172" s="66"/>
      <c r="L1172" s="66"/>
      <c r="M1172" s="66"/>
      <c r="N1172" s="66"/>
    </row>
    <row r="1173" spans="1:14" x14ac:dyDescent="0.2">
      <c r="A1173" s="84"/>
      <c r="B1173" s="84"/>
      <c r="C1173" s="60"/>
      <c r="D1173" s="66"/>
      <c r="E1173" s="66"/>
      <c r="F1173" s="66"/>
      <c r="G1173" s="66"/>
      <c r="H1173" s="66"/>
      <c r="I1173" s="66"/>
      <c r="J1173" s="66"/>
      <c r="K1173" s="66"/>
      <c r="L1173" s="66"/>
      <c r="M1173" s="66"/>
      <c r="N1173" s="66"/>
    </row>
    <row r="1174" spans="1:14" x14ac:dyDescent="0.2">
      <c r="A1174" s="84"/>
      <c r="B1174" s="84"/>
      <c r="C1174" s="60"/>
      <c r="D1174" s="66"/>
      <c r="E1174" s="66"/>
      <c r="F1174" s="66"/>
      <c r="G1174" s="66"/>
      <c r="H1174" s="66"/>
      <c r="I1174" s="66"/>
      <c r="J1174" s="66"/>
      <c r="K1174" s="66"/>
      <c r="L1174" s="66"/>
      <c r="M1174" s="66"/>
      <c r="N1174" s="66"/>
    </row>
    <row r="1175" spans="1:14" x14ac:dyDescent="0.2">
      <c r="A1175" s="84"/>
      <c r="B1175" s="84"/>
      <c r="C1175" s="60"/>
      <c r="D1175" s="66"/>
      <c r="E1175" s="66"/>
      <c r="F1175" s="66"/>
      <c r="G1175" s="66"/>
      <c r="H1175" s="66"/>
      <c r="I1175" s="66"/>
      <c r="J1175" s="66"/>
      <c r="K1175" s="66"/>
      <c r="L1175" s="66"/>
      <c r="M1175" s="66"/>
      <c r="N1175" s="66"/>
    </row>
    <row r="1176" spans="1:14" x14ac:dyDescent="0.2">
      <c r="A1176" s="84"/>
      <c r="B1176" s="84"/>
      <c r="C1176" s="60"/>
      <c r="D1176" s="66"/>
      <c r="E1176" s="66"/>
      <c r="F1176" s="66"/>
      <c r="G1176" s="66"/>
      <c r="H1176" s="66"/>
      <c r="I1176" s="66"/>
      <c r="J1176" s="66"/>
      <c r="K1176" s="66"/>
      <c r="L1176" s="66"/>
      <c r="M1176" s="66"/>
      <c r="N1176" s="66"/>
    </row>
    <row r="1177" spans="1:14" x14ac:dyDescent="0.2">
      <c r="A1177" s="84"/>
      <c r="B1177" s="84"/>
      <c r="C1177" s="60"/>
      <c r="D1177" s="66"/>
      <c r="E1177" s="66"/>
      <c r="F1177" s="66"/>
      <c r="G1177" s="66"/>
      <c r="H1177" s="66"/>
      <c r="I1177" s="66"/>
      <c r="J1177" s="66"/>
      <c r="K1177" s="66"/>
      <c r="L1177" s="66"/>
      <c r="M1177" s="66"/>
      <c r="N1177" s="66"/>
    </row>
    <row r="1178" spans="1:14" x14ac:dyDescent="0.2">
      <c r="A1178" s="84"/>
      <c r="B1178" s="84"/>
      <c r="C1178" s="60"/>
      <c r="D1178" s="66"/>
      <c r="E1178" s="66"/>
      <c r="F1178" s="66"/>
      <c r="G1178" s="66"/>
      <c r="H1178" s="66"/>
      <c r="I1178" s="66"/>
      <c r="J1178" s="66"/>
      <c r="K1178" s="66"/>
      <c r="L1178" s="66"/>
      <c r="M1178" s="66"/>
      <c r="N1178" s="66"/>
    </row>
    <row r="1179" spans="1:14" x14ac:dyDescent="0.2">
      <c r="A1179" s="84"/>
      <c r="B1179" s="84"/>
      <c r="C1179" s="60"/>
      <c r="D1179" s="66"/>
      <c r="E1179" s="66"/>
      <c r="F1179" s="66"/>
      <c r="G1179" s="66"/>
      <c r="H1179" s="66"/>
      <c r="I1179" s="66"/>
      <c r="J1179" s="66"/>
      <c r="K1179" s="66"/>
      <c r="L1179" s="66"/>
      <c r="M1179" s="66"/>
      <c r="N1179" s="66"/>
    </row>
    <row r="1180" spans="1:14" x14ac:dyDescent="0.2">
      <c r="A1180" s="84"/>
      <c r="B1180" s="84"/>
      <c r="C1180" s="60"/>
      <c r="D1180" s="66"/>
      <c r="E1180" s="66"/>
      <c r="F1180" s="66"/>
      <c r="G1180" s="66"/>
      <c r="H1180" s="66"/>
      <c r="I1180" s="66"/>
      <c r="J1180" s="66"/>
      <c r="K1180" s="66"/>
      <c r="L1180" s="66"/>
      <c r="M1180" s="66"/>
      <c r="N1180" s="66"/>
    </row>
    <row r="1181" spans="1:14" x14ac:dyDescent="0.2">
      <c r="A1181" s="84"/>
      <c r="B1181" s="84"/>
      <c r="C1181" s="60"/>
      <c r="D1181" s="66"/>
      <c r="E1181" s="66"/>
      <c r="F1181" s="66"/>
      <c r="G1181" s="66"/>
      <c r="H1181" s="66"/>
      <c r="I1181" s="66"/>
      <c r="J1181" s="66"/>
      <c r="K1181" s="66"/>
      <c r="L1181" s="66"/>
      <c r="M1181" s="66"/>
      <c r="N1181" s="66"/>
    </row>
    <row r="1182" spans="1:14" x14ac:dyDescent="0.2">
      <c r="A1182" s="84"/>
      <c r="B1182" s="84"/>
      <c r="C1182" s="60"/>
      <c r="D1182" s="66"/>
      <c r="E1182" s="66"/>
      <c r="F1182" s="66"/>
      <c r="G1182" s="66"/>
      <c r="H1182" s="66"/>
      <c r="I1182" s="66"/>
      <c r="J1182" s="66"/>
      <c r="K1182" s="66"/>
      <c r="L1182" s="66"/>
      <c r="M1182" s="66"/>
      <c r="N1182" s="66"/>
    </row>
    <row r="1183" spans="1:14" x14ac:dyDescent="0.2">
      <c r="A1183" s="84"/>
      <c r="B1183" s="84"/>
      <c r="C1183" s="60"/>
      <c r="D1183" s="66"/>
      <c r="E1183" s="66"/>
      <c r="F1183" s="66"/>
      <c r="G1183" s="66"/>
      <c r="H1183" s="66"/>
      <c r="I1183" s="66"/>
      <c r="J1183" s="66"/>
      <c r="K1183" s="66"/>
      <c r="L1183" s="66"/>
      <c r="M1183" s="66"/>
      <c r="N1183" s="66"/>
    </row>
    <row r="1184" spans="1:14" x14ac:dyDescent="0.2">
      <c r="A1184" s="84"/>
      <c r="B1184" s="84"/>
      <c r="C1184" s="60"/>
      <c r="D1184" s="66"/>
      <c r="E1184" s="66"/>
      <c r="F1184" s="66"/>
      <c r="G1184" s="66"/>
      <c r="H1184" s="66"/>
      <c r="I1184" s="66"/>
      <c r="J1184" s="66"/>
      <c r="K1184" s="66"/>
      <c r="L1184" s="66"/>
      <c r="M1184" s="66"/>
      <c r="N1184" s="66"/>
    </row>
    <row r="1185" spans="1:14" x14ac:dyDescent="0.2">
      <c r="A1185" s="84"/>
      <c r="B1185" s="84"/>
      <c r="C1185" s="60"/>
      <c r="D1185" s="66"/>
      <c r="E1185" s="66"/>
      <c r="F1185" s="66"/>
      <c r="G1185" s="66"/>
      <c r="H1185" s="66"/>
      <c r="I1185" s="66"/>
      <c r="J1185" s="66"/>
      <c r="K1185" s="66"/>
      <c r="L1185" s="66"/>
      <c r="M1185" s="66"/>
      <c r="N1185" s="66"/>
    </row>
    <row r="1186" spans="1:14" x14ac:dyDescent="0.2">
      <c r="A1186" s="84"/>
      <c r="B1186" s="84"/>
      <c r="C1186" s="60"/>
      <c r="D1186" s="66"/>
      <c r="E1186" s="66"/>
      <c r="F1186" s="66"/>
      <c r="G1186" s="66"/>
      <c r="H1186" s="66"/>
      <c r="I1186" s="66"/>
      <c r="J1186" s="66"/>
      <c r="K1186" s="66"/>
      <c r="L1186" s="66"/>
      <c r="M1186" s="66"/>
      <c r="N1186" s="66"/>
    </row>
    <row r="1187" spans="1:14" x14ac:dyDescent="0.2">
      <c r="A1187" s="84"/>
      <c r="B1187" s="84"/>
      <c r="C1187" s="60"/>
      <c r="D1187" s="66"/>
      <c r="E1187" s="66"/>
      <c r="F1187" s="66"/>
      <c r="G1187" s="66"/>
      <c r="H1187" s="66"/>
      <c r="I1187" s="66"/>
      <c r="J1187" s="66"/>
      <c r="K1187" s="66"/>
      <c r="L1187" s="66"/>
      <c r="M1187" s="66"/>
      <c r="N1187" s="66"/>
    </row>
    <row r="1188" spans="1:14" x14ac:dyDescent="0.2">
      <c r="A1188" s="84"/>
      <c r="B1188" s="84"/>
      <c r="C1188" s="60"/>
      <c r="D1188" s="66"/>
      <c r="E1188" s="66"/>
      <c r="F1188" s="66"/>
      <c r="G1188" s="66"/>
      <c r="H1188" s="66"/>
      <c r="I1188" s="66"/>
      <c r="J1188" s="66"/>
      <c r="K1188" s="66"/>
      <c r="L1188" s="66"/>
      <c r="M1188" s="66"/>
      <c r="N1188" s="66"/>
    </row>
    <row r="1189" spans="1:14" x14ac:dyDescent="0.2">
      <c r="A1189" s="84"/>
      <c r="B1189" s="84"/>
      <c r="C1189" s="60"/>
      <c r="D1189" s="66"/>
      <c r="E1189" s="66"/>
      <c r="F1189" s="66"/>
      <c r="G1189" s="66"/>
      <c r="H1189" s="66"/>
      <c r="I1189" s="66"/>
      <c r="J1189" s="66"/>
      <c r="K1189" s="66"/>
      <c r="L1189" s="66"/>
      <c r="M1189" s="66"/>
      <c r="N1189" s="66"/>
    </row>
    <row r="1190" spans="1:14" x14ac:dyDescent="0.2">
      <c r="A1190" s="84"/>
      <c r="B1190" s="84"/>
      <c r="C1190" s="60"/>
      <c r="D1190" s="66"/>
      <c r="E1190" s="66"/>
      <c r="F1190" s="66"/>
      <c r="G1190" s="66"/>
      <c r="H1190" s="66"/>
      <c r="I1190" s="66"/>
      <c r="J1190" s="66"/>
      <c r="K1190" s="66"/>
      <c r="L1190" s="66"/>
      <c r="M1190" s="66"/>
      <c r="N1190" s="66"/>
    </row>
    <row r="1191" spans="1:14" x14ac:dyDescent="0.2">
      <c r="A1191" s="84"/>
      <c r="B1191" s="84"/>
      <c r="C1191" s="60"/>
      <c r="D1191" s="66"/>
      <c r="E1191" s="66"/>
      <c r="F1191" s="66"/>
      <c r="G1191" s="66"/>
      <c r="H1191" s="66"/>
      <c r="I1191" s="66"/>
      <c r="J1191" s="66"/>
      <c r="K1191" s="66"/>
      <c r="L1191" s="66"/>
      <c r="M1191" s="66"/>
      <c r="N1191" s="66"/>
    </row>
    <row r="1192" spans="1:14" x14ac:dyDescent="0.2">
      <c r="A1192" s="84"/>
      <c r="B1192" s="84"/>
      <c r="C1192" s="60"/>
      <c r="D1192" s="66"/>
      <c r="E1192" s="66"/>
      <c r="F1192" s="66"/>
      <c r="G1192" s="66"/>
      <c r="H1192" s="66"/>
      <c r="I1192" s="66"/>
      <c r="J1192" s="66"/>
      <c r="K1192" s="66"/>
      <c r="L1192" s="66"/>
      <c r="M1192" s="66"/>
      <c r="N1192" s="66"/>
    </row>
    <row r="1193" spans="1:14" x14ac:dyDescent="0.2">
      <c r="A1193" s="84"/>
      <c r="B1193" s="84"/>
      <c r="C1193" s="60"/>
      <c r="D1193" s="66"/>
      <c r="E1193" s="66"/>
      <c r="F1193" s="66"/>
      <c r="G1193" s="66"/>
      <c r="H1193" s="66"/>
      <c r="I1193" s="66"/>
      <c r="J1193" s="66"/>
      <c r="K1193" s="66"/>
      <c r="L1193" s="66"/>
      <c r="M1193" s="66"/>
      <c r="N1193" s="66"/>
    </row>
    <row r="1194" spans="1:14" x14ac:dyDescent="0.2">
      <c r="A1194" s="84"/>
      <c r="B1194" s="84"/>
      <c r="C1194" s="60"/>
      <c r="D1194" s="66"/>
      <c r="E1194" s="66"/>
      <c r="F1194" s="66"/>
      <c r="G1194" s="66"/>
      <c r="H1194" s="66"/>
      <c r="I1194" s="66"/>
      <c r="J1194" s="66"/>
      <c r="K1194" s="66"/>
      <c r="L1194" s="66"/>
      <c r="M1194" s="66"/>
      <c r="N1194" s="66"/>
    </row>
    <row r="1195" spans="1:14" x14ac:dyDescent="0.2">
      <c r="A1195" s="84"/>
      <c r="B1195" s="84"/>
      <c r="C1195" s="60"/>
      <c r="D1195" s="66"/>
      <c r="E1195" s="66"/>
      <c r="F1195" s="66"/>
      <c r="G1195" s="66"/>
      <c r="H1195" s="66"/>
      <c r="I1195" s="66"/>
      <c r="J1195" s="66"/>
      <c r="K1195" s="66"/>
      <c r="L1195" s="66"/>
      <c r="M1195" s="66"/>
      <c r="N1195" s="66"/>
    </row>
    <row r="1196" spans="1:14" x14ac:dyDescent="0.2">
      <c r="A1196" s="84"/>
      <c r="B1196" s="84"/>
      <c r="C1196" s="60"/>
      <c r="D1196" s="66"/>
      <c r="E1196" s="66"/>
      <c r="F1196" s="66"/>
      <c r="G1196" s="66"/>
      <c r="H1196" s="66"/>
      <c r="I1196" s="66"/>
      <c r="J1196" s="66"/>
      <c r="K1196" s="66"/>
      <c r="L1196" s="66"/>
      <c r="M1196" s="66"/>
      <c r="N1196" s="66"/>
    </row>
    <row r="1197" spans="1:14" x14ac:dyDescent="0.2">
      <c r="A1197" s="84"/>
      <c r="B1197" s="84"/>
      <c r="C1197" s="60"/>
      <c r="D1197" s="66"/>
      <c r="E1197" s="66"/>
      <c r="F1197" s="66"/>
      <c r="G1197" s="66"/>
      <c r="H1197" s="66"/>
      <c r="I1197" s="66"/>
      <c r="J1197" s="66"/>
      <c r="K1197" s="66"/>
      <c r="L1197" s="66"/>
      <c r="M1197" s="66"/>
      <c r="N1197" s="66"/>
    </row>
    <row r="1198" spans="1:14" x14ac:dyDescent="0.2">
      <c r="A1198" s="84"/>
      <c r="B1198" s="84"/>
      <c r="C1198" s="60"/>
      <c r="D1198" s="66"/>
      <c r="E1198" s="66"/>
      <c r="F1198" s="66"/>
      <c r="G1198" s="66"/>
      <c r="H1198" s="66"/>
      <c r="I1198" s="66"/>
      <c r="J1198" s="66"/>
      <c r="K1198" s="66"/>
      <c r="L1198" s="66"/>
      <c r="M1198" s="66"/>
      <c r="N1198" s="66"/>
    </row>
    <row r="1199" spans="1:14" x14ac:dyDescent="0.2">
      <c r="A1199" s="84"/>
      <c r="B1199" s="84"/>
      <c r="C1199" s="60"/>
      <c r="D1199" s="66"/>
      <c r="E1199" s="66"/>
      <c r="F1199" s="66"/>
      <c r="G1199" s="66"/>
      <c r="H1199" s="66"/>
      <c r="I1199" s="66"/>
      <c r="J1199" s="66"/>
      <c r="K1199" s="66"/>
      <c r="L1199" s="66"/>
      <c r="M1199" s="66"/>
      <c r="N1199" s="66"/>
    </row>
    <row r="1200" spans="1:14" x14ac:dyDescent="0.2">
      <c r="A1200" s="84"/>
      <c r="B1200" s="84"/>
      <c r="C1200" s="60"/>
      <c r="D1200" s="66"/>
      <c r="E1200" s="66"/>
      <c r="F1200" s="66"/>
      <c r="G1200" s="66"/>
      <c r="H1200" s="66"/>
      <c r="I1200" s="66"/>
      <c r="J1200" s="66"/>
      <c r="K1200" s="66"/>
      <c r="L1200" s="66"/>
      <c r="M1200" s="66"/>
      <c r="N1200" s="66"/>
    </row>
    <row r="1201" spans="1:14" x14ac:dyDescent="0.2">
      <c r="A1201" s="84"/>
      <c r="B1201" s="84"/>
      <c r="C1201" s="60"/>
      <c r="D1201" s="66"/>
      <c r="E1201" s="66"/>
      <c r="F1201" s="66"/>
      <c r="G1201" s="66"/>
      <c r="H1201" s="66"/>
      <c r="I1201" s="66"/>
      <c r="J1201" s="66"/>
      <c r="K1201" s="66"/>
      <c r="L1201" s="66"/>
      <c r="M1201" s="66"/>
      <c r="N1201" s="66"/>
    </row>
    <row r="1202" spans="1:14" x14ac:dyDescent="0.2">
      <c r="A1202" s="84"/>
      <c r="B1202" s="84"/>
      <c r="C1202" s="60"/>
      <c r="D1202" s="66"/>
      <c r="E1202" s="66"/>
      <c r="F1202" s="66"/>
      <c r="G1202" s="66"/>
      <c r="H1202" s="66"/>
      <c r="I1202" s="66"/>
      <c r="J1202" s="66"/>
      <c r="K1202" s="66"/>
      <c r="L1202" s="66"/>
      <c r="M1202" s="66"/>
      <c r="N1202" s="66"/>
    </row>
    <row r="1203" spans="1:14" x14ac:dyDescent="0.2">
      <c r="A1203" s="84"/>
      <c r="B1203" s="84"/>
      <c r="C1203" s="60"/>
      <c r="D1203" s="66"/>
      <c r="E1203" s="66"/>
      <c r="F1203" s="66"/>
      <c r="G1203" s="66"/>
      <c r="H1203" s="66"/>
      <c r="I1203" s="66"/>
      <c r="J1203" s="66"/>
      <c r="K1203" s="66"/>
      <c r="L1203" s="66"/>
      <c r="M1203" s="66"/>
      <c r="N1203" s="66"/>
    </row>
    <row r="1204" spans="1:14" x14ac:dyDescent="0.2">
      <c r="A1204" s="84"/>
      <c r="B1204" s="84"/>
      <c r="C1204" s="60"/>
      <c r="D1204" s="66"/>
      <c r="E1204" s="66"/>
      <c r="F1204" s="66"/>
      <c r="G1204" s="66"/>
      <c r="H1204" s="66"/>
      <c r="I1204" s="66"/>
      <c r="J1204" s="66"/>
      <c r="K1204" s="66"/>
      <c r="L1204" s="66"/>
      <c r="M1204" s="66"/>
      <c r="N1204" s="66"/>
    </row>
    <row r="1205" spans="1:14" x14ac:dyDescent="0.2">
      <c r="A1205" s="84"/>
      <c r="B1205" s="84"/>
      <c r="C1205" s="60"/>
      <c r="D1205" s="66"/>
      <c r="E1205" s="66"/>
      <c r="F1205" s="66"/>
      <c r="G1205" s="66"/>
      <c r="H1205" s="66"/>
      <c r="I1205" s="66"/>
      <c r="J1205" s="66"/>
      <c r="K1205" s="66"/>
      <c r="L1205" s="66"/>
      <c r="M1205" s="66"/>
      <c r="N1205" s="66"/>
    </row>
    <row r="1206" spans="1:14" x14ac:dyDescent="0.2">
      <c r="A1206" s="84"/>
      <c r="B1206" s="84"/>
      <c r="C1206" s="60"/>
      <c r="D1206" s="66"/>
      <c r="E1206" s="66"/>
      <c r="F1206" s="66"/>
      <c r="G1206" s="66"/>
      <c r="H1206" s="66"/>
      <c r="I1206" s="66"/>
      <c r="J1206" s="66"/>
      <c r="K1206" s="66"/>
      <c r="L1206" s="66"/>
      <c r="M1206" s="66"/>
      <c r="N1206" s="66"/>
    </row>
    <row r="1207" spans="1:14" x14ac:dyDescent="0.2">
      <c r="A1207" s="84"/>
      <c r="B1207" s="84"/>
      <c r="C1207" s="60"/>
      <c r="D1207" s="66"/>
      <c r="E1207" s="66"/>
      <c r="F1207" s="66"/>
      <c r="G1207" s="66"/>
      <c r="H1207" s="66"/>
      <c r="I1207" s="66"/>
      <c r="J1207" s="66"/>
      <c r="K1207" s="66"/>
      <c r="L1207" s="66"/>
      <c r="M1207" s="66"/>
      <c r="N1207" s="66"/>
    </row>
    <row r="1208" spans="1:14" x14ac:dyDescent="0.2">
      <c r="A1208" s="84"/>
      <c r="B1208" s="84"/>
      <c r="C1208" s="60"/>
      <c r="D1208" s="66"/>
      <c r="E1208" s="66"/>
      <c r="F1208" s="66"/>
      <c r="G1208" s="66"/>
      <c r="H1208" s="66"/>
      <c r="I1208" s="66"/>
      <c r="J1208" s="66"/>
      <c r="K1208" s="66"/>
      <c r="L1208" s="66"/>
      <c r="M1208" s="66"/>
      <c r="N1208" s="66"/>
    </row>
    <row r="1209" spans="1:14" x14ac:dyDescent="0.2">
      <c r="A1209" s="84"/>
      <c r="B1209" s="84"/>
      <c r="C1209" s="60"/>
      <c r="D1209" s="66"/>
      <c r="E1209" s="66"/>
      <c r="F1209" s="66"/>
      <c r="G1209" s="66"/>
      <c r="H1209" s="66"/>
      <c r="I1209" s="66"/>
      <c r="J1209" s="66"/>
      <c r="K1209" s="66"/>
      <c r="L1209" s="66"/>
      <c r="M1209" s="66"/>
      <c r="N1209" s="66"/>
    </row>
    <row r="1210" spans="1:14" x14ac:dyDescent="0.2">
      <c r="A1210" s="84"/>
      <c r="B1210" s="84"/>
      <c r="C1210" s="60"/>
      <c r="D1210" s="66"/>
      <c r="E1210" s="66"/>
      <c r="F1210" s="66"/>
      <c r="G1210" s="66"/>
      <c r="H1210" s="66"/>
      <c r="I1210" s="66"/>
      <c r="J1210" s="66"/>
      <c r="K1210" s="66"/>
      <c r="L1210" s="66"/>
      <c r="M1210" s="66"/>
      <c r="N1210" s="66"/>
    </row>
    <row r="1211" spans="1:14" x14ac:dyDescent="0.2">
      <c r="A1211" s="84"/>
      <c r="B1211" s="84"/>
      <c r="C1211" s="60"/>
      <c r="D1211" s="66"/>
      <c r="E1211" s="66"/>
      <c r="F1211" s="66"/>
      <c r="G1211" s="66"/>
      <c r="H1211" s="66"/>
      <c r="I1211" s="66"/>
      <c r="J1211" s="66"/>
      <c r="K1211" s="66"/>
      <c r="L1211" s="66"/>
      <c r="M1211" s="66"/>
      <c r="N1211" s="66"/>
    </row>
    <row r="1212" spans="1:14" x14ac:dyDescent="0.2">
      <c r="A1212" s="84"/>
      <c r="B1212" s="84"/>
      <c r="C1212" s="60"/>
      <c r="D1212" s="66"/>
      <c r="E1212" s="66"/>
      <c r="F1212" s="66"/>
      <c r="G1212" s="66"/>
      <c r="H1212" s="66"/>
      <c r="I1212" s="66"/>
      <c r="J1212" s="66"/>
      <c r="K1212" s="66"/>
      <c r="L1212" s="66"/>
      <c r="M1212" s="66"/>
      <c r="N1212" s="66"/>
    </row>
    <row r="1213" spans="1:14" x14ac:dyDescent="0.2">
      <c r="A1213" s="84"/>
      <c r="B1213" s="84"/>
      <c r="C1213" s="60"/>
      <c r="D1213" s="66"/>
      <c r="E1213" s="66"/>
      <c r="F1213" s="66"/>
      <c r="G1213" s="66"/>
      <c r="H1213" s="66"/>
      <c r="I1213" s="66"/>
      <c r="J1213" s="66"/>
      <c r="K1213" s="66"/>
      <c r="L1213" s="66"/>
      <c r="M1213" s="66"/>
      <c r="N1213" s="66"/>
    </row>
    <row r="1214" spans="1:14" x14ac:dyDescent="0.2">
      <c r="A1214" s="84"/>
      <c r="B1214" s="84"/>
      <c r="C1214" s="60"/>
      <c r="D1214" s="66"/>
      <c r="E1214" s="66"/>
      <c r="F1214" s="66"/>
      <c r="G1214" s="66"/>
      <c r="H1214" s="66"/>
      <c r="I1214" s="66"/>
      <c r="J1214" s="66"/>
      <c r="K1214" s="66"/>
      <c r="L1214" s="66"/>
      <c r="M1214" s="66"/>
      <c r="N1214" s="66"/>
    </row>
    <row r="1215" spans="1:14" x14ac:dyDescent="0.2">
      <c r="A1215" s="84"/>
      <c r="B1215" s="84"/>
      <c r="C1215" s="60"/>
      <c r="D1215" s="66"/>
      <c r="E1215" s="66"/>
      <c r="F1215" s="66"/>
      <c r="G1215" s="66"/>
      <c r="H1215" s="66"/>
      <c r="I1215" s="66"/>
      <c r="J1215" s="66"/>
      <c r="K1215" s="66"/>
      <c r="L1215" s="66"/>
      <c r="M1215" s="66"/>
      <c r="N1215" s="66"/>
    </row>
    <row r="1216" spans="1:14" x14ac:dyDescent="0.2">
      <c r="A1216" s="84"/>
      <c r="B1216" s="84"/>
      <c r="C1216" s="60"/>
      <c r="D1216" s="66"/>
      <c r="E1216" s="66"/>
      <c r="F1216" s="66"/>
      <c r="G1216" s="66"/>
      <c r="H1216" s="66"/>
      <c r="I1216" s="66"/>
      <c r="J1216" s="66"/>
      <c r="K1216" s="66"/>
      <c r="L1216" s="66"/>
      <c r="M1216" s="66"/>
      <c r="N1216" s="66"/>
    </row>
    <row r="1217" spans="1:14" x14ac:dyDescent="0.2">
      <c r="A1217" s="84"/>
      <c r="B1217" s="84"/>
      <c r="C1217" s="60"/>
      <c r="D1217" s="66"/>
      <c r="E1217" s="66"/>
      <c r="F1217" s="66"/>
      <c r="G1217" s="66"/>
      <c r="H1217" s="66"/>
      <c r="I1217" s="66"/>
      <c r="J1217" s="66"/>
      <c r="K1217" s="66"/>
      <c r="L1217" s="66"/>
      <c r="M1217" s="66"/>
      <c r="N1217" s="66"/>
    </row>
    <row r="1218" spans="1:14" x14ac:dyDescent="0.2">
      <c r="A1218" s="84"/>
      <c r="B1218" s="84"/>
      <c r="C1218" s="60"/>
      <c r="D1218" s="66"/>
      <c r="E1218" s="66"/>
      <c r="F1218" s="66"/>
      <c r="G1218" s="66"/>
      <c r="H1218" s="66"/>
      <c r="I1218" s="66"/>
      <c r="J1218" s="66"/>
      <c r="K1218" s="66"/>
      <c r="L1218" s="66"/>
      <c r="M1218" s="66"/>
      <c r="N1218" s="66"/>
    </row>
    <row r="1219" spans="1:14" x14ac:dyDescent="0.2">
      <c r="A1219" s="84"/>
      <c r="B1219" s="84"/>
      <c r="C1219" s="60"/>
      <c r="D1219" s="66"/>
      <c r="E1219" s="66"/>
      <c r="F1219" s="66"/>
      <c r="G1219" s="66"/>
      <c r="H1219" s="66"/>
      <c r="I1219" s="66"/>
      <c r="J1219" s="66"/>
      <c r="K1219" s="66"/>
      <c r="L1219" s="66"/>
      <c r="M1219" s="66"/>
      <c r="N1219" s="66"/>
    </row>
    <row r="1220" spans="1:14" x14ac:dyDescent="0.2">
      <c r="A1220" s="84"/>
      <c r="B1220" s="84"/>
      <c r="C1220" s="60"/>
      <c r="D1220" s="66"/>
      <c r="E1220" s="66"/>
      <c r="F1220" s="66"/>
      <c r="G1220" s="66"/>
      <c r="H1220" s="66"/>
      <c r="I1220" s="66"/>
      <c r="J1220" s="66"/>
      <c r="K1220" s="66"/>
      <c r="L1220" s="66"/>
      <c r="M1220" s="66"/>
      <c r="N1220" s="66"/>
    </row>
    <row r="1221" spans="1:14" x14ac:dyDescent="0.2">
      <c r="A1221" s="84"/>
      <c r="B1221" s="84"/>
      <c r="C1221" s="60"/>
      <c r="D1221" s="66"/>
      <c r="E1221" s="66"/>
      <c r="F1221" s="66"/>
      <c r="G1221" s="66"/>
      <c r="H1221" s="66"/>
      <c r="I1221" s="66"/>
      <c r="J1221" s="66"/>
      <c r="K1221" s="66"/>
      <c r="L1221" s="66"/>
      <c r="M1221" s="66"/>
      <c r="N1221" s="66"/>
    </row>
    <row r="1222" spans="1:14" x14ac:dyDescent="0.2">
      <c r="A1222" s="84"/>
      <c r="B1222" s="84"/>
      <c r="C1222" s="60"/>
      <c r="D1222" s="66"/>
      <c r="E1222" s="66"/>
      <c r="F1222" s="66"/>
      <c r="G1222" s="66"/>
      <c r="H1222" s="66"/>
      <c r="I1222" s="66"/>
      <c r="J1222" s="66"/>
      <c r="K1222" s="66"/>
      <c r="L1222" s="66"/>
      <c r="M1222" s="66"/>
      <c r="N1222" s="66"/>
    </row>
    <row r="1223" spans="1:14" x14ac:dyDescent="0.2">
      <c r="A1223" s="84"/>
      <c r="B1223" s="84"/>
      <c r="C1223" s="60"/>
      <c r="D1223" s="66"/>
      <c r="E1223" s="66"/>
      <c r="F1223" s="66"/>
      <c r="G1223" s="66"/>
      <c r="H1223" s="66"/>
      <c r="I1223" s="66"/>
      <c r="J1223" s="66"/>
      <c r="K1223" s="66"/>
      <c r="L1223" s="66"/>
      <c r="M1223" s="66"/>
      <c r="N1223" s="66"/>
    </row>
    <row r="1224" spans="1:14" x14ac:dyDescent="0.2">
      <c r="A1224" s="84"/>
      <c r="B1224" s="84"/>
      <c r="C1224" s="60"/>
      <c r="D1224" s="66"/>
      <c r="E1224" s="66"/>
      <c r="F1224" s="66"/>
      <c r="G1224" s="66"/>
      <c r="H1224" s="66"/>
      <c r="I1224" s="66"/>
      <c r="J1224" s="66"/>
      <c r="K1224" s="66"/>
      <c r="L1224" s="66"/>
      <c r="M1224" s="66"/>
      <c r="N1224" s="66"/>
    </row>
    <row r="1225" spans="1:14" x14ac:dyDescent="0.2">
      <c r="A1225" s="84"/>
      <c r="B1225" s="84"/>
      <c r="C1225" s="60"/>
      <c r="D1225" s="66"/>
      <c r="E1225" s="66"/>
      <c r="F1225" s="66"/>
      <c r="G1225" s="66"/>
      <c r="H1225" s="66"/>
      <c r="I1225" s="66"/>
      <c r="J1225" s="66"/>
      <c r="K1225" s="66"/>
      <c r="L1225" s="66"/>
      <c r="M1225" s="66"/>
      <c r="N1225" s="66"/>
    </row>
    <row r="1226" spans="1:14" x14ac:dyDescent="0.2">
      <c r="A1226" s="84"/>
      <c r="B1226" s="84"/>
      <c r="C1226" s="60"/>
      <c r="D1226" s="66"/>
      <c r="E1226" s="66"/>
      <c r="F1226" s="66"/>
      <c r="G1226" s="66"/>
      <c r="H1226" s="66"/>
      <c r="I1226" s="66"/>
      <c r="J1226" s="66"/>
      <c r="K1226" s="66"/>
      <c r="L1226" s="66"/>
      <c r="M1226" s="66"/>
      <c r="N1226" s="66"/>
    </row>
    <row r="1227" spans="1:14" x14ac:dyDescent="0.2">
      <c r="A1227" s="84"/>
      <c r="B1227" s="84"/>
      <c r="C1227" s="60"/>
      <c r="D1227" s="66"/>
      <c r="E1227" s="66"/>
      <c r="F1227" s="66"/>
      <c r="G1227" s="66"/>
      <c r="H1227" s="66"/>
      <c r="I1227" s="66"/>
      <c r="J1227" s="66"/>
      <c r="K1227" s="66"/>
      <c r="L1227" s="66"/>
      <c r="M1227" s="66"/>
      <c r="N1227" s="66"/>
    </row>
    <row r="1228" spans="1:14" x14ac:dyDescent="0.2">
      <c r="A1228" s="84"/>
      <c r="B1228" s="84"/>
      <c r="C1228" s="60"/>
      <c r="D1228" s="66"/>
      <c r="E1228" s="66"/>
      <c r="F1228" s="66"/>
      <c r="G1228" s="66"/>
      <c r="H1228" s="66"/>
      <c r="I1228" s="66"/>
      <c r="J1228" s="66"/>
      <c r="K1228" s="66"/>
      <c r="L1228" s="66"/>
      <c r="M1228" s="66"/>
      <c r="N1228" s="66"/>
    </row>
    <row r="1229" spans="1:14" x14ac:dyDescent="0.2">
      <c r="A1229" s="84"/>
      <c r="B1229" s="84"/>
      <c r="C1229" s="60"/>
      <c r="D1229" s="66"/>
      <c r="E1229" s="66"/>
      <c r="F1229" s="66"/>
      <c r="G1229" s="66"/>
      <c r="H1229" s="66"/>
      <c r="I1229" s="66"/>
      <c r="J1229" s="66"/>
      <c r="K1229" s="66"/>
      <c r="L1229" s="66"/>
      <c r="M1229" s="66"/>
      <c r="N1229" s="66"/>
    </row>
    <row r="1230" spans="1:14" x14ac:dyDescent="0.2">
      <c r="A1230" s="84"/>
      <c r="B1230" s="84"/>
      <c r="C1230" s="60"/>
      <c r="D1230" s="66"/>
      <c r="E1230" s="66"/>
      <c r="F1230" s="66"/>
      <c r="G1230" s="66"/>
      <c r="H1230" s="66"/>
      <c r="I1230" s="66"/>
      <c r="J1230" s="66"/>
      <c r="K1230" s="66"/>
      <c r="L1230" s="66"/>
      <c r="M1230" s="66"/>
      <c r="N1230" s="66"/>
    </row>
    <row r="1231" spans="1:14" x14ac:dyDescent="0.2">
      <c r="A1231" s="84"/>
      <c r="B1231" s="84"/>
      <c r="C1231" s="60"/>
      <c r="D1231" s="66"/>
      <c r="E1231" s="66"/>
      <c r="F1231" s="66"/>
      <c r="G1231" s="66"/>
      <c r="H1231" s="66"/>
      <c r="I1231" s="66"/>
      <c r="J1231" s="66"/>
      <c r="K1231" s="66"/>
      <c r="L1231" s="66"/>
      <c r="M1231" s="66"/>
      <c r="N1231" s="66"/>
    </row>
    <row r="1232" spans="1:14" x14ac:dyDescent="0.2">
      <c r="A1232" s="84"/>
      <c r="B1232" s="84"/>
      <c r="C1232" s="60"/>
      <c r="D1232" s="66"/>
      <c r="E1232" s="66"/>
      <c r="F1232" s="66"/>
      <c r="G1232" s="66"/>
      <c r="H1232" s="66"/>
      <c r="I1232" s="66"/>
      <c r="J1232" s="66"/>
      <c r="K1232" s="66"/>
      <c r="L1232" s="66"/>
      <c r="M1232" s="66"/>
      <c r="N1232" s="66"/>
    </row>
    <row r="1233" spans="1:14" x14ac:dyDescent="0.2">
      <c r="A1233" s="84"/>
      <c r="B1233" s="84"/>
      <c r="C1233" s="60"/>
      <c r="D1233" s="66"/>
      <c r="E1233" s="66"/>
      <c r="F1233" s="66"/>
      <c r="G1233" s="66"/>
      <c r="H1233" s="66"/>
      <c r="I1233" s="66"/>
      <c r="J1233" s="66"/>
      <c r="K1233" s="66"/>
      <c r="L1233" s="66"/>
      <c r="M1233" s="66"/>
      <c r="N1233" s="66"/>
    </row>
  </sheetData>
  <pageMargins left="0.25" right="0.25" top="0.75" bottom="0.75" header="0.3" footer="0.3"/>
  <pageSetup scale="80" fitToHeight="0" orientation="landscape" r:id="rId1"/>
  <headerFooter>
    <oddFooter>&amp;LRev &amp;D&amp;C&amp;P</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1468"/>
  <sheetViews>
    <sheetView topLeftCell="A418" workbookViewId="0">
      <selection sqref="A1:N474"/>
    </sheetView>
  </sheetViews>
  <sheetFormatPr defaultColWidth="9" defaultRowHeight="12.75" x14ac:dyDescent="0.2"/>
  <cols>
    <col min="1" max="1" width="27.25" style="59" customWidth="1"/>
    <col min="2" max="2" width="9.5" style="60" customWidth="1"/>
    <col min="3" max="4" width="9" style="84" customWidth="1"/>
    <col min="5" max="16384" width="9" style="84"/>
  </cols>
  <sheetData>
    <row r="1" spans="1:15" s="58" customFormat="1" ht="13.5" thickBot="1" x14ac:dyDescent="0.25">
      <c r="A1" s="67" t="str">
        <f>CMS!A1</f>
        <v>Northwest Youth Services Budget - 2018 - APPROVED BY BOARD NOV 30, 2017</v>
      </c>
      <c r="B1" s="79"/>
      <c r="C1" s="67"/>
      <c r="D1" s="67"/>
      <c r="E1" s="67"/>
      <c r="F1" s="67"/>
      <c r="G1" s="67"/>
      <c r="H1" s="67"/>
      <c r="I1" s="67"/>
      <c r="J1" s="67"/>
      <c r="K1" s="67"/>
      <c r="L1" s="67"/>
      <c r="M1" s="67"/>
      <c r="N1" s="67"/>
    </row>
    <row r="2" spans="1:15" s="58" customFormat="1" x14ac:dyDescent="0.2">
      <c r="A2" s="80"/>
      <c r="B2" s="81"/>
    </row>
    <row r="3" spans="1:15" s="58" customFormat="1" x14ac:dyDescent="0.2">
      <c r="A3" s="81" t="s">
        <v>255</v>
      </c>
      <c r="B3" s="81"/>
    </row>
    <row r="5" spans="1:15" s="70" customFormat="1" ht="13.5" thickBot="1" x14ac:dyDescent="0.25">
      <c r="A5" s="82" t="s">
        <v>143</v>
      </c>
      <c r="B5" s="83" t="s">
        <v>144</v>
      </c>
      <c r="C5" s="83" t="str">
        <f>CMS!C5</f>
        <v>January</v>
      </c>
      <c r="D5" s="83" t="str">
        <f>CMS!D5</f>
        <v>February</v>
      </c>
      <c r="E5" s="83" t="str">
        <f>CMS!E5</f>
        <v>March</v>
      </c>
      <c r="F5" s="83" t="str">
        <f>CMS!F5</f>
        <v>April</v>
      </c>
      <c r="G5" s="83" t="str">
        <f>CMS!G5</f>
        <v>May</v>
      </c>
      <c r="H5" s="83" t="str">
        <f>CMS!H5</f>
        <v>June</v>
      </c>
      <c r="I5" s="83" t="str">
        <f>CMS!I5</f>
        <v>July</v>
      </c>
      <c r="J5" s="83" t="str">
        <f>CMS!J5</f>
        <v>August</v>
      </c>
      <c r="K5" s="83" t="str">
        <f>CMS!K5</f>
        <v>September</v>
      </c>
      <c r="L5" s="83" t="str">
        <f>CMS!L5</f>
        <v>October</v>
      </c>
      <c r="M5" s="83" t="str">
        <f>CMS!M5</f>
        <v>November</v>
      </c>
      <c r="N5" s="83" t="str">
        <f>CMS!N5</f>
        <v>December</v>
      </c>
    </row>
    <row r="6" spans="1:15" s="70" customFormat="1" x14ac:dyDescent="0.2">
      <c r="A6" s="28"/>
      <c r="B6" s="86"/>
      <c r="C6" s="86"/>
      <c r="D6" s="26"/>
      <c r="E6" s="26"/>
      <c r="F6" s="26"/>
      <c r="G6" s="26"/>
      <c r="H6" s="26"/>
      <c r="I6" s="26"/>
      <c r="J6" s="26"/>
      <c r="K6" s="26"/>
      <c r="L6" s="26"/>
      <c r="M6" s="26"/>
      <c r="N6" s="26"/>
    </row>
    <row r="7" spans="1:15" s="70" customFormat="1" x14ac:dyDescent="0.2">
      <c r="A7" s="58" t="s">
        <v>14</v>
      </c>
      <c r="B7" s="60"/>
      <c r="C7" s="60"/>
      <c r="D7" s="94"/>
      <c r="E7" s="94"/>
      <c r="F7" s="94"/>
      <c r="G7" s="94"/>
      <c r="H7" s="94"/>
      <c r="I7" s="94"/>
      <c r="J7" s="94"/>
      <c r="K7" s="94"/>
      <c r="L7" s="94"/>
      <c r="M7" s="94"/>
      <c r="N7" s="94"/>
    </row>
    <row r="8" spans="1:15" x14ac:dyDescent="0.2">
      <c r="A8" s="61" t="s">
        <v>336</v>
      </c>
      <c r="B8" s="63">
        <f>SUM(C8:N8)</f>
        <v>170000</v>
      </c>
      <c r="C8" s="62">
        <f>SUM(170000/12)</f>
        <v>14166.666666666666</v>
      </c>
      <c r="D8" s="62">
        <f t="shared" ref="D8:N8" si="0">SUM(170000/12)</f>
        <v>14166.666666666666</v>
      </c>
      <c r="E8" s="62">
        <f t="shared" si="0"/>
        <v>14166.666666666666</v>
      </c>
      <c r="F8" s="62">
        <f t="shared" si="0"/>
        <v>14166.666666666666</v>
      </c>
      <c r="G8" s="62">
        <f t="shared" si="0"/>
        <v>14166.666666666666</v>
      </c>
      <c r="H8" s="62">
        <f t="shared" si="0"/>
        <v>14166.666666666666</v>
      </c>
      <c r="I8" s="62">
        <f t="shared" si="0"/>
        <v>14166.666666666666</v>
      </c>
      <c r="J8" s="62">
        <f t="shared" si="0"/>
        <v>14166.666666666666</v>
      </c>
      <c r="K8" s="62">
        <f t="shared" si="0"/>
        <v>14166.666666666666</v>
      </c>
      <c r="L8" s="62">
        <f t="shared" si="0"/>
        <v>14166.666666666666</v>
      </c>
      <c r="M8" s="62">
        <f t="shared" si="0"/>
        <v>14166.666666666666</v>
      </c>
      <c r="N8" s="62">
        <f t="shared" si="0"/>
        <v>14166.666666666666</v>
      </c>
    </row>
    <row r="9" spans="1:15" x14ac:dyDescent="0.2">
      <c r="A9" s="61" t="s">
        <v>331</v>
      </c>
      <c r="B9" s="63">
        <f>SUM(C9:N9)</f>
        <v>48199.999999999993</v>
      </c>
      <c r="C9" s="62">
        <f>SUM(48200/12)</f>
        <v>4016.6666666666665</v>
      </c>
      <c r="D9" s="62">
        <f t="shared" ref="D9:N9" si="1">SUM(48200/12)</f>
        <v>4016.6666666666665</v>
      </c>
      <c r="E9" s="62">
        <f t="shared" si="1"/>
        <v>4016.6666666666665</v>
      </c>
      <c r="F9" s="62">
        <f t="shared" si="1"/>
        <v>4016.6666666666665</v>
      </c>
      <c r="G9" s="62">
        <f t="shared" si="1"/>
        <v>4016.6666666666665</v>
      </c>
      <c r="H9" s="62">
        <f t="shared" si="1"/>
        <v>4016.6666666666665</v>
      </c>
      <c r="I9" s="62">
        <f t="shared" si="1"/>
        <v>4016.6666666666665</v>
      </c>
      <c r="J9" s="62">
        <f t="shared" si="1"/>
        <v>4016.6666666666665</v>
      </c>
      <c r="K9" s="62">
        <f t="shared" si="1"/>
        <v>4016.6666666666665</v>
      </c>
      <c r="L9" s="62">
        <f t="shared" si="1"/>
        <v>4016.6666666666665</v>
      </c>
      <c r="M9" s="62">
        <f t="shared" si="1"/>
        <v>4016.6666666666665</v>
      </c>
      <c r="N9" s="62">
        <f t="shared" si="1"/>
        <v>4016.6666666666665</v>
      </c>
    </row>
    <row r="10" spans="1:15" x14ac:dyDescent="0.2">
      <c r="A10" s="61" t="s">
        <v>353</v>
      </c>
      <c r="B10" s="63">
        <f t="shared" ref="B10:B45" si="2">SUM(C10:N10)</f>
        <v>169360</v>
      </c>
      <c r="C10" s="62">
        <f>SUM(254040/18)</f>
        <v>14113.333333333334</v>
      </c>
      <c r="D10" s="62">
        <f t="shared" ref="D10:N10" si="3">SUM(254040/18)</f>
        <v>14113.333333333334</v>
      </c>
      <c r="E10" s="62">
        <f t="shared" si="3"/>
        <v>14113.333333333334</v>
      </c>
      <c r="F10" s="62">
        <f t="shared" si="3"/>
        <v>14113.333333333334</v>
      </c>
      <c r="G10" s="62">
        <f t="shared" si="3"/>
        <v>14113.333333333334</v>
      </c>
      <c r="H10" s="62">
        <f t="shared" si="3"/>
        <v>14113.333333333334</v>
      </c>
      <c r="I10" s="62">
        <f t="shared" si="3"/>
        <v>14113.333333333334</v>
      </c>
      <c r="J10" s="62">
        <f t="shared" si="3"/>
        <v>14113.333333333334</v>
      </c>
      <c r="K10" s="62">
        <f t="shared" si="3"/>
        <v>14113.333333333334</v>
      </c>
      <c r="L10" s="62">
        <f t="shared" si="3"/>
        <v>14113.333333333334</v>
      </c>
      <c r="M10" s="62">
        <f t="shared" si="3"/>
        <v>14113.333333333334</v>
      </c>
      <c r="N10" s="62">
        <f t="shared" si="3"/>
        <v>14113.333333333334</v>
      </c>
    </row>
    <row r="11" spans="1:15" x14ac:dyDescent="0.2">
      <c r="A11" s="61" t="s">
        <v>354</v>
      </c>
      <c r="B11" s="63">
        <f t="shared" si="2"/>
        <v>114999.99999999999</v>
      </c>
      <c r="C11" s="62">
        <f>SUM(115000/12)</f>
        <v>9583.3333333333339</v>
      </c>
      <c r="D11" s="62">
        <f t="shared" ref="D11:N11" si="4">SUM(115000/12)</f>
        <v>9583.3333333333339</v>
      </c>
      <c r="E11" s="62">
        <f t="shared" si="4"/>
        <v>9583.3333333333339</v>
      </c>
      <c r="F11" s="62">
        <f t="shared" si="4"/>
        <v>9583.3333333333339</v>
      </c>
      <c r="G11" s="62">
        <f t="shared" si="4"/>
        <v>9583.3333333333339</v>
      </c>
      <c r="H11" s="62">
        <f t="shared" si="4"/>
        <v>9583.3333333333339</v>
      </c>
      <c r="I11" s="62">
        <f t="shared" si="4"/>
        <v>9583.3333333333339</v>
      </c>
      <c r="J11" s="62">
        <f t="shared" si="4"/>
        <v>9583.3333333333339</v>
      </c>
      <c r="K11" s="62">
        <f t="shared" si="4"/>
        <v>9583.3333333333339</v>
      </c>
      <c r="L11" s="62">
        <f t="shared" si="4"/>
        <v>9583.3333333333339</v>
      </c>
      <c r="M11" s="62">
        <f t="shared" si="4"/>
        <v>9583.3333333333339</v>
      </c>
      <c r="N11" s="62">
        <f t="shared" si="4"/>
        <v>9583.3333333333339</v>
      </c>
    </row>
    <row r="12" spans="1:15" x14ac:dyDescent="0.2">
      <c r="A12" s="61" t="s">
        <v>355</v>
      </c>
      <c r="B12" s="63">
        <f t="shared" si="2"/>
        <v>0</v>
      </c>
      <c r="C12" s="63"/>
      <c r="D12" s="62"/>
      <c r="E12" s="62"/>
      <c r="F12" s="62"/>
      <c r="G12" s="93"/>
      <c r="H12" s="93"/>
      <c r="I12" s="93"/>
      <c r="J12" s="93"/>
      <c r="K12" s="93"/>
      <c r="L12" s="93"/>
      <c r="M12" s="93"/>
      <c r="N12" s="93"/>
    </row>
    <row r="13" spans="1:15" x14ac:dyDescent="0.2">
      <c r="A13" s="61" t="s">
        <v>429</v>
      </c>
      <c r="B13" s="63">
        <f t="shared" si="2"/>
        <v>6000</v>
      </c>
      <c r="C13" s="422"/>
      <c r="D13" s="422"/>
      <c r="E13" s="422">
        <v>3000</v>
      </c>
      <c r="F13" s="62"/>
      <c r="G13" s="62"/>
      <c r="H13" s="62"/>
      <c r="I13" s="62"/>
      <c r="J13" s="62"/>
      <c r="K13" s="62"/>
      <c r="L13" s="62">
        <v>3000</v>
      </c>
      <c r="M13" s="62"/>
      <c r="N13" s="62"/>
    </row>
    <row r="14" spans="1:15" x14ac:dyDescent="0.2">
      <c r="A14" s="61" t="s">
        <v>430</v>
      </c>
      <c r="B14" s="63">
        <f t="shared" si="2"/>
        <v>0</v>
      </c>
      <c r="C14" s="63"/>
      <c r="D14" s="62"/>
      <c r="E14" s="62"/>
      <c r="F14" s="62"/>
      <c r="G14" s="93"/>
      <c r="H14" s="93"/>
      <c r="I14" s="62"/>
      <c r="J14" s="62"/>
      <c r="K14" s="62"/>
      <c r="L14" s="62"/>
      <c r="M14" s="62"/>
      <c r="N14" s="62"/>
      <c r="O14" s="140"/>
    </row>
    <row r="15" spans="1:15" hidden="1" x14ac:dyDescent="0.2">
      <c r="A15" s="61" t="s">
        <v>145</v>
      </c>
      <c r="B15" s="63">
        <f t="shared" si="2"/>
        <v>0</v>
      </c>
      <c r="C15" s="63"/>
      <c r="D15" s="62"/>
      <c r="E15" s="62"/>
      <c r="F15" s="62"/>
      <c r="G15" s="62"/>
      <c r="H15" s="62"/>
      <c r="I15" s="62"/>
      <c r="J15" s="62"/>
      <c r="K15" s="62"/>
      <c r="L15" s="62"/>
      <c r="M15" s="62"/>
      <c r="N15" s="62"/>
    </row>
    <row r="16" spans="1:15" hidden="1" x14ac:dyDescent="0.2">
      <c r="A16" s="61" t="s">
        <v>145</v>
      </c>
      <c r="B16" s="63">
        <f t="shared" si="2"/>
        <v>0</v>
      </c>
      <c r="C16" s="63"/>
      <c r="D16" s="62"/>
      <c r="E16" s="62"/>
      <c r="F16" s="62"/>
      <c r="G16" s="62"/>
      <c r="H16" s="62"/>
      <c r="I16" s="62"/>
      <c r="J16" s="62"/>
      <c r="K16" s="62"/>
      <c r="L16" s="62"/>
      <c r="M16" s="62"/>
      <c r="N16" s="62"/>
    </row>
    <row r="17" spans="1:14" hidden="1" x14ac:dyDescent="0.2">
      <c r="A17" s="61" t="s">
        <v>145</v>
      </c>
      <c r="B17" s="63">
        <f t="shared" si="2"/>
        <v>0</v>
      </c>
      <c r="C17" s="63"/>
      <c r="D17" s="62"/>
      <c r="E17" s="62"/>
      <c r="F17" s="62"/>
      <c r="G17" s="62"/>
      <c r="H17" s="62"/>
      <c r="I17" s="62"/>
      <c r="J17" s="62"/>
      <c r="K17" s="62"/>
      <c r="L17" s="62"/>
      <c r="M17" s="62"/>
      <c r="N17" s="62"/>
    </row>
    <row r="18" spans="1:14" hidden="1" x14ac:dyDescent="0.2">
      <c r="A18" s="61" t="s">
        <v>145</v>
      </c>
      <c r="B18" s="63">
        <f t="shared" si="2"/>
        <v>0</v>
      </c>
      <c r="C18" s="63"/>
      <c r="D18" s="62"/>
      <c r="E18" s="62"/>
      <c r="F18" s="62"/>
      <c r="G18" s="62"/>
      <c r="H18" s="62"/>
      <c r="I18" s="62"/>
      <c r="J18" s="62"/>
      <c r="K18" s="62"/>
      <c r="L18" s="62"/>
      <c r="M18" s="62"/>
      <c r="N18" s="62"/>
    </row>
    <row r="19" spans="1:14" hidden="1" x14ac:dyDescent="0.2">
      <c r="A19" s="61" t="s">
        <v>145</v>
      </c>
      <c r="B19" s="63">
        <f t="shared" si="2"/>
        <v>0</v>
      </c>
      <c r="C19" s="63"/>
      <c r="D19" s="62"/>
      <c r="E19" s="62"/>
      <c r="F19" s="62"/>
      <c r="G19" s="62"/>
      <c r="H19" s="62"/>
      <c r="I19" s="62"/>
      <c r="J19" s="62"/>
      <c r="K19" s="62"/>
      <c r="L19" s="62"/>
      <c r="M19" s="62"/>
      <c r="N19" s="62"/>
    </row>
    <row r="20" spans="1:14" hidden="1" x14ac:dyDescent="0.2">
      <c r="A20" s="61" t="s">
        <v>145</v>
      </c>
      <c r="B20" s="63">
        <f t="shared" si="2"/>
        <v>0</v>
      </c>
      <c r="C20" s="63"/>
      <c r="D20" s="62"/>
      <c r="E20" s="62"/>
      <c r="F20" s="62"/>
      <c r="G20" s="62"/>
      <c r="H20" s="62"/>
      <c r="I20" s="62"/>
      <c r="J20" s="62"/>
      <c r="K20" s="62"/>
      <c r="L20" s="62"/>
      <c r="M20" s="62"/>
      <c r="N20" s="62"/>
    </row>
    <row r="21" spans="1:14" hidden="1" x14ac:dyDescent="0.2">
      <c r="A21" s="61" t="s">
        <v>145</v>
      </c>
      <c r="B21" s="63">
        <f t="shared" si="2"/>
        <v>0</v>
      </c>
      <c r="C21" s="63"/>
      <c r="D21" s="62"/>
      <c r="E21" s="62"/>
      <c r="F21" s="62"/>
      <c r="G21" s="62"/>
      <c r="H21" s="62"/>
      <c r="I21" s="62"/>
      <c r="J21" s="62"/>
      <c r="K21" s="62"/>
      <c r="L21" s="62"/>
      <c r="M21" s="62"/>
      <c r="N21" s="62"/>
    </row>
    <row r="22" spans="1:14" hidden="1" x14ac:dyDescent="0.2">
      <c r="A22" s="61" t="s">
        <v>145</v>
      </c>
      <c r="B22" s="63">
        <f t="shared" si="2"/>
        <v>0</v>
      </c>
      <c r="C22" s="63"/>
      <c r="D22" s="62"/>
      <c r="E22" s="62"/>
      <c r="F22" s="62"/>
      <c r="G22" s="62"/>
      <c r="H22" s="62"/>
      <c r="I22" s="62"/>
      <c r="J22" s="62"/>
      <c r="K22" s="62"/>
      <c r="L22" s="62"/>
      <c r="M22" s="62"/>
      <c r="N22" s="62"/>
    </row>
    <row r="23" spans="1:14" x14ac:dyDescent="0.2">
      <c r="A23" s="61" t="s">
        <v>350</v>
      </c>
      <c r="B23" s="63">
        <f t="shared" si="2"/>
        <v>16000</v>
      </c>
      <c r="C23" s="63"/>
      <c r="D23" s="62">
        <v>16000</v>
      </c>
      <c r="E23" s="62"/>
      <c r="F23" s="62"/>
      <c r="G23" s="62"/>
      <c r="H23" s="62"/>
      <c r="I23" s="62"/>
      <c r="J23" s="62"/>
      <c r="K23" s="62"/>
      <c r="L23" s="62"/>
      <c r="M23" s="62"/>
      <c r="N23" s="62"/>
    </row>
    <row r="24" spans="1:14" x14ac:dyDescent="0.2">
      <c r="A24" s="61" t="s">
        <v>684</v>
      </c>
      <c r="B24" s="63">
        <f t="shared" si="2"/>
        <v>5000</v>
      </c>
      <c r="C24" s="62">
        <v>5000</v>
      </c>
      <c r="D24" s="62"/>
      <c r="E24" s="62"/>
      <c r="F24" s="93"/>
      <c r="G24" s="93"/>
      <c r="H24" s="93"/>
      <c r="I24" s="93"/>
      <c r="J24" s="93"/>
      <c r="K24" s="93"/>
      <c r="L24" s="93"/>
      <c r="M24" s="93"/>
      <c r="N24" s="93"/>
    </row>
    <row r="25" spans="1:14" x14ac:dyDescent="0.2">
      <c r="A25" s="61" t="s">
        <v>351</v>
      </c>
      <c r="B25" s="63">
        <f t="shared" si="2"/>
        <v>10000</v>
      </c>
      <c r="C25" s="62">
        <v>10000</v>
      </c>
      <c r="D25" s="62"/>
      <c r="E25" s="62"/>
      <c r="F25" s="62"/>
      <c r="G25" s="93"/>
      <c r="H25" s="93"/>
      <c r="I25" s="93"/>
      <c r="J25" s="93"/>
      <c r="K25" s="93"/>
      <c r="L25" s="93"/>
      <c r="M25" s="93"/>
      <c r="N25" s="93"/>
    </row>
    <row r="26" spans="1:14" x14ac:dyDescent="0.2">
      <c r="A26" s="61" t="s">
        <v>352</v>
      </c>
      <c r="B26" s="63">
        <f t="shared" si="2"/>
        <v>3000</v>
      </c>
      <c r="C26" s="62">
        <v>1125</v>
      </c>
      <c r="D26" s="62">
        <v>881</v>
      </c>
      <c r="E26" s="62">
        <v>871</v>
      </c>
      <c r="F26" s="62">
        <v>123</v>
      </c>
      <c r="G26" s="62"/>
      <c r="H26" s="62"/>
      <c r="I26" s="62"/>
      <c r="J26" s="62"/>
      <c r="K26" s="62"/>
      <c r="L26" s="62"/>
      <c r="M26" s="62"/>
      <c r="N26" s="62"/>
    </row>
    <row r="27" spans="1:14" x14ac:dyDescent="0.2">
      <c r="A27" s="61" t="s">
        <v>339</v>
      </c>
      <c r="B27" s="63">
        <f t="shared" si="2"/>
        <v>21168</v>
      </c>
      <c r="C27" s="62">
        <v>1764</v>
      </c>
      <c r="D27" s="62">
        <v>1764</v>
      </c>
      <c r="E27" s="62">
        <v>1764</v>
      </c>
      <c r="F27" s="62">
        <v>1764</v>
      </c>
      <c r="G27" s="62">
        <v>1764</v>
      </c>
      <c r="H27" s="62">
        <v>1764</v>
      </c>
      <c r="I27" s="62">
        <v>1764</v>
      </c>
      <c r="J27" s="62">
        <v>1764</v>
      </c>
      <c r="K27" s="62">
        <v>1764</v>
      </c>
      <c r="L27" s="62">
        <v>1764</v>
      </c>
      <c r="M27" s="62">
        <v>1764</v>
      </c>
      <c r="N27" s="62">
        <v>1764</v>
      </c>
    </row>
    <row r="28" spans="1:14" x14ac:dyDescent="0.2">
      <c r="A28" s="61" t="s">
        <v>686</v>
      </c>
      <c r="B28" s="63">
        <f t="shared" si="2"/>
        <v>30000</v>
      </c>
      <c r="C28" s="62">
        <v>30000</v>
      </c>
      <c r="D28" s="62"/>
      <c r="E28" s="62"/>
      <c r="F28" s="62"/>
      <c r="G28" s="62"/>
      <c r="H28" s="62"/>
      <c r="I28" s="62"/>
      <c r="J28" s="62"/>
      <c r="K28" s="62"/>
      <c r="L28" s="62"/>
      <c r="M28" s="62"/>
      <c r="N28" s="62"/>
    </row>
    <row r="29" spans="1:14" hidden="1" x14ac:dyDescent="0.2">
      <c r="A29" s="61" t="s">
        <v>146</v>
      </c>
      <c r="B29" s="63">
        <f t="shared" si="2"/>
        <v>0</v>
      </c>
      <c r="C29" s="63"/>
      <c r="D29" s="62"/>
      <c r="E29" s="62"/>
      <c r="F29" s="62"/>
      <c r="G29" s="62"/>
      <c r="H29" s="62"/>
      <c r="I29" s="62"/>
      <c r="J29" s="62"/>
      <c r="K29" s="62"/>
      <c r="L29" s="62"/>
      <c r="M29" s="62"/>
      <c r="N29" s="62"/>
    </row>
    <row r="30" spans="1:14" hidden="1" x14ac:dyDescent="0.2">
      <c r="A30" s="61" t="s">
        <v>146</v>
      </c>
      <c r="B30" s="63">
        <f t="shared" si="2"/>
        <v>0</v>
      </c>
      <c r="C30" s="63"/>
      <c r="D30" s="62"/>
      <c r="E30" s="62"/>
      <c r="F30" s="62"/>
      <c r="G30" s="62"/>
      <c r="H30" s="62"/>
      <c r="I30" s="62"/>
      <c r="J30" s="62"/>
      <c r="K30" s="62"/>
      <c r="L30" s="62"/>
      <c r="M30" s="62"/>
      <c r="N30" s="62"/>
    </row>
    <row r="31" spans="1:14" hidden="1" x14ac:dyDescent="0.2">
      <c r="A31" s="61" t="s">
        <v>146</v>
      </c>
      <c r="B31" s="63">
        <f t="shared" si="2"/>
        <v>0</v>
      </c>
      <c r="C31" s="63"/>
      <c r="D31" s="62"/>
      <c r="E31" s="62"/>
      <c r="F31" s="62"/>
      <c r="G31" s="62"/>
      <c r="H31" s="62"/>
      <c r="I31" s="62"/>
      <c r="J31" s="62"/>
      <c r="K31" s="62"/>
      <c r="L31" s="62"/>
      <c r="M31" s="62"/>
      <c r="N31" s="62"/>
    </row>
    <row r="32" spans="1:14" hidden="1" x14ac:dyDescent="0.2">
      <c r="A32" s="61" t="s">
        <v>146</v>
      </c>
      <c r="B32" s="63">
        <f t="shared" si="2"/>
        <v>0</v>
      </c>
      <c r="C32" s="63"/>
      <c r="D32" s="62"/>
      <c r="E32" s="62"/>
      <c r="F32" s="62"/>
      <c r="G32" s="62"/>
      <c r="H32" s="62"/>
      <c r="I32" s="62"/>
      <c r="J32" s="62"/>
      <c r="K32" s="62"/>
      <c r="L32" s="62"/>
      <c r="M32" s="62"/>
      <c r="N32" s="62"/>
    </row>
    <row r="33" spans="1:15" hidden="1" x14ac:dyDescent="0.2">
      <c r="A33" s="61" t="s">
        <v>146</v>
      </c>
      <c r="B33" s="63">
        <f t="shared" si="2"/>
        <v>0</v>
      </c>
      <c r="C33" s="63"/>
      <c r="D33" s="62"/>
      <c r="E33" s="62"/>
      <c r="F33" s="62"/>
      <c r="G33" s="62"/>
      <c r="H33" s="62"/>
      <c r="I33" s="62"/>
      <c r="J33" s="62"/>
      <c r="K33" s="62"/>
      <c r="L33" s="62"/>
      <c r="M33" s="62"/>
      <c r="N33" s="62"/>
    </row>
    <row r="34" spans="1:15" hidden="1" x14ac:dyDescent="0.2">
      <c r="A34" s="61" t="s">
        <v>146</v>
      </c>
      <c r="B34" s="63">
        <f t="shared" si="2"/>
        <v>0</v>
      </c>
      <c r="C34" s="63"/>
      <c r="D34" s="62"/>
      <c r="E34" s="62"/>
      <c r="F34" s="62"/>
      <c r="G34" s="62"/>
      <c r="H34" s="62"/>
      <c r="I34" s="62"/>
      <c r="J34" s="62"/>
      <c r="K34" s="62"/>
      <c r="L34" s="62"/>
      <c r="M34" s="62"/>
      <c r="N34" s="62"/>
    </row>
    <row r="35" spans="1:15" hidden="1" x14ac:dyDescent="0.2">
      <c r="A35" s="61" t="s">
        <v>146</v>
      </c>
      <c r="B35" s="63">
        <f t="shared" si="2"/>
        <v>0</v>
      </c>
      <c r="C35" s="63"/>
      <c r="D35" s="62"/>
      <c r="E35" s="62"/>
      <c r="F35" s="62"/>
      <c r="G35" s="62"/>
      <c r="H35" s="62"/>
      <c r="I35" s="62"/>
      <c r="J35" s="62"/>
      <c r="K35" s="62"/>
      <c r="L35" s="62"/>
      <c r="M35" s="62"/>
      <c r="N35" s="62"/>
    </row>
    <row r="36" spans="1:15" hidden="1" x14ac:dyDescent="0.2">
      <c r="A36" s="61" t="s">
        <v>146</v>
      </c>
      <c r="B36" s="63">
        <f t="shared" si="2"/>
        <v>0</v>
      </c>
      <c r="C36" s="62"/>
      <c r="D36" s="62"/>
      <c r="E36" s="62"/>
      <c r="F36" s="62"/>
      <c r="G36" s="62"/>
      <c r="H36" s="62"/>
      <c r="I36" s="62"/>
      <c r="J36" s="62"/>
      <c r="K36" s="62"/>
      <c r="L36" s="62"/>
      <c r="M36" s="62"/>
      <c r="N36" s="62"/>
    </row>
    <row r="37" spans="1:15" hidden="1" x14ac:dyDescent="0.2">
      <c r="A37" s="61" t="s">
        <v>146</v>
      </c>
      <c r="B37" s="63">
        <f t="shared" si="2"/>
        <v>0</v>
      </c>
      <c r="C37" s="63"/>
      <c r="D37" s="62"/>
      <c r="E37" s="62"/>
      <c r="F37" s="62"/>
      <c r="G37" s="62"/>
      <c r="H37" s="62"/>
      <c r="I37" s="62"/>
      <c r="J37" s="62"/>
      <c r="K37" s="62"/>
      <c r="L37" s="62"/>
      <c r="M37" s="62"/>
      <c r="N37" s="62"/>
    </row>
    <row r="38" spans="1:15" hidden="1" x14ac:dyDescent="0.2">
      <c r="A38" s="61" t="s">
        <v>146</v>
      </c>
      <c r="B38" s="63">
        <f t="shared" si="2"/>
        <v>0</v>
      </c>
      <c r="C38" s="63"/>
      <c r="D38" s="62"/>
      <c r="E38" s="62"/>
      <c r="F38" s="62"/>
      <c r="G38" s="62"/>
      <c r="H38" s="62"/>
      <c r="I38" s="62"/>
      <c r="J38" s="62"/>
      <c r="K38" s="62"/>
      <c r="L38" s="62"/>
      <c r="M38" s="62"/>
      <c r="N38" s="62"/>
    </row>
    <row r="39" spans="1:15" x14ac:dyDescent="0.2">
      <c r="A39" s="61" t="s">
        <v>16</v>
      </c>
      <c r="B39" s="63">
        <f t="shared" si="2"/>
        <v>0</v>
      </c>
      <c r="C39" s="63"/>
      <c r="D39" s="62"/>
      <c r="E39" s="62"/>
      <c r="F39" s="62"/>
      <c r="G39" s="62"/>
      <c r="H39" s="62"/>
      <c r="I39" s="62"/>
      <c r="J39" s="62"/>
      <c r="K39" s="62"/>
      <c r="L39" s="62"/>
      <c r="M39" s="62"/>
      <c r="N39" s="62"/>
    </row>
    <row r="40" spans="1:15" x14ac:dyDescent="0.2">
      <c r="A40" s="61" t="s">
        <v>17</v>
      </c>
      <c r="B40" s="63">
        <f t="shared" si="2"/>
        <v>0</v>
      </c>
      <c r="C40" s="63"/>
      <c r="D40" s="62"/>
      <c r="E40" s="62"/>
      <c r="F40" s="62"/>
      <c r="G40" s="62"/>
      <c r="H40" s="62"/>
      <c r="I40" s="62"/>
      <c r="J40" s="62"/>
      <c r="K40" s="62"/>
      <c r="L40" s="62"/>
      <c r="M40" s="62"/>
      <c r="N40" s="62"/>
    </row>
    <row r="41" spans="1:15" x14ac:dyDescent="0.2">
      <c r="A41" s="61" t="s">
        <v>147</v>
      </c>
      <c r="B41" s="63">
        <f t="shared" si="2"/>
        <v>9528</v>
      </c>
      <c r="C41" s="62">
        <v>794</v>
      </c>
      <c r="D41" s="62">
        <v>794</v>
      </c>
      <c r="E41" s="62">
        <v>794</v>
      </c>
      <c r="F41" s="62">
        <v>794</v>
      </c>
      <c r="G41" s="62">
        <v>794</v>
      </c>
      <c r="H41" s="62">
        <v>794</v>
      </c>
      <c r="I41" s="62">
        <v>794</v>
      </c>
      <c r="J41" s="62">
        <v>794</v>
      </c>
      <c r="K41" s="62">
        <v>794</v>
      </c>
      <c r="L41" s="62">
        <v>794</v>
      </c>
      <c r="M41" s="62">
        <v>794</v>
      </c>
      <c r="N41" s="62">
        <v>794</v>
      </c>
    </row>
    <row r="42" spans="1:15" x14ac:dyDescent="0.2">
      <c r="A42" s="61" t="s">
        <v>148</v>
      </c>
      <c r="B42" s="63">
        <f t="shared" si="2"/>
        <v>23600.000000000004</v>
      </c>
      <c r="C42" s="62">
        <f>SUM(23600/12)</f>
        <v>1966.6666666666667</v>
      </c>
      <c r="D42" s="62">
        <f t="shared" ref="D42:N42" si="5">SUM(23600/12)</f>
        <v>1966.6666666666667</v>
      </c>
      <c r="E42" s="62">
        <f t="shared" si="5"/>
        <v>1966.6666666666667</v>
      </c>
      <c r="F42" s="62">
        <f t="shared" si="5"/>
        <v>1966.6666666666667</v>
      </c>
      <c r="G42" s="62">
        <f t="shared" si="5"/>
        <v>1966.6666666666667</v>
      </c>
      <c r="H42" s="62">
        <f t="shared" si="5"/>
        <v>1966.6666666666667</v>
      </c>
      <c r="I42" s="62">
        <f t="shared" si="5"/>
        <v>1966.6666666666667</v>
      </c>
      <c r="J42" s="62">
        <f t="shared" si="5"/>
        <v>1966.6666666666667</v>
      </c>
      <c r="K42" s="62">
        <f t="shared" si="5"/>
        <v>1966.6666666666667</v>
      </c>
      <c r="L42" s="62">
        <f t="shared" si="5"/>
        <v>1966.6666666666667</v>
      </c>
      <c r="M42" s="62">
        <f t="shared" si="5"/>
        <v>1966.6666666666667</v>
      </c>
      <c r="N42" s="62">
        <f t="shared" si="5"/>
        <v>1966.6666666666667</v>
      </c>
      <c r="O42" s="140"/>
    </row>
    <row r="43" spans="1:15" x14ac:dyDescent="0.2">
      <c r="A43" s="61" t="s">
        <v>149</v>
      </c>
      <c r="B43" s="63">
        <f t="shared" si="2"/>
        <v>0</v>
      </c>
      <c r="C43" s="62"/>
      <c r="D43" s="62"/>
      <c r="E43" s="62"/>
      <c r="F43" s="62"/>
      <c r="G43" s="62"/>
      <c r="H43" s="62"/>
      <c r="I43" s="62"/>
      <c r="J43" s="62"/>
      <c r="K43" s="62"/>
      <c r="L43" s="62"/>
      <c r="M43" s="62"/>
      <c r="N43" s="62"/>
    </row>
    <row r="44" spans="1:15" x14ac:dyDescent="0.2">
      <c r="A44" s="61" t="s">
        <v>150</v>
      </c>
      <c r="B44" s="63">
        <f t="shared" si="2"/>
        <v>0</v>
      </c>
      <c r="C44" s="63"/>
      <c r="D44" s="62"/>
      <c r="E44" s="62"/>
      <c r="F44" s="62"/>
      <c r="G44" s="62"/>
      <c r="H44" s="62"/>
      <c r="I44" s="62"/>
      <c r="J44" s="62"/>
      <c r="K44" s="62"/>
      <c r="L44" s="62"/>
      <c r="M44" s="62"/>
      <c r="N44" s="62"/>
    </row>
    <row r="45" spans="1:15" ht="13.5" thickBot="1" x14ac:dyDescent="0.25">
      <c r="A45" s="61" t="s">
        <v>18</v>
      </c>
      <c r="B45" s="63">
        <f t="shared" si="2"/>
        <v>0</v>
      </c>
      <c r="C45" s="63"/>
      <c r="D45" s="62"/>
      <c r="E45" s="62"/>
      <c r="F45" s="62"/>
      <c r="G45" s="62"/>
      <c r="H45" s="62"/>
      <c r="I45" s="62"/>
      <c r="J45" s="62"/>
      <c r="K45" s="62"/>
      <c r="L45" s="62"/>
      <c r="M45" s="62"/>
      <c r="N45" s="62"/>
    </row>
    <row r="46" spans="1:15" x14ac:dyDescent="0.2">
      <c r="A46" s="64" t="s">
        <v>151</v>
      </c>
      <c r="B46" s="65">
        <f t="shared" ref="B46:N46" si="6">SUM(B8:B45)</f>
        <v>626856</v>
      </c>
      <c r="C46" s="65">
        <f t="shared" si="6"/>
        <v>92529.666666666672</v>
      </c>
      <c r="D46" s="65">
        <f t="shared" si="6"/>
        <v>63285.666666666664</v>
      </c>
      <c r="E46" s="65">
        <f t="shared" si="6"/>
        <v>50275.666666666664</v>
      </c>
      <c r="F46" s="65">
        <f t="shared" si="6"/>
        <v>46527.666666666664</v>
      </c>
      <c r="G46" s="65">
        <f t="shared" si="6"/>
        <v>46404.666666666664</v>
      </c>
      <c r="H46" s="65">
        <f t="shared" si="6"/>
        <v>46404.666666666664</v>
      </c>
      <c r="I46" s="65">
        <f t="shared" si="6"/>
        <v>46404.666666666664</v>
      </c>
      <c r="J46" s="65">
        <f t="shared" si="6"/>
        <v>46404.666666666664</v>
      </c>
      <c r="K46" s="65">
        <f t="shared" si="6"/>
        <v>46404.666666666664</v>
      </c>
      <c r="L46" s="65">
        <f t="shared" si="6"/>
        <v>49404.666666666664</v>
      </c>
      <c r="M46" s="65">
        <f t="shared" si="6"/>
        <v>46404.666666666664</v>
      </c>
      <c r="N46" s="65">
        <f t="shared" si="6"/>
        <v>46404.666666666664</v>
      </c>
    </row>
    <row r="47" spans="1:15" x14ac:dyDescent="0.2">
      <c r="C47" s="60"/>
      <c r="D47" s="66"/>
      <c r="E47" s="66"/>
      <c r="F47" s="66"/>
      <c r="G47" s="66"/>
      <c r="H47" s="66"/>
      <c r="I47" s="66"/>
      <c r="J47" s="66"/>
      <c r="K47" s="66"/>
      <c r="L47" s="66"/>
      <c r="M47" s="66"/>
      <c r="N47" s="66"/>
    </row>
    <row r="48" spans="1:15" x14ac:dyDescent="0.2">
      <c r="A48" s="58"/>
      <c r="C48" s="60"/>
      <c r="D48" s="100"/>
      <c r="E48" s="100"/>
      <c r="F48" s="100"/>
      <c r="G48" s="100"/>
      <c r="H48" s="148"/>
      <c r="I48" s="100"/>
      <c r="J48" s="100"/>
      <c r="K48" s="100"/>
      <c r="L48" s="100"/>
      <c r="M48" s="100"/>
      <c r="N48" s="100"/>
    </row>
    <row r="49" spans="1:15" x14ac:dyDescent="0.2">
      <c r="A49" s="58" t="s">
        <v>152</v>
      </c>
      <c r="B49" s="85"/>
      <c r="C49" s="85"/>
      <c r="D49" s="85"/>
      <c r="E49" s="85"/>
      <c r="F49" s="85"/>
      <c r="G49" s="85"/>
      <c r="H49" s="85"/>
      <c r="I49" s="85"/>
      <c r="J49" s="85"/>
      <c r="K49" s="85"/>
      <c r="L49" s="85"/>
      <c r="M49" s="85"/>
      <c r="N49" s="85"/>
    </row>
    <row r="50" spans="1:15" x14ac:dyDescent="0.2">
      <c r="A50" s="61" t="s">
        <v>153</v>
      </c>
      <c r="B50" s="63">
        <f>SUM(C50:N50)</f>
        <v>434694.00600000011</v>
      </c>
      <c r="C50" s="62">
        <f>SUM(C471)</f>
        <v>36224.500500000002</v>
      </c>
      <c r="D50" s="62">
        <f t="shared" ref="D50:N52" si="7">SUM(D471)</f>
        <v>36224.500500000002</v>
      </c>
      <c r="E50" s="62">
        <f t="shared" si="7"/>
        <v>36224.500500000002</v>
      </c>
      <c r="F50" s="62">
        <f t="shared" si="7"/>
        <v>36224.500500000002</v>
      </c>
      <c r="G50" s="62">
        <f t="shared" si="7"/>
        <v>36224.500500000002</v>
      </c>
      <c r="H50" s="62">
        <f t="shared" si="7"/>
        <v>36224.500500000002</v>
      </c>
      <c r="I50" s="62">
        <f t="shared" si="7"/>
        <v>36224.500500000002</v>
      </c>
      <c r="J50" s="62">
        <f t="shared" si="7"/>
        <v>36224.500500000002</v>
      </c>
      <c r="K50" s="62">
        <f t="shared" si="7"/>
        <v>36224.500500000002</v>
      </c>
      <c r="L50" s="62">
        <f t="shared" si="7"/>
        <v>36224.500500000002</v>
      </c>
      <c r="M50" s="62">
        <f t="shared" si="7"/>
        <v>36224.500500000002</v>
      </c>
      <c r="N50" s="62">
        <f t="shared" si="7"/>
        <v>36224.500500000002</v>
      </c>
    </row>
    <row r="51" spans="1:15" x14ac:dyDescent="0.2">
      <c r="A51" s="61" t="s">
        <v>22</v>
      </c>
      <c r="B51" s="63">
        <f>SUM(C51:N51)</f>
        <v>47636.085464999989</v>
      </c>
      <c r="C51" s="62">
        <f>SUM(C472)</f>
        <v>3969.6737887499994</v>
      </c>
      <c r="D51" s="62">
        <f t="shared" si="7"/>
        <v>3969.6737887499994</v>
      </c>
      <c r="E51" s="62">
        <f t="shared" si="7"/>
        <v>3969.6737887499994</v>
      </c>
      <c r="F51" s="62">
        <f t="shared" si="7"/>
        <v>3969.6737887499994</v>
      </c>
      <c r="G51" s="62">
        <f t="shared" si="7"/>
        <v>3969.6737887499994</v>
      </c>
      <c r="H51" s="62">
        <f t="shared" si="7"/>
        <v>3969.6737887499994</v>
      </c>
      <c r="I51" s="62">
        <f t="shared" si="7"/>
        <v>3969.6737887499994</v>
      </c>
      <c r="J51" s="62">
        <f t="shared" si="7"/>
        <v>3969.6737887499994</v>
      </c>
      <c r="K51" s="62">
        <f t="shared" si="7"/>
        <v>3969.6737887499994</v>
      </c>
      <c r="L51" s="62">
        <f t="shared" si="7"/>
        <v>3969.6737887499994</v>
      </c>
      <c r="M51" s="62">
        <f t="shared" si="7"/>
        <v>3969.6737887499994</v>
      </c>
      <c r="N51" s="62">
        <f t="shared" si="7"/>
        <v>3969.6737887499994</v>
      </c>
    </row>
    <row r="52" spans="1:15" s="101" customFormat="1" ht="13.5" thickBot="1" x14ac:dyDescent="0.25">
      <c r="A52" s="90" t="s">
        <v>23</v>
      </c>
      <c r="B52" s="63">
        <f>SUM(C52:N52)</f>
        <v>39894.502309655159</v>
      </c>
      <c r="C52" s="62">
        <f>SUM(C473)</f>
        <v>3324.5418591379307</v>
      </c>
      <c r="D52" s="62">
        <f t="shared" si="7"/>
        <v>3324.5418591379307</v>
      </c>
      <c r="E52" s="62">
        <f t="shared" si="7"/>
        <v>3324.5418591379307</v>
      </c>
      <c r="F52" s="62">
        <f t="shared" si="7"/>
        <v>3324.5418591379307</v>
      </c>
      <c r="G52" s="62">
        <f t="shared" si="7"/>
        <v>3324.5418591379307</v>
      </c>
      <c r="H52" s="62">
        <f t="shared" si="7"/>
        <v>3324.5418591379307</v>
      </c>
      <c r="I52" s="62">
        <f t="shared" si="7"/>
        <v>3324.5418591379307</v>
      </c>
      <c r="J52" s="62">
        <f t="shared" si="7"/>
        <v>3324.5418591379307</v>
      </c>
      <c r="K52" s="62">
        <f t="shared" si="7"/>
        <v>3324.5418591379307</v>
      </c>
      <c r="L52" s="62">
        <f t="shared" si="7"/>
        <v>3324.5418591379307</v>
      </c>
      <c r="M52" s="62">
        <f t="shared" si="7"/>
        <v>3324.5418591379307</v>
      </c>
      <c r="N52" s="62">
        <f t="shared" si="7"/>
        <v>3324.5418591379307</v>
      </c>
    </row>
    <row r="53" spans="1:15" x14ac:dyDescent="0.2">
      <c r="A53" s="64" t="s">
        <v>154</v>
      </c>
      <c r="B53" s="65">
        <f>SUM(B50:B52)</f>
        <v>522224.59377465525</v>
      </c>
      <c r="C53" s="65">
        <f t="shared" ref="C53:N53" si="8">SUM(C50:C52)</f>
        <v>43518.716147887928</v>
      </c>
      <c r="D53" s="65">
        <f t="shared" si="8"/>
        <v>43518.716147887928</v>
      </c>
      <c r="E53" s="65">
        <f t="shared" si="8"/>
        <v>43518.716147887928</v>
      </c>
      <c r="F53" s="65">
        <f t="shared" si="8"/>
        <v>43518.716147887928</v>
      </c>
      <c r="G53" s="423">
        <f t="shared" si="8"/>
        <v>43518.716147887928</v>
      </c>
      <c r="H53" s="423">
        <f t="shared" si="8"/>
        <v>43518.716147887928</v>
      </c>
      <c r="I53" s="65">
        <f t="shared" si="8"/>
        <v>43518.716147887928</v>
      </c>
      <c r="J53" s="65">
        <f t="shared" si="8"/>
        <v>43518.716147887928</v>
      </c>
      <c r="K53" s="65">
        <f t="shared" si="8"/>
        <v>43518.716147887928</v>
      </c>
      <c r="L53" s="65">
        <f t="shared" si="8"/>
        <v>43518.716147887928</v>
      </c>
      <c r="M53" s="65">
        <f t="shared" si="8"/>
        <v>43518.716147887928</v>
      </c>
      <c r="N53" s="65">
        <f t="shared" si="8"/>
        <v>43518.716147887928</v>
      </c>
      <c r="O53" s="140"/>
    </row>
    <row r="54" spans="1:15" x14ac:dyDescent="0.2">
      <c r="C54" s="60"/>
      <c r="D54" s="66"/>
      <c r="E54" s="66"/>
      <c r="F54" s="66"/>
      <c r="G54" s="66"/>
      <c r="H54" s="66"/>
      <c r="I54" s="66"/>
      <c r="J54" s="66"/>
      <c r="K54" s="66"/>
      <c r="L54" s="66"/>
      <c r="M54" s="66"/>
      <c r="N54" s="66"/>
    </row>
    <row r="55" spans="1:15" x14ac:dyDescent="0.2">
      <c r="C55" s="60"/>
      <c r="D55" s="66"/>
      <c r="E55" s="66"/>
      <c r="F55" s="66"/>
      <c r="G55" s="66"/>
      <c r="H55" s="66"/>
      <c r="I55" s="66"/>
      <c r="J55" s="66"/>
      <c r="K55" s="66"/>
      <c r="L55" s="66"/>
      <c r="M55" s="66"/>
      <c r="N55" s="66"/>
    </row>
    <row r="56" spans="1:15" x14ac:dyDescent="0.2">
      <c r="A56" s="58" t="s">
        <v>155</v>
      </c>
      <c r="C56" s="60"/>
      <c r="D56" s="66"/>
      <c r="E56" s="66"/>
      <c r="F56" s="66"/>
      <c r="G56" s="66"/>
      <c r="H56" s="66"/>
      <c r="I56" s="66"/>
      <c r="J56" s="66"/>
      <c r="K56" s="66"/>
      <c r="L56" s="66"/>
      <c r="M56" s="66"/>
      <c r="N56" s="66"/>
    </row>
    <row r="57" spans="1:15" x14ac:dyDescent="0.2">
      <c r="A57" s="61" t="str">
        <f>CMS!A57</f>
        <v>Training</v>
      </c>
      <c r="B57" s="63">
        <f>SUM(C57:N57)</f>
        <v>3720</v>
      </c>
      <c r="C57" s="62">
        <v>260</v>
      </c>
      <c r="D57" s="62">
        <v>260</v>
      </c>
      <c r="E57" s="62">
        <v>260</v>
      </c>
      <c r="F57" s="62">
        <v>260</v>
      </c>
      <c r="G57" s="62">
        <v>260</v>
      </c>
      <c r="H57" s="62">
        <v>260</v>
      </c>
      <c r="I57" s="62">
        <v>260</v>
      </c>
      <c r="J57" s="62">
        <v>260</v>
      </c>
      <c r="K57" s="62">
        <v>860</v>
      </c>
      <c r="L57" s="62">
        <v>260</v>
      </c>
      <c r="M57" s="62">
        <v>260</v>
      </c>
      <c r="N57" s="62">
        <v>260</v>
      </c>
    </row>
    <row r="58" spans="1:15" x14ac:dyDescent="0.2">
      <c r="A58" s="61" t="str">
        <f>CMS!A58</f>
        <v>Travel</v>
      </c>
      <c r="B58" s="419">
        <f>SUM(C58:N58)</f>
        <v>600</v>
      </c>
      <c r="C58" s="62">
        <v>50</v>
      </c>
      <c r="D58" s="62">
        <v>50</v>
      </c>
      <c r="E58" s="62">
        <v>50</v>
      </c>
      <c r="F58" s="62">
        <v>50</v>
      </c>
      <c r="G58" s="62">
        <v>50</v>
      </c>
      <c r="H58" s="62">
        <v>50</v>
      </c>
      <c r="I58" s="62">
        <v>50</v>
      </c>
      <c r="J58" s="62">
        <v>50</v>
      </c>
      <c r="K58" s="62">
        <v>50</v>
      </c>
      <c r="L58" s="62">
        <v>50</v>
      </c>
      <c r="M58" s="62">
        <v>50</v>
      </c>
      <c r="N58" s="62">
        <v>50</v>
      </c>
    </row>
    <row r="59" spans="1:15" x14ac:dyDescent="0.2">
      <c r="A59" s="61" t="str">
        <f>CMS!A59</f>
        <v>Recognition</v>
      </c>
      <c r="B59" s="63">
        <f>SUM(C59:N59)</f>
        <v>0</v>
      </c>
      <c r="C59" s="62"/>
      <c r="D59" s="62"/>
      <c r="E59" s="62"/>
      <c r="F59" s="62"/>
      <c r="G59" s="62"/>
      <c r="H59" s="62"/>
      <c r="I59" s="62"/>
      <c r="J59" s="62"/>
      <c r="K59" s="62"/>
      <c r="L59" s="62"/>
      <c r="M59" s="62"/>
      <c r="N59" s="62"/>
    </row>
    <row r="60" spans="1:15" x14ac:dyDescent="0.2">
      <c r="A60" s="61" t="str">
        <f>CMS!A60</f>
        <v>Communications</v>
      </c>
      <c r="B60" s="63">
        <f t="shared" ref="B60:B82" si="9">SUM(C60:N60)</f>
        <v>2484</v>
      </c>
      <c r="C60" s="62">
        <v>207</v>
      </c>
      <c r="D60" s="62">
        <v>207</v>
      </c>
      <c r="E60" s="62">
        <v>207</v>
      </c>
      <c r="F60" s="62">
        <v>207</v>
      </c>
      <c r="G60" s="62">
        <v>207</v>
      </c>
      <c r="H60" s="62">
        <v>207</v>
      </c>
      <c r="I60" s="62">
        <v>207</v>
      </c>
      <c r="J60" s="62">
        <v>207</v>
      </c>
      <c r="K60" s="62">
        <v>207</v>
      </c>
      <c r="L60" s="62">
        <v>207</v>
      </c>
      <c r="M60" s="62">
        <v>207</v>
      </c>
      <c r="N60" s="62">
        <v>207</v>
      </c>
    </row>
    <row r="61" spans="1:15" x14ac:dyDescent="0.2">
      <c r="A61" s="61" t="str">
        <f>CMS!A61</f>
        <v>Dues &amp; Subscriptions</v>
      </c>
      <c r="B61" s="63">
        <f t="shared" si="9"/>
        <v>710</v>
      </c>
      <c r="C61" s="62">
        <f>SUM(50)</f>
        <v>50</v>
      </c>
      <c r="D61" s="62">
        <f>SUM(50)</f>
        <v>50</v>
      </c>
      <c r="E61" s="62">
        <v>160</v>
      </c>
      <c r="F61" s="62">
        <v>50</v>
      </c>
      <c r="G61" s="62">
        <v>50</v>
      </c>
      <c r="H61" s="62">
        <v>50</v>
      </c>
      <c r="I61" s="62">
        <v>50</v>
      </c>
      <c r="J61" s="62">
        <v>50</v>
      </c>
      <c r="K61" s="62">
        <v>50</v>
      </c>
      <c r="L61" s="62">
        <v>50</v>
      </c>
      <c r="M61" s="62">
        <v>50</v>
      </c>
      <c r="N61" s="62">
        <v>50</v>
      </c>
    </row>
    <row r="62" spans="1:15" x14ac:dyDescent="0.2">
      <c r="A62" s="61" t="str">
        <f>CMS!A62</f>
        <v>Liability Insurance</v>
      </c>
      <c r="B62" s="63">
        <f t="shared" si="9"/>
        <v>9327.6199571166289</v>
      </c>
      <c r="C62" s="62">
        <f>SUM('Data Links'!$B$5/'All Employees'!$I$65)/12*C102</f>
        <v>777.30166309305241</v>
      </c>
      <c r="D62" s="62">
        <f>SUM('Data Links'!$B$5/'All Employees'!$I$65)/12*D102</f>
        <v>777.30166309305241</v>
      </c>
      <c r="E62" s="62">
        <f>SUM('Data Links'!$B$5/'All Employees'!$I$65)/12*E102</f>
        <v>777.30166309305241</v>
      </c>
      <c r="F62" s="62">
        <f>SUM('Data Links'!$B$5/'All Employees'!$I$65)/12*F102</f>
        <v>777.30166309305241</v>
      </c>
      <c r="G62" s="62">
        <f>SUM('Data Links'!$B$5/'All Employees'!$I$65)/12*G102</f>
        <v>777.30166309305241</v>
      </c>
      <c r="H62" s="62">
        <f>SUM('Data Links'!$B$5/'All Employees'!$I$65)/12*H102</f>
        <v>777.30166309305241</v>
      </c>
      <c r="I62" s="62">
        <f>SUM('Data Links'!$B$5/'All Employees'!$I$65)/12*I102</f>
        <v>777.30166309305241</v>
      </c>
      <c r="J62" s="62">
        <f>SUM('Data Links'!$B$5/'All Employees'!$I$65)/12*J102</f>
        <v>777.30166309305241</v>
      </c>
      <c r="K62" s="62">
        <f>SUM('Data Links'!$B$5/'All Employees'!$I$65)/12*K102</f>
        <v>777.30166309305241</v>
      </c>
      <c r="L62" s="62">
        <f>SUM('Data Links'!$B$5/'All Employees'!$I$65)/12*L102</f>
        <v>777.30166309305241</v>
      </c>
      <c r="M62" s="62">
        <f>SUM('Data Links'!$B$5/'All Employees'!$I$65)/12*M102</f>
        <v>777.30166309305241</v>
      </c>
      <c r="N62" s="62">
        <f>SUM('Data Links'!$B$5/'All Employees'!$I$65)/12*N102</f>
        <v>777.30166309305241</v>
      </c>
    </row>
    <row r="63" spans="1:15" x14ac:dyDescent="0.2">
      <c r="A63" s="61" t="str">
        <f>CMS!A63</f>
        <v>Professional Services</v>
      </c>
      <c r="B63" s="63">
        <f t="shared" si="9"/>
        <v>1550</v>
      </c>
      <c r="C63" s="62"/>
      <c r="D63" s="62"/>
      <c r="E63" s="62">
        <v>1550</v>
      </c>
      <c r="F63" s="62"/>
      <c r="G63" s="62"/>
      <c r="H63" s="62"/>
      <c r="I63" s="62"/>
      <c r="J63" s="62"/>
      <c r="K63" s="62"/>
      <c r="L63" s="62"/>
      <c r="M63" s="62"/>
      <c r="N63" s="62"/>
    </row>
    <row r="64" spans="1:15" x14ac:dyDescent="0.2">
      <c r="A64" s="61" t="str">
        <f>CMS!A64</f>
        <v>Legal Fees</v>
      </c>
      <c r="B64" s="63">
        <f t="shared" si="9"/>
        <v>0</v>
      </c>
      <c r="C64" s="62"/>
      <c r="D64" s="62"/>
      <c r="E64" s="62"/>
      <c r="F64" s="62"/>
      <c r="G64" s="62"/>
      <c r="H64" s="62"/>
      <c r="I64" s="62"/>
      <c r="J64" s="62"/>
      <c r="K64" s="62"/>
      <c r="L64" s="62"/>
      <c r="M64" s="62"/>
      <c r="N64" s="62"/>
    </row>
    <row r="65" spans="1:14" x14ac:dyDescent="0.2">
      <c r="A65" s="61" t="str">
        <f>CMS!A65</f>
        <v>Technical Services</v>
      </c>
      <c r="B65" s="63">
        <f t="shared" si="9"/>
        <v>0</v>
      </c>
      <c r="C65" s="62"/>
      <c r="D65" s="62"/>
      <c r="E65" s="62"/>
      <c r="F65" s="62"/>
      <c r="G65" s="62"/>
      <c r="H65" s="62"/>
      <c r="I65" s="62"/>
      <c r="J65" s="62"/>
      <c r="K65" s="62"/>
      <c r="L65" s="62"/>
      <c r="M65" s="62"/>
      <c r="N65" s="62"/>
    </row>
    <row r="66" spans="1:14" x14ac:dyDescent="0.2">
      <c r="A66" s="61" t="str">
        <f>CMS!A66</f>
        <v>Taxes/Licenses &amp; Permits</v>
      </c>
      <c r="B66" s="63">
        <f t="shared" si="9"/>
        <v>0</v>
      </c>
      <c r="C66" s="62"/>
      <c r="D66" s="62"/>
      <c r="E66" s="62"/>
      <c r="F66" s="62"/>
      <c r="G66" s="62"/>
      <c r="H66" s="62"/>
      <c r="I66" s="62"/>
      <c r="J66" s="62"/>
      <c r="K66" s="62"/>
      <c r="L66" s="62"/>
      <c r="M66" s="62"/>
      <c r="N66" s="62"/>
    </row>
    <row r="67" spans="1:14" x14ac:dyDescent="0.2">
      <c r="A67" s="61" t="str">
        <f>CMS!A67</f>
        <v>Small Tools &amp; Equip</v>
      </c>
      <c r="B67" s="63">
        <f t="shared" si="9"/>
        <v>3499.9999999999995</v>
      </c>
      <c r="C67" s="62">
        <f>SUM(3500/12)</f>
        <v>291.66666666666669</v>
      </c>
      <c r="D67" s="62">
        <f t="shared" ref="D67:N67" si="10">SUM(3500/12)</f>
        <v>291.66666666666669</v>
      </c>
      <c r="E67" s="62">
        <f t="shared" si="10"/>
        <v>291.66666666666669</v>
      </c>
      <c r="F67" s="62">
        <f t="shared" si="10"/>
        <v>291.66666666666669</v>
      </c>
      <c r="G67" s="62">
        <f t="shared" si="10"/>
        <v>291.66666666666669</v>
      </c>
      <c r="H67" s="62">
        <f t="shared" si="10"/>
        <v>291.66666666666669</v>
      </c>
      <c r="I67" s="62">
        <f t="shared" si="10"/>
        <v>291.66666666666669</v>
      </c>
      <c r="J67" s="62">
        <f t="shared" si="10"/>
        <v>291.66666666666669</v>
      </c>
      <c r="K67" s="62">
        <f t="shared" si="10"/>
        <v>291.66666666666669</v>
      </c>
      <c r="L67" s="62">
        <f t="shared" si="10"/>
        <v>291.66666666666669</v>
      </c>
      <c r="M67" s="62">
        <f t="shared" si="10"/>
        <v>291.66666666666669</v>
      </c>
      <c r="N67" s="62">
        <f t="shared" si="10"/>
        <v>291.66666666666669</v>
      </c>
    </row>
    <row r="68" spans="1:14" x14ac:dyDescent="0.2">
      <c r="A68" s="61" t="str">
        <f>CMS!A68</f>
        <v>Office Supplies</v>
      </c>
      <c r="B68" s="63">
        <f t="shared" si="9"/>
        <v>120</v>
      </c>
      <c r="C68" s="62">
        <v>10</v>
      </c>
      <c r="D68" s="62">
        <v>10</v>
      </c>
      <c r="E68" s="62">
        <v>10</v>
      </c>
      <c r="F68" s="62">
        <v>10</v>
      </c>
      <c r="G68" s="62">
        <v>10</v>
      </c>
      <c r="H68" s="62">
        <v>10</v>
      </c>
      <c r="I68" s="62">
        <v>10</v>
      </c>
      <c r="J68" s="62">
        <v>10</v>
      </c>
      <c r="K68" s="62">
        <v>10</v>
      </c>
      <c r="L68" s="62">
        <v>10</v>
      </c>
      <c r="M68" s="62">
        <v>10</v>
      </c>
      <c r="N68" s="62">
        <v>10</v>
      </c>
    </row>
    <row r="69" spans="1:14" x14ac:dyDescent="0.2">
      <c r="A69" s="61" t="str">
        <f>CMS!A69</f>
        <v>Program Supplies</v>
      </c>
      <c r="B69" s="63">
        <f t="shared" si="9"/>
        <v>2400</v>
      </c>
      <c r="C69" s="62">
        <v>200</v>
      </c>
      <c r="D69" s="62">
        <v>200</v>
      </c>
      <c r="E69" s="62">
        <v>200</v>
      </c>
      <c r="F69" s="62">
        <v>200</v>
      </c>
      <c r="G69" s="62">
        <v>200</v>
      </c>
      <c r="H69" s="62">
        <v>200</v>
      </c>
      <c r="I69" s="62">
        <v>200</v>
      </c>
      <c r="J69" s="62">
        <v>200</v>
      </c>
      <c r="K69" s="62">
        <v>200</v>
      </c>
      <c r="L69" s="62">
        <v>200</v>
      </c>
      <c r="M69" s="62">
        <v>200</v>
      </c>
      <c r="N69" s="62">
        <v>200</v>
      </c>
    </row>
    <row r="70" spans="1:14" x14ac:dyDescent="0.2">
      <c r="A70" s="61" t="str">
        <f>CMS!A70</f>
        <v>Advertising</v>
      </c>
      <c r="B70" s="63">
        <f t="shared" si="9"/>
        <v>0</v>
      </c>
      <c r="C70" s="62"/>
      <c r="D70" s="62"/>
      <c r="E70" s="62"/>
      <c r="F70" s="62"/>
      <c r="G70" s="62"/>
      <c r="H70" s="62"/>
      <c r="I70" s="62"/>
      <c r="J70" s="62"/>
      <c r="K70" s="62"/>
      <c r="L70" s="62"/>
      <c r="M70" s="62"/>
      <c r="N70" s="62"/>
    </row>
    <row r="71" spans="1:14" x14ac:dyDescent="0.2">
      <c r="A71" s="61" t="str">
        <f>CMS!A71</f>
        <v>Repairs &amp; Maintenance</v>
      </c>
      <c r="B71" s="63">
        <f t="shared" si="9"/>
        <v>7500</v>
      </c>
      <c r="C71" s="62">
        <f>SUM(7500/12)</f>
        <v>625</v>
      </c>
      <c r="D71" s="62">
        <f t="shared" ref="D71:N71" si="11">SUM(7500/12)</f>
        <v>625</v>
      </c>
      <c r="E71" s="62">
        <f t="shared" si="11"/>
        <v>625</v>
      </c>
      <c r="F71" s="62">
        <f t="shared" si="11"/>
        <v>625</v>
      </c>
      <c r="G71" s="62">
        <f t="shared" si="11"/>
        <v>625</v>
      </c>
      <c r="H71" s="62">
        <f t="shared" si="11"/>
        <v>625</v>
      </c>
      <c r="I71" s="62">
        <f t="shared" si="11"/>
        <v>625</v>
      </c>
      <c r="J71" s="62">
        <f t="shared" si="11"/>
        <v>625</v>
      </c>
      <c r="K71" s="62">
        <f t="shared" si="11"/>
        <v>625</v>
      </c>
      <c r="L71" s="62">
        <f t="shared" si="11"/>
        <v>625</v>
      </c>
      <c r="M71" s="62">
        <f t="shared" si="11"/>
        <v>625</v>
      </c>
      <c r="N71" s="62">
        <f t="shared" si="11"/>
        <v>625</v>
      </c>
    </row>
    <row r="72" spans="1:14" x14ac:dyDescent="0.2">
      <c r="A72" s="61" t="str">
        <f>CMS!A72</f>
        <v>Client Expense</v>
      </c>
      <c r="B72" s="63">
        <f t="shared" si="9"/>
        <v>13200</v>
      </c>
      <c r="C72" s="62">
        <v>1100</v>
      </c>
      <c r="D72" s="62">
        <v>1100</v>
      </c>
      <c r="E72" s="62">
        <v>1100</v>
      </c>
      <c r="F72" s="62">
        <v>1100</v>
      </c>
      <c r="G72" s="62">
        <v>1100</v>
      </c>
      <c r="H72" s="62">
        <v>1100</v>
      </c>
      <c r="I72" s="62">
        <v>1100</v>
      </c>
      <c r="J72" s="62">
        <v>1100</v>
      </c>
      <c r="K72" s="62">
        <v>1100</v>
      </c>
      <c r="L72" s="62">
        <v>1100</v>
      </c>
      <c r="M72" s="62">
        <v>1100</v>
      </c>
      <c r="N72" s="62">
        <v>1100</v>
      </c>
    </row>
    <row r="73" spans="1:14" x14ac:dyDescent="0.2">
      <c r="A73" s="61" t="str">
        <f>CMS!A73</f>
        <v>Printing</v>
      </c>
      <c r="B73" s="63">
        <f t="shared" si="9"/>
        <v>0</v>
      </c>
      <c r="C73" s="62"/>
      <c r="D73" s="62"/>
      <c r="E73" s="62"/>
      <c r="F73" s="62"/>
      <c r="G73" s="62"/>
      <c r="H73" s="62"/>
      <c r="I73" s="62"/>
      <c r="J73" s="62"/>
      <c r="K73" s="62"/>
      <c r="L73" s="62"/>
      <c r="M73" s="62"/>
      <c r="N73" s="62"/>
    </row>
    <row r="74" spans="1:14" x14ac:dyDescent="0.2">
      <c r="A74" s="61" t="str">
        <f>CMS!A74</f>
        <v>Postage</v>
      </c>
      <c r="B74" s="63">
        <f t="shared" si="9"/>
        <v>96</v>
      </c>
      <c r="C74" s="62">
        <v>8</v>
      </c>
      <c r="D74" s="62">
        <v>8</v>
      </c>
      <c r="E74" s="62">
        <v>8</v>
      </c>
      <c r="F74" s="62">
        <v>8</v>
      </c>
      <c r="G74" s="62">
        <v>8</v>
      </c>
      <c r="H74" s="62">
        <v>8</v>
      </c>
      <c r="I74" s="62">
        <v>8</v>
      </c>
      <c r="J74" s="62">
        <v>8</v>
      </c>
      <c r="K74" s="62">
        <v>8</v>
      </c>
      <c r="L74" s="62">
        <v>8</v>
      </c>
      <c r="M74" s="62">
        <v>8</v>
      </c>
      <c r="N74" s="62">
        <v>8</v>
      </c>
    </row>
    <row r="75" spans="1:14" ht="13.5" customHeight="1" x14ac:dyDescent="0.2">
      <c r="A75" s="61" t="str">
        <f>CMS!A75</f>
        <v>Rent/Lease Expense</v>
      </c>
      <c r="B75" s="63">
        <f t="shared" si="9"/>
        <v>1752</v>
      </c>
      <c r="C75" s="62">
        <v>146</v>
      </c>
      <c r="D75" s="62">
        <v>146</v>
      </c>
      <c r="E75" s="62">
        <v>146</v>
      </c>
      <c r="F75" s="62">
        <v>146</v>
      </c>
      <c r="G75" s="62">
        <v>146</v>
      </c>
      <c r="H75" s="62">
        <v>146</v>
      </c>
      <c r="I75" s="62">
        <v>146</v>
      </c>
      <c r="J75" s="62">
        <v>146</v>
      </c>
      <c r="K75" s="62">
        <v>146</v>
      </c>
      <c r="L75" s="62">
        <v>146</v>
      </c>
      <c r="M75" s="62">
        <v>146</v>
      </c>
      <c r="N75" s="62">
        <v>146</v>
      </c>
    </row>
    <row r="76" spans="1:14" x14ac:dyDescent="0.2">
      <c r="A76" s="61" t="str">
        <f>CMS!A76</f>
        <v>Utilities</v>
      </c>
      <c r="B76" s="63">
        <f t="shared" si="9"/>
        <v>0</v>
      </c>
      <c r="C76" s="62"/>
      <c r="D76" s="62"/>
      <c r="E76" s="62"/>
      <c r="F76" s="62"/>
      <c r="G76" s="62"/>
      <c r="H76" s="62"/>
      <c r="I76" s="62"/>
      <c r="J76" s="62"/>
      <c r="K76" s="62"/>
      <c r="L76" s="62"/>
      <c r="M76" s="62"/>
      <c r="N76" s="62"/>
    </row>
    <row r="77" spans="1:14" x14ac:dyDescent="0.2">
      <c r="A77" s="61" t="str">
        <f>CMS!A77</f>
        <v>Bank Fees/Late Fees</v>
      </c>
      <c r="B77" s="63">
        <f t="shared" si="9"/>
        <v>0</v>
      </c>
      <c r="C77" s="62"/>
      <c r="D77" s="62"/>
      <c r="E77" s="62"/>
      <c r="F77" s="62"/>
      <c r="G77" s="62"/>
      <c r="H77" s="62"/>
      <c r="I77" s="62"/>
      <c r="J77" s="62"/>
      <c r="K77" s="62"/>
      <c r="L77" s="62"/>
      <c r="M77" s="62"/>
      <c r="N77" s="62"/>
    </row>
    <row r="78" spans="1:14" x14ac:dyDescent="0.2">
      <c r="A78" s="61" t="str">
        <f>CMS!A78</f>
        <v>Bad Debt Expense</v>
      </c>
      <c r="B78" s="63">
        <f t="shared" si="9"/>
        <v>0</v>
      </c>
      <c r="C78" s="62"/>
      <c r="D78" s="62"/>
      <c r="E78" s="62"/>
      <c r="F78" s="62"/>
      <c r="G78" s="62"/>
      <c r="H78" s="62"/>
      <c r="I78" s="62"/>
      <c r="J78" s="62"/>
      <c r="K78" s="62"/>
      <c r="L78" s="62"/>
      <c r="M78" s="62"/>
      <c r="N78" s="62"/>
    </row>
    <row r="79" spans="1:14" x14ac:dyDescent="0.2">
      <c r="A79" s="61" t="str">
        <f>CMS!A79</f>
        <v>Interest Expense</v>
      </c>
      <c r="B79" s="63">
        <f t="shared" si="9"/>
        <v>0</v>
      </c>
      <c r="C79" s="62"/>
      <c r="D79" s="62"/>
      <c r="E79" s="62"/>
      <c r="F79" s="62"/>
      <c r="G79" s="62"/>
      <c r="H79" s="62"/>
      <c r="I79" s="62"/>
      <c r="J79" s="62"/>
      <c r="K79" s="62"/>
      <c r="L79" s="62"/>
      <c r="M79" s="62"/>
      <c r="N79" s="62"/>
    </row>
    <row r="80" spans="1:14" x14ac:dyDescent="0.2">
      <c r="A80" s="61" t="str">
        <f>CMS!A80</f>
        <v>Meeting Expense</v>
      </c>
      <c r="B80" s="63">
        <f t="shared" si="9"/>
        <v>0</v>
      </c>
      <c r="C80" s="62"/>
      <c r="D80" s="62"/>
      <c r="E80" s="62"/>
      <c r="F80" s="62"/>
      <c r="G80" s="62"/>
      <c r="H80" s="62"/>
      <c r="I80" s="62"/>
      <c r="J80" s="62"/>
      <c r="K80" s="62"/>
      <c r="L80" s="62"/>
      <c r="M80" s="62"/>
      <c r="N80" s="62"/>
    </row>
    <row r="81" spans="1:15" x14ac:dyDescent="0.2">
      <c r="A81" s="61" t="str">
        <f>CMS!A81</f>
        <v>In Kind Expense</v>
      </c>
      <c r="B81" s="63">
        <f t="shared" si="9"/>
        <v>9528</v>
      </c>
      <c r="C81" s="62">
        <f>SUM(C41)</f>
        <v>794</v>
      </c>
      <c r="D81" s="62">
        <f t="shared" ref="D81:N81" si="12">SUM(D41)</f>
        <v>794</v>
      </c>
      <c r="E81" s="62">
        <f t="shared" si="12"/>
        <v>794</v>
      </c>
      <c r="F81" s="62">
        <f t="shared" si="12"/>
        <v>794</v>
      </c>
      <c r="G81" s="62">
        <f t="shared" si="12"/>
        <v>794</v>
      </c>
      <c r="H81" s="62">
        <f t="shared" si="12"/>
        <v>794</v>
      </c>
      <c r="I81" s="62">
        <f t="shared" si="12"/>
        <v>794</v>
      </c>
      <c r="J81" s="62">
        <f t="shared" si="12"/>
        <v>794</v>
      </c>
      <c r="K81" s="62">
        <f t="shared" si="12"/>
        <v>794</v>
      </c>
      <c r="L81" s="62">
        <f t="shared" si="12"/>
        <v>794</v>
      </c>
      <c r="M81" s="62">
        <f t="shared" si="12"/>
        <v>794</v>
      </c>
      <c r="N81" s="62">
        <f t="shared" si="12"/>
        <v>794</v>
      </c>
    </row>
    <row r="82" spans="1:15" s="101" customFormat="1" ht="13.5" thickBot="1" x14ac:dyDescent="0.25">
      <c r="A82" s="61" t="s">
        <v>180</v>
      </c>
      <c r="B82" s="63">
        <f t="shared" si="9"/>
        <v>0</v>
      </c>
      <c r="C82" s="62"/>
      <c r="D82" s="62"/>
      <c r="E82" s="62"/>
      <c r="F82" s="62"/>
      <c r="G82" s="62"/>
      <c r="H82" s="62"/>
      <c r="I82" s="62"/>
      <c r="J82" s="62"/>
      <c r="K82" s="62"/>
      <c r="L82" s="62"/>
      <c r="M82" s="62"/>
      <c r="N82" s="62"/>
    </row>
    <row r="83" spans="1:15" x14ac:dyDescent="0.2">
      <c r="A83" s="64" t="s">
        <v>24</v>
      </c>
      <c r="B83" s="65">
        <f>SUM(B57:B82)</f>
        <v>56487.619957116629</v>
      </c>
      <c r="C83" s="65">
        <f t="shared" ref="C83:N83" si="13">SUM(C57:C82)</f>
        <v>4518.9683297597194</v>
      </c>
      <c r="D83" s="65">
        <f t="shared" si="13"/>
        <v>4518.9683297597194</v>
      </c>
      <c r="E83" s="65">
        <f t="shared" si="13"/>
        <v>6178.9683297597185</v>
      </c>
      <c r="F83" s="65">
        <f t="shared" si="13"/>
        <v>4518.9683297597194</v>
      </c>
      <c r="G83" s="65">
        <f t="shared" si="13"/>
        <v>4518.9683297597194</v>
      </c>
      <c r="H83" s="65">
        <f t="shared" si="13"/>
        <v>4518.9683297597194</v>
      </c>
      <c r="I83" s="65">
        <f t="shared" si="13"/>
        <v>4518.9683297597194</v>
      </c>
      <c r="J83" s="65">
        <f t="shared" si="13"/>
        <v>4518.9683297597194</v>
      </c>
      <c r="K83" s="65">
        <f t="shared" si="13"/>
        <v>5118.9683297597185</v>
      </c>
      <c r="L83" s="65">
        <f t="shared" si="13"/>
        <v>4518.9683297597194</v>
      </c>
      <c r="M83" s="65">
        <f t="shared" si="13"/>
        <v>4518.9683297597194</v>
      </c>
      <c r="N83" s="65">
        <f t="shared" si="13"/>
        <v>4518.9683297597194</v>
      </c>
    </row>
    <row r="84" spans="1:15" x14ac:dyDescent="0.2">
      <c r="C84" s="60"/>
      <c r="D84" s="66"/>
      <c r="E84" s="66"/>
      <c r="F84" s="66"/>
      <c r="G84" s="66"/>
      <c r="H84" s="66"/>
      <c r="I84" s="66"/>
      <c r="J84" s="66"/>
      <c r="K84" s="66"/>
      <c r="L84" s="66"/>
      <c r="M84" s="66"/>
      <c r="N84" s="66"/>
    </row>
    <row r="85" spans="1:15" x14ac:dyDescent="0.2">
      <c r="C85" s="60"/>
      <c r="D85" s="66"/>
      <c r="E85" s="66"/>
      <c r="F85" s="66"/>
      <c r="G85" s="66"/>
      <c r="H85" s="66"/>
      <c r="I85" s="66"/>
      <c r="J85" s="66"/>
      <c r="K85" s="66"/>
      <c r="L85" s="66"/>
      <c r="M85" s="66"/>
      <c r="N85" s="66"/>
    </row>
    <row r="86" spans="1:15" x14ac:dyDescent="0.2">
      <c r="A86" s="58" t="s">
        <v>25</v>
      </c>
      <c r="C86" s="60"/>
      <c r="D86" s="66"/>
      <c r="E86" s="66"/>
      <c r="F86" s="66"/>
      <c r="G86" s="66"/>
      <c r="H86" s="66"/>
      <c r="I86" s="66"/>
      <c r="J86" s="66"/>
      <c r="K86" s="66"/>
      <c r="L86" s="66"/>
      <c r="M86" s="66"/>
      <c r="N86" s="66"/>
    </row>
    <row r="87" spans="1:15" x14ac:dyDescent="0.2">
      <c r="A87" s="61" t="s">
        <v>329</v>
      </c>
      <c r="B87" s="63">
        <f>SUM(C87:N87)</f>
        <v>-50434.577795041398</v>
      </c>
      <c r="C87" s="62">
        <f>SUM('CMS &amp; Fundraising Allocations'!B52)</f>
        <v>-6309.5837797262202</v>
      </c>
      <c r="D87" s="62">
        <f>SUM('CMS &amp; Fundraising Allocations'!C52)</f>
        <v>-11335.351004993991</v>
      </c>
      <c r="E87" s="62">
        <f>SUM('CMS &amp; Fundraising Allocations'!D52)</f>
        <v>-16983.484038874791</v>
      </c>
      <c r="F87" s="62">
        <f>SUM('CMS &amp; Fundraising Allocations'!E52)</f>
        <v>-11347.758348689704</v>
      </c>
      <c r="G87" s="62">
        <f>SUM('CMS &amp; Fundraising Allocations'!F52)</f>
        <v>-11124.140413272682</v>
      </c>
      <c r="H87" s="62">
        <f>SUM('CMS &amp; Fundraising Allocations'!G52)</f>
        <v>-12470.82890877992</v>
      </c>
      <c r="I87" s="62">
        <f>SUM('CMS &amp; Fundraising Allocations'!H52)</f>
        <v>-2578.6337776753221</v>
      </c>
      <c r="J87" s="62">
        <f>SUM('CMS &amp; Fundraising Allocations'!I52)</f>
        <v>-9468.3153836921465</v>
      </c>
      <c r="K87" s="62">
        <f>SUM('CMS &amp; Fundraising Allocations'!J52)</f>
        <v>-9329.664769721745</v>
      </c>
      <c r="L87" s="62">
        <f>SUM('CMS &amp; Fundraising Allocations'!K52)</f>
        <v>-8230.6492754544888</v>
      </c>
      <c r="M87" s="62">
        <f>SUM('CMS &amp; Fundraising Allocations'!L52)</f>
        <v>7980.6098157647348</v>
      </c>
      <c r="N87" s="62">
        <f>SUM('CMS &amp; Fundraising Allocations'!M52)</f>
        <v>40763.222090074858</v>
      </c>
      <c r="O87" s="140"/>
    </row>
    <row r="88" spans="1:15" x14ac:dyDescent="0.2">
      <c r="A88" s="61" t="s">
        <v>330</v>
      </c>
      <c r="B88" s="63">
        <f>SUM(C88:N88)</f>
        <v>-16446.243587774417</v>
      </c>
      <c r="C88" s="62">
        <f>SUM(-'1020 N State Allocations'!B56)</f>
        <v>-1417.142333825482</v>
      </c>
      <c r="D88" s="62">
        <f>SUM(-'1020 N State Allocations'!C56)</f>
        <v>-1417.142333825482</v>
      </c>
      <c r="E88" s="62">
        <f>SUM(-'1020 N State Allocations'!D56)</f>
        <v>-1417.142333825482</v>
      </c>
      <c r="F88" s="62">
        <f>SUM(-'1020 N State Allocations'!E56)</f>
        <v>-1421.7424324394913</v>
      </c>
      <c r="G88" s="62">
        <f>SUM(-'1020 N State Allocations'!F56)</f>
        <v>-1410.2977305195527</v>
      </c>
      <c r="H88" s="62">
        <f>SUM(-'1020 N State Allocations'!G56)</f>
        <v>-1376.1777473608938</v>
      </c>
      <c r="I88" s="62">
        <f>SUM(-'1020 N State Allocations'!H56)</f>
        <v>-1338.3322913849604</v>
      </c>
      <c r="J88" s="62">
        <f>SUM(-'1020 N State Allocations'!I56)</f>
        <v>-1338.3322913849604</v>
      </c>
      <c r="K88" s="62">
        <f>SUM(-'1020 N State Allocations'!J56)</f>
        <v>-1325.9747578525039</v>
      </c>
      <c r="L88" s="62">
        <f>SUM(-'1020 N State Allocations'!K56)</f>
        <v>-1325.9747578525039</v>
      </c>
      <c r="M88" s="62">
        <f>SUM(-'1020 N State Allocations'!L56)</f>
        <v>-1328.9922887515522</v>
      </c>
      <c r="N88" s="62">
        <f>SUM(-'1020 N State Allocations'!M56)</f>
        <v>-1328.9922887515522</v>
      </c>
    </row>
    <row r="89" spans="1:15" ht="13.5" thickBot="1" x14ac:dyDescent="0.25">
      <c r="A89" s="61"/>
      <c r="B89" s="63">
        <f>SUM(C89:N89)</f>
        <v>0</v>
      </c>
      <c r="C89" s="63"/>
      <c r="D89" s="62"/>
      <c r="E89" s="62"/>
      <c r="F89" s="62"/>
      <c r="G89" s="62"/>
      <c r="H89" s="62"/>
      <c r="I89" s="62"/>
      <c r="J89" s="62"/>
      <c r="K89" s="62"/>
      <c r="L89" s="62"/>
      <c r="M89" s="62"/>
      <c r="N89" s="62"/>
    </row>
    <row r="90" spans="1:15" x14ac:dyDescent="0.2">
      <c r="A90" s="64" t="s">
        <v>26</v>
      </c>
      <c r="B90" s="65">
        <f t="shared" ref="B90:N90" si="14">SUM(B87:B89)</f>
        <v>-66880.821382815819</v>
      </c>
      <c r="C90" s="65">
        <f t="shared" si="14"/>
        <v>-7726.7261135517019</v>
      </c>
      <c r="D90" s="65">
        <f t="shared" si="14"/>
        <v>-12752.493338819473</v>
      </c>
      <c r="E90" s="65">
        <f t="shared" si="14"/>
        <v>-18400.626372700273</v>
      </c>
      <c r="F90" s="65">
        <f t="shared" si="14"/>
        <v>-12769.500781129194</v>
      </c>
      <c r="G90" s="65">
        <f t="shared" si="14"/>
        <v>-12534.438143792235</v>
      </c>
      <c r="H90" s="65">
        <f t="shared" si="14"/>
        <v>-13847.006656140815</v>
      </c>
      <c r="I90" s="65">
        <f t="shared" si="14"/>
        <v>-3916.9660690602823</v>
      </c>
      <c r="J90" s="65">
        <f t="shared" si="14"/>
        <v>-10806.647675077107</v>
      </c>
      <c r="K90" s="65">
        <f t="shared" si="14"/>
        <v>-10655.639527574249</v>
      </c>
      <c r="L90" s="65">
        <f t="shared" si="14"/>
        <v>-9556.6240333069927</v>
      </c>
      <c r="M90" s="65">
        <f t="shared" si="14"/>
        <v>6651.6175270131826</v>
      </c>
      <c r="N90" s="65">
        <f t="shared" si="14"/>
        <v>39434.229801323308</v>
      </c>
    </row>
    <row r="91" spans="1:15" x14ac:dyDescent="0.2">
      <c r="C91" s="60"/>
      <c r="D91" s="66"/>
      <c r="E91" s="66"/>
      <c r="F91" s="66"/>
      <c r="G91" s="66"/>
      <c r="H91" s="66"/>
      <c r="I91" s="66"/>
      <c r="J91" s="66"/>
      <c r="K91" s="66"/>
      <c r="L91" s="66"/>
      <c r="M91" s="66"/>
      <c r="N91" s="66"/>
    </row>
    <row r="92" spans="1:15" x14ac:dyDescent="0.2">
      <c r="A92" s="265" t="s">
        <v>405</v>
      </c>
      <c r="B92" s="266"/>
      <c r="C92" s="266">
        <f>SUM(C46-C53-C83-C90)</f>
        <v>52218.708302570725</v>
      </c>
      <c r="D92" s="266">
        <f t="shared" ref="D92:N92" si="15">SUM(D46-D53-D83-D90)</f>
        <v>28000.475527838491</v>
      </c>
      <c r="E92" s="266">
        <f t="shared" si="15"/>
        <v>18978.608561719291</v>
      </c>
      <c r="F92" s="266">
        <f t="shared" si="15"/>
        <v>11259.482970148212</v>
      </c>
      <c r="G92" s="266">
        <f t="shared" si="15"/>
        <v>10901.420332811253</v>
      </c>
      <c r="H92" s="266">
        <f t="shared" si="15"/>
        <v>12213.988845159831</v>
      </c>
      <c r="I92" s="266">
        <f t="shared" si="15"/>
        <v>2283.9482580792992</v>
      </c>
      <c r="J92" s="266">
        <f t="shared" si="15"/>
        <v>9173.6298640961249</v>
      </c>
      <c r="K92" s="266">
        <f t="shared" si="15"/>
        <v>8422.6217165932667</v>
      </c>
      <c r="L92" s="266">
        <f t="shared" si="15"/>
        <v>10923.606222326009</v>
      </c>
      <c r="M92" s="266">
        <f t="shared" si="15"/>
        <v>-8284.6353379941647</v>
      </c>
      <c r="N92" s="267">
        <f t="shared" si="15"/>
        <v>-41067.247612304294</v>
      </c>
    </row>
    <row r="93" spans="1:15" x14ac:dyDescent="0.2">
      <c r="C93" s="60"/>
      <c r="D93" s="66"/>
      <c r="E93" s="66"/>
      <c r="F93" s="66"/>
      <c r="G93" s="66"/>
      <c r="H93" s="66"/>
      <c r="I93" s="66"/>
      <c r="J93" s="66"/>
      <c r="K93" s="66"/>
      <c r="L93" s="66"/>
      <c r="M93" s="66"/>
      <c r="N93" s="66"/>
    </row>
    <row r="94" spans="1:15" x14ac:dyDescent="0.2">
      <c r="B94" s="86" t="str">
        <f>B5</f>
        <v>Total</v>
      </c>
      <c r="C94" s="86"/>
      <c r="D94" s="66"/>
      <c r="E94" s="66"/>
      <c r="F94" s="66"/>
      <c r="G94" s="66"/>
      <c r="H94" s="66"/>
      <c r="I94" s="66"/>
      <c r="J94" s="66"/>
      <c r="K94" s="66"/>
      <c r="L94" s="66"/>
      <c r="M94" s="66"/>
      <c r="N94" s="66"/>
    </row>
    <row r="95" spans="1:15" x14ac:dyDescent="0.2">
      <c r="A95" s="58" t="s">
        <v>31</v>
      </c>
      <c r="B95" s="60">
        <f>SUM(B46)</f>
        <v>626856</v>
      </c>
      <c r="C95" s="81"/>
      <c r="D95" s="66"/>
      <c r="E95" s="66"/>
      <c r="F95" s="66"/>
      <c r="G95" s="66"/>
      <c r="H95" s="66"/>
      <c r="I95" s="66"/>
      <c r="J95" s="66"/>
      <c r="K95" s="66"/>
      <c r="L95" s="66"/>
      <c r="M95" s="66"/>
      <c r="N95" s="66"/>
    </row>
    <row r="96" spans="1:15" x14ac:dyDescent="0.2">
      <c r="A96" s="58" t="s">
        <v>32</v>
      </c>
      <c r="B96" s="60">
        <f>-B53</f>
        <v>-522224.59377465525</v>
      </c>
      <c r="C96" s="81"/>
      <c r="D96" s="66"/>
      <c r="E96" s="66"/>
      <c r="F96" s="66"/>
      <c r="G96" s="66"/>
      <c r="H96" s="66"/>
      <c r="I96" s="66"/>
      <c r="J96" s="66"/>
      <c r="K96" s="66"/>
      <c r="L96" s="66"/>
      <c r="M96" s="66"/>
      <c r="N96" s="66"/>
    </row>
    <row r="97" spans="1:14" x14ac:dyDescent="0.2">
      <c r="A97" s="58" t="s">
        <v>33</v>
      </c>
      <c r="B97" s="60">
        <f>SUM(-B83)</f>
        <v>-56487.619957116629</v>
      </c>
      <c r="C97" s="81"/>
      <c r="D97" s="66"/>
      <c r="E97" s="66"/>
      <c r="F97" s="66"/>
      <c r="G97" s="66"/>
      <c r="H97" s="66"/>
      <c r="I97" s="66"/>
      <c r="J97" s="66"/>
      <c r="K97" s="66"/>
      <c r="L97" s="66"/>
      <c r="M97" s="66"/>
      <c r="N97" s="66"/>
    </row>
    <row r="98" spans="1:14" x14ac:dyDescent="0.2">
      <c r="A98" s="58" t="s">
        <v>182</v>
      </c>
      <c r="B98" s="60">
        <f>SUM(B90)</f>
        <v>-66880.821382815819</v>
      </c>
      <c r="C98" s="130"/>
      <c r="D98" s="89"/>
      <c r="E98" s="66"/>
      <c r="F98" s="66"/>
      <c r="G98" s="66"/>
      <c r="H98" s="66"/>
      <c r="I98" s="66"/>
      <c r="J98" s="66"/>
      <c r="K98" s="66"/>
      <c r="L98" s="66"/>
      <c r="M98" s="66"/>
      <c r="N98" s="66"/>
    </row>
    <row r="99" spans="1:14" x14ac:dyDescent="0.2">
      <c r="A99" s="87" t="s">
        <v>35</v>
      </c>
      <c r="B99" s="88">
        <f>SUM(B95:B98)</f>
        <v>-18737.035114587699</v>
      </c>
      <c r="C99" s="81"/>
      <c r="D99" s="66"/>
      <c r="E99" s="73"/>
      <c r="F99" s="66"/>
      <c r="G99" s="81"/>
      <c r="H99" s="81"/>
      <c r="I99" s="66"/>
      <c r="J99" s="66"/>
      <c r="K99" s="66"/>
      <c r="L99" s="66"/>
      <c r="M99" s="66"/>
      <c r="N99" s="66"/>
    </row>
    <row r="100" spans="1:14" x14ac:dyDescent="0.2">
      <c r="C100" s="81"/>
      <c r="D100" s="66"/>
      <c r="E100" s="66"/>
      <c r="F100" s="66"/>
      <c r="G100" s="66"/>
      <c r="H100" s="66"/>
      <c r="I100" s="66"/>
      <c r="J100" s="66"/>
      <c r="K100" s="66"/>
      <c r="L100" s="66"/>
      <c r="M100" s="66"/>
      <c r="N100" s="66"/>
    </row>
    <row r="101" spans="1:14" x14ac:dyDescent="0.2">
      <c r="C101" s="60"/>
      <c r="D101" s="66"/>
      <c r="E101" s="66"/>
      <c r="F101" s="66"/>
      <c r="G101" s="66"/>
      <c r="H101" s="66"/>
      <c r="I101" s="66"/>
      <c r="J101" s="66"/>
      <c r="K101" s="66"/>
      <c r="L101" s="66"/>
      <c r="M101" s="66"/>
      <c r="N101" s="66"/>
    </row>
    <row r="102" spans="1:14" x14ac:dyDescent="0.2">
      <c r="A102" s="58"/>
      <c r="B102" s="60" t="s">
        <v>183</v>
      </c>
      <c r="C102" s="75">
        <f>SUM(C108+C121+C134+C147+C160+C173+C186+C199+C212+C225+C238+C251+C264+C277+C290+C303+C316+C329+C342+C355+C368+C393+C406+C419+C432+C445+C458)</f>
        <v>12.435919540229886</v>
      </c>
      <c r="D102" s="75">
        <f t="shared" ref="D102:N102" si="16">SUM(D108+D121+D134+D147+D160+D173+D186+D199+D212+D225+D238+D251+D264+D277+D290+D303+D316+D329+D342+D355+D368+D393+D406+D419+D432+D445+D458)</f>
        <v>12.435919540229886</v>
      </c>
      <c r="E102" s="75">
        <f t="shared" si="16"/>
        <v>12.435919540229886</v>
      </c>
      <c r="F102" s="75">
        <f t="shared" si="16"/>
        <v>12.435919540229886</v>
      </c>
      <c r="G102" s="75">
        <f t="shared" si="16"/>
        <v>12.435919540229886</v>
      </c>
      <c r="H102" s="75">
        <f t="shared" si="16"/>
        <v>12.435919540229886</v>
      </c>
      <c r="I102" s="75">
        <f t="shared" si="16"/>
        <v>12.435919540229886</v>
      </c>
      <c r="J102" s="75">
        <f t="shared" si="16"/>
        <v>12.435919540229886</v>
      </c>
      <c r="K102" s="75">
        <f t="shared" si="16"/>
        <v>12.435919540229886</v>
      </c>
      <c r="L102" s="75">
        <f t="shared" si="16"/>
        <v>12.435919540229886</v>
      </c>
      <c r="M102" s="75">
        <f t="shared" si="16"/>
        <v>12.435919540229886</v>
      </c>
      <c r="N102" s="75">
        <f t="shared" si="16"/>
        <v>12.435919540229886</v>
      </c>
    </row>
    <row r="103" spans="1:14" x14ac:dyDescent="0.2">
      <c r="A103" s="58"/>
      <c r="C103" s="73"/>
      <c r="D103" s="66"/>
      <c r="E103" s="66"/>
      <c r="F103" s="66"/>
      <c r="G103" s="66"/>
      <c r="H103" s="66"/>
      <c r="I103" s="66"/>
      <c r="J103" s="66"/>
      <c r="K103" s="66"/>
      <c r="L103" s="66"/>
      <c r="M103" s="66"/>
    </row>
    <row r="104" spans="1:14" x14ac:dyDescent="0.2">
      <c r="A104" s="116" t="s">
        <v>184</v>
      </c>
      <c r="B104" s="92"/>
      <c r="C104" s="25"/>
      <c r="D104" s="91"/>
      <c r="E104" s="91"/>
      <c r="F104" s="91"/>
      <c r="G104" s="91"/>
      <c r="H104" s="91"/>
      <c r="I104" s="91"/>
      <c r="J104" s="91"/>
      <c r="K104" s="91"/>
      <c r="L104" s="91"/>
      <c r="M104" s="91"/>
      <c r="N104" s="27"/>
    </row>
    <row r="105" spans="1:14" x14ac:dyDescent="0.2">
      <c r="C105" s="89" t="str">
        <f t="shared" ref="C105:N105" si="17">C5</f>
        <v>January</v>
      </c>
      <c r="D105" s="89" t="str">
        <f t="shared" si="17"/>
        <v>February</v>
      </c>
      <c r="E105" s="89" t="str">
        <f t="shared" si="17"/>
        <v>March</v>
      </c>
      <c r="F105" s="89" t="str">
        <f t="shared" si="17"/>
        <v>April</v>
      </c>
      <c r="G105" s="89" t="str">
        <f t="shared" si="17"/>
        <v>May</v>
      </c>
      <c r="H105" s="89" t="str">
        <f t="shared" si="17"/>
        <v>June</v>
      </c>
      <c r="I105" s="89" t="str">
        <f t="shared" si="17"/>
        <v>July</v>
      </c>
      <c r="J105" s="89" t="str">
        <f t="shared" si="17"/>
        <v>August</v>
      </c>
      <c r="K105" s="89" t="str">
        <f t="shared" si="17"/>
        <v>September</v>
      </c>
      <c r="L105" s="89" t="str">
        <f t="shared" si="17"/>
        <v>October</v>
      </c>
      <c r="M105" s="89" t="str">
        <f t="shared" si="17"/>
        <v>November</v>
      </c>
      <c r="N105" s="89" t="str">
        <f t="shared" si="17"/>
        <v>December</v>
      </c>
    </row>
    <row r="106" spans="1:14" x14ac:dyDescent="0.2">
      <c r="C106" s="72">
        <v>31</v>
      </c>
      <c r="D106" s="72">
        <v>31</v>
      </c>
      <c r="E106" s="72">
        <v>30</v>
      </c>
      <c r="F106" s="72">
        <v>31</v>
      </c>
      <c r="G106" s="72">
        <v>30</v>
      </c>
      <c r="H106" s="72">
        <v>31</v>
      </c>
      <c r="I106" s="72">
        <v>31</v>
      </c>
      <c r="J106" s="72">
        <v>28</v>
      </c>
      <c r="K106" s="72">
        <v>31</v>
      </c>
      <c r="L106" s="72">
        <v>30</v>
      </c>
      <c r="M106" s="72">
        <v>31</v>
      </c>
      <c r="N106" s="71">
        <v>30</v>
      </c>
    </row>
    <row r="107" spans="1:14" x14ac:dyDescent="0.2">
      <c r="B107" s="89" t="s">
        <v>185</v>
      </c>
      <c r="C107" s="78">
        <v>1</v>
      </c>
      <c r="D107" s="78">
        <v>0</v>
      </c>
      <c r="E107" s="78">
        <v>1</v>
      </c>
      <c r="F107" s="78">
        <f>F94</f>
        <v>0</v>
      </c>
      <c r="G107" s="78">
        <v>2</v>
      </c>
      <c r="H107" s="78">
        <f>H94</f>
        <v>0</v>
      </c>
      <c r="I107" s="78">
        <v>2</v>
      </c>
      <c r="J107" s="78">
        <v>1</v>
      </c>
      <c r="K107" s="78">
        <v>0</v>
      </c>
      <c r="L107" s="78">
        <v>0</v>
      </c>
      <c r="M107" s="78">
        <v>1</v>
      </c>
      <c r="N107" s="78">
        <f>N94</f>
        <v>0</v>
      </c>
    </row>
    <row r="108" spans="1:14" x14ac:dyDescent="0.2">
      <c r="B108" s="89" t="s">
        <v>44</v>
      </c>
      <c r="C108" s="49">
        <v>1</v>
      </c>
      <c r="D108" s="49">
        <v>1</v>
      </c>
      <c r="E108" s="49">
        <v>1</v>
      </c>
      <c r="F108" s="49">
        <v>1</v>
      </c>
      <c r="G108" s="49">
        <v>1</v>
      </c>
      <c r="H108" s="49">
        <v>1</v>
      </c>
      <c r="I108" s="49">
        <v>1</v>
      </c>
      <c r="J108" s="49">
        <v>1</v>
      </c>
      <c r="K108" s="49">
        <v>1</v>
      </c>
      <c r="L108" s="49">
        <v>1</v>
      </c>
      <c r="M108" s="49">
        <v>1</v>
      </c>
      <c r="N108" s="49">
        <v>1</v>
      </c>
    </row>
    <row r="109" spans="1:14" x14ac:dyDescent="0.2">
      <c r="B109" s="89" t="s">
        <v>186</v>
      </c>
      <c r="C109" s="53">
        <f>SUM(174*C108)</f>
        <v>174</v>
      </c>
      <c r="D109" s="53">
        <f t="shared" ref="D109:N109" si="18">SUM(174*D108)</f>
        <v>174</v>
      </c>
      <c r="E109" s="53">
        <f t="shared" si="18"/>
        <v>174</v>
      </c>
      <c r="F109" s="53">
        <f t="shared" si="18"/>
        <v>174</v>
      </c>
      <c r="G109" s="53">
        <f t="shared" si="18"/>
        <v>174</v>
      </c>
      <c r="H109" s="53">
        <f t="shared" si="18"/>
        <v>174</v>
      </c>
      <c r="I109" s="53">
        <f t="shared" si="18"/>
        <v>174</v>
      </c>
      <c r="J109" s="53">
        <f t="shared" si="18"/>
        <v>174</v>
      </c>
      <c r="K109" s="53">
        <f t="shared" si="18"/>
        <v>174</v>
      </c>
      <c r="L109" s="53">
        <f t="shared" si="18"/>
        <v>174</v>
      </c>
      <c r="M109" s="53">
        <f t="shared" si="18"/>
        <v>174</v>
      </c>
      <c r="N109" s="53">
        <f t="shared" si="18"/>
        <v>174</v>
      </c>
    </row>
    <row r="110" spans="1:14" x14ac:dyDescent="0.2">
      <c r="A110" s="59" t="s">
        <v>356</v>
      </c>
      <c r="B110" s="78" t="s">
        <v>357</v>
      </c>
      <c r="C110" s="66">
        <f>SUM(C109*$B$111)</f>
        <v>4052.46</v>
      </c>
      <c r="D110" s="66">
        <f t="shared" ref="D110:N110" si="19">SUM(D109*$B$111)</f>
        <v>4052.46</v>
      </c>
      <c r="E110" s="66">
        <f t="shared" si="19"/>
        <v>4052.46</v>
      </c>
      <c r="F110" s="66">
        <f t="shared" si="19"/>
        <v>4052.46</v>
      </c>
      <c r="G110" s="66">
        <f t="shared" si="19"/>
        <v>4052.46</v>
      </c>
      <c r="H110" s="66">
        <f t="shared" si="19"/>
        <v>4052.46</v>
      </c>
      <c r="I110" s="66">
        <f t="shared" si="19"/>
        <v>4052.46</v>
      </c>
      <c r="J110" s="66">
        <f t="shared" si="19"/>
        <v>4052.46</v>
      </c>
      <c r="K110" s="66">
        <f t="shared" si="19"/>
        <v>4052.46</v>
      </c>
      <c r="L110" s="66">
        <f t="shared" si="19"/>
        <v>4052.46</v>
      </c>
      <c r="M110" s="66">
        <f t="shared" si="19"/>
        <v>4052.46</v>
      </c>
      <c r="N110" s="66">
        <f t="shared" si="19"/>
        <v>4052.46</v>
      </c>
    </row>
    <row r="111" spans="1:14" x14ac:dyDescent="0.2">
      <c r="A111" s="59" t="s">
        <v>188</v>
      </c>
      <c r="B111" s="74">
        <v>23.29</v>
      </c>
      <c r="C111" s="66">
        <f>SUM(C110)*'Data Links'!$B$15</f>
        <v>310.01319000000001</v>
      </c>
      <c r="D111" s="66">
        <f>SUM(D110)*'Data Links'!$B$15</f>
        <v>310.01319000000001</v>
      </c>
      <c r="E111" s="66">
        <f>SUM(E110)*'Data Links'!$B$15</f>
        <v>310.01319000000001</v>
      </c>
      <c r="F111" s="66">
        <f>SUM(F110)*'Data Links'!$B$15</f>
        <v>310.01319000000001</v>
      </c>
      <c r="G111" s="66">
        <f>SUM(G110)*'Data Links'!$B$15</f>
        <v>310.01319000000001</v>
      </c>
      <c r="H111" s="66">
        <f>SUM(H110)*'Data Links'!$B$15</f>
        <v>310.01319000000001</v>
      </c>
      <c r="I111" s="66">
        <f>SUM(I110)*'Data Links'!$B$15</f>
        <v>310.01319000000001</v>
      </c>
      <c r="J111" s="66">
        <f>SUM(J110)*'Data Links'!$B$15</f>
        <v>310.01319000000001</v>
      </c>
      <c r="K111" s="66">
        <f>SUM(K110)*'Data Links'!$B$15</f>
        <v>310.01319000000001</v>
      </c>
      <c r="L111" s="66">
        <f>SUM(L110)*'Data Links'!$B$15</f>
        <v>310.01319000000001</v>
      </c>
      <c r="M111" s="66">
        <f>SUM(M110)*'Data Links'!$B$15</f>
        <v>310.01319000000001</v>
      </c>
      <c r="N111" s="66">
        <f>SUM(N110)*'Data Links'!$B$15</f>
        <v>310.01319000000001</v>
      </c>
    </row>
    <row r="112" spans="1:14" x14ac:dyDescent="0.2">
      <c r="A112" s="59" t="s">
        <v>189</v>
      </c>
      <c r="C112" s="66">
        <f>SUM(C110*'Data Links'!$B$13)</f>
        <v>24.31476</v>
      </c>
      <c r="D112" s="66">
        <f>SUM(D110*'Data Links'!$B$13)</f>
        <v>24.31476</v>
      </c>
      <c r="E112" s="66">
        <f>SUM(E110*'Data Links'!$B$13)</f>
        <v>24.31476</v>
      </c>
      <c r="F112" s="66">
        <f>SUM(F110*'Data Links'!$B$13)</f>
        <v>24.31476</v>
      </c>
      <c r="G112" s="66">
        <f>SUM(G110*'Data Links'!$B$13)</f>
        <v>24.31476</v>
      </c>
      <c r="H112" s="66">
        <f>SUM(H110*'Data Links'!$B$13)</f>
        <v>24.31476</v>
      </c>
      <c r="I112" s="66">
        <f>SUM(I110*'Data Links'!$B$13)</f>
        <v>24.31476</v>
      </c>
      <c r="J112" s="66">
        <f>SUM(J110*'Data Links'!$B$13)</f>
        <v>24.31476</v>
      </c>
      <c r="K112" s="66">
        <f>SUM(K110*'Data Links'!$B$13)</f>
        <v>24.31476</v>
      </c>
      <c r="L112" s="66">
        <f>SUM(L110*'Data Links'!$B$13)</f>
        <v>24.31476</v>
      </c>
      <c r="M112" s="66">
        <f>SUM(M110*'Data Links'!$B$13)</f>
        <v>24.31476</v>
      </c>
      <c r="N112" s="66">
        <f>SUM(N110*'Data Links'!$B$13)</f>
        <v>24.31476</v>
      </c>
    </row>
    <row r="113" spans="1:14" x14ac:dyDescent="0.2">
      <c r="A113" s="59" t="s">
        <v>190</v>
      </c>
      <c r="C113" s="66">
        <f>SUM(C109*'Data Links'!$B$10)</f>
        <v>84.433500000000009</v>
      </c>
      <c r="D113" s="66">
        <f>SUM(D109*'Data Links'!$B$10)</f>
        <v>84.433500000000009</v>
      </c>
      <c r="E113" s="66">
        <f>SUM(E109*'Data Links'!$B$10)</f>
        <v>84.433500000000009</v>
      </c>
      <c r="F113" s="66">
        <f>SUM(F109*'Data Links'!$B$10)</f>
        <v>84.433500000000009</v>
      </c>
      <c r="G113" s="66">
        <f>SUM(G109*'Data Links'!$B$10)</f>
        <v>84.433500000000009</v>
      </c>
      <c r="H113" s="66">
        <f>SUM(H109*'Data Links'!$B$10)</f>
        <v>84.433500000000009</v>
      </c>
      <c r="I113" s="66">
        <f>SUM(I109*'Data Links'!$B$10)</f>
        <v>84.433500000000009</v>
      </c>
      <c r="J113" s="66">
        <f>SUM(J109*'Data Links'!$B$10)</f>
        <v>84.433500000000009</v>
      </c>
      <c r="K113" s="66">
        <f>SUM(K109*'Data Links'!$B$10)</f>
        <v>84.433500000000009</v>
      </c>
      <c r="L113" s="66">
        <f>SUM(L109*'Data Links'!$B$10)</f>
        <v>84.433500000000009</v>
      </c>
      <c r="M113" s="66">
        <f>SUM(M109*'Data Links'!$B$10)</f>
        <v>84.433500000000009</v>
      </c>
      <c r="N113" s="66">
        <f>SUM(N109*'Data Links'!$B$10)</f>
        <v>84.433500000000009</v>
      </c>
    </row>
    <row r="114" spans="1:14" x14ac:dyDescent="0.2">
      <c r="A114" s="59" t="s">
        <v>191</v>
      </c>
      <c r="C114" s="66">
        <f>SUM('All Employees'!$P$33)*C108</f>
        <v>396.6078</v>
      </c>
      <c r="D114" s="66">
        <f>SUM('All Employees'!$P$33)</f>
        <v>396.6078</v>
      </c>
      <c r="E114" s="66">
        <f>SUM('All Employees'!$P$33)</f>
        <v>396.6078</v>
      </c>
      <c r="F114" s="66">
        <f>SUM('All Employees'!$P$33)</f>
        <v>396.6078</v>
      </c>
      <c r="G114" s="66">
        <f>SUM('All Employees'!$P$33)</f>
        <v>396.6078</v>
      </c>
      <c r="H114" s="66">
        <f>SUM('All Employees'!$P$33)</f>
        <v>396.6078</v>
      </c>
      <c r="I114" s="66">
        <f>SUM('All Employees'!$P$33)</f>
        <v>396.6078</v>
      </c>
      <c r="J114" s="66">
        <f>SUM('All Employees'!$P$33)</f>
        <v>396.6078</v>
      </c>
      <c r="K114" s="66">
        <f>SUM('All Employees'!$P$33)</f>
        <v>396.6078</v>
      </c>
      <c r="L114" s="66">
        <f>SUM('All Employees'!$P$33)</f>
        <v>396.6078</v>
      </c>
      <c r="M114" s="66">
        <f>SUM('All Employees'!$P$33)</f>
        <v>396.6078</v>
      </c>
      <c r="N114" s="66">
        <f>SUM('All Employees'!$P$33)</f>
        <v>396.6078</v>
      </c>
    </row>
    <row r="115" spans="1:14" x14ac:dyDescent="0.2">
      <c r="A115" s="59" t="s">
        <v>192</v>
      </c>
      <c r="C115" s="66">
        <f>SUM(C110*'Data Links'!$B$17)</f>
        <v>121.57379999999999</v>
      </c>
      <c r="D115" s="66">
        <f>SUM(D110*'Data Links'!$B$17)</f>
        <v>121.57379999999999</v>
      </c>
      <c r="E115" s="66">
        <f>SUM(E110*'Data Links'!$B$17)</f>
        <v>121.57379999999999</v>
      </c>
      <c r="F115" s="66">
        <f>SUM(F110*'Data Links'!$B$17)</f>
        <v>121.57379999999999</v>
      </c>
      <c r="G115" s="66">
        <f>SUM(G110*'Data Links'!$B$17)</f>
        <v>121.57379999999999</v>
      </c>
      <c r="H115" s="66">
        <f>SUM(H110*'Data Links'!$B$17)</f>
        <v>121.57379999999999</v>
      </c>
      <c r="I115" s="66">
        <f>SUM(I110*'Data Links'!$B$17)</f>
        <v>121.57379999999999</v>
      </c>
      <c r="J115" s="66">
        <f>SUM(J110*'Data Links'!$B$17)</f>
        <v>121.57379999999999</v>
      </c>
      <c r="K115" s="66">
        <f>SUM(K110*'Data Links'!$B$17)</f>
        <v>121.57379999999999</v>
      </c>
      <c r="L115" s="66">
        <f>SUM(L110*'Data Links'!$B$17)</f>
        <v>121.57379999999999</v>
      </c>
      <c r="M115" s="66">
        <f>SUM(M110*'Data Links'!$B$17)</f>
        <v>121.57379999999999</v>
      </c>
      <c r="N115" s="66">
        <f>SUM(N110*'Data Links'!$B$17)</f>
        <v>121.57379999999999</v>
      </c>
    </row>
    <row r="116" spans="1:14" s="58" customFormat="1" x14ac:dyDescent="0.2">
      <c r="A116" s="58" t="s">
        <v>144</v>
      </c>
      <c r="B116" s="60"/>
      <c r="C116" s="60">
        <f t="shared" ref="C116:N116" si="20">SUM(C110:C115)</f>
        <v>4989.4030499999999</v>
      </c>
      <c r="D116" s="60">
        <f t="shared" si="20"/>
        <v>4989.4030499999999</v>
      </c>
      <c r="E116" s="60">
        <f t="shared" si="20"/>
        <v>4989.4030499999999</v>
      </c>
      <c r="F116" s="60">
        <f t="shared" si="20"/>
        <v>4989.4030499999999</v>
      </c>
      <c r="G116" s="60">
        <f t="shared" si="20"/>
        <v>4989.4030499999999</v>
      </c>
      <c r="H116" s="60">
        <f t="shared" si="20"/>
        <v>4989.4030499999999</v>
      </c>
      <c r="I116" s="60">
        <f t="shared" si="20"/>
        <v>4989.4030499999999</v>
      </c>
      <c r="J116" s="60">
        <f t="shared" si="20"/>
        <v>4989.4030499999999</v>
      </c>
      <c r="K116" s="60">
        <f t="shared" si="20"/>
        <v>4989.4030499999999</v>
      </c>
      <c r="L116" s="60">
        <f t="shared" si="20"/>
        <v>4989.4030499999999</v>
      </c>
      <c r="M116" s="60">
        <f t="shared" si="20"/>
        <v>4989.4030499999999</v>
      </c>
      <c r="N116" s="60">
        <f t="shared" si="20"/>
        <v>4989.4030499999999</v>
      </c>
    </row>
    <row r="117" spans="1:14" x14ac:dyDescent="0.2">
      <c r="C117" s="60"/>
      <c r="D117" s="66"/>
      <c r="E117" s="66"/>
      <c r="F117" s="66"/>
      <c r="G117" s="66"/>
      <c r="H117" s="66"/>
      <c r="I117" s="66"/>
      <c r="J117" s="66"/>
      <c r="K117" s="66"/>
      <c r="L117" s="66"/>
      <c r="M117" s="66"/>
      <c r="N117" s="66"/>
    </row>
    <row r="118" spans="1:14" x14ac:dyDescent="0.2">
      <c r="C118" s="89" t="str">
        <f>C105</f>
        <v>January</v>
      </c>
      <c r="D118" s="89" t="str">
        <f t="shared" ref="D118:N118" si="21">D105</f>
        <v>February</v>
      </c>
      <c r="E118" s="89" t="str">
        <f t="shared" si="21"/>
        <v>March</v>
      </c>
      <c r="F118" s="89" t="str">
        <f t="shared" si="21"/>
        <v>April</v>
      </c>
      <c r="G118" s="89" t="str">
        <f t="shared" si="21"/>
        <v>May</v>
      </c>
      <c r="H118" s="89" t="str">
        <f t="shared" si="21"/>
        <v>June</v>
      </c>
      <c r="I118" s="89" t="str">
        <f t="shared" si="21"/>
        <v>July</v>
      </c>
      <c r="J118" s="89" t="str">
        <f t="shared" si="21"/>
        <v>August</v>
      </c>
      <c r="K118" s="89" t="str">
        <f t="shared" si="21"/>
        <v>September</v>
      </c>
      <c r="L118" s="89" t="str">
        <f t="shared" si="21"/>
        <v>October</v>
      </c>
      <c r="M118" s="89" t="str">
        <f t="shared" si="21"/>
        <v>November</v>
      </c>
      <c r="N118" s="89" t="str">
        <f t="shared" si="21"/>
        <v>December</v>
      </c>
    </row>
    <row r="119" spans="1:14" x14ac:dyDescent="0.2">
      <c r="C119" s="72">
        <v>31</v>
      </c>
      <c r="D119" s="72">
        <v>31</v>
      </c>
      <c r="E119" s="72">
        <v>30</v>
      </c>
      <c r="F119" s="72">
        <v>31</v>
      </c>
      <c r="G119" s="72">
        <v>30</v>
      </c>
      <c r="H119" s="72">
        <v>31</v>
      </c>
      <c r="I119" s="72">
        <v>31</v>
      </c>
      <c r="J119" s="72">
        <v>28</v>
      </c>
      <c r="K119" s="72">
        <v>31</v>
      </c>
      <c r="L119" s="72">
        <v>30</v>
      </c>
      <c r="M119" s="72">
        <v>31</v>
      </c>
      <c r="N119" s="71">
        <v>30</v>
      </c>
    </row>
    <row r="120" spans="1:14" x14ac:dyDescent="0.2">
      <c r="B120" s="89" t="s">
        <v>185</v>
      </c>
      <c r="C120" s="78">
        <v>1</v>
      </c>
      <c r="D120" s="78">
        <v>0</v>
      </c>
      <c r="E120" s="78">
        <v>1</v>
      </c>
      <c r="F120" s="78">
        <f>F107</f>
        <v>0</v>
      </c>
      <c r="G120" s="78">
        <v>2</v>
      </c>
      <c r="H120" s="78">
        <f>H107</f>
        <v>0</v>
      </c>
      <c r="I120" s="78">
        <v>2</v>
      </c>
      <c r="J120" s="78">
        <v>1</v>
      </c>
      <c r="K120" s="78">
        <v>0</v>
      </c>
      <c r="L120" s="78">
        <v>0</v>
      </c>
      <c r="M120" s="78">
        <v>1</v>
      </c>
      <c r="N120" s="78">
        <f>N107</f>
        <v>0</v>
      </c>
    </row>
    <row r="121" spans="1:14" x14ac:dyDescent="0.2">
      <c r="B121" s="89" t="s">
        <v>44</v>
      </c>
      <c r="C121" s="49">
        <v>0.35</v>
      </c>
      <c r="D121" s="49">
        <v>0.35</v>
      </c>
      <c r="E121" s="49">
        <v>0.35</v>
      </c>
      <c r="F121" s="49">
        <v>0.35</v>
      </c>
      <c r="G121" s="49">
        <v>0.35</v>
      </c>
      <c r="H121" s="49">
        <v>0.35</v>
      </c>
      <c r="I121" s="49">
        <v>0.35</v>
      </c>
      <c r="J121" s="49">
        <v>0.35</v>
      </c>
      <c r="K121" s="49">
        <v>0.35</v>
      </c>
      <c r="L121" s="49">
        <v>0.35</v>
      </c>
      <c r="M121" s="49">
        <v>0.35</v>
      </c>
      <c r="N121" s="49">
        <v>0.35</v>
      </c>
    </row>
    <row r="122" spans="1:14" x14ac:dyDescent="0.2">
      <c r="B122" s="89" t="s">
        <v>186</v>
      </c>
      <c r="C122" s="53">
        <f>SUM(174*C121)</f>
        <v>60.9</v>
      </c>
      <c r="D122" s="53">
        <f t="shared" ref="D122:N122" si="22">SUM(174*D121)</f>
        <v>60.9</v>
      </c>
      <c r="E122" s="53">
        <f t="shared" si="22"/>
        <v>60.9</v>
      </c>
      <c r="F122" s="53">
        <f t="shared" si="22"/>
        <v>60.9</v>
      </c>
      <c r="G122" s="53">
        <f t="shared" si="22"/>
        <v>60.9</v>
      </c>
      <c r="H122" s="53">
        <f t="shared" si="22"/>
        <v>60.9</v>
      </c>
      <c r="I122" s="53">
        <f t="shared" si="22"/>
        <v>60.9</v>
      </c>
      <c r="J122" s="53">
        <f t="shared" si="22"/>
        <v>60.9</v>
      </c>
      <c r="K122" s="53">
        <f t="shared" si="22"/>
        <v>60.9</v>
      </c>
      <c r="L122" s="53">
        <f t="shared" si="22"/>
        <v>60.9</v>
      </c>
      <c r="M122" s="53">
        <f t="shared" si="22"/>
        <v>60.9</v>
      </c>
      <c r="N122" s="53">
        <f t="shared" si="22"/>
        <v>60.9</v>
      </c>
    </row>
    <row r="123" spans="1:14" x14ac:dyDescent="0.2">
      <c r="A123" s="59" t="s">
        <v>541</v>
      </c>
      <c r="B123" s="78" t="s">
        <v>187</v>
      </c>
      <c r="C123" s="66">
        <f>SUM(C122*$B$124)</f>
        <v>867.82499999999993</v>
      </c>
      <c r="D123" s="66">
        <f t="shared" ref="D123:N123" si="23">SUM(D122*$B$124)</f>
        <v>867.82499999999993</v>
      </c>
      <c r="E123" s="66">
        <f t="shared" si="23"/>
        <v>867.82499999999993</v>
      </c>
      <c r="F123" s="66">
        <f t="shared" si="23"/>
        <v>867.82499999999993</v>
      </c>
      <c r="G123" s="66">
        <f t="shared" si="23"/>
        <v>867.82499999999993</v>
      </c>
      <c r="H123" s="66">
        <f t="shared" si="23"/>
        <v>867.82499999999993</v>
      </c>
      <c r="I123" s="66">
        <f t="shared" si="23"/>
        <v>867.82499999999993</v>
      </c>
      <c r="J123" s="66">
        <f t="shared" si="23"/>
        <v>867.82499999999993</v>
      </c>
      <c r="K123" s="66">
        <f t="shared" si="23"/>
        <v>867.82499999999993</v>
      </c>
      <c r="L123" s="66">
        <f t="shared" si="23"/>
        <v>867.82499999999993</v>
      </c>
      <c r="M123" s="66">
        <f t="shared" si="23"/>
        <v>867.82499999999993</v>
      </c>
      <c r="N123" s="66">
        <f t="shared" si="23"/>
        <v>867.82499999999993</v>
      </c>
    </row>
    <row r="124" spans="1:14" x14ac:dyDescent="0.2">
      <c r="A124" s="59" t="s">
        <v>188</v>
      </c>
      <c r="B124" s="74">
        <v>14.25</v>
      </c>
      <c r="C124" s="66">
        <f>SUM(C123)*'Data Links'!$B$15</f>
        <v>66.388612499999994</v>
      </c>
      <c r="D124" s="66">
        <f>SUM(D123)*'Data Links'!$B$15</f>
        <v>66.388612499999994</v>
      </c>
      <c r="E124" s="66">
        <f>SUM(E123)*'Data Links'!$B$15</f>
        <v>66.388612499999994</v>
      </c>
      <c r="F124" s="66">
        <f>SUM(F123)*'Data Links'!$B$15</f>
        <v>66.388612499999994</v>
      </c>
      <c r="G124" s="66">
        <f>SUM(G123)*'Data Links'!$B$15</f>
        <v>66.388612499999994</v>
      </c>
      <c r="H124" s="66">
        <f>SUM(H123)*'Data Links'!$B$15</f>
        <v>66.388612499999994</v>
      </c>
      <c r="I124" s="66">
        <f>SUM(I123)*'Data Links'!$B$15</f>
        <v>66.388612499999994</v>
      </c>
      <c r="J124" s="66">
        <f>SUM(J123)*'Data Links'!$B$15</f>
        <v>66.388612499999994</v>
      </c>
      <c r="K124" s="66">
        <f>SUM(K123)*'Data Links'!$B$15</f>
        <v>66.388612499999994</v>
      </c>
      <c r="L124" s="66">
        <f>SUM(L123)*'Data Links'!$B$15</f>
        <v>66.388612499999994</v>
      </c>
      <c r="M124" s="66">
        <f>SUM(M123)*'Data Links'!$B$15</f>
        <v>66.388612499999994</v>
      </c>
      <c r="N124" s="66">
        <f>SUM(N123)*'Data Links'!$B$15</f>
        <v>66.388612499999994</v>
      </c>
    </row>
    <row r="125" spans="1:14" x14ac:dyDescent="0.2">
      <c r="A125" s="59" t="s">
        <v>189</v>
      </c>
      <c r="B125" s="74">
        <v>13.77</v>
      </c>
      <c r="C125" s="66">
        <f>SUM(C123*'Data Links'!$B$13)</f>
        <v>5.20695</v>
      </c>
      <c r="D125" s="66">
        <f>SUM(D123*'Data Links'!$B$13)</f>
        <v>5.20695</v>
      </c>
      <c r="E125" s="66">
        <f>SUM(E123*'Data Links'!$B$13)</f>
        <v>5.20695</v>
      </c>
      <c r="F125" s="66">
        <f>SUM(F123*'Data Links'!$B$13)</f>
        <v>5.20695</v>
      </c>
      <c r="G125" s="66">
        <f>SUM(G123*'Data Links'!$B$13)</f>
        <v>5.20695</v>
      </c>
      <c r="H125" s="66">
        <f>SUM(H123*'Data Links'!$B$13)</f>
        <v>5.20695</v>
      </c>
      <c r="I125" s="66">
        <f>SUM(I123*'Data Links'!$B$13)</f>
        <v>5.20695</v>
      </c>
      <c r="J125" s="66">
        <f>SUM(J123*'Data Links'!$B$13)</f>
        <v>5.20695</v>
      </c>
      <c r="K125" s="66">
        <f>SUM(K123*'Data Links'!$B$13)</f>
        <v>5.20695</v>
      </c>
      <c r="L125" s="66">
        <f>SUM(L123*'Data Links'!$B$13)</f>
        <v>5.20695</v>
      </c>
      <c r="M125" s="66">
        <f>SUM(M123*'Data Links'!$B$13)</f>
        <v>5.20695</v>
      </c>
      <c r="N125" s="66">
        <f>SUM(N123*'Data Links'!$B$13)</f>
        <v>5.20695</v>
      </c>
    </row>
    <row r="126" spans="1:14" x14ac:dyDescent="0.2">
      <c r="A126" s="59" t="s">
        <v>190</v>
      </c>
      <c r="C126" s="66">
        <f>SUM(C122*'Data Links'!$B$10)</f>
        <v>29.551725000000001</v>
      </c>
      <c r="D126" s="66">
        <f>SUM(D122*'Data Links'!$B$10)</f>
        <v>29.551725000000001</v>
      </c>
      <c r="E126" s="66">
        <f>SUM(E122*'Data Links'!$B$10)</f>
        <v>29.551725000000001</v>
      </c>
      <c r="F126" s="66">
        <f>SUM(F122*'Data Links'!$B$10)</f>
        <v>29.551725000000001</v>
      </c>
      <c r="G126" s="66">
        <f>SUM(G122*'Data Links'!$B$10)</f>
        <v>29.551725000000001</v>
      </c>
      <c r="H126" s="66">
        <f>SUM(H122*'Data Links'!$B$10)</f>
        <v>29.551725000000001</v>
      </c>
      <c r="I126" s="66">
        <f>SUM(I122*'Data Links'!$B$10)</f>
        <v>29.551725000000001</v>
      </c>
      <c r="J126" s="66">
        <f>SUM(J122*'Data Links'!$B$10)</f>
        <v>29.551725000000001</v>
      </c>
      <c r="K126" s="66">
        <f>SUM(K122*'Data Links'!$B$10)</f>
        <v>29.551725000000001</v>
      </c>
      <c r="L126" s="66">
        <f>SUM(L122*'Data Links'!$B$10)</f>
        <v>29.551725000000001</v>
      </c>
      <c r="M126" s="66">
        <f>SUM(M122*'Data Links'!$B$10)</f>
        <v>29.551725000000001</v>
      </c>
      <c r="N126" s="66">
        <f>SUM(N122*'Data Links'!$B$10)</f>
        <v>29.551725000000001</v>
      </c>
    </row>
    <row r="127" spans="1:14" x14ac:dyDescent="0.2">
      <c r="A127" s="59" t="s">
        <v>191</v>
      </c>
      <c r="C127" s="66"/>
      <c r="D127" s="66"/>
      <c r="E127" s="66"/>
      <c r="F127" s="66"/>
      <c r="G127" s="66"/>
      <c r="H127" s="66"/>
      <c r="I127" s="66"/>
      <c r="J127" s="66"/>
      <c r="K127" s="66"/>
      <c r="L127" s="66"/>
      <c r="M127" s="66"/>
      <c r="N127" s="66"/>
    </row>
    <row r="128" spans="1:14" x14ac:dyDescent="0.2">
      <c r="A128" s="59" t="s">
        <v>192</v>
      </c>
      <c r="C128" s="66"/>
      <c r="D128" s="66"/>
      <c r="E128" s="66"/>
      <c r="F128" s="66"/>
      <c r="G128" s="66"/>
      <c r="H128" s="66"/>
      <c r="I128" s="66"/>
      <c r="J128" s="66"/>
      <c r="K128" s="66"/>
      <c r="L128" s="66"/>
      <c r="M128" s="66"/>
      <c r="N128" s="66"/>
    </row>
    <row r="129" spans="1:14" s="58" customFormat="1" x14ac:dyDescent="0.2">
      <c r="A129" s="58" t="s">
        <v>144</v>
      </c>
      <c r="B129" s="60"/>
      <c r="C129" s="212">
        <f t="shared" ref="C129:N129" si="24">SUM(C123:C128)</f>
        <v>968.97228749999999</v>
      </c>
      <c r="D129" s="212">
        <f t="shared" si="24"/>
        <v>968.97228749999999</v>
      </c>
      <c r="E129" s="212">
        <f t="shared" si="24"/>
        <v>968.97228749999999</v>
      </c>
      <c r="F129" s="60">
        <f t="shared" si="24"/>
        <v>968.97228749999999</v>
      </c>
      <c r="G129" s="60">
        <f t="shared" si="24"/>
        <v>968.97228749999999</v>
      </c>
      <c r="H129" s="60">
        <f t="shared" si="24"/>
        <v>968.97228749999999</v>
      </c>
      <c r="I129" s="60">
        <f t="shared" si="24"/>
        <v>968.97228749999999</v>
      </c>
      <c r="J129" s="60">
        <f t="shared" si="24"/>
        <v>968.97228749999999</v>
      </c>
      <c r="K129" s="60">
        <f t="shared" si="24"/>
        <v>968.97228749999999</v>
      </c>
      <c r="L129" s="60">
        <f t="shared" si="24"/>
        <v>968.97228749999999</v>
      </c>
      <c r="M129" s="60">
        <f t="shared" si="24"/>
        <v>968.97228749999999</v>
      </c>
      <c r="N129" s="60">
        <f t="shared" si="24"/>
        <v>968.97228749999999</v>
      </c>
    </row>
    <row r="130" spans="1:14" x14ac:dyDescent="0.2">
      <c r="C130" s="60"/>
      <c r="D130" s="66"/>
      <c r="E130" s="66"/>
      <c r="F130" s="66"/>
      <c r="G130" s="66"/>
      <c r="H130" s="66"/>
      <c r="I130" s="66"/>
      <c r="J130" s="66"/>
      <c r="K130" s="66"/>
      <c r="L130" s="66"/>
      <c r="M130" s="66"/>
      <c r="N130" s="66"/>
    </row>
    <row r="131" spans="1:14" x14ac:dyDescent="0.2">
      <c r="C131" s="89" t="str">
        <f>C118</f>
        <v>January</v>
      </c>
      <c r="D131" s="89" t="str">
        <f t="shared" ref="D131:N131" si="25">D118</f>
        <v>February</v>
      </c>
      <c r="E131" s="89" t="str">
        <f t="shared" si="25"/>
        <v>March</v>
      </c>
      <c r="F131" s="89" t="str">
        <f t="shared" si="25"/>
        <v>April</v>
      </c>
      <c r="G131" s="89" t="str">
        <f t="shared" si="25"/>
        <v>May</v>
      </c>
      <c r="H131" s="89" t="str">
        <f t="shared" si="25"/>
        <v>June</v>
      </c>
      <c r="I131" s="89" t="str">
        <f t="shared" si="25"/>
        <v>July</v>
      </c>
      <c r="J131" s="89" t="str">
        <f t="shared" si="25"/>
        <v>August</v>
      </c>
      <c r="K131" s="89" t="str">
        <f t="shared" si="25"/>
        <v>September</v>
      </c>
      <c r="L131" s="89" t="str">
        <f t="shared" si="25"/>
        <v>October</v>
      </c>
      <c r="M131" s="89" t="str">
        <f t="shared" si="25"/>
        <v>November</v>
      </c>
      <c r="N131" s="89" t="str">
        <f t="shared" si="25"/>
        <v>December</v>
      </c>
    </row>
    <row r="132" spans="1:14" x14ac:dyDescent="0.2">
      <c r="C132" s="72">
        <v>31</v>
      </c>
      <c r="D132" s="72">
        <v>31</v>
      </c>
      <c r="E132" s="72">
        <v>30</v>
      </c>
      <c r="F132" s="72">
        <v>31</v>
      </c>
      <c r="G132" s="72">
        <v>30</v>
      </c>
      <c r="H132" s="72">
        <v>31</v>
      </c>
      <c r="I132" s="72">
        <v>31</v>
      </c>
      <c r="J132" s="72">
        <v>28</v>
      </c>
      <c r="K132" s="72">
        <v>31</v>
      </c>
      <c r="L132" s="72">
        <v>30</v>
      </c>
      <c r="M132" s="72">
        <v>31</v>
      </c>
      <c r="N132" s="71">
        <v>30</v>
      </c>
    </row>
    <row r="133" spans="1:14" x14ac:dyDescent="0.2">
      <c r="B133" s="89" t="s">
        <v>185</v>
      </c>
      <c r="C133" s="53">
        <f>C120</f>
        <v>1</v>
      </c>
      <c r="D133" s="78">
        <f t="shared" ref="D133:N133" si="26">D120</f>
        <v>0</v>
      </c>
      <c r="E133" s="78">
        <f t="shared" si="26"/>
        <v>1</v>
      </c>
      <c r="F133" s="78">
        <f t="shared" si="26"/>
        <v>0</v>
      </c>
      <c r="G133" s="78">
        <f t="shared" si="26"/>
        <v>2</v>
      </c>
      <c r="H133" s="78">
        <f t="shared" si="26"/>
        <v>0</v>
      </c>
      <c r="I133" s="78">
        <f t="shared" si="26"/>
        <v>2</v>
      </c>
      <c r="J133" s="78">
        <f t="shared" si="26"/>
        <v>1</v>
      </c>
      <c r="K133" s="78">
        <f t="shared" si="26"/>
        <v>0</v>
      </c>
      <c r="L133" s="78">
        <f t="shared" si="26"/>
        <v>0</v>
      </c>
      <c r="M133" s="78">
        <f t="shared" si="26"/>
        <v>1</v>
      </c>
      <c r="N133" s="78">
        <f t="shared" si="26"/>
        <v>0</v>
      </c>
    </row>
    <row r="134" spans="1:14" x14ac:dyDescent="0.2">
      <c r="B134" s="89" t="s">
        <v>44</v>
      </c>
      <c r="C134" s="49">
        <v>0.45</v>
      </c>
      <c r="D134" s="49">
        <v>0.45</v>
      </c>
      <c r="E134" s="49">
        <v>0.45</v>
      </c>
      <c r="F134" s="49">
        <v>0.45</v>
      </c>
      <c r="G134" s="49">
        <v>0.45</v>
      </c>
      <c r="H134" s="49">
        <v>0.45</v>
      </c>
      <c r="I134" s="49">
        <v>0.45</v>
      </c>
      <c r="J134" s="49">
        <v>0.45</v>
      </c>
      <c r="K134" s="49">
        <v>0.45</v>
      </c>
      <c r="L134" s="49">
        <v>0.45</v>
      </c>
      <c r="M134" s="49">
        <v>0.45</v>
      </c>
      <c r="N134" s="49">
        <v>0.45</v>
      </c>
    </row>
    <row r="135" spans="1:14" x14ac:dyDescent="0.2">
      <c r="B135" s="89" t="s">
        <v>186</v>
      </c>
      <c r="C135" s="53">
        <f>SUM(174*C134)</f>
        <v>78.3</v>
      </c>
      <c r="D135" s="53">
        <f t="shared" ref="D135:N135" si="27">SUM(174*D134)</f>
        <v>78.3</v>
      </c>
      <c r="E135" s="53">
        <f t="shared" si="27"/>
        <v>78.3</v>
      </c>
      <c r="F135" s="53">
        <f t="shared" si="27"/>
        <v>78.3</v>
      </c>
      <c r="G135" s="53">
        <f t="shared" si="27"/>
        <v>78.3</v>
      </c>
      <c r="H135" s="53">
        <f t="shared" si="27"/>
        <v>78.3</v>
      </c>
      <c r="I135" s="53">
        <f t="shared" si="27"/>
        <v>78.3</v>
      </c>
      <c r="J135" s="53">
        <f t="shared" si="27"/>
        <v>78.3</v>
      </c>
      <c r="K135" s="53">
        <f t="shared" si="27"/>
        <v>78.3</v>
      </c>
      <c r="L135" s="53">
        <f t="shared" si="27"/>
        <v>78.3</v>
      </c>
      <c r="M135" s="53">
        <f t="shared" si="27"/>
        <v>78.3</v>
      </c>
      <c r="N135" s="53">
        <f t="shared" si="27"/>
        <v>78.3</v>
      </c>
    </row>
    <row r="136" spans="1:14" x14ac:dyDescent="0.2">
      <c r="A136" s="59" t="s">
        <v>534</v>
      </c>
      <c r="B136" s="78" t="s">
        <v>533</v>
      </c>
      <c r="C136" s="66">
        <f>SUM(C135*$B$137)</f>
        <v>1115.7749999999999</v>
      </c>
      <c r="D136" s="66">
        <f t="shared" ref="D136:N136" si="28">SUM(D135*$B$137)</f>
        <v>1115.7749999999999</v>
      </c>
      <c r="E136" s="66">
        <f t="shared" si="28"/>
        <v>1115.7749999999999</v>
      </c>
      <c r="F136" s="66">
        <f t="shared" si="28"/>
        <v>1115.7749999999999</v>
      </c>
      <c r="G136" s="66">
        <f t="shared" si="28"/>
        <v>1115.7749999999999</v>
      </c>
      <c r="H136" s="66">
        <f t="shared" si="28"/>
        <v>1115.7749999999999</v>
      </c>
      <c r="I136" s="66">
        <f t="shared" si="28"/>
        <v>1115.7749999999999</v>
      </c>
      <c r="J136" s="66">
        <f t="shared" si="28"/>
        <v>1115.7749999999999</v>
      </c>
      <c r="K136" s="66">
        <f t="shared" si="28"/>
        <v>1115.7749999999999</v>
      </c>
      <c r="L136" s="66">
        <f t="shared" si="28"/>
        <v>1115.7749999999999</v>
      </c>
      <c r="M136" s="66">
        <f t="shared" si="28"/>
        <v>1115.7749999999999</v>
      </c>
      <c r="N136" s="66">
        <f t="shared" si="28"/>
        <v>1115.7749999999999</v>
      </c>
    </row>
    <row r="137" spans="1:14" x14ac:dyDescent="0.2">
      <c r="A137" s="59" t="s">
        <v>188</v>
      </c>
      <c r="B137" s="74">
        <v>14.25</v>
      </c>
      <c r="C137" s="66">
        <f>SUM(C136)*'Data Links'!$B$15</f>
        <v>85.356787499999982</v>
      </c>
      <c r="D137" s="66">
        <f>SUM(D136)*'Data Links'!$B$15</f>
        <v>85.356787499999982</v>
      </c>
      <c r="E137" s="66">
        <f>SUM(E136)*'Data Links'!$B$15</f>
        <v>85.356787499999982</v>
      </c>
      <c r="F137" s="66">
        <f>SUM(F136)*'Data Links'!$B$15</f>
        <v>85.356787499999982</v>
      </c>
      <c r="G137" s="66">
        <f>SUM(G136)*'Data Links'!$B$15</f>
        <v>85.356787499999982</v>
      </c>
      <c r="H137" s="66">
        <f>SUM(H136)*'Data Links'!$B$15</f>
        <v>85.356787499999982</v>
      </c>
      <c r="I137" s="66">
        <f>SUM(I136)*'Data Links'!$B$15</f>
        <v>85.356787499999982</v>
      </c>
      <c r="J137" s="66">
        <f>SUM(J136)*'Data Links'!$B$15</f>
        <v>85.356787499999982</v>
      </c>
      <c r="K137" s="66">
        <f>SUM(K136)*'Data Links'!$B$15</f>
        <v>85.356787499999982</v>
      </c>
      <c r="L137" s="66">
        <f>SUM(L136)*'Data Links'!$B$15</f>
        <v>85.356787499999982</v>
      </c>
      <c r="M137" s="66">
        <f>SUM(M136)*'Data Links'!$B$15</f>
        <v>85.356787499999982</v>
      </c>
      <c r="N137" s="66">
        <f>SUM(N136)*'Data Links'!$B$15</f>
        <v>85.356787499999982</v>
      </c>
    </row>
    <row r="138" spans="1:14" x14ac:dyDescent="0.2">
      <c r="A138" s="59" t="s">
        <v>189</v>
      </c>
      <c r="B138" s="74">
        <v>13</v>
      </c>
      <c r="C138" s="66">
        <f>SUM(C136*'Data Links'!$B$13)</f>
        <v>6.6946499999999993</v>
      </c>
      <c r="D138" s="66">
        <f>SUM(D136*'Data Links'!$B$13)</f>
        <v>6.6946499999999993</v>
      </c>
      <c r="E138" s="66">
        <f>SUM(E136*'Data Links'!$B$13)</f>
        <v>6.6946499999999993</v>
      </c>
      <c r="F138" s="66">
        <f>SUM(F136*'Data Links'!$B$13)</f>
        <v>6.6946499999999993</v>
      </c>
      <c r="G138" s="66">
        <f>SUM(G136*'Data Links'!$B$13)</f>
        <v>6.6946499999999993</v>
      </c>
      <c r="H138" s="66">
        <f>SUM(H136*'Data Links'!$B$13)</f>
        <v>6.6946499999999993</v>
      </c>
      <c r="I138" s="66">
        <f>SUM(I136*'Data Links'!$B$13)</f>
        <v>6.6946499999999993</v>
      </c>
      <c r="J138" s="66">
        <f>SUM(J136*'Data Links'!$B$13)</f>
        <v>6.6946499999999993</v>
      </c>
      <c r="K138" s="66">
        <f>SUM(K136*'Data Links'!$B$13)</f>
        <v>6.6946499999999993</v>
      </c>
      <c r="L138" s="66">
        <f>SUM(L136*'Data Links'!$B$13)</f>
        <v>6.6946499999999993</v>
      </c>
      <c r="M138" s="66">
        <f>SUM(M136*'Data Links'!$B$13)</f>
        <v>6.6946499999999993</v>
      </c>
      <c r="N138" s="66">
        <f>SUM(N136*'Data Links'!$B$13)</f>
        <v>6.6946499999999993</v>
      </c>
    </row>
    <row r="139" spans="1:14" x14ac:dyDescent="0.2">
      <c r="A139" s="59" t="s">
        <v>190</v>
      </c>
      <c r="C139" s="66">
        <f>SUM(C135*'Data Links'!$B$10)</f>
        <v>37.995075</v>
      </c>
      <c r="D139" s="66">
        <f>SUM(D135*'Data Links'!$B$10)</f>
        <v>37.995075</v>
      </c>
      <c r="E139" s="66">
        <f>SUM(E135*'Data Links'!$B$10)</f>
        <v>37.995075</v>
      </c>
      <c r="F139" s="66">
        <f>SUM(F135*'Data Links'!$B$10)</f>
        <v>37.995075</v>
      </c>
      <c r="G139" s="66">
        <f>SUM(G135*'Data Links'!$B$10)</f>
        <v>37.995075</v>
      </c>
      <c r="H139" s="66">
        <f>SUM(H135*'Data Links'!$B$10)</f>
        <v>37.995075</v>
      </c>
      <c r="I139" s="66">
        <f>SUM(I135*'Data Links'!$B$10)</f>
        <v>37.995075</v>
      </c>
      <c r="J139" s="66">
        <f>SUM(J135*'Data Links'!$B$10)</f>
        <v>37.995075</v>
      </c>
      <c r="K139" s="66">
        <f>SUM(K135*'Data Links'!$B$10)</f>
        <v>37.995075</v>
      </c>
      <c r="L139" s="66">
        <f>SUM(L135*'Data Links'!$B$10)</f>
        <v>37.995075</v>
      </c>
      <c r="M139" s="66">
        <f>SUM(M135*'Data Links'!$B$10)</f>
        <v>37.995075</v>
      </c>
      <c r="N139" s="66">
        <f>SUM(N135*'Data Links'!$B$10)</f>
        <v>37.995075</v>
      </c>
    </row>
    <row r="140" spans="1:14" x14ac:dyDescent="0.2">
      <c r="A140" s="59" t="s">
        <v>191</v>
      </c>
      <c r="C140" s="66"/>
      <c r="D140" s="66"/>
      <c r="E140" s="66"/>
      <c r="F140" s="66"/>
      <c r="G140" s="66"/>
      <c r="H140" s="66"/>
      <c r="I140" s="66"/>
      <c r="J140" s="66"/>
      <c r="K140" s="66"/>
      <c r="L140" s="66"/>
      <c r="M140" s="66"/>
      <c r="N140" s="66"/>
    </row>
    <row r="141" spans="1:14" x14ac:dyDescent="0.2">
      <c r="A141" s="59" t="s">
        <v>192</v>
      </c>
      <c r="C141" s="66"/>
      <c r="D141" s="66"/>
      <c r="E141" s="66"/>
      <c r="F141" s="66"/>
      <c r="G141" s="66"/>
      <c r="H141" s="66"/>
      <c r="I141" s="66"/>
      <c r="J141" s="66"/>
      <c r="K141" s="66"/>
      <c r="L141" s="66"/>
      <c r="M141" s="66"/>
      <c r="N141" s="66"/>
    </row>
    <row r="142" spans="1:14" s="58" customFormat="1" x14ac:dyDescent="0.2">
      <c r="A142" s="58" t="s">
        <v>144</v>
      </c>
      <c r="B142" s="60"/>
      <c r="C142" s="60">
        <f t="shared" ref="C142:N142" si="29">SUM(C136:C141)</f>
        <v>1245.8215124999997</v>
      </c>
      <c r="D142" s="60">
        <f t="shared" si="29"/>
        <v>1245.8215124999997</v>
      </c>
      <c r="E142" s="60">
        <f t="shared" si="29"/>
        <v>1245.8215124999997</v>
      </c>
      <c r="F142" s="60">
        <f t="shared" si="29"/>
        <v>1245.8215124999997</v>
      </c>
      <c r="G142" s="60">
        <f t="shared" si="29"/>
        <v>1245.8215124999997</v>
      </c>
      <c r="H142" s="60">
        <f t="shared" si="29"/>
        <v>1245.8215124999997</v>
      </c>
      <c r="I142" s="60">
        <f t="shared" si="29"/>
        <v>1245.8215124999997</v>
      </c>
      <c r="J142" s="60">
        <f t="shared" si="29"/>
        <v>1245.8215124999997</v>
      </c>
      <c r="K142" s="60">
        <f t="shared" si="29"/>
        <v>1245.8215124999997</v>
      </c>
      <c r="L142" s="60">
        <f t="shared" si="29"/>
        <v>1245.8215124999997</v>
      </c>
      <c r="M142" s="60">
        <f t="shared" si="29"/>
        <v>1245.8215124999997</v>
      </c>
      <c r="N142" s="60">
        <f t="shared" si="29"/>
        <v>1245.8215124999997</v>
      </c>
    </row>
    <row r="143" spans="1:14" x14ac:dyDescent="0.2">
      <c r="C143" s="60"/>
      <c r="D143" s="66"/>
      <c r="E143" s="66"/>
      <c r="F143" s="66"/>
      <c r="G143" s="66"/>
      <c r="H143" s="66"/>
      <c r="I143" s="66"/>
      <c r="J143" s="66"/>
      <c r="K143" s="66"/>
      <c r="L143" s="66"/>
      <c r="M143" s="66"/>
      <c r="N143" s="66"/>
    </row>
    <row r="144" spans="1:14" x14ac:dyDescent="0.2">
      <c r="C144" s="89" t="str">
        <f>C131</f>
        <v>January</v>
      </c>
      <c r="D144" s="89" t="str">
        <f t="shared" ref="D144:N144" si="30">D131</f>
        <v>February</v>
      </c>
      <c r="E144" s="89" t="str">
        <f t="shared" si="30"/>
        <v>March</v>
      </c>
      <c r="F144" s="89" t="str">
        <f t="shared" si="30"/>
        <v>April</v>
      </c>
      <c r="G144" s="89" t="str">
        <f t="shared" si="30"/>
        <v>May</v>
      </c>
      <c r="H144" s="89" t="str">
        <f t="shared" si="30"/>
        <v>June</v>
      </c>
      <c r="I144" s="89" t="str">
        <f t="shared" si="30"/>
        <v>July</v>
      </c>
      <c r="J144" s="89" t="str">
        <f t="shared" si="30"/>
        <v>August</v>
      </c>
      <c r="K144" s="89" t="str">
        <f t="shared" si="30"/>
        <v>September</v>
      </c>
      <c r="L144" s="89" t="str">
        <f t="shared" si="30"/>
        <v>October</v>
      </c>
      <c r="M144" s="89" t="str">
        <f t="shared" si="30"/>
        <v>November</v>
      </c>
      <c r="N144" s="89" t="str">
        <f t="shared" si="30"/>
        <v>December</v>
      </c>
    </row>
    <row r="145" spans="1:14" x14ac:dyDescent="0.2">
      <c r="C145" s="72">
        <v>31</v>
      </c>
      <c r="D145" s="72">
        <v>31</v>
      </c>
      <c r="E145" s="72">
        <v>30</v>
      </c>
      <c r="F145" s="72">
        <v>31</v>
      </c>
      <c r="G145" s="72">
        <v>30</v>
      </c>
      <c r="H145" s="72">
        <v>31</v>
      </c>
      <c r="I145" s="72">
        <v>31</v>
      </c>
      <c r="J145" s="72">
        <v>28</v>
      </c>
      <c r="K145" s="72">
        <v>31</v>
      </c>
      <c r="L145" s="72">
        <v>30</v>
      </c>
      <c r="M145" s="72">
        <v>31</v>
      </c>
      <c r="N145" s="71">
        <v>30</v>
      </c>
    </row>
    <row r="146" spans="1:14" x14ac:dyDescent="0.2">
      <c r="B146" s="89" t="s">
        <v>185</v>
      </c>
      <c r="C146" s="78">
        <f t="shared" ref="C146:N146" si="31">C133</f>
        <v>1</v>
      </c>
      <c r="D146" s="78">
        <f t="shared" si="31"/>
        <v>0</v>
      </c>
      <c r="E146" s="78">
        <f t="shared" si="31"/>
        <v>1</v>
      </c>
      <c r="F146" s="78">
        <f t="shared" si="31"/>
        <v>0</v>
      </c>
      <c r="G146" s="78">
        <f t="shared" si="31"/>
        <v>2</v>
      </c>
      <c r="H146" s="78">
        <f t="shared" si="31"/>
        <v>0</v>
      </c>
      <c r="I146" s="78">
        <f t="shared" si="31"/>
        <v>2</v>
      </c>
      <c r="J146" s="78">
        <f t="shared" si="31"/>
        <v>1</v>
      </c>
      <c r="K146" s="78">
        <f t="shared" si="31"/>
        <v>0</v>
      </c>
      <c r="L146" s="78">
        <f t="shared" si="31"/>
        <v>0</v>
      </c>
      <c r="M146" s="78">
        <f t="shared" si="31"/>
        <v>1</v>
      </c>
      <c r="N146" s="78">
        <f t="shared" si="31"/>
        <v>0</v>
      </c>
    </row>
    <row r="147" spans="1:14" x14ac:dyDescent="0.2">
      <c r="B147" s="89" t="s">
        <v>44</v>
      </c>
      <c r="C147" s="49">
        <v>1</v>
      </c>
      <c r="D147" s="49">
        <v>1</v>
      </c>
      <c r="E147" s="49">
        <v>1</v>
      </c>
      <c r="F147" s="49">
        <v>1</v>
      </c>
      <c r="G147" s="49">
        <v>1</v>
      </c>
      <c r="H147" s="49">
        <v>1</v>
      </c>
      <c r="I147" s="49">
        <v>1</v>
      </c>
      <c r="J147" s="49">
        <v>1</v>
      </c>
      <c r="K147" s="49">
        <v>1</v>
      </c>
      <c r="L147" s="49">
        <v>1</v>
      </c>
      <c r="M147" s="49">
        <v>1</v>
      </c>
      <c r="N147" s="49">
        <v>1</v>
      </c>
    </row>
    <row r="148" spans="1:14" x14ac:dyDescent="0.2">
      <c r="B148" s="78" t="s">
        <v>186</v>
      </c>
      <c r="C148" s="53">
        <f>SUM(174*C147)</f>
        <v>174</v>
      </c>
      <c r="D148" s="53">
        <f t="shared" ref="D148:N148" si="32">SUM(174*D147)</f>
        <v>174</v>
      </c>
      <c r="E148" s="53">
        <f t="shared" si="32"/>
        <v>174</v>
      </c>
      <c r="F148" s="53">
        <f t="shared" si="32"/>
        <v>174</v>
      </c>
      <c r="G148" s="53">
        <f t="shared" si="32"/>
        <v>174</v>
      </c>
      <c r="H148" s="53">
        <f t="shared" si="32"/>
        <v>174</v>
      </c>
      <c r="I148" s="53">
        <f t="shared" si="32"/>
        <v>174</v>
      </c>
      <c r="J148" s="53">
        <f t="shared" si="32"/>
        <v>174</v>
      </c>
      <c r="K148" s="53">
        <f t="shared" si="32"/>
        <v>174</v>
      </c>
      <c r="L148" s="53">
        <f t="shared" si="32"/>
        <v>174</v>
      </c>
      <c r="M148" s="53">
        <f t="shared" si="32"/>
        <v>174</v>
      </c>
      <c r="N148" s="53">
        <f t="shared" si="32"/>
        <v>174</v>
      </c>
    </row>
    <row r="149" spans="1:14" x14ac:dyDescent="0.2">
      <c r="A149" s="59" t="s">
        <v>360</v>
      </c>
      <c r="B149" s="78" t="s">
        <v>361</v>
      </c>
      <c r="C149" s="66">
        <f>SUM(C148*$B$150)</f>
        <v>3053.7000000000003</v>
      </c>
      <c r="D149" s="66">
        <f t="shared" ref="D149:N149" si="33">SUM(D148*$B$150)</f>
        <v>3053.7000000000003</v>
      </c>
      <c r="E149" s="66">
        <f t="shared" si="33"/>
        <v>3053.7000000000003</v>
      </c>
      <c r="F149" s="66">
        <f t="shared" si="33"/>
        <v>3053.7000000000003</v>
      </c>
      <c r="G149" s="66">
        <f t="shared" si="33"/>
        <v>3053.7000000000003</v>
      </c>
      <c r="H149" s="66">
        <f t="shared" si="33"/>
        <v>3053.7000000000003</v>
      </c>
      <c r="I149" s="66">
        <f t="shared" si="33"/>
        <v>3053.7000000000003</v>
      </c>
      <c r="J149" s="66">
        <f t="shared" si="33"/>
        <v>3053.7000000000003</v>
      </c>
      <c r="K149" s="66">
        <f t="shared" si="33"/>
        <v>3053.7000000000003</v>
      </c>
      <c r="L149" s="66">
        <f t="shared" si="33"/>
        <v>3053.7000000000003</v>
      </c>
      <c r="M149" s="66">
        <f t="shared" si="33"/>
        <v>3053.7000000000003</v>
      </c>
      <c r="N149" s="66">
        <f t="shared" si="33"/>
        <v>3053.7000000000003</v>
      </c>
    </row>
    <row r="150" spans="1:14" x14ac:dyDescent="0.2">
      <c r="A150" s="59" t="s">
        <v>188</v>
      </c>
      <c r="B150" s="74">
        <v>17.55</v>
      </c>
      <c r="C150" s="66">
        <f>SUM(C149)*'Data Links'!$B$15</f>
        <v>233.60805000000002</v>
      </c>
      <c r="D150" s="66">
        <f>SUM(D149)*'Data Links'!$B$15</f>
        <v>233.60805000000002</v>
      </c>
      <c r="E150" s="66">
        <f>SUM(E149)*'Data Links'!$B$15</f>
        <v>233.60805000000002</v>
      </c>
      <c r="F150" s="66">
        <f>SUM(F149)*'Data Links'!$B$15</f>
        <v>233.60805000000002</v>
      </c>
      <c r="G150" s="66">
        <f>SUM(G149)*'Data Links'!$B$15</f>
        <v>233.60805000000002</v>
      </c>
      <c r="H150" s="66">
        <f>SUM(H149)*'Data Links'!$B$15</f>
        <v>233.60805000000002</v>
      </c>
      <c r="I150" s="66">
        <f>SUM(I149)*'Data Links'!$B$15</f>
        <v>233.60805000000002</v>
      </c>
      <c r="J150" s="66">
        <f>SUM(J149)*'Data Links'!$B$15</f>
        <v>233.60805000000002</v>
      </c>
      <c r="K150" s="66">
        <f>SUM(K149)*'Data Links'!$B$15</f>
        <v>233.60805000000002</v>
      </c>
      <c r="L150" s="66">
        <f>SUM(L149)*'Data Links'!$B$15</f>
        <v>233.60805000000002</v>
      </c>
      <c r="M150" s="66">
        <f>SUM(M149)*'Data Links'!$B$15</f>
        <v>233.60805000000002</v>
      </c>
      <c r="N150" s="66">
        <f>SUM(N149)*'Data Links'!$B$15</f>
        <v>233.60805000000002</v>
      </c>
    </row>
    <row r="151" spans="1:14" x14ac:dyDescent="0.2">
      <c r="A151" s="59" t="s">
        <v>189</v>
      </c>
      <c r="B151" s="74"/>
      <c r="C151" s="66">
        <f>SUM(C149*'Data Links'!$B$13)</f>
        <v>18.322200000000002</v>
      </c>
      <c r="D151" s="66">
        <f>SUM(D149*'Data Links'!$B$13)</f>
        <v>18.322200000000002</v>
      </c>
      <c r="E151" s="66">
        <f>SUM(E149*'Data Links'!$B$13)</f>
        <v>18.322200000000002</v>
      </c>
      <c r="F151" s="66">
        <f>SUM(F149*'Data Links'!$B$13)</f>
        <v>18.322200000000002</v>
      </c>
      <c r="G151" s="66">
        <f>SUM(G149*'Data Links'!$B$13)</f>
        <v>18.322200000000002</v>
      </c>
      <c r="H151" s="66">
        <f>SUM(H149*'Data Links'!$B$13)</f>
        <v>18.322200000000002</v>
      </c>
      <c r="I151" s="66">
        <f>SUM(I149*'Data Links'!$B$13)</f>
        <v>18.322200000000002</v>
      </c>
      <c r="J151" s="66">
        <f>SUM(J149*'Data Links'!$B$13)</f>
        <v>18.322200000000002</v>
      </c>
      <c r="K151" s="66">
        <f>SUM(K149*'Data Links'!$B$13)</f>
        <v>18.322200000000002</v>
      </c>
      <c r="L151" s="66">
        <f>SUM(L149*'Data Links'!$B$13)</f>
        <v>18.322200000000002</v>
      </c>
      <c r="M151" s="66">
        <f>SUM(M149*'Data Links'!$B$13)</f>
        <v>18.322200000000002</v>
      </c>
      <c r="N151" s="66">
        <f>SUM(N149*'Data Links'!$B$13)</f>
        <v>18.322200000000002</v>
      </c>
    </row>
    <row r="152" spans="1:14" x14ac:dyDescent="0.2">
      <c r="A152" s="59" t="s">
        <v>190</v>
      </c>
      <c r="C152" s="66">
        <f>SUM(C148*'Data Links'!$B$10)</f>
        <v>84.433500000000009</v>
      </c>
      <c r="D152" s="66">
        <f>SUM(D148*'Data Links'!$B$10)</f>
        <v>84.433500000000009</v>
      </c>
      <c r="E152" s="66">
        <f>SUM(E148*'Data Links'!$B$10)</f>
        <v>84.433500000000009</v>
      </c>
      <c r="F152" s="66">
        <f>SUM(F148*'Data Links'!$B$10)</f>
        <v>84.433500000000009</v>
      </c>
      <c r="G152" s="66">
        <f>SUM(G148*'Data Links'!$B$10)</f>
        <v>84.433500000000009</v>
      </c>
      <c r="H152" s="66">
        <f>SUM(H148*'Data Links'!$B$10)</f>
        <v>84.433500000000009</v>
      </c>
      <c r="I152" s="66">
        <f>SUM(I148*'Data Links'!$B$10)</f>
        <v>84.433500000000009</v>
      </c>
      <c r="J152" s="66">
        <f>SUM(J148*'Data Links'!$B$10)</f>
        <v>84.433500000000009</v>
      </c>
      <c r="K152" s="66">
        <f>SUM(K148*'Data Links'!$B$10)</f>
        <v>84.433500000000009</v>
      </c>
      <c r="L152" s="66">
        <f>SUM(L148*'Data Links'!$B$10)</f>
        <v>84.433500000000009</v>
      </c>
      <c r="M152" s="66">
        <f>SUM(M148*'Data Links'!$B$10)</f>
        <v>84.433500000000009</v>
      </c>
      <c r="N152" s="66">
        <f>SUM(N148*'Data Links'!$B$10)</f>
        <v>84.433500000000009</v>
      </c>
    </row>
    <row r="153" spans="1:14" x14ac:dyDescent="0.2">
      <c r="A153" s="59" t="s">
        <v>191</v>
      </c>
      <c r="C153" s="66">
        <f>SUM('All Employees'!$P$30)</f>
        <v>396.6078</v>
      </c>
      <c r="D153" s="66">
        <f>SUM('All Employees'!$P$30)</f>
        <v>396.6078</v>
      </c>
      <c r="E153" s="66">
        <f>SUM('All Employees'!$P$30)</f>
        <v>396.6078</v>
      </c>
      <c r="F153" s="66">
        <f>SUM('All Employees'!$P$30)</f>
        <v>396.6078</v>
      </c>
      <c r="G153" s="66">
        <f>SUM('All Employees'!$P$30)</f>
        <v>396.6078</v>
      </c>
      <c r="H153" s="66">
        <f>SUM('All Employees'!$P$30)</f>
        <v>396.6078</v>
      </c>
      <c r="I153" s="66">
        <f>SUM('All Employees'!$P$30)</f>
        <v>396.6078</v>
      </c>
      <c r="J153" s="66">
        <f>SUM('All Employees'!$P$30)</f>
        <v>396.6078</v>
      </c>
      <c r="K153" s="66">
        <f>SUM('All Employees'!$P$30)</f>
        <v>396.6078</v>
      </c>
      <c r="L153" s="66">
        <f>SUM('All Employees'!$P$30)</f>
        <v>396.6078</v>
      </c>
      <c r="M153" s="66">
        <f>SUM('All Employees'!$P$30)</f>
        <v>396.6078</v>
      </c>
      <c r="N153" s="66">
        <f>SUM('All Employees'!$P$30)</f>
        <v>396.6078</v>
      </c>
    </row>
    <row r="154" spans="1:14" x14ac:dyDescent="0.2">
      <c r="A154" s="59" t="s">
        <v>192</v>
      </c>
      <c r="C154" s="66"/>
      <c r="D154" s="66"/>
      <c r="E154" s="66"/>
      <c r="F154" s="66"/>
      <c r="G154" s="66"/>
      <c r="H154" s="66"/>
      <c r="I154" s="66"/>
      <c r="J154" s="66"/>
      <c r="K154" s="66"/>
      <c r="L154" s="66"/>
      <c r="M154" s="66"/>
      <c r="N154" s="66"/>
    </row>
    <row r="155" spans="1:14" s="58" customFormat="1" x14ac:dyDescent="0.2">
      <c r="A155" s="58" t="s">
        <v>144</v>
      </c>
      <c r="B155" s="60"/>
      <c r="C155" s="60">
        <f t="shared" ref="C155:N155" si="34">SUM(C149:C154)</f>
        <v>3786.67155</v>
      </c>
      <c r="D155" s="60">
        <f t="shared" si="34"/>
        <v>3786.67155</v>
      </c>
      <c r="E155" s="60">
        <f t="shared" si="34"/>
        <v>3786.67155</v>
      </c>
      <c r="F155" s="60">
        <f t="shared" si="34"/>
        <v>3786.67155</v>
      </c>
      <c r="G155" s="60">
        <f t="shared" si="34"/>
        <v>3786.67155</v>
      </c>
      <c r="H155" s="60">
        <f t="shared" si="34"/>
        <v>3786.67155</v>
      </c>
      <c r="I155" s="60">
        <f t="shared" si="34"/>
        <v>3786.67155</v>
      </c>
      <c r="J155" s="60">
        <f t="shared" si="34"/>
        <v>3786.67155</v>
      </c>
      <c r="K155" s="60">
        <f t="shared" si="34"/>
        <v>3786.67155</v>
      </c>
      <c r="L155" s="60">
        <f t="shared" si="34"/>
        <v>3786.67155</v>
      </c>
      <c r="M155" s="60">
        <f t="shared" si="34"/>
        <v>3786.67155</v>
      </c>
      <c r="N155" s="60">
        <f t="shared" si="34"/>
        <v>3786.67155</v>
      </c>
    </row>
    <row r="156" spans="1:14" x14ac:dyDescent="0.2">
      <c r="C156" s="60"/>
      <c r="D156" s="66"/>
      <c r="E156" s="66"/>
      <c r="F156" s="66"/>
      <c r="G156" s="66"/>
      <c r="H156" s="66"/>
      <c r="I156" s="66"/>
      <c r="J156" s="66"/>
      <c r="K156" s="66"/>
      <c r="L156" s="66"/>
      <c r="M156" s="66"/>
      <c r="N156" s="66"/>
    </row>
    <row r="157" spans="1:14" x14ac:dyDescent="0.2">
      <c r="C157" s="89" t="str">
        <f>C144</f>
        <v>January</v>
      </c>
      <c r="D157" s="89" t="str">
        <f t="shared" ref="D157:N157" si="35">D144</f>
        <v>February</v>
      </c>
      <c r="E157" s="89" t="str">
        <f t="shared" si="35"/>
        <v>March</v>
      </c>
      <c r="F157" s="89" t="str">
        <f t="shared" si="35"/>
        <v>April</v>
      </c>
      <c r="G157" s="89" t="str">
        <f t="shared" si="35"/>
        <v>May</v>
      </c>
      <c r="H157" s="89" t="str">
        <f t="shared" si="35"/>
        <v>June</v>
      </c>
      <c r="I157" s="89" t="str">
        <f t="shared" si="35"/>
        <v>July</v>
      </c>
      <c r="J157" s="89" t="str">
        <f t="shared" si="35"/>
        <v>August</v>
      </c>
      <c r="K157" s="89" t="str">
        <f t="shared" si="35"/>
        <v>September</v>
      </c>
      <c r="L157" s="89" t="str">
        <f t="shared" si="35"/>
        <v>October</v>
      </c>
      <c r="M157" s="89" t="str">
        <f t="shared" si="35"/>
        <v>November</v>
      </c>
      <c r="N157" s="89" t="str">
        <f t="shared" si="35"/>
        <v>December</v>
      </c>
    </row>
    <row r="158" spans="1:14" x14ac:dyDescent="0.2">
      <c r="C158" s="72">
        <v>31</v>
      </c>
      <c r="D158" s="72">
        <v>31</v>
      </c>
      <c r="E158" s="72">
        <v>30</v>
      </c>
      <c r="F158" s="72">
        <v>31</v>
      </c>
      <c r="G158" s="72">
        <v>30</v>
      </c>
      <c r="H158" s="72">
        <v>31</v>
      </c>
      <c r="I158" s="72">
        <v>31</v>
      </c>
      <c r="J158" s="72">
        <v>28</v>
      </c>
      <c r="K158" s="72">
        <v>31</v>
      </c>
      <c r="L158" s="72">
        <v>30</v>
      </c>
      <c r="M158" s="72">
        <v>31</v>
      </c>
      <c r="N158" s="71">
        <v>30</v>
      </c>
    </row>
    <row r="159" spans="1:14" x14ac:dyDescent="0.2">
      <c r="B159" s="89" t="s">
        <v>185</v>
      </c>
      <c r="C159" s="78">
        <f t="shared" ref="C159:N159" si="36">C146</f>
        <v>1</v>
      </c>
      <c r="D159" s="78">
        <f t="shared" si="36"/>
        <v>0</v>
      </c>
      <c r="E159" s="78">
        <f t="shared" si="36"/>
        <v>1</v>
      </c>
      <c r="F159" s="78">
        <f t="shared" si="36"/>
        <v>0</v>
      </c>
      <c r="G159" s="78">
        <f t="shared" si="36"/>
        <v>2</v>
      </c>
      <c r="H159" s="78">
        <f t="shared" si="36"/>
        <v>0</v>
      </c>
      <c r="I159" s="78">
        <f t="shared" si="36"/>
        <v>2</v>
      </c>
      <c r="J159" s="78">
        <f t="shared" si="36"/>
        <v>1</v>
      </c>
      <c r="K159" s="78">
        <f t="shared" si="36"/>
        <v>0</v>
      </c>
      <c r="L159" s="78">
        <f t="shared" si="36"/>
        <v>0</v>
      </c>
      <c r="M159" s="78">
        <f t="shared" si="36"/>
        <v>1</v>
      </c>
      <c r="N159" s="78">
        <f t="shared" si="36"/>
        <v>0</v>
      </c>
    </row>
    <row r="160" spans="1:14" x14ac:dyDescent="0.2">
      <c r="B160" s="89" t="s">
        <v>44</v>
      </c>
      <c r="C160" s="49">
        <v>1</v>
      </c>
      <c r="D160" s="49">
        <v>1</v>
      </c>
      <c r="E160" s="49">
        <v>1</v>
      </c>
      <c r="F160" s="49">
        <v>1</v>
      </c>
      <c r="G160" s="49">
        <v>1</v>
      </c>
      <c r="H160" s="49">
        <v>1</v>
      </c>
      <c r="I160" s="49">
        <v>1</v>
      </c>
      <c r="J160" s="49">
        <v>1</v>
      </c>
      <c r="K160" s="49">
        <v>1</v>
      </c>
      <c r="L160" s="49">
        <v>1</v>
      </c>
      <c r="M160" s="49">
        <v>1</v>
      </c>
      <c r="N160" s="49">
        <v>1</v>
      </c>
    </row>
    <row r="161" spans="1:14" x14ac:dyDescent="0.2">
      <c r="B161" s="78" t="s">
        <v>186</v>
      </c>
      <c r="C161" s="53">
        <f>SUM(174*C160)</f>
        <v>174</v>
      </c>
      <c r="D161" s="53">
        <f t="shared" ref="D161:N161" si="37">SUM(174*D160)</f>
        <v>174</v>
      </c>
      <c r="E161" s="53">
        <f t="shared" si="37"/>
        <v>174</v>
      </c>
      <c r="F161" s="53">
        <f t="shared" si="37"/>
        <v>174</v>
      </c>
      <c r="G161" s="53">
        <f t="shared" si="37"/>
        <v>174</v>
      </c>
      <c r="H161" s="53">
        <f t="shared" si="37"/>
        <v>174</v>
      </c>
      <c r="I161" s="53">
        <f t="shared" si="37"/>
        <v>174</v>
      </c>
      <c r="J161" s="53">
        <f t="shared" si="37"/>
        <v>174</v>
      </c>
      <c r="K161" s="53">
        <f t="shared" si="37"/>
        <v>174</v>
      </c>
      <c r="L161" s="53">
        <f t="shared" si="37"/>
        <v>174</v>
      </c>
      <c r="M161" s="53">
        <f t="shared" si="37"/>
        <v>174</v>
      </c>
      <c r="N161" s="53">
        <f t="shared" si="37"/>
        <v>174</v>
      </c>
    </row>
    <row r="162" spans="1:14" x14ac:dyDescent="0.2">
      <c r="A162" s="59" t="s">
        <v>362</v>
      </c>
      <c r="B162" s="78" t="s">
        <v>361</v>
      </c>
      <c r="C162" s="66">
        <f>SUM(C161*$B$163)</f>
        <v>2897.1</v>
      </c>
      <c r="D162" s="66">
        <f t="shared" ref="D162:N162" si="38">SUM(D161*$B$163)</f>
        <v>2897.1</v>
      </c>
      <c r="E162" s="66">
        <f t="shared" si="38"/>
        <v>2897.1</v>
      </c>
      <c r="F162" s="66">
        <f t="shared" si="38"/>
        <v>2897.1</v>
      </c>
      <c r="G162" s="66">
        <f t="shared" si="38"/>
        <v>2897.1</v>
      </c>
      <c r="H162" s="66">
        <f t="shared" si="38"/>
        <v>2897.1</v>
      </c>
      <c r="I162" s="66">
        <f t="shared" si="38"/>
        <v>2897.1</v>
      </c>
      <c r="J162" s="66">
        <f t="shared" si="38"/>
        <v>2897.1</v>
      </c>
      <c r="K162" s="66">
        <f t="shared" si="38"/>
        <v>2897.1</v>
      </c>
      <c r="L162" s="66">
        <f t="shared" si="38"/>
        <v>2897.1</v>
      </c>
      <c r="M162" s="66">
        <f t="shared" si="38"/>
        <v>2897.1</v>
      </c>
      <c r="N162" s="66">
        <f t="shared" si="38"/>
        <v>2897.1</v>
      </c>
    </row>
    <row r="163" spans="1:14" x14ac:dyDescent="0.2">
      <c r="A163" s="59" t="s">
        <v>188</v>
      </c>
      <c r="B163" s="241">
        <f>15.75+0.9</f>
        <v>16.649999999999999</v>
      </c>
      <c r="C163" s="66">
        <f>SUM(C162)*'Data Links'!$B$15</f>
        <v>221.62814999999998</v>
      </c>
      <c r="D163" s="66">
        <f>SUM(D162)*'Data Links'!$B$15</f>
        <v>221.62814999999998</v>
      </c>
      <c r="E163" s="66">
        <f>SUM(E162)*'Data Links'!$B$15</f>
        <v>221.62814999999998</v>
      </c>
      <c r="F163" s="66">
        <f>SUM(F162)*'Data Links'!$B$15</f>
        <v>221.62814999999998</v>
      </c>
      <c r="G163" s="66">
        <f>SUM(G162)*'Data Links'!$B$15</f>
        <v>221.62814999999998</v>
      </c>
      <c r="H163" s="66">
        <f>SUM(H162)*'Data Links'!$B$15</f>
        <v>221.62814999999998</v>
      </c>
      <c r="I163" s="66">
        <f>SUM(I162)*'Data Links'!$B$15</f>
        <v>221.62814999999998</v>
      </c>
      <c r="J163" s="66">
        <f>SUM(J162)*'Data Links'!$B$15</f>
        <v>221.62814999999998</v>
      </c>
      <c r="K163" s="66">
        <f>SUM(K162)*'Data Links'!$B$15</f>
        <v>221.62814999999998</v>
      </c>
      <c r="L163" s="66">
        <f>SUM(L162)*'Data Links'!$B$15</f>
        <v>221.62814999999998</v>
      </c>
      <c r="M163" s="66">
        <f>SUM(M162)*'Data Links'!$B$15</f>
        <v>221.62814999999998</v>
      </c>
      <c r="N163" s="66">
        <f>SUM(N162)*'Data Links'!$B$15</f>
        <v>221.62814999999998</v>
      </c>
    </row>
    <row r="164" spans="1:14" x14ac:dyDescent="0.2">
      <c r="A164" s="59" t="s">
        <v>189</v>
      </c>
      <c r="B164" s="241">
        <f>13.77+0.9</f>
        <v>14.67</v>
      </c>
      <c r="C164" s="66">
        <f>SUM(C162*'Data Links'!$B$13)</f>
        <v>17.3826</v>
      </c>
      <c r="D164" s="66">
        <f>SUM(D162*'Data Links'!$B$13)</f>
        <v>17.3826</v>
      </c>
      <c r="E164" s="66">
        <f>SUM(E162*'Data Links'!$B$13)</f>
        <v>17.3826</v>
      </c>
      <c r="F164" s="66">
        <f>SUM(F162*'Data Links'!$B$13)</f>
        <v>17.3826</v>
      </c>
      <c r="G164" s="66">
        <f>SUM(G162*'Data Links'!$B$13)</f>
        <v>17.3826</v>
      </c>
      <c r="H164" s="66">
        <f>SUM(H162*'Data Links'!$B$13)</f>
        <v>17.3826</v>
      </c>
      <c r="I164" s="66">
        <f>SUM(I162*'Data Links'!$B$13)</f>
        <v>17.3826</v>
      </c>
      <c r="J164" s="66">
        <f>SUM(J162*'Data Links'!$B$13)</f>
        <v>17.3826</v>
      </c>
      <c r="K164" s="66">
        <f>SUM(K162*'Data Links'!$B$13)</f>
        <v>17.3826</v>
      </c>
      <c r="L164" s="66">
        <f>SUM(L162*'Data Links'!$B$13)</f>
        <v>17.3826</v>
      </c>
      <c r="M164" s="66">
        <f>SUM(M162*'Data Links'!$B$13)</f>
        <v>17.3826</v>
      </c>
      <c r="N164" s="66">
        <f>SUM(N162*'Data Links'!$B$13)</f>
        <v>17.3826</v>
      </c>
    </row>
    <row r="165" spans="1:14" x14ac:dyDescent="0.2">
      <c r="A165" s="59" t="s">
        <v>190</v>
      </c>
      <c r="C165" s="66">
        <f>SUM(C161*'Data Links'!$B$10)</f>
        <v>84.433500000000009</v>
      </c>
      <c r="D165" s="66">
        <f>SUM(D161*'Data Links'!$B$10)</f>
        <v>84.433500000000009</v>
      </c>
      <c r="E165" s="66">
        <f>SUM(E161*'Data Links'!$B$10)</f>
        <v>84.433500000000009</v>
      </c>
      <c r="F165" s="66">
        <f>SUM(F161*'Data Links'!$B$10)</f>
        <v>84.433500000000009</v>
      </c>
      <c r="G165" s="66">
        <f>SUM(G161*'Data Links'!$B$10)</f>
        <v>84.433500000000009</v>
      </c>
      <c r="H165" s="66">
        <f>SUM(H161*'Data Links'!$B$10)</f>
        <v>84.433500000000009</v>
      </c>
      <c r="I165" s="66">
        <f>SUM(I161*'Data Links'!$B$10)</f>
        <v>84.433500000000009</v>
      </c>
      <c r="J165" s="66">
        <f>SUM(J161*'Data Links'!$B$10)</f>
        <v>84.433500000000009</v>
      </c>
      <c r="K165" s="66">
        <f>SUM(K161*'Data Links'!$B$10)</f>
        <v>84.433500000000009</v>
      </c>
      <c r="L165" s="66">
        <f>SUM(L161*'Data Links'!$B$10)</f>
        <v>84.433500000000009</v>
      </c>
      <c r="M165" s="66">
        <f>SUM(M161*'Data Links'!$B$10)</f>
        <v>84.433500000000009</v>
      </c>
      <c r="N165" s="66">
        <f>SUM(N161*'Data Links'!$B$10)</f>
        <v>84.433500000000009</v>
      </c>
    </row>
    <row r="166" spans="1:14" x14ac:dyDescent="0.2">
      <c r="A166" s="59" t="s">
        <v>191</v>
      </c>
      <c r="C166" s="66"/>
      <c r="D166" s="66"/>
      <c r="E166" s="66"/>
      <c r="F166" s="66"/>
      <c r="G166" s="66"/>
      <c r="H166" s="66"/>
      <c r="I166" s="66"/>
      <c r="J166" s="66"/>
      <c r="K166" s="66"/>
      <c r="L166" s="66"/>
      <c r="M166" s="66"/>
      <c r="N166" s="66"/>
    </row>
    <row r="167" spans="1:14" x14ac:dyDescent="0.2">
      <c r="A167" s="59" t="s">
        <v>192</v>
      </c>
      <c r="C167" s="66"/>
      <c r="D167" s="66"/>
      <c r="E167" s="66"/>
      <c r="F167" s="66"/>
      <c r="G167" s="66"/>
      <c r="H167" s="66"/>
      <c r="I167" s="66"/>
      <c r="J167" s="66"/>
      <c r="K167" s="66"/>
      <c r="L167" s="66"/>
      <c r="M167" s="66"/>
      <c r="N167" s="66"/>
    </row>
    <row r="168" spans="1:14" s="58" customFormat="1" x14ac:dyDescent="0.2">
      <c r="A168" s="58" t="s">
        <v>144</v>
      </c>
      <c r="B168" s="60"/>
      <c r="C168" s="60">
        <f t="shared" ref="C168:N168" si="39">SUM(C162:C167)</f>
        <v>3220.5442499999999</v>
      </c>
      <c r="D168" s="60">
        <f t="shared" si="39"/>
        <v>3220.5442499999999</v>
      </c>
      <c r="E168" s="60">
        <f t="shared" si="39"/>
        <v>3220.5442499999999</v>
      </c>
      <c r="F168" s="60">
        <f t="shared" si="39"/>
        <v>3220.5442499999999</v>
      </c>
      <c r="G168" s="60">
        <f t="shared" si="39"/>
        <v>3220.5442499999999</v>
      </c>
      <c r="H168" s="60">
        <f t="shared" si="39"/>
        <v>3220.5442499999999</v>
      </c>
      <c r="I168" s="60">
        <f t="shared" si="39"/>
        <v>3220.5442499999999</v>
      </c>
      <c r="J168" s="60">
        <f t="shared" si="39"/>
        <v>3220.5442499999999</v>
      </c>
      <c r="K168" s="60">
        <f t="shared" si="39"/>
        <v>3220.5442499999999</v>
      </c>
      <c r="L168" s="60">
        <f t="shared" si="39"/>
        <v>3220.5442499999999</v>
      </c>
      <c r="M168" s="60">
        <f t="shared" si="39"/>
        <v>3220.5442499999999</v>
      </c>
      <c r="N168" s="60">
        <f t="shared" si="39"/>
        <v>3220.5442499999999</v>
      </c>
    </row>
    <row r="169" spans="1:14" x14ac:dyDescent="0.2">
      <c r="C169" s="60"/>
      <c r="D169" s="66"/>
      <c r="E169" s="66"/>
      <c r="F169" s="66"/>
      <c r="G169" s="66"/>
      <c r="H169" s="66"/>
      <c r="I169" s="66"/>
      <c r="J169" s="66"/>
      <c r="K169" s="66"/>
      <c r="L169" s="66"/>
      <c r="M169" s="66"/>
      <c r="N169" s="66"/>
    </row>
    <row r="170" spans="1:14" x14ac:dyDescent="0.2">
      <c r="C170" s="89" t="str">
        <f>C157</f>
        <v>January</v>
      </c>
      <c r="D170" s="89" t="str">
        <f t="shared" ref="D170:N170" si="40">D157</f>
        <v>February</v>
      </c>
      <c r="E170" s="89" t="str">
        <f t="shared" si="40"/>
        <v>March</v>
      </c>
      <c r="F170" s="89" t="str">
        <f t="shared" si="40"/>
        <v>April</v>
      </c>
      <c r="G170" s="89" t="str">
        <f t="shared" si="40"/>
        <v>May</v>
      </c>
      <c r="H170" s="89" t="str">
        <f t="shared" si="40"/>
        <v>June</v>
      </c>
      <c r="I170" s="89" t="str">
        <f t="shared" si="40"/>
        <v>July</v>
      </c>
      <c r="J170" s="89" t="str">
        <f t="shared" si="40"/>
        <v>August</v>
      </c>
      <c r="K170" s="89" t="str">
        <f t="shared" si="40"/>
        <v>September</v>
      </c>
      <c r="L170" s="89" t="str">
        <f t="shared" si="40"/>
        <v>October</v>
      </c>
      <c r="M170" s="89" t="str">
        <f t="shared" si="40"/>
        <v>November</v>
      </c>
      <c r="N170" s="89" t="str">
        <f t="shared" si="40"/>
        <v>December</v>
      </c>
    </row>
    <row r="171" spans="1:14" x14ac:dyDescent="0.2">
      <c r="C171" s="72">
        <v>31</v>
      </c>
      <c r="D171" s="72">
        <v>31</v>
      </c>
      <c r="E171" s="72">
        <v>30</v>
      </c>
      <c r="F171" s="72">
        <v>31</v>
      </c>
      <c r="G171" s="72">
        <v>30</v>
      </c>
      <c r="H171" s="72">
        <v>31</v>
      </c>
      <c r="I171" s="72">
        <v>31</v>
      </c>
      <c r="J171" s="72">
        <v>28</v>
      </c>
      <c r="K171" s="72">
        <v>31</v>
      </c>
      <c r="L171" s="72">
        <v>30</v>
      </c>
      <c r="M171" s="72">
        <v>31</v>
      </c>
      <c r="N171" s="71">
        <v>30</v>
      </c>
    </row>
    <row r="172" spans="1:14" x14ac:dyDescent="0.2">
      <c r="B172" s="89" t="s">
        <v>185</v>
      </c>
      <c r="C172" s="78">
        <f t="shared" ref="C172:N172" si="41">C159</f>
        <v>1</v>
      </c>
      <c r="D172" s="78">
        <f t="shared" si="41"/>
        <v>0</v>
      </c>
      <c r="E172" s="78">
        <f t="shared" si="41"/>
        <v>1</v>
      </c>
      <c r="F172" s="78">
        <f t="shared" si="41"/>
        <v>0</v>
      </c>
      <c r="G172" s="78">
        <f t="shared" si="41"/>
        <v>2</v>
      </c>
      <c r="H172" s="78">
        <f t="shared" si="41"/>
        <v>0</v>
      </c>
      <c r="I172" s="78">
        <f t="shared" si="41"/>
        <v>2</v>
      </c>
      <c r="J172" s="78">
        <f t="shared" si="41"/>
        <v>1</v>
      </c>
      <c r="K172" s="78">
        <f t="shared" si="41"/>
        <v>0</v>
      </c>
      <c r="L172" s="78">
        <f t="shared" si="41"/>
        <v>0</v>
      </c>
      <c r="M172" s="78">
        <f t="shared" si="41"/>
        <v>1</v>
      </c>
      <c r="N172" s="78">
        <f t="shared" si="41"/>
        <v>0</v>
      </c>
    </row>
    <row r="173" spans="1:14" x14ac:dyDescent="0.2">
      <c r="B173" s="89" t="s">
        <v>44</v>
      </c>
      <c r="C173" s="49">
        <v>1</v>
      </c>
      <c r="D173" s="49">
        <v>1</v>
      </c>
      <c r="E173" s="49">
        <v>1</v>
      </c>
      <c r="F173" s="49">
        <v>1</v>
      </c>
      <c r="G173" s="49">
        <v>1</v>
      </c>
      <c r="H173" s="49">
        <v>1</v>
      </c>
      <c r="I173" s="49">
        <v>1</v>
      </c>
      <c r="J173" s="49">
        <v>1</v>
      </c>
      <c r="K173" s="49">
        <v>1</v>
      </c>
      <c r="L173" s="49">
        <v>1</v>
      </c>
      <c r="M173" s="49">
        <v>1</v>
      </c>
      <c r="N173" s="49">
        <v>1</v>
      </c>
    </row>
    <row r="174" spans="1:14" x14ac:dyDescent="0.2">
      <c r="B174" s="89" t="s">
        <v>186</v>
      </c>
      <c r="C174" s="53">
        <f>SUM(174*C173)</f>
        <v>174</v>
      </c>
      <c r="D174" s="53">
        <f t="shared" ref="D174:N174" si="42">SUM(174*D173)</f>
        <v>174</v>
      </c>
      <c r="E174" s="53">
        <f t="shared" si="42"/>
        <v>174</v>
      </c>
      <c r="F174" s="53">
        <f t="shared" si="42"/>
        <v>174</v>
      </c>
      <c r="G174" s="53">
        <f t="shared" si="42"/>
        <v>174</v>
      </c>
      <c r="H174" s="53">
        <f t="shared" si="42"/>
        <v>174</v>
      </c>
      <c r="I174" s="53">
        <f t="shared" si="42"/>
        <v>174</v>
      </c>
      <c r="J174" s="53">
        <f t="shared" si="42"/>
        <v>174</v>
      </c>
      <c r="K174" s="53">
        <f t="shared" si="42"/>
        <v>174</v>
      </c>
      <c r="L174" s="53">
        <f t="shared" si="42"/>
        <v>174</v>
      </c>
      <c r="M174" s="53">
        <f t="shared" si="42"/>
        <v>174</v>
      </c>
      <c r="N174" s="53">
        <f t="shared" si="42"/>
        <v>174</v>
      </c>
    </row>
    <row r="175" spans="1:14" x14ac:dyDescent="0.2">
      <c r="A175" s="59" t="s">
        <v>363</v>
      </c>
      <c r="B175" s="78" t="s">
        <v>359</v>
      </c>
      <c r="C175" s="66">
        <f>SUM($B$176*C174)</f>
        <v>2610</v>
      </c>
      <c r="D175" s="66">
        <f t="shared" ref="D175:N175" si="43">SUM($B$176*D174)</f>
        <v>2610</v>
      </c>
      <c r="E175" s="66">
        <f t="shared" si="43"/>
        <v>2610</v>
      </c>
      <c r="F175" s="66">
        <f t="shared" si="43"/>
        <v>2610</v>
      </c>
      <c r="G175" s="66">
        <f t="shared" si="43"/>
        <v>2610</v>
      </c>
      <c r="H175" s="66">
        <f t="shared" si="43"/>
        <v>2610</v>
      </c>
      <c r="I175" s="66">
        <f t="shared" si="43"/>
        <v>2610</v>
      </c>
      <c r="J175" s="66">
        <f t="shared" si="43"/>
        <v>2610</v>
      </c>
      <c r="K175" s="66">
        <f t="shared" si="43"/>
        <v>2610</v>
      </c>
      <c r="L175" s="66">
        <f t="shared" si="43"/>
        <v>2610</v>
      </c>
      <c r="M175" s="66">
        <f t="shared" si="43"/>
        <v>2610</v>
      </c>
      <c r="N175" s="66">
        <f t="shared" si="43"/>
        <v>2610</v>
      </c>
    </row>
    <row r="176" spans="1:14" x14ac:dyDescent="0.2">
      <c r="A176" s="59" t="s">
        <v>188</v>
      </c>
      <c r="B176" s="74">
        <v>15</v>
      </c>
      <c r="C176" s="66">
        <f>SUM(C175)*'Data Links'!$B$15</f>
        <v>199.66499999999999</v>
      </c>
      <c r="D176" s="66">
        <f>SUM(D175)*'Data Links'!$B$15</f>
        <v>199.66499999999999</v>
      </c>
      <c r="E176" s="66">
        <f>SUM(E175)*'Data Links'!$B$15</f>
        <v>199.66499999999999</v>
      </c>
      <c r="F176" s="66">
        <f>SUM(F175)*'Data Links'!$B$15</f>
        <v>199.66499999999999</v>
      </c>
      <c r="G176" s="66">
        <f>SUM(G175)*'Data Links'!$B$15</f>
        <v>199.66499999999999</v>
      </c>
      <c r="H176" s="66">
        <f>SUM(H175)*'Data Links'!$B$15</f>
        <v>199.66499999999999</v>
      </c>
      <c r="I176" s="66">
        <f>SUM(I175)*'Data Links'!$B$15</f>
        <v>199.66499999999999</v>
      </c>
      <c r="J176" s="66">
        <f>SUM(J175)*'Data Links'!$B$15</f>
        <v>199.66499999999999</v>
      </c>
      <c r="K176" s="66">
        <f>SUM(K175)*'Data Links'!$B$15</f>
        <v>199.66499999999999</v>
      </c>
      <c r="L176" s="66">
        <f>SUM(L175)*'Data Links'!$B$15</f>
        <v>199.66499999999999</v>
      </c>
      <c r="M176" s="66">
        <f>SUM(M175)*'Data Links'!$B$15</f>
        <v>199.66499999999999</v>
      </c>
      <c r="N176" s="66">
        <f>SUM(N175)*'Data Links'!$B$15</f>
        <v>199.66499999999999</v>
      </c>
    </row>
    <row r="177" spans="1:14" x14ac:dyDescent="0.2">
      <c r="A177" s="59" t="s">
        <v>189</v>
      </c>
      <c r="B177" s="74">
        <v>13</v>
      </c>
      <c r="C177" s="66">
        <f>SUM(C175*'Data Links'!$B$13)</f>
        <v>15.66</v>
      </c>
      <c r="D177" s="66">
        <f>SUM(D175*'Data Links'!$B$13)</f>
        <v>15.66</v>
      </c>
      <c r="E177" s="66">
        <f>SUM(E175*'Data Links'!$B$13)</f>
        <v>15.66</v>
      </c>
      <c r="F177" s="66">
        <f>SUM(F175*'Data Links'!$B$13)</f>
        <v>15.66</v>
      </c>
      <c r="G177" s="66">
        <f>SUM(G175*'Data Links'!$B$13)</f>
        <v>15.66</v>
      </c>
      <c r="H177" s="66">
        <f>SUM(H175*'Data Links'!$B$13)</f>
        <v>15.66</v>
      </c>
      <c r="I177" s="66">
        <f>SUM(I175*'Data Links'!$B$13)</f>
        <v>15.66</v>
      </c>
      <c r="J177" s="66">
        <f>SUM(J175*'Data Links'!$B$13)</f>
        <v>15.66</v>
      </c>
      <c r="K177" s="66">
        <f>SUM(K175*'Data Links'!$B$13)</f>
        <v>15.66</v>
      </c>
      <c r="L177" s="66">
        <f>SUM(L175*'Data Links'!$B$13)</f>
        <v>15.66</v>
      </c>
      <c r="M177" s="66">
        <f>SUM(M175*'Data Links'!$B$13)</f>
        <v>15.66</v>
      </c>
      <c r="N177" s="66">
        <f>SUM(N175*'Data Links'!$B$13)</f>
        <v>15.66</v>
      </c>
    </row>
    <row r="178" spans="1:14" x14ac:dyDescent="0.2">
      <c r="A178" s="59" t="s">
        <v>190</v>
      </c>
      <c r="C178" s="66">
        <f>SUM(C174*'Data Links'!$B$10)</f>
        <v>84.433500000000009</v>
      </c>
      <c r="D178" s="66">
        <f>SUM(D174*'Data Links'!$B$10)</f>
        <v>84.433500000000009</v>
      </c>
      <c r="E178" s="66">
        <f>SUM(E174*'Data Links'!$B$10)</f>
        <v>84.433500000000009</v>
      </c>
      <c r="F178" s="66">
        <f>SUM(F174*'Data Links'!$B$10)</f>
        <v>84.433500000000009</v>
      </c>
      <c r="G178" s="66">
        <f>SUM(G174*'Data Links'!$B$10)</f>
        <v>84.433500000000009</v>
      </c>
      <c r="H178" s="66">
        <f>SUM(H174*'Data Links'!$B$10)</f>
        <v>84.433500000000009</v>
      </c>
      <c r="I178" s="66">
        <f>SUM(I174*'Data Links'!$B$10)</f>
        <v>84.433500000000009</v>
      </c>
      <c r="J178" s="66">
        <f>SUM(J174*'Data Links'!$B$10)</f>
        <v>84.433500000000009</v>
      </c>
      <c r="K178" s="66">
        <f>SUM(K174*'Data Links'!$B$10)</f>
        <v>84.433500000000009</v>
      </c>
      <c r="L178" s="66">
        <f>SUM(L174*'Data Links'!$B$10)</f>
        <v>84.433500000000009</v>
      </c>
      <c r="M178" s="66">
        <f>SUM(M174*'Data Links'!$B$10)</f>
        <v>84.433500000000009</v>
      </c>
      <c r="N178" s="66">
        <f>SUM(N174*'Data Links'!$B$10)</f>
        <v>84.433500000000009</v>
      </c>
    </row>
    <row r="179" spans="1:14" x14ac:dyDescent="0.2">
      <c r="A179" s="59" t="s">
        <v>191</v>
      </c>
      <c r="C179" s="66">
        <f>SUM('All Employees'!$P$29)</f>
        <v>396.6078</v>
      </c>
      <c r="D179" s="66">
        <f>SUM('All Employees'!$P$29)</f>
        <v>396.6078</v>
      </c>
      <c r="E179" s="66">
        <f>SUM('All Employees'!$P$29)</f>
        <v>396.6078</v>
      </c>
      <c r="F179" s="66">
        <f>SUM('All Employees'!$P$29)</f>
        <v>396.6078</v>
      </c>
      <c r="G179" s="66">
        <f>SUM('All Employees'!$P$29)</f>
        <v>396.6078</v>
      </c>
      <c r="H179" s="66">
        <f>SUM('All Employees'!$P$29)</f>
        <v>396.6078</v>
      </c>
      <c r="I179" s="66">
        <f>SUM('All Employees'!$P$29)</f>
        <v>396.6078</v>
      </c>
      <c r="J179" s="66">
        <f>SUM('All Employees'!$P$29)</f>
        <v>396.6078</v>
      </c>
      <c r="K179" s="66">
        <f>SUM('All Employees'!$P$29)</f>
        <v>396.6078</v>
      </c>
      <c r="L179" s="66">
        <f>SUM('All Employees'!$P$29)</f>
        <v>396.6078</v>
      </c>
      <c r="M179" s="66">
        <f>SUM('All Employees'!$P$29)</f>
        <v>396.6078</v>
      </c>
      <c r="N179" s="66">
        <f>SUM('All Employees'!$P$29)</f>
        <v>396.6078</v>
      </c>
    </row>
    <row r="180" spans="1:14" x14ac:dyDescent="0.2">
      <c r="A180" s="59" t="s">
        <v>192</v>
      </c>
      <c r="C180" s="66"/>
      <c r="D180" s="66"/>
      <c r="E180" s="66"/>
      <c r="F180" s="66"/>
      <c r="G180" s="66"/>
      <c r="H180" s="66"/>
      <c r="I180" s="66"/>
      <c r="J180" s="66"/>
      <c r="K180" s="66"/>
      <c r="L180" s="66"/>
      <c r="M180" s="66"/>
      <c r="N180" s="66"/>
    </row>
    <row r="181" spans="1:14" s="58" customFormat="1" x14ac:dyDescent="0.2">
      <c r="A181" s="58" t="s">
        <v>144</v>
      </c>
      <c r="B181" s="60"/>
      <c r="C181" s="60">
        <f t="shared" ref="C181:N181" si="44">SUM(C175:C180)</f>
        <v>3306.3662999999997</v>
      </c>
      <c r="D181" s="60">
        <f t="shared" si="44"/>
        <v>3306.3662999999997</v>
      </c>
      <c r="E181" s="60">
        <f t="shared" si="44"/>
        <v>3306.3662999999997</v>
      </c>
      <c r="F181" s="60">
        <f t="shared" si="44"/>
        <v>3306.3662999999997</v>
      </c>
      <c r="G181" s="60">
        <f t="shared" si="44"/>
        <v>3306.3662999999997</v>
      </c>
      <c r="H181" s="60">
        <f t="shared" si="44"/>
        <v>3306.3662999999997</v>
      </c>
      <c r="I181" s="60">
        <f t="shared" si="44"/>
        <v>3306.3662999999997</v>
      </c>
      <c r="J181" s="60">
        <f t="shared" si="44"/>
        <v>3306.3662999999997</v>
      </c>
      <c r="K181" s="60">
        <f t="shared" si="44"/>
        <v>3306.3662999999997</v>
      </c>
      <c r="L181" s="60">
        <f t="shared" si="44"/>
        <v>3306.3662999999997</v>
      </c>
      <c r="M181" s="60">
        <f t="shared" si="44"/>
        <v>3306.3662999999997</v>
      </c>
      <c r="N181" s="60">
        <f t="shared" si="44"/>
        <v>3306.3662999999997</v>
      </c>
    </row>
    <row r="182" spans="1:14" x14ac:dyDescent="0.2">
      <c r="C182" s="60"/>
      <c r="D182" s="66"/>
      <c r="E182" s="66"/>
      <c r="F182" s="66"/>
      <c r="G182" s="66"/>
      <c r="H182" s="66"/>
      <c r="I182" s="66"/>
      <c r="J182" s="66"/>
      <c r="K182" s="66"/>
      <c r="L182" s="66"/>
      <c r="M182" s="66"/>
      <c r="N182" s="66"/>
    </row>
    <row r="183" spans="1:14" x14ac:dyDescent="0.2">
      <c r="C183" s="89" t="str">
        <f>C170</f>
        <v>January</v>
      </c>
      <c r="D183" s="89" t="str">
        <f t="shared" ref="D183:N183" si="45">D170</f>
        <v>February</v>
      </c>
      <c r="E183" s="89" t="str">
        <f t="shared" si="45"/>
        <v>March</v>
      </c>
      <c r="F183" s="89" t="str">
        <f t="shared" si="45"/>
        <v>April</v>
      </c>
      <c r="G183" s="89" t="str">
        <f t="shared" si="45"/>
        <v>May</v>
      </c>
      <c r="H183" s="89" t="str">
        <f t="shared" si="45"/>
        <v>June</v>
      </c>
      <c r="I183" s="89" t="str">
        <f t="shared" si="45"/>
        <v>July</v>
      </c>
      <c r="J183" s="89" t="str">
        <f t="shared" si="45"/>
        <v>August</v>
      </c>
      <c r="K183" s="89" t="str">
        <f t="shared" si="45"/>
        <v>September</v>
      </c>
      <c r="L183" s="89" t="str">
        <f t="shared" si="45"/>
        <v>October</v>
      </c>
      <c r="M183" s="89" t="str">
        <f t="shared" si="45"/>
        <v>November</v>
      </c>
      <c r="N183" s="89" t="str">
        <f t="shared" si="45"/>
        <v>December</v>
      </c>
    </row>
    <row r="184" spans="1:14" x14ac:dyDescent="0.2">
      <c r="C184" s="72">
        <v>31</v>
      </c>
      <c r="D184" s="72">
        <v>31</v>
      </c>
      <c r="E184" s="72">
        <v>30</v>
      </c>
      <c r="F184" s="72">
        <v>31</v>
      </c>
      <c r="G184" s="72">
        <v>30</v>
      </c>
      <c r="H184" s="72">
        <v>31</v>
      </c>
      <c r="I184" s="72">
        <v>31</v>
      </c>
      <c r="J184" s="72">
        <v>28</v>
      </c>
      <c r="K184" s="72">
        <v>31</v>
      </c>
      <c r="L184" s="72">
        <v>30</v>
      </c>
      <c r="M184" s="72">
        <v>31</v>
      </c>
      <c r="N184" s="71">
        <v>30</v>
      </c>
    </row>
    <row r="185" spans="1:14" x14ac:dyDescent="0.2">
      <c r="B185" s="78" t="s">
        <v>185</v>
      </c>
      <c r="C185" s="78">
        <f t="shared" ref="C185:N185" si="46">C172</f>
        <v>1</v>
      </c>
      <c r="D185" s="78">
        <f t="shared" si="46"/>
        <v>0</v>
      </c>
      <c r="E185" s="78">
        <f t="shared" si="46"/>
        <v>1</v>
      </c>
      <c r="F185" s="78">
        <f t="shared" si="46"/>
        <v>0</v>
      </c>
      <c r="G185" s="78">
        <f t="shared" si="46"/>
        <v>2</v>
      </c>
      <c r="H185" s="78">
        <f t="shared" si="46"/>
        <v>0</v>
      </c>
      <c r="I185" s="78">
        <f t="shared" si="46"/>
        <v>2</v>
      </c>
      <c r="J185" s="78">
        <f t="shared" si="46"/>
        <v>1</v>
      </c>
      <c r="K185" s="78">
        <f t="shared" si="46"/>
        <v>0</v>
      </c>
      <c r="L185" s="78">
        <f t="shared" si="46"/>
        <v>0</v>
      </c>
      <c r="M185" s="78">
        <f t="shared" si="46"/>
        <v>1</v>
      </c>
      <c r="N185" s="78">
        <f t="shared" si="46"/>
        <v>0</v>
      </c>
    </row>
    <row r="186" spans="1:14" x14ac:dyDescent="0.2">
      <c r="B186" s="78" t="s">
        <v>44</v>
      </c>
      <c r="C186" s="49">
        <v>1</v>
      </c>
      <c r="D186" s="49">
        <v>1</v>
      </c>
      <c r="E186" s="49">
        <v>1</v>
      </c>
      <c r="F186" s="49">
        <v>1</v>
      </c>
      <c r="G186" s="49">
        <v>1</v>
      </c>
      <c r="H186" s="49">
        <v>1</v>
      </c>
      <c r="I186" s="49">
        <v>1</v>
      </c>
      <c r="J186" s="49">
        <v>1</v>
      </c>
      <c r="K186" s="49">
        <v>1</v>
      </c>
      <c r="L186" s="49">
        <v>1</v>
      </c>
      <c r="M186" s="49">
        <v>1</v>
      </c>
      <c r="N186" s="49">
        <v>1</v>
      </c>
    </row>
    <row r="187" spans="1:14" x14ac:dyDescent="0.2">
      <c r="B187" s="78" t="s">
        <v>186</v>
      </c>
      <c r="C187" s="53">
        <f>SUM(174*C186)</f>
        <v>174</v>
      </c>
      <c r="D187" s="53">
        <f t="shared" ref="D187:N187" si="47">SUM(174*D186)</f>
        <v>174</v>
      </c>
      <c r="E187" s="53">
        <f t="shared" si="47"/>
        <v>174</v>
      </c>
      <c r="F187" s="53">
        <f t="shared" si="47"/>
        <v>174</v>
      </c>
      <c r="G187" s="53">
        <f t="shared" si="47"/>
        <v>174</v>
      </c>
      <c r="H187" s="53">
        <f t="shared" si="47"/>
        <v>174</v>
      </c>
      <c r="I187" s="53">
        <f t="shared" si="47"/>
        <v>174</v>
      </c>
      <c r="J187" s="53">
        <f t="shared" si="47"/>
        <v>174</v>
      </c>
      <c r="K187" s="53">
        <f t="shared" si="47"/>
        <v>174</v>
      </c>
      <c r="L187" s="53">
        <f t="shared" si="47"/>
        <v>174</v>
      </c>
      <c r="M187" s="53">
        <f t="shared" si="47"/>
        <v>174</v>
      </c>
      <c r="N187" s="53">
        <f t="shared" si="47"/>
        <v>174</v>
      </c>
    </row>
    <row r="188" spans="1:14" x14ac:dyDescent="0.2">
      <c r="A188" s="147" t="s">
        <v>452</v>
      </c>
      <c r="B188" s="78" t="s">
        <v>526</v>
      </c>
      <c r="C188" s="66">
        <f>SUM(C187*$B$189)</f>
        <v>2610</v>
      </c>
      <c r="D188" s="66">
        <f t="shared" ref="D188:N188" si="48">SUM(D187*$B$189)</f>
        <v>2610</v>
      </c>
      <c r="E188" s="66">
        <f t="shared" si="48"/>
        <v>2610</v>
      </c>
      <c r="F188" s="66">
        <f t="shared" si="48"/>
        <v>2610</v>
      </c>
      <c r="G188" s="66">
        <f t="shared" si="48"/>
        <v>2610</v>
      </c>
      <c r="H188" s="66">
        <f t="shared" si="48"/>
        <v>2610</v>
      </c>
      <c r="I188" s="66">
        <f t="shared" si="48"/>
        <v>2610</v>
      </c>
      <c r="J188" s="66">
        <f t="shared" si="48"/>
        <v>2610</v>
      </c>
      <c r="K188" s="66">
        <f t="shared" si="48"/>
        <v>2610</v>
      </c>
      <c r="L188" s="66">
        <f t="shared" si="48"/>
        <v>2610</v>
      </c>
      <c r="M188" s="66">
        <f t="shared" si="48"/>
        <v>2610</v>
      </c>
      <c r="N188" s="66">
        <f t="shared" si="48"/>
        <v>2610</v>
      </c>
    </row>
    <row r="189" spans="1:14" x14ac:dyDescent="0.2">
      <c r="A189" s="59" t="s">
        <v>188</v>
      </c>
      <c r="B189" s="74">
        <v>15</v>
      </c>
      <c r="C189" s="66">
        <f>SUM(C188)*'Data Links'!$B$15</f>
        <v>199.66499999999999</v>
      </c>
      <c r="D189" s="66">
        <f>SUM(D188)*'Data Links'!$B$15</f>
        <v>199.66499999999999</v>
      </c>
      <c r="E189" s="66">
        <f>SUM(E188)*'Data Links'!$B$15</f>
        <v>199.66499999999999</v>
      </c>
      <c r="F189" s="66">
        <f>SUM(F188)*'Data Links'!$B$15</f>
        <v>199.66499999999999</v>
      </c>
      <c r="G189" s="66">
        <f>SUM(G188)*'Data Links'!$B$15</f>
        <v>199.66499999999999</v>
      </c>
      <c r="H189" s="66">
        <f>SUM(H188)*'Data Links'!$B$15</f>
        <v>199.66499999999999</v>
      </c>
      <c r="I189" s="66">
        <f>SUM(I188)*'Data Links'!$B$15</f>
        <v>199.66499999999999</v>
      </c>
      <c r="J189" s="66">
        <f>SUM(J188)*'Data Links'!$B$15</f>
        <v>199.66499999999999</v>
      </c>
      <c r="K189" s="66">
        <f>SUM(K188)*'Data Links'!$B$15</f>
        <v>199.66499999999999</v>
      </c>
      <c r="L189" s="66">
        <f>SUM(L188)*'Data Links'!$B$15</f>
        <v>199.66499999999999</v>
      </c>
      <c r="M189" s="66">
        <f>SUM(M188)*'Data Links'!$B$15</f>
        <v>199.66499999999999</v>
      </c>
      <c r="N189" s="66">
        <f>SUM(N188)*'Data Links'!$B$15</f>
        <v>199.66499999999999</v>
      </c>
    </row>
    <row r="190" spans="1:14" x14ac:dyDescent="0.2">
      <c r="A190" s="59" t="s">
        <v>189</v>
      </c>
      <c r="C190" s="66">
        <f>SUM(C188*'Data Links'!$B$13)</f>
        <v>15.66</v>
      </c>
      <c r="D190" s="66">
        <f>SUM(D188*'Data Links'!$B$13)</f>
        <v>15.66</v>
      </c>
      <c r="E190" s="66">
        <f>SUM(E188*'Data Links'!$B$13)</f>
        <v>15.66</v>
      </c>
      <c r="F190" s="66">
        <f>SUM(F188*'Data Links'!$B$13)</f>
        <v>15.66</v>
      </c>
      <c r="G190" s="66">
        <f>SUM(G188*'Data Links'!$B$13)</f>
        <v>15.66</v>
      </c>
      <c r="H190" s="66">
        <f>SUM(H188*'Data Links'!$B$13)</f>
        <v>15.66</v>
      </c>
      <c r="I190" s="66">
        <f>SUM(I188*'Data Links'!$B$13)</f>
        <v>15.66</v>
      </c>
      <c r="J190" s="66">
        <f>SUM(J188*'Data Links'!$B$13)</f>
        <v>15.66</v>
      </c>
      <c r="K190" s="66">
        <f>SUM(K188*'Data Links'!$B$13)</f>
        <v>15.66</v>
      </c>
      <c r="L190" s="66">
        <f>SUM(L188*'Data Links'!$B$13)</f>
        <v>15.66</v>
      </c>
      <c r="M190" s="66">
        <f>SUM(M188*'Data Links'!$B$13)</f>
        <v>15.66</v>
      </c>
      <c r="N190" s="66">
        <f>SUM(N188*'Data Links'!$B$13)</f>
        <v>15.66</v>
      </c>
    </row>
    <row r="191" spans="1:14" x14ac:dyDescent="0.2">
      <c r="A191" s="59" t="s">
        <v>190</v>
      </c>
      <c r="C191" s="66">
        <f>SUM(C187*'Data Links'!$B$10)</f>
        <v>84.433500000000009</v>
      </c>
      <c r="D191" s="66">
        <f>SUM(D187*'Data Links'!$B$10)</f>
        <v>84.433500000000009</v>
      </c>
      <c r="E191" s="66">
        <f>SUM(E187*'Data Links'!$B$10)</f>
        <v>84.433500000000009</v>
      </c>
      <c r="F191" s="66">
        <f>SUM(F187*'Data Links'!$B$10)</f>
        <v>84.433500000000009</v>
      </c>
      <c r="G191" s="66">
        <f>SUM(G187*'Data Links'!$B$10)</f>
        <v>84.433500000000009</v>
      </c>
      <c r="H191" s="66">
        <f>SUM(H187*'Data Links'!$B$10)</f>
        <v>84.433500000000009</v>
      </c>
      <c r="I191" s="66">
        <f>SUM(I187*'Data Links'!$B$10)</f>
        <v>84.433500000000009</v>
      </c>
      <c r="J191" s="66">
        <f>SUM(J187*'Data Links'!$B$10)</f>
        <v>84.433500000000009</v>
      </c>
      <c r="K191" s="66">
        <f>SUM(K187*'Data Links'!$B$10)</f>
        <v>84.433500000000009</v>
      </c>
      <c r="L191" s="66">
        <f>SUM(L187*'Data Links'!$B$10)</f>
        <v>84.433500000000009</v>
      </c>
      <c r="M191" s="66">
        <f>SUM(M187*'Data Links'!$B$10)</f>
        <v>84.433500000000009</v>
      </c>
      <c r="N191" s="66">
        <f>SUM(N187*'Data Links'!$B$10)</f>
        <v>84.433500000000009</v>
      </c>
    </row>
    <row r="192" spans="1:14" x14ac:dyDescent="0.2">
      <c r="A192" s="59" t="s">
        <v>191</v>
      </c>
      <c r="C192" s="66">
        <f>SUM('Data Links'!$F$69)*C186</f>
        <v>426</v>
      </c>
      <c r="D192" s="66">
        <f>SUM('Data Links'!$F$69)*D186</f>
        <v>426</v>
      </c>
      <c r="E192" s="66">
        <f>SUM('Data Links'!$F$69)*E186</f>
        <v>426</v>
      </c>
      <c r="F192" s="66">
        <f>SUM('Data Links'!$F$69)*F186</f>
        <v>426</v>
      </c>
      <c r="G192" s="66">
        <f>SUM('Data Links'!$F$69)*G186</f>
        <v>426</v>
      </c>
      <c r="H192" s="66">
        <f>SUM('Data Links'!$F$69)*H186</f>
        <v>426</v>
      </c>
      <c r="I192" s="66">
        <f>SUM('Data Links'!$F$69)*I186</f>
        <v>426</v>
      </c>
      <c r="J192" s="66">
        <f>SUM('Data Links'!$F$69)*J186</f>
        <v>426</v>
      </c>
      <c r="K192" s="66">
        <f>SUM('Data Links'!$F$69)*K186</f>
        <v>426</v>
      </c>
      <c r="L192" s="66">
        <f>SUM('Data Links'!$F$69)*L186</f>
        <v>426</v>
      </c>
      <c r="M192" s="66">
        <f>SUM('Data Links'!$F$69)*M186</f>
        <v>426</v>
      </c>
      <c r="N192" s="66">
        <f>SUM('Data Links'!$F$69)*N186</f>
        <v>426</v>
      </c>
    </row>
    <row r="193" spans="1:14" x14ac:dyDescent="0.2">
      <c r="A193" s="59" t="s">
        <v>192</v>
      </c>
      <c r="C193" s="66">
        <f>SUM(C188*'Data Links'!$B$17)</f>
        <v>78.3</v>
      </c>
      <c r="D193" s="66">
        <f>SUM(D188*'Data Links'!$B$17)</f>
        <v>78.3</v>
      </c>
      <c r="E193" s="66">
        <f>SUM(E188*'Data Links'!$B$17)</f>
        <v>78.3</v>
      </c>
      <c r="F193" s="66">
        <f>SUM(F188*'Data Links'!$B$17)</f>
        <v>78.3</v>
      </c>
      <c r="G193" s="66">
        <f>SUM(G188*'Data Links'!$B$17)</f>
        <v>78.3</v>
      </c>
      <c r="H193" s="66">
        <f>SUM(H188*'Data Links'!$B$17)</f>
        <v>78.3</v>
      </c>
      <c r="I193" s="66">
        <f>SUM(I188*'Data Links'!$B$17)</f>
        <v>78.3</v>
      </c>
      <c r="J193" s="66">
        <f>SUM(J188*'Data Links'!$B$17)</f>
        <v>78.3</v>
      </c>
      <c r="K193" s="66">
        <f>SUM(K188*'Data Links'!$B$17)</f>
        <v>78.3</v>
      </c>
      <c r="L193" s="66">
        <f>SUM(L188*'Data Links'!$B$17)</f>
        <v>78.3</v>
      </c>
      <c r="M193" s="66">
        <f>SUM(M188*'Data Links'!$B$17)</f>
        <v>78.3</v>
      </c>
      <c r="N193" s="66">
        <f>SUM(N188*'Data Links'!$B$17)</f>
        <v>78.3</v>
      </c>
    </row>
    <row r="194" spans="1:14" s="58" customFormat="1" x14ac:dyDescent="0.2">
      <c r="A194" s="58" t="s">
        <v>144</v>
      </c>
      <c r="B194" s="60"/>
      <c r="C194" s="60">
        <f t="shared" ref="C194:N194" si="49">SUM(C188:C193)</f>
        <v>3414.0585000000001</v>
      </c>
      <c r="D194" s="60">
        <f t="shared" si="49"/>
        <v>3414.0585000000001</v>
      </c>
      <c r="E194" s="60">
        <f t="shared" si="49"/>
        <v>3414.0585000000001</v>
      </c>
      <c r="F194" s="60">
        <f t="shared" si="49"/>
        <v>3414.0585000000001</v>
      </c>
      <c r="G194" s="60">
        <f t="shared" si="49"/>
        <v>3414.0585000000001</v>
      </c>
      <c r="H194" s="60">
        <f t="shared" si="49"/>
        <v>3414.0585000000001</v>
      </c>
      <c r="I194" s="60">
        <f t="shared" si="49"/>
        <v>3414.0585000000001</v>
      </c>
      <c r="J194" s="60">
        <f t="shared" si="49"/>
        <v>3414.0585000000001</v>
      </c>
      <c r="K194" s="60">
        <f t="shared" si="49"/>
        <v>3414.0585000000001</v>
      </c>
      <c r="L194" s="60">
        <f t="shared" si="49"/>
        <v>3414.0585000000001</v>
      </c>
      <c r="M194" s="60">
        <f t="shared" si="49"/>
        <v>3414.0585000000001</v>
      </c>
      <c r="N194" s="60">
        <f t="shared" si="49"/>
        <v>3414.0585000000001</v>
      </c>
    </row>
    <row r="195" spans="1:14" x14ac:dyDescent="0.2">
      <c r="C195" s="60"/>
      <c r="D195" s="66"/>
      <c r="E195" s="66"/>
      <c r="F195" s="66"/>
      <c r="G195" s="66"/>
      <c r="H195" s="66"/>
      <c r="I195" s="66"/>
      <c r="J195" s="66"/>
      <c r="K195" s="66"/>
      <c r="L195" s="66"/>
      <c r="M195" s="66"/>
      <c r="N195" s="66"/>
    </row>
    <row r="196" spans="1:14" x14ac:dyDescent="0.2">
      <c r="C196" s="89" t="str">
        <f>C183</f>
        <v>January</v>
      </c>
      <c r="D196" s="89" t="str">
        <f t="shared" ref="D196:M196" si="50">D183</f>
        <v>February</v>
      </c>
      <c r="E196" s="89" t="str">
        <f t="shared" si="50"/>
        <v>March</v>
      </c>
      <c r="F196" s="89" t="str">
        <f t="shared" si="50"/>
        <v>April</v>
      </c>
      <c r="G196" s="89" t="str">
        <f t="shared" si="50"/>
        <v>May</v>
      </c>
      <c r="H196" s="89" t="str">
        <f t="shared" si="50"/>
        <v>June</v>
      </c>
      <c r="I196" s="89" t="str">
        <f t="shared" si="50"/>
        <v>July</v>
      </c>
      <c r="J196" s="89" t="str">
        <f t="shared" si="50"/>
        <v>August</v>
      </c>
      <c r="K196" s="89" t="str">
        <f t="shared" si="50"/>
        <v>September</v>
      </c>
      <c r="L196" s="89" t="str">
        <f t="shared" si="50"/>
        <v>October</v>
      </c>
      <c r="M196" s="89" t="str">
        <f t="shared" si="50"/>
        <v>November</v>
      </c>
      <c r="N196" s="89" t="str">
        <f>N183</f>
        <v>December</v>
      </c>
    </row>
    <row r="197" spans="1:14" x14ac:dyDescent="0.2">
      <c r="C197" s="72">
        <v>31</v>
      </c>
      <c r="D197" s="72">
        <v>31</v>
      </c>
      <c r="E197" s="72">
        <v>30</v>
      </c>
      <c r="F197" s="72">
        <v>31</v>
      </c>
      <c r="G197" s="72">
        <v>30</v>
      </c>
      <c r="H197" s="72">
        <v>31</v>
      </c>
      <c r="I197" s="72">
        <v>31</v>
      </c>
      <c r="J197" s="72">
        <v>28</v>
      </c>
      <c r="K197" s="72">
        <v>31</v>
      </c>
      <c r="L197" s="72">
        <v>30</v>
      </c>
      <c r="M197" s="72">
        <v>31</v>
      </c>
      <c r="N197" s="71">
        <v>30</v>
      </c>
    </row>
    <row r="198" spans="1:14" x14ac:dyDescent="0.2">
      <c r="B198" s="89" t="s">
        <v>185</v>
      </c>
      <c r="C198" s="78">
        <f t="shared" ref="C198:N198" si="51">C185</f>
        <v>1</v>
      </c>
      <c r="D198" s="78">
        <f t="shared" si="51"/>
        <v>0</v>
      </c>
      <c r="E198" s="78">
        <f t="shared" si="51"/>
        <v>1</v>
      </c>
      <c r="F198" s="78">
        <f t="shared" si="51"/>
        <v>0</v>
      </c>
      <c r="G198" s="78">
        <f t="shared" si="51"/>
        <v>2</v>
      </c>
      <c r="H198" s="78">
        <f t="shared" si="51"/>
        <v>0</v>
      </c>
      <c r="I198" s="78">
        <f t="shared" si="51"/>
        <v>2</v>
      </c>
      <c r="J198" s="78">
        <f t="shared" si="51"/>
        <v>1</v>
      </c>
      <c r="K198" s="78">
        <f t="shared" si="51"/>
        <v>0</v>
      </c>
      <c r="L198" s="78">
        <f t="shared" si="51"/>
        <v>0</v>
      </c>
      <c r="M198" s="78">
        <f t="shared" si="51"/>
        <v>1</v>
      </c>
      <c r="N198" s="78">
        <f t="shared" si="51"/>
        <v>0</v>
      </c>
    </row>
    <row r="199" spans="1:14" x14ac:dyDescent="0.2">
      <c r="B199" s="89" t="s">
        <v>44</v>
      </c>
      <c r="C199" s="49">
        <v>0.6</v>
      </c>
      <c r="D199" s="49">
        <v>0.6</v>
      </c>
      <c r="E199" s="49">
        <v>0.6</v>
      </c>
      <c r="F199" s="49">
        <v>0.6</v>
      </c>
      <c r="G199" s="49">
        <v>0.6</v>
      </c>
      <c r="H199" s="49">
        <v>0.6</v>
      </c>
      <c r="I199" s="49">
        <v>0.6</v>
      </c>
      <c r="J199" s="49">
        <v>0.6</v>
      </c>
      <c r="K199" s="49">
        <v>0.6</v>
      </c>
      <c r="L199" s="49">
        <v>0.6</v>
      </c>
      <c r="M199" s="49">
        <v>0.6</v>
      </c>
      <c r="N199" s="49">
        <v>0.6</v>
      </c>
    </row>
    <row r="200" spans="1:14" x14ac:dyDescent="0.2">
      <c r="B200" s="89" t="s">
        <v>186</v>
      </c>
      <c r="C200" s="53">
        <f>SUM(174*C199)</f>
        <v>104.39999999999999</v>
      </c>
      <c r="D200" s="53">
        <f t="shared" ref="D200:N200" si="52">SUM(174*D199)</f>
        <v>104.39999999999999</v>
      </c>
      <c r="E200" s="53">
        <f t="shared" si="52"/>
        <v>104.39999999999999</v>
      </c>
      <c r="F200" s="53">
        <f t="shared" si="52"/>
        <v>104.39999999999999</v>
      </c>
      <c r="G200" s="53">
        <f t="shared" si="52"/>
        <v>104.39999999999999</v>
      </c>
      <c r="H200" s="53">
        <f t="shared" si="52"/>
        <v>104.39999999999999</v>
      </c>
      <c r="I200" s="53">
        <f t="shared" si="52"/>
        <v>104.39999999999999</v>
      </c>
      <c r="J200" s="53">
        <f t="shared" si="52"/>
        <v>104.39999999999999</v>
      </c>
      <c r="K200" s="53">
        <f t="shared" si="52"/>
        <v>104.39999999999999</v>
      </c>
      <c r="L200" s="53">
        <f t="shared" si="52"/>
        <v>104.39999999999999</v>
      </c>
      <c r="M200" s="53">
        <f t="shared" si="52"/>
        <v>104.39999999999999</v>
      </c>
      <c r="N200" s="53">
        <f t="shared" si="52"/>
        <v>104.39999999999999</v>
      </c>
    </row>
    <row r="201" spans="1:14" x14ac:dyDescent="0.2">
      <c r="A201" s="59" t="s">
        <v>535</v>
      </c>
      <c r="B201" s="78" t="s">
        <v>533</v>
      </c>
      <c r="C201" s="66">
        <f>SUM(C200*$B$202)</f>
        <v>1487.6999999999998</v>
      </c>
      <c r="D201" s="66">
        <f t="shared" ref="D201:N201" si="53">SUM(D200*$B$202)</f>
        <v>1487.6999999999998</v>
      </c>
      <c r="E201" s="66">
        <f t="shared" si="53"/>
        <v>1487.6999999999998</v>
      </c>
      <c r="F201" s="66">
        <f t="shared" si="53"/>
        <v>1487.6999999999998</v>
      </c>
      <c r="G201" s="66">
        <f t="shared" si="53"/>
        <v>1487.6999999999998</v>
      </c>
      <c r="H201" s="66">
        <f t="shared" si="53"/>
        <v>1487.6999999999998</v>
      </c>
      <c r="I201" s="66">
        <f t="shared" si="53"/>
        <v>1487.6999999999998</v>
      </c>
      <c r="J201" s="66">
        <f t="shared" si="53"/>
        <v>1487.6999999999998</v>
      </c>
      <c r="K201" s="66">
        <f t="shared" si="53"/>
        <v>1487.6999999999998</v>
      </c>
      <c r="L201" s="66">
        <f t="shared" si="53"/>
        <v>1487.6999999999998</v>
      </c>
      <c r="M201" s="66">
        <f t="shared" si="53"/>
        <v>1487.6999999999998</v>
      </c>
      <c r="N201" s="66">
        <f t="shared" si="53"/>
        <v>1487.6999999999998</v>
      </c>
    </row>
    <row r="202" spans="1:14" x14ac:dyDescent="0.2">
      <c r="A202" s="59" t="s">
        <v>188</v>
      </c>
      <c r="B202" s="74">
        <v>14.25</v>
      </c>
      <c r="C202" s="66">
        <f>SUM(C201)*'Data Links'!$B$15</f>
        <v>113.80904999999998</v>
      </c>
      <c r="D202" s="66">
        <f>SUM(D201)*'Data Links'!$B$15</f>
        <v>113.80904999999998</v>
      </c>
      <c r="E202" s="66">
        <f>SUM(E201)*'Data Links'!$B$15</f>
        <v>113.80904999999998</v>
      </c>
      <c r="F202" s="66">
        <f>SUM(F201)*'Data Links'!$B$15</f>
        <v>113.80904999999998</v>
      </c>
      <c r="G202" s="66">
        <f>SUM(G201)*'Data Links'!$B$15</f>
        <v>113.80904999999998</v>
      </c>
      <c r="H202" s="66">
        <f>SUM(H201)*'Data Links'!$B$15</f>
        <v>113.80904999999998</v>
      </c>
      <c r="I202" s="66">
        <f>SUM(I201)*'Data Links'!$B$15</f>
        <v>113.80904999999998</v>
      </c>
      <c r="J202" s="66">
        <f>SUM(J201)*'Data Links'!$B$15</f>
        <v>113.80904999999998</v>
      </c>
      <c r="K202" s="66">
        <f>SUM(K201)*'Data Links'!$B$15</f>
        <v>113.80904999999998</v>
      </c>
      <c r="L202" s="66">
        <f>SUM(L201)*'Data Links'!$B$15</f>
        <v>113.80904999999998</v>
      </c>
      <c r="M202" s="66">
        <f>SUM(M201)*'Data Links'!$B$15</f>
        <v>113.80904999999998</v>
      </c>
      <c r="N202" s="66">
        <f>SUM(N201)*'Data Links'!$B$15</f>
        <v>113.80904999999998</v>
      </c>
    </row>
    <row r="203" spans="1:14" x14ac:dyDescent="0.2">
      <c r="A203" s="59" t="s">
        <v>189</v>
      </c>
      <c r="B203" s="74">
        <v>13</v>
      </c>
      <c r="C203" s="66">
        <f>SUM(C201*'Data Links'!$B$13)</f>
        <v>8.9261999999999997</v>
      </c>
      <c r="D203" s="66">
        <f>SUM(D201*'Data Links'!$B$13)</f>
        <v>8.9261999999999997</v>
      </c>
      <c r="E203" s="66">
        <f>SUM(E201*'Data Links'!$B$13)</f>
        <v>8.9261999999999997</v>
      </c>
      <c r="F203" s="66">
        <f>SUM(F201*'Data Links'!$B$13)</f>
        <v>8.9261999999999997</v>
      </c>
      <c r="G203" s="66">
        <f>SUM(G201*'Data Links'!$B$13)</f>
        <v>8.9261999999999997</v>
      </c>
      <c r="H203" s="66">
        <f>SUM(H201*'Data Links'!$B$13)</f>
        <v>8.9261999999999997</v>
      </c>
      <c r="I203" s="66">
        <f>SUM(I201*'Data Links'!$B$13)</f>
        <v>8.9261999999999997</v>
      </c>
      <c r="J203" s="66">
        <f>SUM(J201*'Data Links'!$B$13)</f>
        <v>8.9261999999999997</v>
      </c>
      <c r="K203" s="66">
        <f>SUM(K201*'Data Links'!$B$13)</f>
        <v>8.9261999999999997</v>
      </c>
      <c r="L203" s="66">
        <f>SUM(L201*'Data Links'!$B$13)</f>
        <v>8.9261999999999997</v>
      </c>
      <c r="M203" s="66">
        <f>SUM(M201*'Data Links'!$B$13)</f>
        <v>8.9261999999999997</v>
      </c>
      <c r="N203" s="66">
        <f>SUM(N201*'Data Links'!$B$13)</f>
        <v>8.9261999999999997</v>
      </c>
    </row>
    <row r="204" spans="1:14" x14ac:dyDescent="0.2">
      <c r="A204" s="59" t="s">
        <v>190</v>
      </c>
      <c r="C204" s="66">
        <f>SUM(C200*'Data Links'!$B$10)</f>
        <v>50.6601</v>
      </c>
      <c r="D204" s="66">
        <f>SUM(D200*'Data Links'!$B$10)</f>
        <v>50.6601</v>
      </c>
      <c r="E204" s="66">
        <f>SUM(E200*'Data Links'!$B$10)</f>
        <v>50.6601</v>
      </c>
      <c r="F204" s="66">
        <f>SUM(F200*'Data Links'!$B$10)</f>
        <v>50.6601</v>
      </c>
      <c r="G204" s="66">
        <f>SUM(G200*'Data Links'!$B$10)</f>
        <v>50.6601</v>
      </c>
      <c r="H204" s="66">
        <f>SUM(H200*'Data Links'!$B$10)</f>
        <v>50.6601</v>
      </c>
      <c r="I204" s="66">
        <f>SUM(I200*'Data Links'!$B$10)</f>
        <v>50.6601</v>
      </c>
      <c r="J204" s="66">
        <f>SUM(J200*'Data Links'!$B$10)</f>
        <v>50.6601</v>
      </c>
      <c r="K204" s="66">
        <f>SUM(K200*'Data Links'!$B$10)</f>
        <v>50.6601</v>
      </c>
      <c r="L204" s="66">
        <f>SUM(L200*'Data Links'!$B$10)</f>
        <v>50.6601</v>
      </c>
      <c r="M204" s="66">
        <f>SUM(M200*'Data Links'!$B$10)</f>
        <v>50.6601</v>
      </c>
      <c r="N204" s="66">
        <f>SUM(N200*'Data Links'!$B$10)</f>
        <v>50.6601</v>
      </c>
    </row>
    <row r="205" spans="1:14" x14ac:dyDescent="0.2">
      <c r="A205" s="59" t="s">
        <v>191</v>
      </c>
      <c r="C205" s="66"/>
      <c r="D205" s="66"/>
      <c r="E205" s="66"/>
      <c r="F205" s="66"/>
      <c r="G205" s="66"/>
      <c r="H205" s="66"/>
      <c r="I205" s="66"/>
      <c r="J205" s="66"/>
      <c r="K205" s="66"/>
      <c r="L205" s="66"/>
      <c r="M205" s="66"/>
      <c r="N205" s="66"/>
    </row>
    <row r="206" spans="1:14" x14ac:dyDescent="0.2">
      <c r="A206" s="59" t="s">
        <v>192</v>
      </c>
      <c r="C206" s="66"/>
      <c r="D206" s="66"/>
      <c r="E206" s="66"/>
      <c r="F206" s="66"/>
      <c r="G206" s="66"/>
      <c r="H206" s="66"/>
      <c r="I206" s="66"/>
      <c r="J206" s="66"/>
      <c r="K206" s="66"/>
      <c r="L206" s="66"/>
      <c r="M206" s="66"/>
      <c r="N206" s="66"/>
    </row>
    <row r="207" spans="1:14" s="58" customFormat="1" x14ac:dyDescent="0.2">
      <c r="A207" s="58" t="s">
        <v>144</v>
      </c>
      <c r="B207" s="60"/>
      <c r="C207" s="60">
        <f t="shared" ref="C207:N207" si="54">SUM(C201:C206)</f>
        <v>1661.0953500000001</v>
      </c>
      <c r="D207" s="60">
        <f t="shared" si="54"/>
        <v>1661.0953500000001</v>
      </c>
      <c r="E207" s="60">
        <f t="shared" si="54"/>
        <v>1661.0953500000001</v>
      </c>
      <c r="F207" s="60">
        <f t="shared" si="54"/>
        <v>1661.0953500000001</v>
      </c>
      <c r="G207" s="60">
        <f t="shared" si="54"/>
        <v>1661.0953500000001</v>
      </c>
      <c r="H207" s="60">
        <f t="shared" si="54"/>
        <v>1661.0953500000001</v>
      </c>
      <c r="I207" s="60">
        <f t="shared" si="54"/>
        <v>1661.0953500000001</v>
      </c>
      <c r="J207" s="60">
        <f t="shared" si="54"/>
        <v>1661.0953500000001</v>
      </c>
      <c r="K207" s="60">
        <f t="shared" si="54"/>
        <v>1661.0953500000001</v>
      </c>
      <c r="L207" s="60">
        <f t="shared" si="54"/>
        <v>1661.0953500000001</v>
      </c>
      <c r="M207" s="60">
        <f t="shared" si="54"/>
        <v>1661.0953500000001</v>
      </c>
      <c r="N207" s="60">
        <f t="shared" si="54"/>
        <v>1661.0953500000001</v>
      </c>
    </row>
    <row r="208" spans="1:14" s="58" customFormat="1" x14ac:dyDescent="0.2">
      <c r="B208" s="60"/>
      <c r="C208" s="60"/>
      <c r="D208" s="60"/>
      <c r="E208" s="60"/>
      <c r="F208" s="60"/>
      <c r="G208" s="60"/>
      <c r="H208" s="60"/>
      <c r="I208" s="60"/>
      <c r="J208" s="60"/>
      <c r="K208" s="60"/>
      <c r="L208" s="60"/>
      <c r="M208" s="60"/>
      <c r="N208" s="60"/>
    </row>
    <row r="209" spans="1:14" s="58" customFormat="1" x14ac:dyDescent="0.2">
      <c r="A209" s="59"/>
      <c r="B209" s="60"/>
      <c r="C209" s="89" t="str">
        <f>C196</f>
        <v>January</v>
      </c>
      <c r="D209" s="89" t="str">
        <f t="shared" ref="D209:M209" si="55">D196</f>
        <v>February</v>
      </c>
      <c r="E209" s="89" t="str">
        <f t="shared" si="55"/>
        <v>March</v>
      </c>
      <c r="F209" s="89" t="str">
        <f t="shared" si="55"/>
        <v>April</v>
      </c>
      <c r="G209" s="89" t="str">
        <f t="shared" si="55"/>
        <v>May</v>
      </c>
      <c r="H209" s="89" t="str">
        <f t="shared" si="55"/>
        <v>June</v>
      </c>
      <c r="I209" s="89" t="str">
        <f t="shared" si="55"/>
        <v>July</v>
      </c>
      <c r="J209" s="89" t="str">
        <f t="shared" si="55"/>
        <v>August</v>
      </c>
      <c r="K209" s="89" t="str">
        <f t="shared" si="55"/>
        <v>September</v>
      </c>
      <c r="L209" s="89" t="str">
        <f t="shared" si="55"/>
        <v>October</v>
      </c>
      <c r="M209" s="89" t="str">
        <f t="shared" si="55"/>
        <v>November</v>
      </c>
      <c r="N209" s="89" t="str">
        <f>N196</f>
        <v>December</v>
      </c>
    </row>
    <row r="210" spans="1:14" s="58" customFormat="1" x14ac:dyDescent="0.2">
      <c r="A210" s="59"/>
      <c r="B210" s="60"/>
      <c r="C210" s="72">
        <v>31</v>
      </c>
      <c r="D210" s="72">
        <v>31</v>
      </c>
      <c r="E210" s="72">
        <v>30</v>
      </c>
      <c r="F210" s="72">
        <v>31</v>
      </c>
      <c r="G210" s="72">
        <v>30</v>
      </c>
      <c r="H210" s="72">
        <v>31</v>
      </c>
      <c r="I210" s="72">
        <v>31</v>
      </c>
      <c r="J210" s="72">
        <v>28</v>
      </c>
      <c r="K210" s="72">
        <v>31</v>
      </c>
      <c r="L210" s="72">
        <v>30</v>
      </c>
      <c r="M210" s="72">
        <v>31</v>
      </c>
      <c r="N210" s="71">
        <v>30</v>
      </c>
    </row>
    <row r="211" spans="1:14" s="58" customFormat="1" x14ac:dyDescent="0.2">
      <c r="A211" s="59"/>
      <c r="B211" s="89" t="s">
        <v>185</v>
      </c>
      <c r="C211" s="78">
        <f t="shared" ref="C211:N211" si="56">C198</f>
        <v>1</v>
      </c>
      <c r="D211" s="78">
        <f t="shared" si="56"/>
        <v>0</v>
      </c>
      <c r="E211" s="78">
        <f t="shared" si="56"/>
        <v>1</v>
      </c>
      <c r="F211" s="78">
        <f t="shared" si="56"/>
        <v>0</v>
      </c>
      <c r="G211" s="78">
        <f t="shared" si="56"/>
        <v>2</v>
      </c>
      <c r="H211" s="78">
        <f t="shared" si="56"/>
        <v>0</v>
      </c>
      <c r="I211" s="78">
        <f t="shared" si="56"/>
        <v>2</v>
      </c>
      <c r="J211" s="78">
        <f t="shared" si="56"/>
        <v>1</v>
      </c>
      <c r="K211" s="78">
        <f t="shared" si="56"/>
        <v>0</v>
      </c>
      <c r="L211" s="78">
        <f t="shared" si="56"/>
        <v>0</v>
      </c>
      <c r="M211" s="78">
        <f t="shared" si="56"/>
        <v>1</v>
      </c>
      <c r="N211" s="78">
        <f t="shared" si="56"/>
        <v>0</v>
      </c>
    </row>
    <row r="212" spans="1:14" s="58" customFormat="1" x14ac:dyDescent="0.2">
      <c r="A212" s="59"/>
      <c r="B212" s="89" t="s">
        <v>44</v>
      </c>
      <c r="C212" s="49">
        <v>0.75</v>
      </c>
      <c r="D212" s="49">
        <v>0.75</v>
      </c>
      <c r="E212" s="49">
        <v>0.75</v>
      </c>
      <c r="F212" s="49">
        <v>0.75</v>
      </c>
      <c r="G212" s="49">
        <v>0.75</v>
      </c>
      <c r="H212" s="49">
        <v>0.75</v>
      </c>
      <c r="I212" s="49">
        <v>0.75</v>
      </c>
      <c r="J212" s="49">
        <v>0.75</v>
      </c>
      <c r="K212" s="49">
        <v>0.75</v>
      </c>
      <c r="L212" s="49">
        <v>0.75</v>
      </c>
      <c r="M212" s="49">
        <v>0.75</v>
      </c>
      <c r="N212" s="49">
        <v>0.75</v>
      </c>
    </row>
    <row r="213" spans="1:14" s="58" customFormat="1" x14ac:dyDescent="0.2">
      <c r="A213" s="59"/>
      <c r="B213" s="89" t="s">
        <v>186</v>
      </c>
      <c r="C213" s="53">
        <f>SUM(174*C212)</f>
        <v>130.5</v>
      </c>
      <c r="D213" s="53">
        <f t="shared" ref="D213:N213" si="57">SUM(174*D212)</f>
        <v>130.5</v>
      </c>
      <c r="E213" s="53">
        <f t="shared" si="57"/>
        <v>130.5</v>
      </c>
      <c r="F213" s="53">
        <f t="shared" si="57"/>
        <v>130.5</v>
      </c>
      <c r="G213" s="53">
        <f t="shared" si="57"/>
        <v>130.5</v>
      </c>
      <c r="H213" s="53">
        <f t="shared" si="57"/>
        <v>130.5</v>
      </c>
      <c r="I213" s="53">
        <f t="shared" si="57"/>
        <v>130.5</v>
      </c>
      <c r="J213" s="53">
        <f t="shared" si="57"/>
        <v>130.5</v>
      </c>
      <c r="K213" s="53">
        <f t="shared" si="57"/>
        <v>130.5</v>
      </c>
      <c r="L213" s="53">
        <f t="shared" si="57"/>
        <v>130.5</v>
      </c>
      <c r="M213" s="53">
        <f t="shared" si="57"/>
        <v>130.5</v>
      </c>
      <c r="N213" s="53">
        <f t="shared" si="57"/>
        <v>130.5</v>
      </c>
    </row>
    <row r="214" spans="1:14" s="58" customFormat="1" x14ac:dyDescent="0.2">
      <c r="A214" s="59" t="s">
        <v>364</v>
      </c>
      <c r="B214" s="78" t="s">
        <v>359</v>
      </c>
      <c r="C214" s="66">
        <f>SUM(C213*$B$215)</f>
        <v>2074.9500000000003</v>
      </c>
      <c r="D214" s="66">
        <f t="shared" ref="D214:N214" si="58">SUM(D213*$B$215)</f>
        <v>2074.9500000000003</v>
      </c>
      <c r="E214" s="66">
        <f t="shared" si="58"/>
        <v>2074.9500000000003</v>
      </c>
      <c r="F214" s="66">
        <f t="shared" si="58"/>
        <v>2074.9500000000003</v>
      </c>
      <c r="G214" s="66">
        <f t="shared" si="58"/>
        <v>2074.9500000000003</v>
      </c>
      <c r="H214" s="66">
        <f t="shared" si="58"/>
        <v>2074.9500000000003</v>
      </c>
      <c r="I214" s="66">
        <f t="shared" si="58"/>
        <v>2074.9500000000003</v>
      </c>
      <c r="J214" s="66">
        <f t="shared" si="58"/>
        <v>2074.9500000000003</v>
      </c>
      <c r="K214" s="66">
        <f t="shared" si="58"/>
        <v>2074.9500000000003</v>
      </c>
      <c r="L214" s="66">
        <f t="shared" si="58"/>
        <v>2074.9500000000003</v>
      </c>
      <c r="M214" s="66">
        <f t="shared" si="58"/>
        <v>2074.9500000000003</v>
      </c>
      <c r="N214" s="66">
        <f t="shared" si="58"/>
        <v>2074.9500000000003</v>
      </c>
    </row>
    <row r="215" spans="1:14" s="58" customFormat="1" x14ac:dyDescent="0.2">
      <c r="A215" s="59" t="s">
        <v>188</v>
      </c>
      <c r="B215" s="241">
        <f>15+0.9</f>
        <v>15.9</v>
      </c>
      <c r="C215" s="66">
        <f>SUM(C214)*'Data Links'!$B$15</f>
        <v>158.73367500000001</v>
      </c>
      <c r="D215" s="66">
        <f>SUM(D214)*'Data Links'!$B$15</f>
        <v>158.73367500000001</v>
      </c>
      <c r="E215" s="66">
        <f>SUM(E214)*'Data Links'!$B$15</f>
        <v>158.73367500000001</v>
      </c>
      <c r="F215" s="66">
        <f>SUM(F214)*'Data Links'!$B$15</f>
        <v>158.73367500000001</v>
      </c>
      <c r="G215" s="66">
        <f>SUM(G214)*'Data Links'!$B$15</f>
        <v>158.73367500000001</v>
      </c>
      <c r="H215" s="66">
        <f>SUM(H214)*'Data Links'!$B$15</f>
        <v>158.73367500000001</v>
      </c>
      <c r="I215" s="66">
        <f>SUM(I214)*'Data Links'!$B$15</f>
        <v>158.73367500000001</v>
      </c>
      <c r="J215" s="66">
        <f>SUM(J214)*'Data Links'!$B$15</f>
        <v>158.73367500000001</v>
      </c>
      <c r="K215" s="66">
        <f>SUM(K214)*'Data Links'!$B$15</f>
        <v>158.73367500000001</v>
      </c>
      <c r="L215" s="66">
        <f>SUM(L214)*'Data Links'!$B$15</f>
        <v>158.73367500000001</v>
      </c>
      <c r="M215" s="66">
        <f>SUM(M214)*'Data Links'!$B$15</f>
        <v>158.73367500000001</v>
      </c>
      <c r="N215" s="66">
        <f>SUM(N214)*'Data Links'!$B$15</f>
        <v>158.73367500000001</v>
      </c>
    </row>
    <row r="216" spans="1:14" s="58" customFormat="1" x14ac:dyDescent="0.2">
      <c r="A216" s="59" t="s">
        <v>189</v>
      </c>
      <c r="B216" s="241">
        <f>13+0.9</f>
        <v>13.9</v>
      </c>
      <c r="C216" s="66">
        <f>SUM(C214*'Data Links'!$B$13)</f>
        <v>12.449700000000002</v>
      </c>
      <c r="D216" s="66">
        <f>SUM(D214*'Data Links'!$B$13)</f>
        <v>12.449700000000002</v>
      </c>
      <c r="E216" s="66">
        <f>SUM(E214*'Data Links'!$B$13)</f>
        <v>12.449700000000002</v>
      </c>
      <c r="F216" s="66">
        <f>SUM(F214*'Data Links'!$B$13)</f>
        <v>12.449700000000002</v>
      </c>
      <c r="G216" s="66">
        <f>SUM(G214*'Data Links'!$B$13)</f>
        <v>12.449700000000002</v>
      </c>
      <c r="H216" s="66">
        <f>SUM(H214*'Data Links'!$B$13)</f>
        <v>12.449700000000002</v>
      </c>
      <c r="I216" s="66">
        <f>SUM(I214*'Data Links'!$B$13)</f>
        <v>12.449700000000002</v>
      </c>
      <c r="J216" s="66">
        <f>SUM(J214*'Data Links'!$B$13)</f>
        <v>12.449700000000002</v>
      </c>
      <c r="K216" s="66">
        <f>SUM(K214*'Data Links'!$B$13)</f>
        <v>12.449700000000002</v>
      </c>
      <c r="L216" s="66">
        <f>SUM(L214*'Data Links'!$B$13)</f>
        <v>12.449700000000002</v>
      </c>
      <c r="M216" s="66">
        <f>SUM(M214*'Data Links'!$B$13)</f>
        <v>12.449700000000002</v>
      </c>
      <c r="N216" s="66">
        <f>SUM(N214*'Data Links'!$B$13)</f>
        <v>12.449700000000002</v>
      </c>
    </row>
    <row r="217" spans="1:14" s="58" customFormat="1" x14ac:dyDescent="0.2">
      <c r="A217" s="59" t="s">
        <v>190</v>
      </c>
      <c r="B217" s="60"/>
      <c r="C217" s="66">
        <f>SUM(C213*'Data Links'!$B$10)</f>
        <v>63.325125</v>
      </c>
      <c r="D217" s="66">
        <f>SUM(D213*'Data Links'!$B$10)</f>
        <v>63.325125</v>
      </c>
      <c r="E217" s="66">
        <f>SUM(E213*'Data Links'!$B$10)</f>
        <v>63.325125</v>
      </c>
      <c r="F217" s="66">
        <f>SUM(F213*'Data Links'!$B$10)</f>
        <v>63.325125</v>
      </c>
      <c r="G217" s="66">
        <f>SUM(G213*'Data Links'!$B$10)</f>
        <v>63.325125</v>
      </c>
      <c r="H217" s="66">
        <f>SUM(H213*'Data Links'!$B$10)</f>
        <v>63.325125</v>
      </c>
      <c r="I217" s="66">
        <f>SUM(I213*'Data Links'!$B$10)</f>
        <v>63.325125</v>
      </c>
      <c r="J217" s="66">
        <f>SUM(J213*'Data Links'!$B$10)</f>
        <v>63.325125</v>
      </c>
      <c r="K217" s="66">
        <f>SUM(K213*'Data Links'!$B$10)</f>
        <v>63.325125</v>
      </c>
      <c r="L217" s="66">
        <f>SUM(L213*'Data Links'!$B$10)</f>
        <v>63.325125</v>
      </c>
      <c r="M217" s="66">
        <f>SUM(M213*'Data Links'!$B$10)</f>
        <v>63.325125</v>
      </c>
      <c r="N217" s="66">
        <f>SUM(N213*'Data Links'!$B$10)</f>
        <v>63.325125</v>
      </c>
    </row>
    <row r="218" spans="1:14" s="58" customFormat="1" x14ac:dyDescent="0.2">
      <c r="A218" s="59" t="s">
        <v>191</v>
      </c>
      <c r="B218" s="60"/>
      <c r="C218" s="66"/>
      <c r="D218" s="66"/>
      <c r="E218" s="66"/>
      <c r="F218" s="66"/>
      <c r="G218" s="66"/>
      <c r="H218" s="66"/>
      <c r="I218" s="66"/>
      <c r="J218" s="66"/>
      <c r="K218" s="66"/>
      <c r="L218" s="66"/>
      <c r="M218" s="66"/>
      <c r="N218" s="66"/>
    </row>
    <row r="219" spans="1:14" s="58" customFormat="1" x14ac:dyDescent="0.2">
      <c r="A219" s="59" t="s">
        <v>192</v>
      </c>
      <c r="B219" s="60"/>
      <c r="C219" s="66"/>
      <c r="D219" s="66"/>
      <c r="E219" s="66"/>
      <c r="F219" s="66"/>
      <c r="G219" s="66"/>
      <c r="H219" s="66"/>
      <c r="I219" s="66"/>
      <c r="J219" s="66"/>
      <c r="K219" s="66"/>
      <c r="L219" s="66"/>
      <c r="M219" s="66"/>
      <c r="N219" s="66"/>
    </row>
    <row r="220" spans="1:14" s="58" customFormat="1" x14ac:dyDescent="0.2">
      <c r="A220" s="58" t="s">
        <v>144</v>
      </c>
      <c r="B220" s="60"/>
      <c r="C220" s="60">
        <f t="shared" ref="C220:N220" si="59">SUM(C214:C219)</f>
        <v>2309.4585000000002</v>
      </c>
      <c r="D220" s="60">
        <f t="shared" si="59"/>
        <v>2309.4585000000002</v>
      </c>
      <c r="E220" s="60">
        <f t="shared" si="59"/>
        <v>2309.4585000000002</v>
      </c>
      <c r="F220" s="60">
        <f t="shared" si="59"/>
        <v>2309.4585000000002</v>
      </c>
      <c r="G220" s="60">
        <f t="shared" si="59"/>
        <v>2309.4585000000002</v>
      </c>
      <c r="H220" s="60">
        <f t="shared" si="59"/>
        <v>2309.4585000000002</v>
      </c>
      <c r="I220" s="60">
        <f t="shared" si="59"/>
        <v>2309.4585000000002</v>
      </c>
      <c r="J220" s="60">
        <f t="shared" si="59"/>
        <v>2309.4585000000002</v>
      </c>
      <c r="K220" s="60">
        <f t="shared" si="59"/>
        <v>2309.4585000000002</v>
      </c>
      <c r="L220" s="60">
        <f t="shared" si="59"/>
        <v>2309.4585000000002</v>
      </c>
      <c r="M220" s="60">
        <f t="shared" si="59"/>
        <v>2309.4585000000002</v>
      </c>
      <c r="N220" s="60">
        <f t="shared" si="59"/>
        <v>2309.4585000000002</v>
      </c>
    </row>
    <row r="221" spans="1:14" s="58" customFormat="1" x14ac:dyDescent="0.2">
      <c r="B221" s="60"/>
      <c r="C221" s="60"/>
      <c r="D221" s="60"/>
      <c r="E221" s="60"/>
      <c r="F221" s="60"/>
      <c r="G221" s="60"/>
      <c r="H221" s="60"/>
      <c r="I221" s="60"/>
      <c r="J221" s="60"/>
      <c r="K221" s="60"/>
      <c r="L221" s="60"/>
      <c r="M221" s="60"/>
      <c r="N221" s="60"/>
    </row>
    <row r="222" spans="1:14" s="58" customFormat="1" x14ac:dyDescent="0.2">
      <c r="A222" s="59"/>
      <c r="B222" s="60"/>
      <c r="C222" s="89" t="str">
        <f>C209</f>
        <v>January</v>
      </c>
      <c r="D222" s="89" t="str">
        <f t="shared" ref="D222:M222" si="60">D209</f>
        <v>February</v>
      </c>
      <c r="E222" s="89" t="str">
        <f t="shared" si="60"/>
        <v>March</v>
      </c>
      <c r="F222" s="89" t="str">
        <f t="shared" si="60"/>
        <v>April</v>
      </c>
      <c r="G222" s="89" t="str">
        <f t="shared" si="60"/>
        <v>May</v>
      </c>
      <c r="H222" s="89" t="str">
        <f t="shared" si="60"/>
        <v>June</v>
      </c>
      <c r="I222" s="89" t="str">
        <f t="shared" si="60"/>
        <v>July</v>
      </c>
      <c r="J222" s="89" t="str">
        <f t="shared" si="60"/>
        <v>August</v>
      </c>
      <c r="K222" s="89" t="str">
        <f t="shared" si="60"/>
        <v>September</v>
      </c>
      <c r="L222" s="89" t="str">
        <f t="shared" si="60"/>
        <v>October</v>
      </c>
      <c r="M222" s="89" t="str">
        <f t="shared" si="60"/>
        <v>November</v>
      </c>
      <c r="N222" s="89" t="str">
        <f>N209</f>
        <v>December</v>
      </c>
    </row>
    <row r="223" spans="1:14" s="58" customFormat="1" x14ac:dyDescent="0.2">
      <c r="A223" s="59"/>
      <c r="B223" s="60"/>
      <c r="C223" s="72">
        <v>31</v>
      </c>
      <c r="D223" s="72">
        <v>31</v>
      </c>
      <c r="E223" s="72">
        <v>30</v>
      </c>
      <c r="F223" s="72">
        <v>31</v>
      </c>
      <c r="G223" s="72">
        <v>30</v>
      </c>
      <c r="H223" s="72">
        <v>31</v>
      </c>
      <c r="I223" s="72">
        <v>31</v>
      </c>
      <c r="J223" s="72">
        <v>28</v>
      </c>
      <c r="K223" s="72">
        <v>31</v>
      </c>
      <c r="L223" s="72">
        <v>30</v>
      </c>
      <c r="M223" s="72">
        <v>31</v>
      </c>
      <c r="N223" s="71">
        <v>30</v>
      </c>
    </row>
    <row r="224" spans="1:14" s="58" customFormat="1" x14ac:dyDescent="0.2">
      <c r="A224" s="59"/>
      <c r="B224" s="89" t="s">
        <v>185</v>
      </c>
      <c r="C224" s="78">
        <f t="shared" ref="C224:N224" si="61">C211</f>
        <v>1</v>
      </c>
      <c r="D224" s="78">
        <f t="shared" si="61"/>
        <v>0</v>
      </c>
      <c r="E224" s="78">
        <f t="shared" si="61"/>
        <v>1</v>
      </c>
      <c r="F224" s="78">
        <f t="shared" si="61"/>
        <v>0</v>
      </c>
      <c r="G224" s="78">
        <f t="shared" si="61"/>
        <v>2</v>
      </c>
      <c r="H224" s="78">
        <f t="shared" si="61"/>
        <v>0</v>
      </c>
      <c r="I224" s="78">
        <f t="shared" si="61"/>
        <v>2</v>
      </c>
      <c r="J224" s="78">
        <f t="shared" si="61"/>
        <v>1</v>
      </c>
      <c r="K224" s="78">
        <f t="shared" si="61"/>
        <v>0</v>
      </c>
      <c r="L224" s="78">
        <f t="shared" si="61"/>
        <v>0</v>
      </c>
      <c r="M224" s="78">
        <f t="shared" si="61"/>
        <v>1</v>
      </c>
      <c r="N224" s="78">
        <f t="shared" si="61"/>
        <v>0</v>
      </c>
    </row>
    <row r="225" spans="1:15" s="58" customFormat="1" x14ac:dyDescent="0.2">
      <c r="A225" s="59"/>
      <c r="B225" s="89" t="s">
        <v>44</v>
      </c>
      <c r="C225" s="49">
        <v>0.9</v>
      </c>
      <c r="D225" s="49">
        <v>0.9</v>
      </c>
      <c r="E225" s="49">
        <v>0.9</v>
      </c>
      <c r="F225" s="49">
        <v>0.9</v>
      </c>
      <c r="G225" s="49">
        <v>0.9</v>
      </c>
      <c r="H225" s="49">
        <v>0.9</v>
      </c>
      <c r="I225" s="49">
        <v>0.9</v>
      </c>
      <c r="J225" s="49">
        <v>0.9</v>
      </c>
      <c r="K225" s="49">
        <v>0.9</v>
      </c>
      <c r="L225" s="49">
        <v>0.9</v>
      </c>
      <c r="M225" s="49">
        <v>0.9</v>
      </c>
      <c r="N225" s="49">
        <v>0.9</v>
      </c>
    </row>
    <row r="226" spans="1:15" s="58" customFormat="1" x14ac:dyDescent="0.2">
      <c r="A226" s="59"/>
      <c r="B226" s="89" t="s">
        <v>186</v>
      </c>
      <c r="C226" s="53">
        <f>SUM(174*C225)</f>
        <v>156.6</v>
      </c>
      <c r="D226" s="53">
        <f t="shared" ref="D226:N226" si="62">SUM(174*D225)</f>
        <v>156.6</v>
      </c>
      <c r="E226" s="53">
        <f t="shared" si="62"/>
        <v>156.6</v>
      </c>
      <c r="F226" s="53">
        <f t="shared" si="62"/>
        <v>156.6</v>
      </c>
      <c r="G226" s="53">
        <f t="shared" si="62"/>
        <v>156.6</v>
      </c>
      <c r="H226" s="53">
        <f t="shared" si="62"/>
        <v>156.6</v>
      </c>
      <c r="I226" s="53">
        <f t="shared" si="62"/>
        <v>156.6</v>
      </c>
      <c r="J226" s="53">
        <f t="shared" si="62"/>
        <v>156.6</v>
      </c>
      <c r="K226" s="53">
        <f t="shared" si="62"/>
        <v>156.6</v>
      </c>
      <c r="L226" s="53">
        <f t="shared" si="62"/>
        <v>156.6</v>
      </c>
      <c r="M226" s="53">
        <f t="shared" si="62"/>
        <v>156.6</v>
      </c>
      <c r="N226" s="53">
        <f t="shared" si="62"/>
        <v>156.6</v>
      </c>
    </row>
    <row r="227" spans="1:15" s="58" customFormat="1" x14ac:dyDescent="0.2">
      <c r="A227" s="59" t="s">
        <v>366</v>
      </c>
      <c r="B227" s="78" t="s">
        <v>367</v>
      </c>
      <c r="C227" s="66">
        <f>SUM(C226*$B$228)</f>
        <v>2231.5499999999997</v>
      </c>
      <c r="D227" s="66">
        <f t="shared" ref="D227:N227" si="63">SUM(D226*$B$228)</f>
        <v>2231.5499999999997</v>
      </c>
      <c r="E227" s="66">
        <f t="shared" si="63"/>
        <v>2231.5499999999997</v>
      </c>
      <c r="F227" s="66">
        <f t="shared" si="63"/>
        <v>2231.5499999999997</v>
      </c>
      <c r="G227" s="66">
        <f t="shared" si="63"/>
        <v>2231.5499999999997</v>
      </c>
      <c r="H227" s="66">
        <f t="shared" si="63"/>
        <v>2231.5499999999997</v>
      </c>
      <c r="I227" s="66">
        <f t="shared" si="63"/>
        <v>2231.5499999999997</v>
      </c>
      <c r="J227" s="66">
        <f t="shared" si="63"/>
        <v>2231.5499999999997</v>
      </c>
      <c r="K227" s="66">
        <f t="shared" si="63"/>
        <v>2231.5499999999997</v>
      </c>
      <c r="L227" s="66">
        <f t="shared" si="63"/>
        <v>2231.5499999999997</v>
      </c>
      <c r="M227" s="66">
        <f t="shared" si="63"/>
        <v>2231.5499999999997</v>
      </c>
      <c r="N227" s="66">
        <f t="shared" si="63"/>
        <v>2231.5499999999997</v>
      </c>
    </row>
    <row r="228" spans="1:15" s="58" customFormat="1" x14ac:dyDescent="0.2">
      <c r="A228" s="59" t="s">
        <v>188</v>
      </c>
      <c r="B228" s="74">
        <v>14.25</v>
      </c>
      <c r="C228" s="66">
        <f>SUM(C227)*'Data Links'!$B$15</f>
        <v>170.71357499999996</v>
      </c>
      <c r="D228" s="66">
        <f>SUM(D227)*'Data Links'!$B$15</f>
        <v>170.71357499999996</v>
      </c>
      <c r="E228" s="66">
        <f>SUM(E227)*'Data Links'!$B$15</f>
        <v>170.71357499999996</v>
      </c>
      <c r="F228" s="66">
        <f>SUM(F227)*'Data Links'!$B$15</f>
        <v>170.71357499999996</v>
      </c>
      <c r="G228" s="66">
        <f>SUM(G227)*'Data Links'!$B$15</f>
        <v>170.71357499999996</v>
      </c>
      <c r="H228" s="66">
        <f>SUM(H227)*'Data Links'!$B$15</f>
        <v>170.71357499999996</v>
      </c>
      <c r="I228" s="66">
        <f>SUM(I227)*'Data Links'!$B$15</f>
        <v>170.71357499999996</v>
      </c>
      <c r="J228" s="66">
        <f>SUM(J227)*'Data Links'!$B$15</f>
        <v>170.71357499999996</v>
      </c>
      <c r="K228" s="66">
        <f>SUM(K227)*'Data Links'!$B$15</f>
        <v>170.71357499999996</v>
      </c>
      <c r="L228" s="66">
        <f>SUM(L227)*'Data Links'!$B$15</f>
        <v>170.71357499999996</v>
      </c>
      <c r="M228" s="66">
        <f>SUM(M227)*'Data Links'!$B$15</f>
        <v>170.71357499999996</v>
      </c>
      <c r="N228" s="66">
        <f>SUM(N227)*'Data Links'!$B$15</f>
        <v>170.71357499999996</v>
      </c>
    </row>
    <row r="229" spans="1:15" s="58" customFormat="1" x14ac:dyDescent="0.2">
      <c r="A229" s="59" t="s">
        <v>189</v>
      </c>
      <c r="B229" s="74">
        <v>13.77</v>
      </c>
      <c r="C229" s="66">
        <f>SUM(C227*'Data Links'!$B$13)</f>
        <v>13.389299999999999</v>
      </c>
      <c r="D229" s="66">
        <f>SUM(D227*'Data Links'!$B$13)</f>
        <v>13.389299999999999</v>
      </c>
      <c r="E229" s="66">
        <f>SUM(E227*'Data Links'!$B$13)</f>
        <v>13.389299999999999</v>
      </c>
      <c r="F229" s="66">
        <f>SUM(F227*'Data Links'!$B$13)</f>
        <v>13.389299999999999</v>
      </c>
      <c r="G229" s="66">
        <f>SUM(G227*'Data Links'!$B$13)</f>
        <v>13.389299999999999</v>
      </c>
      <c r="H229" s="66">
        <f>SUM(H227*'Data Links'!$B$13)</f>
        <v>13.389299999999999</v>
      </c>
      <c r="I229" s="66">
        <f>SUM(I227*'Data Links'!$B$13)</f>
        <v>13.389299999999999</v>
      </c>
      <c r="J229" s="66">
        <f>SUM(J227*'Data Links'!$B$13)</f>
        <v>13.389299999999999</v>
      </c>
      <c r="K229" s="66">
        <f>SUM(K227*'Data Links'!$B$13)</f>
        <v>13.389299999999999</v>
      </c>
      <c r="L229" s="66">
        <f>SUM(L227*'Data Links'!$B$13)</f>
        <v>13.389299999999999</v>
      </c>
      <c r="M229" s="66">
        <f>SUM(M227*'Data Links'!$B$13)</f>
        <v>13.389299999999999</v>
      </c>
      <c r="N229" s="66">
        <f>SUM(N227*'Data Links'!$B$13)</f>
        <v>13.389299999999999</v>
      </c>
    </row>
    <row r="230" spans="1:15" s="58" customFormat="1" x14ac:dyDescent="0.2">
      <c r="A230" s="59" t="s">
        <v>190</v>
      </c>
      <c r="B230" s="60"/>
      <c r="C230" s="66">
        <f>SUM(C226*'Data Links'!$B$10)</f>
        <v>75.99015</v>
      </c>
      <c r="D230" s="66">
        <f>SUM(D226*'Data Links'!$B$10)</f>
        <v>75.99015</v>
      </c>
      <c r="E230" s="66">
        <f>SUM(E226*'Data Links'!$B$10)</f>
        <v>75.99015</v>
      </c>
      <c r="F230" s="66">
        <f>SUM(F226*'Data Links'!$B$10)</f>
        <v>75.99015</v>
      </c>
      <c r="G230" s="66">
        <f>SUM(G226*'Data Links'!$B$10)</f>
        <v>75.99015</v>
      </c>
      <c r="H230" s="66">
        <f>SUM(H226*'Data Links'!$B$10)</f>
        <v>75.99015</v>
      </c>
      <c r="I230" s="66">
        <f>SUM(I226*'Data Links'!$B$10)</f>
        <v>75.99015</v>
      </c>
      <c r="J230" s="66">
        <f>SUM(J226*'Data Links'!$B$10)</f>
        <v>75.99015</v>
      </c>
      <c r="K230" s="66">
        <f>SUM(K226*'Data Links'!$B$10)</f>
        <v>75.99015</v>
      </c>
      <c r="L230" s="66">
        <f>SUM(L226*'Data Links'!$B$10)</f>
        <v>75.99015</v>
      </c>
      <c r="M230" s="66">
        <f>SUM(M226*'Data Links'!$B$10)</f>
        <v>75.99015</v>
      </c>
      <c r="N230" s="66">
        <f>SUM(N226*'Data Links'!$B$10)</f>
        <v>75.99015</v>
      </c>
      <c r="O230" s="66"/>
    </row>
    <row r="231" spans="1:15" s="58" customFormat="1" x14ac:dyDescent="0.2">
      <c r="A231" s="59" t="s">
        <v>191</v>
      </c>
      <c r="B231" s="60"/>
      <c r="C231" s="66">
        <f>SUM('All Employees'!$P$35)</f>
        <v>396.6078</v>
      </c>
      <c r="D231" s="66">
        <f>SUM('All Employees'!$P$35)</f>
        <v>396.6078</v>
      </c>
      <c r="E231" s="66">
        <f>SUM('All Employees'!$P$35)</f>
        <v>396.6078</v>
      </c>
      <c r="F231" s="66">
        <f>SUM('All Employees'!$P$35)</f>
        <v>396.6078</v>
      </c>
      <c r="G231" s="66">
        <f>SUM('All Employees'!$P$35)</f>
        <v>396.6078</v>
      </c>
      <c r="H231" s="66">
        <f>SUM('All Employees'!$P$35)</f>
        <v>396.6078</v>
      </c>
      <c r="I231" s="66">
        <f>SUM('All Employees'!$P$35)</f>
        <v>396.6078</v>
      </c>
      <c r="J231" s="66">
        <f>SUM('All Employees'!$P$35)</f>
        <v>396.6078</v>
      </c>
      <c r="K231" s="66">
        <f>SUM('All Employees'!$P$35)</f>
        <v>396.6078</v>
      </c>
      <c r="L231" s="66">
        <f>SUM('All Employees'!$P$35)</f>
        <v>396.6078</v>
      </c>
      <c r="M231" s="66">
        <f>SUM('All Employees'!$P$35)</f>
        <v>396.6078</v>
      </c>
      <c r="N231" s="66">
        <f>SUM('All Employees'!$P$35)</f>
        <v>396.6078</v>
      </c>
    </row>
    <row r="232" spans="1:15" s="58" customFormat="1" x14ac:dyDescent="0.2">
      <c r="A232" s="59" t="s">
        <v>192</v>
      </c>
      <c r="B232" s="60"/>
      <c r="C232" s="66"/>
      <c r="D232" s="66"/>
      <c r="E232" s="66"/>
      <c r="F232" s="66"/>
      <c r="G232" s="66"/>
      <c r="H232" s="66"/>
      <c r="I232" s="66"/>
      <c r="J232" s="66"/>
      <c r="K232" s="66"/>
      <c r="L232" s="66"/>
      <c r="M232" s="66"/>
      <c r="N232" s="66"/>
    </row>
    <row r="233" spans="1:15" s="58" customFormat="1" x14ac:dyDescent="0.2">
      <c r="A233" s="58" t="s">
        <v>144</v>
      </c>
      <c r="B233" s="60"/>
      <c r="C233" s="60">
        <f t="shared" ref="C233:N233" si="64">SUM(C227:C232)</f>
        <v>2888.2508249999992</v>
      </c>
      <c r="D233" s="60">
        <f t="shared" si="64"/>
        <v>2888.2508249999992</v>
      </c>
      <c r="E233" s="60">
        <f t="shared" si="64"/>
        <v>2888.2508249999992</v>
      </c>
      <c r="F233" s="60">
        <f t="shared" si="64"/>
        <v>2888.2508249999992</v>
      </c>
      <c r="G233" s="60">
        <f t="shared" si="64"/>
        <v>2888.2508249999992</v>
      </c>
      <c r="H233" s="60">
        <f t="shared" si="64"/>
        <v>2888.2508249999992</v>
      </c>
      <c r="I233" s="60">
        <f t="shared" si="64"/>
        <v>2888.2508249999992</v>
      </c>
      <c r="J233" s="60">
        <f t="shared" si="64"/>
        <v>2888.2508249999992</v>
      </c>
      <c r="K233" s="60">
        <f t="shared" si="64"/>
        <v>2888.2508249999992</v>
      </c>
      <c r="L233" s="60">
        <f t="shared" si="64"/>
        <v>2888.2508249999992</v>
      </c>
      <c r="M233" s="60">
        <f t="shared" si="64"/>
        <v>2888.2508249999992</v>
      </c>
      <c r="N233" s="60">
        <f t="shared" si="64"/>
        <v>2888.2508249999992</v>
      </c>
    </row>
    <row r="234" spans="1:15" s="58" customFormat="1" x14ac:dyDescent="0.2">
      <c r="B234" s="60"/>
      <c r="C234" s="60"/>
      <c r="D234" s="60"/>
      <c r="E234" s="60"/>
      <c r="F234" s="60"/>
      <c r="G234" s="60"/>
      <c r="H234" s="60"/>
      <c r="I234" s="60"/>
      <c r="J234" s="60"/>
      <c r="K234" s="60"/>
      <c r="L234" s="60"/>
      <c r="M234" s="60"/>
      <c r="N234" s="60"/>
    </row>
    <row r="235" spans="1:15" s="58" customFormat="1" x14ac:dyDescent="0.2">
      <c r="A235" s="59"/>
      <c r="B235" s="60"/>
      <c r="C235" s="89" t="str">
        <f>C222</f>
        <v>January</v>
      </c>
      <c r="D235" s="89" t="str">
        <f t="shared" ref="D235:M235" si="65">D222</f>
        <v>February</v>
      </c>
      <c r="E235" s="89" t="str">
        <f t="shared" si="65"/>
        <v>March</v>
      </c>
      <c r="F235" s="89" t="str">
        <f t="shared" si="65"/>
        <v>April</v>
      </c>
      <c r="G235" s="89" t="str">
        <f t="shared" si="65"/>
        <v>May</v>
      </c>
      <c r="H235" s="89" t="str">
        <f t="shared" si="65"/>
        <v>June</v>
      </c>
      <c r="I235" s="89" t="str">
        <f t="shared" si="65"/>
        <v>July</v>
      </c>
      <c r="J235" s="89" t="str">
        <f t="shared" si="65"/>
        <v>August</v>
      </c>
      <c r="K235" s="89" t="str">
        <f t="shared" si="65"/>
        <v>September</v>
      </c>
      <c r="L235" s="89" t="str">
        <f t="shared" si="65"/>
        <v>October</v>
      </c>
      <c r="M235" s="89" t="str">
        <f t="shared" si="65"/>
        <v>November</v>
      </c>
      <c r="N235" s="89" t="str">
        <f>N222</f>
        <v>December</v>
      </c>
    </row>
    <row r="236" spans="1:15" s="58" customFormat="1" x14ac:dyDescent="0.2">
      <c r="A236" s="59"/>
      <c r="B236" s="60"/>
      <c r="C236" s="72">
        <v>31</v>
      </c>
      <c r="D236" s="72">
        <v>31</v>
      </c>
      <c r="E236" s="72">
        <v>30</v>
      </c>
      <c r="F236" s="72">
        <v>31</v>
      </c>
      <c r="G236" s="72">
        <v>30</v>
      </c>
      <c r="H236" s="72">
        <v>31</v>
      </c>
      <c r="I236" s="72">
        <v>31</v>
      </c>
      <c r="J236" s="72">
        <v>28</v>
      </c>
      <c r="K236" s="72">
        <v>31</v>
      </c>
      <c r="L236" s="72">
        <v>30</v>
      </c>
      <c r="M236" s="72">
        <v>31</v>
      </c>
      <c r="N236" s="71">
        <v>30</v>
      </c>
    </row>
    <row r="237" spans="1:15" s="58" customFormat="1" x14ac:dyDescent="0.2">
      <c r="A237" s="59"/>
      <c r="B237" s="89" t="s">
        <v>185</v>
      </c>
      <c r="C237" s="78">
        <f t="shared" ref="C237:N237" si="66">C224</f>
        <v>1</v>
      </c>
      <c r="D237" s="78">
        <f t="shared" si="66"/>
        <v>0</v>
      </c>
      <c r="E237" s="78">
        <f t="shared" si="66"/>
        <v>1</v>
      </c>
      <c r="F237" s="78">
        <f t="shared" si="66"/>
        <v>0</v>
      </c>
      <c r="G237" s="78">
        <f t="shared" si="66"/>
        <v>2</v>
      </c>
      <c r="H237" s="78">
        <f t="shared" si="66"/>
        <v>0</v>
      </c>
      <c r="I237" s="78">
        <f t="shared" si="66"/>
        <v>2</v>
      </c>
      <c r="J237" s="78">
        <f t="shared" si="66"/>
        <v>1</v>
      </c>
      <c r="K237" s="78">
        <f t="shared" si="66"/>
        <v>0</v>
      </c>
      <c r="L237" s="78">
        <f t="shared" si="66"/>
        <v>0</v>
      </c>
      <c r="M237" s="78">
        <f t="shared" si="66"/>
        <v>1</v>
      </c>
      <c r="N237" s="78">
        <f t="shared" si="66"/>
        <v>0</v>
      </c>
    </row>
    <row r="238" spans="1:15" s="58" customFormat="1" x14ac:dyDescent="0.2">
      <c r="A238" s="59"/>
      <c r="B238" s="89" t="s">
        <v>44</v>
      </c>
      <c r="C238" s="49">
        <v>0.9</v>
      </c>
      <c r="D238" s="49">
        <v>0.9</v>
      </c>
      <c r="E238" s="49">
        <v>0.9</v>
      </c>
      <c r="F238" s="49">
        <v>0.9</v>
      </c>
      <c r="G238" s="49">
        <v>0.9</v>
      </c>
      <c r="H238" s="49">
        <v>0.9</v>
      </c>
      <c r="I238" s="49">
        <v>0.9</v>
      </c>
      <c r="J238" s="49">
        <v>0.9</v>
      </c>
      <c r="K238" s="49">
        <v>0.9</v>
      </c>
      <c r="L238" s="49">
        <v>0.9</v>
      </c>
      <c r="M238" s="49">
        <v>0.9</v>
      </c>
      <c r="N238" s="49">
        <v>0.9</v>
      </c>
    </row>
    <row r="239" spans="1:15" s="58" customFormat="1" x14ac:dyDescent="0.2">
      <c r="A239" s="59"/>
      <c r="B239" s="89" t="s">
        <v>186</v>
      </c>
      <c r="C239" s="53">
        <f>SUM(174*C238)</f>
        <v>156.6</v>
      </c>
      <c r="D239" s="53">
        <f t="shared" ref="D239:N239" si="67">SUM(174*D238)</f>
        <v>156.6</v>
      </c>
      <c r="E239" s="53">
        <f t="shared" si="67"/>
        <v>156.6</v>
      </c>
      <c r="F239" s="53">
        <f t="shared" si="67"/>
        <v>156.6</v>
      </c>
      <c r="G239" s="53">
        <f t="shared" si="67"/>
        <v>156.6</v>
      </c>
      <c r="H239" s="53">
        <f t="shared" si="67"/>
        <v>156.6</v>
      </c>
      <c r="I239" s="53">
        <f t="shared" si="67"/>
        <v>156.6</v>
      </c>
      <c r="J239" s="53">
        <f t="shared" si="67"/>
        <v>156.6</v>
      </c>
      <c r="K239" s="53">
        <f t="shared" si="67"/>
        <v>156.6</v>
      </c>
      <c r="L239" s="53">
        <f t="shared" si="67"/>
        <v>156.6</v>
      </c>
      <c r="M239" s="53">
        <f t="shared" si="67"/>
        <v>156.6</v>
      </c>
      <c r="N239" s="53">
        <f t="shared" si="67"/>
        <v>156.6</v>
      </c>
    </row>
    <row r="240" spans="1:15" s="58" customFormat="1" x14ac:dyDescent="0.2">
      <c r="A240" s="59" t="s">
        <v>366</v>
      </c>
      <c r="B240" s="78" t="s">
        <v>368</v>
      </c>
      <c r="C240" s="66">
        <f>SUM(C239*$B$241)</f>
        <v>2489.94</v>
      </c>
      <c r="D240" s="66">
        <f t="shared" ref="D240:M240" si="68">SUM(D239*$B$241)</f>
        <v>2489.94</v>
      </c>
      <c r="E240" s="66">
        <f t="shared" si="68"/>
        <v>2489.94</v>
      </c>
      <c r="F240" s="66">
        <f t="shared" si="68"/>
        <v>2489.94</v>
      </c>
      <c r="G240" s="66">
        <f t="shared" si="68"/>
        <v>2489.94</v>
      </c>
      <c r="H240" s="66">
        <f t="shared" si="68"/>
        <v>2489.94</v>
      </c>
      <c r="I240" s="66">
        <f t="shared" si="68"/>
        <v>2489.94</v>
      </c>
      <c r="J240" s="66">
        <f t="shared" si="68"/>
        <v>2489.94</v>
      </c>
      <c r="K240" s="66">
        <f t="shared" si="68"/>
        <v>2489.94</v>
      </c>
      <c r="L240" s="66">
        <f t="shared" si="68"/>
        <v>2489.94</v>
      </c>
      <c r="M240" s="66">
        <f t="shared" si="68"/>
        <v>2489.94</v>
      </c>
      <c r="N240" s="66">
        <f>SUM(N239*$B$241)</f>
        <v>2489.94</v>
      </c>
    </row>
    <row r="241" spans="1:14" s="58" customFormat="1" x14ac:dyDescent="0.2">
      <c r="A241" s="59" t="s">
        <v>188</v>
      </c>
      <c r="B241" s="241">
        <f>15+0.9</f>
        <v>15.9</v>
      </c>
      <c r="C241" s="66">
        <f>SUM(C240)*'Data Links'!$B$15</f>
        <v>190.48041000000001</v>
      </c>
      <c r="D241" s="66">
        <f>SUM(D240)*'Data Links'!$B$15</f>
        <v>190.48041000000001</v>
      </c>
      <c r="E241" s="66">
        <f>SUM(E240)*'Data Links'!$B$15</f>
        <v>190.48041000000001</v>
      </c>
      <c r="F241" s="66">
        <f>SUM(F240)*'Data Links'!$B$15</f>
        <v>190.48041000000001</v>
      </c>
      <c r="G241" s="66">
        <f>SUM(G240)*'Data Links'!$B$15</f>
        <v>190.48041000000001</v>
      </c>
      <c r="H241" s="66">
        <f>SUM(H240)*'Data Links'!$B$15</f>
        <v>190.48041000000001</v>
      </c>
      <c r="I241" s="66">
        <f>SUM(I240)*'Data Links'!$B$15</f>
        <v>190.48041000000001</v>
      </c>
      <c r="J241" s="66">
        <f>SUM(J240)*'Data Links'!$B$15</f>
        <v>190.48041000000001</v>
      </c>
      <c r="K241" s="66">
        <f>SUM(K240)*'Data Links'!$B$15</f>
        <v>190.48041000000001</v>
      </c>
      <c r="L241" s="66">
        <f>SUM(L240)*'Data Links'!$B$15</f>
        <v>190.48041000000001</v>
      </c>
      <c r="M241" s="66">
        <f>SUM(M240)*'Data Links'!$B$15</f>
        <v>190.48041000000001</v>
      </c>
      <c r="N241" s="66">
        <f>SUM(N240)*'Data Links'!$B$15</f>
        <v>190.48041000000001</v>
      </c>
    </row>
    <row r="242" spans="1:14" s="58" customFormat="1" x14ac:dyDescent="0.2">
      <c r="A242" s="59" t="s">
        <v>189</v>
      </c>
      <c r="B242" s="241">
        <f>13+0.9</f>
        <v>13.9</v>
      </c>
      <c r="C242" s="66">
        <f>SUM(C240*'Data Links'!$B$13)</f>
        <v>14.939640000000001</v>
      </c>
      <c r="D242" s="66">
        <f>SUM(D240*'Data Links'!$B$13)</f>
        <v>14.939640000000001</v>
      </c>
      <c r="E242" s="66">
        <f>SUM(E240*'Data Links'!$B$13)</f>
        <v>14.939640000000001</v>
      </c>
      <c r="F242" s="66">
        <f>SUM(F240*'Data Links'!$B$13)</f>
        <v>14.939640000000001</v>
      </c>
      <c r="G242" s="66">
        <f>SUM(G240*'Data Links'!$B$13)</f>
        <v>14.939640000000001</v>
      </c>
      <c r="H242" s="66">
        <f>SUM(H240*'Data Links'!$B$13)</f>
        <v>14.939640000000001</v>
      </c>
      <c r="I242" s="66">
        <f>SUM(I240*'Data Links'!$B$13)</f>
        <v>14.939640000000001</v>
      </c>
      <c r="J242" s="66">
        <f>SUM(J240*'Data Links'!$B$13)</f>
        <v>14.939640000000001</v>
      </c>
      <c r="K242" s="66">
        <f>SUM(K240*'Data Links'!$B$13)</f>
        <v>14.939640000000001</v>
      </c>
      <c r="L242" s="66">
        <f>SUM(L240*'Data Links'!$B$13)</f>
        <v>14.939640000000001</v>
      </c>
      <c r="M242" s="66">
        <f>SUM(M240*'Data Links'!$B$13)</f>
        <v>14.939640000000001</v>
      </c>
      <c r="N242" s="66">
        <f>SUM(N240*'Data Links'!$B$13)</f>
        <v>14.939640000000001</v>
      </c>
    </row>
    <row r="243" spans="1:14" s="58" customFormat="1" x14ac:dyDescent="0.2">
      <c r="A243" s="59" t="s">
        <v>190</v>
      </c>
      <c r="B243" s="60"/>
      <c r="C243" s="66">
        <f>SUM(C239*'Data Links'!$B$10)</f>
        <v>75.99015</v>
      </c>
      <c r="D243" s="66">
        <f>SUM(D239*'Data Links'!$B$10)</f>
        <v>75.99015</v>
      </c>
      <c r="E243" s="66">
        <f>SUM(E239*'Data Links'!$B$10)</f>
        <v>75.99015</v>
      </c>
      <c r="F243" s="66">
        <f>SUM(F239*'Data Links'!$B$10)</f>
        <v>75.99015</v>
      </c>
      <c r="G243" s="66">
        <f>SUM(G239*'Data Links'!$B$10)</f>
        <v>75.99015</v>
      </c>
      <c r="H243" s="66">
        <f>SUM(H239*'Data Links'!$B$10)</f>
        <v>75.99015</v>
      </c>
      <c r="I243" s="66">
        <f>SUM(I239*'Data Links'!$B$10)</f>
        <v>75.99015</v>
      </c>
      <c r="J243" s="66">
        <f>SUM(J239*'Data Links'!$B$10)</f>
        <v>75.99015</v>
      </c>
      <c r="K243" s="66">
        <f>SUM(K239*'Data Links'!$B$10)</f>
        <v>75.99015</v>
      </c>
      <c r="L243" s="66">
        <f>SUM(L239*'Data Links'!$B$10)</f>
        <v>75.99015</v>
      </c>
      <c r="M243" s="66">
        <f>SUM(M239*'Data Links'!$B$10)</f>
        <v>75.99015</v>
      </c>
      <c r="N243" s="66">
        <f>SUM(N239*'Data Links'!$B$10)</f>
        <v>75.99015</v>
      </c>
    </row>
    <row r="244" spans="1:14" s="58" customFormat="1" x14ac:dyDescent="0.2">
      <c r="A244" s="59" t="s">
        <v>191</v>
      </c>
      <c r="B244" s="60"/>
      <c r="C244" s="66"/>
      <c r="D244" s="66"/>
      <c r="E244" s="66"/>
      <c r="F244" s="66"/>
      <c r="G244" s="66"/>
      <c r="H244" s="66"/>
      <c r="I244" s="66"/>
      <c r="J244" s="66"/>
      <c r="K244" s="66"/>
      <c r="L244" s="66"/>
      <c r="M244" s="66"/>
      <c r="N244" s="66"/>
    </row>
    <row r="245" spans="1:14" s="58" customFormat="1" x14ac:dyDescent="0.2">
      <c r="A245" s="59" t="s">
        <v>192</v>
      </c>
      <c r="B245" s="60"/>
      <c r="C245" s="66"/>
      <c r="D245" s="66"/>
      <c r="E245" s="66"/>
      <c r="F245" s="66"/>
      <c r="G245" s="66"/>
      <c r="H245" s="66"/>
      <c r="I245" s="66"/>
      <c r="J245" s="66"/>
      <c r="K245" s="66"/>
      <c r="L245" s="66"/>
      <c r="M245" s="66"/>
      <c r="N245" s="66"/>
    </row>
    <row r="246" spans="1:14" s="58" customFormat="1" x14ac:dyDescent="0.2">
      <c r="A246" s="58" t="s">
        <v>144</v>
      </c>
      <c r="B246" s="60"/>
      <c r="C246" s="60">
        <f t="shared" ref="C246:N246" si="69">SUM(C240:C245)</f>
        <v>2771.3502000000003</v>
      </c>
      <c r="D246" s="60">
        <f t="shared" si="69"/>
        <v>2771.3502000000003</v>
      </c>
      <c r="E246" s="60">
        <f t="shared" si="69"/>
        <v>2771.3502000000003</v>
      </c>
      <c r="F246" s="60">
        <f t="shared" si="69"/>
        <v>2771.3502000000003</v>
      </c>
      <c r="G246" s="60">
        <f t="shared" si="69"/>
        <v>2771.3502000000003</v>
      </c>
      <c r="H246" s="60">
        <f t="shared" si="69"/>
        <v>2771.3502000000003</v>
      </c>
      <c r="I246" s="60">
        <f t="shared" si="69"/>
        <v>2771.3502000000003</v>
      </c>
      <c r="J246" s="60">
        <f t="shared" si="69"/>
        <v>2771.3502000000003</v>
      </c>
      <c r="K246" s="60">
        <f t="shared" si="69"/>
        <v>2771.3502000000003</v>
      </c>
      <c r="L246" s="60">
        <f t="shared" si="69"/>
        <v>2771.3502000000003</v>
      </c>
      <c r="M246" s="60">
        <f t="shared" si="69"/>
        <v>2771.3502000000003</v>
      </c>
      <c r="N246" s="60">
        <f t="shared" si="69"/>
        <v>2771.3502000000003</v>
      </c>
    </row>
    <row r="247" spans="1:14" s="58" customFormat="1" x14ac:dyDescent="0.2">
      <c r="B247" s="60"/>
      <c r="C247" s="60"/>
      <c r="D247" s="60"/>
      <c r="E247" s="60"/>
      <c r="F247" s="60"/>
      <c r="G247" s="60"/>
      <c r="H247" s="60"/>
      <c r="I247" s="60"/>
      <c r="J247" s="60"/>
      <c r="K247" s="60"/>
      <c r="L247" s="60"/>
      <c r="M247" s="60"/>
      <c r="N247" s="60"/>
    </row>
    <row r="248" spans="1:14" s="58" customFormat="1" x14ac:dyDescent="0.2">
      <c r="A248" s="59"/>
      <c r="B248" s="60"/>
      <c r="C248" s="89" t="str">
        <f>C235</f>
        <v>January</v>
      </c>
      <c r="D248" s="89" t="str">
        <f t="shared" ref="D248:M248" si="70">D235</f>
        <v>February</v>
      </c>
      <c r="E248" s="89" t="str">
        <f t="shared" si="70"/>
        <v>March</v>
      </c>
      <c r="F248" s="89" t="str">
        <f t="shared" si="70"/>
        <v>April</v>
      </c>
      <c r="G248" s="89" t="str">
        <f t="shared" si="70"/>
        <v>May</v>
      </c>
      <c r="H248" s="89" t="str">
        <f t="shared" si="70"/>
        <v>June</v>
      </c>
      <c r="I248" s="89" t="str">
        <f t="shared" si="70"/>
        <v>July</v>
      </c>
      <c r="J248" s="89" t="str">
        <f t="shared" si="70"/>
        <v>August</v>
      </c>
      <c r="K248" s="89" t="str">
        <f t="shared" si="70"/>
        <v>September</v>
      </c>
      <c r="L248" s="89" t="str">
        <f t="shared" si="70"/>
        <v>October</v>
      </c>
      <c r="M248" s="89" t="str">
        <f t="shared" si="70"/>
        <v>November</v>
      </c>
      <c r="N248" s="89" t="str">
        <f>N235</f>
        <v>December</v>
      </c>
    </row>
    <row r="249" spans="1:14" s="58" customFormat="1" x14ac:dyDescent="0.2">
      <c r="A249" s="59"/>
      <c r="B249" s="60"/>
      <c r="C249" s="72">
        <v>31</v>
      </c>
      <c r="D249" s="72">
        <v>31</v>
      </c>
      <c r="E249" s="72">
        <v>30</v>
      </c>
      <c r="F249" s="72">
        <v>31</v>
      </c>
      <c r="G249" s="72">
        <v>30</v>
      </c>
      <c r="H249" s="72">
        <v>31</v>
      </c>
      <c r="I249" s="72">
        <v>31</v>
      </c>
      <c r="J249" s="72">
        <v>28</v>
      </c>
      <c r="K249" s="72">
        <v>31</v>
      </c>
      <c r="L249" s="72">
        <v>30</v>
      </c>
      <c r="M249" s="72">
        <v>31</v>
      </c>
      <c r="N249" s="71">
        <v>30</v>
      </c>
    </row>
    <row r="250" spans="1:14" s="58" customFormat="1" x14ac:dyDescent="0.2">
      <c r="A250" s="59"/>
      <c r="B250" s="89" t="s">
        <v>185</v>
      </c>
      <c r="C250" s="78">
        <f t="shared" ref="C250:N250" si="71">C237</f>
        <v>1</v>
      </c>
      <c r="D250" s="78">
        <f t="shared" si="71"/>
        <v>0</v>
      </c>
      <c r="E250" s="78">
        <f t="shared" si="71"/>
        <v>1</v>
      </c>
      <c r="F250" s="78">
        <f t="shared" si="71"/>
        <v>0</v>
      </c>
      <c r="G250" s="78">
        <f t="shared" si="71"/>
        <v>2</v>
      </c>
      <c r="H250" s="78">
        <f t="shared" si="71"/>
        <v>0</v>
      </c>
      <c r="I250" s="78">
        <f t="shared" si="71"/>
        <v>2</v>
      </c>
      <c r="J250" s="78">
        <f t="shared" si="71"/>
        <v>1</v>
      </c>
      <c r="K250" s="78">
        <f t="shared" si="71"/>
        <v>0</v>
      </c>
      <c r="L250" s="78">
        <f t="shared" si="71"/>
        <v>0</v>
      </c>
      <c r="M250" s="78">
        <f t="shared" si="71"/>
        <v>1</v>
      </c>
      <c r="N250" s="78">
        <f t="shared" si="71"/>
        <v>0</v>
      </c>
    </row>
    <row r="251" spans="1:14" s="58" customFormat="1" x14ac:dyDescent="0.2">
      <c r="A251" s="59"/>
      <c r="B251" s="89" t="s">
        <v>44</v>
      </c>
      <c r="C251" s="49">
        <v>0.8</v>
      </c>
      <c r="D251" s="49">
        <v>0.8</v>
      </c>
      <c r="E251" s="49">
        <v>0.8</v>
      </c>
      <c r="F251" s="49">
        <v>0.8</v>
      </c>
      <c r="G251" s="49">
        <v>0.8</v>
      </c>
      <c r="H251" s="49">
        <v>0.8</v>
      </c>
      <c r="I251" s="49">
        <v>0.8</v>
      </c>
      <c r="J251" s="49">
        <v>0.8</v>
      </c>
      <c r="K251" s="49">
        <v>0.8</v>
      </c>
      <c r="L251" s="49">
        <v>0.8</v>
      </c>
      <c r="M251" s="49">
        <v>0.8</v>
      </c>
      <c r="N251" s="49">
        <v>0.8</v>
      </c>
    </row>
    <row r="252" spans="1:14" s="58" customFormat="1" x14ac:dyDescent="0.2">
      <c r="A252" s="59"/>
      <c r="B252" s="89" t="s">
        <v>186</v>
      </c>
      <c r="C252" s="53">
        <f>SUM(174*C251)</f>
        <v>139.20000000000002</v>
      </c>
      <c r="D252" s="53">
        <f t="shared" ref="D252:N252" si="72">SUM(174*D251)</f>
        <v>139.20000000000002</v>
      </c>
      <c r="E252" s="53">
        <f t="shared" si="72"/>
        <v>139.20000000000002</v>
      </c>
      <c r="F252" s="53">
        <f t="shared" si="72"/>
        <v>139.20000000000002</v>
      </c>
      <c r="G252" s="53">
        <f t="shared" si="72"/>
        <v>139.20000000000002</v>
      </c>
      <c r="H252" s="53">
        <f t="shared" si="72"/>
        <v>139.20000000000002</v>
      </c>
      <c r="I252" s="53">
        <f t="shared" si="72"/>
        <v>139.20000000000002</v>
      </c>
      <c r="J252" s="53">
        <f t="shared" si="72"/>
        <v>139.20000000000002</v>
      </c>
      <c r="K252" s="53">
        <f t="shared" si="72"/>
        <v>139.20000000000002</v>
      </c>
      <c r="L252" s="53">
        <f t="shared" si="72"/>
        <v>139.20000000000002</v>
      </c>
      <c r="M252" s="53">
        <f t="shared" si="72"/>
        <v>139.20000000000002</v>
      </c>
      <c r="N252" s="53">
        <f t="shared" si="72"/>
        <v>139.20000000000002</v>
      </c>
    </row>
    <row r="253" spans="1:14" s="58" customFormat="1" x14ac:dyDescent="0.2">
      <c r="A253" s="59" t="s">
        <v>529</v>
      </c>
      <c r="B253" s="78" t="s">
        <v>530</v>
      </c>
      <c r="C253" s="66">
        <f>SUM(C252*$B$254)</f>
        <v>2213.2800000000002</v>
      </c>
      <c r="D253" s="66">
        <f t="shared" ref="D253:N253" si="73">SUM(D252*$B$254)</f>
        <v>2213.2800000000002</v>
      </c>
      <c r="E253" s="66">
        <f t="shared" si="73"/>
        <v>2213.2800000000002</v>
      </c>
      <c r="F253" s="66">
        <f t="shared" si="73"/>
        <v>2213.2800000000002</v>
      </c>
      <c r="G253" s="66">
        <f t="shared" si="73"/>
        <v>2213.2800000000002</v>
      </c>
      <c r="H253" s="66">
        <f t="shared" si="73"/>
        <v>2213.2800000000002</v>
      </c>
      <c r="I253" s="66">
        <f t="shared" si="73"/>
        <v>2213.2800000000002</v>
      </c>
      <c r="J253" s="66">
        <f t="shared" si="73"/>
        <v>2213.2800000000002</v>
      </c>
      <c r="K253" s="66">
        <f t="shared" si="73"/>
        <v>2213.2800000000002</v>
      </c>
      <c r="L253" s="66">
        <f t="shared" si="73"/>
        <v>2213.2800000000002</v>
      </c>
      <c r="M253" s="66">
        <f t="shared" si="73"/>
        <v>2213.2800000000002</v>
      </c>
      <c r="N253" s="66">
        <f t="shared" si="73"/>
        <v>2213.2800000000002</v>
      </c>
    </row>
    <row r="254" spans="1:14" s="58" customFormat="1" x14ac:dyDescent="0.2">
      <c r="A254" s="59" t="s">
        <v>188</v>
      </c>
      <c r="B254" s="241">
        <f>15+0.9</f>
        <v>15.9</v>
      </c>
      <c r="C254" s="66">
        <f>SUM(C253)*'Data Links'!$B$15</f>
        <v>169.31592000000001</v>
      </c>
      <c r="D254" s="66">
        <f>SUM(D253)*'Data Links'!$B$15</f>
        <v>169.31592000000001</v>
      </c>
      <c r="E254" s="66">
        <f>SUM(E253)*'Data Links'!$B$15</f>
        <v>169.31592000000001</v>
      </c>
      <c r="F254" s="66">
        <f>SUM(F253)*'Data Links'!$B$15</f>
        <v>169.31592000000001</v>
      </c>
      <c r="G254" s="66">
        <f>SUM(G253)*'Data Links'!$B$15</f>
        <v>169.31592000000001</v>
      </c>
      <c r="H254" s="66">
        <f>SUM(H253)*'Data Links'!$B$15</f>
        <v>169.31592000000001</v>
      </c>
      <c r="I254" s="66">
        <f>SUM(I253)*'Data Links'!$B$15</f>
        <v>169.31592000000001</v>
      </c>
      <c r="J254" s="66">
        <f>SUM(J253)*'Data Links'!$B$15</f>
        <v>169.31592000000001</v>
      </c>
      <c r="K254" s="66">
        <f>SUM(K253)*'Data Links'!$B$15</f>
        <v>169.31592000000001</v>
      </c>
      <c r="L254" s="66">
        <f>SUM(L253)*'Data Links'!$B$15</f>
        <v>169.31592000000001</v>
      </c>
      <c r="M254" s="66">
        <f>SUM(M253)*'Data Links'!$B$15</f>
        <v>169.31592000000001</v>
      </c>
      <c r="N254" s="66">
        <f>SUM(N253)*'Data Links'!$B$15</f>
        <v>169.31592000000001</v>
      </c>
    </row>
    <row r="255" spans="1:14" s="58" customFormat="1" x14ac:dyDescent="0.2">
      <c r="A255" s="59" t="s">
        <v>189</v>
      </c>
      <c r="B255" s="241">
        <f>13+0.9</f>
        <v>13.9</v>
      </c>
      <c r="C255" s="66">
        <f>SUM(C253*'Data Links'!$B$13)</f>
        <v>13.279680000000001</v>
      </c>
      <c r="D255" s="66">
        <f>SUM(D253*'Data Links'!$B$13)</f>
        <v>13.279680000000001</v>
      </c>
      <c r="E255" s="66">
        <f>SUM(E253*'Data Links'!$B$13)</f>
        <v>13.279680000000001</v>
      </c>
      <c r="F255" s="66">
        <f>SUM(F253*'Data Links'!$B$13)</f>
        <v>13.279680000000001</v>
      </c>
      <c r="G255" s="66">
        <f>SUM(G253*'Data Links'!$B$13)</f>
        <v>13.279680000000001</v>
      </c>
      <c r="H255" s="66">
        <f>SUM(H253*'Data Links'!$B$13)</f>
        <v>13.279680000000001</v>
      </c>
      <c r="I255" s="66">
        <f>SUM(I253*'Data Links'!$B$13)</f>
        <v>13.279680000000001</v>
      </c>
      <c r="J255" s="66">
        <f>SUM(J253*'Data Links'!$B$13)</f>
        <v>13.279680000000001</v>
      </c>
      <c r="K255" s="66">
        <f>SUM(K253*'Data Links'!$B$13)</f>
        <v>13.279680000000001</v>
      </c>
      <c r="L255" s="66">
        <f>SUM(L253*'Data Links'!$B$13)</f>
        <v>13.279680000000001</v>
      </c>
      <c r="M255" s="66">
        <f>SUM(M253*'Data Links'!$B$13)</f>
        <v>13.279680000000001</v>
      </c>
      <c r="N255" s="66">
        <f>SUM(N253*'Data Links'!$B$13)</f>
        <v>13.279680000000001</v>
      </c>
    </row>
    <row r="256" spans="1:14" s="58" customFormat="1" x14ac:dyDescent="0.2">
      <c r="A256" s="59" t="s">
        <v>190</v>
      </c>
      <c r="B256" s="60"/>
      <c r="C256" s="66">
        <f>SUM(C252*'Data Links'!$B$10)</f>
        <v>67.546800000000005</v>
      </c>
      <c r="D256" s="66">
        <f>SUM(D252*'Data Links'!$B$10)</f>
        <v>67.546800000000005</v>
      </c>
      <c r="E256" s="66">
        <f>SUM(E252*'Data Links'!$B$10)</f>
        <v>67.546800000000005</v>
      </c>
      <c r="F256" s="66">
        <f>SUM(F252*'Data Links'!$B$10)</f>
        <v>67.546800000000005</v>
      </c>
      <c r="G256" s="66">
        <f>SUM(G252*'Data Links'!$B$10)</f>
        <v>67.546800000000005</v>
      </c>
      <c r="H256" s="66">
        <f>SUM(H252*'Data Links'!$B$10)</f>
        <v>67.546800000000005</v>
      </c>
      <c r="I256" s="66">
        <f>SUM(I252*'Data Links'!$B$10)</f>
        <v>67.546800000000005</v>
      </c>
      <c r="J256" s="66">
        <f>SUM(J252*'Data Links'!$B$10)</f>
        <v>67.546800000000005</v>
      </c>
      <c r="K256" s="66">
        <f>SUM(K252*'Data Links'!$B$10)</f>
        <v>67.546800000000005</v>
      </c>
      <c r="L256" s="66">
        <f>SUM(L252*'Data Links'!$B$10)</f>
        <v>67.546800000000005</v>
      </c>
      <c r="M256" s="66">
        <f>SUM(M252*'Data Links'!$B$10)</f>
        <v>67.546800000000005</v>
      </c>
      <c r="N256" s="66">
        <f>SUM(N252*'Data Links'!$B$10)</f>
        <v>67.546800000000005</v>
      </c>
    </row>
    <row r="257" spans="1:14" s="58" customFormat="1" x14ac:dyDescent="0.2">
      <c r="A257" s="59" t="s">
        <v>191</v>
      </c>
      <c r="B257" s="60"/>
      <c r="C257" s="66"/>
      <c r="D257" s="66"/>
      <c r="E257" s="66"/>
      <c r="F257" s="66"/>
      <c r="G257" s="66"/>
      <c r="H257" s="66"/>
      <c r="I257" s="66"/>
      <c r="J257" s="66"/>
      <c r="K257" s="66"/>
      <c r="L257" s="66"/>
      <c r="M257" s="66"/>
      <c r="N257" s="66"/>
    </row>
    <row r="258" spans="1:14" s="58" customFormat="1" x14ac:dyDescent="0.2">
      <c r="A258" s="59" t="s">
        <v>192</v>
      </c>
      <c r="B258" s="60"/>
      <c r="C258" s="66"/>
      <c r="D258" s="66"/>
      <c r="E258" s="66"/>
      <c r="F258" s="66"/>
      <c r="G258" s="66"/>
      <c r="H258" s="66"/>
      <c r="I258" s="66"/>
      <c r="J258" s="66"/>
      <c r="K258" s="66"/>
      <c r="L258" s="66"/>
      <c r="M258" s="66"/>
      <c r="N258" s="66"/>
    </row>
    <row r="259" spans="1:14" s="58" customFormat="1" x14ac:dyDescent="0.2">
      <c r="A259" s="58" t="s">
        <v>144</v>
      </c>
      <c r="B259" s="60"/>
      <c r="C259" s="60">
        <f t="shared" ref="C259:N259" si="74">SUM(C253:C258)</f>
        <v>2463.4224000000004</v>
      </c>
      <c r="D259" s="60">
        <f t="shared" si="74"/>
        <v>2463.4224000000004</v>
      </c>
      <c r="E259" s="60">
        <f t="shared" si="74"/>
        <v>2463.4224000000004</v>
      </c>
      <c r="F259" s="60">
        <f t="shared" si="74"/>
        <v>2463.4224000000004</v>
      </c>
      <c r="G259" s="60">
        <f t="shared" si="74"/>
        <v>2463.4224000000004</v>
      </c>
      <c r="H259" s="60">
        <f t="shared" si="74"/>
        <v>2463.4224000000004</v>
      </c>
      <c r="I259" s="60">
        <f t="shared" si="74"/>
        <v>2463.4224000000004</v>
      </c>
      <c r="J259" s="60">
        <f t="shared" si="74"/>
        <v>2463.4224000000004</v>
      </c>
      <c r="K259" s="60">
        <f t="shared" si="74"/>
        <v>2463.4224000000004</v>
      </c>
      <c r="L259" s="60">
        <f t="shared" si="74"/>
        <v>2463.4224000000004</v>
      </c>
      <c r="M259" s="60">
        <f t="shared" si="74"/>
        <v>2463.4224000000004</v>
      </c>
      <c r="N259" s="60">
        <f t="shared" si="74"/>
        <v>2463.4224000000004</v>
      </c>
    </row>
    <row r="260" spans="1:14" s="58" customFormat="1" x14ac:dyDescent="0.2">
      <c r="B260" s="60"/>
      <c r="C260" s="60"/>
      <c r="D260" s="60"/>
      <c r="E260" s="60"/>
      <c r="F260" s="60"/>
      <c r="G260" s="60"/>
      <c r="H260" s="60"/>
      <c r="I260" s="60"/>
      <c r="J260" s="60"/>
      <c r="K260" s="60"/>
      <c r="L260" s="60"/>
      <c r="M260" s="60"/>
      <c r="N260" s="60"/>
    </row>
    <row r="261" spans="1:14" s="58" customFormat="1" hidden="1" x14ac:dyDescent="0.2">
      <c r="A261" s="59"/>
      <c r="B261" s="60"/>
      <c r="C261" s="89" t="str">
        <f>C248</f>
        <v>January</v>
      </c>
      <c r="D261" s="89" t="str">
        <f t="shared" ref="D261:M261" si="75">D248</f>
        <v>February</v>
      </c>
      <c r="E261" s="89" t="str">
        <f t="shared" si="75"/>
        <v>March</v>
      </c>
      <c r="F261" s="89" t="str">
        <f t="shared" si="75"/>
        <v>April</v>
      </c>
      <c r="G261" s="89" t="str">
        <f t="shared" si="75"/>
        <v>May</v>
      </c>
      <c r="H261" s="89" t="str">
        <f t="shared" si="75"/>
        <v>June</v>
      </c>
      <c r="I261" s="89" t="str">
        <f t="shared" si="75"/>
        <v>July</v>
      </c>
      <c r="J261" s="89" t="str">
        <f t="shared" si="75"/>
        <v>August</v>
      </c>
      <c r="K261" s="89" t="str">
        <f t="shared" si="75"/>
        <v>September</v>
      </c>
      <c r="L261" s="89" t="str">
        <f t="shared" si="75"/>
        <v>October</v>
      </c>
      <c r="M261" s="89" t="str">
        <f t="shared" si="75"/>
        <v>November</v>
      </c>
      <c r="N261" s="89" t="str">
        <f>N248</f>
        <v>December</v>
      </c>
    </row>
    <row r="262" spans="1:14" s="58" customFormat="1" hidden="1" x14ac:dyDescent="0.2">
      <c r="A262" s="59"/>
      <c r="B262" s="60"/>
      <c r="C262" s="72">
        <v>31</v>
      </c>
      <c r="D262" s="72">
        <v>31</v>
      </c>
      <c r="E262" s="72">
        <v>30</v>
      </c>
      <c r="F262" s="72">
        <v>31</v>
      </c>
      <c r="G262" s="72">
        <v>30</v>
      </c>
      <c r="H262" s="72">
        <v>31</v>
      </c>
      <c r="I262" s="72">
        <v>31</v>
      </c>
      <c r="J262" s="72">
        <v>28</v>
      </c>
      <c r="K262" s="72">
        <v>31</v>
      </c>
      <c r="L262" s="72">
        <v>30</v>
      </c>
      <c r="M262" s="72">
        <v>31</v>
      </c>
      <c r="N262" s="71">
        <v>30</v>
      </c>
    </row>
    <row r="263" spans="1:14" s="58" customFormat="1" hidden="1" x14ac:dyDescent="0.2">
      <c r="A263" s="59"/>
      <c r="B263" s="89" t="s">
        <v>185</v>
      </c>
      <c r="C263" s="78">
        <f t="shared" ref="C263:N263" si="76">C250</f>
        <v>1</v>
      </c>
      <c r="D263" s="78">
        <f t="shared" si="76"/>
        <v>0</v>
      </c>
      <c r="E263" s="78">
        <f t="shared" si="76"/>
        <v>1</v>
      </c>
      <c r="F263" s="78">
        <f t="shared" si="76"/>
        <v>0</v>
      </c>
      <c r="G263" s="78">
        <f t="shared" si="76"/>
        <v>2</v>
      </c>
      <c r="H263" s="78">
        <f t="shared" si="76"/>
        <v>0</v>
      </c>
      <c r="I263" s="78">
        <f t="shared" si="76"/>
        <v>2</v>
      </c>
      <c r="J263" s="78">
        <f t="shared" si="76"/>
        <v>1</v>
      </c>
      <c r="K263" s="78">
        <f t="shared" si="76"/>
        <v>0</v>
      </c>
      <c r="L263" s="78">
        <f t="shared" si="76"/>
        <v>0</v>
      </c>
      <c r="M263" s="78">
        <f t="shared" si="76"/>
        <v>1</v>
      </c>
      <c r="N263" s="78">
        <f t="shared" si="76"/>
        <v>0</v>
      </c>
    </row>
    <row r="264" spans="1:14" s="58" customFormat="1" hidden="1" x14ac:dyDescent="0.2">
      <c r="A264" s="59"/>
      <c r="B264" s="89" t="s">
        <v>44</v>
      </c>
      <c r="C264" s="49"/>
      <c r="D264" s="49"/>
      <c r="E264" s="49"/>
      <c r="F264" s="49"/>
      <c r="G264" s="49"/>
      <c r="H264" s="49"/>
      <c r="I264" s="49"/>
      <c r="J264" s="49"/>
      <c r="K264" s="49"/>
      <c r="L264" s="49"/>
      <c r="M264" s="49"/>
      <c r="N264" s="49"/>
    </row>
    <row r="265" spans="1:14" s="58" customFormat="1" hidden="1" x14ac:dyDescent="0.2">
      <c r="A265" s="59"/>
      <c r="B265" s="89" t="s">
        <v>186</v>
      </c>
      <c r="C265" s="53">
        <f>SUM(174*C264)</f>
        <v>0</v>
      </c>
      <c r="D265" s="53">
        <f t="shared" ref="D265:N265" si="77">SUM(174*D264)</f>
        <v>0</v>
      </c>
      <c r="E265" s="53">
        <f t="shared" si="77"/>
        <v>0</v>
      </c>
      <c r="F265" s="53">
        <f t="shared" si="77"/>
        <v>0</v>
      </c>
      <c r="G265" s="53">
        <f t="shared" si="77"/>
        <v>0</v>
      </c>
      <c r="H265" s="53">
        <f t="shared" si="77"/>
        <v>0</v>
      </c>
      <c r="I265" s="53">
        <f t="shared" si="77"/>
        <v>0</v>
      </c>
      <c r="J265" s="53">
        <f t="shared" si="77"/>
        <v>0</v>
      </c>
      <c r="K265" s="53">
        <f t="shared" si="77"/>
        <v>0</v>
      </c>
      <c r="L265" s="53">
        <f t="shared" si="77"/>
        <v>0</v>
      </c>
      <c r="M265" s="53">
        <f t="shared" si="77"/>
        <v>0</v>
      </c>
      <c r="N265" s="53">
        <f t="shared" si="77"/>
        <v>0</v>
      </c>
    </row>
    <row r="266" spans="1:14" s="58" customFormat="1" hidden="1" x14ac:dyDescent="0.2">
      <c r="A266" s="223" t="s">
        <v>193</v>
      </c>
      <c r="B266" s="78" t="s">
        <v>187</v>
      </c>
      <c r="C266" s="66">
        <f>SUM(C265*$B$267)</f>
        <v>0</v>
      </c>
      <c r="D266" s="66">
        <f t="shared" ref="D266:N266" si="78">SUM(D265*$B$267)</f>
        <v>0</v>
      </c>
      <c r="E266" s="66">
        <f t="shared" si="78"/>
        <v>0</v>
      </c>
      <c r="F266" s="66">
        <f t="shared" si="78"/>
        <v>0</v>
      </c>
      <c r="G266" s="66">
        <f t="shared" si="78"/>
        <v>0</v>
      </c>
      <c r="H266" s="66">
        <f t="shared" si="78"/>
        <v>0</v>
      </c>
      <c r="I266" s="66">
        <f t="shared" si="78"/>
        <v>0</v>
      </c>
      <c r="J266" s="66">
        <f t="shared" si="78"/>
        <v>0</v>
      </c>
      <c r="K266" s="66">
        <f t="shared" si="78"/>
        <v>0</v>
      </c>
      <c r="L266" s="66">
        <f t="shared" si="78"/>
        <v>0</v>
      </c>
      <c r="M266" s="66">
        <f t="shared" si="78"/>
        <v>0</v>
      </c>
      <c r="N266" s="66">
        <f t="shared" si="78"/>
        <v>0</v>
      </c>
    </row>
    <row r="267" spans="1:14" s="58" customFormat="1" hidden="1" x14ac:dyDescent="0.2">
      <c r="A267" s="59" t="s">
        <v>188</v>
      </c>
      <c r="B267" s="74">
        <v>0</v>
      </c>
      <c r="C267" s="66">
        <f>SUM(C266)*'Data Links'!$B$15</f>
        <v>0</v>
      </c>
      <c r="D267" s="66">
        <f>SUM(D266)*'Data Links'!$B$15</f>
        <v>0</v>
      </c>
      <c r="E267" s="66">
        <f>SUM(E266)*'Data Links'!$B$15</f>
        <v>0</v>
      </c>
      <c r="F267" s="66">
        <f>SUM(F266)*'Data Links'!$B$15</f>
        <v>0</v>
      </c>
      <c r="G267" s="66">
        <f>SUM(G266)*'Data Links'!$B$15</f>
        <v>0</v>
      </c>
      <c r="H267" s="66">
        <f>SUM(H266)*'Data Links'!$B$15</f>
        <v>0</v>
      </c>
      <c r="I267" s="66">
        <f>SUM(I266)*'Data Links'!$B$15</f>
        <v>0</v>
      </c>
      <c r="J267" s="66">
        <f>SUM(J266)*'Data Links'!$B$15</f>
        <v>0</v>
      </c>
      <c r="K267" s="66">
        <f>SUM(K266)*'Data Links'!$B$15</f>
        <v>0</v>
      </c>
      <c r="L267" s="66">
        <f>SUM(L266)*'Data Links'!$B$15</f>
        <v>0</v>
      </c>
      <c r="M267" s="66">
        <f>SUM(M266)*'Data Links'!$B$15</f>
        <v>0</v>
      </c>
      <c r="N267" s="66">
        <f>SUM(N266)*'Data Links'!$B$15</f>
        <v>0</v>
      </c>
    </row>
    <row r="268" spans="1:14" s="58" customFormat="1" hidden="1" x14ac:dyDescent="0.2">
      <c r="A268" s="59" t="s">
        <v>189</v>
      </c>
      <c r="B268" s="60"/>
      <c r="C268" s="66">
        <f>SUM(C266*'Data Links'!$B$13)</f>
        <v>0</v>
      </c>
      <c r="D268" s="66">
        <f>SUM(D266*'Data Links'!$B$13)</f>
        <v>0</v>
      </c>
      <c r="E268" s="66">
        <f>SUM(E266*'Data Links'!$B$13)</f>
        <v>0</v>
      </c>
      <c r="F268" s="66">
        <f>SUM(F266*'Data Links'!$B$13)</f>
        <v>0</v>
      </c>
      <c r="G268" s="66">
        <f>SUM(G266*'Data Links'!$B$13)</f>
        <v>0</v>
      </c>
      <c r="H268" s="66">
        <f>SUM(H266*'Data Links'!$B$13)</f>
        <v>0</v>
      </c>
      <c r="I268" s="66">
        <f>SUM(I266*'Data Links'!$B$13)</f>
        <v>0</v>
      </c>
      <c r="J268" s="66">
        <f>SUM(J266*'Data Links'!$B$13)</f>
        <v>0</v>
      </c>
      <c r="K268" s="66">
        <f>SUM(K266*'Data Links'!$B$13)</f>
        <v>0</v>
      </c>
      <c r="L268" s="66">
        <f>SUM(L266*'Data Links'!$B$13)</f>
        <v>0</v>
      </c>
      <c r="M268" s="66">
        <f>SUM(M266*'Data Links'!$B$13)</f>
        <v>0</v>
      </c>
      <c r="N268" s="66">
        <f>SUM(N266*'Data Links'!$B$13)</f>
        <v>0</v>
      </c>
    </row>
    <row r="269" spans="1:14" s="58" customFormat="1" hidden="1" x14ac:dyDescent="0.2">
      <c r="A269" s="59" t="s">
        <v>190</v>
      </c>
      <c r="B269" s="60"/>
      <c r="C269" s="66">
        <f>SUM(C265*'Data Links'!$B$10)</f>
        <v>0</v>
      </c>
      <c r="D269" s="66">
        <f>SUM(D265*'Data Links'!$B$10)</f>
        <v>0</v>
      </c>
      <c r="E269" s="66">
        <f>SUM(E265*'Data Links'!$B$10)</f>
        <v>0</v>
      </c>
      <c r="F269" s="66">
        <f>SUM(F265*'Data Links'!$B$10)</f>
        <v>0</v>
      </c>
      <c r="G269" s="66">
        <f>SUM(G265*'Data Links'!$B$10)</f>
        <v>0</v>
      </c>
      <c r="H269" s="66">
        <f>SUM(H265*'Data Links'!$B$10)</f>
        <v>0</v>
      </c>
      <c r="I269" s="66">
        <f>SUM(I265*'Data Links'!$B$10)</f>
        <v>0</v>
      </c>
      <c r="J269" s="66">
        <f>SUM(J265*'Data Links'!$B$10)</f>
        <v>0</v>
      </c>
      <c r="K269" s="66">
        <f>SUM(K265*'Data Links'!$B$10)</f>
        <v>0</v>
      </c>
      <c r="L269" s="66">
        <f>SUM(L265*'Data Links'!$B$10)</f>
        <v>0</v>
      </c>
      <c r="M269" s="66">
        <f>SUM(M265*'Data Links'!$B$10)</f>
        <v>0</v>
      </c>
      <c r="N269" s="66">
        <f>SUM(N265*'Data Links'!$B$10)</f>
        <v>0</v>
      </c>
    </row>
    <row r="270" spans="1:14" s="58" customFormat="1" hidden="1" x14ac:dyDescent="0.2">
      <c r="A270" s="59" t="s">
        <v>191</v>
      </c>
      <c r="B270" s="60"/>
      <c r="C270" s="66"/>
      <c r="D270" s="66"/>
      <c r="E270" s="66"/>
      <c r="F270" s="66"/>
      <c r="G270" s="66"/>
      <c r="H270" s="66"/>
      <c r="I270" s="66"/>
      <c r="J270" s="66"/>
      <c r="K270" s="66"/>
      <c r="L270" s="66"/>
      <c r="M270" s="66"/>
      <c r="N270" s="66"/>
    </row>
    <row r="271" spans="1:14" s="58" customFormat="1" hidden="1" x14ac:dyDescent="0.2">
      <c r="A271" s="59" t="s">
        <v>192</v>
      </c>
      <c r="B271" s="60"/>
      <c r="C271" s="66"/>
      <c r="D271" s="66"/>
      <c r="E271" s="66"/>
      <c r="F271" s="66"/>
      <c r="G271" s="66"/>
      <c r="H271" s="66"/>
      <c r="I271" s="66"/>
      <c r="J271" s="66"/>
      <c r="K271" s="66"/>
      <c r="L271" s="66"/>
      <c r="M271" s="66"/>
      <c r="N271" s="66"/>
    </row>
    <row r="272" spans="1:14" s="58" customFormat="1" hidden="1" x14ac:dyDescent="0.2">
      <c r="A272" s="58" t="s">
        <v>144</v>
      </c>
      <c r="B272" s="60"/>
      <c r="C272" s="60">
        <f t="shared" ref="C272:N272" si="79">SUM(C266:C271)</f>
        <v>0</v>
      </c>
      <c r="D272" s="60">
        <f t="shared" si="79"/>
        <v>0</v>
      </c>
      <c r="E272" s="60">
        <f t="shared" si="79"/>
        <v>0</v>
      </c>
      <c r="F272" s="60">
        <f t="shared" si="79"/>
        <v>0</v>
      </c>
      <c r="G272" s="60">
        <f t="shared" si="79"/>
        <v>0</v>
      </c>
      <c r="H272" s="60">
        <f t="shared" si="79"/>
        <v>0</v>
      </c>
      <c r="I272" s="60">
        <f t="shared" si="79"/>
        <v>0</v>
      </c>
      <c r="J272" s="60">
        <f t="shared" si="79"/>
        <v>0</v>
      </c>
      <c r="K272" s="60">
        <f t="shared" si="79"/>
        <v>0</v>
      </c>
      <c r="L272" s="60">
        <f t="shared" si="79"/>
        <v>0</v>
      </c>
      <c r="M272" s="60">
        <f t="shared" si="79"/>
        <v>0</v>
      </c>
      <c r="N272" s="60">
        <f t="shared" si="79"/>
        <v>0</v>
      </c>
    </row>
    <row r="273" spans="1:14" s="58" customFormat="1" hidden="1" x14ac:dyDescent="0.2">
      <c r="B273" s="60"/>
      <c r="C273" s="60"/>
      <c r="D273" s="60"/>
      <c r="E273" s="60"/>
      <c r="F273" s="60"/>
      <c r="G273" s="60"/>
      <c r="H273" s="60"/>
      <c r="I273" s="60"/>
      <c r="J273" s="60"/>
      <c r="K273" s="60"/>
      <c r="L273" s="60"/>
      <c r="M273" s="60"/>
      <c r="N273" s="60"/>
    </row>
    <row r="274" spans="1:14" s="58" customFormat="1" hidden="1" x14ac:dyDescent="0.2">
      <c r="A274" s="59"/>
      <c r="B274" s="60"/>
      <c r="C274" s="89" t="str">
        <f>C261</f>
        <v>January</v>
      </c>
      <c r="D274" s="89" t="str">
        <f t="shared" ref="D274:M274" si="80">D261</f>
        <v>February</v>
      </c>
      <c r="E274" s="89" t="str">
        <f t="shared" si="80"/>
        <v>March</v>
      </c>
      <c r="F274" s="89" t="str">
        <f t="shared" si="80"/>
        <v>April</v>
      </c>
      <c r="G274" s="89" t="str">
        <f t="shared" si="80"/>
        <v>May</v>
      </c>
      <c r="H274" s="89" t="str">
        <f t="shared" si="80"/>
        <v>June</v>
      </c>
      <c r="I274" s="89" t="str">
        <f t="shared" si="80"/>
        <v>July</v>
      </c>
      <c r="J274" s="89" t="str">
        <f t="shared" si="80"/>
        <v>August</v>
      </c>
      <c r="K274" s="89" t="str">
        <f t="shared" si="80"/>
        <v>September</v>
      </c>
      <c r="L274" s="89" t="str">
        <f t="shared" si="80"/>
        <v>October</v>
      </c>
      <c r="M274" s="89" t="str">
        <f t="shared" si="80"/>
        <v>November</v>
      </c>
      <c r="N274" s="89" t="str">
        <f>N261</f>
        <v>December</v>
      </c>
    </row>
    <row r="275" spans="1:14" s="58" customFormat="1" hidden="1" x14ac:dyDescent="0.2">
      <c r="A275" s="59"/>
      <c r="B275" s="60"/>
      <c r="C275" s="72">
        <v>31</v>
      </c>
      <c r="D275" s="72">
        <v>31</v>
      </c>
      <c r="E275" s="72">
        <v>30</v>
      </c>
      <c r="F275" s="72">
        <v>31</v>
      </c>
      <c r="G275" s="72">
        <v>30</v>
      </c>
      <c r="H275" s="72">
        <v>31</v>
      </c>
      <c r="I275" s="72">
        <v>31</v>
      </c>
      <c r="J275" s="72">
        <v>28</v>
      </c>
      <c r="K275" s="72">
        <v>31</v>
      </c>
      <c r="L275" s="72">
        <v>30</v>
      </c>
      <c r="M275" s="72">
        <v>31</v>
      </c>
      <c r="N275" s="71">
        <v>30</v>
      </c>
    </row>
    <row r="276" spans="1:14" s="58" customFormat="1" hidden="1" x14ac:dyDescent="0.2">
      <c r="A276" s="59"/>
      <c r="B276" s="89" t="s">
        <v>185</v>
      </c>
      <c r="C276" s="78">
        <f t="shared" ref="C276:N276" si="81">C263</f>
        <v>1</v>
      </c>
      <c r="D276" s="78">
        <f t="shared" si="81"/>
        <v>0</v>
      </c>
      <c r="E276" s="78">
        <f t="shared" si="81"/>
        <v>1</v>
      </c>
      <c r="F276" s="78">
        <f t="shared" si="81"/>
        <v>0</v>
      </c>
      <c r="G276" s="78">
        <f t="shared" si="81"/>
        <v>2</v>
      </c>
      <c r="H276" s="78">
        <f t="shared" si="81"/>
        <v>0</v>
      </c>
      <c r="I276" s="78">
        <f t="shared" si="81"/>
        <v>2</v>
      </c>
      <c r="J276" s="78">
        <f t="shared" si="81"/>
        <v>1</v>
      </c>
      <c r="K276" s="78">
        <f t="shared" si="81"/>
        <v>0</v>
      </c>
      <c r="L276" s="78">
        <f t="shared" si="81"/>
        <v>0</v>
      </c>
      <c r="M276" s="78">
        <f t="shared" si="81"/>
        <v>1</v>
      </c>
      <c r="N276" s="78">
        <f t="shared" si="81"/>
        <v>0</v>
      </c>
    </row>
    <row r="277" spans="1:14" s="58" customFormat="1" hidden="1" x14ac:dyDescent="0.2">
      <c r="A277" s="59"/>
      <c r="B277" s="89" t="s">
        <v>44</v>
      </c>
      <c r="C277" s="49"/>
      <c r="D277" s="49"/>
      <c r="E277" s="49"/>
      <c r="F277" s="49"/>
      <c r="G277" s="49"/>
      <c r="H277" s="49"/>
      <c r="I277" s="49"/>
      <c r="J277" s="49"/>
      <c r="K277" s="49"/>
      <c r="L277" s="49"/>
      <c r="M277" s="49"/>
      <c r="N277" s="49"/>
    </row>
    <row r="278" spans="1:14" s="58" customFormat="1" hidden="1" x14ac:dyDescent="0.2">
      <c r="A278" s="59"/>
      <c r="B278" s="89" t="s">
        <v>186</v>
      </c>
      <c r="C278" s="53">
        <f>SUM(174*C277)</f>
        <v>0</v>
      </c>
      <c r="D278" s="53">
        <f t="shared" ref="D278:N278" si="82">SUM(174*D277)</f>
        <v>0</v>
      </c>
      <c r="E278" s="53">
        <f t="shared" si="82"/>
        <v>0</v>
      </c>
      <c r="F278" s="53">
        <f t="shared" si="82"/>
        <v>0</v>
      </c>
      <c r="G278" s="53">
        <f t="shared" si="82"/>
        <v>0</v>
      </c>
      <c r="H278" s="53">
        <f t="shared" si="82"/>
        <v>0</v>
      </c>
      <c r="I278" s="53">
        <f t="shared" si="82"/>
        <v>0</v>
      </c>
      <c r="J278" s="53">
        <f t="shared" si="82"/>
        <v>0</v>
      </c>
      <c r="K278" s="53">
        <f t="shared" si="82"/>
        <v>0</v>
      </c>
      <c r="L278" s="53">
        <f t="shared" si="82"/>
        <v>0</v>
      </c>
      <c r="M278" s="53">
        <f t="shared" si="82"/>
        <v>0</v>
      </c>
      <c r="N278" s="53">
        <f t="shared" si="82"/>
        <v>0</v>
      </c>
    </row>
    <row r="279" spans="1:14" s="58" customFormat="1" hidden="1" x14ac:dyDescent="0.2">
      <c r="A279" s="59" t="s">
        <v>193</v>
      </c>
      <c r="B279" s="78" t="s">
        <v>187</v>
      </c>
      <c r="C279" s="66">
        <f>SUM(C278*B280)</f>
        <v>0</v>
      </c>
      <c r="D279" s="66">
        <f t="shared" ref="D279:N279" si="83">SUM(D278*C280)</f>
        <v>0</v>
      </c>
      <c r="E279" s="66">
        <f t="shared" si="83"/>
        <v>0</v>
      </c>
      <c r="F279" s="66">
        <f t="shared" si="83"/>
        <v>0</v>
      </c>
      <c r="G279" s="66">
        <f t="shared" si="83"/>
        <v>0</v>
      </c>
      <c r="H279" s="66">
        <f t="shared" si="83"/>
        <v>0</v>
      </c>
      <c r="I279" s="66">
        <f t="shared" si="83"/>
        <v>0</v>
      </c>
      <c r="J279" s="66">
        <f t="shared" si="83"/>
        <v>0</v>
      </c>
      <c r="K279" s="66">
        <f t="shared" si="83"/>
        <v>0</v>
      </c>
      <c r="L279" s="66">
        <f t="shared" si="83"/>
        <v>0</v>
      </c>
      <c r="M279" s="66">
        <f t="shared" si="83"/>
        <v>0</v>
      </c>
      <c r="N279" s="66">
        <f t="shared" si="83"/>
        <v>0</v>
      </c>
    </row>
    <row r="280" spans="1:14" s="58" customFormat="1" hidden="1" x14ac:dyDescent="0.2">
      <c r="A280" s="59" t="s">
        <v>188</v>
      </c>
      <c r="B280" s="74">
        <v>0</v>
      </c>
      <c r="C280" s="66">
        <f>SUM(C279)*'Data Links'!$B$15</f>
        <v>0</v>
      </c>
      <c r="D280" s="66">
        <f>SUM(D279)*'Data Links'!$B$15</f>
        <v>0</v>
      </c>
      <c r="E280" s="66">
        <f>SUM(E279)*'Data Links'!$B$15</f>
        <v>0</v>
      </c>
      <c r="F280" s="66">
        <f>SUM(F279)*'Data Links'!$B$15</f>
        <v>0</v>
      </c>
      <c r="G280" s="66">
        <f>SUM(G279)*'Data Links'!$B$15</f>
        <v>0</v>
      </c>
      <c r="H280" s="66">
        <f>SUM(H279)*'Data Links'!$B$15</f>
        <v>0</v>
      </c>
      <c r="I280" s="66">
        <f>SUM(I279)*'Data Links'!$B$15</f>
        <v>0</v>
      </c>
      <c r="J280" s="66">
        <f>SUM(J279)*'Data Links'!$B$15</f>
        <v>0</v>
      </c>
      <c r="K280" s="66">
        <f>SUM(K279)*'Data Links'!$B$15</f>
        <v>0</v>
      </c>
      <c r="L280" s="66">
        <f>SUM(L279)*'Data Links'!$B$15</f>
        <v>0</v>
      </c>
      <c r="M280" s="66">
        <f>SUM(M279)*'Data Links'!$B$15</f>
        <v>0</v>
      </c>
      <c r="N280" s="66">
        <f>SUM(N279)*'Data Links'!$B$15</f>
        <v>0</v>
      </c>
    </row>
    <row r="281" spans="1:14" s="58" customFormat="1" hidden="1" x14ac:dyDescent="0.2">
      <c r="A281" s="59" t="s">
        <v>189</v>
      </c>
      <c r="B281" s="60"/>
      <c r="C281" s="66">
        <f>SUM(C279*'Data Links'!$B$13)</f>
        <v>0</v>
      </c>
      <c r="D281" s="66">
        <f>SUM(D279*'Data Links'!$B$13)</f>
        <v>0</v>
      </c>
      <c r="E281" s="66">
        <f>SUM(E279*'Data Links'!$B$13)</f>
        <v>0</v>
      </c>
      <c r="F281" s="66">
        <f>SUM(F279*'Data Links'!$B$13)</f>
        <v>0</v>
      </c>
      <c r="G281" s="66">
        <f>SUM(G279*'Data Links'!$B$13)</f>
        <v>0</v>
      </c>
      <c r="H281" s="66">
        <f>SUM(H279*'Data Links'!$B$13)</f>
        <v>0</v>
      </c>
      <c r="I281" s="66">
        <f>SUM(I279*'Data Links'!$B$13)</f>
        <v>0</v>
      </c>
      <c r="J281" s="66">
        <f>SUM(J279*'Data Links'!$B$13)</f>
        <v>0</v>
      </c>
      <c r="K281" s="66">
        <f>SUM(K279*'Data Links'!$B$13)</f>
        <v>0</v>
      </c>
      <c r="L281" s="66">
        <f>SUM(L279*'Data Links'!$B$13)</f>
        <v>0</v>
      </c>
      <c r="M281" s="66">
        <f>SUM(M279*'Data Links'!$B$13)</f>
        <v>0</v>
      </c>
      <c r="N281" s="66">
        <f>SUM(N279*'Data Links'!$B$13)</f>
        <v>0</v>
      </c>
    </row>
    <row r="282" spans="1:14" s="58" customFormat="1" hidden="1" x14ac:dyDescent="0.2">
      <c r="A282" s="59" t="s">
        <v>190</v>
      </c>
      <c r="B282" s="60"/>
      <c r="C282" s="66">
        <f>SUM(C278*'Data Links'!$B$10)</f>
        <v>0</v>
      </c>
      <c r="D282" s="66">
        <f>SUM(D278*'Data Links'!$B$10)</f>
        <v>0</v>
      </c>
      <c r="E282" s="66">
        <f>SUM(E278*'Data Links'!$B$10)</f>
        <v>0</v>
      </c>
      <c r="F282" s="66">
        <f>SUM(F278*'Data Links'!$B$10)</f>
        <v>0</v>
      </c>
      <c r="G282" s="66">
        <f>SUM(G278*'Data Links'!$B$10)</f>
        <v>0</v>
      </c>
      <c r="H282" s="66">
        <f>SUM(H278*'Data Links'!$B$10)</f>
        <v>0</v>
      </c>
      <c r="I282" s="66">
        <f>SUM(I278*'Data Links'!$B$10)</f>
        <v>0</v>
      </c>
      <c r="J282" s="66">
        <f>SUM(J278*'Data Links'!$B$10)</f>
        <v>0</v>
      </c>
      <c r="K282" s="66">
        <f>SUM(K278*'Data Links'!$B$10)</f>
        <v>0</v>
      </c>
      <c r="L282" s="66">
        <f>SUM(L278*'Data Links'!$B$10)</f>
        <v>0</v>
      </c>
      <c r="M282" s="66">
        <f>SUM(M278*'Data Links'!$B$10)</f>
        <v>0</v>
      </c>
      <c r="N282" s="66">
        <f>SUM(N278*'Data Links'!$B$10)</f>
        <v>0</v>
      </c>
    </row>
    <row r="283" spans="1:14" s="58" customFormat="1" hidden="1" x14ac:dyDescent="0.2">
      <c r="A283" s="59" t="s">
        <v>191</v>
      </c>
      <c r="B283" s="60"/>
      <c r="C283" s="66"/>
      <c r="D283" s="66"/>
      <c r="E283" s="66"/>
      <c r="F283" s="66"/>
      <c r="G283" s="66"/>
      <c r="H283" s="66"/>
      <c r="I283" s="66"/>
      <c r="J283" s="66"/>
      <c r="K283" s="66"/>
      <c r="L283" s="66"/>
      <c r="M283" s="66"/>
      <c r="N283" s="66"/>
    </row>
    <row r="284" spans="1:14" s="58" customFormat="1" hidden="1" x14ac:dyDescent="0.2">
      <c r="A284" s="59" t="s">
        <v>192</v>
      </c>
      <c r="B284" s="60"/>
      <c r="C284" s="66">
        <f>SUM(C279*'Data Links'!$B$17)</f>
        <v>0</v>
      </c>
      <c r="D284" s="66">
        <f>SUM(D279*'Data Links'!$B$17)</f>
        <v>0</v>
      </c>
      <c r="E284" s="66">
        <f>SUM(E279*'Data Links'!$B$17)</f>
        <v>0</v>
      </c>
      <c r="F284" s="66">
        <f>SUM(F279*'Data Links'!$B$17)</f>
        <v>0</v>
      </c>
      <c r="G284" s="66">
        <f>SUM(G279*'Data Links'!$B$17)</f>
        <v>0</v>
      </c>
      <c r="H284" s="66">
        <f>SUM(H279*'Data Links'!$B$17)</f>
        <v>0</v>
      </c>
      <c r="I284" s="66">
        <f>SUM(I279*'Data Links'!$B$17)</f>
        <v>0</v>
      </c>
      <c r="J284" s="66">
        <f>SUM(J279*'Data Links'!$B$17)</f>
        <v>0</v>
      </c>
      <c r="K284" s="66">
        <f>SUM(K279*'Data Links'!$B$17)</f>
        <v>0</v>
      </c>
      <c r="L284" s="66">
        <f>SUM(L279*'Data Links'!$B$17)</f>
        <v>0</v>
      </c>
      <c r="M284" s="66">
        <f>SUM(M279*'Data Links'!$B$17)</f>
        <v>0</v>
      </c>
      <c r="N284" s="66">
        <f>SUM(N279*'Data Links'!$B$17)</f>
        <v>0</v>
      </c>
    </row>
    <row r="285" spans="1:14" s="58" customFormat="1" hidden="1" x14ac:dyDescent="0.2">
      <c r="A285" s="58" t="s">
        <v>144</v>
      </c>
      <c r="B285" s="60"/>
      <c r="C285" s="60">
        <f t="shared" ref="C285:N285" si="84">SUM(C279:C284)</f>
        <v>0</v>
      </c>
      <c r="D285" s="60">
        <f t="shared" si="84"/>
        <v>0</v>
      </c>
      <c r="E285" s="60">
        <f t="shared" si="84"/>
        <v>0</v>
      </c>
      <c r="F285" s="60">
        <f t="shared" si="84"/>
        <v>0</v>
      </c>
      <c r="G285" s="60">
        <f t="shared" si="84"/>
        <v>0</v>
      </c>
      <c r="H285" s="60">
        <f t="shared" si="84"/>
        <v>0</v>
      </c>
      <c r="I285" s="60">
        <f t="shared" si="84"/>
        <v>0</v>
      </c>
      <c r="J285" s="60">
        <f t="shared" si="84"/>
        <v>0</v>
      </c>
      <c r="K285" s="60">
        <f t="shared" si="84"/>
        <v>0</v>
      </c>
      <c r="L285" s="60">
        <f t="shared" si="84"/>
        <v>0</v>
      </c>
      <c r="M285" s="60">
        <f t="shared" si="84"/>
        <v>0</v>
      </c>
      <c r="N285" s="60">
        <f t="shared" si="84"/>
        <v>0</v>
      </c>
    </row>
    <row r="286" spans="1:14" s="58" customFormat="1" hidden="1" x14ac:dyDescent="0.2">
      <c r="B286" s="60"/>
      <c r="C286" s="60"/>
      <c r="D286" s="60"/>
      <c r="E286" s="60"/>
      <c r="F286" s="60"/>
      <c r="G286" s="60"/>
      <c r="H286" s="60"/>
      <c r="I286" s="60"/>
      <c r="J286" s="60"/>
      <c r="K286" s="60"/>
      <c r="L286" s="60"/>
      <c r="M286" s="60"/>
      <c r="N286" s="60"/>
    </row>
    <row r="287" spans="1:14" s="58" customFormat="1" hidden="1" x14ac:dyDescent="0.2">
      <c r="A287" s="59"/>
      <c r="B287" s="60"/>
      <c r="C287" s="89" t="str">
        <f>C274</f>
        <v>January</v>
      </c>
      <c r="D287" s="89" t="str">
        <f t="shared" ref="D287:M287" si="85">D274</f>
        <v>February</v>
      </c>
      <c r="E287" s="89" t="str">
        <f t="shared" si="85"/>
        <v>March</v>
      </c>
      <c r="F287" s="89" t="str">
        <f t="shared" si="85"/>
        <v>April</v>
      </c>
      <c r="G287" s="89" t="str">
        <f t="shared" si="85"/>
        <v>May</v>
      </c>
      <c r="H287" s="89" t="str">
        <f t="shared" si="85"/>
        <v>June</v>
      </c>
      <c r="I287" s="89" t="str">
        <f t="shared" si="85"/>
        <v>July</v>
      </c>
      <c r="J287" s="89" t="str">
        <f t="shared" si="85"/>
        <v>August</v>
      </c>
      <c r="K287" s="89" t="str">
        <f t="shared" si="85"/>
        <v>September</v>
      </c>
      <c r="L287" s="89" t="str">
        <f t="shared" si="85"/>
        <v>October</v>
      </c>
      <c r="M287" s="89" t="str">
        <f t="shared" si="85"/>
        <v>November</v>
      </c>
      <c r="N287" s="89" t="str">
        <f>N274</f>
        <v>December</v>
      </c>
    </row>
    <row r="288" spans="1:14" s="58" customFormat="1" hidden="1" x14ac:dyDescent="0.2">
      <c r="A288" s="59"/>
      <c r="B288" s="60"/>
      <c r="C288" s="72">
        <v>31</v>
      </c>
      <c r="D288" s="72">
        <v>31</v>
      </c>
      <c r="E288" s="72">
        <v>30</v>
      </c>
      <c r="F288" s="72">
        <v>31</v>
      </c>
      <c r="G288" s="72">
        <v>30</v>
      </c>
      <c r="H288" s="72">
        <v>31</v>
      </c>
      <c r="I288" s="72">
        <v>31</v>
      </c>
      <c r="J288" s="72">
        <v>28</v>
      </c>
      <c r="K288" s="72">
        <v>31</v>
      </c>
      <c r="L288" s="72">
        <v>30</v>
      </c>
      <c r="M288" s="72">
        <v>31</v>
      </c>
      <c r="N288" s="71">
        <v>30</v>
      </c>
    </row>
    <row r="289" spans="1:14" s="58" customFormat="1" hidden="1" x14ac:dyDescent="0.2">
      <c r="A289" s="59"/>
      <c r="B289" s="89" t="s">
        <v>185</v>
      </c>
      <c r="C289" s="78">
        <f t="shared" ref="C289:N289" si="86">C276</f>
        <v>1</v>
      </c>
      <c r="D289" s="78">
        <f t="shared" si="86"/>
        <v>0</v>
      </c>
      <c r="E289" s="78">
        <f t="shared" si="86"/>
        <v>1</v>
      </c>
      <c r="F289" s="78">
        <f t="shared" si="86"/>
        <v>0</v>
      </c>
      <c r="G289" s="78">
        <f t="shared" si="86"/>
        <v>2</v>
      </c>
      <c r="H289" s="78">
        <f t="shared" si="86"/>
        <v>0</v>
      </c>
      <c r="I289" s="78">
        <f t="shared" si="86"/>
        <v>2</v>
      </c>
      <c r="J289" s="78">
        <f t="shared" si="86"/>
        <v>1</v>
      </c>
      <c r="K289" s="78">
        <f t="shared" si="86"/>
        <v>0</v>
      </c>
      <c r="L289" s="78">
        <f t="shared" si="86"/>
        <v>0</v>
      </c>
      <c r="M289" s="78">
        <f t="shared" si="86"/>
        <v>1</v>
      </c>
      <c r="N289" s="78">
        <f t="shared" si="86"/>
        <v>0</v>
      </c>
    </row>
    <row r="290" spans="1:14" s="58" customFormat="1" hidden="1" x14ac:dyDescent="0.2">
      <c r="A290" s="59"/>
      <c r="B290" s="89" t="s">
        <v>44</v>
      </c>
      <c r="C290" s="49"/>
      <c r="D290" s="49"/>
      <c r="E290" s="49"/>
      <c r="F290" s="49"/>
      <c r="G290" s="49"/>
      <c r="H290" s="49"/>
      <c r="I290" s="49"/>
      <c r="J290" s="49"/>
      <c r="K290" s="49"/>
      <c r="L290" s="49"/>
      <c r="M290" s="49"/>
      <c r="N290" s="49"/>
    </row>
    <row r="291" spans="1:14" s="58" customFormat="1" hidden="1" x14ac:dyDescent="0.2">
      <c r="A291" s="59"/>
      <c r="B291" s="89" t="s">
        <v>186</v>
      </c>
      <c r="C291" s="53">
        <f>SUM(174*C290)</f>
        <v>0</v>
      </c>
      <c r="D291" s="53">
        <f t="shared" ref="D291:N291" si="87">SUM(174*D290)</f>
        <v>0</v>
      </c>
      <c r="E291" s="53">
        <f t="shared" si="87"/>
        <v>0</v>
      </c>
      <c r="F291" s="53">
        <f t="shared" si="87"/>
        <v>0</v>
      </c>
      <c r="G291" s="53">
        <f t="shared" si="87"/>
        <v>0</v>
      </c>
      <c r="H291" s="53">
        <f t="shared" si="87"/>
        <v>0</v>
      </c>
      <c r="I291" s="53">
        <f t="shared" si="87"/>
        <v>0</v>
      </c>
      <c r="J291" s="53">
        <f t="shared" si="87"/>
        <v>0</v>
      </c>
      <c r="K291" s="53">
        <f t="shared" si="87"/>
        <v>0</v>
      </c>
      <c r="L291" s="53">
        <f t="shared" si="87"/>
        <v>0</v>
      </c>
      <c r="M291" s="53">
        <f t="shared" si="87"/>
        <v>0</v>
      </c>
      <c r="N291" s="53">
        <f t="shared" si="87"/>
        <v>0</v>
      </c>
    </row>
    <row r="292" spans="1:14" s="58" customFormat="1" hidden="1" x14ac:dyDescent="0.2">
      <c r="A292" s="59" t="s">
        <v>193</v>
      </c>
      <c r="B292" s="78" t="s">
        <v>187</v>
      </c>
      <c r="C292" s="66">
        <f>SUM(C291*$B$293)</f>
        <v>0</v>
      </c>
      <c r="D292" s="66">
        <f t="shared" ref="D292:N292" si="88">SUM(D291*$B$293)</f>
        <v>0</v>
      </c>
      <c r="E292" s="66">
        <f t="shared" si="88"/>
        <v>0</v>
      </c>
      <c r="F292" s="66">
        <f t="shared" si="88"/>
        <v>0</v>
      </c>
      <c r="G292" s="66">
        <f t="shared" si="88"/>
        <v>0</v>
      </c>
      <c r="H292" s="66">
        <f t="shared" si="88"/>
        <v>0</v>
      </c>
      <c r="I292" s="66">
        <f t="shared" si="88"/>
        <v>0</v>
      </c>
      <c r="J292" s="66">
        <f t="shared" si="88"/>
        <v>0</v>
      </c>
      <c r="K292" s="66">
        <f t="shared" si="88"/>
        <v>0</v>
      </c>
      <c r="L292" s="66">
        <f t="shared" si="88"/>
        <v>0</v>
      </c>
      <c r="M292" s="66">
        <f t="shared" si="88"/>
        <v>0</v>
      </c>
      <c r="N292" s="66">
        <f t="shared" si="88"/>
        <v>0</v>
      </c>
    </row>
    <row r="293" spans="1:14" s="58" customFormat="1" hidden="1" x14ac:dyDescent="0.2">
      <c r="A293" s="59" t="s">
        <v>188</v>
      </c>
      <c r="B293" s="74">
        <v>0</v>
      </c>
      <c r="C293" s="66">
        <f>SUM(C292)*'Data Links'!$B$15</f>
        <v>0</v>
      </c>
      <c r="D293" s="66">
        <f>SUM(D292)*'Data Links'!$B$15</f>
        <v>0</v>
      </c>
      <c r="E293" s="66">
        <f>SUM(E292)*'Data Links'!$B$15</f>
        <v>0</v>
      </c>
      <c r="F293" s="66">
        <f>SUM(F292)*'Data Links'!$B$15</f>
        <v>0</v>
      </c>
      <c r="G293" s="66">
        <f>SUM(G292)*'Data Links'!$B$15</f>
        <v>0</v>
      </c>
      <c r="H293" s="66">
        <f>SUM(H292)*'Data Links'!$B$15</f>
        <v>0</v>
      </c>
      <c r="I293" s="66">
        <f>SUM(I292)*'Data Links'!$B$15</f>
        <v>0</v>
      </c>
      <c r="J293" s="66">
        <f>SUM(J292)*'Data Links'!$B$15</f>
        <v>0</v>
      </c>
      <c r="K293" s="66">
        <f>SUM(K292)*'Data Links'!$B$15</f>
        <v>0</v>
      </c>
      <c r="L293" s="66">
        <f>SUM(L292)*'Data Links'!$B$15</f>
        <v>0</v>
      </c>
      <c r="M293" s="66">
        <f>SUM(M292)*'Data Links'!$B$15</f>
        <v>0</v>
      </c>
      <c r="N293" s="66">
        <f>SUM(N292)*'Data Links'!$B$15</f>
        <v>0</v>
      </c>
    </row>
    <row r="294" spans="1:14" s="58" customFormat="1" hidden="1" x14ac:dyDescent="0.2">
      <c r="A294" s="59" t="s">
        <v>189</v>
      </c>
      <c r="B294" s="60"/>
      <c r="C294" s="66">
        <f>SUM(C292*'Data Links'!$B$13)</f>
        <v>0</v>
      </c>
      <c r="D294" s="66">
        <f>SUM(D292*'Data Links'!$B$13)</f>
        <v>0</v>
      </c>
      <c r="E294" s="66">
        <f>SUM(E292*'Data Links'!$B$13)</f>
        <v>0</v>
      </c>
      <c r="F294" s="66">
        <f>SUM(F292*'Data Links'!$B$13)</f>
        <v>0</v>
      </c>
      <c r="G294" s="66">
        <f>SUM(G292*'Data Links'!$B$13)</f>
        <v>0</v>
      </c>
      <c r="H294" s="66">
        <f>SUM(H292*'Data Links'!$B$13)</f>
        <v>0</v>
      </c>
      <c r="I294" s="66">
        <f>SUM(I292*'Data Links'!$B$13)</f>
        <v>0</v>
      </c>
      <c r="J294" s="66">
        <f>SUM(J292*'Data Links'!$B$13)</f>
        <v>0</v>
      </c>
      <c r="K294" s="66">
        <f>SUM(K292*'Data Links'!$B$13)</f>
        <v>0</v>
      </c>
      <c r="L294" s="66">
        <f>SUM(L292*'Data Links'!$B$13)</f>
        <v>0</v>
      </c>
      <c r="M294" s="66">
        <f>SUM(M292*'Data Links'!$B$13)</f>
        <v>0</v>
      </c>
      <c r="N294" s="66">
        <f>SUM(N292*'Data Links'!$B$13)</f>
        <v>0</v>
      </c>
    </row>
    <row r="295" spans="1:14" s="58" customFormat="1" hidden="1" x14ac:dyDescent="0.2">
      <c r="A295" s="59" t="s">
        <v>190</v>
      </c>
      <c r="B295" s="60"/>
      <c r="C295" s="66">
        <f>SUM(C291*'Data Links'!$B$10)</f>
        <v>0</v>
      </c>
      <c r="D295" s="66">
        <f>SUM(D291*'Data Links'!$B$10)</f>
        <v>0</v>
      </c>
      <c r="E295" s="66">
        <f>SUM(E291*'Data Links'!$B$10)</f>
        <v>0</v>
      </c>
      <c r="F295" s="66">
        <f>SUM(F291*'Data Links'!$B$10)</f>
        <v>0</v>
      </c>
      <c r="G295" s="66">
        <f>SUM(G291*'Data Links'!$B$10)</f>
        <v>0</v>
      </c>
      <c r="H295" s="66">
        <f>SUM(H291*'Data Links'!$B$10)</f>
        <v>0</v>
      </c>
      <c r="I295" s="66">
        <f>SUM(I291*'Data Links'!$B$10)</f>
        <v>0</v>
      </c>
      <c r="J295" s="66">
        <f>SUM(J291*'Data Links'!$B$10)</f>
        <v>0</v>
      </c>
      <c r="K295" s="66">
        <f>SUM(K291*'Data Links'!$B$10)</f>
        <v>0</v>
      </c>
      <c r="L295" s="66">
        <f>SUM(L291*'Data Links'!$B$10)</f>
        <v>0</v>
      </c>
      <c r="M295" s="66">
        <f>SUM(M291*'Data Links'!$B$10)</f>
        <v>0</v>
      </c>
      <c r="N295" s="66">
        <f>SUM(N291*'Data Links'!$B$10)</f>
        <v>0</v>
      </c>
    </row>
    <row r="296" spans="1:14" s="58" customFormat="1" hidden="1" x14ac:dyDescent="0.2">
      <c r="A296" s="59" t="s">
        <v>191</v>
      </c>
      <c r="B296" s="60"/>
      <c r="C296" s="66"/>
      <c r="D296" s="66"/>
      <c r="E296" s="66"/>
      <c r="F296" s="66"/>
      <c r="G296" s="66"/>
      <c r="H296" s="66"/>
      <c r="I296" s="66"/>
      <c r="J296" s="66"/>
      <c r="K296" s="66"/>
      <c r="L296" s="66"/>
      <c r="M296" s="66"/>
      <c r="N296" s="66"/>
    </row>
    <row r="297" spans="1:14" s="58" customFormat="1" hidden="1" x14ac:dyDescent="0.2">
      <c r="A297" s="59" t="s">
        <v>192</v>
      </c>
      <c r="B297" s="60"/>
      <c r="C297" s="66">
        <f>SUM(C292*'Data Links'!$B$17)</f>
        <v>0</v>
      </c>
      <c r="D297" s="66">
        <f>SUM(D292*'Data Links'!$B$17)</f>
        <v>0</v>
      </c>
      <c r="E297" s="66">
        <f>SUM(E292*'Data Links'!$B$17)</f>
        <v>0</v>
      </c>
      <c r="F297" s="66">
        <f>SUM(F292*'Data Links'!$B$17)</f>
        <v>0</v>
      </c>
      <c r="G297" s="66">
        <f>SUM(G292*'Data Links'!$B$17)</f>
        <v>0</v>
      </c>
      <c r="H297" s="66">
        <f>SUM(H292*'Data Links'!$B$17)</f>
        <v>0</v>
      </c>
      <c r="I297" s="66">
        <f>SUM(I292*'Data Links'!$B$17)</f>
        <v>0</v>
      </c>
      <c r="J297" s="66">
        <f>SUM(J292*'Data Links'!$B$17)</f>
        <v>0</v>
      </c>
      <c r="K297" s="66">
        <f>SUM(K292*'Data Links'!$B$17)</f>
        <v>0</v>
      </c>
      <c r="L297" s="66">
        <f>SUM(L292*'Data Links'!$B$17)</f>
        <v>0</v>
      </c>
      <c r="M297" s="66">
        <f>SUM(M292*'Data Links'!$B$17)</f>
        <v>0</v>
      </c>
      <c r="N297" s="66">
        <f>SUM(N292*'Data Links'!$B$17)</f>
        <v>0</v>
      </c>
    </row>
    <row r="298" spans="1:14" s="58" customFormat="1" hidden="1" x14ac:dyDescent="0.2">
      <c r="A298" s="58" t="s">
        <v>144</v>
      </c>
      <c r="B298" s="60"/>
      <c r="C298" s="60">
        <f t="shared" ref="C298:N298" si="89">SUM(C292:C297)</f>
        <v>0</v>
      </c>
      <c r="D298" s="60">
        <f t="shared" si="89"/>
        <v>0</v>
      </c>
      <c r="E298" s="60">
        <f t="shared" si="89"/>
        <v>0</v>
      </c>
      <c r="F298" s="60">
        <f t="shared" si="89"/>
        <v>0</v>
      </c>
      <c r="G298" s="60">
        <f t="shared" si="89"/>
        <v>0</v>
      </c>
      <c r="H298" s="60">
        <f t="shared" si="89"/>
        <v>0</v>
      </c>
      <c r="I298" s="60">
        <f t="shared" si="89"/>
        <v>0</v>
      </c>
      <c r="J298" s="60">
        <f t="shared" si="89"/>
        <v>0</v>
      </c>
      <c r="K298" s="60">
        <f t="shared" si="89"/>
        <v>0</v>
      </c>
      <c r="L298" s="60">
        <f t="shared" si="89"/>
        <v>0</v>
      </c>
      <c r="M298" s="60">
        <f t="shared" si="89"/>
        <v>0</v>
      </c>
      <c r="N298" s="60">
        <f t="shared" si="89"/>
        <v>0</v>
      </c>
    </row>
    <row r="299" spans="1:14" s="58" customFormat="1" x14ac:dyDescent="0.2">
      <c r="B299" s="60"/>
      <c r="C299" s="60"/>
      <c r="D299" s="60"/>
      <c r="E299" s="60"/>
      <c r="F299" s="60"/>
      <c r="G299" s="60"/>
      <c r="H299" s="60"/>
      <c r="I299" s="60"/>
      <c r="J299" s="60"/>
      <c r="K299" s="60"/>
      <c r="L299" s="60"/>
      <c r="M299" s="60"/>
      <c r="N299" s="60"/>
    </row>
    <row r="300" spans="1:14" s="58" customFormat="1" x14ac:dyDescent="0.2">
      <c r="A300" s="59"/>
      <c r="B300" s="60"/>
      <c r="C300" s="89" t="str">
        <f>C287</f>
        <v>January</v>
      </c>
      <c r="D300" s="89" t="str">
        <f t="shared" ref="D300:M300" si="90">D287</f>
        <v>February</v>
      </c>
      <c r="E300" s="89" t="str">
        <f t="shared" si="90"/>
        <v>March</v>
      </c>
      <c r="F300" s="89" t="str">
        <f t="shared" si="90"/>
        <v>April</v>
      </c>
      <c r="G300" s="89" t="str">
        <f t="shared" si="90"/>
        <v>May</v>
      </c>
      <c r="H300" s="89" t="str">
        <f t="shared" si="90"/>
        <v>June</v>
      </c>
      <c r="I300" s="89" t="str">
        <f t="shared" si="90"/>
        <v>July</v>
      </c>
      <c r="J300" s="89" t="str">
        <f t="shared" si="90"/>
        <v>August</v>
      </c>
      <c r="K300" s="89" t="str">
        <f t="shared" si="90"/>
        <v>September</v>
      </c>
      <c r="L300" s="89" t="str">
        <f t="shared" si="90"/>
        <v>October</v>
      </c>
      <c r="M300" s="89" t="str">
        <f t="shared" si="90"/>
        <v>November</v>
      </c>
      <c r="N300" s="89" t="str">
        <f>N287</f>
        <v>December</v>
      </c>
    </row>
    <row r="301" spans="1:14" s="58" customFormat="1" x14ac:dyDescent="0.2">
      <c r="A301" s="59"/>
      <c r="B301" s="60"/>
      <c r="C301" s="72">
        <v>31</v>
      </c>
      <c r="D301" s="72">
        <v>31</v>
      </c>
      <c r="E301" s="72">
        <v>30</v>
      </c>
      <c r="F301" s="72">
        <v>31</v>
      </c>
      <c r="G301" s="72">
        <v>30</v>
      </c>
      <c r="H301" s="72">
        <v>31</v>
      </c>
      <c r="I301" s="72">
        <v>31</v>
      </c>
      <c r="J301" s="72">
        <v>28</v>
      </c>
      <c r="K301" s="72">
        <v>31</v>
      </c>
      <c r="L301" s="72">
        <v>30</v>
      </c>
      <c r="M301" s="72">
        <v>31</v>
      </c>
      <c r="N301" s="71">
        <v>30</v>
      </c>
    </row>
    <row r="302" spans="1:14" s="58" customFormat="1" x14ac:dyDescent="0.2">
      <c r="A302" s="59"/>
      <c r="B302" s="89" t="s">
        <v>185</v>
      </c>
      <c r="C302" s="78">
        <f t="shared" ref="C302:N302" si="91">C289</f>
        <v>1</v>
      </c>
      <c r="D302" s="78">
        <f t="shared" si="91"/>
        <v>0</v>
      </c>
      <c r="E302" s="78">
        <f t="shared" si="91"/>
        <v>1</v>
      </c>
      <c r="F302" s="78">
        <f t="shared" si="91"/>
        <v>0</v>
      </c>
      <c r="G302" s="78">
        <f t="shared" si="91"/>
        <v>2</v>
      </c>
      <c r="H302" s="78">
        <f t="shared" si="91"/>
        <v>0</v>
      </c>
      <c r="I302" s="78">
        <f t="shared" si="91"/>
        <v>2</v>
      </c>
      <c r="J302" s="78">
        <f t="shared" si="91"/>
        <v>1</v>
      </c>
      <c r="K302" s="78">
        <f t="shared" si="91"/>
        <v>0</v>
      </c>
      <c r="L302" s="78">
        <f t="shared" si="91"/>
        <v>0</v>
      </c>
      <c r="M302" s="78">
        <f t="shared" si="91"/>
        <v>1</v>
      </c>
      <c r="N302" s="78">
        <f t="shared" si="91"/>
        <v>0</v>
      </c>
    </row>
    <row r="303" spans="1:14" s="58" customFormat="1" x14ac:dyDescent="0.2">
      <c r="A303" s="59"/>
      <c r="B303" s="89" t="s">
        <v>44</v>
      </c>
      <c r="C303" s="49">
        <v>1</v>
      </c>
      <c r="D303" s="49">
        <v>1</v>
      </c>
      <c r="E303" s="49">
        <v>1</v>
      </c>
      <c r="F303" s="49">
        <v>1</v>
      </c>
      <c r="G303" s="49">
        <v>1</v>
      </c>
      <c r="H303" s="49">
        <v>1</v>
      </c>
      <c r="I303" s="49">
        <v>1</v>
      </c>
      <c r="J303" s="49">
        <v>1</v>
      </c>
      <c r="K303" s="49">
        <v>1</v>
      </c>
      <c r="L303" s="49">
        <v>1</v>
      </c>
      <c r="M303" s="49">
        <v>1</v>
      </c>
      <c r="N303" s="49">
        <v>1</v>
      </c>
    </row>
    <row r="304" spans="1:14" s="58" customFormat="1" x14ac:dyDescent="0.2">
      <c r="A304" s="59"/>
      <c r="B304" s="89" t="s">
        <v>186</v>
      </c>
      <c r="C304" s="53">
        <f>SUM(174*C303)</f>
        <v>174</v>
      </c>
      <c r="D304" s="53">
        <f t="shared" ref="D304:N304" si="92">SUM(174*D303)</f>
        <v>174</v>
      </c>
      <c r="E304" s="53">
        <f t="shared" si="92"/>
        <v>174</v>
      </c>
      <c r="F304" s="53">
        <f t="shared" si="92"/>
        <v>174</v>
      </c>
      <c r="G304" s="53">
        <f t="shared" si="92"/>
        <v>174</v>
      </c>
      <c r="H304" s="53">
        <f t="shared" si="92"/>
        <v>174</v>
      </c>
      <c r="I304" s="53">
        <f t="shared" si="92"/>
        <v>174</v>
      </c>
      <c r="J304" s="53">
        <f t="shared" si="92"/>
        <v>174</v>
      </c>
      <c r="K304" s="53">
        <f t="shared" si="92"/>
        <v>174</v>
      </c>
      <c r="L304" s="53">
        <f t="shared" si="92"/>
        <v>174</v>
      </c>
      <c r="M304" s="53">
        <f t="shared" si="92"/>
        <v>174</v>
      </c>
      <c r="N304" s="53">
        <f t="shared" si="92"/>
        <v>174</v>
      </c>
    </row>
    <row r="305" spans="1:14" s="58" customFormat="1" x14ac:dyDescent="0.2">
      <c r="A305" s="59" t="s">
        <v>527</v>
      </c>
      <c r="B305" s="78" t="s">
        <v>372</v>
      </c>
      <c r="C305" s="66">
        <f>SUM(C304*$B$306)</f>
        <v>2958</v>
      </c>
      <c r="D305" s="66">
        <f t="shared" ref="D305:N305" si="93">SUM(D304*$B$306)</f>
        <v>2958</v>
      </c>
      <c r="E305" s="66">
        <f t="shared" si="93"/>
        <v>2958</v>
      </c>
      <c r="F305" s="66">
        <f t="shared" si="93"/>
        <v>2958</v>
      </c>
      <c r="G305" s="66">
        <f t="shared" si="93"/>
        <v>2958</v>
      </c>
      <c r="H305" s="66">
        <f t="shared" si="93"/>
        <v>2958</v>
      </c>
      <c r="I305" s="66">
        <f t="shared" si="93"/>
        <v>2958</v>
      </c>
      <c r="J305" s="66">
        <f t="shared" si="93"/>
        <v>2958</v>
      </c>
      <c r="K305" s="66">
        <f t="shared" si="93"/>
        <v>2958</v>
      </c>
      <c r="L305" s="66">
        <f t="shared" si="93"/>
        <v>2958</v>
      </c>
      <c r="M305" s="66">
        <f t="shared" si="93"/>
        <v>2958</v>
      </c>
      <c r="N305" s="66">
        <f t="shared" si="93"/>
        <v>2958</v>
      </c>
    </row>
    <row r="306" spans="1:14" s="58" customFormat="1" x14ac:dyDescent="0.2">
      <c r="A306" s="59" t="s">
        <v>188</v>
      </c>
      <c r="B306" s="74">
        <v>17</v>
      </c>
      <c r="C306" s="66">
        <f>SUM(C305)*'Data Links'!$B$15</f>
        <v>226.28700000000001</v>
      </c>
      <c r="D306" s="66">
        <f>SUM(D305)*'Data Links'!$B$15</f>
        <v>226.28700000000001</v>
      </c>
      <c r="E306" s="66">
        <f>SUM(E305)*'Data Links'!$B$15</f>
        <v>226.28700000000001</v>
      </c>
      <c r="F306" s="66">
        <f>SUM(F305)*'Data Links'!$B$15</f>
        <v>226.28700000000001</v>
      </c>
      <c r="G306" s="66">
        <f>SUM(G305)*'Data Links'!$B$15</f>
        <v>226.28700000000001</v>
      </c>
      <c r="H306" s="66">
        <f>SUM(H305)*'Data Links'!$B$15</f>
        <v>226.28700000000001</v>
      </c>
      <c r="I306" s="66">
        <f>SUM(I305)*'Data Links'!$B$15</f>
        <v>226.28700000000001</v>
      </c>
      <c r="J306" s="66">
        <f>SUM(J305)*'Data Links'!$B$15</f>
        <v>226.28700000000001</v>
      </c>
      <c r="K306" s="66">
        <f>SUM(K305)*'Data Links'!$B$15</f>
        <v>226.28700000000001</v>
      </c>
      <c r="L306" s="66">
        <f>SUM(L305)*'Data Links'!$B$15</f>
        <v>226.28700000000001</v>
      </c>
      <c r="M306" s="66">
        <f>SUM(M305)*'Data Links'!$B$15</f>
        <v>226.28700000000001</v>
      </c>
      <c r="N306" s="66">
        <f>SUM(N305)*'Data Links'!$B$15</f>
        <v>226.28700000000001</v>
      </c>
    </row>
    <row r="307" spans="1:14" s="58" customFormat="1" x14ac:dyDescent="0.2">
      <c r="A307" s="59" t="s">
        <v>189</v>
      </c>
      <c r="B307" s="74">
        <v>15.95</v>
      </c>
      <c r="C307" s="66">
        <f>SUM(C305*'Data Links'!$B$13)</f>
        <v>17.748000000000001</v>
      </c>
      <c r="D307" s="66">
        <f>SUM(D305*'Data Links'!$B$13)</f>
        <v>17.748000000000001</v>
      </c>
      <c r="E307" s="66">
        <f>SUM(E305*'Data Links'!$B$13)</f>
        <v>17.748000000000001</v>
      </c>
      <c r="F307" s="66">
        <f>SUM(F305*'Data Links'!$B$13)</f>
        <v>17.748000000000001</v>
      </c>
      <c r="G307" s="66">
        <f>SUM(G305*'Data Links'!$B$13)</f>
        <v>17.748000000000001</v>
      </c>
      <c r="H307" s="66">
        <f>SUM(H305*'Data Links'!$B$13)</f>
        <v>17.748000000000001</v>
      </c>
      <c r="I307" s="66">
        <f>SUM(I305*'Data Links'!$B$13)</f>
        <v>17.748000000000001</v>
      </c>
      <c r="J307" s="66">
        <f>SUM(J305*'Data Links'!$B$13)</f>
        <v>17.748000000000001</v>
      </c>
      <c r="K307" s="66">
        <f>SUM(K305*'Data Links'!$B$13)</f>
        <v>17.748000000000001</v>
      </c>
      <c r="L307" s="66">
        <f>SUM(L305*'Data Links'!$B$13)</f>
        <v>17.748000000000001</v>
      </c>
      <c r="M307" s="66">
        <f>SUM(M305*'Data Links'!$B$13)</f>
        <v>17.748000000000001</v>
      </c>
      <c r="N307" s="66">
        <f>SUM(N305*'Data Links'!$B$13)</f>
        <v>17.748000000000001</v>
      </c>
    </row>
    <row r="308" spans="1:14" s="58" customFormat="1" x14ac:dyDescent="0.2">
      <c r="A308" s="59" t="s">
        <v>190</v>
      </c>
      <c r="B308" s="60"/>
      <c r="C308" s="66">
        <f>SUM(C304*'Data Links'!$B$10)</f>
        <v>84.433500000000009</v>
      </c>
      <c r="D308" s="66">
        <f>SUM(D304*'Data Links'!$B$10)</f>
        <v>84.433500000000009</v>
      </c>
      <c r="E308" s="66">
        <f>SUM(E304*'Data Links'!$B$10)</f>
        <v>84.433500000000009</v>
      </c>
      <c r="F308" s="66">
        <f>SUM(F304*'Data Links'!$B$10)</f>
        <v>84.433500000000009</v>
      </c>
      <c r="G308" s="66">
        <f>SUM(G304*'Data Links'!$B$10)</f>
        <v>84.433500000000009</v>
      </c>
      <c r="H308" s="66">
        <f>SUM(H304*'Data Links'!$B$10)</f>
        <v>84.433500000000009</v>
      </c>
      <c r="I308" s="66">
        <f>SUM(I304*'Data Links'!$B$10)</f>
        <v>84.433500000000009</v>
      </c>
      <c r="J308" s="66">
        <f>SUM(J304*'Data Links'!$B$10)</f>
        <v>84.433500000000009</v>
      </c>
      <c r="K308" s="66">
        <f>SUM(K304*'Data Links'!$B$10)</f>
        <v>84.433500000000009</v>
      </c>
      <c r="L308" s="66">
        <f>SUM(L304*'Data Links'!$B$10)</f>
        <v>84.433500000000009</v>
      </c>
      <c r="M308" s="66">
        <f>SUM(M304*'Data Links'!$B$10)</f>
        <v>84.433500000000009</v>
      </c>
      <c r="N308" s="66">
        <f>SUM(N304*'Data Links'!$B$10)</f>
        <v>84.433500000000009</v>
      </c>
    </row>
    <row r="309" spans="1:14" s="58" customFormat="1" x14ac:dyDescent="0.2">
      <c r="A309" s="59" t="s">
        <v>191</v>
      </c>
      <c r="B309" s="60"/>
      <c r="C309" s="66">
        <f>SUM('All Employees'!$P$30)</f>
        <v>396.6078</v>
      </c>
      <c r="D309" s="66">
        <f>SUM('All Employees'!$P$30)</f>
        <v>396.6078</v>
      </c>
      <c r="E309" s="66">
        <f>SUM('All Employees'!$P$30)</f>
        <v>396.6078</v>
      </c>
      <c r="F309" s="66">
        <f>SUM('All Employees'!$P$30)</f>
        <v>396.6078</v>
      </c>
      <c r="G309" s="66">
        <f>SUM('All Employees'!$P$30)</f>
        <v>396.6078</v>
      </c>
      <c r="H309" s="66">
        <f>SUM('All Employees'!$P$30)</f>
        <v>396.6078</v>
      </c>
      <c r="I309" s="66">
        <f>SUM('All Employees'!$P$30)</f>
        <v>396.6078</v>
      </c>
      <c r="J309" s="66">
        <f>SUM('All Employees'!$P$30)</f>
        <v>396.6078</v>
      </c>
      <c r="K309" s="66">
        <f>SUM('All Employees'!$P$30)</f>
        <v>396.6078</v>
      </c>
      <c r="L309" s="66">
        <f>SUM('All Employees'!$P$30)</f>
        <v>396.6078</v>
      </c>
      <c r="M309" s="66">
        <f>SUM('All Employees'!$P$30)</f>
        <v>396.6078</v>
      </c>
      <c r="N309" s="66">
        <f>SUM('All Employees'!$P$30)</f>
        <v>396.6078</v>
      </c>
    </row>
    <row r="310" spans="1:14" s="58" customFormat="1" x14ac:dyDescent="0.2">
      <c r="A310" s="59" t="s">
        <v>192</v>
      </c>
      <c r="B310" s="60"/>
      <c r="C310" s="66">
        <f>SUM(C305*'Data Links'!$B$17)</f>
        <v>88.74</v>
      </c>
      <c r="D310" s="66">
        <f>SUM(D305*'Data Links'!$B$17)</f>
        <v>88.74</v>
      </c>
      <c r="E310" s="66">
        <f>SUM(E305*'Data Links'!$B$17)</f>
        <v>88.74</v>
      </c>
      <c r="F310" s="66">
        <f>SUM(F305*'Data Links'!$B$17)</f>
        <v>88.74</v>
      </c>
      <c r="G310" s="66">
        <f>SUM(G305*'Data Links'!$B$17)</f>
        <v>88.74</v>
      </c>
      <c r="H310" s="66">
        <f>SUM(H305*'Data Links'!$B$17)</f>
        <v>88.74</v>
      </c>
      <c r="I310" s="66">
        <f>SUM(I305*'Data Links'!$B$17)</f>
        <v>88.74</v>
      </c>
      <c r="J310" s="66">
        <f>SUM(J305*'Data Links'!$B$17)</f>
        <v>88.74</v>
      </c>
      <c r="K310" s="66">
        <f>SUM(K305*'Data Links'!$B$17)</f>
        <v>88.74</v>
      </c>
      <c r="L310" s="66">
        <f>SUM(L305*'Data Links'!$B$17)</f>
        <v>88.74</v>
      </c>
      <c r="M310" s="66">
        <f>SUM(M305*'Data Links'!$B$17)</f>
        <v>88.74</v>
      </c>
      <c r="N310" s="66">
        <f>SUM(N305*'Data Links'!$B$17)</f>
        <v>88.74</v>
      </c>
    </row>
    <row r="311" spans="1:14" s="58" customFormat="1" x14ac:dyDescent="0.2">
      <c r="A311" s="58" t="s">
        <v>144</v>
      </c>
      <c r="B311" s="60"/>
      <c r="C311" s="60">
        <f t="shared" ref="C311:N311" si="94">SUM(C305:C310)</f>
        <v>3771.8162999999995</v>
      </c>
      <c r="D311" s="60">
        <f t="shared" si="94"/>
        <v>3771.8162999999995</v>
      </c>
      <c r="E311" s="60">
        <f t="shared" si="94"/>
        <v>3771.8162999999995</v>
      </c>
      <c r="F311" s="60">
        <f t="shared" si="94"/>
        <v>3771.8162999999995</v>
      </c>
      <c r="G311" s="60">
        <f t="shared" si="94"/>
        <v>3771.8162999999995</v>
      </c>
      <c r="H311" s="60">
        <f t="shared" si="94"/>
        <v>3771.8162999999995</v>
      </c>
      <c r="I311" s="60">
        <f t="shared" si="94"/>
        <v>3771.8162999999995</v>
      </c>
      <c r="J311" s="60">
        <f t="shared" si="94"/>
        <v>3771.8162999999995</v>
      </c>
      <c r="K311" s="60">
        <f t="shared" si="94"/>
        <v>3771.8162999999995</v>
      </c>
      <c r="L311" s="60">
        <f t="shared" si="94"/>
        <v>3771.8162999999995</v>
      </c>
      <c r="M311" s="60">
        <f t="shared" si="94"/>
        <v>3771.8162999999995</v>
      </c>
      <c r="N311" s="60">
        <f t="shared" si="94"/>
        <v>3771.8162999999995</v>
      </c>
    </row>
    <row r="312" spans="1:14" s="58" customFormat="1" x14ac:dyDescent="0.2">
      <c r="B312" s="60"/>
      <c r="C312" s="60"/>
      <c r="D312" s="60"/>
      <c r="E312" s="60"/>
      <c r="F312" s="60"/>
      <c r="G312" s="60"/>
      <c r="H312" s="60"/>
      <c r="I312" s="60"/>
      <c r="J312" s="60"/>
      <c r="K312" s="60"/>
      <c r="L312" s="60"/>
      <c r="M312" s="60"/>
      <c r="N312" s="60"/>
    </row>
    <row r="313" spans="1:14" s="58" customFormat="1" x14ac:dyDescent="0.2">
      <c r="A313" s="59"/>
      <c r="B313" s="60"/>
      <c r="C313" s="89" t="str">
        <f>C300</f>
        <v>January</v>
      </c>
      <c r="D313" s="89" t="str">
        <f t="shared" ref="D313:M313" si="95">D300</f>
        <v>February</v>
      </c>
      <c r="E313" s="89" t="str">
        <f t="shared" si="95"/>
        <v>March</v>
      </c>
      <c r="F313" s="89" t="str">
        <f t="shared" si="95"/>
        <v>April</v>
      </c>
      <c r="G313" s="89" t="str">
        <f t="shared" si="95"/>
        <v>May</v>
      </c>
      <c r="H313" s="89" t="str">
        <f t="shared" si="95"/>
        <v>June</v>
      </c>
      <c r="I313" s="89" t="str">
        <f t="shared" si="95"/>
        <v>July</v>
      </c>
      <c r="J313" s="89" t="str">
        <f t="shared" si="95"/>
        <v>August</v>
      </c>
      <c r="K313" s="89" t="str">
        <f t="shared" si="95"/>
        <v>September</v>
      </c>
      <c r="L313" s="89" t="str">
        <f t="shared" si="95"/>
        <v>October</v>
      </c>
      <c r="M313" s="89" t="str">
        <f t="shared" si="95"/>
        <v>November</v>
      </c>
      <c r="N313" s="89" t="str">
        <f>N300</f>
        <v>December</v>
      </c>
    </row>
    <row r="314" spans="1:14" s="58" customFormat="1" x14ac:dyDescent="0.2">
      <c r="A314" s="59"/>
      <c r="B314" s="60"/>
      <c r="C314" s="72">
        <v>31</v>
      </c>
      <c r="D314" s="72">
        <v>31</v>
      </c>
      <c r="E314" s="72">
        <v>30</v>
      </c>
      <c r="F314" s="72">
        <v>31</v>
      </c>
      <c r="G314" s="72">
        <v>30</v>
      </c>
      <c r="H314" s="72">
        <v>31</v>
      </c>
      <c r="I314" s="72">
        <v>31</v>
      </c>
      <c r="J314" s="72">
        <v>28</v>
      </c>
      <c r="K314" s="72">
        <v>31</v>
      </c>
      <c r="L314" s="72">
        <v>30</v>
      </c>
      <c r="M314" s="72">
        <v>31</v>
      </c>
      <c r="N314" s="71">
        <v>30</v>
      </c>
    </row>
    <row r="315" spans="1:14" s="58" customFormat="1" x14ac:dyDescent="0.2">
      <c r="A315" s="59"/>
      <c r="B315" s="89" t="s">
        <v>185</v>
      </c>
      <c r="C315" s="78">
        <f t="shared" ref="C315:N315" si="96">C302</f>
        <v>1</v>
      </c>
      <c r="D315" s="78">
        <f t="shared" si="96"/>
        <v>0</v>
      </c>
      <c r="E315" s="78">
        <f t="shared" si="96"/>
        <v>1</v>
      </c>
      <c r="F315" s="78">
        <f t="shared" si="96"/>
        <v>0</v>
      </c>
      <c r="G315" s="78">
        <f t="shared" si="96"/>
        <v>2</v>
      </c>
      <c r="H315" s="78">
        <f t="shared" si="96"/>
        <v>0</v>
      </c>
      <c r="I315" s="78">
        <f t="shared" si="96"/>
        <v>2</v>
      </c>
      <c r="J315" s="78">
        <f t="shared" si="96"/>
        <v>1</v>
      </c>
      <c r="K315" s="78">
        <f t="shared" si="96"/>
        <v>0</v>
      </c>
      <c r="L315" s="78">
        <f t="shared" si="96"/>
        <v>0</v>
      </c>
      <c r="M315" s="78">
        <f t="shared" si="96"/>
        <v>1</v>
      </c>
      <c r="N315" s="78">
        <f t="shared" si="96"/>
        <v>0</v>
      </c>
    </row>
    <row r="316" spans="1:14" s="58" customFormat="1" x14ac:dyDescent="0.2">
      <c r="A316" s="59"/>
      <c r="B316" s="89" t="s">
        <v>44</v>
      </c>
      <c r="C316" s="49">
        <v>0.5</v>
      </c>
      <c r="D316" s="49">
        <v>0.5</v>
      </c>
      <c r="E316" s="49">
        <v>0.5</v>
      </c>
      <c r="F316" s="49">
        <v>0.5</v>
      </c>
      <c r="G316" s="49">
        <v>0.5</v>
      </c>
      <c r="H316" s="49">
        <v>0.5</v>
      </c>
      <c r="I316" s="49">
        <v>0.5</v>
      </c>
      <c r="J316" s="49">
        <v>0.5</v>
      </c>
      <c r="K316" s="49">
        <v>0.5</v>
      </c>
      <c r="L316" s="49">
        <v>0.5</v>
      </c>
      <c r="M316" s="49">
        <v>0.5</v>
      </c>
      <c r="N316" s="49">
        <v>0.5</v>
      </c>
    </row>
    <row r="317" spans="1:14" s="58" customFormat="1" x14ac:dyDescent="0.2">
      <c r="A317" s="59"/>
      <c r="B317" s="89" t="s">
        <v>186</v>
      </c>
      <c r="C317" s="53">
        <f>SUM(174*C316)</f>
        <v>87</v>
      </c>
      <c r="D317" s="53">
        <f t="shared" ref="D317:N317" si="97">SUM(174*D316)</f>
        <v>87</v>
      </c>
      <c r="E317" s="53">
        <f t="shared" si="97"/>
        <v>87</v>
      </c>
      <c r="F317" s="53">
        <f t="shared" si="97"/>
        <v>87</v>
      </c>
      <c r="G317" s="53">
        <f t="shared" si="97"/>
        <v>87</v>
      </c>
      <c r="H317" s="53">
        <f t="shared" si="97"/>
        <v>87</v>
      </c>
      <c r="I317" s="53">
        <f t="shared" si="97"/>
        <v>87</v>
      </c>
      <c r="J317" s="53">
        <f t="shared" si="97"/>
        <v>87</v>
      </c>
      <c r="K317" s="53">
        <f t="shared" si="97"/>
        <v>87</v>
      </c>
      <c r="L317" s="53">
        <f t="shared" si="97"/>
        <v>87</v>
      </c>
      <c r="M317" s="53">
        <f t="shared" si="97"/>
        <v>87</v>
      </c>
      <c r="N317" s="53">
        <f t="shared" si="97"/>
        <v>87</v>
      </c>
    </row>
    <row r="318" spans="1:14" s="58" customFormat="1" x14ac:dyDescent="0.2">
      <c r="A318" s="59" t="s">
        <v>373</v>
      </c>
      <c r="B318" s="78" t="s">
        <v>344</v>
      </c>
      <c r="C318" s="66">
        <f>SUM(C317*$B$319)</f>
        <v>1435.5</v>
      </c>
      <c r="D318" s="66">
        <f t="shared" ref="D318:N318" si="98">SUM(D317*$B$319)</f>
        <v>1435.5</v>
      </c>
      <c r="E318" s="66">
        <f t="shared" si="98"/>
        <v>1435.5</v>
      </c>
      <c r="F318" s="66">
        <f t="shared" si="98"/>
        <v>1435.5</v>
      </c>
      <c r="G318" s="66">
        <f t="shared" si="98"/>
        <v>1435.5</v>
      </c>
      <c r="H318" s="66">
        <f t="shared" si="98"/>
        <v>1435.5</v>
      </c>
      <c r="I318" s="66">
        <f t="shared" si="98"/>
        <v>1435.5</v>
      </c>
      <c r="J318" s="66">
        <f t="shared" si="98"/>
        <v>1435.5</v>
      </c>
      <c r="K318" s="66">
        <f t="shared" si="98"/>
        <v>1435.5</v>
      </c>
      <c r="L318" s="66">
        <f t="shared" si="98"/>
        <v>1435.5</v>
      </c>
      <c r="M318" s="66">
        <f t="shared" si="98"/>
        <v>1435.5</v>
      </c>
      <c r="N318" s="66">
        <f t="shared" si="98"/>
        <v>1435.5</v>
      </c>
    </row>
    <row r="319" spans="1:14" s="58" customFormat="1" x14ac:dyDescent="0.2">
      <c r="A319" s="59" t="s">
        <v>188</v>
      </c>
      <c r="B319" s="74">
        <v>16.5</v>
      </c>
      <c r="C319" s="66">
        <f>SUM(C318)*'Data Links'!$B$15</f>
        <v>109.81574999999999</v>
      </c>
      <c r="D319" s="66">
        <f>SUM(D318)*'Data Links'!$B$15</f>
        <v>109.81574999999999</v>
      </c>
      <c r="E319" s="66">
        <f>SUM(E318)*'Data Links'!$B$15</f>
        <v>109.81574999999999</v>
      </c>
      <c r="F319" s="66">
        <f>SUM(F318)*'Data Links'!$B$15</f>
        <v>109.81574999999999</v>
      </c>
      <c r="G319" s="66">
        <f>SUM(G318)*'Data Links'!$B$15</f>
        <v>109.81574999999999</v>
      </c>
      <c r="H319" s="66">
        <f>SUM(H318)*'Data Links'!$B$15</f>
        <v>109.81574999999999</v>
      </c>
      <c r="I319" s="66">
        <f>SUM(I318)*'Data Links'!$B$15</f>
        <v>109.81574999999999</v>
      </c>
      <c r="J319" s="66">
        <f>SUM(J318)*'Data Links'!$B$15</f>
        <v>109.81574999999999</v>
      </c>
      <c r="K319" s="66">
        <f>SUM(K318)*'Data Links'!$B$15</f>
        <v>109.81574999999999</v>
      </c>
      <c r="L319" s="66">
        <f>SUM(L318)*'Data Links'!$B$15</f>
        <v>109.81574999999999</v>
      </c>
      <c r="M319" s="66">
        <f>SUM(M318)*'Data Links'!$B$15</f>
        <v>109.81574999999999</v>
      </c>
      <c r="N319" s="66">
        <f>SUM(N318)*'Data Links'!$B$15</f>
        <v>109.81574999999999</v>
      </c>
    </row>
    <row r="320" spans="1:14" s="58" customFormat="1" x14ac:dyDescent="0.2">
      <c r="A320" s="59" t="s">
        <v>189</v>
      </c>
      <c r="B320" s="74">
        <v>15.3</v>
      </c>
      <c r="C320" s="66">
        <f>SUM(C318*'Data Links'!$B$13)</f>
        <v>8.6129999999999995</v>
      </c>
      <c r="D320" s="66">
        <f>SUM(D318*'Data Links'!$B$13)</f>
        <v>8.6129999999999995</v>
      </c>
      <c r="E320" s="66">
        <f>SUM(E318*'Data Links'!$B$13)</f>
        <v>8.6129999999999995</v>
      </c>
      <c r="F320" s="66">
        <f>SUM(F318*'Data Links'!$B$13)</f>
        <v>8.6129999999999995</v>
      </c>
      <c r="G320" s="66">
        <f>SUM(G318*'Data Links'!$B$13)</f>
        <v>8.6129999999999995</v>
      </c>
      <c r="H320" s="66">
        <f>SUM(H318*'Data Links'!$B$13)</f>
        <v>8.6129999999999995</v>
      </c>
      <c r="I320" s="66">
        <f>SUM(I318*'Data Links'!$B$13)</f>
        <v>8.6129999999999995</v>
      </c>
      <c r="J320" s="66">
        <f>SUM(J318*'Data Links'!$B$13)</f>
        <v>8.6129999999999995</v>
      </c>
      <c r="K320" s="66">
        <f>SUM(K318*'Data Links'!$B$13)</f>
        <v>8.6129999999999995</v>
      </c>
      <c r="L320" s="66">
        <f>SUM(L318*'Data Links'!$B$13)</f>
        <v>8.6129999999999995</v>
      </c>
      <c r="M320" s="66">
        <f>SUM(M318*'Data Links'!$B$13)</f>
        <v>8.6129999999999995</v>
      </c>
      <c r="N320" s="66">
        <f>SUM(N318*'Data Links'!$B$13)</f>
        <v>8.6129999999999995</v>
      </c>
    </row>
    <row r="321" spans="1:15" s="58" customFormat="1" x14ac:dyDescent="0.2">
      <c r="A321" s="59" t="s">
        <v>190</v>
      </c>
      <c r="B321" s="60"/>
      <c r="C321" s="66">
        <f>SUM(C317*'Data Links'!$B$10)</f>
        <v>42.216750000000005</v>
      </c>
      <c r="D321" s="66">
        <f>SUM(D317*'Data Links'!$B$10)</f>
        <v>42.216750000000005</v>
      </c>
      <c r="E321" s="66">
        <f>SUM(E317*'Data Links'!$B$10)</f>
        <v>42.216750000000005</v>
      </c>
      <c r="F321" s="66">
        <f>SUM(F317*'Data Links'!$B$10)</f>
        <v>42.216750000000005</v>
      </c>
      <c r="G321" s="66">
        <f>SUM(G317*'Data Links'!$B$10)</f>
        <v>42.216750000000005</v>
      </c>
      <c r="H321" s="66">
        <f>SUM(H317*'Data Links'!$B$10)</f>
        <v>42.216750000000005</v>
      </c>
      <c r="I321" s="66">
        <f>SUM(I317*'Data Links'!$B$10)</f>
        <v>42.216750000000005</v>
      </c>
      <c r="J321" s="66">
        <f>SUM(J317*'Data Links'!$B$10)</f>
        <v>42.216750000000005</v>
      </c>
      <c r="K321" s="66">
        <f>SUM(K317*'Data Links'!$B$10)</f>
        <v>42.216750000000005</v>
      </c>
      <c r="L321" s="66">
        <f>SUM(L317*'Data Links'!$B$10)</f>
        <v>42.216750000000005</v>
      </c>
      <c r="M321" s="66">
        <f>SUM(M317*'Data Links'!$B$10)</f>
        <v>42.216750000000005</v>
      </c>
      <c r="N321" s="66">
        <f>SUM(N317*'Data Links'!$B$10)</f>
        <v>42.216750000000005</v>
      </c>
    </row>
    <row r="322" spans="1:15" s="58" customFormat="1" x14ac:dyDescent="0.2">
      <c r="A322" s="59" t="s">
        <v>191</v>
      </c>
      <c r="B322" s="60"/>
      <c r="C322" s="66"/>
      <c r="D322" s="66"/>
      <c r="E322" s="66"/>
      <c r="F322" s="66"/>
      <c r="G322" s="66"/>
      <c r="H322" s="66"/>
      <c r="I322" s="66"/>
      <c r="J322" s="66"/>
      <c r="K322" s="66"/>
      <c r="L322" s="66"/>
      <c r="M322" s="66"/>
      <c r="N322" s="66"/>
    </row>
    <row r="323" spans="1:15" s="58" customFormat="1" x14ac:dyDescent="0.2">
      <c r="A323" s="59" t="s">
        <v>192</v>
      </c>
      <c r="B323" s="60"/>
      <c r="C323" s="66"/>
      <c r="D323" s="66"/>
      <c r="E323" s="66"/>
      <c r="F323" s="66"/>
      <c r="G323" s="66"/>
      <c r="H323" s="66"/>
      <c r="I323" s="66"/>
      <c r="J323" s="66"/>
      <c r="K323" s="66"/>
      <c r="L323" s="66"/>
      <c r="M323" s="66"/>
      <c r="N323" s="66"/>
    </row>
    <row r="324" spans="1:15" s="58" customFormat="1" x14ac:dyDescent="0.2">
      <c r="A324" s="58" t="s">
        <v>144</v>
      </c>
      <c r="B324" s="60"/>
      <c r="C324" s="60">
        <f t="shared" ref="C324:N324" si="99">SUM(C318:C323)</f>
        <v>1596.1455000000001</v>
      </c>
      <c r="D324" s="60">
        <f t="shared" si="99"/>
        <v>1596.1455000000001</v>
      </c>
      <c r="E324" s="60">
        <f t="shared" si="99"/>
        <v>1596.1455000000001</v>
      </c>
      <c r="F324" s="60">
        <f t="shared" si="99"/>
        <v>1596.1455000000001</v>
      </c>
      <c r="G324" s="60">
        <f t="shared" si="99"/>
        <v>1596.1455000000001</v>
      </c>
      <c r="H324" s="60">
        <f t="shared" si="99"/>
        <v>1596.1455000000001</v>
      </c>
      <c r="I324" s="60">
        <f t="shared" si="99"/>
        <v>1596.1455000000001</v>
      </c>
      <c r="J324" s="60">
        <f t="shared" si="99"/>
        <v>1596.1455000000001</v>
      </c>
      <c r="K324" s="60">
        <f t="shared" si="99"/>
        <v>1596.1455000000001</v>
      </c>
      <c r="L324" s="60">
        <f t="shared" si="99"/>
        <v>1596.1455000000001</v>
      </c>
      <c r="M324" s="60">
        <f t="shared" si="99"/>
        <v>1596.1455000000001</v>
      </c>
      <c r="N324" s="60">
        <f t="shared" si="99"/>
        <v>1596.1455000000001</v>
      </c>
    </row>
    <row r="325" spans="1:15" s="58" customFormat="1" x14ac:dyDescent="0.2">
      <c r="B325" s="60"/>
      <c r="C325" s="60"/>
      <c r="D325" s="60"/>
      <c r="E325" s="60"/>
      <c r="F325" s="60"/>
      <c r="G325" s="60"/>
      <c r="H325" s="60"/>
      <c r="I325" s="60"/>
      <c r="J325" s="60"/>
      <c r="K325" s="60"/>
      <c r="L325" s="60"/>
      <c r="M325" s="60"/>
      <c r="N325" s="60"/>
    </row>
    <row r="326" spans="1:15" s="58" customFormat="1" hidden="1" x14ac:dyDescent="0.2">
      <c r="A326" s="59"/>
      <c r="B326" s="60"/>
      <c r="C326" s="89" t="str">
        <f>C313</f>
        <v>January</v>
      </c>
      <c r="D326" s="89" t="str">
        <f t="shared" ref="D326:M326" si="100">D313</f>
        <v>February</v>
      </c>
      <c r="E326" s="89" t="str">
        <f t="shared" si="100"/>
        <v>March</v>
      </c>
      <c r="F326" s="89" t="str">
        <f t="shared" si="100"/>
        <v>April</v>
      </c>
      <c r="G326" s="89" t="str">
        <f t="shared" si="100"/>
        <v>May</v>
      </c>
      <c r="H326" s="89" t="str">
        <f t="shared" si="100"/>
        <v>June</v>
      </c>
      <c r="I326" s="89" t="str">
        <f t="shared" si="100"/>
        <v>July</v>
      </c>
      <c r="J326" s="89" t="str">
        <f t="shared" si="100"/>
        <v>August</v>
      </c>
      <c r="K326" s="89" t="str">
        <f t="shared" si="100"/>
        <v>September</v>
      </c>
      <c r="L326" s="89" t="str">
        <f t="shared" si="100"/>
        <v>October</v>
      </c>
      <c r="M326" s="89" t="str">
        <f t="shared" si="100"/>
        <v>November</v>
      </c>
      <c r="N326" s="89" t="str">
        <f>N313</f>
        <v>December</v>
      </c>
    </row>
    <row r="327" spans="1:15" s="58" customFormat="1" hidden="1" x14ac:dyDescent="0.2">
      <c r="A327" s="59"/>
      <c r="B327" s="60"/>
      <c r="C327" s="72">
        <v>31</v>
      </c>
      <c r="D327" s="72">
        <v>31</v>
      </c>
      <c r="E327" s="72">
        <v>30</v>
      </c>
      <c r="F327" s="72">
        <v>31</v>
      </c>
      <c r="G327" s="72">
        <v>30</v>
      </c>
      <c r="H327" s="72">
        <v>31</v>
      </c>
      <c r="I327" s="72">
        <v>31</v>
      </c>
      <c r="J327" s="72">
        <v>28</v>
      </c>
      <c r="K327" s="72">
        <v>31</v>
      </c>
      <c r="L327" s="72">
        <v>30</v>
      </c>
      <c r="M327" s="72">
        <v>31</v>
      </c>
      <c r="N327" s="71">
        <v>30</v>
      </c>
    </row>
    <row r="328" spans="1:15" s="58" customFormat="1" hidden="1" x14ac:dyDescent="0.2">
      <c r="A328" s="59"/>
      <c r="B328" s="89" t="s">
        <v>185</v>
      </c>
      <c r="C328" s="78">
        <f t="shared" ref="C328:N328" si="101">C315</f>
        <v>1</v>
      </c>
      <c r="D328" s="78">
        <f t="shared" si="101"/>
        <v>0</v>
      </c>
      <c r="E328" s="78">
        <f t="shared" si="101"/>
        <v>1</v>
      </c>
      <c r="F328" s="78">
        <f t="shared" si="101"/>
        <v>0</v>
      </c>
      <c r="G328" s="78">
        <f t="shared" si="101"/>
        <v>2</v>
      </c>
      <c r="H328" s="78">
        <f t="shared" si="101"/>
        <v>0</v>
      </c>
      <c r="I328" s="78">
        <f t="shared" si="101"/>
        <v>2</v>
      </c>
      <c r="J328" s="78">
        <f t="shared" si="101"/>
        <v>1</v>
      </c>
      <c r="K328" s="78">
        <f t="shared" si="101"/>
        <v>0</v>
      </c>
      <c r="L328" s="78">
        <f t="shared" si="101"/>
        <v>0</v>
      </c>
      <c r="M328" s="78">
        <f t="shared" si="101"/>
        <v>1</v>
      </c>
      <c r="N328" s="78">
        <f t="shared" si="101"/>
        <v>0</v>
      </c>
    </row>
    <row r="329" spans="1:15" s="58" customFormat="1" hidden="1" x14ac:dyDescent="0.2">
      <c r="A329" s="59"/>
      <c r="B329" s="89" t="s">
        <v>44</v>
      </c>
      <c r="C329" s="49"/>
      <c r="D329" s="49"/>
      <c r="E329" s="49"/>
      <c r="F329" s="49"/>
      <c r="G329" s="49"/>
      <c r="H329" s="49"/>
      <c r="I329" s="49"/>
      <c r="J329" s="49"/>
      <c r="K329" s="49"/>
      <c r="L329" s="49"/>
      <c r="M329" s="49"/>
      <c r="N329" s="49"/>
      <c r="O329" s="49"/>
    </row>
    <row r="330" spans="1:15" s="58" customFormat="1" hidden="1" x14ac:dyDescent="0.2">
      <c r="A330" s="59"/>
      <c r="B330" s="89" t="s">
        <v>186</v>
      </c>
      <c r="C330" s="53">
        <f>SUM(174*C329)</f>
        <v>0</v>
      </c>
      <c r="D330" s="53">
        <f t="shared" ref="D330:N330" si="102">SUM(174*D329)</f>
        <v>0</v>
      </c>
      <c r="E330" s="53">
        <f t="shared" si="102"/>
        <v>0</v>
      </c>
      <c r="F330" s="53">
        <f t="shared" si="102"/>
        <v>0</v>
      </c>
      <c r="G330" s="53">
        <f t="shared" si="102"/>
        <v>0</v>
      </c>
      <c r="H330" s="53">
        <f t="shared" si="102"/>
        <v>0</v>
      </c>
      <c r="I330" s="53">
        <f t="shared" si="102"/>
        <v>0</v>
      </c>
      <c r="J330" s="53">
        <f t="shared" si="102"/>
        <v>0</v>
      </c>
      <c r="K330" s="53">
        <f t="shared" si="102"/>
        <v>0</v>
      </c>
      <c r="L330" s="53">
        <f t="shared" si="102"/>
        <v>0</v>
      </c>
      <c r="M330" s="53">
        <f t="shared" si="102"/>
        <v>0</v>
      </c>
      <c r="N330" s="53">
        <f t="shared" si="102"/>
        <v>0</v>
      </c>
    </row>
    <row r="331" spans="1:15" s="58" customFormat="1" hidden="1" x14ac:dyDescent="0.2">
      <c r="A331" s="59" t="s">
        <v>193</v>
      </c>
      <c r="B331" s="78" t="s">
        <v>187</v>
      </c>
      <c r="C331" s="66">
        <f>SUM(C330*$B$332)</f>
        <v>0</v>
      </c>
      <c r="D331" s="66">
        <f t="shared" ref="D331:N331" si="103">SUM(D330*$B$332)</f>
        <v>0</v>
      </c>
      <c r="E331" s="66">
        <f t="shared" si="103"/>
        <v>0</v>
      </c>
      <c r="F331" s="66">
        <f t="shared" si="103"/>
        <v>0</v>
      </c>
      <c r="G331" s="66">
        <f t="shared" si="103"/>
        <v>0</v>
      </c>
      <c r="H331" s="66">
        <f t="shared" si="103"/>
        <v>0</v>
      </c>
      <c r="I331" s="66">
        <f t="shared" si="103"/>
        <v>0</v>
      </c>
      <c r="J331" s="66">
        <f t="shared" si="103"/>
        <v>0</v>
      </c>
      <c r="K331" s="66">
        <f t="shared" si="103"/>
        <v>0</v>
      </c>
      <c r="L331" s="66">
        <f t="shared" si="103"/>
        <v>0</v>
      </c>
      <c r="M331" s="66">
        <f t="shared" si="103"/>
        <v>0</v>
      </c>
      <c r="N331" s="66">
        <f t="shared" si="103"/>
        <v>0</v>
      </c>
    </row>
    <row r="332" spans="1:15" s="58" customFormat="1" hidden="1" x14ac:dyDescent="0.2">
      <c r="A332" s="59" t="s">
        <v>188</v>
      </c>
      <c r="B332" s="74">
        <v>0</v>
      </c>
      <c r="C332" s="66">
        <f>SUM(C331)*'Data Links'!$B$15</f>
        <v>0</v>
      </c>
      <c r="D332" s="66">
        <f>SUM(D331)*'Data Links'!$B$15</f>
        <v>0</v>
      </c>
      <c r="E332" s="66">
        <f>SUM(E331)*'Data Links'!$B$15</f>
        <v>0</v>
      </c>
      <c r="F332" s="66">
        <f>SUM(F331)*'Data Links'!$B$15</f>
        <v>0</v>
      </c>
      <c r="G332" s="66">
        <f>SUM(G331)*'Data Links'!$B$15</f>
        <v>0</v>
      </c>
      <c r="H332" s="66">
        <f>SUM(H331)*'Data Links'!$B$15</f>
        <v>0</v>
      </c>
      <c r="I332" s="66">
        <f>SUM(I331)*'Data Links'!$B$15</f>
        <v>0</v>
      </c>
      <c r="J332" s="66">
        <f>SUM(J331)*'Data Links'!$B$15</f>
        <v>0</v>
      </c>
      <c r="K332" s="66">
        <f>SUM(K331)*'Data Links'!$B$15</f>
        <v>0</v>
      </c>
      <c r="L332" s="66">
        <f>SUM(L331)*'Data Links'!$B$15</f>
        <v>0</v>
      </c>
      <c r="M332" s="66">
        <f>SUM(M331)*'Data Links'!$B$15</f>
        <v>0</v>
      </c>
      <c r="N332" s="66">
        <f>SUM(N331)*'Data Links'!$B$15</f>
        <v>0</v>
      </c>
    </row>
    <row r="333" spans="1:15" s="58" customFormat="1" hidden="1" x14ac:dyDescent="0.2">
      <c r="A333" s="59" t="s">
        <v>189</v>
      </c>
      <c r="B333" s="60"/>
      <c r="C333" s="66">
        <f>SUM(C331*'Data Links'!$B$13)</f>
        <v>0</v>
      </c>
      <c r="D333" s="66">
        <f>SUM(D331*'Data Links'!$B$13)</f>
        <v>0</v>
      </c>
      <c r="E333" s="66">
        <f>SUM(E331*'Data Links'!$B$13)</f>
        <v>0</v>
      </c>
      <c r="F333" s="66">
        <f>SUM(F331*'Data Links'!$B$13)</f>
        <v>0</v>
      </c>
      <c r="G333" s="66">
        <f>SUM(G331*'Data Links'!$B$13)</f>
        <v>0</v>
      </c>
      <c r="H333" s="66">
        <f>SUM(H331*'Data Links'!$B$13)</f>
        <v>0</v>
      </c>
      <c r="I333" s="66">
        <f>SUM(I331*'Data Links'!$B$13)</f>
        <v>0</v>
      </c>
      <c r="J333" s="66">
        <f>SUM(J331*'Data Links'!$B$13)</f>
        <v>0</v>
      </c>
      <c r="K333" s="66">
        <f>SUM(K331*'Data Links'!$B$13)</f>
        <v>0</v>
      </c>
      <c r="L333" s="66">
        <f>SUM(L331*'Data Links'!$B$13)</f>
        <v>0</v>
      </c>
      <c r="M333" s="66">
        <f>SUM(M331*'Data Links'!$B$13)</f>
        <v>0</v>
      </c>
      <c r="N333" s="66">
        <f>SUM(N331*'Data Links'!$B$13)</f>
        <v>0</v>
      </c>
    </row>
    <row r="334" spans="1:15" s="58" customFormat="1" hidden="1" x14ac:dyDescent="0.2">
      <c r="A334" s="59" t="s">
        <v>190</v>
      </c>
      <c r="B334" s="60"/>
      <c r="C334" s="66">
        <f>SUM(C330*'Data Links'!$B$10)</f>
        <v>0</v>
      </c>
      <c r="D334" s="66">
        <f>SUM(D330*'Data Links'!$B$10)</f>
        <v>0</v>
      </c>
      <c r="E334" s="66">
        <f>SUM(E330*'Data Links'!$B$10)</f>
        <v>0</v>
      </c>
      <c r="F334" s="66">
        <f>SUM(F330*'Data Links'!$B$10)</f>
        <v>0</v>
      </c>
      <c r="G334" s="66">
        <f>SUM(G330*'Data Links'!$B$10)</f>
        <v>0</v>
      </c>
      <c r="H334" s="66">
        <f>SUM(H330*'Data Links'!$B$10)</f>
        <v>0</v>
      </c>
      <c r="I334" s="66">
        <f>SUM(I330*'Data Links'!$B$10)</f>
        <v>0</v>
      </c>
      <c r="J334" s="66">
        <f>SUM(J330*'Data Links'!$B$10)</f>
        <v>0</v>
      </c>
      <c r="K334" s="66">
        <f>SUM(K330*'Data Links'!$B$10)</f>
        <v>0</v>
      </c>
      <c r="L334" s="66">
        <f>SUM(L330*'Data Links'!$B$10)</f>
        <v>0</v>
      </c>
      <c r="M334" s="66">
        <f>SUM(M330*'Data Links'!$B$10)</f>
        <v>0</v>
      </c>
      <c r="N334" s="66">
        <f>SUM(N330*'Data Links'!$B$10)</f>
        <v>0</v>
      </c>
    </row>
    <row r="335" spans="1:15" s="58" customFormat="1" hidden="1" x14ac:dyDescent="0.2">
      <c r="A335" s="59" t="s">
        <v>191</v>
      </c>
      <c r="B335" s="60"/>
      <c r="C335" s="66"/>
      <c r="D335" s="66"/>
      <c r="E335" s="66"/>
      <c r="F335" s="66"/>
      <c r="G335" s="66"/>
      <c r="H335" s="66"/>
      <c r="I335" s="66"/>
      <c r="J335" s="66"/>
      <c r="K335" s="66"/>
      <c r="L335" s="66"/>
      <c r="M335" s="66"/>
      <c r="N335" s="66"/>
    </row>
    <row r="336" spans="1:15" s="58" customFormat="1" hidden="1" x14ac:dyDescent="0.2">
      <c r="A336" s="59" t="s">
        <v>192</v>
      </c>
      <c r="B336" s="60"/>
      <c r="C336" s="66">
        <f>SUM(C331*'Data Links'!$B$17)</f>
        <v>0</v>
      </c>
      <c r="D336" s="66">
        <f>SUM(D331*'Data Links'!$B$17)</f>
        <v>0</v>
      </c>
      <c r="E336" s="66">
        <f>SUM(E331*'Data Links'!$B$17)</f>
        <v>0</v>
      </c>
      <c r="F336" s="66">
        <f>SUM(F331*'Data Links'!$B$17)</f>
        <v>0</v>
      </c>
      <c r="G336" s="66">
        <f>SUM(G331*'Data Links'!$B$17)</f>
        <v>0</v>
      </c>
      <c r="H336" s="66">
        <f>SUM(H331*'Data Links'!$B$17)</f>
        <v>0</v>
      </c>
      <c r="I336" s="66">
        <f>SUM(I331*'Data Links'!$B$17)</f>
        <v>0</v>
      </c>
      <c r="J336" s="66">
        <f>SUM(J331*'Data Links'!$B$17)</f>
        <v>0</v>
      </c>
      <c r="K336" s="66">
        <f>SUM(K331*'Data Links'!$B$17)</f>
        <v>0</v>
      </c>
      <c r="L336" s="66">
        <f>SUM(L331*'Data Links'!$B$17)</f>
        <v>0</v>
      </c>
      <c r="M336" s="66">
        <f>SUM(M331*'Data Links'!$B$17)</f>
        <v>0</v>
      </c>
      <c r="N336" s="66">
        <f>SUM(N331*'Data Links'!$B$17)</f>
        <v>0</v>
      </c>
      <c r="O336" s="66"/>
    </row>
    <row r="337" spans="1:14" s="58" customFormat="1" hidden="1" x14ac:dyDescent="0.2">
      <c r="A337" s="58" t="s">
        <v>144</v>
      </c>
      <c r="B337" s="60"/>
      <c r="C337" s="60">
        <f t="shared" ref="C337:N337" si="104">SUM(C331:C336)</f>
        <v>0</v>
      </c>
      <c r="D337" s="60">
        <f t="shared" si="104"/>
        <v>0</v>
      </c>
      <c r="E337" s="60">
        <f t="shared" si="104"/>
        <v>0</v>
      </c>
      <c r="F337" s="60">
        <f t="shared" si="104"/>
        <v>0</v>
      </c>
      <c r="G337" s="60">
        <f t="shared" si="104"/>
        <v>0</v>
      </c>
      <c r="H337" s="60">
        <f t="shared" si="104"/>
        <v>0</v>
      </c>
      <c r="I337" s="60">
        <f t="shared" si="104"/>
        <v>0</v>
      </c>
      <c r="J337" s="60">
        <f t="shared" si="104"/>
        <v>0</v>
      </c>
      <c r="K337" s="60">
        <f t="shared" si="104"/>
        <v>0</v>
      </c>
      <c r="L337" s="60">
        <f t="shared" si="104"/>
        <v>0</v>
      </c>
      <c r="M337" s="60">
        <f t="shared" si="104"/>
        <v>0</v>
      </c>
      <c r="N337" s="60">
        <f t="shared" si="104"/>
        <v>0</v>
      </c>
    </row>
    <row r="338" spans="1:14" s="58" customFormat="1" hidden="1" x14ac:dyDescent="0.2">
      <c r="B338" s="60"/>
      <c r="C338" s="60"/>
      <c r="D338" s="60"/>
      <c r="E338" s="60"/>
      <c r="F338" s="60"/>
      <c r="G338" s="60"/>
      <c r="H338" s="60"/>
      <c r="I338" s="60"/>
      <c r="J338" s="60"/>
      <c r="K338" s="60"/>
      <c r="L338" s="60"/>
      <c r="M338" s="60"/>
      <c r="N338" s="60"/>
    </row>
    <row r="339" spans="1:14" s="58" customFormat="1" hidden="1" x14ac:dyDescent="0.2">
      <c r="A339" s="59"/>
      <c r="B339" s="60"/>
      <c r="C339" s="89" t="str">
        <f>C326</f>
        <v>January</v>
      </c>
      <c r="D339" s="89" t="str">
        <f t="shared" ref="D339:M339" si="105">D326</f>
        <v>February</v>
      </c>
      <c r="E339" s="89" t="str">
        <f t="shared" si="105"/>
        <v>March</v>
      </c>
      <c r="F339" s="89" t="str">
        <f t="shared" si="105"/>
        <v>April</v>
      </c>
      <c r="G339" s="89" t="str">
        <f t="shared" si="105"/>
        <v>May</v>
      </c>
      <c r="H339" s="89" t="str">
        <f t="shared" si="105"/>
        <v>June</v>
      </c>
      <c r="I339" s="89" t="str">
        <f t="shared" si="105"/>
        <v>July</v>
      </c>
      <c r="J339" s="89" t="str">
        <f t="shared" si="105"/>
        <v>August</v>
      </c>
      <c r="K339" s="89" t="str">
        <f t="shared" si="105"/>
        <v>September</v>
      </c>
      <c r="L339" s="89" t="str">
        <f t="shared" si="105"/>
        <v>October</v>
      </c>
      <c r="M339" s="89" t="str">
        <f t="shared" si="105"/>
        <v>November</v>
      </c>
      <c r="N339" s="89" t="str">
        <f>N326</f>
        <v>December</v>
      </c>
    </row>
    <row r="340" spans="1:14" s="58" customFormat="1" hidden="1" x14ac:dyDescent="0.2">
      <c r="A340" s="59"/>
      <c r="B340" s="60"/>
      <c r="C340" s="72">
        <v>31</v>
      </c>
      <c r="D340" s="72">
        <v>31</v>
      </c>
      <c r="E340" s="72">
        <v>30</v>
      </c>
      <c r="F340" s="72">
        <v>31</v>
      </c>
      <c r="G340" s="72">
        <v>30</v>
      </c>
      <c r="H340" s="72">
        <v>31</v>
      </c>
      <c r="I340" s="72">
        <v>31</v>
      </c>
      <c r="J340" s="72">
        <v>28</v>
      </c>
      <c r="K340" s="72">
        <v>31</v>
      </c>
      <c r="L340" s="72">
        <v>30</v>
      </c>
      <c r="M340" s="72">
        <v>31</v>
      </c>
      <c r="N340" s="71">
        <v>30</v>
      </c>
    </row>
    <row r="341" spans="1:14" s="58" customFormat="1" hidden="1" x14ac:dyDescent="0.2">
      <c r="A341" s="59"/>
      <c r="B341" s="89" t="s">
        <v>185</v>
      </c>
      <c r="C341" s="78">
        <f t="shared" ref="C341:N341" si="106">C328</f>
        <v>1</v>
      </c>
      <c r="D341" s="78">
        <f t="shared" si="106"/>
        <v>0</v>
      </c>
      <c r="E341" s="78">
        <f t="shared" si="106"/>
        <v>1</v>
      </c>
      <c r="F341" s="78">
        <f t="shared" si="106"/>
        <v>0</v>
      </c>
      <c r="G341" s="78">
        <f t="shared" si="106"/>
        <v>2</v>
      </c>
      <c r="H341" s="78">
        <f t="shared" si="106"/>
        <v>0</v>
      </c>
      <c r="I341" s="78">
        <f t="shared" si="106"/>
        <v>2</v>
      </c>
      <c r="J341" s="78">
        <f t="shared" si="106"/>
        <v>1</v>
      </c>
      <c r="K341" s="78">
        <f t="shared" si="106"/>
        <v>0</v>
      </c>
      <c r="L341" s="78">
        <f t="shared" si="106"/>
        <v>0</v>
      </c>
      <c r="M341" s="78">
        <f t="shared" si="106"/>
        <v>1</v>
      </c>
      <c r="N341" s="78">
        <f t="shared" si="106"/>
        <v>0</v>
      </c>
    </row>
    <row r="342" spans="1:14" s="58" customFormat="1" hidden="1" x14ac:dyDescent="0.2">
      <c r="A342" s="59"/>
      <c r="B342" s="89" t="s">
        <v>44</v>
      </c>
      <c r="C342" s="49"/>
      <c r="D342" s="49"/>
      <c r="E342" s="49"/>
      <c r="F342" s="49"/>
      <c r="G342" s="49"/>
      <c r="H342" s="49"/>
      <c r="I342" s="49"/>
      <c r="J342" s="49"/>
      <c r="K342" s="49"/>
      <c r="L342" s="49"/>
      <c r="M342" s="49"/>
      <c r="N342" s="49"/>
    </row>
    <row r="343" spans="1:14" s="58" customFormat="1" hidden="1" x14ac:dyDescent="0.2">
      <c r="A343" s="59"/>
      <c r="B343" s="89" t="s">
        <v>186</v>
      </c>
      <c r="C343" s="53">
        <f>SUM(174*C342)</f>
        <v>0</v>
      </c>
      <c r="D343" s="53">
        <f t="shared" ref="D343:N343" si="107">SUM(174*D342)</f>
        <v>0</v>
      </c>
      <c r="E343" s="53">
        <f t="shared" si="107"/>
        <v>0</v>
      </c>
      <c r="F343" s="53">
        <f t="shared" si="107"/>
        <v>0</v>
      </c>
      <c r="G343" s="53">
        <f t="shared" si="107"/>
        <v>0</v>
      </c>
      <c r="H343" s="53">
        <f t="shared" si="107"/>
        <v>0</v>
      </c>
      <c r="I343" s="53">
        <f t="shared" si="107"/>
        <v>0</v>
      </c>
      <c r="J343" s="53">
        <f t="shared" si="107"/>
        <v>0</v>
      </c>
      <c r="K343" s="53">
        <f t="shared" si="107"/>
        <v>0</v>
      </c>
      <c r="L343" s="53">
        <f t="shared" si="107"/>
        <v>0</v>
      </c>
      <c r="M343" s="53">
        <f t="shared" si="107"/>
        <v>0</v>
      </c>
      <c r="N343" s="53">
        <f t="shared" si="107"/>
        <v>0</v>
      </c>
    </row>
    <row r="344" spans="1:14" s="58" customFormat="1" hidden="1" x14ac:dyDescent="0.2">
      <c r="A344" s="59" t="s">
        <v>193</v>
      </c>
      <c r="B344" s="78" t="s">
        <v>187</v>
      </c>
      <c r="C344" s="66">
        <f>SUM(C343*$B$345)</f>
        <v>0</v>
      </c>
      <c r="D344" s="66">
        <f t="shared" ref="D344:N344" si="108">SUM(D343*$B$345)</f>
        <v>0</v>
      </c>
      <c r="E344" s="66">
        <f t="shared" si="108"/>
        <v>0</v>
      </c>
      <c r="F344" s="66">
        <f t="shared" si="108"/>
        <v>0</v>
      </c>
      <c r="G344" s="66">
        <f t="shared" si="108"/>
        <v>0</v>
      </c>
      <c r="H344" s="66">
        <f t="shared" si="108"/>
        <v>0</v>
      </c>
      <c r="I344" s="66">
        <f t="shared" si="108"/>
        <v>0</v>
      </c>
      <c r="J344" s="66">
        <f t="shared" si="108"/>
        <v>0</v>
      </c>
      <c r="K344" s="66">
        <f t="shared" si="108"/>
        <v>0</v>
      </c>
      <c r="L344" s="66">
        <f t="shared" si="108"/>
        <v>0</v>
      </c>
      <c r="M344" s="66">
        <f t="shared" si="108"/>
        <v>0</v>
      </c>
      <c r="N344" s="66">
        <f t="shared" si="108"/>
        <v>0</v>
      </c>
    </row>
    <row r="345" spans="1:14" s="58" customFormat="1" hidden="1" x14ac:dyDescent="0.2">
      <c r="A345" s="59" t="s">
        <v>188</v>
      </c>
      <c r="B345" s="74">
        <v>0</v>
      </c>
      <c r="C345" s="66">
        <f>SUM(C344)*'Data Links'!$B$15</f>
        <v>0</v>
      </c>
      <c r="D345" s="66">
        <f>SUM(D344)*'Data Links'!$B$15</f>
        <v>0</v>
      </c>
      <c r="E345" s="66">
        <f>SUM(E344)*'Data Links'!$B$15</f>
        <v>0</v>
      </c>
      <c r="F345" s="66">
        <f>SUM(F344)*'Data Links'!$B$15</f>
        <v>0</v>
      </c>
      <c r="G345" s="66">
        <f>SUM(G344)*'Data Links'!$B$15</f>
        <v>0</v>
      </c>
      <c r="H345" s="66">
        <f>SUM(H344)*'Data Links'!$B$15</f>
        <v>0</v>
      </c>
      <c r="I345" s="66">
        <f>SUM(I344)*'Data Links'!$B$15</f>
        <v>0</v>
      </c>
      <c r="J345" s="66">
        <f>SUM(J344)*'Data Links'!$B$15</f>
        <v>0</v>
      </c>
      <c r="K345" s="66">
        <f>SUM(K344)*'Data Links'!$B$15</f>
        <v>0</v>
      </c>
      <c r="L345" s="66">
        <f>SUM(L344)*'Data Links'!$B$15</f>
        <v>0</v>
      </c>
      <c r="M345" s="66">
        <f>SUM(M344)*'Data Links'!$B$15</f>
        <v>0</v>
      </c>
      <c r="N345" s="66">
        <f>SUM(N344)*'Data Links'!$B$15</f>
        <v>0</v>
      </c>
    </row>
    <row r="346" spans="1:14" s="58" customFormat="1" hidden="1" x14ac:dyDescent="0.2">
      <c r="A346" s="59" t="s">
        <v>189</v>
      </c>
      <c r="B346" s="60"/>
      <c r="C346" s="66">
        <f>SUM(C344*'Data Links'!$B$13)</f>
        <v>0</v>
      </c>
      <c r="D346" s="66">
        <f>SUM(D344*'Data Links'!$B$13)</f>
        <v>0</v>
      </c>
      <c r="E346" s="66">
        <f>SUM(E344*'Data Links'!$B$13)</f>
        <v>0</v>
      </c>
      <c r="F346" s="66">
        <f>SUM(F344*'Data Links'!$B$13)</f>
        <v>0</v>
      </c>
      <c r="G346" s="66">
        <f>SUM(G344*'Data Links'!$B$13)</f>
        <v>0</v>
      </c>
      <c r="H346" s="66">
        <f>SUM(H344*'Data Links'!$B$13)</f>
        <v>0</v>
      </c>
      <c r="I346" s="66">
        <f>SUM(I344*'Data Links'!$B$13)</f>
        <v>0</v>
      </c>
      <c r="J346" s="66">
        <f>SUM(J344*'Data Links'!$B$13)</f>
        <v>0</v>
      </c>
      <c r="K346" s="66">
        <f>SUM(K344*'Data Links'!$B$13)</f>
        <v>0</v>
      </c>
      <c r="L346" s="66">
        <f>SUM(L344*'Data Links'!$B$13)</f>
        <v>0</v>
      </c>
      <c r="M346" s="66">
        <f>SUM(M344*'Data Links'!$B$13)</f>
        <v>0</v>
      </c>
      <c r="N346" s="66">
        <f>SUM(N344*'Data Links'!$B$13)</f>
        <v>0</v>
      </c>
    </row>
    <row r="347" spans="1:14" s="58" customFormat="1" hidden="1" x14ac:dyDescent="0.2">
      <c r="A347" s="59" t="s">
        <v>190</v>
      </c>
      <c r="B347" s="60"/>
      <c r="C347" s="66">
        <f>SUM(C343*'Data Links'!$B$10)</f>
        <v>0</v>
      </c>
      <c r="D347" s="66">
        <f>SUM(D343*'Data Links'!$B$10)</f>
        <v>0</v>
      </c>
      <c r="E347" s="66">
        <f>SUM(E343*'Data Links'!$B$10)</f>
        <v>0</v>
      </c>
      <c r="F347" s="66">
        <f>SUM(F343*'Data Links'!$B$10)</f>
        <v>0</v>
      </c>
      <c r="G347" s="66">
        <f>SUM(G343*'Data Links'!$B$10)</f>
        <v>0</v>
      </c>
      <c r="H347" s="66">
        <f>SUM(H343*'Data Links'!$B$10)</f>
        <v>0</v>
      </c>
      <c r="I347" s="66">
        <f>SUM(I343*'Data Links'!$B$10)</f>
        <v>0</v>
      </c>
      <c r="J347" s="66">
        <f>SUM(J343*'Data Links'!$B$10)</f>
        <v>0</v>
      </c>
      <c r="K347" s="66">
        <f>SUM(K343*'Data Links'!$B$10)</f>
        <v>0</v>
      </c>
      <c r="L347" s="66">
        <f>SUM(L343*'Data Links'!$B$10)</f>
        <v>0</v>
      </c>
      <c r="M347" s="66">
        <f>SUM(M343*'Data Links'!$B$10)</f>
        <v>0</v>
      </c>
      <c r="N347" s="66">
        <f>SUM(N343*'Data Links'!$B$10)</f>
        <v>0</v>
      </c>
    </row>
    <row r="348" spans="1:14" s="58" customFormat="1" hidden="1" x14ac:dyDescent="0.2">
      <c r="A348" s="59" t="s">
        <v>191</v>
      </c>
      <c r="B348" s="60"/>
      <c r="C348" s="66"/>
      <c r="D348" s="66"/>
      <c r="E348" s="66"/>
      <c r="F348" s="66"/>
      <c r="G348" s="66"/>
      <c r="H348" s="66"/>
      <c r="I348" s="66"/>
      <c r="J348" s="66"/>
      <c r="K348" s="66"/>
      <c r="L348" s="66"/>
      <c r="M348" s="66"/>
      <c r="N348" s="66"/>
    </row>
    <row r="349" spans="1:14" s="58" customFormat="1" hidden="1" x14ac:dyDescent="0.2">
      <c r="A349" s="59" t="s">
        <v>192</v>
      </c>
      <c r="B349" s="60"/>
      <c r="C349" s="66">
        <f>SUM(C344*'Data Links'!$B$17)</f>
        <v>0</v>
      </c>
      <c r="D349" s="66">
        <f>SUM(D344*'Data Links'!$B$17)</f>
        <v>0</v>
      </c>
      <c r="E349" s="66">
        <f>SUM(E344*'Data Links'!$B$17)</f>
        <v>0</v>
      </c>
      <c r="F349" s="66">
        <f>SUM(F344*'Data Links'!$B$17)</f>
        <v>0</v>
      </c>
      <c r="G349" s="66">
        <f>SUM(G344*'Data Links'!$B$17)</f>
        <v>0</v>
      </c>
      <c r="H349" s="66"/>
      <c r="I349" s="66"/>
      <c r="J349" s="66"/>
      <c r="K349" s="66">
        <f>SUM(K344*'Data Links'!$B$17)</f>
        <v>0</v>
      </c>
      <c r="L349" s="66">
        <f>SUM(L344*'Data Links'!$B$17)</f>
        <v>0</v>
      </c>
      <c r="M349" s="66">
        <f>SUM(M344*'Data Links'!$B$17)</f>
        <v>0</v>
      </c>
      <c r="N349" s="66">
        <f>SUM(N344*'Data Links'!$B$17)</f>
        <v>0</v>
      </c>
    </row>
    <row r="350" spans="1:14" s="58" customFormat="1" hidden="1" x14ac:dyDescent="0.2">
      <c r="A350" s="58" t="s">
        <v>144</v>
      </c>
      <c r="B350" s="60"/>
      <c r="C350" s="60">
        <f t="shared" ref="C350:N350" si="109">SUM(C344:C349)</f>
        <v>0</v>
      </c>
      <c r="D350" s="60">
        <f t="shared" si="109"/>
        <v>0</v>
      </c>
      <c r="E350" s="60">
        <f t="shared" si="109"/>
        <v>0</v>
      </c>
      <c r="F350" s="60">
        <f t="shared" si="109"/>
        <v>0</v>
      </c>
      <c r="G350" s="60">
        <f t="shared" si="109"/>
        <v>0</v>
      </c>
      <c r="H350" s="60">
        <f t="shared" si="109"/>
        <v>0</v>
      </c>
      <c r="I350" s="60">
        <f t="shared" si="109"/>
        <v>0</v>
      </c>
      <c r="J350" s="60">
        <f t="shared" si="109"/>
        <v>0</v>
      </c>
      <c r="K350" s="60">
        <f t="shared" si="109"/>
        <v>0</v>
      </c>
      <c r="L350" s="60">
        <f t="shared" si="109"/>
        <v>0</v>
      </c>
      <c r="M350" s="60">
        <f t="shared" si="109"/>
        <v>0</v>
      </c>
      <c r="N350" s="60">
        <f t="shared" si="109"/>
        <v>0</v>
      </c>
    </row>
    <row r="351" spans="1:14" s="58" customFormat="1" x14ac:dyDescent="0.2">
      <c r="B351" s="60"/>
      <c r="C351" s="60"/>
      <c r="D351" s="60"/>
      <c r="E351" s="60"/>
      <c r="F351" s="60"/>
      <c r="G351" s="60"/>
      <c r="H351" s="60"/>
      <c r="I351" s="60"/>
      <c r="J351" s="60"/>
      <c r="K351" s="60"/>
      <c r="L351" s="60"/>
      <c r="M351" s="60"/>
      <c r="N351" s="60"/>
    </row>
    <row r="352" spans="1:14" s="58" customFormat="1" x14ac:dyDescent="0.2">
      <c r="A352" s="59"/>
      <c r="B352" s="60"/>
      <c r="C352" s="89" t="str">
        <f>C339</f>
        <v>January</v>
      </c>
      <c r="D352" s="89" t="str">
        <f t="shared" ref="D352:M352" si="110">D339</f>
        <v>February</v>
      </c>
      <c r="E352" s="89" t="str">
        <f t="shared" si="110"/>
        <v>March</v>
      </c>
      <c r="F352" s="89" t="str">
        <f t="shared" si="110"/>
        <v>April</v>
      </c>
      <c r="G352" s="89" t="str">
        <f t="shared" si="110"/>
        <v>May</v>
      </c>
      <c r="H352" s="89" t="str">
        <f t="shared" si="110"/>
        <v>June</v>
      </c>
      <c r="I352" s="89" t="str">
        <f t="shared" si="110"/>
        <v>July</v>
      </c>
      <c r="J352" s="89" t="str">
        <f t="shared" si="110"/>
        <v>August</v>
      </c>
      <c r="K352" s="89" t="str">
        <f t="shared" si="110"/>
        <v>September</v>
      </c>
      <c r="L352" s="89" t="str">
        <f t="shared" si="110"/>
        <v>October</v>
      </c>
      <c r="M352" s="89" t="str">
        <f t="shared" si="110"/>
        <v>November</v>
      </c>
      <c r="N352" s="89" t="str">
        <f>N339</f>
        <v>December</v>
      </c>
    </row>
    <row r="353" spans="1:14" s="58" customFormat="1" x14ac:dyDescent="0.2">
      <c r="A353" s="59"/>
      <c r="B353" s="60"/>
      <c r="C353" s="72">
        <v>31</v>
      </c>
      <c r="D353" s="72">
        <v>31</v>
      </c>
      <c r="E353" s="72">
        <v>30</v>
      </c>
      <c r="F353" s="72">
        <v>31</v>
      </c>
      <c r="G353" s="72">
        <v>30</v>
      </c>
      <c r="H353" s="72">
        <v>31</v>
      </c>
      <c r="I353" s="72">
        <v>31</v>
      </c>
      <c r="J353" s="72">
        <v>28</v>
      </c>
      <c r="K353" s="72">
        <v>31</v>
      </c>
      <c r="L353" s="72">
        <v>30</v>
      </c>
      <c r="M353" s="72">
        <v>31</v>
      </c>
      <c r="N353" s="71">
        <v>30</v>
      </c>
    </row>
    <row r="354" spans="1:14" s="58" customFormat="1" x14ac:dyDescent="0.2">
      <c r="A354" s="59"/>
      <c r="B354" s="89" t="s">
        <v>185</v>
      </c>
      <c r="C354" s="78">
        <f t="shared" ref="C354:N354" si="111">C341</f>
        <v>1</v>
      </c>
      <c r="D354" s="78">
        <f t="shared" si="111"/>
        <v>0</v>
      </c>
      <c r="E354" s="78">
        <f t="shared" si="111"/>
        <v>1</v>
      </c>
      <c r="F354" s="78">
        <f t="shared" si="111"/>
        <v>0</v>
      </c>
      <c r="G354" s="78">
        <f t="shared" si="111"/>
        <v>2</v>
      </c>
      <c r="H354" s="78">
        <f t="shared" si="111"/>
        <v>0</v>
      </c>
      <c r="I354" s="78">
        <f t="shared" si="111"/>
        <v>2</v>
      </c>
      <c r="J354" s="78">
        <f t="shared" si="111"/>
        <v>1</v>
      </c>
      <c r="K354" s="78">
        <f t="shared" si="111"/>
        <v>0</v>
      </c>
      <c r="L354" s="78">
        <f t="shared" si="111"/>
        <v>0</v>
      </c>
      <c r="M354" s="78">
        <f t="shared" si="111"/>
        <v>1</v>
      </c>
      <c r="N354" s="78">
        <f t="shared" si="111"/>
        <v>0</v>
      </c>
    </row>
    <row r="355" spans="1:14" s="58" customFormat="1" x14ac:dyDescent="0.2">
      <c r="A355" s="59"/>
      <c r="B355" s="89" t="s">
        <v>44</v>
      </c>
      <c r="C355" s="49">
        <f>SUM('Program Support Allocations'!$C$28)</f>
        <v>0.18591954022988508</v>
      </c>
      <c r="D355" s="49">
        <f>SUM('Program Support Allocations'!$C$28)</f>
        <v>0.18591954022988508</v>
      </c>
      <c r="E355" s="49">
        <f>SUM('Program Support Allocations'!$C$28)</f>
        <v>0.18591954022988508</v>
      </c>
      <c r="F355" s="49">
        <f>SUM('Program Support Allocations'!$C$28)</f>
        <v>0.18591954022988508</v>
      </c>
      <c r="G355" s="49">
        <f>SUM('Program Support Allocations'!$C$28)</f>
        <v>0.18591954022988508</v>
      </c>
      <c r="H355" s="49">
        <f>SUM('Program Support Allocations'!$C$28)</f>
        <v>0.18591954022988508</v>
      </c>
      <c r="I355" s="49">
        <f>SUM('Program Support Allocations'!$C$28)</f>
        <v>0.18591954022988508</v>
      </c>
      <c r="J355" s="49">
        <f>SUM('Program Support Allocations'!$C$28)</f>
        <v>0.18591954022988508</v>
      </c>
      <c r="K355" s="49">
        <f>SUM('Program Support Allocations'!$C$28)</f>
        <v>0.18591954022988508</v>
      </c>
      <c r="L355" s="49">
        <f>SUM('Program Support Allocations'!$C$28)</f>
        <v>0.18591954022988508</v>
      </c>
      <c r="M355" s="49">
        <f>SUM('Program Support Allocations'!$C$28)</f>
        <v>0.18591954022988508</v>
      </c>
      <c r="N355" s="49">
        <f>SUM('Program Support Allocations'!$C$28)</f>
        <v>0.18591954022988508</v>
      </c>
    </row>
    <row r="356" spans="1:14" s="58" customFormat="1" x14ac:dyDescent="0.2">
      <c r="A356" s="59"/>
      <c r="B356" s="89" t="s">
        <v>186</v>
      </c>
      <c r="C356" s="53">
        <f>SUM(174*C355)</f>
        <v>32.35</v>
      </c>
      <c r="D356" s="53">
        <f t="shared" ref="D356:N356" si="112">SUM(174*D355)</f>
        <v>32.35</v>
      </c>
      <c r="E356" s="53">
        <f t="shared" si="112"/>
        <v>32.35</v>
      </c>
      <c r="F356" s="53">
        <f t="shared" si="112"/>
        <v>32.35</v>
      </c>
      <c r="G356" s="53">
        <f t="shared" si="112"/>
        <v>32.35</v>
      </c>
      <c r="H356" s="53">
        <f t="shared" si="112"/>
        <v>32.35</v>
      </c>
      <c r="I356" s="53">
        <f t="shared" si="112"/>
        <v>32.35</v>
      </c>
      <c r="J356" s="53">
        <f t="shared" si="112"/>
        <v>32.35</v>
      </c>
      <c r="K356" s="53">
        <f t="shared" si="112"/>
        <v>32.35</v>
      </c>
      <c r="L356" s="53">
        <f t="shared" si="112"/>
        <v>32.35</v>
      </c>
      <c r="M356" s="53">
        <f t="shared" si="112"/>
        <v>32.35</v>
      </c>
      <c r="N356" s="53">
        <f t="shared" si="112"/>
        <v>32.35</v>
      </c>
    </row>
    <row r="357" spans="1:14" s="58" customFormat="1" x14ac:dyDescent="0.2">
      <c r="A357" s="59" t="s">
        <v>623</v>
      </c>
      <c r="B357" s="78" t="s">
        <v>187</v>
      </c>
      <c r="C357" s="66">
        <f>SUM(C356*$B$358)</f>
        <v>922.94550000000004</v>
      </c>
      <c r="D357" s="66">
        <f t="shared" ref="D357:N357" si="113">SUM(D356*$B$358)</f>
        <v>922.94550000000004</v>
      </c>
      <c r="E357" s="66">
        <f t="shared" si="113"/>
        <v>922.94550000000004</v>
      </c>
      <c r="F357" s="66">
        <f t="shared" si="113"/>
        <v>922.94550000000004</v>
      </c>
      <c r="G357" s="66">
        <f t="shared" si="113"/>
        <v>922.94550000000004</v>
      </c>
      <c r="H357" s="66">
        <f t="shared" si="113"/>
        <v>922.94550000000004</v>
      </c>
      <c r="I357" s="66">
        <f t="shared" si="113"/>
        <v>922.94550000000004</v>
      </c>
      <c r="J357" s="66">
        <f t="shared" si="113"/>
        <v>922.94550000000004</v>
      </c>
      <c r="K357" s="66">
        <f t="shared" si="113"/>
        <v>922.94550000000004</v>
      </c>
      <c r="L357" s="66">
        <f t="shared" si="113"/>
        <v>922.94550000000004</v>
      </c>
      <c r="M357" s="66">
        <f t="shared" si="113"/>
        <v>922.94550000000004</v>
      </c>
      <c r="N357" s="66">
        <f t="shared" si="113"/>
        <v>922.94550000000004</v>
      </c>
    </row>
    <row r="358" spans="1:14" s="58" customFormat="1" x14ac:dyDescent="0.2">
      <c r="A358" s="59" t="s">
        <v>188</v>
      </c>
      <c r="B358" s="74">
        <v>28.53</v>
      </c>
      <c r="C358" s="66">
        <f>SUM(C357)*'Data Links'!$B$15</f>
        <v>70.605330750000007</v>
      </c>
      <c r="D358" s="66">
        <f>SUM(D357)*'Data Links'!$B$15</f>
        <v>70.605330750000007</v>
      </c>
      <c r="E358" s="66">
        <f>SUM(E357)*'Data Links'!$B$15</f>
        <v>70.605330750000007</v>
      </c>
      <c r="F358" s="66">
        <f>SUM(F357)*'Data Links'!$B$15</f>
        <v>70.605330750000007</v>
      </c>
      <c r="G358" s="66">
        <f>SUM(G357)*'Data Links'!$B$15</f>
        <v>70.605330750000007</v>
      </c>
      <c r="H358" s="66">
        <f>SUM(H357)*'Data Links'!$B$15</f>
        <v>70.605330750000007</v>
      </c>
      <c r="I358" s="66">
        <f>SUM(I357)*'Data Links'!$B$15</f>
        <v>70.605330750000007</v>
      </c>
      <c r="J358" s="66">
        <f>SUM(J357)*'Data Links'!$B$15</f>
        <v>70.605330750000007</v>
      </c>
      <c r="K358" s="66">
        <f>SUM(K357)*'Data Links'!$B$15</f>
        <v>70.605330750000007</v>
      </c>
      <c r="L358" s="66">
        <f>SUM(L357)*'Data Links'!$B$15</f>
        <v>70.605330750000007</v>
      </c>
      <c r="M358" s="66">
        <f>SUM(M357)*'Data Links'!$B$15</f>
        <v>70.605330750000007</v>
      </c>
      <c r="N358" s="66">
        <f>SUM(N357)*'Data Links'!$B$15</f>
        <v>70.605330750000007</v>
      </c>
    </row>
    <row r="359" spans="1:14" s="58" customFormat="1" x14ac:dyDescent="0.2">
      <c r="A359" s="59" t="s">
        <v>189</v>
      </c>
      <c r="B359" s="60"/>
      <c r="C359" s="66">
        <f>SUM(C357*'Data Links'!$B$13)</f>
        <v>5.5376730000000007</v>
      </c>
      <c r="D359" s="66">
        <f>SUM(D357*'Data Links'!$B$13)</f>
        <v>5.5376730000000007</v>
      </c>
      <c r="E359" s="66">
        <f>SUM(E357*'Data Links'!$B$13)</f>
        <v>5.5376730000000007</v>
      </c>
      <c r="F359" s="66">
        <f>SUM(F357*'Data Links'!$B$13)</f>
        <v>5.5376730000000007</v>
      </c>
      <c r="G359" s="66">
        <f>SUM(G357*'Data Links'!$B$13)</f>
        <v>5.5376730000000007</v>
      </c>
      <c r="H359" s="66">
        <f>SUM(H357*'Data Links'!$B$13)</f>
        <v>5.5376730000000007</v>
      </c>
      <c r="I359" s="66">
        <f>SUM(I357*'Data Links'!$B$13)</f>
        <v>5.5376730000000007</v>
      </c>
      <c r="J359" s="66">
        <f>SUM(J357*'Data Links'!$B$13)</f>
        <v>5.5376730000000007</v>
      </c>
      <c r="K359" s="66">
        <f>SUM(K357*'Data Links'!$B$13)</f>
        <v>5.5376730000000007</v>
      </c>
      <c r="L359" s="66">
        <f>SUM(L357*'Data Links'!$B$13)</f>
        <v>5.5376730000000007</v>
      </c>
      <c r="M359" s="66">
        <f>SUM(M357*'Data Links'!$B$13)</f>
        <v>5.5376730000000007</v>
      </c>
      <c r="N359" s="66">
        <f>SUM(N357*'Data Links'!$B$13)</f>
        <v>5.5376730000000007</v>
      </c>
    </row>
    <row r="360" spans="1:14" s="58" customFormat="1" x14ac:dyDescent="0.2">
      <c r="A360" s="59" t="s">
        <v>190</v>
      </c>
      <c r="B360" s="60"/>
      <c r="C360" s="66">
        <f>SUM(C356*'Data Links'!$B$10)</f>
        <v>15.6978375</v>
      </c>
      <c r="D360" s="66">
        <f>SUM(D356*'Data Links'!$B$10)</f>
        <v>15.6978375</v>
      </c>
      <c r="E360" s="66">
        <f>SUM(E356*'Data Links'!$B$10)</f>
        <v>15.6978375</v>
      </c>
      <c r="F360" s="66">
        <f>SUM(F356*'Data Links'!$B$10)</f>
        <v>15.6978375</v>
      </c>
      <c r="G360" s="66">
        <f>SUM(G356*'Data Links'!$B$10)</f>
        <v>15.6978375</v>
      </c>
      <c r="H360" s="66">
        <f>SUM(H356*'Data Links'!$B$10)</f>
        <v>15.6978375</v>
      </c>
      <c r="I360" s="66">
        <f>SUM(I356*'Data Links'!$B$10)</f>
        <v>15.6978375</v>
      </c>
      <c r="J360" s="66">
        <f>SUM(J356*'Data Links'!$B$10)</f>
        <v>15.6978375</v>
      </c>
      <c r="K360" s="66">
        <f>SUM(K356*'Data Links'!$B$10)</f>
        <v>15.6978375</v>
      </c>
      <c r="L360" s="66">
        <f>SUM(L356*'Data Links'!$B$10)</f>
        <v>15.6978375</v>
      </c>
      <c r="M360" s="66">
        <f>SUM(M356*'Data Links'!$B$10)</f>
        <v>15.6978375</v>
      </c>
      <c r="N360" s="66">
        <f>SUM(N356*'Data Links'!$B$10)</f>
        <v>15.6978375</v>
      </c>
    </row>
    <row r="361" spans="1:14" s="58" customFormat="1" x14ac:dyDescent="0.2">
      <c r="A361" s="59" t="s">
        <v>191</v>
      </c>
      <c r="B361" s="60"/>
      <c r="C361" s="66">
        <f>SUM('All Employees'!$P$51*C355)</f>
        <v>79.201724137931038</v>
      </c>
      <c r="D361" s="66">
        <f>SUM('All Employees'!$P$51*D355)</f>
        <v>79.201724137931038</v>
      </c>
      <c r="E361" s="66">
        <f>SUM('All Employees'!$P$51*E355)</f>
        <v>79.201724137931038</v>
      </c>
      <c r="F361" s="66">
        <f>SUM('All Employees'!$P$51*F355)</f>
        <v>79.201724137931038</v>
      </c>
      <c r="G361" s="66">
        <f>SUM('All Employees'!$P$51*G355)</f>
        <v>79.201724137931038</v>
      </c>
      <c r="H361" s="66">
        <f>SUM('All Employees'!$P$51*H355)</f>
        <v>79.201724137931038</v>
      </c>
      <c r="I361" s="66">
        <f>SUM('All Employees'!$P$51*I355)</f>
        <v>79.201724137931038</v>
      </c>
      <c r="J361" s="66">
        <f>SUM('All Employees'!$P$51*J355)</f>
        <v>79.201724137931038</v>
      </c>
      <c r="K361" s="66">
        <f>SUM('All Employees'!$P$51*K355)</f>
        <v>79.201724137931038</v>
      </c>
      <c r="L361" s="66">
        <f>SUM('All Employees'!$P$51*L355)</f>
        <v>79.201724137931038</v>
      </c>
      <c r="M361" s="66">
        <f>SUM('All Employees'!$P$51*M355)</f>
        <v>79.201724137931038</v>
      </c>
      <c r="N361" s="66">
        <f>SUM('All Employees'!$P$51*N355)</f>
        <v>79.201724137931038</v>
      </c>
    </row>
    <row r="362" spans="1:14" s="58" customFormat="1" x14ac:dyDescent="0.2">
      <c r="A362" s="59" t="s">
        <v>192</v>
      </c>
      <c r="B362" s="60"/>
      <c r="C362" s="66">
        <f>SUM(C357*'Data Links'!$B$17)</f>
        <v>27.688365000000001</v>
      </c>
      <c r="D362" s="66">
        <f>SUM(D357*'Data Links'!$B$17)</f>
        <v>27.688365000000001</v>
      </c>
      <c r="E362" s="66">
        <f>SUM(E357*'Data Links'!$B$17)</f>
        <v>27.688365000000001</v>
      </c>
      <c r="F362" s="66">
        <f>SUM(F357*'Data Links'!$B$17)</f>
        <v>27.688365000000001</v>
      </c>
      <c r="G362" s="66">
        <f>SUM(G357*'Data Links'!$B$17)</f>
        <v>27.688365000000001</v>
      </c>
      <c r="H362" s="66">
        <f>SUM(H357*'Data Links'!$B$17)</f>
        <v>27.688365000000001</v>
      </c>
      <c r="I362" s="66">
        <f>SUM(I357*'Data Links'!$B$17)</f>
        <v>27.688365000000001</v>
      </c>
      <c r="J362" s="66">
        <f>SUM(J357*'Data Links'!$B$17)</f>
        <v>27.688365000000001</v>
      </c>
      <c r="K362" s="66">
        <f>SUM(K357*'Data Links'!$B$17)</f>
        <v>27.688365000000001</v>
      </c>
      <c r="L362" s="66">
        <f>SUM(L357*'Data Links'!$B$17)</f>
        <v>27.688365000000001</v>
      </c>
      <c r="M362" s="66">
        <f>SUM(M357*'Data Links'!$B$17)</f>
        <v>27.688365000000001</v>
      </c>
      <c r="N362" s="66">
        <f>SUM(N357*'Data Links'!$B$17)</f>
        <v>27.688365000000001</v>
      </c>
    </row>
    <row r="363" spans="1:14" s="58" customFormat="1" x14ac:dyDescent="0.2">
      <c r="A363" s="58" t="s">
        <v>144</v>
      </c>
      <c r="B363" s="60"/>
      <c r="C363" s="60">
        <f t="shared" ref="C363:N363" si="114">SUM(C357:C362)</f>
        <v>1121.6764303879311</v>
      </c>
      <c r="D363" s="60">
        <f t="shared" si="114"/>
        <v>1121.6764303879311</v>
      </c>
      <c r="E363" s="60">
        <f t="shared" si="114"/>
        <v>1121.6764303879311</v>
      </c>
      <c r="F363" s="60">
        <f t="shared" si="114"/>
        <v>1121.6764303879311</v>
      </c>
      <c r="G363" s="60">
        <f t="shared" si="114"/>
        <v>1121.6764303879311</v>
      </c>
      <c r="H363" s="60">
        <f t="shared" si="114"/>
        <v>1121.6764303879311</v>
      </c>
      <c r="I363" s="60">
        <f t="shared" si="114"/>
        <v>1121.6764303879311</v>
      </c>
      <c r="J363" s="60">
        <f t="shared" si="114"/>
        <v>1121.6764303879311</v>
      </c>
      <c r="K363" s="60">
        <f t="shared" si="114"/>
        <v>1121.6764303879311</v>
      </c>
      <c r="L363" s="60">
        <f t="shared" si="114"/>
        <v>1121.6764303879311</v>
      </c>
      <c r="M363" s="60">
        <f t="shared" si="114"/>
        <v>1121.6764303879311</v>
      </c>
      <c r="N363" s="60">
        <f t="shared" si="114"/>
        <v>1121.6764303879311</v>
      </c>
    </row>
    <row r="364" spans="1:14" s="58" customFormat="1" x14ac:dyDescent="0.2">
      <c r="B364" s="60"/>
      <c r="C364" s="60"/>
      <c r="D364" s="60"/>
      <c r="E364" s="60"/>
      <c r="F364" s="60"/>
      <c r="G364" s="60"/>
      <c r="H364" s="60"/>
      <c r="I364" s="60"/>
      <c r="J364" s="60"/>
      <c r="K364" s="60"/>
      <c r="L364" s="60"/>
      <c r="M364" s="60"/>
      <c r="N364" s="60"/>
    </row>
    <row r="365" spans="1:14" s="58" customFormat="1" hidden="1" x14ac:dyDescent="0.2">
      <c r="A365" s="59"/>
      <c r="B365" s="60"/>
      <c r="C365" s="89" t="str">
        <f>C352</f>
        <v>January</v>
      </c>
      <c r="D365" s="89" t="str">
        <f t="shared" ref="D365:M365" si="115">D352</f>
        <v>February</v>
      </c>
      <c r="E365" s="89" t="str">
        <f t="shared" si="115"/>
        <v>March</v>
      </c>
      <c r="F365" s="89" t="str">
        <f t="shared" si="115"/>
        <v>April</v>
      </c>
      <c r="G365" s="89" t="str">
        <f t="shared" si="115"/>
        <v>May</v>
      </c>
      <c r="H365" s="89" t="str">
        <f t="shared" si="115"/>
        <v>June</v>
      </c>
      <c r="I365" s="89" t="str">
        <f t="shared" si="115"/>
        <v>July</v>
      </c>
      <c r="J365" s="89" t="str">
        <f t="shared" si="115"/>
        <v>August</v>
      </c>
      <c r="K365" s="89" t="str">
        <f t="shared" si="115"/>
        <v>September</v>
      </c>
      <c r="L365" s="89" t="str">
        <f t="shared" si="115"/>
        <v>October</v>
      </c>
      <c r="M365" s="89" t="str">
        <f t="shared" si="115"/>
        <v>November</v>
      </c>
      <c r="N365" s="89" t="str">
        <f>N352</f>
        <v>December</v>
      </c>
    </row>
    <row r="366" spans="1:14" s="58" customFormat="1" hidden="1" x14ac:dyDescent="0.2">
      <c r="A366" s="59"/>
      <c r="B366" s="60"/>
      <c r="C366" s="72">
        <v>31</v>
      </c>
      <c r="D366" s="72">
        <v>31</v>
      </c>
      <c r="E366" s="72">
        <v>30</v>
      </c>
      <c r="F366" s="72">
        <v>31</v>
      </c>
      <c r="G366" s="72">
        <v>30</v>
      </c>
      <c r="H366" s="72">
        <v>31</v>
      </c>
      <c r="I366" s="72">
        <v>31</v>
      </c>
      <c r="J366" s="72">
        <v>28</v>
      </c>
      <c r="K366" s="72">
        <v>31</v>
      </c>
      <c r="L366" s="72">
        <v>30</v>
      </c>
      <c r="M366" s="72">
        <v>31</v>
      </c>
      <c r="N366" s="71">
        <v>30</v>
      </c>
    </row>
    <row r="367" spans="1:14" s="58" customFormat="1" hidden="1" x14ac:dyDescent="0.2">
      <c r="A367" s="59"/>
      <c r="B367" s="89" t="s">
        <v>185</v>
      </c>
      <c r="C367" s="78">
        <f t="shared" ref="C367:N367" si="116">C354</f>
        <v>1</v>
      </c>
      <c r="D367" s="78">
        <f t="shared" si="116"/>
        <v>0</v>
      </c>
      <c r="E367" s="78">
        <f t="shared" si="116"/>
        <v>1</v>
      </c>
      <c r="F367" s="78">
        <f t="shared" si="116"/>
        <v>0</v>
      </c>
      <c r="G367" s="78">
        <f t="shared" si="116"/>
        <v>2</v>
      </c>
      <c r="H367" s="78">
        <f t="shared" si="116"/>
        <v>0</v>
      </c>
      <c r="I367" s="78">
        <f t="shared" si="116"/>
        <v>2</v>
      </c>
      <c r="J367" s="78">
        <f t="shared" si="116"/>
        <v>1</v>
      </c>
      <c r="K367" s="78">
        <f t="shared" si="116"/>
        <v>0</v>
      </c>
      <c r="L367" s="78">
        <f t="shared" si="116"/>
        <v>0</v>
      </c>
      <c r="M367" s="78">
        <f t="shared" si="116"/>
        <v>1</v>
      </c>
      <c r="N367" s="78">
        <f t="shared" si="116"/>
        <v>0</v>
      </c>
    </row>
    <row r="368" spans="1:14" s="58" customFormat="1" hidden="1" x14ac:dyDescent="0.2">
      <c r="A368" s="59"/>
      <c r="B368" s="89" t="s">
        <v>44</v>
      </c>
      <c r="C368" s="49"/>
      <c r="D368" s="49"/>
      <c r="E368" s="49"/>
      <c r="F368" s="49"/>
      <c r="G368" s="49"/>
      <c r="H368" s="49"/>
      <c r="I368" s="49"/>
      <c r="J368" s="49"/>
      <c r="K368" s="49"/>
      <c r="L368" s="49"/>
      <c r="M368" s="49"/>
      <c r="N368" s="49"/>
    </row>
    <row r="369" spans="1:14" s="58" customFormat="1" hidden="1" x14ac:dyDescent="0.2">
      <c r="A369" s="59"/>
      <c r="B369" s="89" t="s">
        <v>186</v>
      </c>
      <c r="C369" s="53">
        <f>SUM(174*C368)</f>
        <v>0</v>
      </c>
      <c r="D369" s="53">
        <f t="shared" ref="D369:N369" si="117">SUM(174*D368)</f>
        <v>0</v>
      </c>
      <c r="E369" s="53">
        <f t="shared" si="117"/>
        <v>0</v>
      </c>
      <c r="F369" s="53">
        <f t="shared" si="117"/>
        <v>0</v>
      </c>
      <c r="G369" s="53">
        <f t="shared" si="117"/>
        <v>0</v>
      </c>
      <c r="H369" s="53">
        <f t="shared" si="117"/>
        <v>0</v>
      </c>
      <c r="I369" s="53">
        <f t="shared" si="117"/>
        <v>0</v>
      </c>
      <c r="J369" s="53">
        <f t="shared" si="117"/>
        <v>0</v>
      </c>
      <c r="K369" s="53">
        <f t="shared" si="117"/>
        <v>0</v>
      </c>
      <c r="L369" s="53">
        <f t="shared" si="117"/>
        <v>0</v>
      </c>
      <c r="M369" s="53">
        <f t="shared" si="117"/>
        <v>0</v>
      </c>
      <c r="N369" s="53">
        <f t="shared" si="117"/>
        <v>0</v>
      </c>
    </row>
    <row r="370" spans="1:14" s="58" customFormat="1" hidden="1" x14ac:dyDescent="0.2">
      <c r="A370" s="59" t="s">
        <v>193</v>
      </c>
      <c r="B370" s="78" t="s">
        <v>187</v>
      </c>
      <c r="C370" s="66">
        <f>SUM(C369*$B$371)</f>
        <v>0</v>
      </c>
      <c r="D370" s="66">
        <f t="shared" ref="D370:N370" si="118">SUM(D369*$B$371)</f>
        <v>0</v>
      </c>
      <c r="E370" s="66">
        <f t="shared" si="118"/>
        <v>0</v>
      </c>
      <c r="F370" s="66">
        <f t="shared" si="118"/>
        <v>0</v>
      </c>
      <c r="G370" s="66">
        <f t="shared" si="118"/>
        <v>0</v>
      </c>
      <c r="H370" s="66">
        <f t="shared" si="118"/>
        <v>0</v>
      </c>
      <c r="I370" s="66">
        <f t="shared" si="118"/>
        <v>0</v>
      </c>
      <c r="J370" s="66">
        <f t="shared" si="118"/>
        <v>0</v>
      </c>
      <c r="K370" s="66">
        <f t="shared" si="118"/>
        <v>0</v>
      </c>
      <c r="L370" s="66">
        <f t="shared" si="118"/>
        <v>0</v>
      </c>
      <c r="M370" s="66">
        <f t="shared" si="118"/>
        <v>0</v>
      </c>
      <c r="N370" s="66">
        <f t="shared" si="118"/>
        <v>0</v>
      </c>
    </row>
    <row r="371" spans="1:14" s="58" customFormat="1" hidden="1" x14ac:dyDescent="0.2">
      <c r="A371" s="59" t="s">
        <v>188</v>
      </c>
      <c r="B371" s="74">
        <v>0</v>
      </c>
      <c r="C371" s="66">
        <f>SUM(C370)*'Data Links'!$B$15</f>
        <v>0</v>
      </c>
      <c r="D371" s="66">
        <f>SUM(D370)*'Data Links'!$B$15</f>
        <v>0</v>
      </c>
      <c r="E371" s="66">
        <f>SUM(E370)*'Data Links'!$B$15</f>
        <v>0</v>
      </c>
      <c r="F371" s="66">
        <f>SUM(F370)*'Data Links'!$B$15</f>
        <v>0</v>
      </c>
      <c r="G371" s="66">
        <f>SUM(G370)*'Data Links'!$B$15</f>
        <v>0</v>
      </c>
      <c r="H371" s="66">
        <f>SUM(H370)*'Data Links'!$B$15</f>
        <v>0</v>
      </c>
      <c r="I371" s="66">
        <f>SUM(I370)*'Data Links'!$B$15</f>
        <v>0</v>
      </c>
      <c r="J371" s="66">
        <f>SUM(J370)*'Data Links'!$B$15</f>
        <v>0</v>
      </c>
      <c r="K371" s="66">
        <f>SUM(K370)*'Data Links'!$B$15</f>
        <v>0</v>
      </c>
      <c r="L371" s="66">
        <f>SUM(L370)*'Data Links'!$B$15</f>
        <v>0</v>
      </c>
      <c r="M371" s="66">
        <f>SUM(M370)*'Data Links'!$B$15</f>
        <v>0</v>
      </c>
      <c r="N371" s="66">
        <f>SUM(N370)*'Data Links'!$B$15</f>
        <v>0</v>
      </c>
    </row>
    <row r="372" spans="1:14" s="58" customFormat="1" hidden="1" x14ac:dyDescent="0.2">
      <c r="A372" s="59" t="s">
        <v>189</v>
      </c>
      <c r="B372" s="60"/>
      <c r="C372" s="66">
        <f>SUM(C370*'Data Links'!$B$13)</f>
        <v>0</v>
      </c>
      <c r="D372" s="66">
        <f>SUM(D370*'Data Links'!$B$13)</f>
        <v>0</v>
      </c>
      <c r="E372" s="66">
        <f>SUM(E370*'Data Links'!$B$13)</f>
        <v>0</v>
      </c>
      <c r="F372" s="66">
        <f>SUM(F370*'Data Links'!$B$13)</f>
        <v>0</v>
      </c>
      <c r="G372" s="66">
        <f>SUM(G370*'Data Links'!$B$13)</f>
        <v>0</v>
      </c>
      <c r="H372" s="66">
        <f>SUM(H370*'Data Links'!$B$13)</f>
        <v>0</v>
      </c>
      <c r="I372" s="66">
        <f>SUM(I370*'Data Links'!$B$13)</f>
        <v>0</v>
      </c>
      <c r="J372" s="66">
        <f>SUM(J370*'Data Links'!$B$13)</f>
        <v>0</v>
      </c>
      <c r="K372" s="66">
        <f>SUM(K370*'Data Links'!$B$13)</f>
        <v>0</v>
      </c>
      <c r="L372" s="66">
        <f>SUM(L370*'Data Links'!$B$13)</f>
        <v>0</v>
      </c>
      <c r="M372" s="66">
        <f>SUM(M370*'Data Links'!$B$13)</f>
        <v>0</v>
      </c>
      <c r="N372" s="66">
        <f>SUM(N370*'Data Links'!$B$13)</f>
        <v>0</v>
      </c>
    </row>
    <row r="373" spans="1:14" s="58" customFormat="1" hidden="1" x14ac:dyDescent="0.2">
      <c r="A373" s="59" t="s">
        <v>190</v>
      </c>
      <c r="B373" s="60"/>
      <c r="C373" s="66">
        <f>SUM(C369*'Data Links'!$B$10)</f>
        <v>0</v>
      </c>
      <c r="D373" s="66">
        <f>SUM(D369*'Data Links'!$B$10)</f>
        <v>0</v>
      </c>
      <c r="E373" s="66">
        <f>SUM(E369*'Data Links'!$B$10)</f>
        <v>0</v>
      </c>
      <c r="F373" s="66">
        <f>SUM(F369*'Data Links'!$B$10)</f>
        <v>0</v>
      </c>
      <c r="G373" s="66">
        <f>SUM(G369*'Data Links'!$B$10)</f>
        <v>0</v>
      </c>
      <c r="H373" s="66">
        <f>SUM(H369*'Data Links'!$B$10)</f>
        <v>0</v>
      </c>
      <c r="I373" s="66">
        <f>SUM(I369*'Data Links'!$B$10)</f>
        <v>0</v>
      </c>
      <c r="J373" s="66">
        <f>SUM(J369*'Data Links'!$B$10)</f>
        <v>0</v>
      </c>
      <c r="K373" s="66">
        <f>SUM(K369*'Data Links'!$B$10)</f>
        <v>0</v>
      </c>
      <c r="L373" s="66">
        <f>SUM(L369*'Data Links'!$B$10)</f>
        <v>0</v>
      </c>
      <c r="M373" s="66">
        <f>SUM(M369*'Data Links'!$B$10)</f>
        <v>0</v>
      </c>
      <c r="N373" s="66">
        <f>SUM(N369*'Data Links'!$B$10)</f>
        <v>0</v>
      </c>
    </row>
    <row r="374" spans="1:14" s="58" customFormat="1" hidden="1" x14ac:dyDescent="0.2">
      <c r="A374" s="59" t="s">
        <v>191</v>
      </c>
      <c r="B374" s="60"/>
      <c r="C374" s="66">
        <f>SUM(C368*'Data Links'!$B$26)</f>
        <v>0</v>
      </c>
      <c r="D374" s="66">
        <f>SUM(D368*'Data Links'!$B$26)</f>
        <v>0</v>
      </c>
      <c r="E374" s="66">
        <f>SUM(E368*'Data Links'!$B$26)</f>
        <v>0</v>
      </c>
      <c r="F374" s="66">
        <f>SUM(F368*'Data Links'!$B$26)</f>
        <v>0</v>
      </c>
      <c r="G374" s="66">
        <f>SUM(G368*'Data Links'!$B$26)</f>
        <v>0</v>
      </c>
      <c r="H374" s="66">
        <f>SUM(H368*'Data Links'!$B$26)</f>
        <v>0</v>
      </c>
      <c r="I374" s="66">
        <f>SUM(I368*'Data Links'!$B$26)</f>
        <v>0</v>
      </c>
      <c r="J374" s="66">
        <f>SUM(J368*'Data Links'!$B$26)</f>
        <v>0</v>
      </c>
      <c r="K374" s="66">
        <f>SUM(K368*'Data Links'!$B$26)</f>
        <v>0</v>
      </c>
      <c r="L374" s="66">
        <f>SUM(L368*'Data Links'!$B$26)</f>
        <v>0</v>
      </c>
      <c r="M374" s="66">
        <f>SUM(M368*'Data Links'!$B$26)</f>
        <v>0</v>
      </c>
      <c r="N374" s="66">
        <f>SUM(N368*'Data Links'!$B$26)</f>
        <v>0</v>
      </c>
    </row>
    <row r="375" spans="1:14" s="58" customFormat="1" hidden="1" x14ac:dyDescent="0.2">
      <c r="A375" s="59" t="s">
        <v>192</v>
      </c>
      <c r="B375" s="60"/>
      <c r="C375" s="66">
        <f>SUM(C370*'Data Links'!$B$17)</f>
        <v>0</v>
      </c>
      <c r="D375" s="66">
        <f>SUM(D370*'Data Links'!$B$17)</f>
        <v>0</v>
      </c>
      <c r="E375" s="66">
        <f>SUM(E370*'Data Links'!$B$17)</f>
        <v>0</v>
      </c>
      <c r="F375" s="66">
        <f>SUM(F370*'Data Links'!$B$17)</f>
        <v>0</v>
      </c>
      <c r="G375" s="66">
        <f>SUM(G370*'Data Links'!$B$17)</f>
        <v>0</v>
      </c>
      <c r="H375" s="66">
        <f>SUM(H370*'Data Links'!$B$17)</f>
        <v>0</v>
      </c>
      <c r="I375" s="66">
        <f>SUM(I370*'Data Links'!$B$17)</f>
        <v>0</v>
      </c>
      <c r="J375" s="66">
        <f>SUM(J370*'Data Links'!$B$17)</f>
        <v>0</v>
      </c>
      <c r="K375" s="66">
        <f>SUM(K370*'Data Links'!$B$17)</f>
        <v>0</v>
      </c>
      <c r="L375" s="66">
        <f>SUM(L370*'Data Links'!$B$17)</f>
        <v>0</v>
      </c>
      <c r="M375" s="66">
        <f>SUM(M370*'Data Links'!$B$17)</f>
        <v>0</v>
      </c>
      <c r="N375" s="66">
        <f>SUM(N370*'Data Links'!$B$17)</f>
        <v>0</v>
      </c>
    </row>
    <row r="376" spans="1:14" s="58" customFormat="1" hidden="1" x14ac:dyDescent="0.2">
      <c r="A376" s="58" t="s">
        <v>144</v>
      </c>
      <c r="B376" s="60"/>
      <c r="C376" s="60">
        <f t="shared" ref="C376:N376" si="119">SUM(C370:C375)</f>
        <v>0</v>
      </c>
      <c r="D376" s="60">
        <f t="shared" si="119"/>
        <v>0</v>
      </c>
      <c r="E376" s="60">
        <f t="shared" si="119"/>
        <v>0</v>
      </c>
      <c r="F376" s="60">
        <f t="shared" si="119"/>
        <v>0</v>
      </c>
      <c r="G376" s="60">
        <f t="shared" si="119"/>
        <v>0</v>
      </c>
      <c r="H376" s="60">
        <f t="shared" si="119"/>
        <v>0</v>
      </c>
      <c r="I376" s="60">
        <f t="shared" si="119"/>
        <v>0</v>
      </c>
      <c r="J376" s="60">
        <f t="shared" si="119"/>
        <v>0</v>
      </c>
      <c r="K376" s="60">
        <f t="shared" si="119"/>
        <v>0</v>
      </c>
      <c r="L376" s="60">
        <f t="shared" si="119"/>
        <v>0</v>
      </c>
      <c r="M376" s="60">
        <f t="shared" si="119"/>
        <v>0</v>
      </c>
      <c r="N376" s="60">
        <f t="shared" si="119"/>
        <v>0</v>
      </c>
    </row>
    <row r="377" spans="1:14" s="58" customFormat="1" x14ac:dyDescent="0.2">
      <c r="A377" s="59"/>
      <c r="B377" s="60"/>
      <c r="C377" s="224" t="str">
        <f>C352</f>
        <v>January</v>
      </c>
      <c r="D377" s="224" t="str">
        <f t="shared" ref="D377:N377" si="120">D352</f>
        <v>February</v>
      </c>
      <c r="E377" s="224" t="str">
        <f t="shared" si="120"/>
        <v>March</v>
      </c>
      <c r="F377" s="224" t="str">
        <f t="shared" si="120"/>
        <v>April</v>
      </c>
      <c r="G377" s="224" t="str">
        <f t="shared" si="120"/>
        <v>May</v>
      </c>
      <c r="H377" s="224" t="str">
        <f t="shared" si="120"/>
        <v>June</v>
      </c>
      <c r="I377" s="224" t="str">
        <f t="shared" si="120"/>
        <v>July</v>
      </c>
      <c r="J377" s="224" t="str">
        <f t="shared" si="120"/>
        <v>August</v>
      </c>
      <c r="K377" s="224" t="str">
        <f t="shared" si="120"/>
        <v>September</v>
      </c>
      <c r="L377" s="224" t="str">
        <f t="shared" si="120"/>
        <v>October</v>
      </c>
      <c r="M377" s="224" t="str">
        <f t="shared" si="120"/>
        <v>November</v>
      </c>
      <c r="N377" s="224" t="str">
        <f t="shared" si="120"/>
        <v>December</v>
      </c>
    </row>
    <row r="378" spans="1:14" s="58" customFormat="1" x14ac:dyDescent="0.2">
      <c r="A378" s="59"/>
      <c r="B378" s="60"/>
      <c r="C378" s="224"/>
      <c r="D378" s="225"/>
      <c r="E378" s="225"/>
      <c r="F378" s="225"/>
      <c r="G378" s="225"/>
      <c r="H378" s="225"/>
      <c r="I378" s="225"/>
      <c r="J378" s="225"/>
      <c r="K378" s="225"/>
      <c r="L378" s="225"/>
      <c r="M378" s="225"/>
      <c r="N378" s="226"/>
    </row>
    <row r="379" spans="1:14" s="58" customFormat="1" x14ac:dyDescent="0.2">
      <c r="A379" s="59"/>
      <c r="B379" s="89" t="s">
        <v>185</v>
      </c>
      <c r="C379" s="227">
        <f t="shared" ref="C379:N379" si="121">C366</f>
        <v>31</v>
      </c>
      <c r="D379" s="227">
        <f t="shared" si="121"/>
        <v>31</v>
      </c>
      <c r="E379" s="227">
        <f t="shared" si="121"/>
        <v>30</v>
      </c>
      <c r="F379" s="227">
        <f t="shared" si="121"/>
        <v>31</v>
      </c>
      <c r="G379" s="227">
        <f t="shared" si="121"/>
        <v>30</v>
      </c>
      <c r="H379" s="227">
        <f t="shared" si="121"/>
        <v>31</v>
      </c>
      <c r="I379" s="227">
        <f t="shared" si="121"/>
        <v>31</v>
      </c>
      <c r="J379" s="227">
        <f t="shared" si="121"/>
        <v>28</v>
      </c>
      <c r="K379" s="227">
        <f t="shared" si="121"/>
        <v>31</v>
      </c>
      <c r="L379" s="227">
        <f t="shared" si="121"/>
        <v>30</v>
      </c>
      <c r="M379" s="227">
        <f t="shared" si="121"/>
        <v>31</v>
      </c>
      <c r="N379" s="227">
        <f t="shared" si="121"/>
        <v>30</v>
      </c>
    </row>
    <row r="380" spans="1:14" s="58" customFormat="1" x14ac:dyDescent="0.2">
      <c r="A380" s="59"/>
      <c r="B380" s="89" t="s">
        <v>44</v>
      </c>
      <c r="C380" s="228">
        <v>0.15</v>
      </c>
      <c r="D380" s="228">
        <v>0.15</v>
      </c>
      <c r="E380" s="228">
        <v>0.15</v>
      </c>
      <c r="F380" s="228">
        <v>0.15</v>
      </c>
      <c r="G380" s="228">
        <v>0.15</v>
      </c>
      <c r="H380" s="228">
        <v>0.15</v>
      </c>
      <c r="I380" s="228">
        <v>0.15</v>
      </c>
      <c r="J380" s="228">
        <v>0.15</v>
      </c>
      <c r="K380" s="228">
        <v>0.15</v>
      </c>
      <c r="L380" s="228">
        <v>0.15</v>
      </c>
      <c r="M380" s="228">
        <v>0.15</v>
      </c>
      <c r="N380" s="228">
        <v>0.15</v>
      </c>
    </row>
    <row r="381" spans="1:14" s="58" customFormat="1" x14ac:dyDescent="0.2">
      <c r="A381" s="59"/>
      <c r="B381" s="78" t="s">
        <v>186</v>
      </c>
      <c r="C381" s="229">
        <f>SUM(174*C380)</f>
        <v>26.099999999999998</v>
      </c>
      <c r="D381" s="229">
        <f t="shared" ref="D381:N381" si="122">SUM(174*D380)</f>
        <v>26.099999999999998</v>
      </c>
      <c r="E381" s="229">
        <f t="shared" si="122"/>
        <v>26.099999999999998</v>
      </c>
      <c r="F381" s="229">
        <f t="shared" si="122"/>
        <v>26.099999999999998</v>
      </c>
      <c r="G381" s="229">
        <f t="shared" si="122"/>
        <v>26.099999999999998</v>
      </c>
      <c r="H381" s="229">
        <f t="shared" si="122"/>
        <v>26.099999999999998</v>
      </c>
      <c r="I381" s="229">
        <f t="shared" si="122"/>
        <v>26.099999999999998</v>
      </c>
      <c r="J381" s="229">
        <f t="shared" si="122"/>
        <v>26.099999999999998</v>
      </c>
      <c r="K381" s="229">
        <f t="shared" si="122"/>
        <v>26.099999999999998</v>
      </c>
      <c r="L381" s="229">
        <f t="shared" si="122"/>
        <v>26.099999999999998</v>
      </c>
      <c r="M381" s="229">
        <f t="shared" si="122"/>
        <v>26.099999999999998</v>
      </c>
      <c r="N381" s="229">
        <f t="shared" si="122"/>
        <v>26.099999999999998</v>
      </c>
    </row>
    <row r="382" spans="1:14" s="58" customFormat="1" x14ac:dyDescent="0.2">
      <c r="A382" s="59" t="s">
        <v>349</v>
      </c>
      <c r="B382" s="78" t="s">
        <v>348</v>
      </c>
      <c r="C382" s="210">
        <f>SUM(C381)*($B$383)</f>
        <v>411.07499999999999</v>
      </c>
      <c r="D382" s="210">
        <f t="shared" ref="D382:N382" si="123">SUM(D381)*($B$383)</f>
        <v>411.07499999999999</v>
      </c>
      <c r="E382" s="210">
        <f t="shared" si="123"/>
        <v>411.07499999999999</v>
      </c>
      <c r="F382" s="210">
        <f t="shared" si="123"/>
        <v>411.07499999999999</v>
      </c>
      <c r="G382" s="210">
        <f t="shared" si="123"/>
        <v>411.07499999999999</v>
      </c>
      <c r="H382" s="210">
        <f t="shared" si="123"/>
        <v>411.07499999999999</v>
      </c>
      <c r="I382" s="210">
        <f t="shared" si="123"/>
        <v>411.07499999999999</v>
      </c>
      <c r="J382" s="210">
        <f t="shared" si="123"/>
        <v>411.07499999999999</v>
      </c>
      <c r="K382" s="210">
        <f t="shared" si="123"/>
        <v>411.07499999999999</v>
      </c>
      <c r="L382" s="210">
        <f t="shared" si="123"/>
        <v>411.07499999999999</v>
      </c>
      <c r="M382" s="210">
        <f t="shared" si="123"/>
        <v>411.07499999999999</v>
      </c>
      <c r="N382" s="210">
        <f t="shared" si="123"/>
        <v>411.07499999999999</v>
      </c>
    </row>
    <row r="383" spans="1:14" s="58" customFormat="1" x14ac:dyDescent="0.2">
      <c r="A383" s="59" t="s">
        <v>188</v>
      </c>
      <c r="B383" s="74">
        <v>15.75</v>
      </c>
      <c r="C383" s="210">
        <f>SUM(C382)*'Data Links'!$B$15</f>
        <v>31.4472375</v>
      </c>
      <c r="D383" s="210">
        <f>SUM(D382)*'Data Links'!$B$15</f>
        <v>31.4472375</v>
      </c>
      <c r="E383" s="210">
        <f>SUM(E382)*'Data Links'!$B$15</f>
        <v>31.4472375</v>
      </c>
      <c r="F383" s="210">
        <f>SUM(F382)*'Data Links'!$B$15</f>
        <v>31.4472375</v>
      </c>
      <c r="G383" s="210">
        <f>SUM(G382)*'Data Links'!$B$15</f>
        <v>31.4472375</v>
      </c>
      <c r="H383" s="210">
        <f>SUM(H382)*'Data Links'!$B$15</f>
        <v>31.4472375</v>
      </c>
      <c r="I383" s="210">
        <f>SUM(I382)*'Data Links'!$B$15</f>
        <v>31.4472375</v>
      </c>
      <c r="J383" s="210">
        <f>SUM(J382)*'Data Links'!$B$15</f>
        <v>31.4472375</v>
      </c>
      <c r="K383" s="210">
        <f>SUM(K382)*'Data Links'!$B$15</f>
        <v>31.4472375</v>
      </c>
      <c r="L383" s="210">
        <f>SUM(L382)*'Data Links'!$B$15</f>
        <v>31.4472375</v>
      </c>
      <c r="M383" s="210">
        <f>SUM(M382)*'Data Links'!$B$15</f>
        <v>31.4472375</v>
      </c>
      <c r="N383" s="210">
        <f>SUM(N382)*'Data Links'!$B$15</f>
        <v>31.4472375</v>
      </c>
    </row>
    <row r="384" spans="1:14" s="58" customFormat="1" x14ac:dyDescent="0.2">
      <c r="A384" s="59" t="s">
        <v>189</v>
      </c>
      <c r="B384" s="74">
        <v>14.66</v>
      </c>
      <c r="C384" s="210">
        <f>SUM(C382*'Data Links'!$B$13)</f>
        <v>2.46645</v>
      </c>
      <c r="D384" s="210">
        <f>SUM(D382*'Data Links'!$B$13)</f>
        <v>2.46645</v>
      </c>
      <c r="E384" s="210">
        <f>SUM(E382*'Data Links'!$B$13)</f>
        <v>2.46645</v>
      </c>
      <c r="F384" s="210">
        <f>SUM(F382*'Data Links'!$B$13)</f>
        <v>2.46645</v>
      </c>
      <c r="G384" s="210">
        <f>SUM(G382*'Data Links'!$B$13)</f>
        <v>2.46645</v>
      </c>
      <c r="H384" s="210">
        <f>SUM(H382*'Data Links'!$B$13)</f>
        <v>2.46645</v>
      </c>
      <c r="I384" s="210">
        <f>SUM(I382*'Data Links'!$B$13)</f>
        <v>2.46645</v>
      </c>
      <c r="J384" s="210">
        <f>SUM(J382*'Data Links'!$B$13)</f>
        <v>2.46645</v>
      </c>
      <c r="K384" s="210">
        <f>SUM(K382*'Data Links'!$B$13)</f>
        <v>2.46645</v>
      </c>
      <c r="L384" s="210">
        <f>SUM(L382*'Data Links'!$B$13)</f>
        <v>2.46645</v>
      </c>
      <c r="M384" s="210">
        <f>SUM(M382*'Data Links'!$B$13)</f>
        <v>2.46645</v>
      </c>
      <c r="N384" s="210">
        <f>SUM(N382*'Data Links'!$B$13)</f>
        <v>2.46645</v>
      </c>
    </row>
    <row r="385" spans="1:14" s="58" customFormat="1" x14ac:dyDescent="0.2">
      <c r="A385" s="59" t="s">
        <v>190</v>
      </c>
      <c r="B385" s="60"/>
      <c r="C385" s="210">
        <f>SUM(C381*'Data Links'!$B$8)</f>
        <v>2.0318849999999999</v>
      </c>
      <c r="D385" s="210">
        <f>SUM(D381*'Data Links'!$B$8)</f>
        <v>2.0318849999999999</v>
      </c>
      <c r="E385" s="210">
        <f>SUM(E381*'Data Links'!$B$8)</f>
        <v>2.0318849999999999</v>
      </c>
      <c r="F385" s="210">
        <f>SUM(F381*'Data Links'!$B$8)</f>
        <v>2.0318849999999999</v>
      </c>
      <c r="G385" s="210">
        <f>SUM(G381*'Data Links'!$B$8)</f>
        <v>2.0318849999999999</v>
      </c>
      <c r="H385" s="210">
        <f>SUM(H381*'Data Links'!$B$8)</f>
        <v>2.0318849999999999</v>
      </c>
      <c r="I385" s="210">
        <f>SUM(I381*'Data Links'!$B$8)</f>
        <v>2.0318849999999999</v>
      </c>
      <c r="J385" s="210">
        <f>SUM(J381*'Data Links'!$B$8)</f>
        <v>2.0318849999999999</v>
      </c>
      <c r="K385" s="210">
        <f>SUM(K381*'Data Links'!$B$8)</f>
        <v>2.0318849999999999</v>
      </c>
      <c r="L385" s="210">
        <f>SUM(L381*'Data Links'!$B$8)</f>
        <v>2.0318849999999999</v>
      </c>
      <c r="M385" s="210">
        <f>SUM(M381*'Data Links'!$B$8)</f>
        <v>2.0318849999999999</v>
      </c>
      <c r="N385" s="210">
        <f>SUM(N381*'Data Links'!$B$8)</f>
        <v>2.0318849999999999</v>
      </c>
    </row>
    <row r="386" spans="1:14" s="58" customFormat="1" x14ac:dyDescent="0.2">
      <c r="A386" s="59" t="s">
        <v>191</v>
      </c>
      <c r="B386" s="60"/>
      <c r="C386" s="66">
        <f>SUM('All Employees'!$P$47*C380)</f>
        <v>59.491169999999997</v>
      </c>
      <c r="D386" s="66">
        <f>SUM('All Employees'!$P$47*D380)</f>
        <v>59.491169999999997</v>
      </c>
      <c r="E386" s="66">
        <f>SUM('All Employees'!$P$47*E380)</f>
        <v>59.491169999999997</v>
      </c>
      <c r="F386" s="66">
        <f>SUM('All Employees'!$P$47*F380)</f>
        <v>59.491169999999997</v>
      </c>
      <c r="G386" s="66">
        <f>SUM('All Employees'!$P$47*G380)</f>
        <v>59.491169999999997</v>
      </c>
      <c r="H386" s="66">
        <f>SUM('All Employees'!$P$47*H380)</f>
        <v>59.491169999999997</v>
      </c>
      <c r="I386" s="66">
        <f>SUM('All Employees'!$P$47*I380)</f>
        <v>59.491169999999997</v>
      </c>
      <c r="J386" s="66">
        <f>SUM('All Employees'!$P$47*J380)</f>
        <v>59.491169999999997</v>
      </c>
      <c r="K386" s="66">
        <f>SUM('All Employees'!$P$47*K380)</f>
        <v>59.491169999999997</v>
      </c>
      <c r="L386" s="66">
        <f>SUM('All Employees'!$P$47*L380)</f>
        <v>59.491169999999997</v>
      </c>
      <c r="M386" s="66">
        <f>SUM('All Employees'!$P$47*M380)</f>
        <v>59.491169999999997</v>
      </c>
      <c r="N386" s="66">
        <f>SUM('All Employees'!$P$47*N380)</f>
        <v>59.491169999999997</v>
      </c>
    </row>
    <row r="387" spans="1:14" s="58" customFormat="1" x14ac:dyDescent="0.2">
      <c r="A387" s="59" t="s">
        <v>192</v>
      </c>
      <c r="B387" s="60"/>
      <c r="C387" s="66"/>
      <c r="D387" s="66"/>
      <c r="E387" s="66"/>
      <c r="F387" s="66"/>
      <c r="G387" s="66"/>
      <c r="H387" s="66"/>
      <c r="I387" s="66"/>
      <c r="J387" s="66"/>
      <c r="K387" s="66"/>
      <c r="L387" s="66"/>
      <c r="M387" s="66"/>
      <c r="N387" s="66"/>
    </row>
    <row r="388" spans="1:14" s="58" customFormat="1" x14ac:dyDescent="0.2">
      <c r="A388" s="58" t="s">
        <v>144</v>
      </c>
      <c r="B388" s="60"/>
      <c r="C388" s="212">
        <f t="shared" ref="C388:N388" si="124">SUM(C382:C387)</f>
        <v>506.51174249999997</v>
      </c>
      <c r="D388" s="212">
        <f t="shared" si="124"/>
        <v>506.51174249999997</v>
      </c>
      <c r="E388" s="212">
        <f t="shared" si="124"/>
        <v>506.51174249999997</v>
      </c>
      <c r="F388" s="212">
        <f t="shared" si="124"/>
        <v>506.51174249999997</v>
      </c>
      <c r="G388" s="212">
        <f t="shared" si="124"/>
        <v>506.51174249999997</v>
      </c>
      <c r="H388" s="212">
        <f t="shared" si="124"/>
        <v>506.51174249999997</v>
      </c>
      <c r="I388" s="212">
        <f t="shared" si="124"/>
        <v>506.51174249999997</v>
      </c>
      <c r="J388" s="212">
        <f t="shared" si="124"/>
        <v>506.51174249999997</v>
      </c>
      <c r="K388" s="212">
        <f t="shared" si="124"/>
        <v>506.51174249999997</v>
      </c>
      <c r="L388" s="212">
        <f t="shared" si="124"/>
        <v>506.51174249999997</v>
      </c>
      <c r="M388" s="212">
        <f t="shared" si="124"/>
        <v>506.51174249999997</v>
      </c>
      <c r="N388" s="212">
        <f t="shared" si="124"/>
        <v>506.51174249999997</v>
      </c>
    </row>
    <row r="389" spans="1:14" s="58" customFormat="1" x14ac:dyDescent="0.2">
      <c r="A389" s="59"/>
      <c r="B389" s="60"/>
      <c r="C389" s="212"/>
      <c r="D389" s="210"/>
      <c r="E389" s="210"/>
      <c r="F389" s="210"/>
      <c r="G389" s="210"/>
      <c r="H389" s="210"/>
      <c r="I389" s="210"/>
      <c r="J389" s="210"/>
      <c r="K389" s="210"/>
      <c r="L389" s="210"/>
      <c r="M389" s="210"/>
      <c r="N389" s="210"/>
    </row>
    <row r="390" spans="1:14" s="58" customFormat="1" x14ac:dyDescent="0.2">
      <c r="A390" s="59"/>
      <c r="B390" s="60"/>
      <c r="C390" s="224" t="str">
        <f>C377</f>
        <v>January</v>
      </c>
      <c r="D390" s="224" t="str">
        <f t="shared" ref="D390:N390" si="125">D377</f>
        <v>February</v>
      </c>
      <c r="E390" s="224" t="str">
        <f t="shared" si="125"/>
        <v>March</v>
      </c>
      <c r="F390" s="224" t="str">
        <f t="shared" si="125"/>
        <v>April</v>
      </c>
      <c r="G390" s="224" t="str">
        <f t="shared" si="125"/>
        <v>May</v>
      </c>
      <c r="H390" s="224" t="str">
        <f t="shared" si="125"/>
        <v>June</v>
      </c>
      <c r="I390" s="224" t="str">
        <f t="shared" si="125"/>
        <v>July</v>
      </c>
      <c r="J390" s="224" t="str">
        <f t="shared" si="125"/>
        <v>August</v>
      </c>
      <c r="K390" s="224" t="str">
        <f t="shared" si="125"/>
        <v>September</v>
      </c>
      <c r="L390" s="224" t="str">
        <f t="shared" si="125"/>
        <v>October</v>
      </c>
      <c r="M390" s="224" t="str">
        <f t="shared" si="125"/>
        <v>November</v>
      </c>
      <c r="N390" s="224" t="str">
        <f t="shared" si="125"/>
        <v>December</v>
      </c>
    </row>
    <row r="391" spans="1:14" s="58" customFormat="1" x14ac:dyDescent="0.2">
      <c r="A391" s="59"/>
      <c r="B391" s="60"/>
      <c r="C391" s="225">
        <v>31</v>
      </c>
      <c r="D391" s="225">
        <v>31</v>
      </c>
      <c r="E391" s="225">
        <v>30</v>
      </c>
      <c r="F391" s="225">
        <v>31</v>
      </c>
      <c r="G391" s="225">
        <v>30</v>
      </c>
      <c r="H391" s="225">
        <v>31</v>
      </c>
      <c r="I391" s="225">
        <v>31</v>
      </c>
      <c r="J391" s="225">
        <v>28</v>
      </c>
      <c r="K391" s="225">
        <v>31</v>
      </c>
      <c r="L391" s="225">
        <v>30</v>
      </c>
      <c r="M391" s="225">
        <v>31</v>
      </c>
      <c r="N391" s="226">
        <v>30</v>
      </c>
    </row>
    <row r="392" spans="1:14" s="58" customFormat="1" x14ac:dyDescent="0.2">
      <c r="A392" s="59"/>
      <c r="B392" s="89" t="s">
        <v>185</v>
      </c>
      <c r="C392" s="227">
        <f t="shared" ref="C392:N392" si="126">C379</f>
        <v>31</v>
      </c>
      <c r="D392" s="227">
        <f t="shared" si="126"/>
        <v>31</v>
      </c>
      <c r="E392" s="227">
        <f t="shared" si="126"/>
        <v>30</v>
      </c>
      <c r="F392" s="227">
        <f t="shared" si="126"/>
        <v>31</v>
      </c>
      <c r="G392" s="227">
        <f t="shared" si="126"/>
        <v>30</v>
      </c>
      <c r="H392" s="227">
        <f t="shared" si="126"/>
        <v>31</v>
      </c>
      <c r="I392" s="227">
        <f t="shared" si="126"/>
        <v>31</v>
      </c>
      <c r="J392" s="227">
        <f t="shared" si="126"/>
        <v>28</v>
      </c>
      <c r="K392" s="227">
        <f t="shared" si="126"/>
        <v>31</v>
      </c>
      <c r="L392" s="227">
        <f t="shared" si="126"/>
        <v>30</v>
      </c>
      <c r="M392" s="227">
        <f t="shared" si="126"/>
        <v>31</v>
      </c>
      <c r="N392" s="227">
        <f t="shared" si="126"/>
        <v>30</v>
      </c>
    </row>
    <row r="393" spans="1:14" s="58" customFormat="1" x14ac:dyDescent="0.2">
      <c r="A393" s="59"/>
      <c r="B393" s="89" t="s">
        <v>44</v>
      </c>
      <c r="C393" s="228">
        <v>0.15</v>
      </c>
      <c r="D393" s="228">
        <v>0.15</v>
      </c>
      <c r="E393" s="228">
        <v>0.15</v>
      </c>
      <c r="F393" s="228">
        <v>0.15</v>
      </c>
      <c r="G393" s="228">
        <v>0.15</v>
      </c>
      <c r="H393" s="228">
        <v>0.15</v>
      </c>
      <c r="I393" s="228">
        <v>0.15</v>
      </c>
      <c r="J393" s="228">
        <v>0.15</v>
      </c>
      <c r="K393" s="228">
        <v>0.15</v>
      </c>
      <c r="L393" s="228">
        <v>0.15</v>
      </c>
      <c r="M393" s="228">
        <v>0.15</v>
      </c>
      <c r="N393" s="228">
        <v>0.15</v>
      </c>
    </row>
    <row r="394" spans="1:14" s="58" customFormat="1" x14ac:dyDescent="0.2">
      <c r="A394" s="59"/>
      <c r="B394" s="89" t="s">
        <v>186</v>
      </c>
      <c r="C394" s="229">
        <f>SUM(174*C393)</f>
        <v>26.099999999999998</v>
      </c>
      <c r="D394" s="229">
        <f t="shared" ref="D394:N394" si="127">SUM(174*D393)</f>
        <v>26.099999999999998</v>
      </c>
      <c r="E394" s="229">
        <f t="shared" si="127"/>
        <v>26.099999999999998</v>
      </c>
      <c r="F394" s="229">
        <f t="shared" si="127"/>
        <v>26.099999999999998</v>
      </c>
      <c r="G394" s="229">
        <f t="shared" si="127"/>
        <v>26.099999999999998</v>
      </c>
      <c r="H394" s="229">
        <f t="shared" si="127"/>
        <v>26.099999999999998</v>
      </c>
      <c r="I394" s="229">
        <f t="shared" si="127"/>
        <v>26.099999999999998</v>
      </c>
      <c r="J394" s="229">
        <f t="shared" si="127"/>
        <v>26.099999999999998</v>
      </c>
      <c r="K394" s="229">
        <f t="shared" si="127"/>
        <v>26.099999999999998</v>
      </c>
      <c r="L394" s="229">
        <f t="shared" si="127"/>
        <v>26.099999999999998</v>
      </c>
      <c r="M394" s="229">
        <f t="shared" si="127"/>
        <v>26.099999999999998</v>
      </c>
      <c r="N394" s="229">
        <f t="shared" si="127"/>
        <v>26.099999999999998</v>
      </c>
    </row>
    <row r="395" spans="1:14" s="58" customFormat="1" x14ac:dyDescent="0.2">
      <c r="A395" s="59" t="s">
        <v>557</v>
      </c>
      <c r="B395" s="78" t="s">
        <v>187</v>
      </c>
      <c r="C395" s="210">
        <f>SUM(C394*$B$396)</f>
        <v>479.19599999999997</v>
      </c>
      <c r="D395" s="210">
        <f t="shared" ref="D395:N395" si="128">SUM(D394*$B$396)</f>
        <v>479.19599999999997</v>
      </c>
      <c r="E395" s="210">
        <f t="shared" si="128"/>
        <v>479.19599999999997</v>
      </c>
      <c r="F395" s="210">
        <f t="shared" si="128"/>
        <v>479.19599999999997</v>
      </c>
      <c r="G395" s="210">
        <f t="shared" si="128"/>
        <v>479.19599999999997</v>
      </c>
      <c r="H395" s="210">
        <f t="shared" si="128"/>
        <v>479.19599999999997</v>
      </c>
      <c r="I395" s="210">
        <f t="shared" si="128"/>
        <v>479.19599999999997</v>
      </c>
      <c r="J395" s="210">
        <f t="shared" si="128"/>
        <v>479.19599999999997</v>
      </c>
      <c r="K395" s="210">
        <f t="shared" si="128"/>
        <v>479.19599999999997</v>
      </c>
      <c r="L395" s="210">
        <f t="shared" si="128"/>
        <v>479.19599999999997</v>
      </c>
      <c r="M395" s="210">
        <f t="shared" si="128"/>
        <v>479.19599999999997</v>
      </c>
      <c r="N395" s="210">
        <f t="shared" si="128"/>
        <v>479.19599999999997</v>
      </c>
    </row>
    <row r="396" spans="1:14" s="58" customFormat="1" x14ac:dyDescent="0.2">
      <c r="A396" s="59" t="s">
        <v>188</v>
      </c>
      <c r="B396" s="74">
        <v>18.36</v>
      </c>
      <c r="C396" s="210">
        <f>SUM(C395)*'Data Links'!$B$15</f>
        <v>36.658493999999997</v>
      </c>
      <c r="D396" s="210">
        <f>SUM(D395)*'Data Links'!$B$15</f>
        <v>36.658493999999997</v>
      </c>
      <c r="E396" s="210">
        <f>SUM(E395)*'Data Links'!$B$15</f>
        <v>36.658493999999997</v>
      </c>
      <c r="F396" s="210">
        <f>SUM(F395)*'Data Links'!$B$15</f>
        <v>36.658493999999997</v>
      </c>
      <c r="G396" s="210">
        <f>SUM(G395)*'Data Links'!$B$15</f>
        <v>36.658493999999997</v>
      </c>
      <c r="H396" s="210">
        <f>SUM(H395)*'Data Links'!$B$15</f>
        <v>36.658493999999997</v>
      </c>
      <c r="I396" s="210">
        <f>SUM(I395)*'Data Links'!$B$15</f>
        <v>36.658493999999997</v>
      </c>
      <c r="J396" s="210">
        <f>SUM(J395)*'Data Links'!$B$15</f>
        <v>36.658493999999997</v>
      </c>
      <c r="K396" s="210">
        <f>SUM(K395)*'Data Links'!$B$15</f>
        <v>36.658493999999997</v>
      </c>
      <c r="L396" s="210">
        <f>SUM(L395)*'Data Links'!$B$15</f>
        <v>36.658493999999997</v>
      </c>
      <c r="M396" s="210">
        <f>SUM(M395)*'Data Links'!$B$15</f>
        <v>36.658493999999997</v>
      </c>
      <c r="N396" s="210">
        <f>SUM(N395)*'Data Links'!$B$15</f>
        <v>36.658493999999997</v>
      </c>
    </row>
    <row r="397" spans="1:14" s="58" customFormat="1" x14ac:dyDescent="0.2">
      <c r="A397" s="59" t="s">
        <v>189</v>
      </c>
      <c r="B397" s="60"/>
      <c r="C397" s="210">
        <f>SUM(C395*'Data Links'!$B$13)</f>
        <v>2.8751759999999997</v>
      </c>
      <c r="D397" s="210">
        <f>SUM(D395*'Data Links'!$B$13)</f>
        <v>2.8751759999999997</v>
      </c>
      <c r="E397" s="210">
        <f>SUM(E395*'Data Links'!$B$13)</f>
        <v>2.8751759999999997</v>
      </c>
      <c r="F397" s="210">
        <f>SUM(F395*'Data Links'!$B$13)</f>
        <v>2.8751759999999997</v>
      </c>
      <c r="G397" s="210">
        <f>SUM(G395*'Data Links'!$B$13)</f>
        <v>2.8751759999999997</v>
      </c>
      <c r="H397" s="210">
        <f>SUM(H395*'Data Links'!$B$13)</f>
        <v>2.8751759999999997</v>
      </c>
      <c r="I397" s="210">
        <f>SUM(I395*'Data Links'!$B$13)</f>
        <v>2.8751759999999997</v>
      </c>
      <c r="J397" s="210">
        <f>SUM(J395*'Data Links'!$B$13)</f>
        <v>2.8751759999999997</v>
      </c>
      <c r="K397" s="210">
        <f>SUM(K395*'Data Links'!$B$13)</f>
        <v>2.8751759999999997</v>
      </c>
      <c r="L397" s="210">
        <f>SUM(L395*'Data Links'!$B$13)</f>
        <v>2.8751759999999997</v>
      </c>
      <c r="M397" s="210">
        <f>SUM(M395*'Data Links'!$B$13)</f>
        <v>2.8751759999999997</v>
      </c>
      <c r="N397" s="210">
        <f>SUM(N395*'Data Links'!$B$13)</f>
        <v>2.8751759999999997</v>
      </c>
    </row>
    <row r="398" spans="1:14" s="58" customFormat="1" x14ac:dyDescent="0.2">
      <c r="A398" s="59" t="s">
        <v>190</v>
      </c>
      <c r="B398" s="60"/>
      <c r="C398" s="210">
        <f>SUM(C394*'Data Links'!$B$8)</f>
        <v>2.0318849999999999</v>
      </c>
      <c r="D398" s="210">
        <f>SUM(D394*'Data Links'!$B$8)</f>
        <v>2.0318849999999999</v>
      </c>
      <c r="E398" s="210">
        <f>SUM(E394*'Data Links'!$B$8)</f>
        <v>2.0318849999999999</v>
      </c>
      <c r="F398" s="210">
        <f>SUM(F394*'Data Links'!$B$8)</f>
        <v>2.0318849999999999</v>
      </c>
      <c r="G398" s="210">
        <f>SUM(G394*'Data Links'!$B$8)</f>
        <v>2.0318849999999999</v>
      </c>
      <c r="H398" s="210">
        <f>SUM(H394*'Data Links'!$B$8)</f>
        <v>2.0318849999999999</v>
      </c>
      <c r="I398" s="210">
        <f>SUM(I394*'Data Links'!$B$8)</f>
        <v>2.0318849999999999</v>
      </c>
      <c r="J398" s="210">
        <f>SUM(J394*'Data Links'!$B$8)</f>
        <v>2.0318849999999999</v>
      </c>
      <c r="K398" s="210">
        <f>SUM(K394*'Data Links'!$B$8)</f>
        <v>2.0318849999999999</v>
      </c>
      <c r="L398" s="210">
        <f>SUM(L394*'Data Links'!$B$8)</f>
        <v>2.0318849999999999</v>
      </c>
      <c r="M398" s="210">
        <f>SUM(M394*'Data Links'!$B$8)</f>
        <v>2.0318849999999999</v>
      </c>
      <c r="N398" s="210">
        <f>SUM(N394*'Data Links'!$B$8)</f>
        <v>2.0318849999999999</v>
      </c>
    </row>
    <row r="399" spans="1:14" s="58" customFormat="1" x14ac:dyDescent="0.2">
      <c r="A399" s="59" t="s">
        <v>191</v>
      </c>
      <c r="B399" s="60"/>
      <c r="C399" s="210">
        <f>SUM('All Employees'!$P$50*C393)</f>
        <v>63.9</v>
      </c>
      <c r="D399" s="210">
        <f>SUM('All Employees'!$P$50*D393)</f>
        <v>63.9</v>
      </c>
      <c r="E399" s="210">
        <f>SUM('All Employees'!$P$50*E393)</f>
        <v>63.9</v>
      </c>
      <c r="F399" s="210">
        <f>SUM('All Employees'!$P$50*F393)</f>
        <v>63.9</v>
      </c>
      <c r="G399" s="210">
        <f>SUM('All Employees'!$P$50*G393)</f>
        <v>63.9</v>
      </c>
      <c r="H399" s="210">
        <f>SUM('All Employees'!$P$50*H393)</f>
        <v>63.9</v>
      </c>
      <c r="I399" s="210">
        <f>SUM('All Employees'!$P$50*I393)</f>
        <v>63.9</v>
      </c>
      <c r="J399" s="210">
        <f>SUM('All Employees'!$P$50*J393)</f>
        <v>63.9</v>
      </c>
      <c r="K399" s="210">
        <f>SUM('All Employees'!$P$50*K393)</f>
        <v>63.9</v>
      </c>
      <c r="L399" s="210">
        <f>SUM('All Employees'!$P$50*L393)</f>
        <v>63.9</v>
      </c>
      <c r="M399" s="210">
        <f>SUM('All Employees'!$P$50*M393)</f>
        <v>63.9</v>
      </c>
      <c r="N399" s="210">
        <f>SUM('All Employees'!$P$50*N393)</f>
        <v>63.9</v>
      </c>
    </row>
    <row r="400" spans="1:14" s="58" customFormat="1" x14ac:dyDescent="0.2">
      <c r="A400" s="59" t="s">
        <v>192</v>
      </c>
      <c r="B400" s="60"/>
      <c r="C400" s="66"/>
      <c r="D400" s="66"/>
      <c r="E400" s="66"/>
      <c r="F400" s="66"/>
      <c r="G400" s="66"/>
      <c r="H400" s="66"/>
      <c r="I400" s="66"/>
      <c r="J400" s="66"/>
      <c r="K400" s="66"/>
      <c r="L400" s="66"/>
      <c r="M400" s="66"/>
      <c r="N400" s="66"/>
    </row>
    <row r="401" spans="1:14" s="58" customFormat="1" x14ac:dyDescent="0.2">
      <c r="A401" s="58" t="s">
        <v>144</v>
      </c>
      <c r="B401" s="60"/>
      <c r="C401" s="212">
        <f t="shared" ref="C401:N401" si="129">SUM(C395:C400)</f>
        <v>584.66155499999991</v>
      </c>
      <c r="D401" s="212">
        <f t="shared" si="129"/>
        <v>584.66155499999991</v>
      </c>
      <c r="E401" s="212">
        <f t="shared" si="129"/>
        <v>584.66155499999991</v>
      </c>
      <c r="F401" s="212">
        <f t="shared" si="129"/>
        <v>584.66155499999991</v>
      </c>
      <c r="G401" s="212">
        <f t="shared" si="129"/>
        <v>584.66155499999991</v>
      </c>
      <c r="H401" s="212">
        <f t="shared" si="129"/>
        <v>584.66155499999991</v>
      </c>
      <c r="I401" s="212">
        <f t="shared" si="129"/>
        <v>584.66155499999991</v>
      </c>
      <c r="J401" s="212">
        <f t="shared" si="129"/>
        <v>584.66155499999991</v>
      </c>
      <c r="K401" s="212">
        <f t="shared" si="129"/>
        <v>584.66155499999991</v>
      </c>
      <c r="L401" s="212">
        <f t="shared" si="129"/>
        <v>584.66155499999991</v>
      </c>
      <c r="M401" s="212">
        <f t="shared" si="129"/>
        <v>584.66155499999991</v>
      </c>
      <c r="N401" s="212">
        <f t="shared" si="129"/>
        <v>584.66155499999991</v>
      </c>
    </row>
    <row r="402" spans="1:14" s="58" customFormat="1" x14ac:dyDescent="0.2">
      <c r="B402" s="60"/>
      <c r="C402" s="60"/>
      <c r="D402" s="60"/>
      <c r="E402" s="60"/>
      <c r="F402" s="60"/>
      <c r="G402" s="60"/>
      <c r="H402" s="60"/>
      <c r="I402" s="60"/>
      <c r="J402" s="60"/>
      <c r="K402" s="60"/>
      <c r="L402" s="60"/>
      <c r="M402" s="60"/>
      <c r="N402" s="60"/>
    </row>
    <row r="403" spans="1:14" s="58" customFormat="1" x14ac:dyDescent="0.2">
      <c r="A403" s="59"/>
      <c r="B403" s="60"/>
      <c r="C403" s="89" t="str">
        <f>C390</f>
        <v>January</v>
      </c>
      <c r="D403" s="89" t="str">
        <f t="shared" ref="D403:M403" si="130">D390</f>
        <v>February</v>
      </c>
      <c r="E403" s="89" t="str">
        <f t="shared" si="130"/>
        <v>March</v>
      </c>
      <c r="F403" s="89" t="str">
        <f t="shared" si="130"/>
        <v>April</v>
      </c>
      <c r="G403" s="89" t="str">
        <f t="shared" si="130"/>
        <v>May</v>
      </c>
      <c r="H403" s="89" t="str">
        <f t="shared" si="130"/>
        <v>June</v>
      </c>
      <c r="I403" s="89" t="str">
        <f t="shared" si="130"/>
        <v>July</v>
      </c>
      <c r="J403" s="89" t="str">
        <f t="shared" si="130"/>
        <v>August</v>
      </c>
      <c r="K403" s="89" t="str">
        <f t="shared" si="130"/>
        <v>September</v>
      </c>
      <c r="L403" s="89" t="str">
        <f t="shared" si="130"/>
        <v>October</v>
      </c>
      <c r="M403" s="89" t="str">
        <f t="shared" si="130"/>
        <v>November</v>
      </c>
      <c r="N403" s="89" t="str">
        <f>N390</f>
        <v>December</v>
      </c>
    </row>
    <row r="404" spans="1:14" s="58" customFormat="1" x14ac:dyDescent="0.2">
      <c r="A404" s="59"/>
      <c r="B404" s="60"/>
      <c r="C404" s="72">
        <v>31</v>
      </c>
      <c r="D404" s="72">
        <v>31</v>
      </c>
      <c r="E404" s="72">
        <v>30</v>
      </c>
      <c r="F404" s="72">
        <v>31</v>
      </c>
      <c r="G404" s="72">
        <v>30</v>
      </c>
      <c r="H404" s="72">
        <v>31</v>
      </c>
      <c r="I404" s="72">
        <v>31</v>
      </c>
      <c r="J404" s="72">
        <v>28</v>
      </c>
      <c r="K404" s="72">
        <v>31</v>
      </c>
      <c r="L404" s="72">
        <v>30</v>
      </c>
      <c r="M404" s="72">
        <v>31</v>
      </c>
      <c r="N404" s="71">
        <v>30</v>
      </c>
    </row>
    <row r="405" spans="1:14" s="58" customFormat="1" x14ac:dyDescent="0.2">
      <c r="A405" s="59"/>
      <c r="B405" s="89" t="s">
        <v>185</v>
      </c>
      <c r="C405" s="78">
        <f t="shared" ref="C405:N405" si="131">C392</f>
        <v>31</v>
      </c>
      <c r="D405" s="78">
        <f t="shared" si="131"/>
        <v>31</v>
      </c>
      <c r="E405" s="78">
        <f t="shared" si="131"/>
        <v>30</v>
      </c>
      <c r="F405" s="78">
        <f t="shared" si="131"/>
        <v>31</v>
      </c>
      <c r="G405" s="78">
        <f t="shared" si="131"/>
        <v>30</v>
      </c>
      <c r="H405" s="78">
        <f t="shared" si="131"/>
        <v>31</v>
      </c>
      <c r="I405" s="78">
        <f t="shared" si="131"/>
        <v>31</v>
      </c>
      <c r="J405" s="78">
        <f t="shared" si="131"/>
        <v>28</v>
      </c>
      <c r="K405" s="78">
        <f t="shared" si="131"/>
        <v>31</v>
      </c>
      <c r="L405" s="78">
        <f t="shared" si="131"/>
        <v>30</v>
      </c>
      <c r="M405" s="78">
        <f t="shared" si="131"/>
        <v>31</v>
      </c>
      <c r="N405" s="78">
        <f t="shared" si="131"/>
        <v>30</v>
      </c>
    </row>
    <row r="406" spans="1:14" s="58" customFormat="1" x14ac:dyDescent="0.2">
      <c r="A406" s="59"/>
      <c r="B406" s="89" t="s">
        <v>44</v>
      </c>
      <c r="C406" s="49">
        <v>0.75</v>
      </c>
      <c r="D406" s="49">
        <v>0.75</v>
      </c>
      <c r="E406" s="49">
        <v>0.75</v>
      </c>
      <c r="F406" s="49">
        <v>0.75</v>
      </c>
      <c r="G406" s="49">
        <v>0.75</v>
      </c>
      <c r="H406" s="49">
        <v>0.75</v>
      </c>
      <c r="I406" s="49">
        <v>0.75</v>
      </c>
      <c r="J406" s="49">
        <v>0.75</v>
      </c>
      <c r="K406" s="49">
        <v>0.75</v>
      </c>
      <c r="L406" s="49">
        <v>0.75</v>
      </c>
      <c r="M406" s="49">
        <v>0.75</v>
      </c>
      <c r="N406" s="49">
        <v>0.75</v>
      </c>
    </row>
    <row r="407" spans="1:14" s="58" customFormat="1" x14ac:dyDescent="0.2">
      <c r="A407" s="59"/>
      <c r="B407" s="89" t="s">
        <v>186</v>
      </c>
      <c r="C407" s="53">
        <f>SUM(174*C406)</f>
        <v>130.5</v>
      </c>
      <c r="D407" s="53">
        <f t="shared" ref="D407:N407" si="132">SUM(174*D406)</f>
        <v>130.5</v>
      </c>
      <c r="E407" s="53">
        <f t="shared" si="132"/>
        <v>130.5</v>
      </c>
      <c r="F407" s="53">
        <f t="shared" si="132"/>
        <v>130.5</v>
      </c>
      <c r="G407" s="53">
        <f t="shared" si="132"/>
        <v>130.5</v>
      </c>
      <c r="H407" s="53">
        <f t="shared" si="132"/>
        <v>130.5</v>
      </c>
      <c r="I407" s="53">
        <f t="shared" si="132"/>
        <v>130.5</v>
      </c>
      <c r="J407" s="53">
        <f t="shared" si="132"/>
        <v>130.5</v>
      </c>
      <c r="K407" s="53">
        <f t="shared" si="132"/>
        <v>130.5</v>
      </c>
      <c r="L407" s="53">
        <f t="shared" si="132"/>
        <v>130.5</v>
      </c>
      <c r="M407" s="53">
        <f t="shared" si="132"/>
        <v>130.5</v>
      </c>
      <c r="N407" s="53">
        <f t="shared" si="132"/>
        <v>130.5</v>
      </c>
    </row>
    <row r="408" spans="1:14" s="58" customFormat="1" x14ac:dyDescent="0.2">
      <c r="A408" s="59" t="s">
        <v>471</v>
      </c>
      <c r="B408" s="78" t="s">
        <v>431</v>
      </c>
      <c r="C408" s="66">
        <f>SUM(C407*$B$409)</f>
        <v>1957.5</v>
      </c>
      <c r="D408" s="66">
        <f t="shared" ref="D408:N408" si="133">SUM(D407*$B$409)</f>
        <v>1957.5</v>
      </c>
      <c r="E408" s="66">
        <f t="shared" si="133"/>
        <v>1957.5</v>
      </c>
      <c r="F408" s="66">
        <f t="shared" si="133"/>
        <v>1957.5</v>
      </c>
      <c r="G408" s="66">
        <f t="shared" si="133"/>
        <v>1957.5</v>
      </c>
      <c r="H408" s="66">
        <f t="shared" si="133"/>
        <v>1957.5</v>
      </c>
      <c r="I408" s="66">
        <f t="shared" si="133"/>
        <v>1957.5</v>
      </c>
      <c r="J408" s="66">
        <f t="shared" si="133"/>
        <v>1957.5</v>
      </c>
      <c r="K408" s="66">
        <f t="shared" si="133"/>
        <v>1957.5</v>
      </c>
      <c r="L408" s="66">
        <f t="shared" si="133"/>
        <v>1957.5</v>
      </c>
      <c r="M408" s="66">
        <f t="shared" si="133"/>
        <v>1957.5</v>
      </c>
      <c r="N408" s="66">
        <f t="shared" si="133"/>
        <v>1957.5</v>
      </c>
    </row>
    <row r="409" spans="1:14" s="58" customFormat="1" x14ac:dyDescent="0.2">
      <c r="A409" s="59" t="s">
        <v>188</v>
      </c>
      <c r="B409" s="74">
        <v>15</v>
      </c>
      <c r="C409" s="66">
        <f>SUM(C408)*'Data Links'!$B$15</f>
        <v>149.74875</v>
      </c>
      <c r="D409" s="66">
        <f>SUM(D408)*'Data Links'!$B$15</f>
        <v>149.74875</v>
      </c>
      <c r="E409" s="66">
        <f>SUM(E408)*'Data Links'!$B$15</f>
        <v>149.74875</v>
      </c>
      <c r="F409" s="66">
        <f>SUM(F408)*'Data Links'!$B$15</f>
        <v>149.74875</v>
      </c>
      <c r="G409" s="66">
        <f>SUM(G408)*'Data Links'!$B$15</f>
        <v>149.74875</v>
      </c>
      <c r="H409" s="66">
        <f>SUM(H408)*'Data Links'!$B$15</f>
        <v>149.74875</v>
      </c>
      <c r="I409" s="66">
        <f>SUM(I408)*'Data Links'!$B$15</f>
        <v>149.74875</v>
      </c>
      <c r="J409" s="66">
        <f>SUM(J408)*'Data Links'!$B$15</f>
        <v>149.74875</v>
      </c>
      <c r="K409" s="66">
        <f>SUM(K408)*'Data Links'!$B$15</f>
        <v>149.74875</v>
      </c>
      <c r="L409" s="66">
        <f>SUM(L408)*'Data Links'!$B$15</f>
        <v>149.74875</v>
      </c>
      <c r="M409" s="66">
        <f>SUM(M408)*'Data Links'!$B$15</f>
        <v>149.74875</v>
      </c>
      <c r="N409" s="66">
        <f>SUM(N408)*'Data Links'!$B$15</f>
        <v>149.74875</v>
      </c>
    </row>
    <row r="410" spans="1:14" s="58" customFormat="1" x14ac:dyDescent="0.2">
      <c r="A410" s="59" t="s">
        <v>189</v>
      </c>
      <c r="B410" s="74">
        <v>13</v>
      </c>
      <c r="C410" s="66">
        <f>SUM(C408*'Data Links'!$B$13)</f>
        <v>11.745000000000001</v>
      </c>
      <c r="D410" s="66">
        <f>SUM(D408*'Data Links'!$B$13)</f>
        <v>11.745000000000001</v>
      </c>
      <c r="E410" s="66">
        <f>SUM(E408*'Data Links'!$B$13)</f>
        <v>11.745000000000001</v>
      </c>
      <c r="F410" s="66">
        <f>SUM(F408*'Data Links'!$B$13)</f>
        <v>11.745000000000001</v>
      </c>
      <c r="G410" s="66">
        <f>SUM(G408*'Data Links'!$B$13)</f>
        <v>11.745000000000001</v>
      </c>
      <c r="H410" s="66">
        <f>SUM(H408*'Data Links'!$B$13)</f>
        <v>11.745000000000001</v>
      </c>
      <c r="I410" s="66">
        <f>SUM(I408*'Data Links'!$B$13)</f>
        <v>11.745000000000001</v>
      </c>
      <c r="J410" s="66">
        <f>SUM(J408*'Data Links'!$B$13)</f>
        <v>11.745000000000001</v>
      </c>
      <c r="K410" s="66">
        <f>SUM(K408*'Data Links'!$B$13)</f>
        <v>11.745000000000001</v>
      </c>
      <c r="L410" s="66">
        <f>SUM(L408*'Data Links'!$B$13)</f>
        <v>11.745000000000001</v>
      </c>
      <c r="M410" s="66">
        <f>SUM(M408*'Data Links'!$B$13)</f>
        <v>11.745000000000001</v>
      </c>
      <c r="N410" s="66">
        <f>SUM(N408*'Data Links'!$B$13)</f>
        <v>11.745000000000001</v>
      </c>
    </row>
    <row r="411" spans="1:14" s="58" customFormat="1" x14ac:dyDescent="0.2">
      <c r="A411" s="59" t="s">
        <v>190</v>
      </c>
      <c r="B411" s="60"/>
      <c r="C411" s="66">
        <f>SUM(C407*'Data Links'!$B$8)</f>
        <v>10.159425000000001</v>
      </c>
      <c r="D411" s="66">
        <f>SUM(D407*'Data Links'!$B$8)</f>
        <v>10.159425000000001</v>
      </c>
      <c r="E411" s="66">
        <f>SUM(E407*'Data Links'!$B$8)</f>
        <v>10.159425000000001</v>
      </c>
      <c r="F411" s="66">
        <f>SUM(F407*'Data Links'!$B$8)</f>
        <v>10.159425000000001</v>
      </c>
      <c r="G411" s="66">
        <f>SUM(G407*'Data Links'!$B$8)</f>
        <v>10.159425000000001</v>
      </c>
      <c r="H411" s="66">
        <f>SUM(H407*'Data Links'!$B$8)</f>
        <v>10.159425000000001</v>
      </c>
      <c r="I411" s="66">
        <f>SUM(I407*'Data Links'!$B$8)</f>
        <v>10.159425000000001</v>
      </c>
      <c r="J411" s="66">
        <f>SUM(J407*'Data Links'!$B$8)</f>
        <v>10.159425000000001</v>
      </c>
      <c r="K411" s="66">
        <f>SUM(K407*'Data Links'!$B$8)</f>
        <v>10.159425000000001</v>
      </c>
      <c r="L411" s="66">
        <f>SUM(L407*'Data Links'!$B$8)</f>
        <v>10.159425000000001</v>
      </c>
      <c r="M411" s="66">
        <f>SUM(M407*'Data Links'!$B$8)</f>
        <v>10.159425000000001</v>
      </c>
      <c r="N411" s="66">
        <f>SUM(N407*'Data Links'!$B$8)</f>
        <v>10.159425000000001</v>
      </c>
    </row>
    <row r="412" spans="1:14" s="58" customFormat="1" x14ac:dyDescent="0.2">
      <c r="A412" s="59" t="s">
        <v>191</v>
      </c>
      <c r="B412" s="60"/>
      <c r="C412" s="66">
        <f>SUM('All Employees'!$P$22)</f>
        <v>396.6078</v>
      </c>
      <c r="D412" s="66">
        <f>SUM('All Employees'!$P$22)</f>
        <v>396.6078</v>
      </c>
      <c r="E412" s="66">
        <f>SUM('All Employees'!$P$22)</f>
        <v>396.6078</v>
      </c>
      <c r="F412" s="66">
        <f>SUM('All Employees'!$P$22)</f>
        <v>396.6078</v>
      </c>
      <c r="G412" s="66">
        <f>SUM('All Employees'!$P$22)</f>
        <v>396.6078</v>
      </c>
      <c r="H412" s="66">
        <f>SUM('All Employees'!$P$22)</f>
        <v>396.6078</v>
      </c>
      <c r="I412" s="66">
        <f>SUM('All Employees'!$P$22)</f>
        <v>396.6078</v>
      </c>
      <c r="J412" s="66">
        <f>SUM('All Employees'!$P$22)</f>
        <v>396.6078</v>
      </c>
      <c r="K412" s="66">
        <f>SUM('All Employees'!$P$22)</f>
        <v>396.6078</v>
      </c>
      <c r="L412" s="66">
        <f>SUM('All Employees'!$P$22)</f>
        <v>396.6078</v>
      </c>
      <c r="M412" s="66">
        <f>SUM('All Employees'!$P$22)</f>
        <v>396.6078</v>
      </c>
      <c r="N412" s="66">
        <f>SUM('All Employees'!$P$22)</f>
        <v>396.6078</v>
      </c>
    </row>
    <row r="413" spans="1:14" s="58" customFormat="1" x14ac:dyDescent="0.2">
      <c r="A413" s="59" t="s">
        <v>192</v>
      </c>
      <c r="B413" s="60"/>
      <c r="C413" s="66"/>
      <c r="D413" s="66"/>
      <c r="E413" s="66"/>
      <c r="F413" s="66"/>
      <c r="G413" s="66"/>
      <c r="H413" s="66"/>
      <c r="I413" s="66"/>
      <c r="J413" s="66"/>
      <c r="K413" s="66"/>
      <c r="L413" s="66"/>
      <c r="M413" s="66"/>
      <c r="N413" s="66"/>
    </row>
    <row r="414" spans="1:14" s="58" customFormat="1" x14ac:dyDescent="0.2">
      <c r="A414" s="58" t="s">
        <v>144</v>
      </c>
      <c r="B414" s="60"/>
      <c r="C414" s="60">
        <f t="shared" ref="C414:N414" si="134">SUM(C408:C413)</f>
        <v>2525.7609750000001</v>
      </c>
      <c r="D414" s="60">
        <f t="shared" si="134"/>
        <v>2525.7609750000001</v>
      </c>
      <c r="E414" s="60">
        <f t="shared" si="134"/>
        <v>2525.7609750000001</v>
      </c>
      <c r="F414" s="60">
        <f t="shared" si="134"/>
        <v>2525.7609750000001</v>
      </c>
      <c r="G414" s="60">
        <f t="shared" si="134"/>
        <v>2525.7609750000001</v>
      </c>
      <c r="H414" s="60">
        <f t="shared" si="134"/>
        <v>2525.7609750000001</v>
      </c>
      <c r="I414" s="60">
        <f t="shared" si="134"/>
        <v>2525.7609750000001</v>
      </c>
      <c r="J414" s="60">
        <f t="shared" si="134"/>
        <v>2525.7609750000001</v>
      </c>
      <c r="K414" s="60">
        <f t="shared" si="134"/>
        <v>2525.7609750000001</v>
      </c>
      <c r="L414" s="60">
        <f t="shared" si="134"/>
        <v>2525.7609750000001</v>
      </c>
      <c r="M414" s="60">
        <f t="shared" si="134"/>
        <v>2525.7609750000001</v>
      </c>
      <c r="N414" s="60">
        <f t="shared" si="134"/>
        <v>2525.7609750000001</v>
      </c>
    </row>
    <row r="415" spans="1:14" s="58" customFormat="1" x14ac:dyDescent="0.2">
      <c r="B415" s="60"/>
      <c r="C415" s="60"/>
      <c r="D415" s="60"/>
      <c r="E415" s="60"/>
      <c r="F415" s="60"/>
      <c r="G415" s="60"/>
      <c r="H415" s="60"/>
      <c r="I415" s="60"/>
      <c r="J415" s="60"/>
      <c r="K415" s="60"/>
      <c r="L415" s="60"/>
      <c r="M415" s="60"/>
      <c r="N415" s="60"/>
    </row>
    <row r="416" spans="1:14" s="58" customFormat="1" x14ac:dyDescent="0.2">
      <c r="A416" s="59"/>
      <c r="B416" s="60"/>
      <c r="C416" s="89" t="str">
        <f>C403</f>
        <v>January</v>
      </c>
      <c r="D416" s="89" t="str">
        <f t="shared" ref="D416:M416" si="135">D403</f>
        <v>February</v>
      </c>
      <c r="E416" s="89" t="str">
        <f t="shared" si="135"/>
        <v>March</v>
      </c>
      <c r="F416" s="89" t="str">
        <f t="shared" si="135"/>
        <v>April</v>
      </c>
      <c r="G416" s="89" t="str">
        <f t="shared" si="135"/>
        <v>May</v>
      </c>
      <c r="H416" s="89" t="str">
        <f t="shared" si="135"/>
        <v>June</v>
      </c>
      <c r="I416" s="89" t="str">
        <f t="shared" si="135"/>
        <v>July</v>
      </c>
      <c r="J416" s="89" t="str">
        <f t="shared" si="135"/>
        <v>August</v>
      </c>
      <c r="K416" s="89" t="str">
        <f t="shared" si="135"/>
        <v>September</v>
      </c>
      <c r="L416" s="89" t="str">
        <f t="shared" si="135"/>
        <v>October</v>
      </c>
      <c r="M416" s="89" t="str">
        <f t="shared" si="135"/>
        <v>November</v>
      </c>
      <c r="N416" s="89" t="str">
        <f>N403</f>
        <v>December</v>
      </c>
    </row>
    <row r="417" spans="1:14" s="58" customFormat="1" x14ac:dyDescent="0.2">
      <c r="A417" s="59"/>
      <c r="B417" s="60"/>
      <c r="C417" s="72">
        <v>31</v>
      </c>
      <c r="D417" s="72">
        <v>31</v>
      </c>
      <c r="E417" s="72">
        <v>30</v>
      </c>
      <c r="F417" s="72">
        <v>31</v>
      </c>
      <c r="G417" s="72">
        <v>30</v>
      </c>
      <c r="H417" s="72">
        <v>31</v>
      </c>
      <c r="I417" s="72">
        <v>31</v>
      </c>
      <c r="J417" s="72">
        <v>28</v>
      </c>
      <c r="K417" s="72">
        <v>31</v>
      </c>
      <c r="L417" s="72">
        <v>30</v>
      </c>
      <c r="M417" s="72">
        <v>31</v>
      </c>
      <c r="N417" s="71">
        <v>30</v>
      </c>
    </row>
    <row r="418" spans="1:14" s="58" customFormat="1" x14ac:dyDescent="0.2">
      <c r="A418" s="59"/>
      <c r="B418" s="89" t="s">
        <v>185</v>
      </c>
      <c r="C418" s="78">
        <f t="shared" ref="C418:N418" si="136">C405</f>
        <v>31</v>
      </c>
      <c r="D418" s="78">
        <f t="shared" si="136"/>
        <v>31</v>
      </c>
      <c r="E418" s="78">
        <f t="shared" si="136"/>
        <v>30</v>
      </c>
      <c r="F418" s="78">
        <f t="shared" si="136"/>
        <v>31</v>
      </c>
      <c r="G418" s="78">
        <f t="shared" si="136"/>
        <v>30</v>
      </c>
      <c r="H418" s="78">
        <f t="shared" si="136"/>
        <v>31</v>
      </c>
      <c r="I418" s="78">
        <f t="shared" si="136"/>
        <v>31</v>
      </c>
      <c r="J418" s="78">
        <f t="shared" si="136"/>
        <v>28</v>
      </c>
      <c r="K418" s="78">
        <f t="shared" si="136"/>
        <v>31</v>
      </c>
      <c r="L418" s="78">
        <f t="shared" si="136"/>
        <v>30</v>
      </c>
      <c r="M418" s="78">
        <f t="shared" si="136"/>
        <v>31</v>
      </c>
      <c r="N418" s="78">
        <f t="shared" si="136"/>
        <v>30</v>
      </c>
    </row>
    <row r="419" spans="1:14" s="58" customFormat="1" x14ac:dyDescent="0.2">
      <c r="A419" s="59"/>
      <c r="B419" s="89" t="s">
        <v>44</v>
      </c>
      <c r="C419" s="49">
        <v>0.1</v>
      </c>
      <c r="D419" s="49">
        <v>0.1</v>
      </c>
      <c r="E419" s="49">
        <v>0.1</v>
      </c>
      <c r="F419" s="49">
        <v>0.1</v>
      </c>
      <c r="G419" s="49">
        <v>0.1</v>
      </c>
      <c r="H419" s="49">
        <v>0.1</v>
      </c>
      <c r="I419" s="49">
        <v>0.1</v>
      </c>
      <c r="J419" s="49">
        <v>0.1</v>
      </c>
      <c r="K419" s="49">
        <v>0.1</v>
      </c>
      <c r="L419" s="49">
        <v>0.1</v>
      </c>
      <c r="M419" s="49">
        <v>0.1</v>
      </c>
      <c r="N419" s="49">
        <v>0.1</v>
      </c>
    </row>
    <row r="420" spans="1:14" s="58" customFormat="1" x14ac:dyDescent="0.2">
      <c r="A420" s="59"/>
      <c r="B420" s="89" t="s">
        <v>186</v>
      </c>
      <c r="C420" s="53">
        <f>SUM(174*C419)</f>
        <v>17.400000000000002</v>
      </c>
      <c r="D420" s="53">
        <f t="shared" ref="D420:N420" si="137">SUM(174*D419)</f>
        <v>17.400000000000002</v>
      </c>
      <c r="E420" s="53">
        <f t="shared" si="137"/>
        <v>17.400000000000002</v>
      </c>
      <c r="F420" s="53">
        <f t="shared" si="137"/>
        <v>17.400000000000002</v>
      </c>
      <c r="G420" s="53">
        <f t="shared" si="137"/>
        <v>17.400000000000002</v>
      </c>
      <c r="H420" s="53">
        <f t="shared" si="137"/>
        <v>17.400000000000002</v>
      </c>
      <c r="I420" s="53">
        <f t="shared" si="137"/>
        <v>17.400000000000002</v>
      </c>
      <c r="J420" s="53">
        <f t="shared" si="137"/>
        <v>17.400000000000002</v>
      </c>
      <c r="K420" s="53">
        <f t="shared" si="137"/>
        <v>17.400000000000002</v>
      </c>
      <c r="L420" s="53">
        <f t="shared" si="137"/>
        <v>17.400000000000002</v>
      </c>
      <c r="M420" s="53">
        <f t="shared" si="137"/>
        <v>17.400000000000002</v>
      </c>
      <c r="N420" s="53">
        <f t="shared" si="137"/>
        <v>17.400000000000002</v>
      </c>
    </row>
    <row r="421" spans="1:14" s="58" customFormat="1" x14ac:dyDescent="0.2">
      <c r="A421" s="59" t="s">
        <v>711</v>
      </c>
      <c r="B421" s="78" t="s">
        <v>371</v>
      </c>
      <c r="C421" s="66">
        <f>SUM(C420*$B$422)</f>
        <v>356.00400000000008</v>
      </c>
      <c r="D421" s="66">
        <f t="shared" ref="D421:N421" si="138">SUM(D420*$B$422)</f>
        <v>356.00400000000008</v>
      </c>
      <c r="E421" s="66">
        <f t="shared" si="138"/>
        <v>356.00400000000008</v>
      </c>
      <c r="F421" s="66">
        <f t="shared" si="138"/>
        <v>356.00400000000008</v>
      </c>
      <c r="G421" s="66">
        <f t="shared" si="138"/>
        <v>356.00400000000008</v>
      </c>
      <c r="H421" s="66">
        <f t="shared" si="138"/>
        <v>356.00400000000008</v>
      </c>
      <c r="I421" s="66">
        <f t="shared" si="138"/>
        <v>356.00400000000008</v>
      </c>
      <c r="J421" s="66">
        <f t="shared" si="138"/>
        <v>356.00400000000008</v>
      </c>
      <c r="K421" s="66">
        <f t="shared" si="138"/>
        <v>356.00400000000008</v>
      </c>
      <c r="L421" s="66">
        <f t="shared" si="138"/>
        <v>356.00400000000008</v>
      </c>
      <c r="M421" s="66">
        <f t="shared" si="138"/>
        <v>356.00400000000008</v>
      </c>
      <c r="N421" s="66">
        <f t="shared" si="138"/>
        <v>356.00400000000008</v>
      </c>
    </row>
    <row r="422" spans="1:14" s="58" customFormat="1" x14ac:dyDescent="0.2">
      <c r="A422" s="59" t="s">
        <v>188</v>
      </c>
      <c r="B422" s="74">
        <v>20.46</v>
      </c>
      <c r="C422" s="66">
        <f>SUM(C421)*'Data Links'!$B$15</f>
        <v>27.234306000000004</v>
      </c>
      <c r="D422" s="66">
        <f>SUM(D421)*'Data Links'!$B$15</f>
        <v>27.234306000000004</v>
      </c>
      <c r="E422" s="66">
        <f>SUM(E421)*'Data Links'!$B$15</f>
        <v>27.234306000000004</v>
      </c>
      <c r="F422" s="66">
        <f>SUM(F421)*'Data Links'!$B$15</f>
        <v>27.234306000000004</v>
      </c>
      <c r="G422" s="66">
        <f>SUM(G421)*'Data Links'!$B$15</f>
        <v>27.234306000000004</v>
      </c>
      <c r="H422" s="66">
        <f>SUM(H421)*'Data Links'!$B$15</f>
        <v>27.234306000000004</v>
      </c>
      <c r="I422" s="66">
        <f>SUM(I421)*'Data Links'!$B$15</f>
        <v>27.234306000000004</v>
      </c>
      <c r="J422" s="66">
        <f>SUM(J421)*'Data Links'!$B$15</f>
        <v>27.234306000000004</v>
      </c>
      <c r="K422" s="66">
        <f>SUM(K421)*'Data Links'!$B$15</f>
        <v>27.234306000000004</v>
      </c>
      <c r="L422" s="66">
        <f>SUM(L421)*'Data Links'!$B$15</f>
        <v>27.234306000000004</v>
      </c>
      <c r="M422" s="66">
        <f>SUM(M421)*'Data Links'!$B$15</f>
        <v>27.234306000000004</v>
      </c>
      <c r="N422" s="66">
        <f>SUM(N421)*'Data Links'!$B$15</f>
        <v>27.234306000000004</v>
      </c>
    </row>
    <row r="423" spans="1:14" s="58" customFormat="1" x14ac:dyDescent="0.2">
      <c r="A423" s="59" t="s">
        <v>189</v>
      </c>
      <c r="B423" s="60"/>
      <c r="C423" s="66">
        <f>SUM(C421*'Data Links'!$B$13)</f>
        <v>2.1360240000000004</v>
      </c>
      <c r="D423" s="66">
        <f>SUM(D421*'Data Links'!$B$13)</f>
        <v>2.1360240000000004</v>
      </c>
      <c r="E423" s="66">
        <f>SUM(E421*'Data Links'!$B$13)</f>
        <v>2.1360240000000004</v>
      </c>
      <c r="F423" s="66">
        <f>SUM(F421*'Data Links'!$B$13)</f>
        <v>2.1360240000000004</v>
      </c>
      <c r="G423" s="66">
        <f>SUM(G421*'Data Links'!$B$13)</f>
        <v>2.1360240000000004</v>
      </c>
      <c r="H423" s="66">
        <f>SUM(H421*'Data Links'!$B$13)</f>
        <v>2.1360240000000004</v>
      </c>
      <c r="I423" s="66">
        <f>SUM(I421*'Data Links'!$B$13)</f>
        <v>2.1360240000000004</v>
      </c>
      <c r="J423" s="66">
        <f>SUM(J421*'Data Links'!$B$13)</f>
        <v>2.1360240000000004</v>
      </c>
      <c r="K423" s="66">
        <f>SUM(K421*'Data Links'!$B$13)</f>
        <v>2.1360240000000004</v>
      </c>
      <c r="L423" s="66">
        <f>SUM(L421*'Data Links'!$B$13)</f>
        <v>2.1360240000000004</v>
      </c>
      <c r="M423" s="66">
        <f>SUM(M421*'Data Links'!$B$13)</f>
        <v>2.1360240000000004</v>
      </c>
      <c r="N423" s="66">
        <f>SUM(N421*'Data Links'!$B$13)</f>
        <v>2.1360240000000004</v>
      </c>
    </row>
    <row r="424" spans="1:14" s="58" customFormat="1" x14ac:dyDescent="0.2">
      <c r="A424" s="59" t="s">
        <v>190</v>
      </c>
      <c r="B424" s="60"/>
      <c r="C424" s="66">
        <f>SUM(C420*'Data Links'!$B$8)</f>
        <v>1.3545900000000002</v>
      </c>
      <c r="D424" s="66">
        <f>SUM(D420*'Data Links'!$B$8)</f>
        <v>1.3545900000000002</v>
      </c>
      <c r="E424" s="66">
        <f>SUM(E420*'Data Links'!$B$8)</f>
        <v>1.3545900000000002</v>
      </c>
      <c r="F424" s="66">
        <f>SUM(F420*'Data Links'!$B$8)</f>
        <v>1.3545900000000002</v>
      </c>
      <c r="G424" s="66">
        <f>SUM(G420*'Data Links'!$B$8)</f>
        <v>1.3545900000000002</v>
      </c>
      <c r="H424" s="66">
        <f>SUM(H420*'Data Links'!$B$8)</f>
        <v>1.3545900000000002</v>
      </c>
      <c r="I424" s="66">
        <f>SUM(I420*'Data Links'!$B$8)</f>
        <v>1.3545900000000002</v>
      </c>
      <c r="J424" s="66">
        <f>SUM(J420*'Data Links'!$B$8)</f>
        <v>1.3545900000000002</v>
      </c>
      <c r="K424" s="66">
        <f>SUM(K420*'Data Links'!$B$8)</f>
        <v>1.3545900000000002</v>
      </c>
      <c r="L424" s="66">
        <f>SUM(L420*'Data Links'!$B$8)</f>
        <v>1.3545900000000002</v>
      </c>
      <c r="M424" s="66">
        <f>SUM(M420*'Data Links'!$B$8)</f>
        <v>1.3545900000000002</v>
      </c>
      <c r="N424" s="66">
        <f>SUM(N420*'Data Links'!$B$8)</f>
        <v>1.3545900000000002</v>
      </c>
    </row>
    <row r="425" spans="1:14" s="58" customFormat="1" x14ac:dyDescent="0.2">
      <c r="A425" s="59" t="s">
        <v>191</v>
      </c>
      <c r="B425" s="60"/>
      <c r="C425" s="66"/>
      <c r="D425" s="66"/>
      <c r="E425" s="66"/>
      <c r="F425" s="66"/>
      <c r="G425" s="66"/>
      <c r="H425" s="66"/>
      <c r="I425" s="66"/>
      <c r="J425" s="66"/>
      <c r="K425" s="66"/>
      <c r="L425" s="66"/>
      <c r="M425" s="66"/>
      <c r="N425" s="66"/>
    </row>
    <row r="426" spans="1:14" s="58" customFormat="1" x14ac:dyDescent="0.2">
      <c r="A426" s="59" t="s">
        <v>192</v>
      </c>
      <c r="B426" s="60"/>
      <c r="C426" s="66"/>
      <c r="D426" s="66"/>
      <c r="E426" s="66"/>
      <c r="F426" s="66"/>
      <c r="G426" s="66"/>
      <c r="H426" s="66"/>
      <c r="I426" s="66"/>
      <c r="J426" s="66"/>
      <c r="K426" s="66"/>
      <c r="L426" s="66"/>
      <c r="M426" s="66"/>
      <c r="N426" s="66"/>
    </row>
    <row r="427" spans="1:14" s="58" customFormat="1" x14ac:dyDescent="0.2">
      <c r="A427" s="58" t="s">
        <v>144</v>
      </c>
      <c r="B427" s="60"/>
      <c r="C427" s="60">
        <f t="shared" ref="C427:N427" si="139">SUM(C421:C426)</f>
        <v>386.72892000000007</v>
      </c>
      <c r="D427" s="60">
        <f t="shared" si="139"/>
        <v>386.72892000000007</v>
      </c>
      <c r="E427" s="60">
        <f t="shared" si="139"/>
        <v>386.72892000000007</v>
      </c>
      <c r="F427" s="60">
        <f t="shared" si="139"/>
        <v>386.72892000000007</v>
      </c>
      <c r="G427" s="60">
        <f t="shared" si="139"/>
        <v>386.72892000000007</v>
      </c>
      <c r="H427" s="60">
        <f t="shared" si="139"/>
        <v>386.72892000000007</v>
      </c>
      <c r="I427" s="60">
        <f t="shared" si="139"/>
        <v>386.72892000000007</v>
      </c>
      <c r="J427" s="60">
        <f t="shared" si="139"/>
        <v>386.72892000000007</v>
      </c>
      <c r="K427" s="60">
        <f t="shared" si="139"/>
        <v>386.72892000000007</v>
      </c>
      <c r="L427" s="60">
        <f t="shared" si="139"/>
        <v>386.72892000000007</v>
      </c>
      <c r="M427" s="60">
        <f t="shared" si="139"/>
        <v>386.72892000000007</v>
      </c>
      <c r="N427" s="60">
        <f t="shared" si="139"/>
        <v>386.72892000000007</v>
      </c>
    </row>
    <row r="428" spans="1:14" s="58" customFormat="1" x14ac:dyDescent="0.2">
      <c r="B428" s="60"/>
      <c r="C428" s="60"/>
      <c r="D428" s="60"/>
      <c r="E428" s="60"/>
      <c r="F428" s="60"/>
      <c r="G428" s="60"/>
      <c r="H428" s="60"/>
      <c r="I428" s="60"/>
      <c r="J428" s="60"/>
      <c r="K428" s="60"/>
      <c r="L428" s="60"/>
      <c r="M428" s="60"/>
      <c r="N428" s="60"/>
    </row>
    <row r="429" spans="1:14" s="58" customFormat="1" hidden="1" x14ac:dyDescent="0.2">
      <c r="A429" s="59"/>
      <c r="B429" s="60"/>
      <c r="C429" s="89" t="str">
        <f>C416</f>
        <v>January</v>
      </c>
      <c r="D429" s="89" t="str">
        <f t="shared" ref="D429:M429" si="140">D416</f>
        <v>February</v>
      </c>
      <c r="E429" s="89" t="str">
        <f t="shared" si="140"/>
        <v>March</v>
      </c>
      <c r="F429" s="89" t="str">
        <f t="shared" si="140"/>
        <v>April</v>
      </c>
      <c r="G429" s="89" t="str">
        <f t="shared" si="140"/>
        <v>May</v>
      </c>
      <c r="H429" s="89" t="str">
        <f t="shared" si="140"/>
        <v>June</v>
      </c>
      <c r="I429" s="89" t="str">
        <f t="shared" si="140"/>
        <v>July</v>
      </c>
      <c r="J429" s="89" t="str">
        <f t="shared" si="140"/>
        <v>August</v>
      </c>
      <c r="K429" s="89" t="str">
        <f t="shared" si="140"/>
        <v>September</v>
      </c>
      <c r="L429" s="89" t="str">
        <f t="shared" si="140"/>
        <v>October</v>
      </c>
      <c r="M429" s="89" t="str">
        <f t="shared" si="140"/>
        <v>November</v>
      </c>
      <c r="N429" s="89" t="str">
        <f>N416</f>
        <v>December</v>
      </c>
    </row>
    <row r="430" spans="1:14" s="58" customFormat="1" hidden="1" x14ac:dyDescent="0.2">
      <c r="A430" s="59"/>
      <c r="B430" s="60"/>
      <c r="C430" s="72">
        <v>31</v>
      </c>
      <c r="D430" s="72">
        <v>31</v>
      </c>
      <c r="E430" s="72">
        <v>30</v>
      </c>
      <c r="F430" s="72">
        <v>31</v>
      </c>
      <c r="G430" s="72">
        <v>30</v>
      </c>
      <c r="H430" s="72">
        <v>31</v>
      </c>
      <c r="I430" s="72">
        <v>31</v>
      </c>
      <c r="J430" s="72">
        <v>28</v>
      </c>
      <c r="K430" s="72">
        <v>31</v>
      </c>
      <c r="L430" s="72">
        <v>30</v>
      </c>
      <c r="M430" s="72">
        <v>31</v>
      </c>
      <c r="N430" s="71">
        <v>30</v>
      </c>
    </row>
    <row r="431" spans="1:14" s="58" customFormat="1" hidden="1" x14ac:dyDescent="0.2">
      <c r="A431" s="59"/>
      <c r="B431" s="89" t="s">
        <v>185</v>
      </c>
      <c r="C431" s="78">
        <f t="shared" ref="C431:N431" si="141">C418</f>
        <v>31</v>
      </c>
      <c r="D431" s="78">
        <f t="shared" si="141"/>
        <v>31</v>
      </c>
      <c r="E431" s="78">
        <f t="shared" si="141"/>
        <v>30</v>
      </c>
      <c r="F431" s="78">
        <f t="shared" si="141"/>
        <v>31</v>
      </c>
      <c r="G431" s="78">
        <f t="shared" si="141"/>
        <v>30</v>
      </c>
      <c r="H431" s="78">
        <f t="shared" si="141"/>
        <v>31</v>
      </c>
      <c r="I431" s="78">
        <f t="shared" si="141"/>
        <v>31</v>
      </c>
      <c r="J431" s="78">
        <f t="shared" si="141"/>
        <v>28</v>
      </c>
      <c r="K431" s="78">
        <f t="shared" si="141"/>
        <v>31</v>
      </c>
      <c r="L431" s="78">
        <f t="shared" si="141"/>
        <v>30</v>
      </c>
      <c r="M431" s="78">
        <f t="shared" si="141"/>
        <v>31</v>
      </c>
      <c r="N431" s="78">
        <f t="shared" si="141"/>
        <v>30</v>
      </c>
    </row>
    <row r="432" spans="1:14" s="58" customFormat="1" hidden="1" x14ac:dyDescent="0.2">
      <c r="A432" s="59"/>
      <c r="B432" s="89" t="s">
        <v>44</v>
      </c>
      <c r="C432" s="49"/>
      <c r="D432" s="49"/>
      <c r="E432" s="49"/>
      <c r="F432" s="49"/>
      <c r="G432" s="49"/>
      <c r="H432" s="49"/>
      <c r="I432" s="49"/>
      <c r="J432" s="49"/>
      <c r="K432" s="49"/>
      <c r="L432" s="49"/>
      <c r="M432" s="49"/>
      <c r="N432" s="49"/>
    </row>
    <row r="433" spans="1:14" s="58" customFormat="1" hidden="1" x14ac:dyDescent="0.2">
      <c r="A433" s="59"/>
      <c r="B433" s="89" t="s">
        <v>186</v>
      </c>
      <c r="C433" s="53">
        <f>SUM(174*C432)</f>
        <v>0</v>
      </c>
      <c r="D433" s="53">
        <f t="shared" ref="D433:N433" si="142">SUM(174*D432)</f>
        <v>0</v>
      </c>
      <c r="E433" s="53">
        <f t="shared" si="142"/>
        <v>0</v>
      </c>
      <c r="F433" s="53">
        <f t="shared" si="142"/>
        <v>0</v>
      </c>
      <c r="G433" s="53">
        <f t="shared" si="142"/>
        <v>0</v>
      </c>
      <c r="H433" s="53">
        <f t="shared" si="142"/>
        <v>0</v>
      </c>
      <c r="I433" s="53">
        <f t="shared" si="142"/>
        <v>0</v>
      </c>
      <c r="J433" s="53">
        <f t="shared" si="142"/>
        <v>0</v>
      </c>
      <c r="K433" s="53">
        <f t="shared" si="142"/>
        <v>0</v>
      </c>
      <c r="L433" s="53">
        <f t="shared" si="142"/>
        <v>0</v>
      </c>
      <c r="M433" s="53">
        <f t="shared" si="142"/>
        <v>0</v>
      </c>
      <c r="N433" s="53">
        <f t="shared" si="142"/>
        <v>0</v>
      </c>
    </row>
    <row r="434" spans="1:14" s="58" customFormat="1" hidden="1" x14ac:dyDescent="0.2">
      <c r="A434" s="59" t="s">
        <v>193</v>
      </c>
      <c r="B434" s="78" t="s">
        <v>187</v>
      </c>
      <c r="C434" s="66">
        <f>SUM(C433*$B$435)</f>
        <v>0</v>
      </c>
      <c r="D434" s="66">
        <f t="shared" ref="D434:N434" si="143">SUM(D433*$B$435)</f>
        <v>0</v>
      </c>
      <c r="E434" s="66">
        <f t="shared" si="143"/>
        <v>0</v>
      </c>
      <c r="F434" s="66">
        <f t="shared" si="143"/>
        <v>0</v>
      </c>
      <c r="G434" s="66">
        <f t="shared" si="143"/>
        <v>0</v>
      </c>
      <c r="H434" s="66">
        <f t="shared" si="143"/>
        <v>0</v>
      </c>
      <c r="I434" s="66">
        <f t="shared" si="143"/>
        <v>0</v>
      </c>
      <c r="J434" s="66">
        <f t="shared" si="143"/>
        <v>0</v>
      </c>
      <c r="K434" s="66">
        <f t="shared" si="143"/>
        <v>0</v>
      </c>
      <c r="L434" s="66">
        <f t="shared" si="143"/>
        <v>0</v>
      </c>
      <c r="M434" s="66">
        <f t="shared" si="143"/>
        <v>0</v>
      </c>
      <c r="N434" s="66">
        <f t="shared" si="143"/>
        <v>0</v>
      </c>
    </row>
    <row r="435" spans="1:14" s="58" customFormat="1" hidden="1" x14ac:dyDescent="0.2">
      <c r="A435" s="59" t="s">
        <v>188</v>
      </c>
      <c r="B435" s="74">
        <v>0</v>
      </c>
      <c r="C435" s="66">
        <f>SUM(C434)*'Data Links'!$B$15</f>
        <v>0</v>
      </c>
      <c r="D435" s="66">
        <f>SUM(D434)*'Data Links'!$B$15</f>
        <v>0</v>
      </c>
      <c r="E435" s="66">
        <f>SUM(E434)*'Data Links'!$B$15</f>
        <v>0</v>
      </c>
      <c r="F435" s="66">
        <f>SUM(F434)*'Data Links'!$B$15</f>
        <v>0</v>
      </c>
      <c r="G435" s="66">
        <f>SUM(G434)*'Data Links'!$B$15</f>
        <v>0</v>
      </c>
      <c r="H435" s="66">
        <f>SUM(H434)*'Data Links'!$B$15</f>
        <v>0</v>
      </c>
      <c r="I435" s="66">
        <f>SUM(I434)*'Data Links'!$B$15</f>
        <v>0</v>
      </c>
      <c r="J435" s="66">
        <f>SUM(J434)*'Data Links'!$B$15</f>
        <v>0</v>
      </c>
      <c r="K435" s="66">
        <f>SUM(K434)*'Data Links'!$B$15</f>
        <v>0</v>
      </c>
      <c r="L435" s="66">
        <f>SUM(L434)*'Data Links'!$B$15</f>
        <v>0</v>
      </c>
      <c r="M435" s="66">
        <f>SUM(M434)*'Data Links'!$B$15</f>
        <v>0</v>
      </c>
      <c r="N435" s="66">
        <f>SUM(N434)*'Data Links'!$B$15</f>
        <v>0</v>
      </c>
    </row>
    <row r="436" spans="1:14" s="58" customFormat="1" hidden="1" x14ac:dyDescent="0.2">
      <c r="A436" s="59" t="s">
        <v>189</v>
      </c>
      <c r="B436" s="60"/>
      <c r="C436" s="66">
        <f>SUM(C434*'Data Links'!$B$13)</f>
        <v>0</v>
      </c>
      <c r="D436" s="66">
        <f>SUM(D434*'Data Links'!$B$13)</f>
        <v>0</v>
      </c>
      <c r="E436" s="66">
        <f>SUM(E434*'Data Links'!$B$13)</f>
        <v>0</v>
      </c>
      <c r="F436" s="66">
        <f>SUM(F434*'Data Links'!$B$13)</f>
        <v>0</v>
      </c>
      <c r="G436" s="66">
        <f>SUM(G434*'Data Links'!$B$13)</f>
        <v>0</v>
      </c>
      <c r="H436" s="66">
        <f>SUM(H434*'Data Links'!$B$13)</f>
        <v>0</v>
      </c>
      <c r="I436" s="66">
        <f>SUM(I434*'Data Links'!$B$13)</f>
        <v>0</v>
      </c>
      <c r="J436" s="66">
        <f>SUM(J434*'Data Links'!$B$13)</f>
        <v>0</v>
      </c>
      <c r="K436" s="66">
        <f>SUM(K434*'Data Links'!$B$13)</f>
        <v>0</v>
      </c>
      <c r="L436" s="66">
        <f>SUM(L434*'Data Links'!$B$13)</f>
        <v>0</v>
      </c>
      <c r="M436" s="66">
        <f>SUM(M434*'Data Links'!$B$13)</f>
        <v>0</v>
      </c>
      <c r="N436" s="66">
        <f>SUM(N434*'Data Links'!$B$13)</f>
        <v>0</v>
      </c>
    </row>
    <row r="437" spans="1:14" s="58" customFormat="1" hidden="1" x14ac:dyDescent="0.2">
      <c r="A437" s="59" t="s">
        <v>190</v>
      </c>
      <c r="B437" s="60"/>
      <c r="C437" s="66">
        <f>SUM(C433*'Data Links'!$B$8)</f>
        <v>0</v>
      </c>
      <c r="D437" s="66">
        <f>SUM(D433*'Data Links'!$B$8)</f>
        <v>0</v>
      </c>
      <c r="E437" s="66">
        <f>SUM(E433*'Data Links'!$B$8)</f>
        <v>0</v>
      </c>
      <c r="F437" s="66">
        <f>SUM(F433*'Data Links'!$B$8)</f>
        <v>0</v>
      </c>
      <c r="G437" s="66">
        <f>SUM(G433*'Data Links'!$B$8)</f>
        <v>0</v>
      </c>
      <c r="H437" s="66">
        <f>SUM(H433*'Data Links'!$B$8)</f>
        <v>0</v>
      </c>
      <c r="I437" s="66">
        <f>SUM(I433*'Data Links'!$B$8)</f>
        <v>0</v>
      </c>
      <c r="J437" s="66">
        <f>SUM(J433*'Data Links'!$B$8)</f>
        <v>0</v>
      </c>
      <c r="K437" s="66">
        <f>SUM(K433*'Data Links'!$B$8)</f>
        <v>0</v>
      </c>
      <c r="L437" s="66">
        <f>SUM(L433*'Data Links'!$B$8)</f>
        <v>0</v>
      </c>
      <c r="M437" s="66">
        <f>SUM(M433*'Data Links'!$B$8)</f>
        <v>0</v>
      </c>
      <c r="N437" s="66">
        <f>SUM(N433*'Data Links'!$B$8)</f>
        <v>0</v>
      </c>
    </row>
    <row r="438" spans="1:14" s="58" customFormat="1" hidden="1" x14ac:dyDescent="0.2">
      <c r="A438" s="59" t="s">
        <v>191</v>
      </c>
      <c r="B438" s="60"/>
      <c r="C438" s="66"/>
      <c r="D438" s="66"/>
      <c r="E438" s="66"/>
      <c r="F438" s="66"/>
      <c r="G438" s="66"/>
      <c r="H438" s="66"/>
      <c r="I438" s="66"/>
      <c r="J438" s="66"/>
      <c r="K438" s="66"/>
      <c r="L438" s="66"/>
      <c r="M438" s="66"/>
      <c r="N438" s="66"/>
    </row>
    <row r="439" spans="1:14" s="58" customFormat="1" hidden="1" x14ac:dyDescent="0.2">
      <c r="A439" s="59" t="s">
        <v>192</v>
      </c>
      <c r="B439" s="60"/>
      <c r="C439" s="66"/>
      <c r="D439" s="66"/>
      <c r="E439" s="66"/>
      <c r="F439" s="66"/>
      <c r="G439" s="66"/>
      <c r="H439" s="66"/>
      <c r="I439" s="66"/>
      <c r="J439" s="66"/>
      <c r="K439" s="66"/>
      <c r="L439" s="66"/>
      <c r="M439" s="66"/>
      <c r="N439" s="66"/>
    </row>
    <row r="440" spans="1:14" s="58" customFormat="1" hidden="1" x14ac:dyDescent="0.2">
      <c r="A440" s="58" t="s">
        <v>144</v>
      </c>
      <c r="B440" s="60"/>
      <c r="C440" s="60">
        <f t="shared" ref="C440:N440" si="144">SUM(C434:C439)</f>
        <v>0</v>
      </c>
      <c r="D440" s="60">
        <f t="shared" si="144"/>
        <v>0</v>
      </c>
      <c r="E440" s="60">
        <f t="shared" si="144"/>
        <v>0</v>
      </c>
      <c r="F440" s="60">
        <f t="shared" si="144"/>
        <v>0</v>
      </c>
      <c r="G440" s="60">
        <f t="shared" si="144"/>
        <v>0</v>
      </c>
      <c r="H440" s="60">
        <f t="shared" si="144"/>
        <v>0</v>
      </c>
      <c r="I440" s="60">
        <f t="shared" si="144"/>
        <v>0</v>
      </c>
      <c r="J440" s="60">
        <f t="shared" si="144"/>
        <v>0</v>
      </c>
      <c r="K440" s="60">
        <f t="shared" si="144"/>
        <v>0</v>
      </c>
      <c r="L440" s="60">
        <f t="shared" si="144"/>
        <v>0</v>
      </c>
      <c r="M440" s="60">
        <f t="shared" si="144"/>
        <v>0</v>
      </c>
      <c r="N440" s="60">
        <f t="shared" si="144"/>
        <v>0</v>
      </c>
    </row>
    <row r="441" spans="1:14" s="58" customFormat="1" hidden="1" x14ac:dyDescent="0.2">
      <c r="B441" s="60"/>
      <c r="C441" s="60"/>
      <c r="D441" s="60"/>
      <c r="E441" s="60"/>
      <c r="F441" s="60"/>
      <c r="G441" s="60"/>
      <c r="H441" s="60"/>
      <c r="I441" s="60"/>
      <c r="J441" s="60"/>
      <c r="K441" s="60"/>
      <c r="L441" s="60"/>
      <c r="M441" s="60"/>
      <c r="N441" s="60"/>
    </row>
    <row r="442" spans="1:14" s="58" customFormat="1" hidden="1" x14ac:dyDescent="0.2">
      <c r="A442" s="59"/>
      <c r="B442" s="60"/>
      <c r="C442" s="89" t="str">
        <f>C429</f>
        <v>January</v>
      </c>
      <c r="D442" s="89" t="str">
        <f t="shared" ref="D442:M442" si="145">D429</f>
        <v>February</v>
      </c>
      <c r="E442" s="89" t="str">
        <f t="shared" si="145"/>
        <v>March</v>
      </c>
      <c r="F442" s="89" t="str">
        <f t="shared" si="145"/>
        <v>April</v>
      </c>
      <c r="G442" s="89" t="str">
        <f t="shared" si="145"/>
        <v>May</v>
      </c>
      <c r="H442" s="89" t="str">
        <f t="shared" si="145"/>
        <v>June</v>
      </c>
      <c r="I442" s="89" t="str">
        <f t="shared" si="145"/>
        <v>July</v>
      </c>
      <c r="J442" s="89" t="str">
        <f t="shared" si="145"/>
        <v>August</v>
      </c>
      <c r="K442" s="89" t="str">
        <f t="shared" si="145"/>
        <v>September</v>
      </c>
      <c r="L442" s="89" t="str">
        <f t="shared" si="145"/>
        <v>October</v>
      </c>
      <c r="M442" s="89" t="str">
        <f t="shared" si="145"/>
        <v>November</v>
      </c>
      <c r="N442" s="89" t="str">
        <f>N429</f>
        <v>December</v>
      </c>
    </row>
    <row r="443" spans="1:14" s="58" customFormat="1" hidden="1" x14ac:dyDescent="0.2">
      <c r="A443" s="59"/>
      <c r="B443" s="60"/>
      <c r="C443" s="72">
        <v>31</v>
      </c>
      <c r="D443" s="72">
        <v>31</v>
      </c>
      <c r="E443" s="72">
        <v>30</v>
      </c>
      <c r="F443" s="72">
        <v>31</v>
      </c>
      <c r="G443" s="72">
        <v>30</v>
      </c>
      <c r="H443" s="72">
        <v>31</v>
      </c>
      <c r="I443" s="72">
        <v>31</v>
      </c>
      <c r="J443" s="72">
        <v>28</v>
      </c>
      <c r="K443" s="72">
        <v>31</v>
      </c>
      <c r="L443" s="72">
        <v>30</v>
      </c>
      <c r="M443" s="72">
        <v>31</v>
      </c>
      <c r="N443" s="71">
        <v>30</v>
      </c>
    </row>
    <row r="444" spans="1:14" s="58" customFormat="1" hidden="1" x14ac:dyDescent="0.2">
      <c r="A444" s="59"/>
      <c r="B444" s="89" t="s">
        <v>185</v>
      </c>
      <c r="C444" s="78">
        <f t="shared" ref="C444:N444" si="146">C431</f>
        <v>31</v>
      </c>
      <c r="D444" s="78">
        <f t="shared" si="146"/>
        <v>31</v>
      </c>
      <c r="E444" s="78">
        <f t="shared" si="146"/>
        <v>30</v>
      </c>
      <c r="F444" s="78">
        <f t="shared" si="146"/>
        <v>31</v>
      </c>
      <c r="G444" s="78">
        <f t="shared" si="146"/>
        <v>30</v>
      </c>
      <c r="H444" s="78">
        <f t="shared" si="146"/>
        <v>31</v>
      </c>
      <c r="I444" s="78">
        <f t="shared" si="146"/>
        <v>31</v>
      </c>
      <c r="J444" s="78">
        <f t="shared" si="146"/>
        <v>28</v>
      </c>
      <c r="K444" s="78">
        <f t="shared" si="146"/>
        <v>31</v>
      </c>
      <c r="L444" s="78">
        <f t="shared" si="146"/>
        <v>30</v>
      </c>
      <c r="M444" s="78">
        <f t="shared" si="146"/>
        <v>31</v>
      </c>
      <c r="N444" s="78">
        <f t="shared" si="146"/>
        <v>30</v>
      </c>
    </row>
    <row r="445" spans="1:14" s="58" customFormat="1" hidden="1" x14ac:dyDescent="0.2">
      <c r="A445" s="59"/>
      <c r="B445" s="89" t="s">
        <v>44</v>
      </c>
      <c r="C445" s="49"/>
      <c r="D445" s="49"/>
      <c r="E445" s="49"/>
      <c r="F445" s="49"/>
      <c r="G445" s="49"/>
      <c r="H445" s="49"/>
      <c r="I445" s="49"/>
      <c r="J445" s="49"/>
      <c r="K445" s="49"/>
      <c r="L445" s="49"/>
      <c r="M445" s="49"/>
      <c r="N445" s="49"/>
    </row>
    <row r="446" spans="1:14" s="58" customFormat="1" hidden="1" x14ac:dyDescent="0.2">
      <c r="A446" s="59"/>
      <c r="B446" s="89" t="s">
        <v>186</v>
      </c>
      <c r="C446" s="53">
        <f>SUM(174*C445)</f>
        <v>0</v>
      </c>
      <c r="D446" s="53">
        <f t="shared" ref="D446:N446" si="147">SUM(174*D445)</f>
        <v>0</v>
      </c>
      <c r="E446" s="53">
        <f t="shared" si="147"/>
        <v>0</v>
      </c>
      <c r="F446" s="53">
        <f t="shared" si="147"/>
        <v>0</v>
      </c>
      <c r="G446" s="53">
        <f t="shared" si="147"/>
        <v>0</v>
      </c>
      <c r="H446" s="53">
        <f t="shared" si="147"/>
        <v>0</v>
      </c>
      <c r="I446" s="53">
        <f t="shared" si="147"/>
        <v>0</v>
      </c>
      <c r="J446" s="53">
        <f t="shared" si="147"/>
        <v>0</v>
      </c>
      <c r="K446" s="53">
        <f t="shared" si="147"/>
        <v>0</v>
      </c>
      <c r="L446" s="53">
        <f t="shared" si="147"/>
        <v>0</v>
      </c>
      <c r="M446" s="53">
        <f t="shared" si="147"/>
        <v>0</v>
      </c>
      <c r="N446" s="53">
        <f t="shared" si="147"/>
        <v>0</v>
      </c>
    </row>
    <row r="447" spans="1:14" s="58" customFormat="1" hidden="1" x14ac:dyDescent="0.2">
      <c r="A447" s="59" t="s">
        <v>193</v>
      </c>
      <c r="B447" s="78" t="s">
        <v>187</v>
      </c>
      <c r="C447" s="66">
        <f>SUM(C446*$B$448)</f>
        <v>0</v>
      </c>
      <c r="D447" s="66">
        <f t="shared" ref="D447:N447" si="148">SUM(D446*$B$448)</f>
        <v>0</v>
      </c>
      <c r="E447" s="66">
        <f t="shared" si="148"/>
        <v>0</v>
      </c>
      <c r="F447" s="66">
        <f t="shared" si="148"/>
        <v>0</v>
      </c>
      <c r="G447" s="66">
        <f t="shared" si="148"/>
        <v>0</v>
      </c>
      <c r="H447" s="66">
        <f t="shared" si="148"/>
        <v>0</v>
      </c>
      <c r="I447" s="66">
        <f t="shared" si="148"/>
        <v>0</v>
      </c>
      <c r="J447" s="66">
        <f t="shared" si="148"/>
        <v>0</v>
      </c>
      <c r="K447" s="66">
        <f t="shared" si="148"/>
        <v>0</v>
      </c>
      <c r="L447" s="66">
        <f t="shared" si="148"/>
        <v>0</v>
      </c>
      <c r="M447" s="66">
        <f t="shared" si="148"/>
        <v>0</v>
      </c>
      <c r="N447" s="66">
        <f t="shared" si="148"/>
        <v>0</v>
      </c>
    </row>
    <row r="448" spans="1:14" s="58" customFormat="1" hidden="1" x14ac:dyDescent="0.2">
      <c r="A448" s="59" t="s">
        <v>188</v>
      </c>
      <c r="B448" s="74">
        <v>0</v>
      </c>
      <c r="C448" s="66">
        <f>SUM(C447)*'Data Links'!$B$15</f>
        <v>0</v>
      </c>
      <c r="D448" s="66">
        <f>SUM(D447)*'Data Links'!$B$15</f>
        <v>0</v>
      </c>
      <c r="E448" s="66">
        <f>SUM(E447)*'Data Links'!$B$15</f>
        <v>0</v>
      </c>
      <c r="F448" s="66">
        <f>SUM(F447)*'Data Links'!$B$15</f>
        <v>0</v>
      </c>
      <c r="G448" s="66">
        <f>SUM(G447)*'Data Links'!$B$15</f>
        <v>0</v>
      </c>
      <c r="H448" s="66">
        <f>SUM(H447)*'Data Links'!$B$15</f>
        <v>0</v>
      </c>
      <c r="I448" s="66">
        <f>SUM(I447)*'Data Links'!$B$15</f>
        <v>0</v>
      </c>
      <c r="J448" s="66">
        <f>SUM(J447)*'Data Links'!$B$15</f>
        <v>0</v>
      </c>
      <c r="K448" s="66">
        <f>SUM(K447)*'Data Links'!$B$15</f>
        <v>0</v>
      </c>
      <c r="L448" s="66">
        <f>SUM(L447)*'Data Links'!$B$15</f>
        <v>0</v>
      </c>
      <c r="M448" s="66">
        <f>SUM(M447)*'Data Links'!$B$15</f>
        <v>0</v>
      </c>
      <c r="N448" s="66">
        <f>SUM(N447)*'Data Links'!$B$15</f>
        <v>0</v>
      </c>
    </row>
    <row r="449" spans="1:14" s="58" customFormat="1" hidden="1" x14ac:dyDescent="0.2">
      <c r="A449" s="59" t="s">
        <v>189</v>
      </c>
      <c r="B449" s="60"/>
      <c r="C449" s="66">
        <f>SUM(C447*'Data Links'!$B$13)</f>
        <v>0</v>
      </c>
      <c r="D449" s="66">
        <f>SUM(D447*'Data Links'!$B$13)</f>
        <v>0</v>
      </c>
      <c r="E449" s="66">
        <f>SUM(E447*'Data Links'!$B$13)</f>
        <v>0</v>
      </c>
      <c r="F449" s="66">
        <f>SUM(F447*'Data Links'!$B$13)</f>
        <v>0</v>
      </c>
      <c r="G449" s="66">
        <f>SUM(G447*'Data Links'!$B$13)</f>
        <v>0</v>
      </c>
      <c r="H449" s="66">
        <f>SUM(H447*'Data Links'!$B$13)</f>
        <v>0</v>
      </c>
      <c r="I449" s="66">
        <f>SUM(I447*'Data Links'!$B$13)</f>
        <v>0</v>
      </c>
      <c r="J449" s="66">
        <f>SUM(J447*'Data Links'!$B$13)</f>
        <v>0</v>
      </c>
      <c r="K449" s="66">
        <f>SUM(K447*'Data Links'!$B$13)</f>
        <v>0</v>
      </c>
      <c r="L449" s="66">
        <f>SUM(L447*'Data Links'!$B$13)</f>
        <v>0</v>
      </c>
      <c r="M449" s="66">
        <f>SUM(M447*'Data Links'!$B$13)</f>
        <v>0</v>
      </c>
      <c r="N449" s="66">
        <f>SUM(N447*'Data Links'!$B$13)</f>
        <v>0</v>
      </c>
    </row>
    <row r="450" spans="1:14" s="58" customFormat="1" hidden="1" x14ac:dyDescent="0.2">
      <c r="A450" s="59" t="s">
        <v>190</v>
      </c>
      <c r="B450" s="60"/>
      <c r="C450" s="66">
        <f>SUM(C446*'Data Links'!$B$8)</f>
        <v>0</v>
      </c>
      <c r="D450" s="66">
        <f>SUM(D446*'Data Links'!$B$8)</f>
        <v>0</v>
      </c>
      <c r="E450" s="66">
        <f>SUM(E446*'Data Links'!$B$8)</f>
        <v>0</v>
      </c>
      <c r="F450" s="66">
        <f>SUM(F446*'Data Links'!$B$8)</f>
        <v>0</v>
      </c>
      <c r="G450" s="66">
        <f>SUM(G446*'Data Links'!$B$8)</f>
        <v>0</v>
      </c>
      <c r="H450" s="66">
        <f>SUM(H446*'Data Links'!$B$8)</f>
        <v>0</v>
      </c>
      <c r="I450" s="66">
        <f>SUM(I446*'Data Links'!$B$8)</f>
        <v>0</v>
      </c>
      <c r="J450" s="66">
        <f>SUM(J446*'Data Links'!$B$8)</f>
        <v>0</v>
      </c>
      <c r="K450" s="66">
        <f>SUM(K446*'Data Links'!$B$8)</f>
        <v>0</v>
      </c>
      <c r="L450" s="66">
        <f>SUM(L446*'Data Links'!$B$8)</f>
        <v>0</v>
      </c>
      <c r="M450" s="66">
        <f>SUM(M446*'Data Links'!$B$8)</f>
        <v>0</v>
      </c>
      <c r="N450" s="66">
        <f>SUM(N446*'Data Links'!$B$8)</f>
        <v>0</v>
      </c>
    </row>
    <row r="451" spans="1:14" s="58" customFormat="1" hidden="1" x14ac:dyDescent="0.2">
      <c r="A451" s="59" t="s">
        <v>191</v>
      </c>
      <c r="B451" s="60"/>
      <c r="C451" s="66"/>
      <c r="D451" s="66"/>
      <c r="E451" s="66"/>
      <c r="F451" s="66"/>
      <c r="G451" s="66"/>
      <c r="H451" s="66"/>
      <c r="I451" s="66"/>
      <c r="J451" s="66"/>
      <c r="K451" s="66"/>
      <c r="L451" s="66"/>
      <c r="M451" s="66"/>
      <c r="N451" s="66"/>
    </row>
    <row r="452" spans="1:14" s="58" customFormat="1" hidden="1" x14ac:dyDescent="0.2">
      <c r="A452" s="59" t="s">
        <v>192</v>
      </c>
      <c r="B452" s="60"/>
      <c r="C452" s="66"/>
      <c r="D452" s="66"/>
      <c r="E452" s="66"/>
      <c r="F452" s="66"/>
      <c r="G452" s="66"/>
      <c r="H452" s="66"/>
      <c r="I452" s="66"/>
      <c r="J452" s="66"/>
      <c r="K452" s="66"/>
      <c r="L452" s="66"/>
      <c r="M452" s="66"/>
      <c r="N452" s="66"/>
    </row>
    <row r="453" spans="1:14" s="58" customFormat="1" hidden="1" x14ac:dyDescent="0.2">
      <c r="A453" s="58" t="s">
        <v>144</v>
      </c>
      <c r="B453" s="60"/>
      <c r="C453" s="60">
        <f t="shared" ref="C453:N453" si="149">SUM(C447:C452)</f>
        <v>0</v>
      </c>
      <c r="D453" s="60">
        <f t="shared" si="149"/>
        <v>0</v>
      </c>
      <c r="E453" s="60">
        <f t="shared" si="149"/>
        <v>0</v>
      </c>
      <c r="F453" s="60">
        <f t="shared" si="149"/>
        <v>0</v>
      </c>
      <c r="G453" s="60">
        <f t="shared" si="149"/>
        <v>0</v>
      </c>
      <c r="H453" s="60">
        <f t="shared" si="149"/>
        <v>0</v>
      </c>
      <c r="I453" s="60">
        <f t="shared" si="149"/>
        <v>0</v>
      </c>
      <c r="J453" s="60">
        <f t="shared" si="149"/>
        <v>0</v>
      </c>
      <c r="K453" s="60">
        <f t="shared" si="149"/>
        <v>0</v>
      </c>
      <c r="L453" s="60">
        <f t="shared" si="149"/>
        <v>0</v>
      </c>
      <c r="M453" s="60">
        <f t="shared" si="149"/>
        <v>0</v>
      </c>
      <c r="N453" s="60">
        <f t="shared" si="149"/>
        <v>0</v>
      </c>
    </row>
    <row r="454" spans="1:14" s="58" customFormat="1" hidden="1" x14ac:dyDescent="0.2">
      <c r="B454" s="60"/>
      <c r="C454" s="60"/>
      <c r="D454" s="60"/>
      <c r="E454" s="60"/>
      <c r="F454" s="60"/>
      <c r="G454" s="60"/>
      <c r="H454" s="60"/>
      <c r="I454" s="60"/>
      <c r="J454" s="60"/>
      <c r="K454" s="60"/>
      <c r="L454" s="60"/>
      <c r="M454" s="60"/>
      <c r="N454" s="60"/>
    </row>
    <row r="455" spans="1:14" s="58" customFormat="1" hidden="1" x14ac:dyDescent="0.2">
      <c r="A455" s="59"/>
      <c r="B455" s="60"/>
      <c r="C455" s="89" t="str">
        <f>C442</f>
        <v>January</v>
      </c>
      <c r="D455" s="89" t="str">
        <f t="shared" ref="D455:M455" si="150">D442</f>
        <v>February</v>
      </c>
      <c r="E455" s="89" t="str">
        <f t="shared" si="150"/>
        <v>March</v>
      </c>
      <c r="F455" s="89" t="str">
        <f t="shared" si="150"/>
        <v>April</v>
      </c>
      <c r="G455" s="89" t="str">
        <f t="shared" si="150"/>
        <v>May</v>
      </c>
      <c r="H455" s="89" t="str">
        <f t="shared" si="150"/>
        <v>June</v>
      </c>
      <c r="I455" s="89" t="str">
        <f t="shared" si="150"/>
        <v>July</v>
      </c>
      <c r="J455" s="89" t="str">
        <f t="shared" si="150"/>
        <v>August</v>
      </c>
      <c r="K455" s="89" t="str">
        <f t="shared" si="150"/>
        <v>September</v>
      </c>
      <c r="L455" s="89" t="str">
        <f t="shared" si="150"/>
        <v>October</v>
      </c>
      <c r="M455" s="89" t="str">
        <f t="shared" si="150"/>
        <v>November</v>
      </c>
      <c r="N455" s="89" t="str">
        <f>N442</f>
        <v>December</v>
      </c>
    </row>
    <row r="456" spans="1:14" s="58" customFormat="1" hidden="1" x14ac:dyDescent="0.2">
      <c r="A456" s="59"/>
      <c r="B456" s="60"/>
      <c r="C456" s="72">
        <v>31</v>
      </c>
      <c r="D456" s="72">
        <v>31</v>
      </c>
      <c r="E456" s="72">
        <v>30</v>
      </c>
      <c r="F456" s="72">
        <v>31</v>
      </c>
      <c r="G456" s="72">
        <v>30</v>
      </c>
      <c r="H456" s="72">
        <v>31</v>
      </c>
      <c r="I456" s="72">
        <v>31</v>
      </c>
      <c r="J456" s="72">
        <v>28</v>
      </c>
      <c r="K456" s="72">
        <v>31</v>
      </c>
      <c r="L456" s="72">
        <v>30</v>
      </c>
      <c r="M456" s="72">
        <v>31</v>
      </c>
      <c r="N456" s="71">
        <v>30</v>
      </c>
    </row>
    <row r="457" spans="1:14" s="58" customFormat="1" hidden="1" x14ac:dyDescent="0.2">
      <c r="A457" s="59"/>
      <c r="B457" s="89" t="s">
        <v>185</v>
      </c>
      <c r="C457" s="78">
        <f t="shared" ref="C457:N457" si="151">C444</f>
        <v>31</v>
      </c>
      <c r="D457" s="78">
        <f t="shared" si="151"/>
        <v>31</v>
      </c>
      <c r="E457" s="78">
        <f t="shared" si="151"/>
        <v>30</v>
      </c>
      <c r="F457" s="78">
        <f t="shared" si="151"/>
        <v>31</v>
      </c>
      <c r="G457" s="78">
        <f t="shared" si="151"/>
        <v>30</v>
      </c>
      <c r="H457" s="78">
        <f t="shared" si="151"/>
        <v>31</v>
      </c>
      <c r="I457" s="78">
        <f t="shared" si="151"/>
        <v>31</v>
      </c>
      <c r="J457" s="78">
        <f t="shared" si="151"/>
        <v>28</v>
      </c>
      <c r="K457" s="78">
        <f t="shared" si="151"/>
        <v>31</v>
      </c>
      <c r="L457" s="78">
        <f t="shared" si="151"/>
        <v>30</v>
      </c>
      <c r="M457" s="78">
        <f t="shared" si="151"/>
        <v>31</v>
      </c>
      <c r="N457" s="78">
        <f t="shared" si="151"/>
        <v>30</v>
      </c>
    </row>
    <row r="458" spans="1:14" s="58" customFormat="1" hidden="1" x14ac:dyDescent="0.2">
      <c r="A458" s="59"/>
      <c r="B458" s="89" t="s">
        <v>44</v>
      </c>
      <c r="C458" s="49"/>
      <c r="D458" s="49"/>
      <c r="E458" s="49"/>
      <c r="F458" s="49"/>
      <c r="G458" s="49"/>
      <c r="H458" s="49"/>
      <c r="I458" s="49"/>
      <c r="J458" s="49"/>
      <c r="K458" s="49"/>
      <c r="L458" s="49"/>
      <c r="M458" s="49"/>
      <c r="N458" s="49"/>
    </row>
    <row r="459" spans="1:14" s="58" customFormat="1" hidden="1" x14ac:dyDescent="0.2">
      <c r="A459" s="59"/>
      <c r="B459" s="89" t="s">
        <v>186</v>
      </c>
      <c r="C459" s="53">
        <f>SUM(174*C458)</f>
        <v>0</v>
      </c>
      <c r="D459" s="53">
        <f t="shared" ref="D459:N459" si="152">SUM(174*D458)</f>
        <v>0</v>
      </c>
      <c r="E459" s="53">
        <f t="shared" si="152"/>
        <v>0</v>
      </c>
      <c r="F459" s="53">
        <f t="shared" si="152"/>
        <v>0</v>
      </c>
      <c r="G459" s="53">
        <f t="shared" si="152"/>
        <v>0</v>
      </c>
      <c r="H459" s="53">
        <f t="shared" si="152"/>
        <v>0</v>
      </c>
      <c r="I459" s="53">
        <f t="shared" si="152"/>
        <v>0</v>
      </c>
      <c r="J459" s="53">
        <f t="shared" si="152"/>
        <v>0</v>
      </c>
      <c r="K459" s="53">
        <f t="shared" si="152"/>
        <v>0</v>
      </c>
      <c r="L459" s="53">
        <f t="shared" si="152"/>
        <v>0</v>
      </c>
      <c r="M459" s="53">
        <f t="shared" si="152"/>
        <v>0</v>
      </c>
      <c r="N459" s="53">
        <f t="shared" si="152"/>
        <v>0</v>
      </c>
    </row>
    <row r="460" spans="1:14" s="58" customFormat="1" hidden="1" x14ac:dyDescent="0.2">
      <c r="A460" s="59" t="s">
        <v>193</v>
      </c>
      <c r="B460" s="78" t="s">
        <v>187</v>
      </c>
      <c r="C460" s="66">
        <f>SUM(C459*$B$461)</f>
        <v>0</v>
      </c>
      <c r="D460" s="66">
        <f t="shared" ref="D460:N460" si="153">SUM(D459*$B$461)</f>
        <v>0</v>
      </c>
      <c r="E460" s="66">
        <f t="shared" si="153"/>
        <v>0</v>
      </c>
      <c r="F460" s="66">
        <f t="shared" si="153"/>
        <v>0</v>
      </c>
      <c r="G460" s="66">
        <f t="shared" si="153"/>
        <v>0</v>
      </c>
      <c r="H460" s="66">
        <f t="shared" si="153"/>
        <v>0</v>
      </c>
      <c r="I460" s="66">
        <f t="shared" si="153"/>
        <v>0</v>
      </c>
      <c r="J460" s="66">
        <f t="shared" si="153"/>
        <v>0</v>
      </c>
      <c r="K460" s="66">
        <f t="shared" si="153"/>
        <v>0</v>
      </c>
      <c r="L460" s="66">
        <f t="shared" si="153"/>
        <v>0</v>
      </c>
      <c r="M460" s="66">
        <f t="shared" si="153"/>
        <v>0</v>
      </c>
      <c r="N460" s="66">
        <f t="shared" si="153"/>
        <v>0</v>
      </c>
    </row>
    <row r="461" spans="1:14" s="58" customFormat="1" hidden="1" x14ac:dyDescent="0.2">
      <c r="A461" s="59" t="s">
        <v>188</v>
      </c>
      <c r="B461" s="74">
        <v>0</v>
      </c>
      <c r="C461" s="66">
        <f>SUM(C460)*'Data Links'!$B$15</f>
        <v>0</v>
      </c>
      <c r="D461" s="66">
        <f>SUM(D460)*'Data Links'!$B$15</f>
        <v>0</v>
      </c>
      <c r="E461" s="66">
        <f>SUM(E460)*'Data Links'!$B$15</f>
        <v>0</v>
      </c>
      <c r="F461" s="66">
        <f>SUM(F460)*'Data Links'!$B$15</f>
        <v>0</v>
      </c>
      <c r="G461" s="66">
        <f>SUM(G460)*'Data Links'!$B$15</f>
        <v>0</v>
      </c>
      <c r="H461" s="66">
        <f>SUM(H460)*'Data Links'!$B$15</f>
        <v>0</v>
      </c>
      <c r="I461" s="66">
        <f>SUM(I460)*'Data Links'!$B$15</f>
        <v>0</v>
      </c>
      <c r="J461" s="66">
        <f>SUM(J460)*'Data Links'!$B$15</f>
        <v>0</v>
      </c>
      <c r="K461" s="66">
        <f>SUM(K460)*'Data Links'!$B$15</f>
        <v>0</v>
      </c>
      <c r="L461" s="66">
        <f>SUM(L460)*'Data Links'!$B$15</f>
        <v>0</v>
      </c>
      <c r="M461" s="66">
        <f>SUM(M460)*'Data Links'!$B$15</f>
        <v>0</v>
      </c>
      <c r="N461" s="66">
        <f>SUM(N460)*'Data Links'!$B$15</f>
        <v>0</v>
      </c>
    </row>
    <row r="462" spans="1:14" s="58" customFormat="1" hidden="1" x14ac:dyDescent="0.2">
      <c r="A462" s="59" t="s">
        <v>189</v>
      </c>
      <c r="B462" s="60"/>
      <c r="C462" s="66">
        <f>SUM(C460*'Data Links'!$B$13)</f>
        <v>0</v>
      </c>
      <c r="D462" s="66">
        <f>SUM(D460*'Data Links'!$B$13)</f>
        <v>0</v>
      </c>
      <c r="E462" s="66">
        <f>SUM(E460*'Data Links'!$B$13)</f>
        <v>0</v>
      </c>
      <c r="F462" s="66">
        <f>SUM(F460*'Data Links'!$B$13)</f>
        <v>0</v>
      </c>
      <c r="G462" s="66">
        <f>SUM(G460*'Data Links'!$B$13)</f>
        <v>0</v>
      </c>
      <c r="H462" s="66">
        <f>SUM(H460*'Data Links'!$B$13)</f>
        <v>0</v>
      </c>
      <c r="I462" s="66">
        <f>SUM(I460*'Data Links'!$B$13)</f>
        <v>0</v>
      </c>
      <c r="J462" s="66">
        <f>SUM(J460*'Data Links'!$B$13)</f>
        <v>0</v>
      </c>
      <c r="K462" s="66">
        <f>SUM(K460*'Data Links'!$B$13)</f>
        <v>0</v>
      </c>
      <c r="L462" s="66">
        <f>SUM(L460*'Data Links'!$B$13)</f>
        <v>0</v>
      </c>
      <c r="M462" s="66">
        <f>SUM(M460*'Data Links'!$B$13)</f>
        <v>0</v>
      </c>
      <c r="N462" s="66">
        <f>SUM(N460*'Data Links'!$B$13)</f>
        <v>0</v>
      </c>
    </row>
    <row r="463" spans="1:14" s="58" customFormat="1" hidden="1" x14ac:dyDescent="0.2">
      <c r="A463" s="59" t="s">
        <v>190</v>
      </c>
      <c r="B463" s="60"/>
      <c r="C463" s="66">
        <f>SUM(C459*'Data Links'!$B$8)</f>
        <v>0</v>
      </c>
      <c r="D463" s="66">
        <f>SUM(D459*'Data Links'!$B$8)</f>
        <v>0</v>
      </c>
      <c r="E463" s="66">
        <f>SUM(E459*'Data Links'!$B$8)</f>
        <v>0</v>
      </c>
      <c r="F463" s="66">
        <f>SUM(F459*'Data Links'!$B$8)</f>
        <v>0</v>
      </c>
      <c r="G463" s="66">
        <f>SUM(G459*'Data Links'!$B$8)</f>
        <v>0</v>
      </c>
      <c r="H463" s="66">
        <f>SUM(H459*'Data Links'!$B$8)</f>
        <v>0</v>
      </c>
      <c r="I463" s="66">
        <f>SUM(I459*'Data Links'!$B$8)</f>
        <v>0</v>
      </c>
      <c r="J463" s="66">
        <f>SUM(J459*'Data Links'!$B$8)</f>
        <v>0</v>
      </c>
      <c r="K463" s="66">
        <f>SUM(K459*'Data Links'!$B$8)</f>
        <v>0</v>
      </c>
      <c r="L463" s="66">
        <f>SUM(L459*'Data Links'!$B$8)</f>
        <v>0</v>
      </c>
      <c r="M463" s="66">
        <f>SUM(M459*'Data Links'!$B$8)</f>
        <v>0</v>
      </c>
      <c r="N463" s="66">
        <f>SUM(N459*'Data Links'!$B$8)</f>
        <v>0</v>
      </c>
    </row>
    <row r="464" spans="1:14" s="58" customFormat="1" hidden="1" x14ac:dyDescent="0.2">
      <c r="A464" s="59" t="s">
        <v>191</v>
      </c>
      <c r="B464" s="60"/>
      <c r="C464" s="66"/>
      <c r="D464" s="66"/>
      <c r="E464" s="66"/>
      <c r="F464" s="66"/>
      <c r="G464" s="66"/>
      <c r="H464" s="66"/>
      <c r="I464" s="66"/>
      <c r="J464" s="66"/>
      <c r="K464" s="66"/>
      <c r="L464" s="66"/>
      <c r="M464" s="66"/>
      <c r="N464" s="66"/>
    </row>
    <row r="465" spans="1:14" s="58" customFormat="1" hidden="1" x14ac:dyDescent="0.2">
      <c r="A465" s="59" t="s">
        <v>192</v>
      </c>
      <c r="B465" s="60"/>
      <c r="C465" s="66"/>
      <c r="D465" s="66"/>
      <c r="E465" s="66"/>
      <c r="F465" s="66"/>
      <c r="G465" s="66"/>
      <c r="H465" s="66"/>
      <c r="I465" s="66"/>
      <c r="J465" s="66"/>
      <c r="K465" s="66"/>
      <c r="L465" s="66"/>
      <c r="M465" s="66"/>
      <c r="N465" s="66"/>
    </row>
    <row r="466" spans="1:14" hidden="1" x14ac:dyDescent="0.2">
      <c r="A466" s="58" t="s">
        <v>144</v>
      </c>
      <c r="C466" s="60">
        <f t="shared" ref="C466:N466" si="154">SUM(C460:C465)</f>
        <v>0</v>
      </c>
      <c r="D466" s="60">
        <f t="shared" si="154"/>
        <v>0</v>
      </c>
      <c r="E466" s="60">
        <f t="shared" si="154"/>
        <v>0</v>
      </c>
      <c r="F466" s="60">
        <f t="shared" si="154"/>
        <v>0</v>
      </c>
      <c r="G466" s="60">
        <f t="shared" si="154"/>
        <v>0</v>
      </c>
      <c r="H466" s="60">
        <f t="shared" si="154"/>
        <v>0</v>
      </c>
      <c r="I466" s="60">
        <f t="shared" si="154"/>
        <v>0</v>
      </c>
      <c r="J466" s="60">
        <f t="shared" si="154"/>
        <v>0</v>
      </c>
      <c r="K466" s="60">
        <f t="shared" si="154"/>
        <v>0</v>
      </c>
      <c r="L466" s="60">
        <f t="shared" si="154"/>
        <v>0</v>
      </c>
      <c r="M466" s="60">
        <f t="shared" si="154"/>
        <v>0</v>
      </c>
      <c r="N466" s="60">
        <f t="shared" si="154"/>
        <v>0</v>
      </c>
    </row>
    <row r="467" spans="1:14" hidden="1" x14ac:dyDescent="0.2">
      <c r="C467" s="60"/>
      <c r="D467" s="66"/>
      <c r="E467" s="66"/>
      <c r="F467" s="66"/>
      <c r="G467" s="66"/>
      <c r="H467" s="66"/>
      <c r="I467" s="66"/>
      <c r="J467" s="66"/>
      <c r="K467" s="66"/>
      <c r="L467" s="66"/>
      <c r="M467" s="66"/>
      <c r="N467" s="66"/>
    </row>
    <row r="468" spans="1:14" hidden="1" x14ac:dyDescent="0.2">
      <c r="C468" s="60"/>
      <c r="D468" s="66"/>
      <c r="E468" s="66"/>
      <c r="F468" s="66"/>
      <c r="G468" s="66"/>
      <c r="H468" s="66"/>
      <c r="I468" s="66"/>
      <c r="J468" s="66"/>
      <c r="K468" s="66"/>
      <c r="L468" s="66"/>
      <c r="M468" s="66"/>
      <c r="N468" s="66"/>
    </row>
    <row r="469" spans="1:14" x14ac:dyDescent="0.2">
      <c r="C469" s="60"/>
      <c r="D469" s="66"/>
      <c r="E469" s="66"/>
      <c r="F469" s="66"/>
      <c r="G469" s="66"/>
      <c r="H469" s="66"/>
      <c r="I469" s="66"/>
      <c r="J469" s="66"/>
      <c r="K469" s="66"/>
      <c r="L469" s="66"/>
      <c r="M469" s="66"/>
      <c r="N469" s="66"/>
    </row>
    <row r="470" spans="1:14" x14ac:dyDescent="0.2">
      <c r="A470" s="58" t="s">
        <v>194</v>
      </c>
      <c r="C470" s="60"/>
      <c r="D470" s="66"/>
      <c r="E470" s="66"/>
      <c r="F470" s="66"/>
      <c r="G470" s="66"/>
      <c r="H470" s="66"/>
      <c r="I470" s="66"/>
      <c r="J470" s="66"/>
      <c r="K470" s="66"/>
      <c r="L470" s="66"/>
      <c r="M470" s="66"/>
      <c r="N470" s="66"/>
    </row>
    <row r="471" spans="1:14" x14ac:dyDescent="0.2">
      <c r="A471" s="59" t="s">
        <v>195</v>
      </c>
      <c r="C471" s="66">
        <f>SUM(C110+C123+C136+C149+C162+C175+C188+C201+C214+C227+C240+C253+C266+C279+C292+C305+C318+C331+C344+C357+C370+C395+C408+C421+C434+C447+C460+C382)</f>
        <v>36224.500500000002</v>
      </c>
      <c r="D471" s="66">
        <f t="shared" ref="D471:N471" si="155">SUM(D110+D123+D136+D149+D162+D175+D188+D201+D214+D227+D240+D253+D266+D279+D292+D305+D318+D331+D344+D357+D370+D395+D408+D421+D434+D447+D460+D382)</f>
        <v>36224.500500000002</v>
      </c>
      <c r="E471" s="66">
        <f t="shared" si="155"/>
        <v>36224.500500000002</v>
      </c>
      <c r="F471" s="66">
        <f t="shared" si="155"/>
        <v>36224.500500000002</v>
      </c>
      <c r="G471" s="66">
        <f t="shared" si="155"/>
        <v>36224.500500000002</v>
      </c>
      <c r="H471" s="66">
        <f t="shared" si="155"/>
        <v>36224.500500000002</v>
      </c>
      <c r="I471" s="66">
        <f t="shared" si="155"/>
        <v>36224.500500000002</v>
      </c>
      <c r="J471" s="66">
        <f t="shared" si="155"/>
        <v>36224.500500000002</v>
      </c>
      <c r="K471" s="66">
        <f t="shared" si="155"/>
        <v>36224.500500000002</v>
      </c>
      <c r="L471" s="66">
        <f t="shared" si="155"/>
        <v>36224.500500000002</v>
      </c>
      <c r="M471" s="66">
        <f t="shared" si="155"/>
        <v>36224.500500000002</v>
      </c>
      <c r="N471" s="66">
        <f t="shared" si="155"/>
        <v>36224.500500000002</v>
      </c>
    </row>
    <row r="472" spans="1:14" x14ac:dyDescent="0.2">
      <c r="A472" s="59" t="s">
        <v>22</v>
      </c>
      <c r="C472" s="66">
        <f>SUM(C111+C112+C113+C124+C125+C126+C137+C138+C139+C150+C151+C152+C163+C164+C165+C176+C177+C178+C189+C190+C191+C202+C203+C204+C215+C216+C217+C228+C229+C230+C241+C242+C243+C254+C255+C256+C267+C268+C269+C280+C281+C282+C293+C294+C295+C306+C307+C308+C319+C320+C321+C332+C333+C334+C345+C346+C347+C358+C359+C360+C371+C372+C373+C396+C397+C398+C409+C410+C411+C422+C423+C424+C435+C436+C437+C448+C449+C450+C461+C462+C463+C383+C384+C385)</f>
        <v>3969.6737887499994</v>
      </c>
      <c r="D472" s="66">
        <f t="shared" ref="D472:N472" si="156">SUM(D111+D112+D113+D124+D125+D126+D137+D138+D139+D150+D151+D152+D163+D164+D165+D176+D177+D178+D189+D190+D191+D202+D203+D204+D215+D216+D217+D228+D229+D230+D241+D242+D243+D254+D255+D256+D267+D268+D269+D280+D281+D282+D293+D294+D295+D306+D307+D308+D319+D320+D321+D332+D333+D334+D345+D346+D347+D358+D359+D360+D371+D372+D373+D396+D397+D398+D409+D410+D411+D422+D423+D424+D435+D436+D437+D448+D449+D450+D461+D462+D463+D383+D384+D385)</f>
        <v>3969.6737887499994</v>
      </c>
      <c r="E472" s="66">
        <f t="shared" si="156"/>
        <v>3969.6737887499994</v>
      </c>
      <c r="F472" s="66">
        <f t="shared" si="156"/>
        <v>3969.6737887499994</v>
      </c>
      <c r="G472" s="66">
        <f t="shared" si="156"/>
        <v>3969.6737887499994</v>
      </c>
      <c r="H472" s="66">
        <f t="shared" si="156"/>
        <v>3969.6737887499994</v>
      </c>
      <c r="I472" s="66">
        <f t="shared" si="156"/>
        <v>3969.6737887499994</v>
      </c>
      <c r="J472" s="66">
        <f t="shared" si="156"/>
        <v>3969.6737887499994</v>
      </c>
      <c r="K472" s="66">
        <f t="shared" si="156"/>
        <v>3969.6737887499994</v>
      </c>
      <c r="L472" s="66">
        <f t="shared" si="156"/>
        <v>3969.6737887499994</v>
      </c>
      <c r="M472" s="66">
        <f t="shared" si="156"/>
        <v>3969.6737887499994</v>
      </c>
      <c r="N472" s="66">
        <f t="shared" si="156"/>
        <v>3969.6737887499994</v>
      </c>
    </row>
    <row r="473" spans="1:14" x14ac:dyDescent="0.2">
      <c r="A473" s="59" t="s">
        <v>23</v>
      </c>
      <c r="C473" s="66">
        <f>SUM(C114+C115+C127+C128+C140+C141+C153+C154+C166+C167+C179+C180+C192+C193+C205+C206+C218+C219+C231+C232+C244+C245+C257+C258+C270+C271+C283+C284+C296+C297+C309+C310+C322+C323+C335+C336+C348+C349+C361+C362+C374+C375+C399+C400+C412+C413+C425+C426+C438+C439+C451+C452+C464+C465+C386+C387)</f>
        <v>3324.5418591379307</v>
      </c>
      <c r="D473" s="66">
        <f t="shared" ref="D473:N473" si="157">SUM(D114+D115+D127+D128+D140+D141+D153+D154+D166+D167+D179+D180+D192+D193+D205+D206+D218+D219+D231+D232+D244+D245+D257+D258+D270+D271+D283+D284+D296+D297+D309+D310+D322+D323+D335+D336+D348+D349+D361+D362+D374+D375+D399+D400+D412+D413+D425+D426+D438+D439+D451+D452+D464+D465+D386+D387)</f>
        <v>3324.5418591379307</v>
      </c>
      <c r="E473" s="66">
        <f t="shared" si="157"/>
        <v>3324.5418591379307</v>
      </c>
      <c r="F473" s="66">
        <f t="shared" si="157"/>
        <v>3324.5418591379307</v>
      </c>
      <c r="G473" s="66">
        <f t="shared" si="157"/>
        <v>3324.5418591379307</v>
      </c>
      <c r="H473" s="66">
        <f t="shared" si="157"/>
        <v>3324.5418591379307</v>
      </c>
      <c r="I473" s="66">
        <f t="shared" si="157"/>
        <v>3324.5418591379307</v>
      </c>
      <c r="J473" s="66">
        <f t="shared" si="157"/>
        <v>3324.5418591379307</v>
      </c>
      <c r="K473" s="66">
        <f t="shared" si="157"/>
        <v>3324.5418591379307</v>
      </c>
      <c r="L473" s="66">
        <f t="shared" si="157"/>
        <v>3324.5418591379307</v>
      </c>
      <c r="M473" s="66">
        <f t="shared" si="157"/>
        <v>3324.5418591379307</v>
      </c>
      <c r="N473" s="66">
        <f t="shared" si="157"/>
        <v>3324.5418591379307</v>
      </c>
    </row>
    <row r="474" spans="1:14" s="58" customFormat="1" x14ac:dyDescent="0.2">
      <c r="A474" s="58" t="s">
        <v>196</v>
      </c>
      <c r="B474" s="60"/>
      <c r="C474" s="60">
        <f>SUM(C471:C473)</f>
        <v>43518.716147887928</v>
      </c>
      <c r="D474" s="60">
        <f t="shared" ref="D474:N474" si="158">SUM(D471:D473)</f>
        <v>43518.716147887928</v>
      </c>
      <c r="E474" s="60">
        <f t="shared" si="158"/>
        <v>43518.716147887928</v>
      </c>
      <c r="F474" s="60">
        <f t="shared" si="158"/>
        <v>43518.716147887928</v>
      </c>
      <c r="G474" s="60">
        <f t="shared" si="158"/>
        <v>43518.716147887928</v>
      </c>
      <c r="H474" s="60">
        <f t="shared" si="158"/>
        <v>43518.716147887928</v>
      </c>
      <c r="I474" s="60">
        <f t="shared" si="158"/>
        <v>43518.716147887928</v>
      </c>
      <c r="J474" s="60">
        <f t="shared" si="158"/>
        <v>43518.716147887928</v>
      </c>
      <c r="K474" s="60">
        <f t="shared" si="158"/>
        <v>43518.716147887928</v>
      </c>
      <c r="L474" s="60">
        <f t="shared" si="158"/>
        <v>43518.716147887928</v>
      </c>
      <c r="M474" s="60">
        <f t="shared" si="158"/>
        <v>43518.716147887928</v>
      </c>
      <c r="N474" s="60">
        <f t="shared" si="158"/>
        <v>43518.716147887928</v>
      </c>
    </row>
    <row r="475" spans="1:14" x14ac:dyDescent="0.2">
      <c r="C475" s="60"/>
      <c r="D475" s="66"/>
      <c r="E475" s="66"/>
      <c r="F475" s="66"/>
      <c r="G475" s="66"/>
      <c r="H475" s="66"/>
      <c r="I475" s="66"/>
      <c r="J475" s="66"/>
      <c r="K475" s="66"/>
      <c r="L475" s="66"/>
      <c r="M475" s="66"/>
      <c r="N475" s="66"/>
    </row>
    <row r="476" spans="1:14" x14ac:dyDescent="0.2">
      <c r="C476" s="60"/>
      <c r="D476" s="66"/>
      <c r="E476" s="66"/>
      <c r="F476" s="66"/>
      <c r="G476" s="66"/>
      <c r="H476" s="66"/>
      <c r="I476" s="66"/>
      <c r="J476" s="66"/>
      <c r="K476" s="66"/>
      <c r="L476" s="66"/>
      <c r="M476" s="66"/>
      <c r="N476" s="66"/>
    </row>
    <row r="477" spans="1:14" x14ac:dyDescent="0.2">
      <c r="C477" s="60"/>
      <c r="D477" s="66"/>
      <c r="E477" s="66"/>
      <c r="F477" s="66"/>
      <c r="G477" s="66"/>
      <c r="H477" s="66"/>
      <c r="I477" s="66"/>
      <c r="J477" s="66"/>
      <c r="K477" s="66"/>
      <c r="L477" s="66"/>
      <c r="M477" s="66"/>
      <c r="N477" s="66"/>
    </row>
    <row r="478" spans="1:14" x14ac:dyDescent="0.2">
      <c r="C478" s="60"/>
      <c r="D478" s="66"/>
      <c r="E478" s="66"/>
      <c r="F478" s="66"/>
      <c r="G478" s="66"/>
      <c r="H478" s="66"/>
      <c r="I478" s="66"/>
      <c r="J478" s="66"/>
      <c r="K478" s="66"/>
      <c r="L478" s="66"/>
      <c r="M478" s="66"/>
      <c r="N478" s="66"/>
    </row>
    <row r="479" spans="1:14" x14ac:dyDescent="0.2">
      <c r="A479" s="84"/>
      <c r="B479" s="84"/>
      <c r="C479" s="60"/>
      <c r="D479" s="66"/>
      <c r="E479" s="66"/>
      <c r="F479" s="66"/>
      <c r="G479" s="66"/>
      <c r="H479" s="66"/>
      <c r="I479" s="66"/>
      <c r="J479" s="66"/>
      <c r="K479" s="66"/>
      <c r="L479" s="66"/>
      <c r="M479" s="66"/>
      <c r="N479" s="66"/>
    </row>
    <row r="480" spans="1:14" x14ac:dyDescent="0.2">
      <c r="A480" s="84"/>
      <c r="B480" s="84"/>
      <c r="C480" s="60"/>
      <c r="D480" s="66"/>
      <c r="E480" s="66"/>
      <c r="F480" s="66"/>
      <c r="G480" s="66"/>
      <c r="H480" s="66"/>
      <c r="I480" s="66"/>
      <c r="J480" s="66"/>
      <c r="K480" s="66"/>
      <c r="L480" s="66"/>
      <c r="M480" s="66"/>
      <c r="N480" s="66"/>
    </row>
    <row r="481" spans="1:14" x14ac:dyDescent="0.2">
      <c r="A481" s="84"/>
      <c r="B481" s="84"/>
      <c r="C481" s="60"/>
      <c r="D481" s="66"/>
      <c r="E481" s="66"/>
      <c r="F481" s="66"/>
      <c r="G481" s="66"/>
      <c r="H481" s="66"/>
      <c r="I481" s="66"/>
      <c r="J481" s="66"/>
      <c r="K481" s="66"/>
      <c r="L481" s="66"/>
      <c r="M481" s="66"/>
      <c r="N481" s="66"/>
    </row>
    <row r="482" spans="1:14" x14ac:dyDescent="0.2">
      <c r="A482" s="84"/>
      <c r="B482" s="84"/>
      <c r="C482" s="60"/>
      <c r="D482" s="66"/>
      <c r="E482" s="66"/>
      <c r="F482" s="66"/>
      <c r="G482" s="66"/>
      <c r="H482" s="66"/>
      <c r="I482" s="66"/>
      <c r="J482" s="66"/>
      <c r="K482" s="66"/>
      <c r="L482" s="66"/>
      <c r="M482" s="66"/>
      <c r="N482" s="66"/>
    </row>
    <row r="483" spans="1:14" x14ac:dyDescent="0.2">
      <c r="A483" s="84"/>
      <c r="B483" s="84"/>
      <c r="C483" s="60"/>
      <c r="D483" s="66"/>
      <c r="E483" s="66"/>
      <c r="F483" s="66"/>
      <c r="G483" s="66"/>
      <c r="H483" s="66"/>
      <c r="I483" s="66"/>
      <c r="J483" s="66"/>
      <c r="K483" s="66"/>
      <c r="L483" s="66"/>
      <c r="M483" s="66"/>
      <c r="N483" s="66"/>
    </row>
    <row r="484" spans="1:14" x14ac:dyDescent="0.2">
      <c r="A484" s="84"/>
      <c r="B484" s="84"/>
      <c r="C484" s="60"/>
      <c r="D484" s="66"/>
      <c r="E484" s="66"/>
      <c r="F484" s="66"/>
      <c r="G484" s="66"/>
      <c r="H484" s="66"/>
      <c r="I484" s="66"/>
      <c r="J484" s="66"/>
      <c r="K484" s="66"/>
      <c r="L484" s="66"/>
      <c r="M484" s="66"/>
      <c r="N484" s="66"/>
    </row>
    <row r="485" spans="1:14" x14ac:dyDescent="0.2">
      <c r="A485" s="84"/>
      <c r="B485" s="84"/>
      <c r="C485" s="60"/>
      <c r="D485" s="66"/>
      <c r="E485" s="66"/>
      <c r="F485" s="66"/>
      <c r="G485" s="66"/>
      <c r="H485" s="66"/>
      <c r="I485" s="66"/>
      <c r="J485" s="66"/>
      <c r="K485" s="66"/>
      <c r="L485" s="66"/>
      <c r="M485" s="66"/>
      <c r="N485" s="66"/>
    </row>
    <row r="486" spans="1:14" x14ac:dyDescent="0.2">
      <c r="A486" s="84"/>
      <c r="B486" s="84"/>
      <c r="C486" s="60"/>
      <c r="D486" s="66"/>
      <c r="E486" s="66"/>
      <c r="F486" s="66"/>
      <c r="G486" s="66"/>
      <c r="H486" s="66"/>
      <c r="I486" s="66"/>
      <c r="J486" s="66"/>
      <c r="K486" s="66"/>
      <c r="L486" s="66"/>
      <c r="M486" s="66"/>
      <c r="N486" s="66"/>
    </row>
    <row r="487" spans="1:14" x14ac:dyDescent="0.2">
      <c r="A487" s="84"/>
      <c r="B487" s="84"/>
      <c r="C487" s="60"/>
      <c r="D487" s="66"/>
      <c r="E487" s="66"/>
      <c r="F487" s="66"/>
      <c r="G487" s="66"/>
      <c r="H487" s="66"/>
      <c r="I487" s="66"/>
      <c r="J487" s="66"/>
      <c r="K487" s="66"/>
      <c r="L487" s="66"/>
      <c r="M487" s="66"/>
      <c r="N487" s="66"/>
    </row>
    <row r="488" spans="1:14" x14ac:dyDescent="0.2">
      <c r="A488" s="84"/>
      <c r="B488" s="84"/>
      <c r="C488" s="60"/>
      <c r="D488" s="66"/>
      <c r="E488" s="66"/>
      <c r="F488" s="66"/>
      <c r="G488" s="66"/>
      <c r="H488" s="66"/>
      <c r="I488" s="66"/>
      <c r="J488" s="66"/>
      <c r="K488" s="66"/>
      <c r="L488" s="66"/>
      <c r="M488" s="66"/>
      <c r="N488" s="66"/>
    </row>
    <row r="489" spans="1:14" x14ac:dyDescent="0.2">
      <c r="A489" s="84"/>
      <c r="B489" s="84"/>
      <c r="C489" s="60"/>
      <c r="D489" s="66"/>
      <c r="E489" s="66"/>
      <c r="F489" s="66"/>
      <c r="G489" s="66"/>
      <c r="H489" s="66"/>
      <c r="I489" s="66"/>
      <c r="J489" s="66"/>
      <c r="K489" s="66"/>
      <c r="L489" s="66"/>
      <c r="M489" s="66"/>
      <c r="N489" s="66"/>
    </row>
    <row r="490" spans="1:14" x14ac:dyDescent="0.2">
      <c r="A490" s="84"/>
      <c r="B490" s="84"/>
      <c r="C490" s="60"/>
      <c r="D490" s="66"/>
      <c r="E490" s="66"/>
      <c r="F490" s="66"/>
      <c r="G490" s="66"/>
      <c r="H490" s="66"/>
      <c r="I490" s="66"/>
      <c r="J490" s="66"/>
      <c r="K490" s="66"/>
      <c r="L490" s="66"/>
      <c r="M490" s="66"/>
      <c r="N490" s="66"/>
    </row>
    <row r="491" spans="1:14" x14ac:dyDescent="0.2">
      <c r="A491" s="84"/>
      <c r="B491" s="84"/>
      <c r="C491" s="60"/>
      <c r="D491" s="66"/>
      <c r="E491" s="66"/>
      <c r="F491" s="66"/>
      <c r="G491" s="66"/>
      <c r="H491" s="66"/>
      <c r="I491" s="66"/>
      <c r="J491" s="66"/>
      <c r="K491" s="66"/>
      <c r="L491" s="66"/>
      <c r="M491" s="66"/>
      <c r="N491" s="66"/>
    </row>
    <row r="492" spans="1:14" x14ac:dyDescent="0.2">
      <c r="A492" s="84"/>
      <c r="B492" s="84"/>
      <c r="C492" s="60"/>
      <c r="D492" s="66"/>
      <c r="E492" s="66"/>
      <c r="F492" s="66"/>
      <c r="G492" s="66"/>
      <c r="H492" s="66"/>
      <c r="I492" s="66"/>
      <c r="J492" s="66"/>
      <c r="K492" s="66"/>
      <c r="L492" s="66"/>
      <c r="M492" s="66"/>
      <c r="N492" s="66"/>
    </row>
    <row r="493" spans="1:14" x14ac:dyDescent="0.2">
      <c r="A493" s="84"/>
      <c r="B493" s="84"/>
      <c r="C493" s="60"/>
      <c r="D493" s="66"/>
      <c r="E493" s="66"/>
      <c r="F493" s="66"/>
      <c r="G493" s="66"/>
      <c r="H493" s="66"/>
      <c r="I493" s="66"/>
      <c r="J493" s="66"/>
      <c r="K493" s="66"/>
      <c r="L493" s="66"/>
      <c r="M493" s="66"/>
      <c r="N493" s="66"/>
    </row>
    <row r="494" spans="1:14" x14ac:dyDescent="0.2">
      <c r="A494" s="84"/>
      <c r="B494" s="84"/>
      <c r="C494" s="60"/>
      <c r="D494" s="66"/>
      <c r="E494" s="66"/>
      <c r="F494" s="66"/>
      <c r="G494" s="66"/>
      <c r="H494" s="66"/>
      <c r="I494" s="66"/>
      <c r="J494" s="66"/>
      <c r="K494" s="66"/>
      <c r="L494" s="66"/>
      <c r="M494" s="66"/>
      <c r="N494" s="66"/>
    </row>
    <row r="495" spans="1:14" x14ac:dyDescent="0.2">
      <c r="A495" s="84"/>
      <c r="B495" s="84"/>
      <c r="C495" s="60"/>
      <c r="D495" s="66"/>
      <c r="E495" s="66"/>
      <c r="F495" s="66"/>
      <c r="G495" s="66"/>
      <c r="H495" s="66"/>
      <c r="I495" s="66"/>
      <c r="J495" s="66"/>
      <c r="K495" s="66"/>
      <c r="L495" s="66"/>
      <c r="M495" s="66"/>
      <c r="N495" s="66"/>
    </row>
    <row r="496" spans="1:14" x14ac:dyDescent="0.2">
      <c r="A496" s="84"/>
      <c r="B496" s="84"/>
      <c r="C496" s="60"/>
      <c r="D496" s="66"/>
      <c r="E496" s="66"/>
      <c r="F496" s="66"/>
      <c r="G496" s="66"/>
      <c r="H496" s="66"/>
      <c r="I496" s="66"/>
      <c r="J496" s="66"/>
      <c r="K496" s="66"/>
      <c r="L496" s="66"/>
      <c r="M496" s="66"/>
      <c r="N496" s="66"/>
    </row>
    <row r="497" spans="1:14" x14ac:dyDescent="0.2">
      <c r="A497" s="84"/>
      <c r="B497" s="84"/>
      <c r="C497" s="60"/>
      <c r="D497" s="66"/>
      <c r="E497" s="66"/>
      <c r="F497" s="66"/>
      <c r="G497" s="66"/>
      <c r="H497" s="66"/>
      <c r="I497" s="66"/>
      <c r="J497" s="66"/>
      <c r="K497" s="66"/>
      <c r="L497" s="66"/>
      <c r="M497" s="66"/>
      <c r="N497" s="66"/>
    </row>
    <row r="498" spans="1:14" x14ac:dyDescent="0.2">
      <c r="A498" s="84"/>
      <c r="B498" s="84"/>
      <c r="C498" s="60"/>
      <c r="D498" s="66"/>
      <c r="E498" s="66"/>
      <c r="F498" s="66"/>
      <c r="G498" s="66"/>
      <c r="H498" s="66"/>
      <c r="I498" s="66"/>
      <c r="J498" s="66"/>
      <c r="K498" s="66"/>
      <c r="L498" s="66"/>
      <c r="M498" s="66"/>
      <c r="N498" s="66"/>
    </row>
    <row r="499" spans="1:14" x14ac:dyDescent="0.2">
      <c r="A499" s="84"/>
      <c r="B499" s="84"/>
      <c r="C499" s="60"/>
      <c r="D499" s="66"/>
      <c r="E499" s="66"/>
      <c r="F499" s="66"/>
      <c r="G499" s="66"/>
      <c r="H499" s="66"/>
      <c r="I499" s="66"/>
      <c r="J499" s="66"/>
      <c r="K499" s="66"/>
      <c r="L499" s="66"/>
      <c r="M499" s="66"/>
      <c r="N499" s="66"/>
    </row>
    <row r="500" spans="1:14" x14ac:dyDescent="0.2">
      <c r="A500" s="84"/>
      <c r="B500" s="84"/>
      <c r="C500" s="60"/>
      <c r="D500" s="66"/>
      <c r="E500" s="66"/>
      <c r="F500" s="66"/>
      <c r="G500" s="66"/>
      <c r="H500" s="66"/>
      <c r="I500" s="66"/>
      <c r="J500" s="66"/>
      <c r="K500" s="66"/>
      <c r="L500" s="66"/>
      <c r="M500" s="66"/>
      <c r="N500" s="66"/>
    </row>
    <row r="501" spans="1:14" x14ac:dyDescent="0.2">
      <c r="A501" s="84"/>
      <c r="B501" s="84"/>
      <c r="C501" s="60"/>
      <c r="D501" s="66"/>
      <c r="E501" s="66"/>
      <c r="F501" s="66"/>
      <c r="G501" s="66"/>
      <c r="H501" s="66"/>
      <c r="I501" s="66"/>
      <c r="J501" s="66"/>
      <c r="K501" s="66"/>
      <c r="L501" s="66"/>
      <c r="M501" s="66"/>
      <c r="N501" s="66"/>
    </row>
    <row r="502" spans="1:14" x14ac:dyDescent="0.2">
      <c r="A502" s="84"/>
      <c r="B502" s="84"/>
      <c r="C502" s="60"/>
      <c r="D502" s="66"/>
      <c r="E502" s="66"/>
      <c r="F502" s="66"/>
      <c r="G502" s="66"/>
      <c r="H502" s="66"/>
      <c r="I502" s="66"/>
      <c r="J502" s="66"/>
      <c r="K502" s="66"/>
      <c r="L502" s="66"/>
      <c r="M502" s="66"/>
      <c r="N502" s="66"/>
    </row>
    <row r="503" spans="1:14" x14ac:dyDescent="0.2">
      <c r="A503" s="84"/>
      <c r="B503" s="84"/>
      <c r="C503" s="60"/>
      <c r="D503" s="66"/>
      <c r="E503" s="66"/>
      <c r="F503" s="66"/>
      <c r="G503" s="66"/>
      <c r="H503" s="66"/>
      <c r="I503" s="66"/>
      <c r="J503" s="66"/>
      <c r="K503" s="66"/>
      <c r="L503" s="66"/>
      <c r="M503" s="66"/>
      <c r="N503" s="66"/>
    </row>
    <row r="504" spans="1:14" x14ac:dyDescent="0.2">
      <c r="A504" s="84"/>
      <c r="B504" s="84"/>
      <c r="C504" s="60"/>
      <c r="D504" s="66"/>
      <c r="E504" s="66"/>
      <c r="F504" s="66"/>
      <c r="G504" s="66"/>
      <c r="H504" s="66"/>
      <c r="I504" s="66"/>
      <c r="J504" s="66"/>
      <c r="K504" s="66"/>
      <c r="L504" s="66"/>
      <c r="M504" s="66"/>
      <c r="N504" s="66"/>
    </row>
    <row r="505" spans="1:14" x14ac:dyDescent="0.2">
      <c r="A505" s="84"/>
      <c r="B505" s="84"/>
      <c r="C505" s="60"/>
      <c r="D505" s="66"/>
      <c r="E505" s="66"/>
      <c r="F505" s="66"/>
      <c r="G505" s="66"/>
      <c r="H505" s="66"/>
      <c r="I505" s="66"/>
      <c r="J505" s="66"/>
      <c r="K505" s="66"/>
      <c r="L505" s="66"/>
      <c r="M505" s="66"/>
      <c r="N505" s="66"/>
    </row>
    <row r="506" spans="1:14" x14ac:dyDescent="0.2">
      <c r="A506" s="84"/>
      <c r="B506" s="84"/>
      <c r="C506" s="60"/>
      <c r="D506" s="66"/>
      <c r="E506" s="66"/>
      <c r="F506" s="66"/>
      <c r="G506" s="66"/>
      <c r="H506" s="66"/>
      <c r="I506" s="66"/>
      <c r="J506" s="66"/>
      <c r="K506" s="66"/>
      <c r="L506" s="66"/>
      <c r="M506" s="66"/>
      <c r="N506" s="66"/>
    </row>
    <row r="507" spans="1:14" x14ac:dyDescent="0.2">
      <c r="A507" s="84"/>
      <c r="B507" s="84"/>
      <c r="C507" s="60"/>
      <c r="D507" s="66"/>
      <c r="E507" s="66"/>
      <c r="F507" s="66"/>
      <c r="G507" s="66"/>
      <c r="H507" s="66"/>
      <c r="I507" s="66"/>
      <c r="J507" s="66"/>
      <c r="K507" s="66"/>
      <c r="L507" s="66"/>
      <c r="M507" s="66"/>
      <c r="N507" s="66"/>
    </row>
    <row r="508" spans="1:14" x14ac:dyDescent="0.2">
      <c r="A508" s="84"/>
      <c r="B508" s="84"/>
      <c r="C508" s="60"/>
      <c r="D508" s="66"/>
      <c r="E508" s="66"/>
      <c r="F508" s="66"/>
      <c r="G508" s="66"/>
      <c r="H508" s="66"/>
      <c r="I508" s="66"/>
      <c r="J508" s="66"/>
      <c r="K508" s="66"/>
      <c r="L508" s="66"/>
      <c r="M508" s="66"/>
      <c r="N508" s="66"/>
    </row>
    <row r="509" spans="1:14" x14ac:dyDescent="0.2">
      <c r="A509" s="84"/>
      <c r="B509" s="84"/>
      <c r="C509" s="60"/>
      <c r="D509" s="66"/>
      <c r="E509" s="66"/>
      <c r="F509" s="66"/>
      <c r="G509" s="66"/>
      <c r="H509" s="66"/>
      <c r="I509" s="66"/>
      <c r="J509" s="66"/>
      <c r="K509" s="66"/>
      <c r="L509" s="66"/>
      <c r="M509" s="66"/>
      <c r="N509" s="66"/>
    </row>
    <row r="510" spans="1:14" x14ac:dyDescent="0.2">
      <c r="A510" s="84"/>
      <c r="B510" s="84"/>
      <c r="C510" s="60"/>
      <c r="D510" s="66"/>
      <c r="E510" s="66"/>
      <c r="F510" s="66"/>
      <c r="G510" s="66"/>
      <c r="H510" s="66"/>
      <c r="I510" s="66"/>
      <c r="J510" s="66"/>
      <c r="K510" s="66"/>
      <c r="L510" s="66"/>
      <c r="M510" s="66"/>
      <c r="N510" s="66"/>
    </row>
    <row r="511" spans="1:14" x14ac:dyDescent="0.2">
      <c r="A511" s="84"/>
      <c r="B511" s="84"/>
      <c r="C511" s="60"/>
      <c r="D511" s="66"/>
      <c r="E511" s="66"/>
      <c r="F511" s="66"/>
      <c r="G511" s="66"/>
      <c r="H511" s="66"/>
      <c r="I511" s="66"/>
      <c r="J511" s="66"/>
      <c r="K511" s="66"/>
      <c r="L511" s="66"/>
      <c r="M511" s="66"/>
      <c r="N511" s="66"/>
    </row>
    <row r="512" spans="1:14" x14ac:dyDescent="0.2">
      <c r="A512" s="84"/>
      <c r="B512" s="84"/>
      <c r="C512" s="60"/>
      <c r="D512" s="66"/>
      <c r="E512" s="66"/>
      <c r="F512" s="66"/>
      <c r="G512" s="66"/>
      <c r="H512" s="66"/>
      <c r="I512" s="66"/>
      <c r="J512" s="66"/>
      <c r="K512" s="66"/>
      <c r="L512" s="66"/>
      <c r="M512" s="66"/>
      <c r="N512" s="66"/>
    </row>
    <row r="513" spans="1:14" x14ac:dyDescent="0.2">
      <c r="A513" s="84"/>
      <c r="B513" s="84"/>
      <c r="C513" s="60"/>
      <c r="D513" s="66"/>
      <c r="E513" s="66"/>
      <c r="F513" s="66"/>
      <c r="G513" s="66"/>
      <c r="H513" s="66"/>
      <c r="I513" s="66"/>
      <c r="J513" s="66"/>
      <c r="K513" s="66"/>
      <c r="L513" s="66"/>
      <c r="M513" s="66"/>
      <c r="N513" s="66"/>
    </row>
    <row r="514" spans="1:14" x14ac:dyDescent="0.2">
      <c r="A514" s="84"/>
      <c r="B514" s="84"/>
      <c r="C514" s="60"/>
      <c r="D514" s="66"/>
      <c r="E514" s="66"/>
      <c r="F514" s="66"/>
      <c r="G514" s="66"/>
      <c r="H514" s="66"/>
      <c r="I514" s="66"/>
      <c r="J514" s="66"/>
      <c r="K514" s="66"/>
      <c r="L514" s="66"/>
      <c r="M514" s="66"/>
      <c r="N514" s="66"/>
    </row>
    <row r="515" spans="1:14" x14ac:dyDescent="0.2">
      <c r="A515" s="84"/>
      <c r="B515" s="84"/>
      <c r="C515" s="60"/>
      <c r="D515" s="66"/>
      <c r="E515" s="66"/>
      <c r="F515" s="66"/>
      <c r="G515" s="66"/>
      <c r="H515" s="66"/>
      <c r="I515" s="66"/>
      <c r="J515" s="66"/>
      <c r="K515" s="66"/>
      <c r="L515" s="66"/>
      <c r="M515" s="66"/>
      <c r="N515" s="66"/>
    </row>
    <row r="516" spans="1:14" x14ac:dyDescent="0.2">
      <c r="A516" s="84"/>
      <c r="B516" s="84"/>
      <c r="C516" s="60"/>
      <c r="D516" s="66"/>
      <c r="E516" s="66"/>
      <c r="F516" s="66"/>
      <c r="G516" s="66"/>
      <c r="H516" s="66"/>
      <c r="I516" s="66"/>
      <c r="J516" s="66"/>
      <c r="K516" s="66"/>
      <c r="L516" s="66"/>
      <c r="M516" s="66"/>
      <c r="N516" s="66"/>
    </row>
    <row r="517" spans="1:14" x14ac:dyDescent="0.2">
      <c r="A517" s="84"/>
      <c r="B517" s="84"/>
      <c r="C517" s="60"/>
      <c r="D517" s="66"/>
      <c r="E517" s="66"/>
      <c r="F517" s="66"/>
      <c r="G517" s="66"/>
      <c r="H517" s="66"/>
      <c r="I517" s="66"/>
      <c r="J517" s="66"/>
      <c r="K517" s="66"/>
      <c r="L517" s="66"/>
      <c r="M517" s="66"/>
      <c r="N517" s="66"/>
    </row>
    <row r="518" spans="1:14" x14ac:dyDescent="0.2">
      <c r="A518" s="84"/>
      <c r="B518" s="84"/>
      <c r="C518" s="60"/>
      <c r="D518" s="66"/>
      <c r="E518" s="66"/>
      <c r="F518" s="66"/>
      <c r="G518" s="66"/>
      <c r="H518" s="66"/>
      <c r="I518" s="66"/>
      <c r="J518" s="66"/>
      <c r="K518" s="66"/>
      <c r="L518" s="66"/>
      <c r="M518" s="66"/>
      <c r="N518" s="66"/>
    </row>
    <row r="519" spans="1:14" x14ac:dyDescent="0.2">
      <c r="A519" s="84"/>
      <c r="B519" s="84"/>
      <c r="C519" s="60"/>
      <c r="D519" s="66"/>
      <c r="E519" s="66"/>
      <c r="F519" s="66"/>
      <c r="G519" s="66"/>
      <c r="H519" s="66"/>
      <c r="I519" s="66"/>
      <c r="J519" s="66"/>
      <c r="K519" s="66"/>
      <c r="L519" s="66"/>
      <c r="M519" s="66"/>
      <c r="N519" s="66"/>
    </row>
    <row r="520" spans="1:14" x14ac:dyDescent="0.2">
      <c r="A520" s="84"/>
      <c r="B520" s="84"/>
      <c r="C520" s="60"/>
      <c r="D520" s="66"/>
      <c r="E520" s="66"/>
      <c r="F520" s="66"/>
      <c r="G520" s="66"/>
      <c r="H520" s="66"/>
      <c r="I520" s="66"/>
      <c r="J520" s="66"/>
      <c r="K520" s="66"/>
      <c r="L520" s="66"/>
      <c r="M520" s="66"/>
      <c r="N520" s="66"/>
    </row>
    <row r="521" spans="1:14" x14ac:dyDescent="0.2">
      <c r="A521" s="84"/>
      <c r="B521" s="84"/>
      <c r="C521" s="60"/>
      <c r="D521" s="66"/>
      <c r="E521" s="66"/>
      <c r="F521" s="66"/>
      <c r="G521" s="66"/>
      <c r="H521" s="66"/>
      <c r="I521" s="66"/>
      <c r="J521" s="66"/>
      <c r="K521" s="66"/>
      <c r="L521" s="66"/>
      <c r="M521" s="66"/>
      <c r="N521" s="66"/>
    </row>
    <row r="522" spans="1:14" x14ac:dyDescent="0.2">
      <c r="A522" s="84"/>
      <c r="B522" s="84"/>
      <c r="C522" s="60"/>
      <c r="D522" s="66"/>
      <c r="E522" s="66"/>
      <c r="F522" s="66"/>
      <c r="G522" s="66"/>
      <c r="H522" s="66"/>
      <c r="I522" s="66"/>
      <c r="J522" s="66"/>
      <c r="K522" s="66"/>
      <c r="L522" s="66"/>
      <c r="M522" s="66"/>
      <c r="N522" s="66"/>
    </row>
    <row r="523" spans="1:14" x14ac:dyDescent="0.2">
      <c r="A523" s="84"/>
      <c r="B523" s="84"/>
      <c r="C523" s="60"/>
      <c r="D523" s="66"/>
      <c r="E523" s="66"/>
      <c r="F523" s="66"/>
      <c r="G523" s="66"/>
      <c r="H523" s="66"/>
      <c r="I523" s="66"/>
      <c r="J523" s="66"/>
      <c r="K523" s="66"/>
      <c r="L523" s="66"/>
      <c r="M523" s="66"/>
      <c r="N523" s="66"/>
    </row>
    <row r="524" spans="1:14" x14ac:dyDescent="0.2">
      <c r="A524" s="84"/>
      <c r="B524" s="84"/>
      <c r="C524" s="60"/>
      <c r="D524" s="66"/>
      <c r="E524" s="66"/>
      <c r="F524" s="66"/>
      <c r="G524" s="66"/>
      <c r="H524" s="66"/>
      <c r="I524" s="66"/>
      <c r="J524" s="66"/>
      <c r="K524" s="66"/>
      <c r="L524" s="66"/>
      <c r="M524" s="66"/>
      <c r="N524" s="66"/>
    </row>
    <row r="525" spans="1:14" x14ac:dyDescent="0.2">
      <c r="A525" s="84"/>
      <c r="B525" s="84"/>
      <c r="C525" s="60"/>
      <c r="D525" s="66"/>
      <c r="E525" s="66"/>
      <c r="F525" s="66"/>
      <c r="G525" s="66"/>
      <c r="H525" s="66"/>
      <c r="I525" s="66"/>
      <c r="J525" s="66"/>
      <c r="K525" s="66"/>
      <c r="L525" s="66"/>
      <c r="M525" s="66"/>
      <c r="N525" s="66"/>
    </row>
    <row r="526" spans="1:14" x14ac:dyDescent="0.2">
      <c r="A526" s="84"/>
      <c r="B526" s="84"/>
      <c r="C526" s="60"/>
      <c r="D526" s="66"/>
      <c r="E526" s="66"/>
      <c r="F526" s="66"/>
      <c r="G526" s="66"/>
      <c r="H526" s="66"/>
      <c r="I526" s="66"/>
      <c r="J526" s="66"/>
      <c r="K526" s="66"/>
      <c r="L526" s="66"/>
      <c r="M526" s="66"/>
      <c r="N526" s="66"/>
    </row>
    <row r="527" spans="1:14" x14ac:dyDescent="0.2">
      <c r="A527" s="84"/>
      <c r="B527" s="84"/>
      <c r="C527" s="60"/>
      <c r="D527" s="66"/>
      <c r="E527" s="66"/>
      <c r="F527" s="66"/>
      <c r="G527" s="66"/>
      <c r="H527" s="66"/>
      <c r="I527" s="66"/>
      <c r="J527" s="66"/>
      <c r="K527" s="66"/>
      <c r="L527" s="66"/>
      <c r="M527" s="66"/>
      <c r="N527" s="66"/>
    </row>
    <row r="528" spans="1:14" x14ac:dyDescent="0.2">
      <c r="A528" s="84"/>
      <c r="B528" s="84"/>
      <c r="C528" s="60"/>
      <c r="D528" s="66"/>
      <c r="E528" s="66"/>
      <c r="F528" s="66"/>
      <c r="G528" s="66"/>
      <c r="H528" s="66"/>
      <c r="I528" s="66"/>
      <c r="J528" s="66"/>
      <c r="K528" s="66"/>
      <c r="L528" s="66"/>
      <c r="M528" s="66"/>
      <c r="N528" s="66"/>
    </row>
    <row r="529" spans="1:14" x14ac:dyDescent="0.2">
      <c r="A529" s="84"/>
      <c r="B529" s="84"/>
      <c r="C529" s="60"/>
      <c r="D529" s="66"/>
      <c r="E529" s="66"/>
      <c r="F529" s="66"/>
      <c r="G529" s="66"/>
      <c r="H529" s="66"/>
      <c r="I529" s="66"/>
      <c r="J529" s="66"/>
      <c r="K529" s="66"/>
      <c r="L529" s="66"/>
      <c r="M529" s="66"/>
      <c r="N529" s="66"/>
    </row>
    <row r="530" spans="1:14" x14ac:dyDescent="0.2">
      <c r="A530" s="84"/>
      <c r="B530" s="84"/>
      <c r="C530" s="60"/>
      <c r="D530" s="66"/>
      <c r="E530" s="66"/>
      <c r="F530" s="66"/>
      <c r="G530" s="66"/>
      <c r="H530" s="66"/>
      <c r="I530" s="66"/>
      <c r="J530" s="66"/>
      <c r="K530" s="66"/>
      <c r="L530" s="66"/>
      <c r="M530" s="66"/>
      <c r="N530" s="66"/>
    </row>
    <row r="531" spans="1:14" x14ac:dyDescent="0.2">
      <c r="A531" s="84"/>
      <c r="B531" s="84"/>
      <c r="C531" s="60"/>
      <c r="D531" s="66"/>
      <c r="E531" s="66"/>
      <c r="F531" s="66"/>
      <c r="G531" s="66"/>
      <c r="H531" s="66"/>
      <c r="I531" s="66"/>
      <c r="J531" s="66"/>
      <c r="K531" s="66"/>
      <c r="L531" s="66"/>
      <c r="M531" s="66"/>
      <c r="N531" s="66"/>
    </row>
    <row r="532" spans="1:14" x14ac:dyDescent="0.2">
      <c r="A532" s="84"/>
      <c r="B532" s="84"/>
      <c r="C532" s="60"/>
      <c r="D532" s="66"/>
      <c r="E532" s="66"/>
      <c r="F532" s="66"/>
      <c r="G532" s="66"/>
      <c r="H532" s="66"/>
      <c r="I532" s="66"/>
      <c r="J532" s="66"/>
      <c r="K532" s="66"/>
      <c r="L532" s="66"/>
      <c r="M532" s="66"/>
      <c r="N532" s="66"/>
    </row>
    <row r="533" spans="1:14" x14ac:dyDescent="0.2">
      <c r="A533" s="84"/>
      <c r="B533" s="84"/>
      <c r="C533" s="60"/>
      <c r="D533" s="66"/>
      <c r="E533" s="66"/>
      <c r="F533" s="66"/>
      <c r="G533" s="66"/>
      <c r="H533" s="66"/>
      <c r="I533" s="66"/>
      <c r="J533" s="66"/>
      <c r="K533" s="66"/>
      <c r="L533" s="66"/>
      <c r="M533" s="66"/>
      <c r="N533" s="66"/>
    </row>
    <row r="534" spans="1:14" x14ac:dyDescent="0.2">
      <c r="A534" s="84"/>
      <c r="B534" s="84"/>
      <c r="C534" s="60"/>
      <c r="D534" s="66"/>
      <c r="E534" s="66"/>
      <c r="F534" s="66"/>
      <c r="G534" s="66"/>
      <c r="H534" s="66"/>
      <c r="I534" s="66"/>
      <c r="J534" s="66"/>
      <c r="K534" s="66"/>
      <c r="L534" s="66"/>
      <c r="M534" s="66"/>
      <c r="N534" s="66"/>
    </row>
    <row r="535" spans="1:14" x14ac:dyDescent="0.2">
      <c r="A535" s="84"/>
      <c r="B535" s="84"/>
      <c r="C535" s="60"/>
      <c r="D535" s="66"/>
      <c r="E535" s="66"/>
      <c r="F535" s="66"/>
      <c r="G535" s="66"/>
      <c r="H535" s="66"/>
      <c r="I535" s="66"/>
      <c r="J535" s="66"/>
      <c r="K535" s="66"/>
      <c r="L535" s="66"/>
      <c r="M535" s="66"/>
      <c r="N535" s="66"/>
    </row>
    <row r="536" spans="1:14" x14ac:dyDescent="0.2">
      <c r="A536" s="84"/>
      <c r="B536" s="84"/>
      <c r="C536" s="60"/>
      <c r="D536" s="66"/>
      <c r="E536" s="66"/>
      <c r="F536" s="66"/>
      <c r="G536" s="66"/>
      <c r="H536" s="66"/>
      <c r="I536" s="66"/>
      <c r="J536" s="66"/>
      <c r="K536" s="66"/>
      <c r="L536" s="66"/>
      <c r="M536" s="66"/>
      <c r="N536" s="66"/>
    </row>
    <row r="537" spans="1:14" x14ac:dyDescent="0.2">
      <c r="A537" s="84"/>
      <c r="B537" s="84"/>
      <c r="C537" s="60"/>
      <c r="D537" s="66"/>
      <c r="E537" s="66"/>
      <c r="F537" s="66"/>
      <c r="G537" s="66"/>
      <c r="H537" s="66"/>
      <c r="I537" s="66"/>
      <c r="J537" s="66"/>
      <c r="K537" s="66"/>
      <c r="L537" s="66"/>
      <c r="M537" s="66"/>
      <c r="N537" s="66"/>
    </row>
    <row r="538" spans="1:14" x14ac:dyDescent="0.2">
      <c r="A538" s="84"/>
      <c r="B538" s="84"/>
      <c r="C538" s="60"/>
      <c r="D538" s="66"/>
      <c r="E538" s="66"/>
      <c r="F538" s="66"/>
      <c r="G538" s="66"/>
      <c r="H538" s="66"/>
      <c r="I538" s="66"/>
      <c r="J538" s="66"/>
      <c r="K538" s="66"/>
      <c r="L538" s="66"/>
      <c r="M538" s="66"/>
      <c r="N538" s="66"/>
    </row>
    <row r="539" spans="1:14" x14ac:dyDescent="0.2">
      <c r="A539" s="84"/>
      <c r="B539" s="84"/>
      <c r="C539" s="60"/>
      <c r="D539" s="66"/>
      <c r="E539" s="66"/>
      <c r="F539" s="66"/>
      <c r="G539" s="66"/>
      <c r="H539" s="66"/>
      <c r="I539" s="66"/>
      <c r="J539" s="66"/>
      <c r="K539" s="66"/>
      <c r="L539" s="66"/>
      <c r="M539" s="66"/>
      <c r="N539" s="66"/>
    </row>
    <row r="540" spans="1:14" x14ac:dyDescent="0.2">
      <c r="A540" s="84"/>
      <c r="B540" s="84"/>
      <c r="C540" s="60"/>
      <c r="D540" s="66"/>
      <c r="E540" s="66"/>
      <c r="F540" s="66"/>
      <c r="G540" s="66"/>
      <c r="H540" s="66"/>
      <c r="I540" s="66"/>
      <c r="J540" s="66"/>
      <c r="K540" s="66"/>
      <c r="L540" s="66"/>
      <c r="M540" s="66"/>
      <c r="N540" s="66"/>
    </row>
    <row r="541" spans="1:14" x14ac:dyDescent="0.2">
      <c r="A541" s="84"/>
      <c r="B541" s="84"/>
      <c r="C541" s="60"/>
      <c r="D541" s="66"/>
      <c r="E541" s="66"/>
      <c r="F541" s="66"/>
      <c r="G541" s="66"/>
      <c r="H541" s="66"/>
      <c r="I541" s="66"/>
      <c r="J541" s="66"/>
      <c r="K541" s="66"/>
      <c r="L541" s="66"/>
      <c r="M541" s="66"/>
      <c r="N541" s="66"/>
    </row>
    <row r="542" spans="1:14" x14ac:dyDescent="0.2">
      <c r="A542" s="84"/>
      <c r="B542" s="84"/>
      <c r="C542" s="60"/>
      <c r="D542" s="66"/>
      <c r="E542" s="66"/>
      <c r="F542" s="66"/>
      <c r="G542" s="66"/>
      <c r="H542" s="66"/>
      <c r="I542" s="66"/>
      <c r="J542" s="66"/>
      <c r="K542" s="66"/>
      <c r="L542" s="66"/>
      <c r="M542" s="66"/>
      <c r="N542" s="66"/>
    </row>
    <row r="543" spans="1:14" x14ac:dyDescent="0.2">
      <c r="A543" s="84"/>
      <c r="B543" s="84"/>
      <c r="C543" s="60"/>
      <c r="D543" s="66"/>
      <c r="E543" s="66"/>
      <c r="F543" s="66"/>
      <c r="G543" s="66"/>
      <c r="H543" s="66"/>
      <c r="I543" s="66"/>
      <c r="J543" s="66"/>
      <c r="K543" s="66"/>
      <c r="L543" s="66"/>
      <c r="M543" s="66"/>
      <c r="N543" s="66"/>
    </row>
    <row r="544" spans="1:14" x14ac:dyDescent="0.2">
      <c r="A544" s="84"/>
      <c r="B544" s="84"/>
      <c r="C544" s="60"/>
      <c r="D544" s="66"/>
      <c r="E544" s="66"/>
      <c r="F544" s="66"/>
      <c r="G544" s="66"/>
      <c r="H544" s="66"/>
      <c r="I544" s="66"/>
      <c r="J544" s="66"/>
      <c r="K544" s="66"/>
      <c r="L544" s="66"/>
      <c r="M544" s="66"/>
      <c r="N544" s="66"/>
    </row>
    <row r="545" spans="1:14" x14ac:dyDescent="0.2">
      <c r="A545" s="84"/>
      <c r="B545" s="84"/>
      <c r="C545" s="60"/>
      <c r="D545" s="66"/>
      <c r="E545" s="66"/>
      <c r="F545" s="66"/>
      <c r="G545" s="66"/>
      <c r="H545" s="66"/>
      <c r="I545" s="66"/>
      <c r="J545" s="66"/>
      <c r="K545" s="66"/>
      <c r="L545" s="66"/>
      <c r="M545" s="66"/>
      <c r="N545" s="66"/>
    </row>
    <row r="546" spans="1:14" x14ac:dyDescent="0.2">
      <c r="A546" s="84"/>
      <c r="B546" s="84"/>
      <c r="C546" s="60"/>
      <c r="D546" s="66"/>
      <c r="E546" s="66"/>
      <c r="F546" s="66"/>
      <c r="G546" s="66"/>
      <c r="H546" s="66"/>
      <c r="I546" s="66"/>
      <c r="J546" s="66"/>
      <c r="K546" s="66"/>
      <c r="L546" s="66"/>
      <c r="M546" s="66"/>
      <c r="N546" s="66"/>
    </row>
    <row r="547" spans="1:14" x14ac:dyDescent="0.2">
      <c r="A547" s="84"/>
      <c r="B547" s="84"/>
      <c r="C547" s="60"/>
      <c r="D547" s="66"/>
      <c r="E547" s="66"/>
      <c r="F547" s="66"/>
      <c r="G547" s="66"/>
      <c r="H547" s="66"/>
      <c r="I547" s="66"/>
      <c r="J547" s="66"/>
      <c r="K547" s="66"/>
      <c r="L547" s="66"/>
      <c r="M547" s="66"/>
      <c r="N547" s="66"/>
    </row>
    <row r="548" spans="1:14" x14ac:dyDescent="0.2">
      <c r="A548" s="84"/>
      <c r="B548" s="84"/>
      <c r="C548" s="60"/>
      <c r="D548" s="66"/>
      <c r="E548" s="66"/>
      <c r="F548" s="66"/>
      <c r="G548" s="66"/>
      <c r="H548" s="66"/>
      <c r="I548" s="66"/>
      <c r="J548" s="66"/>
      <c r="K548" s="66"/>
      <c r="L548" s="66"/>
      <c r="M548" s="66"/>
      <c r="N548" s="66"/>
    </row>
    <row r="549" spans="1:14" x14ac:dyDescent="0.2">
      <c r="A549" s="84"/>
      <c r="B549" s="84"/>
      <c r="C549" s="60"/>
      <c r="D549" s="66"/>
      <c r="E549" s="66"/>
      <c r="F549" s="66"/>
      <c r="G549" s="66"/>
      <c r="H549" s="66"/>
      <c r="I549" s="66"/>
      <c r="J549" s="66"/>
      <c r="K549" s="66"/>
      <c r="L549" s="66"/>
      <c r="M549" s="66"/>
      <c r="N549" s="66"/>
    </row>
    <row r="550" spans="1:14" x14ac:dyDescent="0.2">
      <c r="A550" s="84"/>
      <c r="B550" s="84"/>
      <c r="C550" s="60"/>
      <c r="D550" s="66"/>
      <c r="E550" s="66"/>
      <c r="F550" s="66"/>
      <c r="G550" s="66"/>
      <c r="H550" s="66"/>
      <c r="I550" s="66"/>
      <c r="J550" s="66"/>
      <c r="K550" s="66"/>
      <c r="L550" s="66"/>
      <c r="M550" s="66"/>
      <c r="N550" s="66"/>
    </row>
    <row r="551" spans="1:14" x14ac:dyDescent="0.2">
      <c r="A551" s="84"/>
      <c r="B551" s="84"/>
      <c r="C551" s="60"/>
      <c r="D551" s="66"/>
      <c r="E551" s="66"/>
      <c r="F551" s="66"/>
      <c r="G551" s="66"/>
      <c r="H551" s="66"/>
      <c r="I551" s="66"/>
      <c r="J551" s="66"/>
      <c r="K551" s="66"/>
      <c r="L551" s="66"/>
      <c r="M551" s="66"/>
      <c r="N551" s="66"/>
    </row>
    <row r="552" spans="1:14" x14ac:dyDescent="0.2">
      <c r="A552" s="84"/>
      <c r="B552" s="84"/>
      <c r="C552" s="60"/>
      <c r="D552" s="66"/>
      <c r="E552" s="66"/>
      <c r="F552" s="66"/>
      <c r="G552" s="66"/>
      <c r="H552" s="66"/>
      <c r="I552" s="66"/>
      <c r="J552" s="66"/>
      <c r="K552" s="66"/>
      <c r="L552" s="66"/>
      <c r="M552" s="66"/>
      <c r="N552" s="66"/>
    </row>
    <row r="553" spans="1:14" x14ac:dyDescent="0.2">
      <c r="A553" s="84"/>
      <c r="B553" s="84"/>
      <c r="C553" s="60"/>
      <c r="D553" s="66"/>
      <c r="E553" s="66"/>
      <c r="F553" s="66"/>
      <c r="G553" s="66"/>
      <c r="H553" s="66"/>
      <c r="I553" s="66"/>
      <c r="J553" s="66"/>
      <c r="K553" s="66"/>
      <c r="L553" s="66"/>
      <c r="M553" s="66"/>
      <c r="N553" s="66"/>
    </row>
    <row r="554" spans="1:14" x14ac:dyDescent="0.2">
      <c r="A554" s="84"/>
      <c r="B554" s="84"/>
      <c r="C554" s="60"/>
      <c r="D554" s="66"/>
      <c r="E554" s="66"/>
      <c r="F554" s="66"/>
      <c r="G554" s="66"/>
      <c r="H554" s="66"/>
      <c r="I554" s="66"/>
      <c r="J554" s="66"/>
      <c r="K554" s="66"/>
      <c r="L554" s="66"/>
      <c r="M554" s="66"/>
      <c r="N554" s="66"/>
    </row>
    <row r="555" spans="1:14" x14ac:dyDescent="0.2">
      <c r="A555" s="84"/>
      <c r="B555" s="84"/>
      <c r="C555" s="60"/>
      <c r="D555" s="66"/>
      <c r="E555" s="66"/>
      <c r="F555" s="66"/>
      <c r="G555" s="66"/>
      <c r="H555" s="66"/>
      <c r="I555" s="66"/>
      <c r="J555" s="66"/>
      <c r="K555" s="66"/>
      <c r="L555" s="66"/>
      <c r="M555" s="66"/>
      <c r="N555" s="66"/>
    </row>
    <row r="556" spans="1:14" x14ac:dyDescent="0.2">
      <c r="A556" s="84"/>
      <c r="B556" s="84"/>
      <c r="C556" s="60"/>
      <c r="D556" s="66"/>
      <c r="E556" s="66"/>
      <c r="F556" s="66"/>
      <c r="G556" s="66"/>
      <c r="H556" s="66"/>
      <c r="I556" s="66"/>
      <c r="J556" s="66"/>
      <c r="K556" s="66"/>
      <c r="L556" s="66"/>
      <c r="M556" s="66"/>
      <c r="N556" s="66"/>
    </row>
    <row r="557" spans="1:14" x14ac:dyDescent="0.2">
      <c r="A557" s="84"/>
      <c r="B557" s="84"/>
      <c r="C557" s="60"/>
      <c r="D557" s="66"/>
      <c r="E557" s="66"/>
      <c r="F557" s="66"/>
      <c r="G557" s="66"/>
      <c r="H557" s="66"/>
      <c r="I557" s="66"/>
      <c r="J557" s="66"/>
      <c r="K557" s="66"/>
      <c r="L557" s="66"/>
      <c r="M557" s="66"/>
      <c r="N557" s="66"/>
    </row>
    <row r="558" spans="1:14" x14ac:dyDescent="0.2">
      <c r="A558" s="84"/>
      <c r="B558" s="84"/>
      <c r="C558" s="60"/>
      <c r="D558" s="66"/>
      <c r="E558" s="66"/>
      <c r="F558" s="66"/>
      <c r="G558" s="66"/>
      <c r="H558" s="66"/>
      <c r="I558" s="66"/>
      <c r="J558" s="66"/>
      <c r="K558" s="66"/>
      <c r="L558" s="66"/>
      <c r="M558" s="66"/>
      <c r="N558" s="66"/>
    </row>
    <row r="559" spans="1:14" x14ac:dyDescent="0.2">
      <c r="A559" s="84"/>
      <c r="B559" s="84"/>
      <c r="C559" s="60"/>
      <c r="D559" s="66"/>
      <c r="E559" s="66"/>
      <c r="F559" s="66"/>
      <c r="G559" s="66"/>
      <c r="H559" s="66"/>
      <c r="I559" s="66"/>
      <c r="J559" s="66"/>
      <c r="K559" s="66"/>
      <c r="L559" s="66"/>
      <c r="M559" s="66"/>
      <c r="N559" s="66"/>
    </row>
    <row r="560" spans="1:14" x14ac:dyDescent="0.2">
      <c r="A560" s="84"/>
      <c r="B560" s="84"/>
      <c r="C560" s="60"/>
      <c r="D560" s="66"/>
      <c r="E560" s="66"/>
      <c r="F560" s="66"/>
      <c r="G560" s="66"/>
      <c r="H560" s="66"/>
      <c r="I560" s="66"/>
      <c r="J560" s="66"/>
      <c r="K560" s="66"/>
      <c r="L560" s="66"/>
      <c r="M560" s="66"/>
      <c r="N560" s="66"/>
    </row>
    <row r="561" spans="1:14" x14ac:dyDescent="0.2">
      <c r="A561" s="84"/>
      <c r="B561" s="84"/>
      <c r="C561" s="60"/>
      <c r="D561" s="66"/>
      <c r="E561" s="66"/>
      <c r="F561" s="66"/>
      <c r="G561" s="66"/>
      <c r="H561" s="66"/>
      <c r="I561" s="66"/>
      <c r="J561" s="66"/>
      <c r="K561" s="66"/>
      <c r="L561" s="66"/>
      <c r="M561" s="66"/>
      <c r="N561" s="66"/>
    </row>
    <row r="562" spans="1:14" x14ac:dyDescent="0.2">
      <c r="A562" s="84"/>
      <c r="B562" s="84"/>
      <c r="C562" s="60"/>
      <c r="D562" s="66"/>
      <c r="E562" s="66"/>
      <c r="F562" s="66"/>
      <c r="G562" s="66"/>
      <c r="H562" s="66"/>
      <c r="I562" s="66"/>
      <c r="J562" s="66"/>
      <c r="K562" s="66"/>
      <c r="L562" s="66"/>
      <c r="M562" s="66"/>
      <c r="N562" s="66"/>
    </row>
    <row r="563" spans="1:14" x14ac:dyDescent="0.2">
      <c r="A563" s="84"/>
      <c r="B563" s="84"/>
      <c r="C563" s="60"/>
      <c r="D563" s="66"/>
      <c r="E563" s="66"/>
      <c r="F563" s="66"/>
      <c r="G563" s="66"/>
      <c r="H563" s="66"/>
      <c r="I563" s="66"/>
      <c r="J563" s="66"/>
      <c r="K563" s="66"/>
      <c r="L563" s="66"/>
      <c r="M563" s="66"/>
      <c r="N563" s="66"/>
    </row>
    <row r="564" spans="1:14" x14ac:dyDescent="0.2">
      <c r="A564" s="84"/>
      <c r="B564" s="84"/>
      <c r="C564" s="60"/>
      <c r="D564" s="66"/>
      <c r="E564" s="66"/>
      <c r="F564" s="66"/>
      <c r="G564" s="66"/>
      <c r="H564" s="66"/>
      <c r="I564" s="66"/>
      <c r="J564" s="66"/>
      <c r="K564" s="66"/>
      <c r="L564" s="66"/>
      <c r="M564" s="66"/>
      <c r="N564" s="66"/>
    </row>
    <row r="565" spans="1:14" x14ac:dyDescent="0.2">
      <c r="A565" s="84"/>
      <c r="B565" s="84"/>
      <c r="C565" s="60"/>
      <c r="D565" s="66"/>
      <c r="E565" s="66"/>
      <c r="F565" s="66"/>
      <c r="G565" s="66"/>
      <c r="H565" s="66"/>
      <c r="I565" s="66"/>
      <c r="J565" s="66"/>
      <c r="K565" s="66"/>
      <c r="L565" s="66"/>
      <c r="M565" s="66"/>
      <c r="N565" s="66"/>
    </row>
    <row r="566" spans="1:14" x14ac:dyDescent="0.2">
      <c r="A566" s="84"/>
      <c r="B566" s="84"/>
      <c r="C566" s="60"/>
      <c r="D566" s="66"/>
      <c r="E566" s="66"/>
      <c r="F566" s="66"/>
      <c r="G566" s="66"/>
      <c r="H566" s="66"/>
      <c r="I566" s="66"/>
      <c r="J566" s="66"/>
      <c r="K566" s="66"/>
      <c r="L566" s="66"/>
      <c r="M566" s="66"/>
      <c r="N566" s="66"/>
    </row>
    <row r="567" spans="1:14" x14ac:dyDescent="0.2">
      <c r="A567" s="84"/>
      <c r="B567" s="84"/>
      <c r="C567" s="60"/>
      <c r="D567" s="66"/>
      <c r="E567" s="66"/>
      <c r="F567" s="66"/>
      <c r="G567" s="66"/>
      <c r="H567" s="66"/>
      <c r="I567" s="66"/>
      <c r="J567" s="66"/>
      <c r="K567" s="66"/>
      <c r="L567" s="66"/>
      <c r="M567" s="66"/>
      <c r="N567" s="66"/>
    </row>
    <row r="568" spans="1:14" x14ac:dyDescent="0.2">
      <c r="A568" s="84"/>
      <c r="B568" s="84"/>
      <c r="C568" s="60"/>
      <c r="D568" s="66"/>
      <c r="E568" s="66"/>
      <c r="F568" s="66"/>
      <c r="G568" s="66"/>
      <c r="H568" s="66"/>
      <c r="I568" s="66"/>
      <c r="J568" s="66"/>
      <c r="K568" s="66"/>
      <c r="L568" s="66"/>
      <c r="M568" s="66"/>
      <c r="N568" s="66"/>
    </row>
    <row r="569" spans="1:14" x14ac:dyDescent="0.2">
      <c r="A569" s="84"/>
      <c r="B569" s="84"/>
      <c r="C569" s="60"/>
      <c r="D569" s="66"/>
      <c r="E569" s="66"/>
      <c r="F569" s="66"/>
      <c r="G569" s="66"/>
      <c r="H569" s="66"/>
      <c r="I569" s="66"/>
      <c r="J569" s="66"/>
      <c r="K569" s="66"/>
      <c r="L569" s="66"/>
      <c r="M569" s="66"/>
      <c r="N569" s="66"/>
    </row>
    <row r="570" spans="1:14" x14ac:dyDescent="0.2">
      <c r="A570" s="84"/>
      <c r="B570" s="84"/>
      <c r="C570" s="60"/>
      <c r="D570" s="66"/>
      <c r="E570" s="66"/>
      <c r="F570" s="66"/>
      <c r="G570" s="66"/>
      <c r="H570" s="66"/>
      <c r="I570" s="66"/>
      <c r="J570" s="66"/>
      <c r="K570" s="66"/>
      <c r="L570" s="66"/>
      <c r="M570" s="66"/>
      <c r="N570" s="66"/>
    </row>
    <row r="571" spans="1:14" x14ac:dyDescent="0.2">
      <c r="A571" s="84"/>
      <c r="B571" s="84"/>
      <c r="C571" s="60"/>
      <c r="D571" s="66"/>
      <c r="E571" s="66"/>
      <c r="F571" s="66"/>
      <c r="G571" s="66"/>
      <c r="H571" s="66"/>
      <c r="I571" s="66"/>
      <c r="J571" s="66"/>
      <c r="K571" s="66"/>
      <c r="L571" s="66"/>
      <c r="M571" s="66"/>
      <c r="N571" s="66"/>
    </row>
    <row r="572" spans="1:14" x14ac:dyDescent="0.2">
      <c r="A572" s="84"/>
      <c r="B572" s="84"/>
      <c r="C572" s="60"/>
      <c r="D572" s="66"/>
      <c r="E572" s="66"/>
      <c r="F572" s="66"/>
      <c r="G572" s="66"/>
      <c r="H572" s="66"/>
      <c r="I572" s="66"/>
      <c r="J572" s="66"/>
      <c r="K572" s="66"/>
      <c r="L572" s="66"/>
      <c r="M572" s="66"/>
      <c r="N572" s="66"/>
    </row>
    <row r="573" spans="1:14" x14ac:dyDescent="0.2">
      <c r="A573" s="84"/>
      <c r="B573" s="84"/>
      <c r="C573" s="60"/>
      <c r="D573" s="66"/>
      <c r="E573" s="66"/>
      <c r="F573" s="66"/>
      <c r="G573" s="66"/>
      <c r="H573" s="66"/>
      <c r="I573" s="66"/>
      <c r="J573" s="66"/>
      <c r="K573" s="66"/>
      <c r="L573" s="66"/>
      <c r="M573" s="66"/>
      <c r="N573" s="66"/>
    </row>
    <row r="574" spans="1:14" x14ac:dyDescent="0.2">
      <c r="A574" s="84"/>
      <c r="B574" s="84"/>
      <c r="C574" s="60"/>
      <c r="D574" s="66"/>
      <c r="E574" s="66"/>
      <c r="F574" s="66"/>
      <c r="G574" s="66"/>
      <c r="H574" s="66"/>
      <c r="I574" s="66"/>
      <c r="J574" s="66"/>
      <c r="K574" s="66"/>
      <c r="L574" s="66"/>
      <c r="M574" s="66"/>
      <c r="N574" s="66"/>
    </row>
    <row r="575" spans="1:14" x14ac:dyDescent="0.2">
      <c r="A575" s="84"/>
      <c r="B575" s="84"/>
      <c r="C575" s="60"/>
      <c r="D575" s="66"/>
      <c r="E575" s="66"/>
      <c r="F575" s="66"/>
      <c r="G575" s="66"/>
      <c r="H575" s="66"/>
      <c r="I575" s="66"/>
      <c r="J575" s="66"/>
      <c r="K575" s="66"/>
      <c r="L575" s="66"/>
      <c r="M575" s="66"/>
      <c r="N575" s="66"/>
    </row>
    <row r="576" spans="1:14" x14ac:dyDescent="0.2">
      <c r="A576" s="84"/>
      <c r="B576" s="84"/>
      <c r="C576" s="60"/>
      <c r="D576" s="66"/>
      <c r="E576" s="66"/>
      <c r="F576" s="66"/>
      <c r="G576" s="66"/>
      <c r="H576" s="66"/>
      <c r="I576" s="66"/>
      <c r="J576" s="66"/>
      <c r="K576" s="66"/>
      <c r="L576" s="66"/>
      <c r="M576" s="66"/>
      <c r="N576" s="66"/>
    </row>
    <row r="577" spans="1:14" x14ac:dyDescent="0.2">
      <c r="A577" s="84"/>
      <c r="B577" s="84"/>
      <c r="C577" s="60"/>
      <c r="D577" s="66"/>
      <c r="E577" s="66"/>
      <c r="F577" s="66"/>
      <c r="G577" s="66"/>
      <c r="H577" s="66"/>
      <c r="I577" s="66"/>
      <c r="J577" s="66"/>
      <c r="K577" s="66"/>
      <c r="L577" s="66"/>
      <c r="M577" s="66"/>
      <c r="N577" s="66"/>
    </row>
    <row r="578" spans="1:14" x14ac:dyDescent="0.2">
      <c r="A578" s="84"/>
      <c r="B578" s="84"/>
      <c r="C578" s="60"/>
      <c r="D578" s="66"/>
      <c r="E578" s="66"/>
      <c r="F578" s="66"/>
      <c r="G578" s="66"/>
      <c r="H578" s="66"/>
      <c r="I578" s="66"/>
      <c r="J578" s="66"/>
      <c r="K578" s="66"/>
      <c r="L578" s="66"/>
      <c r="M578" s="66"/>
      <c r="N578" s="66"/>
    </row>
    <row r="579" spans="1:14" x14ac:dyDescent="0.2">
      <c r="A579" s="84"/>
      <c r="B579" s="84"/>
      <c r="C579" s="60"/>
      <c r="D579" s="66"/>
      <c r="E579" s="66"/>
      <c r="F579" s="66"/>
      <c r="G579" s="66"/>
      <c r="H579" s="66"/>
      <c r="I579" s="66"/>
      <c r="J579" s="66"/>
      <c r="K579" s="66"/>
      <c r="L579" s="66"/>
      <c r="M579" s="66"/>
      <c r="N579" s="66"/>
    </row>
    <row r="580" spans="1:14" x14ac:dyDescent="0.2">
      <c r="A580" s="84"/>
      <c r="B580" s="84"/>
      <c r="C580" s="60"/>
      <c r="D580" s="66"/>
      <c r="E580" s="66"/>
      <c r="F580" s="66"/>
      <c r="G580" s="66"/>
      <c r="H580" s="66"/>
      <c r="I580" s="66"/>
      <c r="J580" s="66"/>
      <c r="K580" s="66"/>
      <c r="L580" s="66"/>
      <c r="M580" s="66"/>
      <c r="N580" s="66"/>
    </row>
    <row r="581" spans="1:14" x14ac:dyDescent="0.2">
      <c r="A581" s="84"/>
      <c r="B581" s="84"/>
      <c r="C581" s="60"/>
      <c r="D581" s="66"/>
      <c r="E581" s="66"/>
      <c r="F581" s="66"/>
      <c r="G581" s="66"/>
      <c r="H581" s="66"/>
      <c r="I581" s="66"/>
      <c r="J581" s="66"/>
      <c r="K581" s="66"/>
      <c r="L581" s="66"/>
      <c r="M581" s="66"/>
      <c r="N581" s="66"/>
    </row>
    <row r="582" spans="1:14" x14ac:dyDescent="0.2">
      <c r="A582" s="84"/>
      <c r="B582" s="84"/>
      <c r="C582" s="60"/>
      <c r="D582" s="66"/>
      <c r="E582" s="66"/>
      <c r="F582" s="66"/>
      <c r="G582" s="66"/>
      <c r="H582" s="66"/>
      <c r="I582" s="66"/>
      <c r="J582" s="66"/>
      <c r="K582" s="66"/>
      <c r="L582" s="66"/>
      <c r="M582" s="66"/>
      <c r="N582" s="66"/>
    </row>
    <row r="583" spans="1:14" x14ac:dyDescent="0.2">
      <c r="A583" s="84"/>
      <c r="B583" s="84"/>
      <c r="C583" s="60"/>
      <c r="D583" s="66"/>
      <c r="E583" s="66"/>
      <c r="F583" s="66"/>
      <c r="G583" s="66"/>
      <c r="H583" s="66"/>
      <c r="I583" s="66"/>
      <c r="J583" s="66"/>
      <c r="K583" s="66"/>
      <c r="L583" s="66"/>
      <c r="M583" s="66"/>
      <c r="N583" s="66"/>
    </row>
    <row r="584" spans="1:14" x14ac:dyDescent="0.2">
      <c r="A584" s="84"/>
      <c r="B584" s="84"/>
      <c r="C584" s="60"/>
      <c r="D584" s="66"/>
      <c r="E584" s="66"/>
      <c r="F584" s="66"/>
      <c r="G584" s="66"/>
      <c r="H584" s="66"/>
      <c r="I584" s="66"/>
      <c r="J584" s="66"/>
      <c r="K584" s="66"/>
      <c r="L584" s="66"/>
      <c r="M584" s="66"/>
      <c r="N584" s="66"/>
    </row>
    <row r="585" spans="1:14" x14ac:dyDescent="0.2">
      <c r="A585" s="84"/>
      <c r="B585" s="84"/>
      <c r="C585" s="60"/>
      <c r="D585" s="66"/>
      <c r="E585" s="66"/>
      <c r="F585" s="66"/>
      <c r="G585" s="66"/>
      <c r="H585" s="66"/>
      <c r="I585" s="66"/>
      <c r="J585" s="66"/>
      <c r="K585" s="66"/>
      <c r="L585" s="66"/>
      <c r="M585" s="66"/>
      <c r="N585" s="66"/>
    </row>
    <row r="586" spans="1:14" x14ac:dyDescent="0.2">
      <c r="A586" s="84"/>
      <c r="B586" s="84"/>
      <c r="C586" s="60"/>
      <c r="D586" s="66"/>
      <c r="E586" s="66"/>
      <c r="F586" s="66"/>
      <c r="G586" s="66"/>
      <c r="H586" s="66"/>
      <c r="I586" s="66"/>
      <c r="J586" s="66"/>
      <c r="K586" s="66"/>
      <c r="L586" s="66"/>
      <c r="M586" s="66"/>
      <c r="N586" s="66"/>
    </row>
    <row r="587" spans="1:14" x14ac:dyDescent="0.2">
      <c r="A587" s="84"/>
      <c r="B587" s="84"/>
      <c r="C587" s="60"/>
      <c r="D587" s="66"/>
      <c r="E587" s="66"/>
      <c r="F587" s="66"/>
      <c r="G587" s="66"/>
      <c r="H587" s="66"/>
      <c r="I587" s="66"/>
      <c r="J587" s="66"/>
      <c r="K587" s="66"/>
      <c r="L587" s="66"/>
      <c r="M587" s="66"/>
      <c r="N587" s="66"/>
    </row>
    <row r="588" spans="1:14" x14ac:dyDescent="0.2">
      <c r="A588" s="84"/>
      <c r="B588" s="84"/>
      <c r="C588" s="60"/>
      <c r="D588" s="66"/>
      <c r="E588" s="66"/>
      <c r="F588" s="66"/>
      <c r="G588" s="66"/>
      <c r="H588" s="66"/>
      <c r="I588" s="66"/>
      <c r="J588" s="66"/>
      <c r="K588" s="66"/>
      <c r="L588" s="66"/>
      <c r="M588" s="66"/>
      <c r="N588" s="66"/>
    </row>
    <row r="589" spans="1:14" x14ac:dyDescent="0.2">
      <c r="A589" s="84"/>
      <c r="B589" s="84"/>
      <c r="C589" s="60"/>
      <c r="D589" s="66"/>
      <c r="E589" s="66"/>
      <c r="F589" s="66"/>
      <c r="G589" s="66"/>
      <c r="H589" s="66"/>
      <c r="I589" s="66"/>
      <c r="J589" s="66"/>
      <c r="K589" s="66"/>
      <c r="L589" s="66"/>
      <c r="M589" s="66"/>
      <c r="N589" s="66"/>
    </row>
    <row r="590" spans="1:14" x14ac:dyDescent="0.2">
      <c r="A590" s="84"/>
      <c r="B590" s="84"/>
      <c r="C590" s="60"/>
      <c r="D590" s="66"/>
      <c r="E590" s="66"/>
      <c r="F590" s="66"/>
      <c r="G590" s="66"/>
      <c r="H590" s="66"/>
      <c r="I590" s="66"/>
      <c r="J590" s="66"/>
      <c r="K590" s="66"/>
      <c r="L590" s="66"/>
      <c r="M590" s="66"/>
      <c r="N590" s="66"/>
    </row>
    <row r="591" spans="1:14" x14ac:dyDescent="0.2">
      <c r="A591" s="84"/>
      <c r="B591" s="84"/>
      <c r="C591" s="60"/>
      <c r="D591" s="66"/>
      <c r="E591" s="66"/>
      <c r="F591" s="66"/>
      <c r="G591" s="66"/>
      <c r="H591" s="66"/>
      <c r="I591" s="66"/>
      <c r="J591" s="66"/>
      <c r="K591" s="66"/>
      <c r="L591" s="66"/>
      <c r="M591" s="66"/>
      <c r="N591" s="66"/>
    </row>
    <row r="592" spans="1:14" x14ac:dyDescent="0.2">
      <c r="A592" s="84"/>
      <c r="B592" s="84"/>
      <c r="C592" s="60"/>
      <c r="D592" s="66"/>
      <c r="E592" s="66"/>
      <c r="F592" s="66"/>
      <c r="G592" s="66"/>
      <c r="H592" s="66"/>
      <c r="I592" s="66"/>
      <c r="J592" s="66"/>
      <c r="K592" s="66"/>
      <c r="L592" s="66"/>
      <c r="M592" s="66"/>
      <c r="N592" s="66"/>
    </row>
    <row r="593" spans="1:14" x14ac:dyDescent="0.2">
      <c r="A593" s="84"/>
      <c r="B593" s="84"/>
      <c r="C593" s="60"/>
      <c r="D593" s="66"/>
      <c r="E593" s="66"/>
      <c r="F593" s="66"/>
      <c r="G593" s="66"/>
      <c r="H593" s="66"/>
      <c r="I593" s="66"/>
      <c r="J593" s="66"/>
      <c r="K593" s="66"/>
      <c r="L593" s="66"/>
      <c r="M593" s="66"/>
      <c r="N593" s="66"/>
    </row>
    <row r="594" spans="1:14" x14ac:dyDescent="0.2">
      <c r="A594" s="84"/>
      <c r="B594" s="84"/>
      <c r="C594" s="60"/>
      <c r="D594" s="66"/>
      <c r="E594" s="66"/>
      <c r="F594" s="66"/>
      <c r="G594" s="66"/>
      <c r="H594" s="66"/>
      <c r="I594" s="66"/>
      <c r="J594" s="66"/>
      <c r="K594" s="66"/>
      <c r="L594" s="66"/>
      <c r="M594" s="66"/>
      <c r="N594" s="66"/>
    </row>
    <row r="595" spans="1:14" x14ac:dyDescent="0.2">
      <c r="A595" s="84"/>
      <c r="B595" s="84"/>
      <c r="C595" s="60"/>
      <c r="D595" s="66"/>
      <c r="E595" s="66"/>
      <c r="F595" s="66"/>
      <c r="G595" s="66"/>
      <c r="H595" s="66"/>
      <c r="I595" s="66"/>
      <c r="J595" s="66"/>
      <c r="K595" s="66"/>
      <c r="L595" s="66"/>
      <c r="M595" s="66"/>
      <c r="N595" s="66"/>
    </row>
    <row r="596" spans="1:14" x14ac:dyDescent="0.2">
      <c r="A596" s="84"/>
      <c r="B596" s="84"/>
      <c r="C596" s="60"/>
      <c r="D596" s="66"/>
      <c r="E596" s="66"/>
      <c r="F596" s="66"/>
      <c r="G596" s="66"/>
      <c r="H596" s="66"/>
      <c r="I596" s="66"/>
      <c r="J596" s="66"/>
      <c r="K596" s="66"/>
      <c r="L596" s="66"/>
      <c r="M596" s="66"/>
      <c r="N596" s="66"/>
    </row>
    <row r="597" spans="1:14" x14ac:dyDescent="0.2">
      <c r="A597" s="84"/>
      <c r="B597" s="84"/>
      <c r="C597" s="60"/>
      <c r="D597" s="66"/>
      <c r="E597" s="66"/>
      <c r="F597" s="66"/>
      <c r="G597" s="66"/>
      <c r="H597" s="66"/>
      <c r="I597" s="66"/>
      <c r="J597" s="66"/>
      <c r="K597" s="66"/>
      <c r="L597" s="66"/>
      <c r="M597" s="66"/>
      <c r="N597" s="66"/>
    </row>
    <row r="598" spans="1:14" x14ac:dyDescent="0.2">
      <c r="A598" s="84"/>
      <c r="B598" s="84"/>
      <c r="C598" s="60"/>
      <c r="D598" s="66"/>
      <c r="E598" s="66"/>
      <c r="F598" s="66"/>
      <c r="G598" s="66"/>
      <c r="H598" s="66"/>
      <c r="I598" s="66"/>
      <c r="J598" s="66"/>
      <c r="K598" s="66"/>
      <c r="L598" s="66"/>
      <c r="M598" s="66"/>
      <c r="N598" s="66"/>
    </row>
    <row r="599" spans="1:14" x14ac:dyDescent="0.2">
      <c r="A599" s="84"/>
      <c r="B599" s="84"/>
      <c r="C599" s="60"/>
      <c r="D599" s="66"/>
      <c r="E599" s="66"/>
      <c r="F599" s="66"/>
      <c r="G599" s="66"/>
      <c r="H599" s="66"/>
      <c r="I599" s="66"/>
      <c r="J599" s="66"/>
      <c r="K599" s="66"/>
      <c r="L599" s="66"/>
      <c r="M599" s="66"/>
      <c r="N599" s="66"/>
    </row>
    <row r="600" spans="1:14" x14ac:dyDescent="0.2">
      <c r="A600" s="84"/>
      <c r="B600" s="84"/>
      <c r="C600" s="60"/>
      <c r="D600" s="66"/>
      <c r="E600" s="66"/>
      <c r="F600" s="66"/>
      <c r="G600" s="66"/>
      <c r="H600" s="66"/>
      <c r="I600" s="66"/>
      <c r="J600" s="66"/>
      <c r="K600" s="66"/>
      <c r="L600" s="66"/>
      <c r="M600" s="66"/>
      <c r="N600" s="66"/>
    </row>
    <row r="601" spans="1:14" x14ac:dyDescent="0.2">
      <c r="A601" s="84"/>
      <c r="B601" s="84"/>
      <c r="C601" s="60"/>
      <c r="D601" s="66"/>
      <c r="E601" s="66"/>
      <c r="F601" s="66"/>
      <c r="G601" s="66"/>
      <c r="H601" s="66"/>
      <c r="I601" s="66"/>
      <c r="J601" s="66"/>
      <c r="K601" s="66"/>
      <c r="L601" s="66"/>
      <c r="M601" s="66"/>
      <c r="N601" s="66"/>
    </row>
    <row r="602" spans="1:14" x14ac:dyDescent="0.2">
      <c r="A602" s="84"/>
      <c r="B602" s="84"/>
      <c r="C602" s="60"/>
      <c r="D602" s="66"/>
      <c r="E602" s="66"/>
      <c r="F602" s="66"/>
      <c r="G602" s="66"/>
      <c r="H602" s="66"/>
      <c r="I602" s="66"/>
      <c r="J602" s="66"/>
      <c r="K602" s="66"/>
      <c r="L602" s="66"/>
      <c r="M602" s="66"/>
      <c r="N602" s="66"/>
    </row>
    <row r="603" spans="1:14" x14ac:dyDescent="0.2">
      <c r="A603" s="84"/>
      <c r="B603" s="84"/>
      <c r="C603" s="60"/>
      <c r="D603" s="66"/>
      <c r="E603" s="66"/>
      <c r="F603" s="66"/>
      <c r="G603" s="66"/>
      <c r="H603" s="66"/>
      <c r="I603" s="66"/>
      <c r="J603" s="66"/>
      <c r="K603" s="66"/>
      <c r="L603" s="66"/>
      <c r="M603" s="66"/>
      <c r="N603" s="66"/>
    </row>
    <row r="604" spans="1:14" x14ac:dyDescent="0.2">
      <c r="A604" s="84"/>
      <c r="B604" s="84"/>
      <c r="C604" s="60"/>
      <c r="D604" s="66"/>
      <c r="E604" s="66"/>
      <c r="F604" s="66"/>
      <c r="G604" s="66"/>
      <c r="H604" s="66"/>
      <c r="I604" s="66"/>
      <c r="J604" s="66"/>
      <c r="K604" s="66"/>
      <c r="L604" s="66"/>
      <c r="M604" s="66"/>
      <c r="N604" s="66"/>
    </row>
    <row r="605" spans="1:14" x14ac:dyDescent="0.2">
      <c r="A605" s="84"/>
      <c r="B605" s="84"/>
      <c r="C605" s="60"/>
      <c r="D605" s="66"/>
      <c r="E605" s="66"/>
      <c r="F605" s="66"/>
      <c r="G605" s="66"/>
      <c r="H605" s="66"/>
      <c r="I605" s="66"/>
      <c r="J605" s="66"/>
      <c r="K605" s="66"/>
      <c r="L605" s="66"/>
      <c r="M605" s="66"/>
      <c r="N605" s="66"/>
    </row>
    <row r="606" spans="1:14" x14ac:dyDescent="0.2">
      <c r="A606" s="84"/>
      <c r="B606" s="84"/>
      <c r="C606" s="60"/>
      <c r="D606" s="66"/>
      <c r="E606" s="66"/>
      <c r="F606" s="66"/>
      <c r="G606" s="66"/>
      <c r="H606" s="66"/>
      <c r="I606" s="66"/>
      <c r="J606" s="66"/>
      <c r="K606" s="66"/>
      <c r="L606" s="66"/>
      <c r="M606" s="66"/>
      <c r="N606" s="66"/>
    </row>
    <row r="607" spans="1:14" x14ac:dyDescent="0.2">
      <c r="A607" s="84"/>
      <c r="B607" s="84"/>
      <c r="C607" s="60"/>
      <c r="D607" s="66"/>
      <c r="E607" s="66"/>
      <c r="F607" s="66"/>
      <c r="G607" s="66"/>
      <c r="H607" s="66"/>
      <c r="I607" s="66"/>
      <c r="J607" s="66"/>
      <c r="K607" s="66"/>
      <c r="L607" s="66"/>
      <c r="M607" s="66"/>
      <c r="N607" s="66"/>
    </row>
    <row r="608" spans="1:14" x14ac:dyDescent="0.2">
      <c r="A608" s="84"/>
      <c r="B608" s="84"/>
      <c r="C608" s="60"/>
      <c r="D608" s="66"/>
      <c r="E608" s="66"/>
      <c r="F608" s="66"/>
      <c r="G608" s="66"/>
      <c r="H608" s="66"/>
      <c r="I608" s="66"/>
      <c r="J608" s="66"/>
      <c r="K608" s="66"/>
      <c r="L608" s="66"/>
      <c r="M608" s="66"/>
      <c r="N608" s="66"/>
    </row>
    <row r="609" spans="1:14" x14ac:dyDescent="0.2">
      <c r="A609" s="84"/>
      <c r="B609" s="84"/>
      <c r="C609" s="60"/>
      <c r="D609" s="66"/>
      <c r="E609" s="66"/>
      <c r="F609" s="66"/>
      <c r="G609" s="66"/>
      <c r="H609" s="66"/>
      <c r="I609" s="66"/>
      <c r="J609" s="66"/>
      <c r="K609" s="66"/>
      <c r="L609" s="66"/>
      <c r="M609" s="66"/>
      <c r="N609" s="66"/>
    </row>
    <row r="610" spans="1:14" x14ac:dyDescent="0.2">
      <c r="A610" s="84"/>
      <c r="B610" s="84"/>
      <c r="C610" s="60"/>
      <c r="D610" s="66"/>
      <c r="E610" s="66"/>
      <c r="F610" s="66"/>
      <c r="G610" s="66"/>
      <c r="H610" s="66"/>
      <c r="I610" s="66"/>
      <c r="J610" s="66"/>
      <c r="K610" s="66"/>
      <c r="L610" s="66"/>
      <c r="M610" s="66"/>
      <c r="N610" s="66"/>
    </row>
    <row r="611" spans="1:14" x14ac:dyDescent="0.2">
      <c r="A611" s="84"/>
      <c r="B611" s="84"/>
      <c r="C611" s="60"/>
      <c r="D611" s="66"/>
      <c r="E611" s="66"/>
      <c r="F611" s="66"/>
      <c r="G611" s="66"/>
      <c r="H611" s="66"/>
      <c r="I611" s="66"/>
      <c r="J611" s="66"/>
      <c r="K611" s="66"/>
      <c r="L611" s="66"/>
      <c r="M611" s="66"/>
      <c r="N611" s="66"/>
    </row>
    <row r="612" spans="1:14" x14ac:dyDescent="0.2">
      <c r="A612" s="84"/>
      <c r="B612" s="84"/>
      <c r="C612" s="60"/>
      <c r="D612" s="66"/>
      <c r="E612" s="66"/>
      <c r="F612" s="66"/>
      <c r="G612" s="66"/>
      <c r="H612" s="66"/>
      <c r="I612" s="66"/>
      <c r="J612" s="66"/>
      <c r="K612" s="66"/>
      <c r="L612" s="66"/>
      <c r="M612" s="66"/>
      <c r="N612" s="66"/>
    </row>
    <row r="613" spans="1:14" x14ac:dyDescent="0.2">
      <c r="A613" s="84"/>
      <c r="B613" s="84"/>
      <c r="C613" s="60"/>
      <c r="D613" s="66"/>
      <c r="E613" s="66"/>
      <c r="F613" s="66"/>
      <c r="G613" s="66"/>
      <c r="H613" s="66"/>
      <c r="I613" s="66"/>
      <c r="J613" s="66"/>
      <c r="K613" s="66"/>
      <c r="L613" s="66"/>
      <c r="M613" s="66"/>
      <c r="N613" s="66"/>
    </row>
    <row r="614" spans="1:14" x14ac:dyDescent="0.2">
      <c r="A614" s="84"/>
      <c r="B614" s="84"/>
      <c r="C614" s="60"/>
      <c r="D614" s="66"/>
      <c r="E614" s="66"/>
      <c r="F614" s="66"/>
      <c r="G614" s="66"/>
      <c r="H614" s="66"/>
      <c r="I614" s="66"/>
      <c r="J614" s="66"/>
      <c r="K614" s="66"/>
      <c r="L614" s="66"/>
      <c r="M614" s="66"/>
      <c r="N614" s="66"/>
    </row>
    <row r="615" spans="1:14" x14ac:dyDescent="0.2">
      <c r="A615" s="84"/>
      <c r="B615" s="84"/>
      <c r="C615" s="60"/>
      <c r="D615" s="66"/>
      <c r="E615" s="66"/>
      <c r="F615" s="66"/>
      <c r="G615" s="66"/>
      <c r="H615" s="66"/>
      <c r="I615" s="66"/>
      <c r="J615" s="66"/>
      <c r="K615" s="66"/>
      <c r="L615" s="66"/>
      <c r="M615" s="66"/>
      <c r="N615" s="66"/>
    </row>
    <row r="616" spans="1:14" x14ac:dyDescent="0.2">
      <c r="A616" s="84"/>
      <c r="B616" s="84"/>
      <c r="C616" s="60"/>
      <c r="D616" s="66"/>
      <c r="E616" s="66"/>
      <c r="F616" s="66"/>
      <c r="G616" s="66"/>
      <c r="H616" s="66"/>
      <c r="I616" s="66"/>
      <c r="J616" s="66"/>
      <c r="K616" s="66"/>
      <c r="L616" s="66"/>
      <c r="M616" s="66"/>
      <c r="N616" s="66"/>
    </row>
    <row r="617" spans="1:14" x14ac:dyDescent="0.2">
      <c r="A617" s="84"/>
      <c r="B617" s="84"/>
      <c r="C617" s="60"/>
      <c r="D617" s="66"/>
      <c r="E617" s="66"/>
      <c r="F617" s="66"/>
      <c r="G617" s="66"/>
      <c r="H617" s="66"/>
      <c r="I617" s="66"/>
      <c r="J617" s="66"/>
      <c r="K617" s="66"/>
      <c r="L617" s="66"/>
      <c r="M617" s="66"/>
      <c r="N617" s="66"/>
    </row>
    <row r="618" spans="1:14" x14ac:dyDescent="0.2">
      <c r="A618" s="84"/>
      <c r="B618" s="84"/>
      <c r="C618" s="60"/>
      <c r="D618" s="66"/>
      <c r="E618" s="66"/>
      <c r="F618" s="66"/>
      <c r="G618" s="66"/>
      <c r="H618" s="66"/>
      <c r="I618" s="66"/>
      <c r="J618" s="66"/>
      <c r="K618" s="66"/>
      <c r="L618" s="66"/>
      <c r="M618" s="66"/>
      <c r="N618" s="66"/>
    </row>
    <row r="619" spans="1:14" x14ac:dyDescent="0.2">
      <c r="A619" s="84"/>
      <c r="B619" s="84"/>
      <c r="C619" s="60"/>
      <c r="D619" s="66"/>
      <c r="E619" s="66"/>
      <c r="F619" s="66"/>
      <c r="G619" s="66"/>
      <c r="H619" s="66"/>
      <c r="I619" s="66"/>
      <c r="J619" s="66"/>
      <c r="K619" s="66"/>
      <c r="L619" s="66"/>
      <c r="M619" s="66"/>
      <c r="N619" s="66"/>
    </row>
    <row r="620" spans="1:14" x14ac:dyDescent="0.2">
      <c r="A620" s="84"/>
      <c r="B620" s="84"/>
      <c r="C620" s="60"/>
      <c r="D620" s="66"/>
      <c r="E620" s="66"/>
      <c r="F620" s="66"/>
      <c r="G620" s="66"/>
      <c r="H620" s="66"/>
      <c r="I620" s="66"/>
      <c r="J620" s="66"/>
      <c r="K620" s="66"/>
      <c r="L620" s="66"/>
      <c r="M620" s="66"/>
      <c r="N620" s="66"/>
    </row>
    <row r="621" spans="1:14" x14ac:dyDescent="0.2">
      <c r="A621" s="84"/>
      <c r="B621" s="84"/>
      <c r="C621" s="60"/>
      <c r="D621" s="66"/>
      <c r="E621" s="66"/>
      <c r="F621" s="66"/>
      <c r="G621" s="66"/>
      <c r="H621" s="66"/>
      <c r="I621" s="66"/>
      <c r="J621" s="66"/>
      <c r="K621" s="66"/>
      <c r="L621" s="66"/>
      <c r="M621" s="66"/>
      <c r="N621" s="66"/>
    </row>
    <row r="622" spans="1:14" x14ac:dyDescent="0.2">
      <c r="A622" s="84"/>
      <c r="B622" s="84"/>
      <c r="C622" s="60"/>
      <c r="D622" s="66"/>
      <c r="E622" s="66"/>
      <c r="F622" s="66"/>
      <c r="G622" s="66"/>
      <c r="H622" s="66"/>
      <c r="I622" s="66"/>
      <c r="J622" s="66"/>
      <c r="K622" s="66"/>
      <c r="L622" s="66"/>
      <c r="M622" s="66"/>
      <c r="N622" s="66"/>
    </row>
    <row r="623" spans="1:14" x14ac:dyDescent="0.2">
      <c r="A623" s="84"/>
      <c r="B623" s="84"/>
      <c r="C623" s="60"/>
      <c r="D623" s="66"/>
      <c r="E623" s="66"/>
      <c r="F623" s="66"/>
      <c r="G623" s="66"/>
      <c r="H623" s="66"/>
      <c r="I623" s="66"/>
      <c r="J623" s="66"/>
      <c r="K623" s="66"/>
      <c r="L623" s="66"/>
      <c r="M623" s="66"/>
      <c r="N623" s="66"/>
    </row>
    <row r="624" spans="1:14" x14ac:dyDescent="0.2">
      <c r="A624" s="84"/>
      <c r="B624" s="84"/>
      <c r="C624" s="60"/>
      <c r="D624" s="66"/>
      <c r="E624" s="66"/>
      <c r="F624" s="66"/>
      <c r="G624" s="66"/>
      <c r="H624" s="66"/>
      <c r="I624" s="66"/>
      <c r="J624" s="66"/>
      <c r="K624" s="66"/>
      <c r="L624" s="66"/>
      <c r="M624" s="66"/>
      <c r="N624" s="66"/>
    </row>
    <row r="625" spans="1:14" x14ac:dyDescent="0.2">
      <c r="A625" s="84"/>
      <c r="B625" s="84"/>
      <c r="C625" s="60"/>
      <c r="D625" s="66"/>
      <c r="E625" s="66"/>
      <c r="F625" s="66"/>
      <c r="G625" s="66"/>
      <c r="H625" s="66"/>
      <c r="I625" s="66"/>
      <c r="J625" s="66"/>
      <c r="K625" s="66"/>
      <c r="L625" s="66"/>
      <c r="M625" s="66"/>
      <c r="N625" s="66"/>
    </row>
    <row r="626" spans="1:14" x14ac:dyDescent="0.2">
      <c r="A626" s="84"/>
      <c r="B626" s="84"/>
      <c r="C626" s="60"/>
      <c r="D626" s="66"/>
      <c r="E626" s="66"/>
      <c r="F626" s="66"/>
      <c r="G626" s="66"/>
      <c r="H626" s="66"/>
      <c r="I626" s="66"/>
      <c r="J626" s="66"/>
      <c r="K626" s="66"/>
      <c r="L626" s="66"/>
      <c r="M626" s="66"/>
      <c r="N626" s="66"/>
    </row>
    <row r="627" spans="1:14" x14ac:dyDescent="0.2">
      <c r="A627" s="84"/>
      <c r="B627" s="84"/>
      <c r="C627" s="60"/>
      <c r="D627" s="66"/>
      <c r="E627" s="66"/>
      <c r="F627" s="66"/>
      <c r="G627" s="66"/>
      <c r="H627" s="66"/>
      <c r="I627" s="66"/>
      <c r="J627" s="66"/>
      <c r="K627" s="66"/>
      <c r="L627" s="66"/>
      <c r="M627" s="66"/>
      <c r="N627" s="66"/>
    </row>
    <row r="628" spans="1:14" x14ac:dyDescent="0.2">
      <c r="A628" s="84"/>
      <c r="B628" s="84"/>
      <c r="C628" s="60"/>
      <c r="D628" s="66"/>
      <c r="E628" s="66"/>
      <c r="F628" s="66"/>
      <c r="G628" s="66"/>
      <c r="H628" s="66"/>
      <c r="I628" s="66"/>
      <c r="J628" s="66"/>
      <c r="K628" s="66"/>
      <c r="L628" s="66"/>
      <c r="M628" s="66"/>
      <c r="N628" s="66"/>
    </row>
    <row r="629" spans="1:14" x14ac:dyDescent="0.2">
      <c r="A629" s="84"/>
      <c r="B629" s="84"/>
      <c r="C629" s="60"/>
      <c r="D629" s="66"/>
      <c r="E629" s="66"/>
      <c r="F629" s="66"/>
      <c r="G629" s="66"/>
      <c r="H629" s="66"/>
      <c r="I629" s="66"/>
      <c r="J629" s="66"/>
      <c r="K629" s="66"/>
      <c r="L629" s="66"/>
      <c r="M629" s="66"/>
      <c r="N629" s="66"/>
    </row>
    <row r="630" spans="1:14" x14ac:dyDescent="0.2">
      <c r="A630" s="84"/>
      <c r="B630" s="84"/>
      <c r="C630" s="60"/>
      <c r="D630" s="66"/>
      <c r="E630" s="66"/>
      <c r="F630" s="66"/>
      <c r="G630" s="66"/>
      <c r="H630" s="66"/>
      <c r="I630" s="66"/>
      <c r="J630" s="66"/>
      <c r="K630" s="66"/>
      <c r="L630" s="66"/>
      <c r="M630" s="66"/>
      <c r="N630" s="66"/>
    </row>
    <row r="631" spans="1:14" x14ac:dyDescent="0.2">
      <c r="A631" s="84"/>
      <c r="B631" s="84"/>
      <c r="C631" s="60"/>
      <c r="D631" s="66"/>
      <c r="E631" s="66"/>
      <c r="F631" s="66"/>
      <c r="G631" s="66"/>
      <c r="H631" s="66"/>
      <c r="I631" s="66"/>
      <c r="J631" s="66"/>
      <c r="K631" s="66"/>
      <c r="L631" s="66"/>
      <c r="M631" s="66"/>
      <c r="N631" s="66"/>
    </row>
    <row r="632" spans="1:14" x14ac:dyDescent="0.2">
      <c r="A632" s="84"/>
      <c r="B632" s="84"/>
      <c r="C632" s="60"/>
      <c r="D632" s="66"/>
      <c r="E632" s="66"/>
      <c r="F632" s="66"/>
      <c r="G632" s="66"/>
      <c r="H632" s="66"/>
      <c r="I632" s="66"/>
      <c r="J632" s="66"/>
      <c r="K632" s="66"/>
      <c r="L632" s="66"/>
      <c r="M632" s="66"/>
      <c r="N632" s="66"/>
    </row>
    <row r="633" spans="1:14" x14ac:dyDescent="0.2">
      <c r="A633" s="84"/>
      <c r="B633" s="84"/>
      <c r="C633" s="60"/>
      <c r="D633" s="66"/>
      <c r="E633" s="66"/>
      <c r="F633" s="66"/>
      <c r="G633" s="66"/>
      <c r="H633" s="66"/>
      <c r="I633" s="66"/>
      <c r="J633" s="66"/>
      <c r="K633" s="66"/>
      <c r="L633" s="66"/>
      <c r="M633" s="66"/>
      <c r="N633" s="66"/>
    </row>
    <row r="634" spans="1:14" x14ac:dyDescent="0.2">
      <c r="A634" s="84"/>
      <c r="B634" s="84"/>
      <c r="C634" s="60"/>
      <c r="D634" s="66"/>
      <c r="E634" s="66"/>
      <c r="F634" s="66"/>
      <c r="G634" s="66"/>
      <c r="H634" s="66"/>
      <c r="I634" s="66"/>
      <c r="J634" s="66"/>
      <c r="K634" s="66"/>
      <c r="L634" s="66"/>
      <c r="M634" s="66"/>
      <c r="N634" s="66"/>
    </row>
    <row r="635" spans="1:14" x14ac:dyDescent="0.2">
      <c r="A635" s="84"/>
      <c r="B635" s="84"/>
      <c r="C635" s="60"/>
      <c r="D635" s="66"/>
      <c r="E635" s="66"/>
      <c r="F635" s="66"/>
      <c r="G635" s="66"/>
      <c r="H635" s="66"/>
      <c r="I635" s="66"/>
      <c r="J635" s="66"/>
      <c r="K635" s="66"/>
      <c r="L635" s="66"/>
      <c r="M635" s="66"/>
      <c r="N635" s="66"/>
    </row>
    <row r="636" spans="1:14" x14ac:dyDescent="0.2">
      <c r="A636" s="84"/>
      <c r="B636" s="84"/>
      <c r="C636" s="60"/>
      <c r="D636" s="66"/>
      <c r="E636" s="66"/>
      <c r="F636" s="66"/>
      <c r="G636" s="66"/>
      <c r="H636" s="66"/>
      <c r="I636" s="66"/>
      <c r="J636" s="66"/>
      <c r="K636" s="66"/>
      <c r="L636" s="66"/>
      <c r="M636" s="66"/>
      <c r="N636" s="66"/>
    </row>
    <row r="637" spans="1:14" x14ac:dyDescent="0.2">
      <c r="A637" s="84"/>
      <c r="B637" s="84"/>
      <c r="C637" s="60"/>
      <c r="D637" s="66"/>
      <c r="E637" s="66"/>
      <c r="F637" s="66"/>
      <c r="G637" s="66"/>
      <c r="H637" s="66"/>
      <c r="I637" s="66"/>
      <c r="J637" s="66"/>
      <c r="K637" s="66"/>
      <c r="L637" s="66"/>
      <c r="M637" s="66"/>
      <c r="N637" s="66"/>
    </row>
    <row r="638" spans="1:14" x14ac:dyDescent="0.2">
      <c r="A638" s="84"/>
      <c r="B638" s="84"/>
      <c r="C638" s="60"/>
      <c r="D638" s="66"/>
      <c r="E638" s="66"/>
      <c r="F638" s="66"/>
      <c r="G638" s="66"/>
      <c r="H638" s="66"/>
      <c r="I638" s="66"/>
      <c r="J638" s="66"/>
      <c r="K638" s="66"/>
      <c r="L638" s="66"/>
      <c r="M638" s="66"/>
      <c r="N638" s="66"/>
    </row>
    <row r="639" spans="1:14" x14ac:dyDescent="0.2">
      <c r="A639" s="84"/>
      <c r="B639" s="84"/>
      <c r="C639" s="60"/>
      <c r="D639" s="66"/>
      <c r="E639" s="66"/>
      <c r="F639" s="66"/>
      <c r="G639" s="66"/>
      <c r="H639" s="66"/>
      <c r="I639" s="66"/>
      <c r="J639" s="66"/>
      <c r="K639" s="66"/>
      <c r="L639" s="66"/>
      <c r="M639" s="66"/>
      <c r="N639" s="66"/>
    </row>
    <row r="640" spans="1:14" x14ac:dyDescent="0.2">
      <c r="A640" s="84"/>
      <c r="B640" s="84"/>
      <c r="C640" s="60"/>
      <c r="D640" s="66"/>
      <c r="E640" s="66"/>
      <c r="F640" s="66"/>
      <c r="G640" s="66"/>
      <c r="H640" s="66"/>
      <c r="I640" s="66"/>
      <c r="J640" s="66"/>
      <c r="K640" s="66"/>
      <c r="L640" s="66"/>
      <c r="M640" s="66"/>
      <c r="N640" s="66"/>
    </row>
    <row r="641" spans="1:14" x14ac:dyDescent="0.2">
      <c r="A641" s="84"/>
      <c r="B641" s="84"/>
      <c r="C641" s="60"/>
      <c r="D641" s="66"/>
      <c r="E641" s="66"/>
      <c r="F641" s="66"/>
      <c r="G641" s="66"/>
      <c r="H641" s="66"/>
      <c r="I641" s="66"/>
      <c r="J641" s="66"/>
      <c r="K641" s="66"/>
      <c r="L641" s="66"/>
      <c r="M641" s="66"/>
      <c r="N641" s="66"/>
    </row>
    <row r="642" spans="1:14" x14ac:dyDescent="0.2">
      <c r="A642" s="84"/>
      <c r="B642" s="84"/>
      <c r="C642" s="60"/>
      <c r="D642" s="66"/>
      <c r="E642" s="66"/>
      <c r="F642" s="66"/>
      <c r="G642" s="66"/>
      <c r="H642" s="66"/>
      <c r="I642" s="66"/>
      <c r="J642" s="66"/>
      <c r="K642" s="66"/>
      <c r="L642" s="66"/>
      <c r="M642" s="66"/>
      <c r="N642" s="66"/>
    </row>
    <row r="643" spans="1:14" x14ac:dyDescent="0.2">
      <c r="A643" s="84"/>
      <c r="B643" s="84"/>
      <c r="C643" s="60"/>
      <c r="D643" s="66"/>
      <c r="E643" s="66"/>
      <c r="F643" s="66"/>
      <c r="G643" s="66"/>
      <c r="H643" s="66"/>
      <c r="I643" s="66"/>
      <c r="J643" s="66"/>
      <c r="K643" s="66"/>
      <c r="L643" s="66"/>
      <c r="M643" s="66"/>
      <c r="N643" s="66"/>
    </row>
    <row r="644" spans="1:14" x14ac:dyDescent="0.2">
      <c r="A644" s="84"/>
      <c r="B644" s="84"/>
      <c r="C644" s="60"/>
      <c r="D644" s="66"/>
      <c r="E644" s="66"/>
      <c r="F644" s="66"/>
      <c r="G644" s="66"/>
      <c r="H644" s="66"/>
      <c r="I644" s="66"/>
      <c r="J644" s="66"/>
      <c r="K644" s="66"/>
      <c r="L644" s="66"/>
      <c r="M644" s="66"/>
      <c r="N644" s="66"/>
    </row>
    <row r="645" spans="1:14" x14ac:dyDescent="0.2">
      <c r="A645" s="84"/>
      <c r="B645" s="84"/>
      <c r="C645" s="60"/>
      <c r="D645" s="66"/>
      <c r="E645" s="66"/>
      <c r="F645" s="66"/>
      <c r="G645" s="66"/>
      <c r="H645" s="66"/>
      <c r="I645" s="66"/>
      <c r="J645" s="66"/>
      <c r="K645" s="66"/>
      <c r="L645" s="66"/>
      <c r="M645" s="66"/>
      <c r="N645" s="66"/>
    </row>
    <row r="646" spans="1:14" x14ac:dyDescent="0.2">
      <c r="A646" s="84"/>
      <c r="B646" s="84"/>
      <c r="C646" s="60"/>
      <c r="D646" s="66"/>
      <c r="E646" s="66"/>
      <c r="F646" s="66"/>
      <c r="G646" s="66"/>
      <c r="H646" s="66"/>
      <c r="I646" s="66"/>
      <c r="J646" s="66"/>
      <c r="K646" s="66"/>
      <c r="L646" s="66"/>
      <c r="M646" s="66"/>
      <c r="N646" s="66"/>
    </row>
    <row r="647" spans="1:14" x14ac:dyDescent="0.2">
      <c r="A647" s="84"/>
      <c r="B647" s="84"/>
      <c r="C647" s="60"/>
      <c r="D647" s="66"/>
      <c r="E647" s="66"/>
      <c r="F647" s="66"/>
      <c r="G647" s="66"/>
      <c r="H647" s="66"/>
      <c r="I647" s="66"/>
      <c r="J647" s="66"/>
      <c r="K647" s="66"/>
      <c r="L647" s="66"/>
      <c r="M647" s="66"/>
      <c r="N647" s="66"/>
    </row>
    <row r="648" spans="1:14" x14ac:dyDescent="0.2">
      <c r="A648" s="84"/>
      <c r="B648" s="84"/>
      <c r="C648" s="60"/>
      <c r="D648" s="66"/>
      <c r="E648" s="66"/>
      <c r="F648" s="66"/>
      <c r="G648" s="66"/>
      <c r="H648" s="66"/>
      <c r="I648" s="66"/>
      <c r="J648" s="66"/>
      <c r="K648" s="66"/>
      <c r="L648" s="66"/>
      <c r="M648" s="66"/>
      <c r="N648" s="66"/>
    </row>
    <row r="649" spans="1:14" x14ac:dyDescent="0.2">
      <c r="A649" s="84"/>
      <c r="B649" s="84"/>
      <c r="C649" s="60"/>
      <c r="D649" s="66"/>
      <c r="E649" s="66"/>
      <c r="F649" s="66"/>
      <c r="G649" s="66"/>
      <c r="H649" s="66"/>
      <c r="I649" s="66"/>
      <c r="J649" s="66"/>
      <c r="K649" s="66"/>
      <c r="L649" s="66"/>
      <c r="M649" s="66"/>
      <c r="N649" s="66"/>
    </row>
    <row r="650" spans="1:14" x14ac:dyDescent="0.2">
      <c r="A650" s="84"/>
      <c r="B650" s="84"/>
      <c r="C650" s="60"/>
      <c r="D650" s="66"/>
      <c r="E650" s="66"/>
      <c r="F650" s="66"/>
      <c r="G650" s="66"/>
      <c r="H650" s="66"/>
      <c r="I650" s="66"/>
      <c r="J650" s="66"/>
      <c r="K650" s="66"/>
      <c r="L650" s="66"/>
      <c r="M650" s="66"/>
      <c r="N650" s="66"/>
    </row>
    <row r="651" spans="1:14" x14ac:dyDescent="0.2">
      <c r="A651" s="84"/>
      <c r="B651" s="84"/>
      <c r="C651" s="60"/>
      <c r="D651" s="66"/>
      <c r="E651" s="66"/>
      <c r="F651" s="66"/>
      <c r="G651" s="66"/>
      <c r="H651" s="66"/>
      <c r="I651" s="66"/>
      <c r="J651" s="66"/>
      <c r="K651" s="66"/>
      <c r="L651" s="66"/>
      <c r="M651" s="66"/>
      <c r="N651" s="66"/>
    </row>
    <row r="652" spans="1:14" x14ac:dyDescent="0.2">
      <c r="A652" s="84"/>
      <c r="B652" s="84"/>
      <c r="C652" s="60"/>
      <c r="D652" s="66"/>
      <c r="E652" s="66"/>
      <c r="F652" s="66"/>
      <c r="G652" s="66"/>
      <c r="H652" s="66"/>
      <c r="I652" s="66"/>
      <c r="J652" s="66"/>
      <c r="K652" s="66"/>
      <c r="L652" s="66"/>
      <c r="M652" s="66"/>
      <c r="N652" s="66"/>
    </row>
    <row r="653" spans="1:14" x14ac:dyDescent="0.2">
      <c r="A653" s="84"/>
      <c r="B653" s="84"/>
      <c r="C653" s="60"/>
      <c r="D653" s="66"/>
      <c r="E653" s="66"/>
      <c r="F653" s="66"/>
      <c r="G653" s="66"/>
      <c r="H653" s="66"/>
      <c r="I653" s="66"/>
      <c r="J653" s="66"/>
      <c r="K653" s="66"/>
      <c r="L653" s="66"/>
      <c r="M653" s="66"/>
      <c r="N653" s="66"/>
    </row>
    <row r="654" spans="1:14" x14ac:dyDescent="0.2">
      <c r="A654" s="84"/>
      <c r="B654" s="84"/>
      <c r="C654" s="60"/>
      <c r="D654" s="66"/>
      <c r="E654" s="66"/>
      <c r="F654" s="66"/>
      <c r="G654" s="66"/>
      <c r="H654" s="66"/>
      <c r="I654" s="66"/>
      <c r="J654" s="66"/>
      <c r="K654" s="66"/>
      <c r="L654" s="66"/>
      <c r="M654" s="66"/>
      <c r="N654" s="66"/>
    </row>
    <row r="655" spans="1:14" x14ac:dyDescent="0.2">
      <c r="A655" s="84"/>
      <c r="B655" s="84"/>
      <c r="C655" s="60"/>
      <c r="D655" s="66"/>
      <c r="E655" s="66"/>
      <c r="F655" s="66"/>
      <c r="G655" s="66"/>
      <c r="H655" s="66"/>
      <c r="I655" s="66"/>
      <c r="J655" s="66"/>
      <c r="K655" s="66"/>
      <c r="L655" s="66"/>
      <c r="M655" s="66"/>
      <c r="N655" s="66"/>
    </row>
    <row r="656" spans="1:14" x14ac:dyDescent="0.2">
      <c r="A656" s="84"/>
      <c r="B656" s="84"/>
      <c r="C656" s="60"/>
      <c r="D656" s="66"/>
      <c r="E656" s="66"/>
      <c r="F656" s="66"/>
      <c r="G656" s="66"/>
      <c r="H656" s="66"/>
      <c r="I656" s="66"/>
      <c r="J656" s="66"/>
      <c r="K656" s="66"/>
      <c r="L656" s="66"/>
      <c r="M656" s="66"/>
      <c r="N656" s="66"/>
    </row>
    <row r="657" spans="1:14" x14ac:dyDescent="0.2">
      <c r="A657" s="84"/>
      <c r="B657" s="84"/>
      <c r="C657" s="60"/>
      <c r="D657" s="66"/>
      <c r="E657" s="66"/>
      <c r="F657" s="66"/>
      <c r="G657" s="66"/>
      <c r="H657" s="66"/>
      <c r="I657" s="66"/>
      <c r="J657" s="66"/>
      <c r="K657" s="66"/>
      <c r="L657" s="66"/>
      <c r="M657" s="66"/>
      <c r="N657" s="66"/>
    </row>
    <row r="658" spans="1:14" x14ac:dyDescent="0.2">
      <c r="A658" s="84"/>
      <c r="B658" s="84"/>
      <c r="C658" s="60"/>
      <c r="D658" s="66"/>
      <c r="E658" s="66"/>
      <c r="F658" s="66"/>
      <c r="G658" s="66"/>
      <c r="H658" s="66"/>
      <c r="I658" s="66"/>
      <c r="J658" s="66"/>
      <c r="K658" s="66"/>
      <c r="L658" s="66"/>
      <c r="M658" s="66"/>
      <c r="N658" s="66"/>
    </row>
    <row r="659" spans="1:14" x14ac:dyDescent="0.2">
      <c r="A659" s="84"/>
      <c r="B659" s="84"/>
      <c r="C659" s="60"/>
      <c r="D659" s="66"/>
      <c r="E659" s="66"/>
      <c r="F659" s="66"/>
      <c r="G659" s="66"/>
      <c r="H659" s="66"/>
      <c r="I659" s="66"/>
      <c r="J659" s="66"/>
      <c r="K659" s="66"/>
      <c r="L659" s="66"/>
      <c r="M659" s="66"/>
      <c r="N659" s="66"/>
    </row>
    <row r="660" spans="1:14" x14ac:dyDescent="0.2">
      <c r="A660" s="84"/>
      <c r="B660" s="84"/>
      <c r="C660" s="60"/>
      <c r="D660" s="66"/>
      <c r="E660" s="66"/>
      <c r="F660" s="66"/>
      <c r="G660" s="66"/>
      <c r="H660" s="66"/>
      <c r="I660" s="66"/>
      <c r="J660" s="66"/>
      <c r="K660" s="66"/>
      <c r="L660" s="66"/>
      <c r="M660" s="66"/>
      <c r="N660" s="66"/>
    </row>
    <row r="661" spans="1:14" x14ac:dyDescent="0.2">
      <c r="A661" s="84"/>
      <c r="B661" s="84"/>
      <c r="C661" s="60"/>
      <c r="D661" s="66"/>
      <c r="E661" s="66"/>
      <c r="F661" s="66"/>
      <c r="G661" s="66"/>
      <c r="H661" s="66"/>
      <c r="I661" s="66"/>
      <c r="J661" s="66"/>
      <c r="K661" s="66"/>
      <c r="L661" s="66"/>
      <c r="M661" s="66"/>
      <c r="N661" s="66"/>
    </row>
    <row r="662" spans="1:14" x14ac:dyDescent="0.2">
      <c r="A662" s="84"/>
      <c r="B662" s="84"/>
      <c r="C662" s="60"/>
      <c r="D662" s="66"/>
      <c r="E662" s="66"/>
      <c r="F662" s="66"/>
      <c r="G662" s="66"/>
      <c r="H662" s="66"/>
      <c r="I662" s="66"/>
      <c r="J662" s="66"/>
      <c r="K662" s="66"/>
      <c r="L662" s="66"/>
      <c r="M662" s="66"/>
      <c r="N662" s="66"/>
    </row>
    <row r="663" spans="1:14" x14ac:dyDescent="0.2">
      <c r="A663" s="84"/>
      <c r="B663" s="84"/>
      <c r="C663" s="60"/>
      <c r="D663" s="66"/>
      <c r="E663" s="66"/>
      <c r="F663" s="66"/>
      <c r="G663" s="66"/>
      <c r="H663" s="66"/>
      <c r="I663" s="66"/>
      <c r="J663" s="66"/>
      <c r="K663" s="66"/>
      <c r="L663" s="66"/>
      <c r="M663" s="66"/>
      <c r="N663" s="66"/>
    </row>
    <row r="664" spans="1:14" x14ac:dyDescent="0.2">
      <c r="A664" s="84"/>
      <c r="B664" s="84"/>
      <c r="C664" s="60"/>
      <c r="D664" s="66"/>
      <c r="E664" s="66"/>
      <c r="F664" s="66"/>
      <c r="G664" s="66"/>
      <c r="H664" s="66"/>
      <c r="I664" s="66"/>
      <c r="J664" s="66"/>
      <c r="K664" s="66"/>
      <c r="L664" s="66"/>
      <c r="M664" s="66"/>
      <c r="N664" s="66"/>
    </row>
    <row r="665" spans="1:14" x14ac:dyDescent="0.2">
      <c r="A665" s="84"/>
      <c r="B665" s="84"/>
      <c r="C665" s="60"/>
      <c r="D665" s="66"/>
      <c r="E665" s="66"/>
      <c r="F665" s="66"/>
      <c r="G665" s="66"/>
      <c r="H665" s="66"/>
      <c r="I665" s="66"/>
      <c r="J665" s="66"/>
      <c r="K665" s="66"/>
      <c r="L665" s="66"/>
      <c r="M665" s="66"/>
      <c r="N665" s="66"/>
    </row>
    <row r="666" spans="1:14" x14ac:dyDescent="0.2">
      <c r="A666" s="84"/>
      <c r="B666" s="84"/>
      <c r="C666" s="60"/>
      <c r="D666" s="66"/>
      <c r="E666" s="66"/>
      <c r="F666" s="66"/>
      <c r="G666" s="66"/>
      <c r="H666" s="66"/>
      <c r="I666" s="66"/>
      <c r="J666" s="66"/>
      <c r="K666" s="66"/>
      <c r="L666" s="66"/>
      <c r="M666" s="66"/>
      <c r="N666" s="66"/>
    </row>
    <row r="667" spans="1:14" x14ac:dyDescent="0.2">
      <c r="A667" s="84"/>
      <c r="B667" s="84"/>
      <c r="C667" s="60"/>
      <c r="D667" s="66"/>
      <c r="E667" s="66"/>
      <c r="F667" s="66"/>
      <c r="G667" s="66"/>
      <c r="H667" s="66"/>
      <c r="I667" s="66"/>
      <c r="J667" s="66"/>
      <c r="K667" s="66"/>
      <c r="L667" s="66"/>
      <c r="M667" s="66"/>
      <c r="N667" s="66"/>
    </row>
    <row r="668" spans="1:14" x14ac:dyDescent="0.2">
      <c r="A668" s="84"/>
      <c r="B668" s="84"/>
      <c r="C668" s="60"/>
      <c r="D668" s="66"/>
      <c r="E668" s="66"/>
      <c r="F668" s="66"/>
      <c r="G668" s="66"/>
      <c r="H668" s="66"/>
      <c r="I668" s="66"/>
      <c r="J668" s="66"/>
      <c r="K668" s="66"/>
      <c r="L668" s="66"/>
      <c r="M668" s="66"/>
      <c r="N668" s="66"/>
    </row>
    <row r="669" spans="1:14" x14ac:dyDescent="0.2">
      <c r="A669" s="84"/>
      <c r="B669" s="84"/>
      <c r="C669" s="60"/>
      <c r="D669" s="66"/>
      <c r="E669" s="66"/>
      <c r="F669" s="66"/>
      <c r="G669" s="66"/>
      <c r="H669" s="66"/>
      <c r="I669" s="66"/>
      <c r="J669" s="66"/>
      <c r="K669" s="66"/>
      <c r="L669" s="66"/>
      <c r="M669" s="66"/>
      <c r="N669" s="66"/>
    </row>
    <row r="670" spans="1:14" x14ac:dyDescent="0.2">
      <c r="A670" s="84"/>
      <c r="B670" s="84"/>
      <c r="C670" s="60"/>
      <c r="D670" s="66"/>
      <c r="E670" s="66"/>
      <c r="F670" s="66"/>
      <c r="G670" s="66"/>
      <c r="H670" s="66"/>
      <c r="I670" s="66"/>
      <c r="J670" s="66"/>
      <c r="K670" s="66"/>
      <c r="L670" s="66"/>
      <c r="M670" s="66"/>
      <c r="N670" s="66"/>
    </row>
    <row r="671" spans="1:14" x14ac:dyDescent="0.2">
      <c r="A671" s="84"/>
      <c r="B671" s="84"/>
      <c r="C671" s="60"/>
      <c r="D671" s="66"/>
      <c r="E671" s="66"/>
      <c r="F671" s="66"/>
      <c r="G671" s="66"/>
      <c r="H671" s="66"/>
      <c r="I671" s="66"/>
      <c r="J671" s="66"/>
      <c r="K671" s="66"/>
      <c r="L671" s="66"/>
      <c r="M671" s="66"/>
      <c r="N671" s="66"/>
    </row>
    <row r="672" spans="1:14" x14ac:dyDescent="0.2">
      <c r="A672" s="84"/>
      <c r="B672" s="84"/>
      <c r="C672" s="60"/>
      <c r="D672" s="66"/>
      <c r="E672" s="66"/>
      <c r="F672" s="66"/>
      <c r="G672" s="66"/>
      <c r="H672" s="66"/>
      <c r="I672" s="66"/>
      <c r="J672" s="66"/>
      <c r="K672" s="66"/>
      <c r="L672" s="66"/>
      <c r="M672" s="66"/>
      <c r="N672" s="66"/>
    </row>
    <row r="673" spans="1:14" x14ac:dyDescent="0.2">
      <c r="A673" s="84"/>
      <c r="B673" s="84"/>
      <c r="C673" s="60"/>
      <c r="D673" s="66"/>
      <c r="E673" s="66"/>
      <c r="F673" s="66"/>
      <c r="G673" s="66"/>
      <c r="H673" s="66"/>
      <c r="I673" s="66"/>
      <c r="J673" s="66"/>
      <c r="K673" s="66"/>
      <c r="L673" s="66"/>
      <c r="M673" s="66"/>
      <c r="N673" s="66"/>
    </row>
    <row r="674" spans="1:14" x14ac:dyDescent="0.2">
      <c r="A674" s="84"/>
      <c r="B674" s="84"/>
      <c r="C674" s="60"/>
      <c r="D674" s="66"/>
      <c r="E674" s="66"/>
      <c r="F674" s="66"/>
      <c r="G674" s="66"/>
      <c r="H674" s="66"/>
      <c r="I674" s="66"/>
      <c r="J674" s="66"/>
      <c r="K674" s="66"/>
      <c r="L674" s="66"/>
      <c r="M674" s="66"/>
      <c r="N674" s="66"/>
    </row>
    <row r="675" spans="1:14" x14ac:dyDescent="0.2">
      <c r="A675" s="84"/>
      <c r="B675" s="84"/>
      <c r="C675" s="60"/>
      <c r="D675" s="66"/>
      <c r="E675" s="66"/>
      <c r="F675" s="66"/>
      <c r="G675" s="66"/>
      <c r="H675" s="66"/>
      <c r="I675" s="66"/>
      <c r="J675" s="66"/>
      <c r="K675" s="66"/>
      <c r="L675" s="66"/>
      <c r="M675" s="66"/>
      <c r="N675" s="66"/>
    </row>
    <row r="676" spans="1:14" x14ac:dyDescent="0.2">
      <c r="A676" s="84"/>
      <c r="B676" s="84"/>
      <c r="C676" s="60"/>
      <c r="D676" s="66"/>
      <c r="E676" s="66"/>
      <c r="F676" s="66"/>
      <c r="G676" s="66"/>
      <c r="H676" s="66"/>
      <c r="I676" s="66"/>
      <c r="J676" s="66"/>
      <c r="K676" s="66"/>
      <c r="L676" s="66"/>
      <c r="M676" s="66"/>
      <c r="N676" s="66"/>
    </row>
    <row r="677" spans="1:14" x14ac:dyDescent="0.2">
      <c r="A677" s="84"/>
      <c r="B677" s="84"/>
      <c r="C677" s="60"/>
      <c r="D677" s="66"/>
      <c r="E677" s="66"/>
      <c r="F677" s="66"/>
      <c r="G677" s="66"/>
      <c r="H677" s="66"/>
      <c r="I677" s="66"/>
      <c r="J677" s="66"/>
      <c r="K677" s="66"/>
      <c r="L677" s="66"/>
      <c r="M677" s="66"/>
      <c r="N677" s="66"/>
    </row>
    <row r="678" spans="1:14" x14ac:dyDescent="0.2">
      <c r="A678" s="84"/>
      <c r="B678" s="84"/>
      <c r="C678" s="60"/>
      <c r="D678" s="66"/>
      <c r="E678" s="66"/>
      <c r="F678" s="66"/>
      <c r="G678" s="66"/>
      <c r="H678" s="66"/>
      <c r="I678" s="66"/>
      <c r="J678" s="66"/>
      <c r="K678" s="66"/>
      <c r="L678" s="66"/>
      <c r="M678" s="66"/>
      <c r="N678" s="66"/>
    </row>
    <row r="679" spans="1:14" x14ac:dyDescent="0.2">
      <c r="A679" s="84"/>
      <c r="B679" s="84"/>
      <c r="C679" s="60"/>
      <c r="D679" s="66"/>
      <c r="E679" s="66"/>
      <c r="F679" s="66"/>
      <c r="G679" s="66"/>
      <c r="H679" s="66"/>
      <c r="I679" s="66"/>
      <c r="J679" s="66"/>
      <c r="K679" s="66"/>
      <c r="L679" s="66"/>
      <c r="M679" s="66"/>
      <c r="N679" s="66"/>
    </row>
    <row r="680" spans="1:14" x14ac:dyDescent="0.2">
      <c r="A680" s="84"/>
      <c r="B680" s="84"/>
      <c r="C680" s="60"/>
      <c r="D680" s="66"/>
      <c r="E680" s="66"/>
      <c r="F680" s="66"/>
      <c r="G680" s="66"/>
      <c r="H680" s="66"/>
      <c r="I680" s="66"/>
      <c r="J680" s="66"/>
      <c r="K680" s="66"/>
      <c r="L680" s="66"/>
      <c r="M680" s="66"/>
      <c r="N680" s="66"/>
    </row>
    <row r="681" spans="1:14" x14ac:dyDescent="0.2">
      <c r="A681" s="84"/>
      <c r="B681" s="84"/>
      <c r="C681" s="60"/>
      <c r="D681" s="66"/>
      <c r="E681" s="66"/>
      <c r="F681" s="66"/>
      <c r="G681" s="66"/>
      <c r="H681" s="66"/>
      <c r="I681" s="66"/>
      <c r="J681" s="66"/>
      <c r="K681" s="66"/>
      <c r="L681" s="66"/>
      <c r="M681" s="66"/>
      <c r="N681" s="66"/>
    </row>
    <row r="682" spans="1:14" x14ac:dyDescent="0.2">
      <c r="A682" s="84"/>
      <c r="B682" s="84"/>
      <c r="C682" s="60"/>
      <c r="D682" s="66"/>
      <c r="E682" s="66"/>
      <c r="F682" s="66"/>
      <c r="G682" s="66"/>
      <c r="H682" s="66"/>
      <c r="I682" s="66"/>
      <c r="J682" s="66"/>
      <c r="K682" s="66"/>
      <c r="L682" s="66"/>
      <c r="M682" s="66"/>
      <c r="N682" s="66"/>
    </row>
    <row r="683" spans="1:14" x14ac:dyDescent="0.2">
      <c r="A683" s="84"/>
      <c r="B683" s="84"/>
      <c r="C683" s="60"/>
      <c r="D683" s="66"/>
      <c r="E683" s="66"/>
      <c r="F683" s="66"/>
      <c r="G683" s="66"/>
      <c r="H683" s="66"/>
      <c r="I683" s="66"/>
      <c r="J683" s="66"/>
      <c r="K683" s="66"/>
      <c r="L683" s="66"/>
      <c r="M683" s="66"/>
      <c r="N683" s="66"/>
    </row>
    <row r="684" spans="1:14" x14ac:dyDescent="0.2">
      <c r="A684" s="84"/>
      <c r="B684" s="84"/>
      <c r="C684" s="60"/>
      <c r="D684" s="66"/>
      <c r="E684" s="66"/>
      <c r="F684" s="66"/>
      <c r="G684" s="66"/>
      <c r="H684" s="66"/>
      <c r="I684" s="66"/>
      <c r="J684" s="66"/>
      <c r="K684" s="66"/>
      <c r="L684" s="66"/>
      <c r="M684" s="66"/>
      <c r="N684" s="66"/>
    </row>
    <row r="685" spans="1:14" x14ac:dyDescent="0.2">
      <c r="A685" s="84"/>
      <c r="B685" s="84"/>
      <c r="C685" s="60"/>
      <c r="D685" s="66"/>
      <c r="E685" s="66"/>
      <c r="F685" s="66"/>
      <c r="G685" s="66"/>
      <c r="H685" s="66"/>
      <c r="I685" s="66"/>
      <c r="J685" s="66"/>
      <c r="K685" s="66"/>
      <c r="L685" s="66"/>
      <c r="M685" s="66"/>
      <c r="N685" s="66"/>
    </row>
    <row r="686" spans="1:14" x14ac:dyDescent="0.2">
      <c r="A686" s="84"/>
      <c r="B686" s="84"/>
      <c r="C686" s="60"/>
      <c r="D686" s="66"/>
      <c r="E686" s="66"/>
      <c r="F686" s="66"/>
      <c r="G686" s="66"/>
      <c r="H686" s="66"/>
      <c r="I686" s="66"/>
      <c r="J686" s="66"/>
      <c r="K686" s="66"/>
      <c r="L686" s="66"/>
      <c r="M686" s="66"/>
      <c r="N686" s="66"/>
    </row>
    <row r="687" spans="1:14" x14ac:dyDescent="0.2">
      <c r="A687" s="84"/>
      <c r="B687" s="84"/>
      <c r="C687" s="60"/>
      <c r="D687" s="66"/>
      <c r="E687" s="66"/>
      <c r="F687" s="66"/>
      <c r="G687" s="66"/>
      <c r="H687" s="66"/>
      <c r="I687" s="66"/>
      <c r="J687" s="66"/>
      <c r="K687" s="66"/>
      <c r="L687" s="66"/>
      <c r="M687" s="66"/>
      <c r="N687" s="66"/>
    </row>
    <row r="688" spans="1:14" x14ac:dyDescent="0.2">
      <c r="A688" s="84"/>
      <c r="B688" s="84"/>
      <c r="C688" s="60"/>
      <c r="D688" s="66"/>
      <c r="E688" s="66"/>
      <c r="F688" s="66"/>
      <c r="G688" s="66"/>
      <c r="H688" s="66"/>
      <c r="I688" s="66"/>
      <c r="J688" s="66"/>
      <c r="K688" s="66"/>
      <c r="L688" s="66"/>
      <c r="M688" s="66"/>
      <c r="N688" s="66"/>
    </row>
    <row r="689" spans="1:14" x14ac:dyDescent="0.2">
      <c r="A689" s="84"/>
      <c r="B689" s="84"/>
      <c r="C689" s="60"/>
      <c r="D689" s="66"/>
      <c r="E689" s="66"/>
      <c r="F689" s="66"/>
      <c r="G689" s="66"/>
      <c r="H689" s="66"/>
      <c r="I689" s="66"/>
      <c r="J689" s="66"/>
      <c r="K689" s="66"/>
      <c r="L689" s="66"/>
      <c r="M689" s="66"/>
      <c r="N689" s="66"/>
    </row>
    <row r="690" spans="1:14" x14ac:dyDescent="0.2">
      <c r="A690" s="84"/>
      <c r="B690" s="84"/>
      <c r="C690" s="60"/>
      <c r="D690" s="66"/>
      <c r="E690" s="66"/>
      <c r="F690" s="66"/>
      <c r="G690" s="66"/>
      <c r="H690" s="66"/>
      <c r="I690" s="66"/>
      <c r="J690" s="66"/>
      <c r="K690" s="66"/>
      <c r="L690" s="66"/>
      <c r="M690" s="66"/>
      <c r="N690" s="66"/>
    </row>
    <row r="691" spans="1:14" x14ac:dyDescent="0.2">
      <c r="A691" s="84"/>
      <c r="B691" s="84"/>
      <c r="C691" s="60"/>
      <c r="D691" s="66"/>
      <c r="E691" s="66"/>
      <c r="F691" s="66"/>
      <c r="G691" s="66"/>
      <c r="H691" s="66"/>
      <c r="I691" s="66"/>
      <c r="J691" s="66"/>
      <c r="K691" s="66"/>
      <c r="L691" s="66"/>
      <c r="M691" s="66"/>
      <c r="N691" s="66"/>
    </row>
    <row r="692" spans="1:14" x14ac:dyDescent="0.2">
      <c r="A692" s="84"/>
      <c r="B692" s="84"/>
      <c r="C692" s="60"/>
      <c r="D692" s="66"/>
      <c r="E692" s="66"/>
      <c r="F692" s="66"/>
      <c r="G692" s="66"/>
      <c r="H692" s="66"/>
      <c r="I692" s="66"/>
      <c r="J692" s="66"/>
      <c r="K692" s="66"/>
      <c r="L692" s="66"/>
      <c r="M692" s="66"/>
      <c r="N692" s="66"/>
    </row>
    <row r="693" spans="1:14" x14ac:dyDescent="0.2">
      <c r="A693" s="84"/>
      <c r="B693" s="84"/>
      <c r="C693" s="60"/>
      <c r="D693" s="66"/>
      <c r="E693" s="66"/>
      <c r="F693" s="66"/>
      <c r="G693" s="66"/>
      <c r="H693" s="66"/>
      <c r="I693" s="66"/>
      <c r="J693" s="66"/>
      <c r="K693" s="66"/>
      <c r="L693" s="66"/>
      <c r="M693" s="66"/>
      <c r="N693" s="66"/>
    </row>
    <row r="694" spans="1:14" x14ac:dyDescent="0.2">
      <c r="A694" s="84"/>
      <c r="B694" s="84"/>
      <c r="C694" s="60"/>
      <c r="D694" s="66"/>
      <c r="E694" s="66"/>
      <c r="F694" s="66"/>
      <c r="G694" s="66"/>
      <c r="H694" s="66"/>
      <c r="I694" s="66"/>
      <c r="J694" s="66"/>
      <c r="K694" s="66"/>
      <c r="L694" s="66"/>
      <c r="M694" s="66"/>
      <c r="N694" s="66"/>
    </row>
    <row r="695" spans="1:14" x14ac:dyDescent="0.2">
      <c r="A695" s="84"/>
      <c r="B695" s="84"/>
      <c r="C695" s="60"/>
      <c r="D695" s="66"/>
      <c r="E695" s="66"/>
      <c r="F695" s="66"/>
      <c r="G695" s="66"/>
      <c r="H695" s="66"/>
      <c r="I695" s="66"/>
      <c r="J695" s="66"/>
      <c r="K695" s="66"/>
      <c r="L695" s="66"/>
      <c r="M695" s="66"/>
      <c r="N695" s="66"/>
    </row>
    <row r="696" spans="1:14" x14ac:dyDescent="0.2">
      <c r="A696" s="84"/>
      <c r="B696" s="84"/>
      <c r="C696" s="60"/>
      <c r="D696" s="66"/>
      <c r="E696" s="66"/>
      <c r="F696" s="66"/>
      <c r="G696" s="66"/>
      <c r="H696" s="66"/>
      <c r="I696" s="66"/>
      <c r="J696" s="66"/>
      <c r="K696" s="66"/>
      <c r="L696" s="66"/>
      <c r="M696" s="66"/>
      <c r="N696" s="66"/>
    </row>
    <row r="697" spans="1:14" x14ac:dyDescent="0.2">
      <c r="A697" s="84"/>
      <c r="B697" s="84"/>
      <c r="C697" s="60"/>
      <c r="D697" s="66"/>
      <c r="E697" s="66"/>
      <c r="F697" s="66"/>
      <c r="G697" s="66"/>
      <c r="H697" s="66"/>
      <c r="I697" s="66"/>
      <c r="J697" s="66"/>
      <c r="K697" s="66"/>
      <c r="L697" s="66"/>
      <c r="M697" s="66"/>
      <c r="N697" s="66"/>
    </row>
    <row r="698" spans="1:14" x14ac:dyDescent="0.2">
      <c r="A698" s="84"/>
      <c r="B698" s="84"/>
      <c r="C698" s="60"/>
      <c r="D698" s="66"/>
      <c r="E698" s="66"/>
      <c r="F698" s="66"/>
      <c r="G698" s="66"/>
      <c r="H698" s="66"/>
      <c r="I698" s="66"/>
      <c r="J698" s="66"/>
      <c r="K698" s="66"/>
      <c r="L698" s="66"/>
      <c r="M698" s="66"/>
      <c r="N698" s="66"/>
    </row>
    <row r="699" spans="1:14" x14ac:dyDescent="0.2">
      <c r="A699" s="84"/>
      <c r="B699" s="84"/>
      <c r="C699" s="60"/>
      <c r="D699" s="66"/>
      <c r="E699" s="66"/>
      <c r="F699" s="66"/>
      <c r="G699" s="66"/>
      <c r="H699" s="66"/>
      <c r="I699" s="66"/>
      <c r="J699" s="66"/>
      <c r="K699" s="66"/>
      <c r="L699" s="66"/>
      <c r="M699" s="66"/>
      <c r="N699" s="66"/>
    </row>
    <row r="700" spans="1:14" x14ac:dyDescent="0.2">
      <c r="A700" s="84"/>
      <c r="B700" s="84"/>
      <c r="C700" s="60"/>
      <c r="D700" s="66"/>
      <c r="E700" s="66"/>
      <c r="F700" s="66"/>
      <c r="G700" s="66"/>
      <c r="H700" s="66"/>
      <c r="I700" s="66"/>
      <c r="J700" s="66"/>
      <c r="K700" s="66"/>
      <c r="L700" s="66"/>
      <c r="M700" s="66"/>
      <c r="N700" s="66"/>
    </row>
    <row r="701" spans="1:14" x14ac:dyDescent="0.2">
      <c r="A701" s="84"/>
      <c r="B701" s="84"/>
      <c r="C701" s="60"/>
      <c r="D701" s="66"/>
      <c r="E701" s="66"/>
      <c r="F701" s="66"/>
      <c r="G701" s="66"/>
      <c r="H701" s="66"/>
      <c r="I701" s="66"/>
      <c r="J701" s="66"/>
      <c r="K701" s="66"/>
      <c r="L701" s="66"/>
      <c r="M701" s="66"/>
      <c r="N701" s="66"/>
    </row>
    <row r="702" spans="1:14" x14ac:dyDescent="0.2">
      <c r="A702" s="84"/>
      <c r="B702" s="84"/>
      <c r="C702" s="60"/>
      <c r="D702" s="66"/>
      <c r="E702" s="66"/>
      <c r="F702" s="66"/>
      <c r="G702" s="66"/>
      <c r="H702" s="66"/>
      <c r="I702" s="66"/>
      <c r="J702" s="66"/>
      <c r="K702" s="66"/>
      <c r="L702" s="66"/>
      <c r="M702" s="66"/>
      <c r="N702" s="66"/>
    </row>
    <row r="703" spans="1:14" x14ac:dyDescent="0.2">
      <c r="A703" s="84"/>
      <c r="B703" s="84"/>
      <c r="C703" s="60"/>
      <c r="D703" s="66"/>
      <c r="E703" s="66"/>
      <c r="F703" s="66"/>
      <c r="G703" s="66"/>
      <c r="H703" s="66"/>
      <c r="I703" s="66"/>
      <c r="J703" s="66"/>
      <c r="K703" s="66"/>
      <c r="L703" s="66"/>
      <c r="M703" s="66"/>
      <c r="N703" s="66"/>
    </row>
    <row r="704" spans="1:14" x14ac:dyDescent="0.2">
      <c r="A704" s="84"/>
      <c r="B704" s="84"/>
      <c r="C704" s="60"/>
      <c r="D704" s="66"/>
      <c r="E704" s="66"/>
      <c r="F704" s="66"/>
      <c r="G704" s="66"/>
      <c r="H704" s="66"/>
      <c r="I704" s="66"/>
      <c r="J704" s="66"/>
      <c r="K704" s="66"/>
      <c r="L704" s="66"/>
      <c r="M704" s="66"/>
      <c r="N704" s="66"/>
    </row>
    <row r="705" spans="1:14" x14ac:dyDescent="0.2">
      <c r="A705" s="84"/>
      <c r="B705" s="84"/>
      <c r="C705" s="60"/>
      <c r="D705" s="66"/>
      <c r="E705" s="66"/>
      <c r="F705" s="66"/>
      <c r="G705" s="66"/>
      <c r="H705" s="66"/>
      <c r="I705" s="66"/>
      <c r="J705" s="66"/>
      <c r="K705" s="66"/>
      <c r="L705" s="66"/>
      <c r="M705" s="66"/>
      <c r="N705" s="66"/>
    </row>
    <row r="706" spans="1:14" x14ac:dyDescent="0.2">
      <c r="A706" s="84"/>
      <c r="B706" s="84"/>
      <c r="C706" s="60"/>
      <c r="D706" s="66"/>
      <c r="E706" s="66"/>
      <c r="F706" s="66"/>
      <c r="G706" s="66"/>
      <c r="H706" s="66"/>
      <c r="I706" s="66"/>
      <c r="J706" s="66"/>
      <c r="K706" s="66"/>
      <c r="L706" s="66"/>
      <c r="M706" s="66"/>
      <c r="N706" s="66"/>
    </row>
    <row r="707" spans="1:14" x14ac:dyDescent="0.2">
      <c r="A707" s="84"/>
      <c r="B707" s="84"/>
      <c r="C707" s="60"/>
      <c r="D707" s="66"/>
      <c r="E707" s="66"/>
      <c r="F707" s="66"/>
      <c r="G707" s="66"/>
      <c r="H707" s="66"/>
      <c r="I707" s="66"/>
      <c r="J707" s="66"/>
      <c r="K707" s="66"/>
      <c r="L707" s="66"/>
      <c r="M707" s="66"/>
      <c r="N707" s="66"/>
    </row>
    <row r="708" spans="1:14" x14ac:dyDescent="0.2">
      <c r="A708" s="84"/>
      <c r="B708" s="84"/>
      <c r="C708" s="60"/>
      <c r="D708" s="66"/>
      <c r="E708" s="66"/>
      <c r="F708" s="66"/>
      <c r="G708" s="66"/>
      <c r="H708" s="66"/>
      <c r="I708" s="66"/>
      <c r="J708" s="66"/>
      <c r="K708" s="66"/>
      <c r="L708" s="66"/>
      <c r="M708" s="66"/>
      <c r="N708" s="66"/>
    </row>
    <row r="709" spans="1:14" x14ac:dyDescent="0.2">
      <c r="A709" s="84"/>
      <c r="B709" s="84"/>
      <c r="C709" s="60"/>
      <c r="D709" s="66"/>
      <c r="E709" s="66"/>
      <c r="F709" s="66"/>
      <c r="G709" s="66"/>
      <c r="H709" s="66"/>
      <c r="I709" s="66"/>
      <c r="J709" s="66"/>
      <c r="K709" s="66"/>
      <c r="L709" s="66"/>
      <c r="M709" s="66"/>
      <c r="N709" s="66"/>
    </row>
    <row r="710" spans="1:14" x14ac:dyDescent="0.2">
      <c r="A710" s="84"/>
      <c r="B710" s="84"/>
      <c r="C710" s="60"/>
      <c r="D710" s="66"/>
      <c r="E710" s="66"/>
      <c r="F710" s="66"/>
      <c r="G710" s="66"/>
      <c r="H710" s="66"/>
      <c r="I710" s="66"/>
      <c r="J710" s="66"/>
      <c r="K710" s="66"/>
      <c r="L710" s="66"/>
      <c r="M710" s="66"/>
      <c r="N710" s="66"/>
    </row>
    <row r="711" spans="1:14" x14ac:dyDescent="0.2">
      <c r="A711" s="84"/>
      <c r="B711" s="84"/>
      <c r="C711" s="60"/>
      <c r="D711" s="66"/>
      <c r="E711" s="66"/>
      <c r="F711" s="66"/>
      <c r="G711" s="66"/>
      <c r="H711" s="66"/>
      <c r="I711" s="66"/>
      <c r="J711" s="66"/>
      <c r="K711" s="66"/>
      <c r="L711" s="66"/>
      <c r="M711" s="66"/>
      <c r="N711" s="66"/>
    </row>
    <row r="712" spans="1:14" x14ac:dyDescent="0.2">
      <c r="A712" s="84"/>
      <c r="B712" s="84"/>
      <c r="C712" s="60"/>
      <c r="D712" s="66"/>
      <c r="E712" s="66"/>
      <c r="F712" s="66"/>
      <c r="G712" s="66"/>
      <c r="H712" s="66"/>
      <c r="I712" s="66"/>
      <c r="J712" s="66"/>
      <c r="K712" s="66"/>
      <c r="L712" s="66"/>
      <c r="M712" s="66"/>
      <c r="N712" s="66"/>
    </row>
    <row r="713" spans="1:14" x14ac:dyDescent="0.2">
      <c r="A713" s="84"/>
      <c r="B713" s="84"/>
      <c r="C713" s="60"/>
      <c r="D713" s="66"/>
      <c r="E713" s="66"/>
      <c r="F713" s="66"/>
      <c r="G713" s="66"/>
      <c r="H713" s="66"/>
      <c r="I713" s="66"/>
      <c r="J713" s="66"/>
      <c r="K713" s="66"/>
      <c r="L713" s="66"/>
      <c r="M713" s="66"/>
      <c r="N713" s="66"/>
    </row>
    <row r="714" spans="1:14" x14ac:dyDescent="0.2">
      <c r="A714" s="84"/>
      <c r="B714" s="84"/>
      <c r="C714" s="60"/>
      <c r="D714" s="66"/>
      <c r="E714" s="66"/>
      <c r="F714" s="66"/>
      <c r="G714" s="66"/>
      <c r="H714" s="66"/>
      <c r="I714" s="66"/>
      <c r="J714" s="66"/>
      <c r="K714" s="66"/>
      <c r="L714" s="66"/>
      <c r="M714" s="66"/>
      <c r="N714" s="66"/>
    </row>
    <row r="715" spans="1:14" x14ac:dyDescent="0.2">
      <c r="A715" s="84"/>
      <c r="B715" s="84"/>
      <c r="C715" s="60"/>
      <c r="D715" s="66"/>
      <c r="E715" s="66"/>
      <c r="F715" s="66"/>
      <c r="G715" s="66"/>
      <c r="H715" s="66"/>
      <c r="I715" s="66"/>
      <c r="J715" s="66"/>
      <c r="K715" s="66"/>
      <c r="L715" s="66"/>
      <c r="M715" s="66"/>
      <c r="N715" s="66"/>
    </row>
    <row r="716" spans="1:14" x14ac:dyDescent="0.2">
      <c r="A716" s="84"/>
      <c r="B716" s="84"/>
      <c r="C716" s="60"/>
      <c r="D716" s="66"/>
      <c r="E716" s="66"/>
      <c r="F716" s="66"/>
      <c r="G716" s="66"/>
      <c r="H716" s="66"/>
      <c r="I716" s="66"/>
      <c r="J716" s="66"/>
      <c r="K716" s="66"/>
      <c r="L716" s="66"/>
      <c r="M716" s="66"/>
      <c r="N716" s="66"/>
    </row>
    <row r="717" spans="1:14" x14ac:dyDescent="0.2">
      <c r="A717" s="84"/>
      <c r="B717" s="84"/>
      <c r="C717" s="60"/>
      <c r="D717" s="66"/>
      <c r="E717" s="66"/>
      <c r="F717" s="66"/>
      <c r="G717" s="66"/>
      <c r="H717" s="66"/>
      <c r="I717" s="66"/>
      <c r="J717" s="66"/>
      <c r="K717" s="66"/>
      <c r="L717" s="66"/>
      <c r="M717" s="66"/>
      <c r="N717" s="66"/>
    </row>
    <row r="718" spans="1:14" x14ac:dyDescent="0.2">
      <c r="A718" s="84"/>
      <c r="B718" s="84"/>
      <c r="C718" s="60"/>
      <c r="D718" s="66"/>
      <c r="E718" s="66"/>
      <c r="F718" s="66"/>
      <c r="G718" s="66"/>
      <c r="H718" s="66"/>
      <c r="I718" s="66"/>
      <c r="J718" s="66"/>
      <c r="K718" s="66"/>
      <c r="L718" s="66"/>
      <c r="M718" s="66"/>
      <c r="N718" s="66"/>
    </row>
    <row r="719" spans="1:14" x14ac:dyDescent="0.2">
      <c r="A719" s="84"/>
      <c r="B719" s="84"/>
      <c r="C719" s="60"/>
      <c r="D719" s="66"/>
      <c r="E719" s="66"/>
      <c r="F719" s="66"/>
      <c r="G719" s="66"/>
      <c r="H719" s="66"/>
      <c r="I719" s="66"/>
      <c r="J719" s="66"/>
      <c r="K719" s="66"/>
      <c r="L719" s="66"/>
      <c r="M719" s="66"/>
      <c r="N719" s="66"/>
    </row>
    <row r="720" spans="1:14" x14ac:dyDescent="0.2">
      <c r="A720" s="84"/>
      <c r="B720" s="84"/>
      <c r="C720" s="60"/>
      <c r="D720" s="66"/>
      <c r="E720" s="66"/>
      <c r="F720" s="66"/>
      <c r="G720" s="66"/>
      <c r="H720" s="66"/>
      <c r="I720" s="66"/>
      <c r="J720" s="66"/>
      <c r="K720" s="66"/>
      <c r="L720" s="66"/>
      <c r="M720" s="66"/>
      <c r="N720" s="66"/>
    </row>
    <row r="721" spans="1:14" x14ac:dyDescent="0.2">
      <c r="A721" s="84"/>
      <c r="B721" s="84"/>
      <c r="C721" s="60"/>
      <c r="D721" s="66"/>
      <c r="E721" s="66"/>
      <c r="F721" s="66"/>
      <c r="G721" s="66"/>
      <c r="H721" s="66"/>
      <c r="I721" s="66"/>
      <c r="J721" s="66"/>
      <c r="K721" s="66"/>
      <c r="L721" s="66"/>
      <c r="M721" s="66"/>
      <c r="N721" s="66"/>
    </row>
    <row r="722" spans="1:14" x14ac:dyDescent="0.2">
      <c r="A722" s="84"/>
      <c r="B722" s="84"/>
      <c r="C722" s="60"/>
      <c r="D722" s="66"/>
      <c r="E722" s="66"/>
      <c r="F722" s="66"/>
      <c r="G722" s="66"/>
      <c r="H722" s="66"/>
      <c r="I722" s="66"/>
      <c r="J722" s="66"/>
      <c r="K722" s="66"/>
      <c r="L722" s="66"/>
      <c r="M722" s="66"/>
      <c r="N722" s="66"/>
    </row>
    <row r="723" spans="1:14" x14ac:dyDescent="0.2">
      <c r="A723" s="84"/>
      <c r="B723" s="84"/>
      <c r="C723" s="60"/>
      <c r="D723" s="66"/>
      <c r="E723" s="66"/>
      <c r="F723" s="66"/>
      <c r="G723" s="66"/>
      <c r="H723" s="66"/>
      <c r="I723" s="66"/>
      <c r="J723" s="66"/>
      <c r="K723" s="66"/>
      <c r="L723" s="66"/>
      <c r="M723" s="66"/>
      <c r="N723" s="66"/>
    </row>
    <row r="724" spans="1:14" x14ac:dyDescent="0.2">
      <c r="A724" s="84"/>
      <c r="B724" s="84"/>
      <c r="C724" s="60"/>
      <c r="D724" s="66"/>
      <c r="E724" s="66"/>
      <c r="F724" s="66"/>
      <c r="G724" s="66"/>
      <c r="H724" s="66"/>
      <c r="I724" s="66"/>
      <c r="J724" s="66"/>
      <c r="K724" s="66"/>
      <c r="L724" s="66"/>
      <c r="M724" s="66"/>
      <c r="N724" s="66"/>
    </row>
    <row r="725" spans="1:14" x14ac:dyDescent="0.2">
      <c r="A725" s="84"/>
      <c r="B725" s="84"/>
      <c r="C725" s="60"/>
      <c r="D725" s="66"/>
      <c r="E725" s="66"/>
      <c r="F725" s="66"/>
      <c r="G725" s="66"/>
      <c r="H725" s="66"/>
      <c r="I725" s="66"/>
      <c r="J725" s="66"/>
      <c r="K725" s="66"/>
      <c r="L725" s="66"/>
      <c r="M725" s="66"/>
      <c r="N725" s="66"/>
    </row>
    <row r="726" spans="1:14" x14ac:dyDescent="0.2">
      <c r="A726" s="84"/>
      <c r="B726" s="84"/>
      <c r="C726" s="60"/>
      <c r="D726" s="66"/>
      <c r="E726" s="66"/>
      <c r="F726" s="66"/>
      <c r="G726" s="66"/>
      <c r="H726" s="66"/>
      <c r="I726" s="66"/>
      <c r="J726" s="66"/>
      <c r="K726" s="66"/>
      <c r="L726" s="66"/>
      <c r="M726" s="66"/>
      <c r="N726" s="66"/>
    </row>
    <row r="727" spans="1:14" x14ac:dyDescent="0.2">
      <c r="A727" s="84"/>
      <c r="B727" s="84"/>
      <c r="C727" s="60"/>
      <c r="D727" s="66"/>
      <c r="E727" s="66"/>
      <c r="F727" s="66"/>
      <c r="G727" s="66"/>
      <c r="H727" s="66"/>
      <c r="I727" s="66"/>
      <c r="J727" s="66"/>
      <c r="K727" s="66"/>
      <c r="L727" s="66"/>
      <c r="M727" s="66"/>
      <c r="N727" s="66"/>
    </row>
    <row r="728" spans="1:14" x14ac:dyDescent="0.2">
      <c r="A728" s="84"/>
      <c r="B728" s="84"/>
      <c r="C728" s="60"/>
      <c r="D728" s="66"/>
      <c r="E728" s="66"/>
      <c r="F728" s="66"/>
      <c r="G728" s="66"/>
      <c r="H728" s="66"/>
      <c r="I728" s="66"/>
      <c r="J728" s="66"/>
      <c r="K728" s="66"/>
      <c r="L728" s="66"/>
      <c r="M728" s="66"/>
      <c r="N728" s="66"/>
    </row>
    <row r="729" spans="1:14" x14ac:dyDescent="0.2">
      <c r="A729" s="84"/>
      <c r="B729" s="84"/>
      <c r="C729" s="60"/>
      <c r="D729" s="66"/>
      <c r="E729" s="66"/>
      <c r="F729" s="66"/>
      <c r="G729" s="66"/>
      <c r="H729" s="66"/>
      <c r="I729" s="66"/>
      <c r="J729" s="66"/>
      <c r="K729" s="66"/>
      <c r="L729" s="66"/>
      <c r="M729" s="66"/>
      <c r="N729" s="66"/>
    </row>
    <row r="730" spans="1:14" x14ac:dyDescent="0.2">
      <c r="A730" s="84"/>
      <c r="B730" s="84"/>
      <c r="C730" s="60"/>
      <c r="D730" s="66"/>
      <c r="E730" s="66"/>
      <c r="F730" s="66"/>
      <c r="G730" s="66"/>
      <c r="H730" s="66"/>
      <c r="I730" s="66"/>
      <c r="J730" s="66"/>
      <c r="K730" s="66"/>
      <c r="L730" s="66"/>
      <c r="M730" s="66"/>
      <c r="N730" s="66"/>
    </row>
    <row r="731" spans="1:14" x14ac:dyDescent="0.2">
      <c r="A731" s="84"/>
      <c r="B731" s="84"/>
      <c r="C731" s="60"/>
      <c r="D731" s="66"/>
      <c r="E731" s="66"/>
      <c r="F731" s="66"/>
      <c r="G731" s="66"/>
      <c r="H731" s="66"/>
      <c r="I731" s="66"/>
      <c r="J731" s="66"/>
      <c r="K731" s="66"/>
      <c r="L731" s="66"/>
      <c r="M731" s="66"/>
      <c r="N731" s="66"/>
    </row>
    <row r="732" spans="1:14" x14ac:dyDescent="0.2">
      <c r="A732" s="84"/>
      <c r="B732" s="84"/>
      <c r="C732" s="60"/>
      <c r="D732" s="66"/>
      <c r="E732" s="66"/>
      <c r="F732" s="66"/>
      <c r="G732" s="66"/>
      <c r="H732" s="66"/>
      <c r="I732" s="66"/>
      <c r="J732" s="66"/>
      <c r="K732" s="66"/>
      <c r="L732" s="66"/>
      <c r="M732" s="66"/>
      <c r="N732" s="66"/>
    </row>
    <row r="733" spans="1:14" x14ac:dyDescent="0.2">
      <c r="A733" s="84"/>
      <c r="B733" s="84"/>
      <c r="C733" s="60"/>
      <c r="D733" s="66"/>
      <c r="E733" s="66"/>
      <c r="F733" s="66"/>
      <c r="G733" s="66"/>
      <c r="H733" s="66"/>
      <c r="I733" s="66"/>
      <c r="J733" s="66"/>
      <c r="K733" s="66"/>
      <c r="L733" s="66"/>
      <c r="M733" s="66"/>
      <c r="N733" s="66"/>
    </row>
    <row r="734" spans="1:14" x14ac:dyDescent="0.2">
      <c r="A734" s="84"/>
      <c r="B734" s="84"/>
      <c r="C734" s="60"/>
      <c r="D734" s="66"/>
      <c r="E734" s="66"/>
      <c r="F734" s="66"/>
      <c r="G734" s="66"/>
      <c r="H734" s="66"/>
      <c r="I734" s="66"/>
      <c r="J734" s="66"/>
      <c r="K734" s="66"/>
      <c r="L734" s="66"/>
      <c r="M734" s="66"/>
      <c r="N734" s="66"/>
    </row>
    <row r="735" spans="1:14" x14ac:dyDescent="0.2">
      <c r="A735" s="84"/>
      <c r="B735" s="84"/>
      <c r="C735" s="60"/>
      <c r="D735" s="66"/>
      <c r="E735" s="66"/>
      <c r="F735" s="66"/>
      <c r="G735" s="66"/>
      <c r="H735" s="66"/>
      <c r="I735" s="66"/>
      <c r="J735" s="66"/>
      <c r="K735" s="66"/>
      <c r="L735" s="66"/>
      <c r="M735" s="66"/>
      <c r="N735" s="66"/>
    </row>
    <row r="736" spans="1:14" x14ac:dyDescent="0.2">
      <c r="A736" s="84"/>
      <c r="B736" s="84"/>
      <c r="C736" s="60"/>
      <c r="D736" s="66"/>
      <c r="E736" s="66"/>
      <c r="F736" s="66"/>
      <c r="G736" s="66"/>
      <c r="H736" s="66"/>
      <c r="I736" s="66"/>
      <c r="J736" s="66"/>
      <c r="K736" s="66"/>
      <c r="L736" s="66"/>
      <c r="M736" s="66"/>
      <c r="N736" s="66"/>
    </row>
    <row r="737" spans="1:14" x14ac:dyDescent="0.2">
      <c r="A737" s="84"/>
      <c r="B737" s="84"/>
      <c r="C737" s="60"/>
      <c r="D737" s="66"/>
      <c r="E737" s="66"/>
      <c r="F737" s="66"/>
      <c r="G737" s="66"/>
      <c r="H737" s="66"/>
      <c r="I737" s="66"/>
      <c r="J737" s="66"/>
      <c r="K737" s="66"/>
      <c r="L737" s="66"/>
      <c r="M737" s="66"/>
      <c r="N737" s="66"/>
    </row>
    <row r="738" spans="1:14" x14ac:dyDescent="0.2">
      <c r="A738" s="84"/>
      <c r="B738" s="84"/>
      <c r="C738" s="60"/>
      <c r="D738" s="66"/>
      <c r="E738" s="66"/>
      <c r="F738" s="66"/>
      <c r="G738" s="66"/>
      <c r="H738" s="66"/>
      <c r="I738" s="66"/>
      <c r="J738" s="66"/>
      <c r="K738" s="66"/>
      <c r="L738" s="66"/>
      <c r="M738" s="66"/>
      <c r="N738" s="66"/>
    </row>
    <row r="739" spans="1:14" x14ac:dyDescent="0.2">
      <c r="A739" s="84"/>
      <c r="B739" s="84"/>
      <c r="C739" s="60"/>
      <c r="D739" s="66"/>
      <c r="E739" s="66"/>
      <c r="F739" s="66"/>
      <c r="G739" s="66"/>
      <c r="H739" s="66"/>
      <c r="I739" s="66"/>
      <c r="J739" s="66"/>
      <c r="K739" s="66"/>
      <c r="L739" s="66"/>
      <c r="M739" s="66"/>
      <c r="N739" s="66"/>
    </row>
    <row r="740" spans="1:14" x14ac:dyDescent="0.2">
      <c r="A740" s="84"/>
      <c r="B740" s="84"/>
      <c r="C740" s="60"/>
      <c r="D740" s="66"/>
      <c r="E740" s="66"/>
      <c r="F740" s="66"/>
      <c r="G740" s="66"/>
      <c r="H740" s="66"/>
      <c r="I740" s="66"/>
      <c r="J740" s="66"/>
      <c r="K740" s="66"/>
      <c r="L740" s="66"/>
      <c r="M740" s="66"/>
      <c r="N740" s="66"/>
    </row>
    <row r="741" spans="1:14" x14ac:dyDescent="0.2">
      <c r="A741" s="84"/>
      <c r="B741" s="84"/>
      <c r="C741" s="60"/>
      <c r="D741" s="66"/>
      <c r="E741" s="66"/>
      <c r="F741" s="66"/>
      <c r="G741" s="66"/>
      <c r="H741" s="66"/>
      <c r="I741" s="66"/>
      <c r="J741" s="66"/>
      <c r="K741" s="66"/>
      <c r="L741" s="66"/>
      <c r="M741" s="66"/>
      <c r="N741" s="66"/>
    </row>
    <row r="742" spans="1:14" x14ac:dyDescent="0.2">
      <c r="A742" s="84"/>
      <c r="B742" s="84"/>
      <c r="C742" s="60"/>
      <c r="D742" s="66"/>
      <c r="E742" s="66"/>
      <c r="F742" s="66"/>
      <c r="G742" s="66"/>
      <c r="H742" s="66"/>
      <c r="I742" s="66"/>
      <c r="J742" s="66"/>
      <c r="K742" s="66"/>
      <c r="L742" s="66"/>
      <c r="M742" s="66"/>
      <c r="N742" s="66"/>
    </row>
    <row r="743" spans="1:14" x14ac:dyDescent="0.2">
      <c r="A743" s="84"/>
      <c r="B743" s="84"/>
      <c r="C743" s="60"/>
      <c r="D743" s="66"/>
      <c r="E743" s="66"/>
      <c r="F743" s="66"/>
      <c r="G743" s="66"/>
      <c r="H743" s="66"/>
      <c r="I743" s="66"/>
      <c r="J743" s="66"/>
      <c r="K743" s="66"/>
      <c r="L743" s="66"/>
      <c r="M743" s="66"/>
      <c r="N743" s="66"/>
    </row>
    <row r="744" spans="1:14" x14ac:dyDescent="0.2">
      <c r="A744" s="84"/>
      <c r="B744" s="84"/>
      <c r="C744" s="60"/>
      <c r="D744" s="66"/>
      <c r="E744" s="66"/>
      <c r="F744" s="66"/>
      <c r="G744" s="66"/>
      <c r="H744" s="66"/>
      <c r="I744" s="66"/>
      <c r="J744" s="66"/>
      <c r="K744" s="66"/>
      <c r="L744" s="66"/>
      <c r="M744" s="66"/>
      <c r="N744" s="66"/>
    </row>
    <row r="745" spans="1:14" x14ac:dyDescent="0.2">
      <c r="A745" s="84"/>
      <c r="B745" s="84"/>
      <c r="C745" s="60"/>
      <c r="D745" s="66"/>
      <c r="E745" s="66"/>
      <c r="F745" s="66"/>
      <c r="G745" s="66"/>
      <c r="H745" s="66"/>
      <c r="I745" s="66"/>
      <c r="J745" s="66"/>
      <c r="K745" s="66"/>
      <c r="L745" s="66"/>
      <c r="M745" s="66"/>
      <c r="N745" s="66"/>
    </row>
    <row r="746" spans="1:14" x14ac:dyDescent="0.2">
      <c r="A746" s="84"/>
      <c r="B746" s="84"/>
      <c r="C746" s="60"/>
      <c r="D746" s="66"/>
      <c r="E746" s="66"/>
      <c r="F746" s="66"/>
      <c r="G746" s="66"/>
      <c r="H746" s="66"/>
      <c r="I746" s="66"/>
      <c r="J746" s="66"/>
      <c r="K746" s="66"/>
      <c r="L746" s="66"/>
      <c r="M746" s="66"/>
      <c r="N746" s="66"/>
    </row>
    <row r="747" spans="1:14" x14ac:dyDescent="0.2">
      <c r="A747" s="84"/>
      <c r="B747" s="84"/>
      <c r="C747" s="60"/>
      <c r="D747" s="66"/>
      <c r="E747" s="66"/>
      <c r="F747" s="66"/>
      <c r="G747" s="66"/>
      <c r="H747" s="66"/>
      <c r="I747" s="66"/>
      <c r="J747" s="66"/>
      <c r="K747" s="66"/>
      <c r="L747" s="66"/>
      <c r="M747" s="66"/>
      <c r="N747" s="66"/>
    </row>
    <row r="748" spans="1:14" x14ac:dyDescent="0.2">
      <c r="A748" s="84"/>
      <c r="B748" s="84"/>
      <c r="C748" s="60"/>
      <c r="D748" s="66"/>
      <c r="E748" s="66"/>
      <c r="F748" s="66"/>
      <c r="G748" s="66"/>
      <c r="H748" s="66"/>
      <c r="I748" s="66"/>
      <c r="J748" s="66"/>
      <c r="K748" s="66"/>
      <c r="L748" s="66"/>
      <c r="M748" s="66"/>
      <c r="N748" s="66"/>
    </row>
    <row r="749" spans="1:14" x14ac:dyDescent="0.2">
      <c r="A749" s="84"/>
      <c r="B749" s="84"/>
      <c r="C749" s="60"/>
      <c r="D749" s="66"/>
      <c r="E749" s="66"/>
      <c r="F749" s="66"/>
      <c r="G749" s="66"/>
      <c r="H749" s="66"/>
      <c r="I749" s="66"/>
      <c r="J749" s="66"/>
      <c r="K749" s="66"/>
      <c r="L749" s="66"/>
      <c r="M749" s="66"/>
      <c r="N749" s="66"/>
    </row>
    <row r="750" spans="1:14" x14ac:dyDescent="0.2">
      <c r="A750" s="84"/>
      <c r="B750" s="84"/>
      <c r="C750" s="60"/>
      <c r="D750" s="66"/>
      <c r="E750" s="66"/>
      <c r="F750" s="66"/>
      <c r="G750" s="66"/>
      <c r="H750" s="66"/>
      <c r="I750" s="66"/>
      <c r="J750" s="66"/>
      <c r="K750" s="66"/>
      <c r="L750" s="66"/>
      <c r="M750" s="66"/>
      <c r="N750" s="66"/>
    </row>
    <row r="751" spans="1:14" x14ac:dyDescent="0.2">
      <c r="A751" s="84"/>
      <c r="B751" s="84"/>
      <c r="C751" s="60"/>
      <c r="D751" s="66"/>
      <c r="E751" s="66"/>
      <c r="F751" s="66"/>
      <c r="G751" s="66"/>
      <c r="H751" s="66"/>
      <c r="I751" s="66"/>
      <c r="J751" s="66"/>
      <c r="K751" s="66"/>
      <c r="L751" s="66"/>
      <c r="M751" s="66"/>
      <c r="N751" s="66"/>
    </row>
    <row r="752" spans="1:14" x14ac:dyDescent="0.2">
      <c r="A752" s="84"/>
      <c r="B752" s="84"/>
      <c r="C752" s="60"/>
      <c r="D752" s="66"/>
      <c r="E752" s="66"/>
      <c r="F752" s="66"/>
      <c r="G752" s="66"/>
      <c r="H752" s="66"/>
      <c r="I752" s="66"/>
      <c r="J752" s="66"/>
      <c r="K752" s="66"/>
      <c r="L752" s="66"/>
      <c r="M752" s="66"/>
      <c r="N752" s="66"/>
    </row>
    <row r="753" spans="1:14" x14ac:dyDescent="0.2">
      <c r="A753" s="84"/>
      <c r="B753" s="84"/>
      <c r="C753" s="60"/>
      <c r="D753" s="66"/>
      <c r="E753" s="66"/>
      <c r="F753" s="66"/>
      <c r="G753" s="66"/>
      <c r="H753" s="66"/>
      <c r="I753" s="66"/>
      <c r="J753" s="66"/>
      <c r="K753" s="66"/>
      <c r="L753" s="66"/>
      <c r="M753" s="66"/>
      <c r="N753" s="66"/>
    </row>
    <row r="754" spans="1:14" x14ac:dyDescent="0.2">
      <c r="A754" s="84"/>
      <c r="B754" s="84"/>
      <c r="C754" s="60"/>
      <c r="D754" s="66"/>
      <c r="E754" s="66"/>
      <c r="F754" s="66"/>
      <c r="G754" s="66"/>
      <c r="H754" s="66"/>
      <c r="I754" s="66"/>
      <c r="J754" s="66"/>
      <c r="K754" s="66"/>
      <c r="L754" s="66"/>
      <c r="M754" s="66"/>
      <c r="N754" s="66"/>
    </row>
    <row r="755" spans="1:14" x14ac:dyDescent="0.2">
      <c r="A755" s="84"/>
      <c r="B755" s="84"/>
      <c r="C755" s="60"/>
      <c r="D755" s="66"/>
      <c r="E755" s="66"/>
      <c r="F755" s="66"/>
      <c r="G755" s="66"/>
      <c r="H755" s="66"/>
      <c r="I755" s="66"/>
      <c r="J755" s="66"/>
      <c r="K755" s="66"/>
      <c r="L755" s="66"/>
      <c r="M755" s="66"/>
      <c r="N755" s="66"/>
    </row>
    <row r="756" spans="1:14" x14ac:dyDescent="0.2">
      <c r="A756" s="84"/>
      <c r="B756" s="84"/>
      <c r="C756" s="60"/>
      <c r="D756" s="66"/>
      <c r="E756" s="66"/>
      <c r="F756" s="66"/>
      <c r="G756" s="66"/>
      <c r="H756" s="66"/>
      <c r="I756" s="66"/>
      <c r="J756" s="66"/>
      <c r="K756" s="66"/>
      <c r="L756" s="66"/>
      <c r="M756" s="66"/>
      <c r="N756" s="66"/>
    </row>
    <row r="757" spans="1:14" x14ac:dyDescent="0.2">
      <c r="A757" s="84"/>
      <c r="B757" s="84"/>
      <c r="C757" s="60"/>
      <c r="D757" s="66"/>
      <c r="E757" s="66"/>
      <c r="F757" s="66"/>
      <c r="G757" s="66"/>
      <c r="H757" s="66"/>
      <c r="I757" s="66"/>
      <c r="J757" s="66"/>
      <c r="K757" s="66"/>
      <c r="L757" s="66"/>
      <c r="M757" s="66"/>
      <c r="N757" s="66"/>
    </row>
    <row r="758" spans="1:14" x14ac:dyDescent="0.2">
      <c r="A758" s="84"/>
      <c r="B758" s="84"/>
      <c r="C758" s="60"/>
      <c r="D758" s="66"/>
      <c r="E758" s="66"/>
      <c r="F758" s="66"/>
      <c r="G758" s="66"/>
      <c r="H758" s="66"/>
      <c r="I758" s="66"/>
      <c r="J758" s="66"/>
      <c r="K758" s="66"/>
      <c r="L758" s="66"/>
      <c r="M758" s="66"/>
      <c r="N758" s="66"/>
    </row>
    <row r="759" spans="1:14" x14ac:dyDescent="0.2">
      <c r="A759" s="84"/>
      <c r="B759" s="84"/>
      <c r="C759" s="60"/>
      <c r="D759" s="66"/>
      <c r="E759" s="66"/>
      <c r="F759" s="66"/>
      <c r="G759" s="66"/>
      <c r="H759" s="66"/>
      <c r="I759" s="66"/>
      <c r="J759" s="66"/>
      <c r="K759" s="66"/>
      <c r="L759" s="66"/>
      <c r="M759" s="66"/>
      <c r="N759" s="66"/>
    </row>
    <row r="760" spans="1:14" x14ac:dyDescent="0.2">
      <c r="A760" s="84"/>
      <c r="B760" s="84"/>
      <c r="C760" s="60"/>
      <c r="D760" s="66"/>
      <c r="E760" s="66"/>
      <c r="F760" s="66"/>
      <c r="G760" s="66"/>
      <c r="H760" s="66"/>
      <c r="I760" s="66"/>
      <c r="J760" s="66"/>
      <c r="K760" s="66"/>
      <c r="L760" s="66"/>
      <c r="M760" s="66"/>
      <c r="N760" s="66"/>
    </row>
    <row r="761" spans="1:14" x14ac:dyDescent="0.2">
      <c r="A761" s="84"/>
      <c r="B761" s="84"/>
      <c r="C761" s="60"/>
      <c r="D761" s="66"/>
      <c r="E761" s="66"/>
      <c r="F761" s="66"/>
      <c r="G761" s="66"/>
      <c r="H761" s="66"/>
      <c r="I761" s="66"/>
      <c r="J761" s="66"/>
      <c r="K761" s="66"/>
      <c r="L761" s="66"/>
      <c r="M761" s="66"/>
      <c r="N761" s="66"/>
    </row>
    <row r="762" spans="1:14" x14ac:dyDescent="0.2">
      <c r="A762" s="84"/>
      <c r="B762" s="84"/>
      <c r="C762" s="60"/>
      <c r="D762" s="66"/>
      <c r="E762" s="66"/>
      <c r="F762" s="66"/>
      <c r="G762" s="66"/>
      <c r="H762" s="66"/>
      <c r="I762" s="66"/>
      <c r="J762" s="66"/>
      <c r="K762" s="66"/>
      <c r="L762" s="66"/>
      <c r="M762" s="66"/>
      <c r="N762" s="66"/>
    </row>
    <row r="763" spans="1:14" x14ac:dyDescent="0.2">
      <c r="A763" s="84"/>
      <c r="B763" s="84"/>
      <c r="C763" s="60"/>
      <c r="D763" s="66"/>
      <c r="E763" s="66"/>
      <c r="F763" s="66"/>
      <c r="G763" s="66"/>
      <c r="H763" s="66"/>
      <c r="I763" s="66"/>
      <c r="J763" s="66"/>
      <c r="K763" s="66"/>
      <c r="L763" s="66"/>
      <c r="M763" s="66"/>
      <c r="N763" s="66"/>
    </row>
    <row r="764" spans="1:14" x14ac:dyDescent="0.2">
      <c r="A764" s="84"/>
      <c r="B764" s="84"/>
      <c r="C764" s="60"/>
      <c r="D764" s="66"/>
      <c r="E764" s="66"/>
      <c r="F764" s="66"/>
      <c r="G764" s="66"/>
      <c r="H764" s="66"/>
      <c r="I764" s="66"/>
      <c r="J764" s="66"/>
      <c r="K764" s="66"/>
      <c r="L764" s="66"/>
      <c r="M764" s="66"/>
      <c r="N764" s="66"/>
    </row>
    <row r="765" spans="1:14" x14ac:dyDescent="0.2">
      <c r="A765" s="84"/>
      <c r="B765" s="84"/>
      <c r="C765" s="60"/>
      <c r="D765" s="66"/>
      <c r="E765" s="66"/>
      <c r="F765" s="66"/>
      <c r="G765" s="66"/>
      <c r="H765" s="66"/>
      <c r="I765" s="66"/>
      <c r="J765" s="66"/>
      <c r="K765" s="66"/>
      <c r="L765" s="66"/>
      <c r="M765" s="66"/>
      <c r="N765" s="66"/>
    </row>
    <row r="766" spans="1:14" x14ac:dyDescent="0.2">
      <c r="A766" s="84"/>
      <c r="B766" s="84"/>
      <c r="C766" s="60"/>
      <c r="D766" s="66"/>
      <c r="E766" s="66"/>
      <c r="F766" s="66"/>
      <c r="G766" s="66"/>
      <c r="H766" s="66"/>
      <c r="I766" s="66"/>
      <c r="J766" s="66"/>
      <c r="K766" s="66"/>
      <c r="L766" s="66"/>
      <c r="M766" s="66"/>
      <c r="N766" s="66"/>
    </row>
    <row r="767" spans="1:14" x14ac:dyDescent="0.2">
      <c r="A767" s="84"/>
      <c r="B767" s="84"/>
      <c r="C767" s="60"/>
      <c r="D767" s="66"/>
      <c r="E767" s="66"/>
      <c r="F767" s="66"/>
      <c r="G767" s="66"/>
      <c r="H767" s="66"/>
      <c r="I767" s="66"/>
      <c r="J767" s="66"/>
      <c r="K767" s="66"/>
      <c r="L767" s="66"/>
      <c r="M767" s="66"/>
      <c r="N767" s="66"/>
    </row>
    <row r="768" spans="1:14" x14ac:dyDescent="0.2">
      <c r="A768" s="84"/>
      <c r="B768" s="84"/>
      <c r="C768" s="60"/>
      <c r="D768" s="66"/>
      <c r="E768" s="66"/>
      <c r="F768" s="66"/>
      <c r="G768" s="66"/>
      <c r="H768" s="66"/>
      <c r="I768" s="66"/>
      <c r="J768" s="66"/>
      <c r="K768" s="66"/>
      <c r="L768" s="66"/>
      <c r="M768" s="66"/>
      <c r="N768" s="66"/>
    </row>
    <row r="769" spans="1:14" x14ac:dyDescent="0.2">
      <c r="A769" s="84"/>
      <c r="B769" s="84"/>
      <c r="C769" s="60"/>
      <c r="D769" s="66"/>
      <c r="E769" s="66"/>
      <c r="F769" s="66"/>
      <c r="G769" s="66"/>
      <c r="H769" s="66"/>
      <c r="I769" s="66"/>
      <c r="J769" s="66"/>
      <c r="K769" s="66"/>
      <c r="L769" s="66"/>
      <c r="M769" s="66"/>
      <c r="N769" s="66"/>
    </row>
    <row r="770" spans="1:14" x14ac:dyDescent="0.2">
      <c r="A770" s="84"/>
      <c r="B770" s="84"/>
      <c r="C770" s="60"/>
      <c r="D770" s="66"/>
      <c r="E770" s="66"/>
      <c r="F770" s="66"/>
      <c r="G770" s="66"/>
      <c r="H770" s="66"/>
      <c r="I770" s="66"/>
      <c r="J770" s="66"/>
      <c r="K770" s="66"/>
      <c r="L770" s="66"/>
      <c r="M770" s="66"/>
      <c r="N770" s="66"/>
    </row>
    <row r="771" spans="1:14" x14ac:dyDescent="0.2">
      <c r="A771" s="84"/>
      <c r="B771" s="84"/>
      <c r="C771" s="60"/>
      <c r="D771" s="66"/>
      <c r="E771" s="66"/>
      <c r="F771" s="66"/>
      <c r="G771" s="66"/>
      <c r="H771" s="66"/>
      <c r="I771" s="66"/>
      <c r="J771" s="66"/>
      <c r="K771" s="66"/>
      <c r="L771" s="66"/>
      <c r="M771" s="66"/>
      <c r="N771" s="66"/>
    </row>
    <row r="772" spans="1:14" x14ac:dyDescent="0.2">
      <c r="A772" s="84"/>
      <c r="B772" s="84"/>
      <c r="C772" s="60"/>
      <c r="D772" s="66"/>
      <c r="E772" s="66"/>
      <c r="F772" s="66"/>
      <c r="G772" s="66"/>
      <c r="H772" s="66"/>
      <c r="I772" s="66"/>
      <c r="J772" s="66"/>
      <c r="K772" s="66"/>
      <c r="L772" s="66"/>
      <c r="M772" s="66"/>
      <c r="N772" s="66"/>
    </row>
    <row r="773" spans="1:14" x14ac:dyDescent="0.2">
      <c r="A773" s="84"/>
      <c r="B773" s="84"/>
      <c r="C773" s="60"/>
      <c r="D773" s="66"/>
      <c r="E773" s="66"/>
      <c r="F773" s="66"/>
      <c r="G773" s="66"/>
      <c r="H773" s="66"/>
      <c r="I773" s="66"/>
      <c r="J773" s="66"/>
      <c r="K773" s="66"/>
      <c r="L773" s="66"/>
      <c r="M773" s="66"/>
      <c r="N773" s="66"/>
    </row>
    <row r="774" spans="1:14" x14ac:dyDescent="0.2">
      <c r="A774" s="84"/>
      <c r="B774" s="84"/>
      <c r="C774" s="60"/>
      <c r="D774" s="66"/>
      <c r="E774" s="66"/>
      <c r="F774" s="66"/>
      <c r="G774" s="66"/>
      <c r="H774" s="66"/>
      <c r="I774" s="66"/>
      <c r="J774" s="66"/>
      <c r="K774" s="66"/>
      <c r="L774" s="66"/>
      <c r="M774" s="66"/>
      <c r="N774" s="66"/>
    </row>
    <row r="775" spans="1:14" x14ac:dyDescent="0.2">
      <c r="A775" s="84"/>
      <c r="B775" s="84"/>
      <c r="C775" s="60"/>
      <c r="D775" s="66"/>
      <c r="E775" s="66"/>
      <c r="F775" s="66"/>
      <c r="G775" s="66"/>
      <c r="H775" s="66"/>
      <c r="I775" s="66"/>
      <c r="J775" s="66"/>
      <c r="K775" s="66"/>
      <c r="L775" s="66"/>
      <c r="M775" s="66"/>
      <c r="N775" s="66"/>
    </row>
    <row r="776" spans="1:14" x14ac:dyDescent="0.2">
      <c r="A776" s="84"/>
      <c r="B776" s="84"/>
      <c r="C776" s="60"/>
      <c r="D776" s="66"/>
      <c r="E776" s="66"/>
      <c r="F776" s="66"/>
      <c r="G776" s="66"/>
      <c r="H776" s="66"/>
      <c r="I776" s="66"/>
      <c r="J776" s="66"/>
      <c r="K776" s="66"/>
      <c r="L776" s="66"/>
      <c r="M776" s="66"/>
      <c r="N776" s="66"/>
    </row>
    <row r="777" spans="1:14" x14ac:dyDescent="0.2">
      <c r="A777" s="84"/>
      <c r="B777" s="84"/>
      <c r="C777" s="60"/>
      <c r="D777" s="66"/>
      <c r="E777" s="66"/>
      <c r="F777" s="66"/>
      <c r="G777" s="66"/>
      <c r="H777" s="66"/>
      <c r="I777" s="66"/>
      <c r="J777" s="66"/>
      <c r="K777" s="66"/>
      <c r="L777" s="66"/>
      <c r="M777" s="66"/>
      <c r="N777" s="66"/>
    </row>
    <row r="778" spans="1:14" x14ac:dyDescent="0.2">
      <c r="A778" s="84"/>
      <c r="B778" s="84"/>
      <c r="C778" s="60"/>
      <c r="D778" s="66"/>
      <c r="E778" s="66"/>
      <c r="F778" s="66"/>
      <c r="G778" s="66"/>
      <c r="H778" s="66"/>
      <c r="I778" s="66"/>
      <c r="J778" s="66"/>
      <c r="K778" s="66"/>
      <c r="L778" s="66"/>
      <c r="M778" s="66"/>
      <c r="N778" s="66"/>
    </row>
    <row r="779" spans="1:14" x14ac:dyDescent="0.2">
      <c r="A779" s="84"/>
      <c r="B779" s="84"/>
      <c r="C779" s="60"/>
      <c r="D779" s="66"/>
      <c r="E779" s="66"/>
      <c r="F779" s="66"/>
      <c r="G779" s="66"/>
      <c r="H779" s="66"/>
      <c r="I779" s="66"/>
      <c r="J779" s="66"/>
      <c r="K779" s="66"/>
      <c r="L779" s="66"/>
      <c r="M779" s="66"/>
      <c r="N779" s="66"/>
    </row>
    <row r="780" spans="1:14" x14ac:dyDescent="0.2">
      <c r="A780" s="84"/>
      <c r="B780" s="84"/>
      <c r="C780" s="60"/>
      <c r="D780" s="66"/>
      <c r="E780" s="66"/>
      <c r="F780" s="66"/>
      <c r="G780" s="66"/>
      <c r="H780" s="66"/>
      <c r="I780" s="66"/>
      <c r="J780" s="66"/>
      <c r="K780" s="66"/>
      <c r="L780" s="66"/>
      <c r="M780" s="66"/>
      <c r="N780" s="66"/>
    </row>
    <row r="781" spans="1:14" x14ac:dyDescent="0.2">
      <c r="A781" s="84"/>
      <c r="B781" s="84"/>
      <c r="C781" s="60"/>
      <c r="D781" s="66"/>
      <c r="E781" s="66"/>
      <c r="F781" s="66"/>
      <c r="G781" s="66"/>
      <c r="H781" s="66"/>
      <c r="I781" s="66"/>
      <c r="J781" s="66"/>
      <c r="K781" s="66"/>
      <c r="L781" s="66"/>
      <c r="M781" s="66"/>
      <c r="N781" s="66"/>
    </row>
    <row r="782" spans="1:14" x14ac:dyDescent="0.2">
      <c r="A782" s="84"/>
      <c r="B782" s="84"/>
      <c r="C782" s="60"/>
      <c r="D782" s="66"/>
      <c r="E782" s="66"/>
      <c r="F782" s="66"/>
      <c r="G782" s="66"/>
      <c r="H782" s="66"/>
      <c r="I782" s="66"/>
      <c r="J782" s="66"/>
      <c r="K782" s="66"/>
      <c r="L782" s="66"/>
      <c r="M782" s="66"/>
      <c r="N782" s="66"/>
    </row>
    <row r="783" spans="1:14" x14ac:dyDescent="0.2">
      <c r="A783" s="84"/>
      <c r="B783" s="84"/>
      <c r="C783" s="60"/>
      <c r="D783" s="66"/>
      <c r="E783" s="66"/>
      <c r="F783" s="66"/>
      <c r="G783" s="66"/>
      <c r="H783" s="66"/>
      <c r="I783" s="66"/>
      <c r="J783" s="66"/>
      <c r="K783" s="66"/>
      <c r="L783" s="66"/>
      <c r="M783" s="66"/>
      <c r="N783" s="66"/>
    </row>
    <row r="784" spans="1:14" x14ac:dyDescent="0.2">
      <c r="A784" s="84"/>
      <c r="B784" s="84"/>
      <c r="C784" s="60"/>
      <c r="D784" s="66"/>
      <c r="E784" s="66"/>
      <c r="F784" s="66"/>
      <c r="G784" s="66"/>
      <c r="H784" s="66"/>
      <c r="I784" s="66"/>
      <c r="J784" s="66"/>
      <c r="K784" s="66"/>
      <c r="L784" s="66"/>
      <c r="M784" s="66"/>
      <c r="N784" s="66"/>
    </row>
    <row r="785" spans="1:14" x14ac:dyDescent="0.2">
      <c r="A785" s="84"/>
      <c r="B785" s="84"/>
      <c r="C785" s="60"/>
      <c r="D785" s="66"/>
      <c r="E785" s="66"/>
      <c r="F785" s="66"/>
      <c r="G785" s="66"/>
      <c r="H785" s="66"/>
      <c r="I785" s="66"/>
      <c r="J785" s="66"/>
      <c r="K785" s="66"/>
      <c r="L785" s="66"/>
      <c r="M785" s="66"/>
      <c r="N785" s="66"/>
    </row>
    <row r="786" spans="1:14" x14ac:dyDescent="0.2">
      <c r="A786" s="84"/>
      <c r="B786" s="84"/>
      <c r="C786" s="60"/>
      <c r="D786" s="66"/>
      <c r="E786" s="66"/>
      <c r="F786" s="66"/>
      <c r="G786" s="66"/>
      <c r="H786" s="66"/>
      <c r="I786" s="66"/>
      <c r="J786" s="66"/>
      <c r="K786" s="66"/>
      <c r="L786" s="66"/>
      <c r="M786" s="66"/>
      <c r="N786" s="66"/>
    </row>
    <row r="787" spans="1:14" x14ac:dyDescent="0.2">
      <c r="A787" s="84"/>
      <c r="B787" s="84"/>
      <c r="C787" s="60"/>
      <c r="D787" s="66"/>
      <c r="E787" s="66"/>
      <c r="F787" s="66"/>
      <c r="G787" s="66"/>
      <c r="H787" s="66"/>
      <c r="I787" s="66"/>
      <c r="J787" s="66"/>
      <c r="K787" s="66"/>
      <c r="L787" s="66"/>
      <c r="M787" s="66"/>
      <c r="N787" s="66"/>
    </row>
    <row r="788" spans="1:14" x14ac:dyDescent="0.2">
      <c r="A788" s="84"/>
      <c r="B788" s="84"/>
      <c r="C788" s="60"/>
      <c r="D788" s="66"/>
      <c r="E788" s="66"/>
      <c r="F788" s="66"/>
      <c r="G788" s="66"/>
      <c r="H788" s="66"/>
      <c r="I788" s="66"/>
      <c r="J788" s="66"/>
      <c r="K788" s="66"/>
      <c r="L788" s="66"/>
      <c r="M788" s="66"/>
      <c r="N788" s="66"/>
    </row>
    <row r="789" spans="1:14" x14ac:dyDescent="0.2">
      <c r="A789" s="84"/>
      <c r="B789" s="84"/>
      <c r="C789" s="60"/>
      <c r="D789" s="66"/>
      <c r="E789" s="66"/>
      <c r="F789" s="66"/>
      <c r="G789" s="66"/>
      <c r="H789" s="66"/>
      <c r="I789" s="66"/>
      <c r="J789" s="66"/>
      <c r="K789" s="66"/>
      <c r="L789" s="66"/>
      <c r="M789" s="66"/>
      <c r="N789" s="66"/>
    </row>
    <row r="790" spans="1:14" x14ac:dyDescent="0.2">
      <c r="A790" s="84"/>
      <c r="B790" s="84"/>
      <c r="C790" s="60"/>
      <c r="D790" s="66"/>
      <c r="E790" s="66"/>
      <c r="F790" s="66"/>
      <c r="G790" s="66"/>
      <c r="H790" s="66"/>
      <c r="I790" s="66"/>
      <c r="J790" s="66"/>
      <c r="K790" s="66"/>
      <c r="L790" s="66"/>
      <c r="M790" s="66"/>
      <c r="N790" s="66"/>
    </row>
    <row r="791" spans="1:14" x14ac:dyDescent="0.2">
      <c r="A791" s="84"/>
      <c r="B791" s="84"/>
      <c r="C791" s="60"/>
      <c r="D791" s="66"/>
      <c r="E791" s="66"/>
      <c r="F791" s="66"/>
      <c r="G791" s="66"/>
      <c r="H791" s="66"/>
      <c r="I791" s="66"/>
      <c r="J791" s="66"/>
      <c r="K791" s="66"/>
      <c r="L791" s="66"/>
      <c r="M791" s="66"/>
      <c r="N791" s="66"/>
    </row>
    <row r="792" spans="1:14" x14ac:dyDescent="0.2">
      <c r="A792" s="84"/>
      <c r="B792" s="84"/>
      <c r="C792" s="60"/>
      <c r="D792" s="66"/>
      <c r="E792" s="66"/>
      <c r="F792" s="66"/>
      <c r="G792" s="66"/>
      <c r="H792" s="66"/>
      <c r="I792" s="66"/>
      <c r="J792" s="66"/>
      <c r="K792" s="66"/>
      <c r="L792" s="66"/>
      <c r="M792" s="66"/>
      <c r="N792" s="66"/>
    </row>
    <row r="793" spans="1:14" x14ac:dyDescent="0.2">
      <c r="A793" s="84"/>
      <c r="B793" s="84"/>
      <c r="C793" s="60"/>
      <c r="D793" s="66"/>
      <c r="E793" s="66"/>
      <c r="F793" s="66"/>
      <c r="G793" s="66"/>
      <c r="H793" s="66"/>
      <c r="I793" s="66"/>
      <c r="J793" s="66"/>
      <c r="K793" s="66"/>
      <c r="L793" s="66"/>
      <c r="M793" s="66"/>
      <c r="N793" s="66"/>
    </row>
    <row r="794" spans="1:14" x14ac:dyDescent="0.2">
      <c r="A794" s="84"/>
      <c r="B794" s="84"/>
      <c r="C794" s="60"/>
      <c r="D794" s="66"/>
      <c r="E794" s="66"/>
      <c r="F794" s="66"/>
      <c r="G794" s="66"/>
      <c r="H794" s="66"/>
      <c r="I794" s="66"/>
      <c r="J794" s="66"/>
      <c r="K794" s="66"/>
      <c r="L794" s="66"/>
      <c r="M794" s="66"/>
      <c r="N794" s="66"/>
    </row>
    <row r="795" spans="1:14" x14ac:dyDescent="0.2">
      <c r="A795" s="84"/>
      <c r="B795" s="84"/>
      <c r="C795" s="60"/>
      <c r="D795" s="66"/>
      <c r="E795" s="66"/>
      <c r="F795" s="66"/>
      <c r="G795" s="66"/>
      <c r="H795" s="66"/>
      <c r="I795" s="66"/>
      <c r="J795" s="66"/>
      <c r="K795" s="66"/>
      <c r="L795" s="66"/>
      <c r="M795" s="66"/>
      <c r="N795" s="66"/>
    </row>
    <row r="796" spans="1:14" x14ac:dyDescent="0.2">
      <c r="A796" s="84"/>
      <c r="B796" s="84"/>
      <c r="C796" s="60"/>
      <c r="D796" s="66"/>
      <c r="E796" s="66"/>
      <c r="F796" s="66"/>
      <c r="G796" s="66"/>
      <c r="H796" s="66"/>
      <c r="I796" s="66"/>
      <c r="J796" s="66"/>
      <c r="K796" s="66"/>
      <c r="L796" s="66"/>
      <c r="M796" s="66"/>
      <c r="N796" s="66"/>
    </row>
    <row r="797" spans="1:14" x14ac:dyDescent="0.2">
      <c r="A797" s="84"/>
      <c r="B797" s="84"/>
      <c r="C797" s="60"/>
      <c r="D797" s="66"/>
      <c r="E797" s="66"/>
      <c r="F797" s="66"/>
      <c r="G797" s="66"/>
      <c r="H797" s="66"/>
      <c r="I797" s="66"/>
      <c r="J797" s="66"/>
      <c r="K797" s="66"/>
      <c r="L797" s="66"/>
      <c r="M797" s="66"/>
      <c r="N797" s="66"/>
    </row>
    <row r="798" spans="1:14" x14ac:dyDescent="0.2">
      <c r="A798" s="84"/>
      <c r="B798" s="84"/>
      <c r="C798" s="60"/>
      <c r="D798" s="66"/>
      <c r="E798" s="66"/>
      <c r="F798" s="66"/>
      <c r="G798" s="66"/>
      <c r="H798" s="66"/>
      <c r="I798" s="66"/>
      <c r="J798" s="66"/>
      <c r="K798" s="66"/>
      <c r="L798" s="66"/>
      <c r="M798" s="66"/>
      <c r="N798" s="66"/>
    </row>
    <row r="799" spans="1:14" x14ac:dyDescent="0.2">
      <c r="A799" s="84"/>
      <c r="B799" s="84"/>
      <c r="C799" s="60"/>
      <c r="D799" s="66"/>
      <c r="E799" s="66"/>
      <c r="F799" s="66"/>
      <c r="G799" s="66"/>
      <c r="H799" s="66"/>
      <c r="I799" s="66"/>
      <c r="J799" s="66"/>
      <c r="K799" s="66"/>
      <c r="L799" s="66"/>
      <c r="M799" s="66"/>
      <c r="N799" s="66"/>
    </row>
    <row r="800" spans="1:14" x14ac:dyDescent="0.2">
      <c r="A800" s="84"/>
      <c r="B800" s="84"/>
      <c r="C800" s="60"/>
      <c r="D800" s="66"/>
      <c r="E800" s="66"/>
      <c r="F800" s="66"/>
      <c r="G800" s="66"/>
      <c r="H800" s="66"/>
      <c r="I800" s="66"/>
      <c r="J800" s="66"/>
      <c r="K800" s="66"/>
      <c r="L800" s="66"/>
      <c r="M800" s="66"/>
      <c r="N800" s="66"/>
    </row>
    <row r="801" spans="1:14" x14ac:dyDescent="0.2">
      <c r="A801" s="84"/>
      <c r="B801" s="84"/>
      <c r="C801" s="60"/>
      <c r="D801" s="66"/>
      <c r="E801" s="66"/>
      <c r="F801" s="66"/>
      <c r="G801" s="66"/>
      <c r="H801" s="66"/>
      <c r="I801" s="66"/>
      <c r="J801" s="66"/>
      <c r="K801" s="66"/>
      <c r="L801" s="66"/>
      <c r="M801" s="66"/>
      <c r="N801" s="66"/>
    </row>
    <row r="802" spans="1:14" x14ac:dyDescent="0.2">
      <c r="A802" s="84"/>
      <c r="B802" s="84"/>
      <c r="C802" s="60"/>
      <c r="D802" s="66"/>
      <c r="E802" s="66"/>
      <c r="F802" s="66"/>
      <c r="G802" s="66"/>
      <c r="H802" s="66"/>
      <c r="I802" s="66"/>
      <c r="J802" s="66"/>
      <c r="K802" s="66"/>
      <c r="L802" s="66"/>
      <c r="M802" s="66"/>
      <c r="N802" s="66"/>
    </row>
    <row r="803" spans="1:14" x14ac:dyDescent="0.2">
      <c r="A803" s="84"/>
      <c r="B803" s="84"/>
      <c r="C803" s="60"/>
      <c r="D803" s="66"/>
      <c r="E803" s="66"/>
      <c r="F803" s="66"/>
      <c r="G803" s="66"/>
      <c r="H803" s="66"/>
      <c r="I803" s="66"/>
      <c r="J803" s="66"/>
      <c r="K803" s="66"/>
      <c r="L803" s="66"/>
      <c r="M803" s="66"/>
      <c r="N803" s="66"/>
    </row>
    <row r="804" spans="1:14" x14ac:dyDescent="0.2">
      <c r="A804" s="84"/>
      <c r="B804" s="84"/>
      <c r="C804" s="60"/>
      <c r="D804" s="66"/>
      <c r="E804" s="66"/>
      <c r="F804" s="66"/>
      <c r="G804" s="66"/>
      <c r="H804" s="66"/>
      <c r="I804" s="66"/>
      <c r="J804" s="66"/>
      <c r="K804" s="66"/>
      <c r="L804" s="66"/>
      <c r="M804" s="66"/>
      <c r="N804" s="66"/>
    </row>
    <row r="805" spans="1:14" x14ac:dyDescent="0.2">
      <c r="A805" s="84"/>
      <c r="B805" s="84"/>
      <c r="C805" s="60"/>
      <c r="D805" s="66"/>
      <c r="E805" s="66"/>
      <c r="F805" s="66"/>
      <c r="G805" s="66"/>
      <c r="H805" s="66"/>
      <c r="I805" s="66"/>
      <c r="J805" s="66"/>
      <c r="K805" s="66"/>
      <c r="L805" s="66"/>
      <c r="M805" s="66"/>
      <c r="N805" s="66"/>
    </row>
    <row r="806" spans="1:14" x14ac:dyDescent="0.2">
      <c r="A806" s="84"/>
      <c r="B806" s="84"/>
      <c r="C806" s="60"/>
      <c r="D806" s="66"/>
      <c r="E806" s="66"/>
      <c r="F806" s="66"/>
      <c r="G806" s="66"/>
      <c r="H806" s="66"/>
      <c r="I806" s="66"/>
      <c r="J806" s="66"/>
      <c r="K806" s="66"/>
      <c r="L806" s="66"/>
      <c r="M806" s="66"/>
      <c r="N806" s="66"/>
    </row>
    <row r="807" spans="1:14" x14ac:dyDescent="0.2">
      <c r="A807" s="84"/>
      <c r="B807" s="84"/>
      <c r="C807" s="60"/>
      <c r="D807" s="66"/>
      <c r="E807" s="66"/>
      <c r="F807" s="66"/>
      <c r="G807" s="66"/>
      <c r="H807" s="66"/>
      <c r="I807" s="66"/>
      <c r="J807" s="66"/>
      <c r="K807" s="66"/>
      <c r="L807" s="66"/>
      <c r="M807" s="66"/>
      <c r="N807" s="66"/>
    </row>
    <row r="808" spans="1:14" x14ac:dyDescent="0.2">
      <c r="A808" s="84"/>
      <c r="B808" s="84"/>
      <c r="C808" s="60"/>
      <c r="D808" s="66"/>
      <c r="E808" s="66"/>
      <c r="F808" s="66"/>
      <c r="G808" s="66"/>
      <c r="H808" s="66"/>
      <c r="I808" s="66"/>
      <c r="J808" s="66"/>
      <c r="K808" s="66"/>
      <c r="L808" s="66"/>
      <c r="M808" s="66"/>
      <c r="N808" s="66"/>
    </row>
    <row r="809" spans="1:14" x14ac:dyDescent="0.2">
      <c r="A809" s="84"/>
      <c r="B809" s="84"/>
      <c r="C809" s="60"/>
      <c r="D809" s="66"/>
      <c r="E809" s="66"/>
      <c r="F809" s="66"/>
      <c r="G809" s="66"/>
      <c r="H809" s="66"/>
      <c r="I809" s="66"/>
      <c r="J809" s="66"/>
      <c r="K809" s="66"/>
      <c r="L809" s="66"/>
      <c r="M809" s="66"/>
      <c r="N809" s="66"/>
    </row>
    <row r="810" spans="1:14" x14ac:dyDescent="0.2">
      <c r="A810" s="84"/>
      <c r="B810" s="84"/>
      <c r="C810" s="60"/>
      <c r="D810" s="66"/>
      <c r="E810" s="66"/>
      <c r="F810" s="66"/>
      <c r="G810" s="66"/>
      <c r="H810" s="66"/>
      <c r="I810" s="66"/>
      <c r="J810" s="66"/>
      <c r="K810" s="66"/>
      <c r="L810" s="66"/>
      <c r="M810" s="66"/>
      <c r="N810" s="66"/>
    </row>
    <row r="811" spans="1:14" x14ac:dyDescent="0.2">
      <c r="A811" s="84"/>
      <c r="B811" s="84"/>
      <c r="C811" s="60"/>
      <c r="D811" s="66"/>
      <c r="E811" s="66"/>
      <c r="F811" s="66"/>
      <c r="G811" s="66"/>
      <c r="H811" s="66"/>
      <c r="I811" s="66"/>
      <c r="J811" s="66"/>
      <c r="K811" s="66"/>
      <c r="L811" s="66"/>
      <c r="M811" s="66"/>
      <c r="N811" s="66"/>
    </row>
    <row r="812" spans="1:14" x14ac:dyDescent="0.2">
      <c r="A812" s="84"/>
      <c r="B812" s="84"/>
      <c r="C812" s="60"/>
      <c r="D812" s="66"/>
      <c r="E812" s="66"/>
      <c r="F812" s="66"/>
      <c r="G812" s="66"/>
      <c r="H812" s="66"/>
      <c r="I812" s="66"/>
      <c r="J812" s="66"/>
      <c r="K812" s="66"/>
      <c r="L812" s="66"/>
      <c r="M812" s="66"/>
      <c r="N812" s="66"/>
    </row>
    <row r="813" spans="1:14" x14ac:dyDescent="0.2">
      <c r="A813" s="84"/>
      <c r="B813" s="84"/>
      <c r="C813" s="60"/>
      <c r="D813" s="66"/>
      <c r="E813" s="66"/>
      <c r="F813" s="66"/>
      <c r="G813" s="66"/>
      <c r="H813" s="66"/>
      <c r="I813" s="66"/>
      <c r="J813" s="66"/>
      <c r="K813" s="66"/>
      <c r="L813" s="66"/>
      <c r="M813" s="66"/>
      <c r="N813" s="66"/>
    </row>
    <row r="814" spans="1:14" x14ac:dyDescent="0.2">
      <c r="A814" s="84"/>
      <c r="B814" s="84"/>
      <c r="C814" s="60"/>
      <c r="D814" s="66"/>
      <c r="E814" s="66"/>
      <c r="F814" s="66"/>
      <c r="G814" s="66"/>
      <c r="H814" s="66"/>
      <c r="I814" s="66"/>
      <c r="J814" s="66"/>
      <c r="K814" s="66"/>
      <c r="L814" s="66"/>
      <c r="M814" s="66"/>
      <c r="N814" s="66"/>
    </row>
    <row r="815" spans="1:14" x14ac:dyDescent="0.2">
      <c r="A815" s="84"/>
      <c r="B815" s="84"/>
      <c r="C815" s="60"/>
      <c r="D815" s="66"/>
      <c r="E815" s="66"/>
      <c r="F815" s="66"/>
      <c r="G815" s="66"/>
      <c r="H815" s="66"/>
      <c r="I815" s="66"/>
      <c r="J815" s="66"/>
      <c r="K815" s="66"/>
      <c r="L815" s="66"/>
      <c r="M815" s="66"/>
      <c r="N815" s="66"/>
    </row>
    <row r="816" spans="1:14" x14ac:dyDescent="0.2">
      <c r="A816" s="84"/>
      <c r="B816" s="84"/>
      <c r="C816" s="60"/>
      <c r="D816" s="66"/>
      <c r="E816" s="66"/>
      <c r="F816" s="66"/>
      <c r="G816" s="66"/>
      <c r="H816" s="66"/>
      <c r="I816" s="66"/>
      <c r="J816" s="66"/>
      <c r="K816" s="66"/>
      <c r="L816" s="66"/>
      <c r="M816" s="66"/>
      <c r="N816" s="66"/>
    </row>
    <row r="817" spans="1:14" x14ac:dyDescent="0.2">
      <c r="A817" s="84"/>
      <c r="B817" s="84"/>
      <c r="C817" s="60"/>
      <c r="D817" s="66"/>
      <c r="E817" s="66"/>
      <c r="F817" s="66"/>
      <c r="G817" s="66"/>
      <c r="H817" s="66"/>
      <c r="I817" s="66"/>
      <c r="J817" s="66"/>
      <c r="K817" s="66"/>
      <c r="L817" s="66"/>
      <c r="M817" s="66"/>
      <c r="N817" s="66"/>
    </row>
    <row r="818" spans="1:14" x14ac:dyDescent="0.2">
      <c r="A818" s="84"/>
      <c r="B818" s="84"/>
      <c r="C818" s="60"/>
      <c r="D818" s="66"/>
      <c r="E818" s="66"/>
      <c r="F818" s="66"/>
      <c r="G818" s="66"/>
      <c r="H818" s="66"/>
      <c r="I818" s="66"/>
      <c r="J818" s="66"/>
      <c r="K818" s="66"/>
      <c r="L818" s="66"/>
      <c r="M818" s="66"/>
      <c r="N818" s="66"/>
    </row>
    <row r="819" spans="1:14" x14ac:dyDescent="0.2">
      <c r="A819" s="84"/>
      <c r="B819" s="84"/>
      <c r="C819" s="60"/>
      <c r="D819" s="66"/>
      <c r="E819" s="66"/>
      <c r="F819" s="66"/>
      <c r="G819" s="66"/>
      <c r="H819" s="66"/>
      <c r="I819" s="66"/>
      <c r="J819" s="66"/>
      <c r="K819" s="66"/>
      <c r="L819" s="66"/>
      <c r="M819" s="66"/>
      <c r="N819" s="66"/>
    </row>
    <row r="820" spans="1:14" x14ac:dyDescent="0.2">
      <c r="A820" s="84"/>
      <c r="B820" s="84"/>
      <c r="C820" s="60"/>
      <c r="D820" s="66"/>
      <c r="E820" s="66"/>
      <c r="F820" s="66"/>
      <c r="G820" s="66"/>
      <c r="H820" s="66"/>
      <c r="I820" s="66"/>
      <c r="J820" s="66"/>
      <c r="K820" s="66"/>
      <c r="L820" s="66"/>
      <c r="M820" s="66"/>
      <c r="N820" s="66"/>
    </row>
    <row r="821" spans="1:14" x14ac:dyDescent="0.2">
      <c r="A821" s="84"/>
      <c r="B821" s="84"/>
      <c r="C821" s="60"/>
      <c r="D821" s="66"/>
      <c r="E821" s="66"/>
      <c r="F821" s="66"/>
      <c r="G821" s="66"/>
      <c r="H821" s="66"/>
      <c r="I821" s="66"/>
      <c r="J821" s="66"/>
      <c r="K821" s="66"/>
      <c r="L821" s="66"/>
      <c r="M821" s="66"/>
      <c r="N821" s="66"/>
    </row>
    <row r="822" spans="1:14" x14ac:dyDescent="0.2">
      <c r="A822" s="84"/>
      <c r="B822" s="84"/>
      <c r="C822" s="60"/>
      <c r="D822" s="66"/>
      <c r="E822" s="66"/>
      <c r="F822" s="66"/>
      <c r="G822" s="66"/>
      <c r="H822" s="66"/>
      <c r="I822" s="66"/>
      <c r="J822" s="66"/>
      <c r="K822" s="66"/>
      <c r="L822" s="66"/>
      <c r="M822" s="66"/>
      <c r="N822" s="66"/>
    </row>
    <row r="823" spans="1:14" x14ac:dyDescent="0.2">
      <c r="A823" s="84"/>
      <c r="B823" s="84"/>
      <c r="C823" s="60"/>
      <c r="D823" s="66"/>
      <c r="E823" s="66"/>
      <c r="F823" s="66"/>
      <c r="G823" s="66"/>
      <c r="H823" s="66"/>
      <c r="I823" s="66"/>
      <c r="J823" s="66"/>
      <c r="K823" s="66"/>
      <c r="L823" s="66"/>
      <c r="M823" s="66"/>
      <c r="N823" s="66"/>
    </row>
    <row r="824" spans="1:14" x14ac:dyDescent="0.2">
      <c r="A824" s="84"/>
      <c r="B824" s="84"/>
      <c r="C824" s="60"/>
      <c r="D824" s="66"/>
      <c r="E824" s="66"/>
      <c r="F824" s="66"/>
      <c r="G824" s="66"/>
      <c r="H824" s="66"/>
      <c r="I824" s="66"/>
      <c r="J824" s="66"/>
      <c r="K824" s="66"/>
      <c r="L824" s="66"/>
      <c r="M824" s="66"/>
      <c r="N824" s="66"/>
    </row>
    <row r="825" spans="1:14" x14ac:dyDescent="0.2">
      <c r="A825" s="84"/>
      <c r="B825" s="84"/>
      <c r="C825" s="60"/>
      <c r="D825" s="66"/>
      <c r="E825" s="66"/>
      <c r="F825" s="66"/>
      <c r="G825" s="66"/>
      <c r="H825" s="66"/>
      <c r="I825" s="66"/>
      <c r="J825" s="66"/>
      <c r="K825" s="66"/>
      <c r="L825" s="66"/>
      <c r="M825" s="66"/>
      <c r="N825" s="66"/>
    </row>
    <row r="826" spans="1:14" x14ac:dyDescent="0.2">
      <c r="A826" s="84"/>
      <c r="B826" s="84"/>
      <c r="C826" s="60"/>
      <c r="D826" s="66"/>
      <c r="E826" s="66"/>
      <c r="F826" s="66"/>
      <c r="G826" s="66"/>
      <c r="H826" s="66"/>
      <c r="I826" s="66"/>
      <c r="J826" s="66"/>
      <c r="K826" s="66"/>
      <c r="L826" s="66"/>
      <c r="M826" s="66"/>
      <c r="N826" s="66"/>
    </row>
    <row r="827" spans="1:14" x14ac:dyDescent="0.2">
      <c r="A827" s="84"/>
      <c r="B827" s="84"/>
      <c r="C827" s="60"/>
      <c r="D827" s="66"/>
      <c r="E827" s="66"/>
      <c r="F827" s="66"/>
      <c r="G827" s="66"/>
      <c r="H827" s="66"/>
      <c r="I827" s="66"/>
      <c r="J827" s="66"/>
      <c r="K827" s="66"/>
      <c r="L827" s="66"/>
      <c r="M827" s="66"/>
      <c r="N827" s="66"/>
    </row>
    <row r="828" spans="1:14" x14ac:dyDescent="0.2">
      <c r="A828" s="84"/>
      <c r="B828" s="84"/>
      <c r="C828" s="60"/>
      <c r="D828" s="66"/>
      <c r="E828" s="66"/>
      <c r="F828" s="66"/>
      <c r="G828" s="66"/>
      <c r="H828" s="66"/>
      <c r="I828" s="66"/>
      <c r="J828" s="66"/>
      <c r="K828" s="66"/>
      <c r="L828" s="66"/>
      <c r="M828" s="66"/>
      <c r="N828" s="66"/>
    </row>
    <row r="829" spans="1:14" x14ac:dyDescent="0.2">
      <c r="A829" s="84"/>
      <c r="B829" s="84"/>
      <c r="C829" s="60"/>
      <c r="D829" s="66"/>
      <c r="E829" s="66"/>
      <c r="F829" s="66"/>
      <c r="G829" s="66"/>
      <c r="H829" s="66"/>
      <c r="I829" s="66"/>
      <c r="J829" s="66"/>
      <c r="K829" s="66"/>
      <c r="L829" s="66"/>
      <c r="M829" s="66"/>
      <c r="N829" s="66"/>
    </row>
    <row r="830" spans="1:14" x14ac:dyDescent="0.2">
      <c r="A830" s="84"/>
      <c r="B830" s="84"/>
      <c r="C830" s="60"/>
      <c r="D830" s="66"/>
      <c r="E830" s="66"/>
      <c r="F830" s="66"/>
      <c r="G830" s="66"/>
      <c r="H830" s="66"/>
      <c r="I830" s="66"/>
      <c r="J830" s="66"/>
      <c r="K830" s="66"/>
      <c r="L830" s="66"/>
      <c r="M830" s="66"/>
      <c r="N830" s="66"/>
    </row>
    <row r="831" spans="1:14" x14ac:dyDescent="0.2">
      <c r="A831" s="84"/>
      <c r="B831" s="84"/>
      <c r="C831" s="60"/>
      <c r="D831" s="66"/>
      <c r="E831" s="66"/>
      <c r="F831" s="66"/>
      <c r="G831" s="66"/>
      <c r="H831" s="66"/>
      <c r="I831" s="66"/>
      <c r="J831" s="66"/>
      <c r="K831" s="66"/>
      <c r="L831" s="66"/>
      <c r="M831" s="66"/>
      <c r="N831" s="66"/>
    </row>
    <row r="832" spans="1:14" x14ac:dyDescent="0.2">
      <c r="A832" s="84"/>
      <c r="B832" s="84"/>
      <c r="C832" s="60"/>
      <c r="D832" s="66"/>
      <c r="E832" s="66"/>
      <c r="F832" s="66"/>
      <c r="G832" s="66"/>
      <c r="H832" s="66"/>
      <c r="I832" s="66"/>
      <c r="J832" s="66"/>
      <c r="K832" s="66"/>
      <c r="L832" s="66"/>
      <c r="M832" s="66"/>
      <c r="N832" s="66"/>
    </row>
    <row r="833" spans="1:14" x14ac:dyDescent="0.2">
      <c r="A833" s="84"/>
      <c r="B833" s="84"/>
      <c r="C833" s="60"/>
      <c r="D833" s="66"/>
      <c r="E833" s="66"/>
      <c r="F833" s="66"/>
      <c r="G833" s="66"/>
      <c r="H833" s="66"/>
      <c r="I833" s="66"/>
      <c r="J833" s="66"/>
      <c r="K833" s="66"/>
      <c r="L833" s="66"/>
      <c r="M833" s="66"/>
      <c r="N833" s="66"/>
    </row>
    <row r="834" spans="1:14" x14ac:dyDescent="0.2">
      <c r="A834" s="84"/>
      <c r="B834" s="84"/>
      <c r="C834" s="60"/>
      <c r="D834" s="66"/>
      <c r="E834" s="66"/>
      <c r="F834" s="66"/>
      <c r="G834" s="66"/>
      <c r="H834" s="66"/>
      <c r="I834" s="66"/>
      <c r="J834" s="66"/>
      <c r="K834" s="66"/>
      <c r="L834" s="66"/>
      <c r="M834" s="66"/>
      <c r="N834" s="66"/>
    </row>
    <row r="835" spans="1:14" x14ac:dyDescent="0.2">
      <c r="A835" s="84"/>
      <c r="B835" s="84"/>
      <c r="C835" s="60"/>
      <c r="D835" s="66"/>
      <c r="E835" s="66"/>
      <c r="F835" s="66"/>
      <c r="G835" s="66"/>
      <c r="H835" s="66"/>
      <c r="I835" s="66"/>
      <c r="J835" s="66"/>
      <c r="K835" s="66"/>
      <c r="L835" s="66"/>
      <c r="M835" s="66"/>
      <c r="N835" s="66"/>
    </row>
    <row r="836" spans="1:14" x14ac:dyDescent="0.2">
      <c r="A836" s="84"/>
      <c r="B836" s="84"/>
      <c r="C836" s="60"/>
      <c r="D836" s="66"/>
      <c r="E836" s="66"/>
      <c r="F836" s="66"/>
      <c r="G836" s="66"/>
      <c r="H836" s="66"/>
      <c r="I836" s="66"/>
      <c r="J836" s="66"/>
      <c r="K836" s="66"/>
      <c r="L836" s="66"/>
      <c r="M836" s="66"/>
      <c r="N836" s="66"/>
    </row>
    <row r="837" spans="1:14" x14ac:dyDescent="0.2">
      <c r="A837" s="84"/>
      <c r="B837" s="84"/>
      <c r="C837" s="60"/>
      <c r="D837" s="66"/>
      <c r="E837" s="66"/>
      <c r="F837" s="66"/>
      <c r="G837" s="66"/>
      <c r="H837" s="66"/>
      <c r="I837" s="66"/>
      <c r="J837" s="66"/>
      <c r="K837" s="66"/>
      <c r="L837" s="66"/>
      <c r="M837" s="66"/>
      <c r="N837" s="66"/>
    </row>
    <row r="838" spans="1:14" x14ac:dyDescent="0.2">
      <c r="A838" s="84"/>
      <c r="B838" s="84"/>
      <c r="C838" s="60"/>
      <c r="D838" s="66"/>
      <c r="E838" s="66"/>
      <c r="F838" s="66"/>
      <c r="G838" s="66"/>
      <c r="H838" s="66"/>
      <c r="I838" s="66"/>
      <c r="J838" s="66"/>
      <c r="K838" s="66"/>
      <c r="L838" s="66"/>
      <c r="M838" s="66"/>
      <c r="N838" s="66"/>
    </row>
    <row r="839" spans="1:14" x14ac:dyDescent="0.2">
      <c r="A839" s="84"/>
      <c r="B839" s="84"/>
      <c r="C839" s="60"/>
      <c r="D839" s="66"/>
      <c r="E839" s="66"/>
      <c r="F839" s="66"/>
      <c r="G839" s="66"/>
      <c r="H839" s="66"/>
      <c r="I839" s="66"/>
      <c r="J839" s="66"/>
      <c r="K839" s="66"/>
      <c r="L839" s="66"/>
      <c r="M839" s="66"/>
      <c r="N839" s="66"/>
    </row>
    <row r="840" spans="1:14" x14ac:dyDescent="0.2">
      <c r="A840" s="84"/>
      <c r="B840" s="84"/>
      <c r="C840" s="60"/>
      <c r="D840" s="66"/>
      <c r="E840" s="66"/>
      <c r="F840" s="66"/>
      <c r="G840" s="66"/>
      <c r="H840" s="66"/>
      <c r="I840" s="66"/>
      <c r="J840" s="66"/>
      <c r="K840" s="66"/>
      <c r="L840" s="66"/>
      <c r="M840" s="66"/>
      <c r="N840" s="66"/>
    </row>
    <row r="841" spans="1:14" x14ac:dyDescent="0.2">
      <c r="A841" s="84"/>
      <c r="B841" s="84"/>
      <c r="C841" s="60"/>
      <c r="D841" s="66"/>
      <c r="E841" s="66"/>
      <c r="F841" s="66"/>
      <c r="G841" s="66"/>
      <c r="H841" s="66"/>
      <c r="I841" s="66"/>
      <c r="J841" s="66"/>
      <c r="K841" s="66"/>
      <c r="L841" s="66"/>
      <c r="M841" s="66"/>
      <c r="N841" s="66"/>
    </row>
    <row r="842" spans="1:14" x14ac:dyDescent="0.2">
      <c r="A842" s="84"/>
      <c r="B842" s="84"/>
      <c r="C842" s="60"/>
      <c r="D842" s="66"/>
      <c r="E842" s="66"/>
      <c r="F842" s="66"/>
      <c r="G842" s="66"/>
      <c r="H842" s="66"/>
      <c r="I842" s="66"/>
      <c r="J842" s="66"/>
      <c r="K842" s="66"/>
      <c r="L842" s="66"/>
      <c r="M842" s="66"/>
      <c r="N842" s="66"/>
    </row>
    <row r="843" spans="1:14" x14ac:dyDescent="0.2">
      <c r="A843" s="84"/>
      <c r="B843" s="84"/>
      <c r="C843" s="60"/>
      <c r="D843" s="66"/>
      <c r="E843" s="66"/>
      <c r="F843" s="66"/>
      <c r="G843" s="66"/>
      <c r="H843" s="66"/>
      <c r="I843" s="66"/>
      <c r="J843" s="66"/>
      <c r="K843" s="66"/>
      <c r="L843" s="66"/>
      <c r="M843" s="66"/>
      <c r="N843" s="66"/>
    </row>
    <row r="844" spans="1:14" x14ac:dyDescent="0.2">
      <c r="A844" s="84"/>
      <c r="B844" s="84"/>
      <c r="C844" s="60"/>
      <c r="D844" s="66"/>
      <c r="E844" s="66"/>
      <c r="F844" s="66"/>
      <c r="G844" s="66"/>
      <c r="H844" s="66"/>
      <c r="I844" s="66"/>
      <c r="J844" s="66"/>
      <c r="K844" s="66"/>
      <c r="L844" s="66"/>
      <c r="M844" s="66"/>
      <c r="N844" s="66"/>
    </row>
    <row r="845" spans="1:14" x14ac:dyDescent="0.2">
      <c r="A845" s="84"/>
      <c r="B845" s="84"/>
      <c r="C845" s="60"/>
      <c r="D845" s="66"/>
      <c r="E845" s="66"/>
      <c r="F845" s="66"/>
      <c r="G845" s="66"/>
      <c r="H845" s="66"/>
      <c r="I845" s="66"/>
      <c r="J845" s="66"/>
      <c r="K845" s="66"/>
      <c r="L845" s="66"/>
      <c r="M845" s="66"/>
      <c r="N845" s="66"/>
    </row>
    <row r="846" spans="1:14" x14ac:dyDescent="0.2">
      <c r="A846" s="84"/>
      <c r="B846" s="84"/>
      <c r="C846" s="60"/>
      <c r="D846" s="66"/>
      <c r="E846" s="66"/>
      <c r="F846" s="66"/>
      <c r="G846" s="66"/>
      <c r="H846" s="66"/>
      <c r="I846" s="66"/>
      <c r="J846" s="66"/>
      <c r="K846" s="66"/>
      <c r="L846" s="66"/>
      <c r="M846" s="66"/>
      <c r="N846" s="66"/>
    </row>
    <row r="847" spans="1:14" x14ac:dyDescent="0.2">
      <c r="A847" s="84"/>
      <c r="B847" s="84"/>
      <c r="C847" s="60"/>
      <c r="D847" s="66"/>
      <c r="E847" s="66"/>
      <c r="F847" s="66"/>
      <c r="G847" s="66"/>
      <c r="H847" s="66"/>
      <c r="I847" s="66"/>
      <c r="J847" s="66"/>
      <c r="K847" s="66"/>
      <c r="L847" s="66"/>
      <c r="M847" s="66"/>
      <c r="N847" s="66"/>
    </row>
    <row r="848" spans="1:14" x14ac:dyDescent="0.2">
      <c r="A848" s="84"/>
      <c r="B848" s="84"/>
      <c r="C848" s="60"/>
      <c r="D848" s="66"/>
      <c r="E848" s="66"/>
      <c r="F848" s="66"/>
      <c r="G848" s="66"/>
      <c r="H848" s="66"/>
      <c r="I848" s="66"/>
      <c r="J848" s="66"/>
      <c r="K848" s="66"/>
      <c r="L848" s="66"/>
      <c r="M848" s="66"/>
      <c r="N848" s="66"/>
    </row>
    <row r="849" spans="1:14" x14ac:dyDescent="0.2">
      <c r="A849" s="84"/>
      <c r="B849" s="84"/>
      <c r="C849" s="60"/>
      <c r="D849" s="66"/>
      <c r="E849" s="66"/>
      <c r="F849" s="66"/>
      <c r="G849" s="66"/>
      <c r="H849" s="66"/>
      <c r="I849" s="66"/>
      <c r="J849" s="66"/>
      <c r="K849" s="66"/>
      <c r="L849" s="66"/>
      <c r="M849" s="66"/>
      <c r="N849" s="66"/>
    </row>
    <row r="850" spans="1:14" x14ac:dyDescent="0.2">
      <c r="A850" s="84"/>
      <c r="B850" s="84"/>
      <c r="C850" s="60"/>
      <c r="D850" s="66"/>
      <c r="E850" s="66"/>
      <c r="F850" s="66"/>
      <c r="G850" s="66"/>
      <c r="H850" s="66"/>
      <c r="I850" s="66"/>
      <c r="J850" s="66"/>
      <c r="K850" s="66"/>
      <c r="L850" s="66"/>
      <c r="M850" s="66"/>
      <c r="N850" s="66"/>
    </row>
    <row r="851" spans="1:14" x14ac:dyDescent="0.2">
      <c r="A851" s="84"/>
      <c r="B851" s="84"/>
      <c r="C851" s="60"/>
      <c r="D851" s="66"/>
      <c r="E851" s="66"/>
      <c r="F851" s="66"/>
      <c r="G851" s="66"/>
      <c r="H851" s="66"/>
      <c r="I851" s="66"/>
      <c r="J851" s="66"/>
      <c r="K851" s="66"/>
      <c r="L851" s="66"/>
      <c r="M851" s="66"/>
      <c r="N851" s="66"/>
    </row>
    <row r="852" spans="1:14" x14ac:dyDescent="0.2">
      <c r="A852" s="84"/>
      <c r="B852" s="84"/>
      <c r="C852" s="60"/>
      <c r="D852" s="66"/>
      <c r="E852" s="66"/>
      <c r="F852" s="66"/>
      <c r="G852" s="66"/>
      <c r="H852" s="66"/>
      <c r="I852" s="66"/>
      <c r="J852" s="66"/>
      <c r="K852" s="66"/>
      <c r="L852" s="66"/>
      <c r="M852" s="66"/>
      <c r="N852" s="66"/>
    </row>
    <row r="853" spans="1:14" x14ac:dyDescent="0.2">
      <c r="A853" s="84"/>
      <c r="B853" s="84"/>
      <c r="C853" s="60"/>
      <c r="D853" s="66"/>
      <c r="E853" s="66"/>
      <c r="F853" s="66"/>
      <c r="G853" s="66"/>
      <c r="H853" s="66"/>
      <c r="I853" s="66"/>
      <c r="J853" s="66"/>
      <c r="K853" s="66"/>
      <c r="L853" s="66"/>
      <c r="M853" s="66"/>
      <c r="N853" s="66"/>
    </row>
    <row r="854" spans="1:14" x14ac:dyDescent="0.2">
      <c r="A854" s="84"/>
      <c r="B854" s="84"/>
      <c r="C854" s="60"/>
      <c r="D854" s="66"/>
      <c r="E854" s="66"/>
      <c r="F854" s="66"/>
      <c r="G854" s="66"/>
      <c r="H854" s="66"/>
      <c r="I854" s="66"/>
      <c r="J854" s="66"/>
      <c r="K854" s="66"/>
      <c r="L854" s="66"/>
      <c r="M854" s="66"/>
      <c r="N854" s="66"/>
    </row>
    <row r="855" spans="1:14" x14ac:dyDescent="0.2">
      <c r="A855" s="84"/>
      <c r="B855" s="84"/>
      <c r="C855" s="60"/>
      <c r="D855" s="66"/>
      <c r="E855" s="66"/>
      <c r="F855" s="66"/>
      <c r="G855" s="66"/>
      <c r="H855" s="66"/>
      <c r="I855" s="66"/>
      <c r="J855" s="66"/>
      <c r="K855" s="66"/>
      <c r="L855" s="66"/>
      <c r="M855" s="66"/>
      <c r="N855" s="66"/>
    </row>
    <row r="856" spans="1:14" x14ac:dyDescent="0.2">
      <c r="A856" s="84"/>
      <c r="B856" s="84"/>
      <c r="C856" s="60"/>
      <c r="D856" s="66"/>
      <c r="E856" s="66"/>
      <c r="F856" s="66"/>
      <c r="G856" s="66"/>
      <c r="H856" s="66"/>
      <c r="I856" s="66"/>
      <c r="J856" s="66"/>
      <c r="K856" s="66"/>
      <c r="L856" s="66"/>
      <c r="M856" s="66"/>
      <c r="N856" s="66"/>
    </row>
    <row r="857" spans="1:14" x14ac:dyDescent="0.2">
      <c r="A857" s="84"/>
      <c r="B857" s="84"/>
      <c r="C857" s="60"/>
      <c r="D857" s="66"/>
      <c r="E857" s="66"/>
      <c r="F857" s="66"/>
      <c r="G857" s="66"/>
      <c r="H857" s="66"/>
      <c r="I857" s="66"/>
      <c r="J857" s="66"/>
      <c r="K857" s="66"/>
      <c r="L857" s="66"/>
      <c r="M857" s="66"/>
      <c r="N857" s="66"/>
    </row>
    <row r="858" spans="1:14" x14ac:dyDescent="0.2">
      <c r="A858" s="84"/>
      <c r="B858" s="84"/>
      <c r="C858" s="60"/>
      <c r="D858" s="66"/>
      <c r="E858" s="66"/>
      <c r="F858" s="66"/>
      <c r="G858" s="66"/>
      <c r="H858" s="66"/>
      <c r="I858" s="66"/>
      <c r="J858" s="66"/>
      <c r="K858" s="66"/>
      <c r="L858" s="66"/>
      <c r="M858" s="66"/>
      <c r="N858" s="66"/>
    </row>
    <row r="859" spans="1:14" x14ac:dyDescent="0.2">
      <c r="A859" s="84"/>
      <c r="B859" s="84"/>
      <c r="C859" s="60"/>
      <c r="D859" s="66"/>
      <c r="E859" s="66"/>
      <c r="F859" s="66"/>
      <c r="G859" s="66"/>
      <c r="H859" s="66"/>
      <c r="I859" s="66"/>
      <c r="J859" s="66"/>
      <c r="K859" s="66"/>
      <c r="L859" s="66"/>
      <c r="M859" s="66"/>
      <c r="N859" s="66"/>
    </row>
    <row r="860" spans="1:14" x14ac:dyDescent="0.2">
      <c r="A860" s="84"/>
      <c r="B860" s="84"/>
      <c r="C860" s="60"/>
      <c r="D860" s="66"/>
      <c r="E860" s="66"/>
      <c r="F860" s="66"/>
      <c r="G860" s="66"/>
      <c r="H860" s="66"/>
      <c r="I860" s="66"/>
      <c r="J860" s="66"/>
      <c r="K860" s="66"/>
      <c r="L860" s="66"/>
      <c r="M860" s="66"/>
      <c r="N860" s="66"/>
    </row>
    <row r="861" spans="1:14" x14ac:dyDescent="0.2">
      <c r="A861" s="84"/>
      <c r="B861" s="84"/>
      <c r="C861" s="60"/>
      <c r="D861" s="66"/>
      <c r="E861" s="66"/>
      <c r="F861" s="66"/>
      <c r="G861" s="66"/>
      <c r="H861" s="66"/>
      <c r="I861" s="66"/>
      <c r="J861" s="66"/>
      <c r="K861" s="66"/>
      <c r="L861" s="66"/>
      <c r="M861" s="66"/>
      <c r="N861" s="66"/>
    </row>
    <row r="862" spans="1:14" x14ac:dyDescent="0.2">
      <c r="A862" s="84"/>
      <c r="B862" s="84"/>
      <c r="C862" s="60"/>
      <c r="D862" s="66"/>
      <c r="E862" s="66"/>
      <c r="F862" s="66"/>
      <c r="G862" s="66"/>
      <c r="H862" s="66"/>
      <c r="I862" s="66"/>
      <c r="J862" s="66"/>
      <c r="K862" s="66"/>
      <c r="L862" s="66"/>
      <c r="M862" s="66"/>
      <c r="N862" s="66"/>
    </row>
    <row r="863" spans="1:14" x14ac:dyDescent="0.2">
      <c r="A863" s="84"/>
      <c r="B863" s="84"/>
      <c r="C863" s="60"/>
      <c r="D863" s="66"/>
      <c r="E863" s="66"/>
      <c r="F863" s="66"/>
      <c r="G863" s="66"/>
      <c r="H863" s="66"/>
      <c r="I863" s="66"/>
      <c r="J863" s="66"/>
      <c r="K863" s="66"/>
      <c r="L863" s="66"/>
      <c r="M863" s="66"/>
      <c r="N863" s="66"/>
    </row>
    <row r="864" spans="1:14" x14ac:dyDescent="0.2">
      <c r="A864" s="84"/>
      <c r="B864" s="84"/>
      <c r="C864" s="60"/>
      <c r="D864" s="66"/>
      <c r="E864" s="66"/>
      <c r="F864" s="66"/>
      <c r="G864" s="66"/>
      <c r="H864" s="66"/>
      <c r="I864" s="66"/>
      <c r="J864" s="66"/>
      <c r="K864" s="66"/>
      <c r="L864" s="66"/>
      <c r="M864" s="66"/>
      <c r="N864" s="66"/>
    </row>
    <row r="865" spans="1:14" x14ac:dyDescent="0.2">
      <c r="A865" s="84"/>
      <c r="B865" s="84"/>
      <c r="C865" s="60"/>
      <c r="D865" s="66"/>
      <c r="E865" s="66"/>
      <c r="F865" s="66"/>
      <c r="G865" s="66"/>
      <c r="H865" s="66"/>
      <c r="I865" s="66"/>
      <c r="J865" s="66"/>
      <c r="K865" s="66"/>
      <c r="L865" s="66"/>
      <c r="M865" s="66"/>
      <c r="N865" s="66"/>
    </row>
    <row r="866" spans="1:14" x14ac:dyDescent="0.2">
      <c r="A866" s="84"/>
      <c r="B866" s="84"/>
      <c r="C866" s="60"/>
      <c r="D866" s="66"/>
      <c r="E866" s="66"/>
      <c r="F866" s="66"/>
      <c r="G866" s="66"/>
      <c r="H866" s="66"/>
      <c r="I866" s="66"/>
      <c r="J866" s="66"/>
      <c r="K866" s="66"/>
      <c r="L866" s="66"/>
      <c r="M866" s="66"/>
      <c r="N866" s="66"/>
    </row>
    <row r="867" spans="1:14" x14ac:dyDescent="0.2">
      <c r="A867" s="84"/>
      <c r="B867" s="84"/>
      <c r="C867" s="60"/>
      <c r="D867" s="66"/>
      <c r="E867" s="66"/>
      <c r="F867" s="66"/>
      <c r="G867" s="66"/>
      <c r="H867" s="66"/>
      <c r="I867" s="66"/>
      <c r="J867" s="66"/>
      <c r="K867" s="66"/>
      <c r="L867" s="66"/>
      <c r="M867" s="66"/>
      <c r="N867" s="66"/>
    </row>
    <row r="868" spans="1:14" x14ac:dyDescent="0.2">
      <c r="A868" s="84"/>
      <c r="B868" s="84"/>
      <c r="C868" s="60"/>
      <c r="D868" s="66"/>
      <c r="E868" s="66"/>
      <c r="F868" s="66"/>
      <c r="G868" s="66"/>
      <c r="H868" s="66"/>
      <c r="I868" s="66"/>
      <c r="J868" s="66"/>
      <c r="K868" s="66"/>
      <c r="L868" s="66"/>
      <c r="M868" s="66"/>
      <c r="N868" s="66"/>
    </row>
    <row r="869" spans="1:14" x14ac:dyDescent="0.2">
      <c r="A869" s="84"/>
      <c r="B869" s="84"/>
      <c r="C869" s="60"/>
      <c r="D869" s="66"/>
      <c r="E869" s="66"/>
      <c r="F869" s="66"/>
      <c r="G869" s="66"/>
      <c r="H869" s="66"/>
      <c r="I869" s="66"/>
      <c r="J869" s="66"/>
      <c r="K869" s="66"/>
      <c r="L869" s="66"/>
      <c r="M869" s="66"/>
      <c r="N869" s="66"/>
    </row>
    <row r="870" spans="1:14" x14ac:dyDescent="0.2">
      <c r="A870" s="84"/>
      <c r="B870" s="84"/>
      <c r="C870" s="60"/>
      <c r="D870" s="66"/>
      <c r="E870" s="66"/>
      <c r="F870" s="66"/>
      <c r="G870" s="66"/>
      <c r="H870" s="66"/>
      <c r="I870" s="66"/>
      <c r="J870" s="66"/>
      <c r="K870" s="66"/>
      <c r="L870" s="66"/>
      <c r="M870" s="66"/>
      <c r="N870" s="66"/>
    </row>
    <row r="871" spans="1:14" x14ac:dyDescent="0.2">
      <c r="A871" s="84"/>
      <c r="B871" s="84"/>
      <c r="C871" s="60"/>
      <c r="D871" s="66"/>
      <c r="E871" s="66"/>
      <c r="F871" s="66"/>
      <c r="G871" s="66"/>
      <c r="H871" s="66"/>
      <c r="I871" s="66"/>
      <c r="J871" s="66"/>
      <c r="K871" s="66"/>
      <c r="L871" s="66"/>
      <c r="M871" s="66"/>
      <c r="N871" s="66"/>
    </row>
    <row r="872" spans="1:14" x14ac:dyDescent="0.2">
      <c r="A872" s="84"/>
      <c r="B872" s="84"/>
      <c r="C872" s="60"/>
      <c r="D872" s="66"/>
      <c r="E872" s="66"/>
      <c r="F872" s="66"/>
      <c r="G872" s="66"/>
      <c r="H872" s="66"/>
      <c r="I872" s="66"/>
      <c r="J872" s="66"/>
      <c r="K872" s="66"/>
      <c r="L872" s="66"/>
      <c r="M872" s="66"/>
      <c r="N872" s="66"/>
    </row>
    <row r="873" spans="1:14" x14ac:dyDescent="0.2">
      <c r="A873" s="84"/>
      <c r="B873" s="84"/>
      <c r="C873" s="60"/>
      <c r="D873" s="66"/>
      <c r="E873" s="66"/>
      <c r="F873" s="66"/>
      <c r="G873" s="66"/>
      <c r="H873" s="66"/>
      <c r="I873" s="66"/>
      <c r="J873" s="66"/>
      <c r="K873" s="66"/>
      <c r="L873" s="66"/>
      <c r="M873" s="66"/>
      <c r="N873" s="66"/>
    </row>
    <row r="874" spans="1:14" x14ac:dyDescent="0.2">
      <c r="A874" s="84"/>
      <c r="B874" s="84"/>
      <c r="C874" s="60"/>
      <c r="D874" s="66"/>
      <c r="E874" s="66"/>
      <c r="F874" s="66"/>
      <c r="G874" s="66"/>
      <c r="H874" s="66"/>
      <c r="I874" s="66"/>
      <c r="J874" s="66"/>
      <c r="K874" s="66"/>
      <c r="L874" s="66"/>
      <c r="M874" s="66"/>
      <c r="N874" s="66"/>
    </row>
    <row r="875" spans="1:14" x14ac:dyDescent="0.2">
      <c r="A875" s="84"/>
      <c r="B875" s="84"/>
      <c r="C875" s="60"/>
      <c r="D875" s="66"/>
      <c r="E875" s="66"/>
      <c r="F875" s="66"/>
      <c r="G875" s="66"/>
      <c r="H875" s="66"/>
      <c r="I875" s="66"/>
      <c r="J875" s="66"/>
      <c r="K875" s="66"/>
      <c r="L875" s="66"/>
      <c r="M875" s="66"/>
      <c r="N875" s="66"/>
    </row>
    <row r="876" spans="1:14" x14ac:dyDescent="0.2">
      <c r="A876" s="84"/>
      <c r="B876" s="84"/>
      <c r="C876" s="60"/>
      <c r="D876" s="66"/>
      <c r="E876" s="66"/>
      <c r="F876" s="66"/>
      <c r="G876" s="66"/>
      <c r="H876" s="66"/>
      <c r="I876" s="66"/>
      <c r="J876" s="66"/>
      <c r="K876" s="66"/>
      <c r="L876" s="66"/>
      <c r="M876" s="66"/>
      <c r="N876" s="66"/>
    </row>
    <row r="877" spans="1:14" x14ac:dyDescent="0.2">
      <c r="A877" s="84"/>
      <c r="B877" s="84"/>
      <c r="C877" s="60"/>
      <c r="D877" s="66"/>
      <c r="E877" s="66"/>
      <c r="F877" s="66"/>
      <c r="G877" s="66"/>
      <c r="H877" s="66"/>
      <c r="I877" s="66"/>
      <c r="J877" s="66"/>
      <c r="K877" s="66"/>
      <c r="L877" s="66"/>
      <c r="M877" s="66"/>
      <c r="N877" s="66"/>
    </row>
    <row r="878" spans="1:14" x14ac:dyDescent="0.2">
      <c r="A878" s="84"/>
      <c r="B878" s="84"/>
      <c r="C878" s="60"/>
      <c r="D878" s="66"/>
      <c r="E878" s="66"/>
      <c r="F878" s="66"/>
      <c r="G878" s="66"/>
      <c r="H878" s="66"/>
      <c r="I878" s="66"/>
      <c r="J878" s="66"/>
      <c r="K878" s="66"/>
      <c r="L878" s="66"/>
      <c r="M878" s="66"/>
      <c r="N878" s="66"/>
    </row>
    <row r="879" spans="1:14" x14ac:dyDescent="0.2">
      <c r="A879" s="84"/>
      <c r="B879" s="84"/>
      <c r="C879" s="60"/>
      <c r="D879" s="66"/>
      <c r="E879" s="66"/>
      <c r="F879" s="66"/>
      <c r="G879" s="66"/>
      <c r="H879" s="66"/>
      <c r="I879" s="66"/>
      <c r="J879" s="66"/>
      <c r="K879" s="66"/>
      <c r="L879" s="66"/>
      <c r="M879" s="66"/>
      <c r="N879" s="66"/>
    </row>
    <row r="880" spans="1:14" x14ac:dyDescent="0.2">
      <c r="A880" s="84"/>
      <c r="B880" s="84"/>
      <c r="C880" s="60"/>
      <c r="D880" s="66"/>
      <c r="E880" s="66"/>
      <c r="F880" s="66"/>
      <c r="G880" s="66"/>
      <c r="H880" s="66"/>
      <c r="I880" s="66"/>
      <c r="J880" s="66"/>
      <c r="K880" s="66"/>
      <c r="L880" s="66"/>
      <c r="M880" s="66"/>
      <c r="N880" s="66"/>
    </row>
    <row r="881" spans="1:14" x14ac:dyDescent="0.2">
      <c r="A881" s="84"/>
      <c r="B881" s="84"/>
      <c r="C881" s="60"/>
      <c r="D881" s="66"/>
      <c r="E881" s="66"/>
      <c r="F881" s="66"/>
      <c r="G881" s="66"/>
      <c r="H881" s="66"/>
      <c r="I881" s="66"/>
      <c r="J881" s="66"/>
      <c r="K881" s="66"/>
      <c r="L881" s="66"/>
      <c r="M881" s="66"/>
      <c r="N881" s="66"/>
    </row>
    <row r="882" spans="1:14" x14ac:dyDescent="0.2">
      <c r="A882" s="84"/>
      <c r="B882" s="84"/>
      <c r="C882" s="60"/>
      <c r="D882" s="66"/>
      <c r="E882" s="66"/>
      <c r="F882" s="66"/>
      <c r="G882" s="66"/>
      <c r="H882" s="66"/>
      <c r="I882" s="66"/>
      <c r="J882" s="66"/>
      <c r="K882" s="66"/>
      <c r="L882" s="66"/>
      <c r="M882" s="66"/>
      <c r="N882" s="66"/>
    </row>
    <row r="883" spans="1:14" x14ac:dyDescent="0.2">
      <c r="A883" s="84"/>
      <c r="B883" s="84"/>
      <c r="C883" s="60"/>
      <c r="D883" s="66"/>
      <c r="E883" s="66"/>
      <c r="F883" s="66"/>
      <c r="G883" s="66"/>
      <c r="H883" s="66"/>
      <c r="I883" s="66"/>
      <c r="J883" s="66"/>
      <c r="K883" s="66"/>
      <c r="L883" s="66"/>
      <c r="M883" s="66"/>
      <c r="N883" s="66"/>
    </row>
    <row r="884" spans="1:14" x14ac:dyDescent="0.2">
      <c r="A884" s="84"/>
      <c r="B884" s="84"/>
      <c r="C884" s="60"/>
      <c r="D884" s="66"/>
      <c r="E884" s="66"/>
      <c r="F884" s="66"/>
      <c r="G884" s="66"/>
      <c r="H884" s="66"/>
      <c r="I884" s="66"/>
      <c r="J884" s="66"/>
      <c r="K884" s="66"/>
      <c r="L884" s="66"/>
      <c r="M884" s="66"/>
      <c r="N884" s="66"/>
    </row>
    <row r="885" spans="1:14" x14ac:dyDescent="0.2">
      <c r="A885" s="84"/>
      <c r="B885" s="84"/>
      <c r="C885" s="60"/>
      <c r="D885" s="66"/>
      <c r="E885" s="66"/>
      <c r="F885" s="66"/>
      <c r="G885" s="66"/>
      <c r="H885" s="66"/>
      <c r="I885" s="66"/>
      <c r="J885" s="66"/>
      <c r="K885" s="66"/>
      <c r="L885" s="66"/>
      <c r="M885" s="66"/>
      <c r="N885" s="66"/>
    </row>
    <row r="886" spans="1:14" x14ac:dyDescent="0.2">
      <c r="A886" s="84"/>
      <c r="B886" s="84"/>
      <c r="C886" s="60"/>
      <c r="D886" s="66"/>
      <c r="E886" s="66"/>
      <c r="F886" s="66"/>
      <c r="G886" s="66"/>
      <c r="H886" s="66"/>
      <c r="I886" s="66"/>
      <c r="J886" s="66"/>
      <c r="K886" s="66"/>
      <c r="L886" s="66"/>
      <c r="M886" s="66"/>
      <c r="N886" s="66"/>
    </row>
    <row r="887" spans="1:14" x14ac:dyDescent="0.2">
      <c r="A887" s="84"/>
      <c r="B887" s="84"/>
      <c r="C887" s="60"/>
      <c r="D887" s="66"/>
      <c r="E887" s="66"/>
      <c r="F887" s="66"/>
      <c r="G887" s="66"/>
      <c r="H887" s="66"/>
      <c r="I887" s="66"/>
      <c r="J887" s="66"/>
      <c r="K887" s="66"/>
      <c r="L887" s="66"/>
      <c r="M887" s="66"/>
      <c r="N887" s="66"/>
    </row>
    <row r="888" spans="1:14" x14ac:dyDescent="0.2">
      <c r="A888" s="84"/>
      <c r="B888" s="84"/>
      <c r="C888" s="60"/>
      <c r="D888" s="66"/>
      <c r="E888" s="66"/>
      <c r="F888" s="66"/>
      <c r="G888" s="66"/>
      <c r="H888" s="66"/>
      <c r="I888" s="66"/>
      <c r="J888" s="66"/>
      <c r="K888" s="66"/>
      <c r="L888" s="66"/>
      <c r="M888" s="66"/>
      <c r="N888" s="66"/>
    </row>
    <row r="889" spans="1:14" x14ac:dyDescent="0.2">
      <c r="A889" s="84"/>
      <c r="B889" s="84"/>
      <c r="C889" s="60"/>
      <c r="D889" s="66"/>
      <c r="E889" s="66"/>
      <c r="F889" s="66"/>
      <c r="G889" s="66"/>
      <c r="H889" s="66"/>
      <c r="I889" s="66"/>
      <c r="J889" s="66"/>
      <c r="K889" s="66"/>
      <c r="L889" s="66"/>
      <c r="M889" s="66"/>
      <c r="N889" s="66"/>
    </row>
    <row r="890" spans="1:14" x14ac:dyDescent="0.2">
      <c r="A890" s="84"/>
      <c r="B890" s="84"/>
      <c r="C890" s="60"/>
      <c r="D890" s="66"/>
      <c r="E890" s="66"/>
      <c r="F890" s="66"/>
      <c r="G890" s="66"/>
      <c r="H890" s="66"/>
      <c r="I890" s="66"/>
      <c r="J890" s="66"/>
      <c r="K890" s="66"/>
      <c r="L890" s="66"/>
      <c r="M890" s="66"/>
      <c r="N890" s="66"/>
    </row>
    <row r="891" spans="1:14" x14ac:dyDescent="0.2">
      <c r="A891" s="84"/>
      <c r="B891" s="84"/>
      <c r="C891" s="60"/>
      <c r="D891" s="66"/>
      <c r="E891" s="66"/>
      <c r="F891" s="66"/>
      <c r="G891" s="66"/>
      <c r="H891" s="66"/>
      <c r="I891" s="66"/>
      <c r="J891" s="66"/>
      <c r="K891" s="66"/>
      <c r="L891" s="66"/>
      <c r="M891" s="66"/>
      <c r="N891" s="66"/>
    </row>
    <row r="892" spans="1:14" x14ac:dyDescent="0.2">
      <c r="A892" s="84"/>
      <c r="B892" s="84"/>
      <c r="C892" s="60"/>
      <c r="D892" s="66"/>
      <c r="E892" s="66"/>
      <c r="F892" s="66"/>
      <c r="G892" s="66"/>
      <c r="H892" s="66"/>
      <c r="I892" s="66"/>
      <c r="J892" s="66"/>
      <c r="K892" s="66"/>
      <c r="L892" s="66"/>
      <c r="M892" s="66"/>
      <c r="N892" s="66"/>
    </row>
    <row r="893" spans="1:14" x14ac:dyDescent="0.2">
      <c r="A893" s="84"/>
      <c r="B893" s="84"/>
      <c r="C893" s="60"/>
      <c r="D893" s="66"/>
      <c r="E893" s="66"/>
      <c r="F893" s="66"/>
      <c r="G893" s="66"/>
      <c r="H893" s="66"/>
      <c r="I893" s="66"/>
      <c r="J893" s="66"/>
      <c r="K893" s="66"/>
      <c r="L893" s="66"/>
      <c r="M893" s="66"/>
      <c r="N893" s="66"/>
    </row>
    <row r="894" spans="1:14" x14ac:dyDescent="0.2">
      <c r="A894" s="84"/>
      <c r="B894" s="84"/>
      <c r="C894" s="60"/>
      <c r="D894" s="66"/>
      <c r="E894" s="66"/>
      <c r="F894" s="66"/>
      <c r="G894" s="66"/>
      <c r="H894" s="66"/>
      <c r="I894" s="66"/>
      <c r="J894" s="66"/>
      <c r="K894" s="66"/>
      <c r="L894" s="66"/>
      <c r="M894" s="66"/>
      <c r="N894" s="66"/>
    </row>
    <row r="895" spans="1:14" x14ac:dyDescent="0.2">
      <c r="A895" s="84"/>
      <c r="B895" s="84"/>
      <c r="C895" s="60"/>
      <c r="D895" s="66"/>
      <c r="E895" s="66"/>
      <c r="F895" s="66"/>
      <c r="G895" s="66"/>
      <c r="H895" s="66"/>
      <c r="I895" s="66"/>
      <c r="J895" s="66"/>
      <c r="K895" s="66"/>
      <c r="L895" s="66"/>
      <c r="M895" s="66"/>
      <c r="N895" s="66"/>
    </row>
    <row r="896" spans="1:14" x14ac:dyDescent="0.2">
      <c r="A896" s="84"/>
      <c r="B896" s="84"/>
      <c r="C896" s="60"/>
      <c r="D896" s="66"/>
      <c r="E896" s="66"/>
      <c r="F896" s="66"/>
      <c r="G896" s="66"/>
      <c r="H896" s="66"/>
      <c r="I896" s="66"/>
      <c r="J896" s="66"/>
      <c r="K896" s="66"/>
      <c r="L896" s="66"/>
      <c r="M896" s="66"/>
      <c r="N896" s="66"/>
    </row>
    <row r="897" spans="1:14" x14ac:dyDescent="0.2">
      <c r="A897" s="84"/>
      <c r="B897" s="84"/>
      <c r="C897" s="60"/>
      <c r="D897" s="66"/>
      <c r="E897" s="66"/>
      <c r="F897" s="66"/>
      <c r="G897" s="66"/>
      <c r="H897" s="66"/>
      <c r="I897" s="66"/>
      <c r="J897" s="66"/>
      <c r="K897" s="66"/>
      <c r="L897" s="66"/>
      <c r="M897" s="66"/>
      <c r="N897" s="66"/>
    </row>
    <row r="898" spans="1:14" x14ac:dyDescent="0.2">
      <c r="A898" s="84"/>
      <c r="B898" s="84"/>
      <c r="C898" s="60"/>
      <c r="D898" s="66"/>
      <c r="E898" s="66"/>
      <c r="F898" s="66"/>
      <c r="G898" s="66"/>
      <c r="H898" s="66"/>
      <c r="I898" s="66"/>
      <c r="J898" s="66"/>
      <c r="K898" s="66"/>
      <c r="L898" s="66"/>
      <c r="M898" s="66"/>
      <c r="N898" s="66"/>
    </row>
    <row r="899" spans="1:14" x14ac:dyDescent="0.2">
      <c r="A899" s="84"/>
      <c r="B899" s="84"/>
      <c r="C899" s="60"/>
      <c r="D899" s="66"/>
      <c r="E899" s="66"/>
      <c r="F899" s="66"/>
      <c r="G899" s="66"/>
      <c r="H899" s="66"/>
      <c r="I899" s="66"/>
      <c r="J899" s="66"/>
      <c r="K899" s="66"/>
      <c r="L899" s="66"/>
      <c r="M899" s="66"/>
      <c r="N899" s="66"/>
    </row>
    <row r="900" spans="1:14" x14ac:dyDescent="0.2">
      <c r="A900" s="84"/>
      <c r="B900" s="84"/>
      <c r="C900" s="60"/>
      <c r="D900" s="66"/>
      <c r="E900" s="66"/>
      <c r="F900" s="66"/>
      <c r="G900" s="66"/>
      <c r="H900" s="66"/>
      <c r="I900" s="66"/>
      <c r="J900" s="66"/>
      <c r="K900" s="66"/>
      <c r="L900" s="66"/>
      <c r="M900" s="66"/>
      <c r="N900" s="66"/>
    </row>
    <row r="901" spans="1:14" x14ac:dyDescent="0.2">
      <c r="A901" s="84"/>
      <c r="B901" s="84"/>
      <c r="C901" s="60"/>
      <c r="D901" s="66"/>
      <c r="E901" s="66"/>
      <c r="F901" s="66"/>
      <c r="G901" s="66"/>
      <c r="H901" s="66"/>
      <c r="I901" s="66"/>
      <c r="J901" s="66"/>
      <c r="K901" s="66"/>
      <c r="L901" s="66"/>
      <c r="M901" s="66"/>
      <c r="N901" s="66"/>
    </row>
    <row r="902" spans="1:14" x14ac:dyDescent="0.2">
      <c r="A902" s="84"/>
      <c r="B902" s="84"/>
      <c r="C902" s="60"/>
      <c r="D902" s="66"/>
      <c r="E902" s="66"/>
      <c r="F902" s="66"/>
      <c r="G902" s="66"/>
      <c r="H902" s="66"/>
      <c r="I902" s="66"/>
      <c r="J902" s="66"/>
      <c r="K902" s="66"/>
      <c r="L902" s="66"/>
      <c r="M902" s="66"/>
      <c r="N902" s="66"/>
    </row>
    <row r="903" spans="1:14" x14ac:dyDescent="0.2">
      <c r="A903" s="84"/>
      <c r="B903" s="84"/>
      <c r="C903" s="60"/>
      <c r="D903" s="66"/>
      <c r="E903" s="66"/>
      <c r="F903" s="66"/>
      <c r="G903" s="66"/>
      <c r="H903" s="66"/>
      <c r="I903" s="66"/>
      <c r="J903" s="66"/>
      <c r="K903" s="66"/>
      <c r="L903" s="66"/>
      <c r="M903" s="66"/>
      <c r="N903" s="66"/>
    </row>
    <row r="904" spans="1:14" x14ac:dyDescent="0.2">
      <c r="A904" s="84"/>
      <c r="B904" s="84"/>
      <c r="C904" s="60"/>
      <c r="D904" s="66"/>
      <c r="E904" s="66"/>
      <c r="F904" s="66"/>
      <c r="G904" s="66"/>
      <c r="H904" s="66"/>
      <c r="I904" s="66"/>
      <c r="J904" s="66"/>
      <c r="K904" s="66"/>
      <c r="L904" s="66"/>
      <c r="M904" s="66"/>
      <c r="N904" s="66"/>
    </row>
    <row r="905" spans="1:14" x14ac:dyDescent="0.2">
      <c r="A905" s="84"/>
      <c r="B905" s="84"/>
      <c r="C905" s="60"/>
      <c r="D905" s="66"/>
      <c r="E905" s="66"/>
      <c r="F905" s="66"/>
      <c r="G905" s="66"/>
      <c r="H905" s="66"/>
      <c r="I905" s="66"/>
      <c r="J905" s="66"/>
      <c r="K905" s="66"/>
      <c r="L905" s="66"/>
      <c r="M905" s="66"/>
      <c r="N905" s="66"/>
    </row>
    <row r="906" spans="1:14" x14ac:dyDescent="0.2">
      <c r="A906" s="84"/>
      <c r="B906" s="84"/>
      <c r="C906" s="60"/>
      <c r="D906" s="66"/>
      <c r="E906" s="66"/>
      <c r="F906" s="66"/>
      <c r="G906" s="66"/>
      <c r="H906" s="66"/>
      <c r="I906" s="66"/>
      <c r="J906" s="66"/>
      <c r="K906" s="66"/>
      <c r="L906" s="66"/>
      <c r="M906" s="66"/>
      <c r="N906" s="66"/>
    </row>
    <row r="907" spans="1:14" x14ac:dyDescent="0.2">
      <c r="A907" s="84"/>
      <c r="B907" s="84"/>
      <c r="C907" s="60"/>
      <c r="D907" s="66"/>
      <c r="E907" s="66"/>
      <c r="F907" s="66"/>
      <c r="G907" s="66"/>
      <c r="H907" s="66"/>
      <c r="I907" s="66"/>
      <c r="J907" s="66"/>
      <c r="K907" s="66"/>
      <c r="L907" s="66"/>
      <c r="M907" s="66"/>
      <c r="N907" s="66"/>
    </row>
    <row r="908" spans="1:14" x14ac:dyDescent="0.2">
      <c r="A908" s="84"/>
      <c r="B908" s="84"/>
      <c r="C908" s="60"/>
      <c r="D908" s="66"/>
      <c r="E908" s="66"/>
      <c r="F908" s="66"/>
      <c r="G908" s="66"/>
      <c r="H908" s="66"/>
      <c r="I908" s="66"/>
      <c r="J908" s="66"/>
      <c r="K908" s="66"/>
      <c r="L908" s="66"/>
      <c r="M908" s="66"/>
      <c r="N908" s="66"/>
    </row>
    <row r="909" spans="1:14" x14ac:dyDescent="0.2">
      <c r="A909" s="84"/>
      <c r="B909" s="84"/>
      <c r="C909" s="60"/>
      <c r="D909" s="66"/>
      <c r="E909" s="66"/>
      <c r="F909" s="66"/>
      <c r="G909" s="66"/>
      <c r="H909" s="66"/>
      <c r="I909" s="66"/>
      <c r="J909" s="66"/>
      <c r="K909" s="66"/>
      <c r="L909" s="66"/>
      <c r="M909" s="66"/>
      <c r="N909" s="66"/>
    </row>
    <row r="910" spans="1:14" x14ac:dyDescent="0.2">
      <c r="A910" s="84"/>
      <c r="B910" s="84"/>
      <c r="C910" s="60"/>
      <c r="D910" s="66"/>
      <c r="E910" s="66"/>
      <c r="F910" s="66"/>
      <c r="G910" s="66"/>
      <c r="H910" s="66"/>
      <c r="I910" s="66"/>
      <c r="J910" s="66"/>
      <c r="K910" s="66"/>
      <c r="L910" s="66"/>
      <c r="M910" s="66"/>
      <c r="N910" s="66"/>
    </row>
    <row r="911" spans="1:14" x14ac:dyDescent="0.2">
      <c r="A911" s="84"/>
      <c r="B911" s="84"/>
      <c r="C911" s="60"/>
      <c r="D911" s="66"/>
      <c r="E911" s="66"/>
      <c r="F911" s="66"/>
      <c r="G911" s="66"/>
      <c r="H911" s="66"/>
      <c r="I911" s="66"/>
      <c r="J911" s="66"/>
      <c r="K911" s="66"/>
      <c r="L911" s="66"/>
      <c r="M911" s="66"/>
      <c r="N911" s="66"/>
    </row>
    <row r="912" spans="1:14" x14ac:dyDescent="0.2">
      <c r="A912" s="84"/>
      <c r="B912" s="84"/>
      <c r="C912" s="60"/>
      <c r="D912" s="66"/>
      <c r="E912" s="66"/>
      <c r="F912" s="66"/>
      <c r="G912" s="66"/>
      <c r="H912" s="66"/>
      <c r="I912" s="66"/>
      <c r="J912" s="66"/>
      <c r="K912" s="66"/>
      <c r="L912" s="66"/>
      <c r="M912" s="66"/>
      <c r="N912" s="66"/>
    </row>
    <row r="913" spans="1:14" x14ac:dyDescent="0.2">
      <c r="A913" s="84"/>
      <c r="B913" s="84"/>
      <c r="C913" s="60"/>
      <c r="D913" s="66"/>
      <c r="E913" s="66"/>
      <c r="F913" s="66"/>
      <c r="G913" s="66"/>
      <c r="H913" s="66"/>
      <c r="I913" s="66"/>
      <c r="J913" s="66"/>
      <c r="K913" s="66"/>
      <c r="L913" s="66"/>
      <c r="M913" s="66"/>
      <c r="N913" s="66"/>
    </row>
    <row r="914" spans="1:14" x14ac:dyDescent="0.2">
      <c r="A914" s="84"/>
      <c r="B914" s="84"/>
      <c r="C914" s="60"/>
      <c r="D914" s="66"/>
      <c r="E914" s="66"/>
      <c r="F914" s="66"/>
      <c r="G914" s="66"/>
      <c r="H914" s="66"/>
      <c r="I914" s="66"/>
      <c r="J914" s="66"/>
      <c r="K914" s="66"/>
      <c r="L914" s="66"/>
      <c r="M914" s="66"/>
      <c r="N914" s="66"/>
    </row>
    <row r="915" spans="1:14" x14ac:dyDescent="0.2">
      <c r="A915" s="84"/>
      <c r="B915" s="84"/>
      <c r="C915" s="60"/>
      <c r="D915" s="66"/>
      <c r="E915" s="66"/>
      <c r="F915" s="66"/>
      <c r="G915" s="66"/>
      <c r="H915" s="66"/>
      <c r="I915" s="66"/>
      <c r="J915" s="66"/>
      <c r="K915" s="66"/>
      <c r="L915" s="66"/>
      <c r="M915" s="66"/>
      <c r="N915" s="66"/>
    </row>
    <row r="916" spans="1:14" x14ac:dyDescent="0.2">
      <c r="A916" s="84"/>
      <c r="B916" s="84"/>
      <c r="C916" s="60"/>
      <c r="D916" s="66"/>
      <c r="E916" s="66"/>
      <c r="F916" s="66"/>
      <c r="G916" s="66"/>
      <c r="H916" s="66"/>
      <c r="I916" s="66"/>
      <c r="J916" s="66"/>
      <c r="K916" s="66"/>
      <c r="L916" s="66"/>
      <c r="M916" s="66"/>
      <c r="N916" s="66"/>
    </row>
    <row r="917" spans="1:14" x14ac:dyDescent="0.2">
      <c r="A917" s="84"/>
      <c r="B917" s="84"/>
      <c r="C917" s="60"/>
      <c r="D917" s="66"/>
      <c r="E917" s="66"/>
      <c r="F917" s="66"/>
      <c r="G917" s="66"/>
      <c r="H917" s="66"/>
      <c r="I917" s="66"/>
      <c r="J917" s="66"/>
      <c r="K917" s="66"/>
      <c r="L917" s="66"/>
      <c r="M917" s="66"/>
      <c r="N917" s="66"/>
    </row>
    <row r="918" spans="1:14" x14ac:dyDescent="0.2">
      <c r="A918" s="84"/>
      <c r="B918" s="84"/>
      <c r="C918" s="60"/>
      <c r="D918" s="66"/>
      <c r="E918" s="66"/>
      <c r="F918" s="66"/>
      <c r="G918" s="66"/>
      <c r="H918" s="66"/>
      <c r="I918" s="66"/>
      <c r="J918" s="66"/>
      <c r="K918" s="66"/>
      <c r="L918" s="66"/>
      <c r="M918" s="66"/>
      <c r="N918" s="66"/>
    </row>
    <row r="919" spans="1:14" x14ac:dyDescent="0.2">
      <c r="A919" s="84"/>
      <c r="B919" s="84"/>
      <c r="C919" s="60"/>
      <c r="D919" s="66"/>
      <c r="E919" s="66"/>
      <c r="F919" s="66"/>
      <c r="G919" s="66"/>
      <c r="H919" s="66"/>
      <c r="I919" s="66"/>
      <c r="J919" s="66"/>
      <c r="K919" s="66"/>
      <c r="L919" s="66"/>
      <c r="M919" s="66"/>
      <c r="N919" s="66"/>
    </row>
    <row r="920" spans="1:14" x14ac:dyDescent="0.2">
      <c r="A920" s="84"/>
      <c r="B920" s="84"/>
      <c r="C920" s="60"/>
      <c r="D920" s="66"/>
      <c r="E920" s="66"/>
      <c r="F920" s="66"/>
      <c r="G920" s="66"/>
      <c r="H920" s="66"/>
      <c r="I920" s="66"/>
      <c r="J920" s="66"/>
      <c r="K920" s="66"/>
      <c r="L920" s="66"/>
      <c r="M920" s="66"/>
      <c r="N920" s="66"/>
    </row>
    <row r="921" spans="1:14" x14ac:dyDescent="0.2">
      <c r="A921" s="84"/>
      <c r="B921" s="84"/>
      <c r="C921" s="60"/>
      <c r="D921" s="66"/>
      <c r="E921" s="66"/>
      <c r="F921" s="66"/>
      <c r="G921" s="66"/>
      <c r="H921" s="66"/>
      <c r="I921" s="66"/>
      <c r="J921" s="66"/>
      <c r="K921" s="66"/>
      <c r="L921" s="66"/>
      <c r="M921" s="66"/>
      <c r="N921" s="66"/>
    </row>
    <row r="922" spans="1:14" x14ac:dyDescent="0.2">
      <c r="A922" s="84"/>
      <c r="B922" s="84"/>
      <c r="C922" s="60"/>
      <c r="D922" s="66"/>
      <c r="E922" s="66"/>
      <c r="F922" s="66"/>
      <c r="G922" s="66"/>
      <c r="H922" s="66"/>
      <c r="I922" s="66"/>
      <c r="J922" s="66"/>
      <c r="K922" s="66"/>
      <c r="L922" s="66"/>
      <c r="M922" s="66"/>
      <c r="N922" s="66"/>
    </row>
    <row r="923" spans="1:14" x14ac:dyDescent="0.2">
      <c r="A923" s="84"/>
      <c r="B923" s="84"/>
      <c r="C923" s="60"/>
      <c r="D923" s="66"/>
      <c r="E923" s="66"/>
      <c r="F923" s="66"/>
      <c r="G923" s="66"/>
      <c r="H923" s="66"/>
      <c r="I923" s="66"/>
      <c r="J923" s="66"/>
      <c r="K923" s="66"/>
      <c r="L923" s="66"/>
      <c r="M923" s="66"/>
      <c r="N923" s="66"/>
    </row>
    <row r="924" spans="1:14" x14ac:dyDescent="0.2">
      <c r="A924" s="84"/>
      <c r="B924" s="84"/>
      <c r="C924" s="60"/>
      <c r="D924" s="66"/>
      <c r="E924" s="66"/>
      <c r="F924" s="66"/>
      <c r="G924" s="66"/>
      <c r="H924" s="66"/>
      <c r="I924" s="66"/>
      <c r="J924" s="66"/>
      <c r="K924" s="66"/>
      <c r="L924" s="66"/>
      <c r="M924" s="66"/>
      <c r="N924" s="66"/>
    </row>
    <row r="925" spans="1:14" x14ac:dyDescent="0.2">
      <c r="A925" s="84"/>
      <c r="B925" s="84"/>
      <c r="C925" s="60"/>
      <c r="D925" s="66"/>
      <c r="E925" s="66"/>
      <c r="F925" s="66"/>
      <c r="G925" s="66"/>
      <c r="H925" s="66"/>
      <c r="I925" s="66"/>
      <c r="J925" s="66"/>
      <c r="K925" s="66"/>
      <c r="L925" s="66"/>
      <c r="M925" s="66"/>
      <c r="N925" s="66"/>
    </row>
    <row r="926" spans="1:14" x14ac:dyDescent="0.2">
      <c r="A926" s="84"/>
      <c r="B926" s="84"/>
      <c r="C926" s="60"/>
      <c r="D926" s="66"/>
      <c r="E926" s="66"/>
      <c r="F926" s="66"/>
      <c r="G926" s="66"/>
      <c r="H926" s="66"/>
      <c r="I926" s="66"/>
      <c r="J926" s="66"/>
      <c r="K926" s="66"/>
      <c r="L926" s="66"/>
      <c r="M926" s="66"/>
      <c r="N926" s="66"/>
    </row>
    <row r="927" spans="1:14" x14ac:dyDescent="0.2">
      <c r="A927" s="84"/>
      <c r="B927" s="84"/>
      <c r="C927" s="60"/>
      <c r="D927" s="66"/>
      <c r="E927" s="66"/>
      <c r="F927" s="66"/>
      <c r="G927" s="66"/>
      <c r="H927" s="66"/>
      <c r="I927" s="66"/>
      <c r="J927" s="66"/>
      <c r="K927" s="66"/>
      <c r="L927" s="66"/>
      <c r="M927" s="66"/>
      <c r="N927" s="66"/>
    </row>
    <row r="928" spans="1:14" x14ac:dyDescent="0.2">
      <c r="A928" s="84"/>
      <c r="B928" s="84"/>
      <c r="C928" s="60"/>
      <c r="D928" s="66"/>
      <c r="E928" s="66"/>
      <c r="F928" s="66"/>
      <c r="G928" s="66"/>
      <c r="H928" s="66"/>
      <c r="I928" s="66"/>
      <c r="J928" s="66"/>
      <c r="K928" s="66"/>
      <c r="L928" s="66"/>
      <c r="M928" s="66"/>
      <c r="N928" s="66"/>
    </row>
    <row r="929" spans="1:14" x14ac:dyDescent="0.2">
      <c r="A929" s="84"/>
      <c r="B929" s="84"/>
      <c r="C929" s="60"/>
      <c r="D929" s="66"/>
      <c r="E929" s="66"/>
      <c r="F929" s="66"/>
      <c r="G929" s="66"/>
      <c r="H929" s="66"/>
      <c r="I929" s="66"/>
      <c r="J929" s="66"/>
      <c r="K929" s="66"/>
      <c r="L929" s="66"/>
      <c r="M929" s="66"/>
      <c r="N929" s="66"/>
    </row>
    <row r="930" spans="1:14" x14ac:dyDescent="0.2">
      <c r="A930" s="84"/>
      <c r="B930" s="84"/>
      <c r="C930" s="60"/>
      <c r="D930" s="66"/>
      <c r="E930" s="66"/>
      <c r="F930" s="66"/>
      <c r="G930" s="66"/>
      <c r="H930" s="66"/>
      <c r="I930" s="66"/>
      <c r="J930" s="66"/>
      <c r="K930" s="66"/>
      <c r="L930" s="66"/>
      <c r="M930" s="66"/>
      <c r="N930" s="66"/>
    </row>
    <row r="931" spans="1:14" x14ac:dyDescent="0.2">
      <c r="A931" s="84"/>
      <c r="B931" s="84"/>
      <c r="C931" s="60"/>
      <c r="D931" s="66"/>
      <c r="E931" s="66"/>
      <c r="F931" s="66"/>
      <c r="G931" s="66"/>
      <c r="H931" s="66"/>
      <c r="I931" s="66"/>
      <c r="J931" s="66"/>
      <c r="K931" s="66"/>
      <c r="L931" s="66"/>
      <c r="M931" s="66"/>
      <c r="N931" s="66"/>
    </row>
    <row r="932" spans="1:14" x14ac:dyDescent="0.2">
      <c r="A932" s="84"/>
      <c r="B932" s="84"/>
      <c r="C932" s="60"/>
      <c r="D932" s="66"/>
      <c r="E932" s="66"/>
      <c r="F932" s="66"/>
      <c r="G932" s="66"/>
      <c r="H932" s="66"/>
      <c r="I932" s="66"/>
      <c r="J932" s="66"/>
      <c r="K932" s="66"/>
      <c r="L932" s="66"/>
      <c r="M932" s="66"/>
      <c r="N932" s="66"/>
    </row>
    <row r="933" spans="1:14" x14ac:dyDescent="0.2">
      <c r="A933" s="84"/>
      <c r="B933" s="84"/>
      <c r="C933" s="60"/>
      <c r="D933" s="66"/>
      <c r="E933" s="66"/>
      <c r="F933" s="66"/>
      <c r="G933" s="66"/>
      <c r="H933" s="66"/>
      <c r="I933" s="66"/>
      <c r="J933" s="66"/>
      <c r="K933" s="66"/>
      <c r="L933" s="66"/>
      <c r="M933" s="66"/>
      <c r="N933" s="66"/>
    </row>
    <row r="934" spans="1:14" x14ac:dyDescent="0.2">
      <c r="A934" s="84"/>
      <c r="B934" s="84"/>
      <c r="C934" s="60"/>
      <c r="D934" s="66"/>
      <c r="E934" s="66"/>
      <c r="F934" s="66"/>
      <c r="G934" s="66"/>
      <c r="H934" s="66"/>
      <c r="I934" s="66"/>
      <c r="J934" s="66"/>
      <c r="K934" s="66"/>
      <c r="L934" s="66"/>
      <c r="M934" s="66"/>
      <c r="N934" s="66"/>
    </row>
    <row r="935" spans="1:14" x14ac:dyDescent="0.2">
      <c r="A935" s="84"/>
      <c r="B935" s="84"/>
      <c r="C935" s="60"/>
      <c r="D935" s="66"/>
      <c r="E935" s="66"/>
      <c r="F935" s="66"/>
      <c r="G935" s="66"/>
      <c r="H935" s="66"/>
      <c r="I935" s="66"/>
      <c r="J935" s="66"/>
      <c r="K935" s="66"/>
      <c r="L935" s="66"/>
      <c r="M935" s="66"/>
      <c r="N935" s="66"/>
    </row>
    <row r="936" spans="1:14" x14ac:dyDescent="0.2">
      <c r="A936" s="84"/>
      <c r="B936" s="84"/>
      <c r="C936" s="60"/>
      <c r="D936" s="66"/>
      <c r="E936" s="66"/>
      <c r="F936" s="66"/>
      <c r="G936" s="66"/>
      <c r="H936" s="66"/>
      <c r="I936" s="66"/>
      <c r="J936" s="66"/>
      <c r="K936" s="66"/>
      <c r="L936" s="66"/>
      <c r="M936" s="66"/>
      <c r="N936" s="66"/>
    </row>
    <row r="937" spans="1:14" x14ac:dyDescent="0.2">
      <c r="A937" s="84"/>
      <c r="B937" s="84"/>
      <c r="C937" s="60"/>
      <c r="D937" s="66"/>
      <c r="E937" s="66"/>
      <c r="F937" s="66"/>
      <c r="G937" s="66"/>
      <c r="H937" s="66"/>
      <c r="I937" s="66"/>
      <c r="J937" s="66"/>
      <c r="K937" s="66"/>
      <c r="L937" s="66"/>
      <c r="M937" s="66"/>
      <c r="N937" s="66"/>
    </row>
    <row r="938" spans="1:14" x14ac:dyDescent="0.2">
      <c r="A938" s="84"/>
      <c r="B938" s="84"/>
      <c r="C938" s="60"/>
      <c r="D938" s="66"/>
      <c r="E938" s="66"/>
      <c r="F938" s="66"/>
      <c r="G938" s="66"/>
      <c r="H938" s="66"/>
      <c r="I938" s="66"/>
      <c r="J938" s="66"/>
      <c r="K938" s="66"/>
      <c r="L938" s="66"/>
      <c r="M938" s="66"/>
      <c r="N938" s="66"/>
    </row>
    <row r="939" spans="1:14" x14ac:dyDescent="0.2">
      <c r="A939" s="84"/>
      <c r="B939" s="84"/>
      <c r="C939" s="60"/>
      <c r="D939" s="66"/>
      <c r="E939" s="66"/>
      <c r="F939" s="66"/>
      <c r="G939" s="66"/>
      <c r="H939" s="66"/>
      <c r="I939" s="66"/>
      <c r="J939" s="66"/>
      <c r="K939" s="66"/>
      <c r="L939" s="66"/>
      <c r="M939" s="66"/>
      <c r="N939" s="66"/>
    </row>
    <row r="940" spans="1:14" x14ac:dyDescent="0.2">
      <c r="A940" s="84"/>
      <c r="B940" s="84"/>
      <c r="C940" s="60"/>
      <c r="D940" s="66"/>
      <c r="E940" s="66"/>
      <c r="F940" s="66"/>
      <c r="G940" s="66"/>
      <c r="H940" s="66"/>
      <c r="I940" s="66"/>
      <c r="J940" s="66"/>
      <c r="K940" s="66"/>
      <c r="L940" s="66"/>
      <c r="M940" s="66"/>
      <c r="N940" s="66"/>
    </row>
    <row r="941" spans="1:14" x14ac:dyDescent="0.2">
      <c r="A941" s="84"/>
      <c r="B941" s="84"/>
      <c r="C941" s="60"/>
      <c r="D941" s="66"/>
      <c r="E941" s="66"/>
      <c r="F941" s="66"/>
      <c r="G941" s="66"/>
      <c r="H941" s="66"/>
      <c r="I941" s="66"/>
      <c r="J941" s="66"/>
      <c r="K941" s="66"/>
      <c r="L941" s="66"/>
      <c r="M941" s="66"/>
      <c r="N941" s="66"/>
    </row>
    <row r="942" spans="1:14" x14ac:dyDescent="0.2">
      <c r="A942" s="84"/>
      <c r="B942" s="84"/>
      <c r="C942" s="60"/>
      <c r="D942" s="66"/>
      <c r="E942" s="66"/>
      <c r="F942" s="66"/>
      <c r="G942" s="66"/>
      <c r="H942" s="66"/>
      <c r="I942" s="66"/>
      <c r="J942" s="66"/>
      <c r="K942" s="66"/>
      <c r="L942" s="66"/>
      <c r="M942" s="66"/>
      <c r="N942" s="66"/>
    </row>
    <row r="943" spans="1:14" x14ac:dyDescent="0.2">
      <c r="A943" s="84"/>
      <c r="B943" s="84"/>
      <c r="C943" s="60"/>
      <c r="D943" s="66"/>
      <c r="E943" s="66"/>
      <c r="F943" s="66"/>
      <c r="G943" s="66"/>
      <c r="H943" s="66"/>
      <c r="I943" s="66"/>
      <c r="J943" s="66"/>
      <c r="K943" s="66"/>
      <c r="L943" s="66"/>
      <c r="M943" s="66"/>
      <c r="N943" s="66"/>
    </row>
    <row r="944" spans="1:14" x14ac:dyDescent="0.2">
      <c r="A944" s="84"/>
      <c r="B944" s="84"/>
      <c r="C944" s="60"/>
      <c r="D944" s="66"/>
      <c r="E944" s="66"/>
      <c r="F944" s="66"/>
      <c r="G944" s="66"/>
      <c r="H944" s="66"/>
      <c r="I944" s="66"/>
      <c r="J944" s="66"/>
      <c r="K944" s="66"/>
      <c r="L944" s="66"/>
      <c r="M944" s="66"/>
      <c r="N944" s="66"/>
    </row>
    <row r="945" spans="1:14" x14ac:dyDescent="0.2">
      <c r="A945" s="84"/>
      <c r="B945" s="84"/>
      <c r="C945" s="60"/>
      <c r="D945" s="66"/>
      <c r="E945" s="66"/>
      <c r="F945" s="66"/>
      <c r="G945" s="66"/>
      <c r="H945" s="66"/>
      <c r="I945" s="66"/>
      <c r="J945" s="66"/>
      <c r="K945" s="66"/>
      <c r="L945" s="66"/>
      <c r="M945" s="66"/>
      <c r="N945" s="66"/>
    </row>
    <row r="946" spans="1:14" x14ac:dyDescent="0.2">
      <c r="A946" s="84"/>
      <c r="B946" s="84"/>
      <c r="C946" s="60"/>
      <c r="D946" s="66"/>
      <c r="E946" s="66"/>
      <c r="F946" s="66"/>
      <c r="G946" s="66"/>
      <c r="H946" s="66"/>
      <c r="I946" s="66"/>
      <c r="J946" s="66"/>
      <c r="K946" s="66"/>
      <c r="L946" s="66"/>
      <c r="M946" s="66"/>
      <c r="N946" s="66"/>
    </row>
    <row r="947" spans="1:14" x14ac:dyDescent="0.2">
      <c r="A947" s="84"/>
      <c r="B947" s="84"/>
      <c r="C947" s="60"/>
      <c r="D947" s="66"/>
      <c r="E947" s="66"/>
      <c r="F947" s="66"/>
      <c r="G947" s="66"/>
      <c r="H947" s="66"/>
      <c r="I947" s="66"/>
      <c r="J947" s="66"/>
      <c r="K947" s="66"/>
      <c r="L947" s="66"/>
      <c r="M947" s="66"/>
      <c r="N947" s="66"/>
    </row>
    <row r="948" spans="1:14" x14ac:dyDescent="0.2">
      <c r="A948" s="84"/>
      <c r="B948" s="84"/>
      <c r="C948" s="60"/>
      <c r="D948" s="66"/>
      <c r="E948" s="66"/>
      <c r="F948" s="66"/>
      <c r="G948" s="66"/>
      <c r="H948" s="66"/>
      <c r="I948" s="66"/>
      <c r="J948" s="66"/>
      <c r="K948" s="66"/>
      <c r="L948" s="66"/>
      <c r="M948" s="66"/>
      <c r="N948" s="66"/>
    </row>
    <row r="949" spans="1:14" x14ac:dyDescent="0.2">
      <c r="A949" s="84"/>
      <c r="B949" s="84"/>
      <c r="C949" s="60"/>
      <c r="D949" s="66"/>
      <c r="E949" s="66"/>
      <c r="F949" s="66"/>
      <c r="G949" s="66"/>
      <c r="H949" s="66"/>
      <c r="I949" s="66"/>
      <c r="J949" s="66"/>
      <c r="K949" s="66"/>
      <c r="L949" s="66"/>
      <c r="M949" s="66"/>
      <c r="N949" s="66"/>
    </row>
    <row r="950" spans="1:14" x14ac:dyDescent="0.2">
      <c r="A950" s="84"/>
      <c r="B950" s="84"/>
      <c r="C950" s="60"/>
      <c r="D950" s="66"/>
      <c r="E950" s="66"/>
      <c r="F950" s="66"/>
      <c r="G950" s="66"/>
      <c r="H950" s="66"/>
      <c r="I950" s="66"/>
      <c r="J950" s="66"/>
      <c r="K950" s="66"/>
      <c r="L950" s="66"/>
      <c r="M950" s="66"/>
      <c r="N950" s="66"/>
    </row>
    <row r="951" spans="1:14" x14ac:dyDescent="0.2">
      <c r="A951" s="84"/>
      <c r="B951" s="84"/>
      <c r="C951" s="60"/>
      <c r="D951" s="66"/>
      <c r="E951" s="66"/>
      <c r="F951" s="66"/>
      <c r="G951" s="66"/>
      <c r="H951" s="66"/>
      <c r="I951" s="66"/>
      <c r="J951" s="66"/>
      <c r="K951" s="66"/>
      <c r="L951" s="66"/>
      <c r="M951" s="66"/>
      <c r="N951" s="66"/>
    </row>
    <row r="952" spans="1:14" x14ac:dyDescent="0.2">
      <c r="A952" s="84"/>
      <c r="B952" s="84"/>
      <c r="C952" s="60"/>
      <c r="D952" s="66"/>
      <c r="E952" s="66"/>
      <c r="F952" s="66"/>
      <c r="G952" s="66"/>
      <c r="H952" s="66"/>
      <c r="I952" s="66"/>
      <c r="J952" s="66"/>
      <c r="K952" s="66"/>
      <c r="L952" s="66"/>
      <c r="M952" s="66"/>
      <c r="N952" s="66"/>
    </row>
    <row r="953" spans="1:14" x14ac:dyDescent="0.2">
      <c r="A953" s="84"/>
      <c r="B953" s="84"/>
      <c r="C953" s="60"/>
      <c r="D953" s="66"/>
      <c r="E953" s="66"/>
      <c r="F953" s="66"/>
      <c r="G953" s="66"/>
      <c r="H953" s="66"/>
      <c r="I953" s="66"/>
      <c r="J953" s="66"/>
      <c r="K953" s="66"/>
      <c r="L953" s="66"/>
      <c r="M953" s="66"/>
      <c r="N953" s="66"/>
    </row>
    <row r="954" spans="1:14" x14ac:dyDescent="0.2">
      <c r="A954" s="84"/>
      <c r="B954" s="84"/>
      <c r="C954" s="60"/>
      <c r="D954" s="66"/>
      <c r="E954" s="66"/>
      <c r="F954" s="66"/>
      <c r="G954" s="66"/>
      <c r="H954" s="66"/>
      <c r="I954" s="66"/>
      <c r="J954" s="66"/>
      <c r="K954" s="66"/>
      <c r="L954" s="66"/>
      <c r="M954" s="66"/>
      <c r="N954" s="66"/>
    </row>
    <row r="955" spans="1:14" x14ac:dyDescent="0.2">
      <c r="A955" s="84"/>
      <c r="B955" s="84"/>
      <c r="C955" s="60"/>
      <c r="D955" s="66"/>
      <c r="E955" s="66"/>
      <c r="F955" s="66"/>
      <c r="G955" s="66"/>
      <c r="H955" s="66"/>
      <c r="I955" s="66"/>
      <c r="J955" s="66"/>
      <c r="K955" s="66"/>
      <c r="L955" s="66"/>
      <c r="M955" s="66"/>
      <c r="N955" s="66"/>
    </row>
    <row r="956" spans="1:14" x14ac:dyDescent="0.2">
      <c r="A956" s="84"/>
      <c r="B956" s="84"/>
      <c r="C956" s="60"/>
      <c r="D956" s="66"/>
      <c r="E956" s="66"/>
      <c r="F956" s="66"/>
      <c r="G956" s="66"/>
      <c r="H956" s="66"/>
      <c r="I956" s="66"/>
      <c r="J956" s="66"/>
      <c r="K956" s="66"/>
      <c r="L956" s="66"/>
      <c r="M956" s="66"/>
      <c r="N956" s="66"/>
    </row>
    <row r="957" spans="1:14" x14ac:dyDescent="0.2">
      <c r="A957" s="84"/>
      <c r="B957" s="84"/>
      <c r="C957" s="60"/>
      <c r="D957" s="66"/>
      <c r="E957" s="66"/>
      <c r="F957" s="66"/>
      <c r="G957" s="66"/>
      <c r="H957" s="66"/>
      <c r="I957" s="66"/>
      <c r="J957" s="66"/>
      <c r="K957" s="66"/>
      <c r="L957" s="66"/>
      <c r="M957" s="66"/>
      <c r="N957" s="66"/>
    </row>
    <row r="958" spans="1:14" x14ac:dyDescent="0.2">
      <c r="A958" s="84"/>
      <c r="B958" s="84"/>
      <c r="C958" s="60"/>
      <c r="D958" s="66"/>
      <c r="E958" s="66"/>
      <c r="F958" s="66"/>
      <c r="G958" s="66"/>
      <c r="H958" s="66"/>
      <c r="I958" s="66"/>
      <c r="J958" s="66"/>
      <c r="K958" s="66"/>
      <c r="L958" s="66"/>
      <c r="M958" s="66"/>
      <c r="N958" s="66"/>
    </row>
    <row r="959" spans="1:14" x14ac:dyDescent="0.2">
      <c r="A959" s="84"/>
      <c r="B959" s="84"/>
      <c r="C959" s="60"/>
      <c r="D959" s="66"/>
      <c r="E959" s="66"/>
      <c r="F959" s="66"/>
      <c r="G959" s="66"/>
      <c r="H959" s="66"/>
      <c r="I959" s="66"/>
      <c r="J959" s="66"/>
      <c r="K959" s="66"/>
      <c r="L959" s="66"/>
      <c r="M959" s="66"/>
      <c r="N959" s="66"/>
    </row>
    <row r="960" spans="1:14" x14ac:dyDescent="0.2">
      <c r="A960" s="84"/>
      <c r="B960" s="84"/>
      <c r="C960" s="60"/>
      <c r="D960" s="66"/>
      <c r="E960" s="66"/>
      <c r="F960" s="66"/>
      <c r="G960" s="66"/>
      <c r="H960" s="66"/>
      <c r="I960" s="66"/>
      <c r="J960" s="66"/>
      <c r="K960" s="66"/>
      <c r="L960" s="66"/>
      <c r="M960" s="66"/>
      <c r="N960" s="66"/>
    </row>
    <row r="961" spans="1:14" x14ac:dyDescent="0.2">
      <c r="A961" s="84"/>
      <c r="B961" s="84"/>
      <c r="C961" s="60"/>
      <c r="D961" s="66"/>
      <c r="E961" s="66"/>
      <c r="F961" s="66"/>
      <c r="G961" s="66"/>
      <c r="H961" s="66"/>
      <c r="I961" s="66"/>
      <c r="J961" s="66"/>
      <c r="K961" s="66"/>
      <c r="L961" s="66"/>
      <c r="M961" s="66"/>
      <c r="N961" s="66"/>
    </row>
    <row r="962" spans="1:14" x14ac:dyDescent="0.2">
      <c r="A962" s="84"/>
      <c r="B962" s="84"/>
      <c r="C962" s="60"/>
      <c r="D962" s="66"/>
      <c r="E962" s="66"/>
      <c r="F962" s="66"/>
      <c r="G962" s="66"/>
      <c r="H962" s="66"/>
      <c r="I962" s="66"/>
      <c r="J962" s="66"/>
      <c r="K962" s="66"/>
      <c r="L962" s="66"/>
      <c r="M962" s="66"/>
      <c r="N962" s="66"/>
    </row>
    <row r="963" spans="1:14" x14ac:dyDescent="0.2">
      <c r="A963" s="84"/>
      <c r="B963" s="84"/>
      <c r="C963" s="60"/>
      <c r="D963" s="66"/>
      <c r="E963" s="66"/>
      <c r="F963" s="66"/>
      <c r="G963" s="66"/>
      <c r="H963" s="66"/>
      <c r="I963" s="66"/>
      <c r="J963" s="66"/>
      <c r="K963" s="66"/>
      <c r="L963" s="66"/>
      <c r="M963" s="66"/>
      <c r="N963" s="66"/>
    </row>
    <row r="964" spans="1:14" x14ac:dyDescent="0.2">
      <c r="A964" s="84"/>
      <c r="B964" s="84"/>
      <c r="C964" s="60"/>
      <c r="D964" s="66"/>
      <c r="E964" s="66"/>
      <c r="F964" s="66"/>
      <c r="G964" s="66"/>
      <c r="H964" s="66"/>
      <c r="I964" s="66"/>
      <c r="J964" s="66"/>
      <c r="K964" s="66"/>
      <c r="L964" s="66"/>
      <c r="M964" s="66"/>
      <c r="N964" s="66"/>
    </row>
    <row r="965" spans="1:14" x14ac:dyDescent="0.2">
      <c r="A965" s="84"/>
      <c r="B965" s="84"/>
      <c r="C965" s="60"/>
      <c r="D965" s="66"/>
      <c r="E965" s="66"/>
      <c r="F965" s="66"/>
      <c r="G965" s="66"/>
      <c r="H965" s="66"/>
      <c r="I965" s="66"/>
      <c r="J965" s="66"/>
      <c r="K965" s="66"/>
      <c r="L965" s="66"/>
      <c r="M965" s="66"/>
      <c r="N965" s="66"/>
    </row>
    <row r="966" spans="1:14" x14ac:dyDescent="0.2">
      <c r="A966" s="84"/>
      <c r="B966" s="84"/>
      <c r="C966" s="60"/>
      <c r="D966" s="66"/>
      <c r="E966" s="66"/>
      <c r="F966" s="66"/>
      <c r="G966" s="66"/>
      <c r="H966" s="66"/>
      <c r="I966" s="66"/>
      <c r="J966" s="66"/>
      <c r="K966" s="66"/>
      <c r="L966" s="66"/>
      <c r="M966" s="66"/>
      <c r="N966" s="66"/>
    </row>
    <row r="967" spans="1:14" x14ac:dyDescent="0.2">
      <c r="A967" s="84"/>
      <c r="B967" s="84"/>
      <c r="C967" s="60"/>
      <c r="D967" s="66"/>
      <c r="E967" s="66"/>
      <c r="F967" s="66"/>
      <c r="G967" s="66"/>
      <c r="H967" s="66"/>
      <c r="I967" s="66"/>
      <c r="J967" s="66"/>
      <c r="K967" s="66"/>
      <c r="L967" s="66"/>
      <c r="M967" s="66"/>
      <c r="N967" s="66"/>
    </row>
    <row r="968" spans="1:14" x14ac:dyDescent="0.2">
      <c r="A968" s="84"/>
      <c r="B968" s="84"/>
      <c r="C968" s="60"/>
      <c r="D968" s="66"/>
      <c r="E968" s="66"/>
      <c r="F968" s="66"/>
      <c r="G968" s="66"/>
      <c r="H968" s="66"/>
      <c r="I968" s="66"/>
      <c r="J968" s="66"/>
      <c r="K968" s="66"/>
      <c r="L968" s="66"/>
      <c r="M968" s="66"/>
      <c r="N968" s="66"/>
    </row>
    <row r="969" spans="1:14" x14ac:dyDescent="0.2">
      <c r="A969" s="84"/>
      <c r="B969" s="84"/>
      <c r="C969" s="60"/>
      <c r="D969" s="66"/>
      <c r="E969" s="66"/>
      <c r="F969" s="66"/>
      <c r="G969" s="66"/>
      <c r="H969" s="66"/>
      <c r="I969" s="66"/>
      <c r="J969" s="66"/>
      <c r="K969" s="66"/>
      <c r="L969" s="66"/>
      <c r="M969" s="66"/>
      <c r="N969" s="66"/>
    </row>
    <row r="970" spans="1:14" x14ac:dyDescent="0.2">
      <c r="A970" s="84"/>
      <c r="B970" s="84"/>
      <c r="C970" s="60"/>
      <c r="D970" s="66"/>
      <c r="E970" s="66"/>
      <c r="F970" s="66"/>
      <c r="G970" s="66"/>
      <c r="H970" s="66"/>
      <c r="I970" s="66"/>
      <c r="J970" s="66"/>
      <c r="K970" s="66"/>
      <c r="L970" s="66"/>
      <c r="M970" s="66"/>
      <c r="N970" s="66"/>
    </row>
    <row r="971" spans="1:14" x14ac:dyDescent="0.2">
      <c r="A971" s="84"/>
      <c r="B971" s="84"/>
      <c r="C971" s="60"/>
      <c r="D971" s="66"/>
      <c r="E971" s="66"/>
      <c r="F971" s="66"/>
      <c r="G971" s="66"/>
      <c r="H971" s="66"/>
      <c r="I971" s="66"/>
      <c r="J971" s="66"/>
      <c r="K971" s="66"/>
      <c r="L971" s="66"/>
      <c r="M971" s="66"/>
      <c r="N971" s="66"/>
    </row>
    <row r="972" spans="1:14" x14ac:dyDescent="0.2">
      <c r="A972" s="84"/>
      <c r="B972" s="84"/>
      <c r="C972" s="60"/>
      <c r="D972" s="66"/>
      <c r="E972" s="66"/>
      <c r="F972" s="66"/>
      <c r="G972" s="66"/>
      <c r="H972" s="66"/>
      <c r="I972" s="66"/>
      <c r="J972" s="66"/>
      <c r="K972" s="66"/>
      <c r="L972" s="66"/>
      <c r="M972" s="66"/>
      <c r="N972" s="66"/>
    </row>
    <row r="973" spans="1:14" x14ac:dyDescent="0.2">
      <c r="A973" s="84"/>
      <c r="B973" s="84"/>
      <c r="C973" s="60"/>
      <c r="D973" s="66"/>
      <c r="E973" s="66"/>
      <c r="F973" s="66"/>
      <c r="G973" s="66"/>
      <c r="H973" s="66"/>
      <c r="I973" s="66"/>
      <c r="J973" s="66"/>
      <c r="K973" s="66"/>
      <c r="L973" s="66"/>
      <c r="M973" s="66"/>
      <c r="N973" s="66"/>
    </row>
    <row r="974" spans="1:14" x14ac:dyDescent="0.2">
      <c r="A974" s="84"/>
      <c r="B974" s="84"/>
      <c r="C974" s="60"/>
      <c r="D974" s="66"/>
      <c r="E974" s="66"/>
      <c r="F974" s="66"/>
      <c r="G974" s="66"/>
      <c r="H974" s="66"/>
      <c r="I974" s="66"/>
      <c r="J974" s="66"/>
      <c r="K974" s="66"/>
      <c r="L974" s="66"/>
      <c r="M974" s="66"/>
      <c r="N974" s="66"/>
    </row>
    <row r="975" spans="1:14" x14ac:dyDescent="0.2">
      <c r="A975" s="84"/>
      <c r="B975" s="84"/>
      <c r="C975" s="60"/>
      <c r="D975" s="66"/>
      <c r="E975" s="66"/>
      <c r="F975" s="66"/>
      <c r="G975" s="66"/>
      <c r="H975" s="66"/>
      <c r="I975" s="66"/>
      <c r="J975" s="66"/>
      <c r="K975" s="66"/>
      <c r="L975" s="66"/>
      <c r="M975" s="66"/>
      <c r="N975" s="66"/>
    </row>
    <row r="976" spans="1:14" x14ac:dyDescent="0.2">
      <c r="A976" s="84"/>
      <c r="B976" s="84"/>
      <c r="C976" s="60"/>
      <c r="D976" s="66"/>
      <c r="E976" s="66"/>
      <c r="F976" s="66"/>
      <c r="G976" s="66"/>
      <c r="H976" s="66"/>
      <c r="I976" s="66"/>
      <c r="J976" s="66"/>
      <c r="K976" s="66"/>
      <c r="L976" s="66"/>
      <c r="M976" s="66"/>
      <c r="N976" s="66"/>
    </row>
    <row r="977" spans="1:14" x14ac:dyDescent="0.2">
      <c r="A977" s="84"/>
      <c r="B977" s="84"/>
      <c r="C977" s="60"/>
      <c r="D977" s="66"/>
      <c r="E977" s="66"/>
      <c r="F977" s="66"/>
      <c r="G977" s="66"/>
      <c r="H977" s="66"/>
      <c r="I977" s="66"/>
      <c r="J977" s="66"/>
      <c r="K977" s="66"/>
      <c r="L977" s="66"/>
      <c r="M977" s="66"/>
      <c r="N977" s="66"/>
    </row>
    <row r="978" spans="1:14" x14ac:dyDescent="0.2">
      <c r="A978" s="84"/>
      <c r="B978" s="84"/>
      <c r="C978" s="60"/>
      <c r="D978" s="66"/>
      <c r="E978" s="66"/>
      <c r="F978" s="66"/>
      <c r="G978" s="66"/>
      <c r="H978" s="66"/>
      <c r="I978" s="66"/>
      <c r="J978" s="66"/>
      <c r="K978" s="66"/>
      <c r="L978" s="66"/>
      <c r="M978" s="66"/>
      <c r="N978" s="66"/>
    </row>
    <row r="979" spans="1:14" x14ac:dyDescent="0.2">
      <c r="A979" s="84"/>
      <c r="B979" s="84"/>
      <c r="C979" s="60"/>
      <c r="D979" s="66"/>
      <c r="E979" s="66"/>
      <c r="F979" s="66"/>
      <c r="G979" s="66"/>
      <c r="H979" s="66"/>
      <c r="I979" s="66"/>
      <c r="J979" s="66"/>
      <c r="K979" s="66"/>
      <c r="L979" s="66"/>
      <c r="M979" s="66"/>
      <c r="N979" s="66"/>
    </row>
    <row r="980" spans="1:14" x14ac:dyDescent="0.2">
      <c r="A980" s="84"/>
      <c r="B980" s="84"/>
      <c r="C980" s="60"/>
      <c r="D980" s="66"/>
      <c r="E980" s="66"/>
      <c r="F980" s="66"/>
      <c r="G980" s="66"/>
      <c r="H980" s="66"/>
      <c r="I980" s="66"/>
      <c r="J980" s="66"/>
      <c r="K980" s="66"/>
      <c r="L980" s="66"/>
      <c r="M980" s="66"/>
      <c r="N980" s="66"/>
    </row>
    <row r="981" spans="1:14" x14ac:dyDescent="0.2">
      <c r="A981" s="84"/>
      <c r="B981" s="84"/>
      <c r="C981" s="60"/>
      <c r="D981" s="66"/>
      <c r="E981" s="66"/>
      <c r="F981" s="66"/>
      <c r="G981" s="66"/>
      <c r="H981" s="66"/>
      <c r="I981" s="66"/>
      <c r="J981" s="66"/>
      <c r="K981" s="66"/>
      <c r="L981" s="66"/>
      <c r="M981" s="66"/>
      <c r="N981" s="66"/>
    </row>
    <row r="982" spans="1:14" x14ac:dyDescent="0.2">
      <c r="A982" s="84"/>
      <c r="B982" s="84"/>
      <c r="C982" s="60"/>
      <c r="D982" s="66"/>
      <c r="E982" s="66"/>
      <c r="F982" s="66"/>
      <c r="G982" s="66"/>
      <c r="H982" s="66"/>
      <c r="I982" s="66"/>
      <c r="J982" s="66"/>
      <c r="K982" s="66"/>
      <c r="L982" s="66"/>
      <c r="M982" s="66"/>
      <c r="N982" s="66"/>
    </row>
    <row r="983" spans="1:14" x14ac:dyDescent="0.2">
      <c r="A983" s="84"/>
      <c r="B983" s="84"/>
      <c r="C983" s="60"/>
      <c r="D983" s="66"/>
      <c r="E983" s="66"/>
      <c r="F983" s="66"/>
      <c r="G983" s="66"/>
      <c r="H983" s="66"/>
      <c r="I983" s="66"/>
      <c r="J983" s="66"/>
      <c r="K983" s="66"/>
      <c r="L983" s="66"/>
      <c r="M983" s="66"/>
      <c r="N983" s="66"/>
    </row>
    <row r="984" spans="1:14" x14ac:dyDescent="0.2">
      <c r="A984" s="84"/>
      <c r="B984" s="84"/>
      <c r="C984" s="60"/>
      <c r="D984" s="66"/>
      <c r="E984" s="66"/>
      <c r="F984" s="66"/>
      <c r="G984" s="66"/>
      <c r="H984" s="66"/>
      <c r="I984" s="66"/>
      <c r="J984" s="66"/>
      <c r="K984" s="66"/>
      <c r="L984" s="66"/>
      <c r="M984" s="66"/>
      <c r="N984" s="66"/>
    </row>
    <row r="985" spans="1:14" x14ac:dyDescent="0.2">
      <c r="A985" s="84"/>
      <c r="B985" s="84"/>
      <c r="C985" s="60"/>
      <c r="D985" s="66"/>
      <c r="E985" s="66"/>
      <c r="F985" s="66"/>
      <c r="G985" s="66"/>
      <c r="H985" s="66"/>
      <c r="I985" s="66"/>
      <c r="J985" s="66"/>
      <c r="K985" s="66"/>
      <c r="L985" s="66"/>
      <c r="M985" s="66"/>
      <c r="N985" s="66"/>
    </row>
    <row r="986" spans="1:14" x14ac:dyDescent="0.2">
      <c r="A986" s="84"/>
      <c r="B986" s="84"/>
      <c r="C986" s="60"/>
      <c r="D986" s="66"/>
      <c r="E986" s="66"/>
      <c r="F986" s="66"/>
      <c r="G986" s="66"/>
      <c r="H986" s="66"/>
      <c r="I986" s="66"/>
      <c r="J986" s="66"/>
      <c r="K986" s="66"/>
      <c r="L986" s="66"/>
      <c r="M986" s="66"/>
      <c r="N986" s="66"/>
    </row>
    <row r="987" spans="1:14" x14ac:dyDescent="0.2">
      <c r="A987" s="84"/>
      <c r="B987" s="84"/>
      <c r="C987" s="60"/>
      <c r="D987" s="66"/>
      <c r="E987" s="66"/>
      <c r="F987" s="66"/>
      <c r="G987" s="66"/>
      <c r="H987" s="66"/>
      <c r="I987" s="66"/>
      <c r="J987" s="66"/>
      <c r="K987" s="66"/>
      <c r="L987" s="66"/>
      <c r="M987" s="66"/>
      <c r="N987" s="66"/>
    </row>
    <row r="988" spans="1:14" x14ac:dyDescent="0.2">
      <c r="A988" s="84"/>
      <c r="B988" s="84"/>
      <c r="C988" s="60"/>
      <c r="D988" s="66"/>
      <c r="E988" s="66"/>
      <c r="F988" s="66"/>
      <c r="G988" s="66"/>
      <c r="H988" s="66"/>
      <c r="I988" s="66"/>
      <c r="J988" s="66"/>
      <c r="K988" s="66"/>
      <c r="L988" s="66"/>
      <c r="M988" s="66"/>
      <c r="N988" s="66"/>
    </row>
    <row r="989" spans="1:14" x14ac:dyDescent="0.2">
      <c r="A989" s="84"/>
      <c r="B989" s="84"/>
      <c r="C989" s="60"/>
      <c r="D989" s="66"/>
      <c r="E989" s="66"/>
      <c r="F989" s="66"/>
      <c r="G989" s="66"/>
      <c r="H989" s="66"/>
      <c r="I989" s="66"/>
      <c r="J989" s="66"/>
      <c r="K989" s="66"/>
      <c r="L989" s="66"/>
      <c r="M989" s="66"/>
      <c r="N989" s="66"/>
    </row>
    <row r="990" spans="1:14" x14ac:dyDescent="0.2">
      <c r="A990" s="84"/>
      <c r="B990" s="84"/>
      <c r="C990" s="60"/>
      <c r="D990" s="66"/>
      <c r="E990" s="66"/>
      <c r="F990" s="66"/>
      <c r="G990" s="66"/>
      <c r="H990" s="66"/>
      <c r="I990" s="66"/>
      <c r="J990" s="66"/>
      <c r="K990" s="66"/>
      <c r="L990" s="66"/>
      <c r="M990" s="66"/>
      <c r="N990" s="66"/>
    </row>
    <row r="991" spans="1:14" x14ac:dyDescent="0.2">
      <c r="A991" s="84"/>
      <c r="B991" s="84"/>
      <c r="C991" s="60"/>
      <c r="D991" s="66"/>
      <c r="E991" s="66"/>
      <c r="F991" s="66"/>
      <c r="G991" s="66"/>
      <c r="H991" s="66"/>
      <c r="I991" s="66"/>
      <c r="J991" s="66"/>
      <c r="K991" s="66"/>
      <c r="L991" s="66"/>
      <c r="M991" s="66"/>
      <c r="N991" s="66"/>
    </row>
    <row r="992" spans="1:14" x14ac:dyDescent="0.2">
      <c r="A992" s="84"/>
      <c r="B992" s="84"/>
      <c r="C992" s="60"/>
      <c r="D992" s="66"/>
      <c r="E992" s="66"/>
      <c r="F992" s="66"/>
      <c r="G992" s="66"/>
      <c r="H992" s="66"/>
      <c r="I992" s="66"/>
      <c r="J992" s="66"/>
      <c r="K992" s="66"/>
      <c r="L992" s="66"/>
      <c r="M992" s="66"/>
      <c r="N992" s="66"/>
    </row>
    <row r="993" spans="1:14" x14ac:dyDescent="0.2">
      <c r="A993" s="84"/>
      <c r="B993" s="84"/>
      <c r="C993" s="60"/>
      <c r="D993" s="66"/>
      <c r="E993" s="66"/>
      <c r="F993" s="66"/>
      <c r="G993" s="66"/>
      <c r="H993" s="66"/>
      <c r="I993" s="66"/>
      <c r="J993" s="66"/>
      <c r="K993" s="66"/>
      <c r="L993" s="66"/>
      <c r="M993" s="66"/>
      <c r="N993" s="66"/>
    </row>
    <row r="994" spans="1:14" x14ac:dyDescent="0.2">
      <c r="A994" s="84"/>
      <c r="B994" s="84"/>
      <c r="C994" s="60"/>
      <c r="D994" s="66"/>
      <c r="E994" s="66"/>
      <c r="F994" s="66"/>
      <c r="G994" s="66"/>
      <c r="H994" s="66"/>
      <c r="I994" s="66"/>
      <c r="J994" s="66"/>
      <c r="K994" s="66"/>
      <c r="L994" s="66"/>
      <c r="M994" s="66"/>
      <c r="N994" s="66"/>
    </row>
    <row r="995" spans="1:14" x14ac:dyDescent="0.2">
      <c r="A995" s="84"/>
      <c r="B995" s="84"/>
      <c r="C995" s="60"/>
      <c r="D995" s="66"/>
      <c r="E995" s="66"/>
      <c r="F995" s="66"/>
      <c r="G995" s="66"/>
      <c r="H995" s="66"/>
      <c r="I995" s="66"/>
      <c r="J995" s="66"/>
      <c r="K995" s="66"/>
      <c r="L995" s="66"/>
      <c r="M995" s="66"/>
      <c r="N995" s="66"/>
    </row>
    <row r="996" spans="1:14" x14ac:dyDescent="0.2">
      <c r="A996" s="84"/>
      <c r="B996" s="84"/>
      <c r="C996" s="60"/>
      <c r="D996" s="66"/>
      <c r="E996" s="66"/>
      <c r="F996" s="66"/>
      <c r="G996" s="66"/>
      <c r="H996" s="66"/>
      <c r="I996" s="66"/>
      <c r="J996" s="66"/>
      <c r="K996" s="66"/>
      <c r="L996" s="66"/>
      <c r="M996" s="66"/>
      <c r="N996" s="66"/>
    </row>
    <row r="997" spans="1:14" x14ac:dyDescent="0.2">
      <c r="A997" s="84"/>
      <c r="B997" s="84"/>
      <c r="C997" s="60"/>
      <c r="D997" s="66"/>
      <c r="E997" s="66"/>
      <c r="F997" s="66"/>
      <c r="G997" s="66"/>
      <c r="H997" s="66"/>
      <c r="I997" s="66"/>
      <c r="J997" s="66"/>
      <c r="K997" s="66"/>
      <c r="L997" s="66"/>
      <c r="M997" s="66"/>
      <c r="N997" s="66"/>
    </row>
    <row r="998" spans="1:14" x14ac:dyDescent="0.2">
      <c r="A998" s="84"/>
      <c r="B998" s="84"/>
      <c r="C998" s="60"/>
      <c r="D998" s="66"/>
      <c r="E998" s="66"/>
      <c r="F998" s="66"/>
      <c r="G998" s="66"/>
      <c r="H998" s="66"/>
      <c r="I998" s="66"/>
      <c r="J998" s="66"/>
      <c r="K998" s="66"/>
      <c r="L998" s="66"/>
      <c r="M998" s="66"/>
      <c r="N998" s="66"/>
    </row>
    <row r="999" spans="1:14" x14ac:dyDescent="0.2">
      <c r="A999" s="84"/>
      <c r="B999" s="84"/>
      <c r="C999" s="60"/>
      <c r="D999" s="66"/>
      <c r="E999" s="66"/>
      <c r="F999" s="66"/>
      <c r="G999" s="66"/>
      <c r="H999" s="66"/>
      <c r="I999" s="66"/>
      <c r="J999" s="66"/>
      <c r="K999" s="66"/>
      <c r="L999" s="66"/>
      <c r="M999" s="66"/>
      <c r="N999" s="66"/>
    </row>
    <row r="1000" spans="1:14" x14ac:dyDescent="0.2">
      <c r="A1000" s="84"/>
      <c r="B1000" s="84"/>
      <c r="C1000" s="60"/>
      <c r="D1000" s="66"/>
      <c r="E1000" s="66"/>
      <c r="F1000" s="66"/>
      <c r="G1000" s="66"/>
      <c r="H1000" s="66"/>
      <c r="I1000" s="66"/>
      <c r="J1000" s="66"/>
      <c r="K1000" s="66"/>
      <c r="L1000" s="66"/>
      <c r="M1000" s="66"/>
      <c r="N1000" s="66"/>
    </row>
    <row r="1001" spans="1:14" x14ac:dyDescent="0.2">
      <c r="A1001" s="84"/>
      <c r="B1001" s="84"/>
      <c r="C1001" s="60"/>
      <c r="D1001" s="66"/>
      <c r="E1001" s="66"/>
      <c r="F1001" s="66"/>
      <c r="G1001" s="66"/>
      <c r="H1001" s="66"/>
      <c r="I1001" s="66"/>
      <c r="J1001" s="66"/>
      <c r="K1001" s="66"/>
      <c r="L1001" s="66"/>
      <c r="M1001" s="66"/>
      <c r="N1001" s="66"/>
    </row>
    <row r="1002" spans="1:14" x14ac:dyDescent="0.2">
      <c r="A1002" s="84"/>
      <c r="B1002" s="84"/>
      <c r="C1002" s="60"/>
      <c r="D1002" s="66"/>
      <c r="E1002" s="66"/>
      <c r="F1002" s="66"/>
      <c r="G1002" s="66"/>
      <c r="H1002" s="66"/>
      <c r="I1002" s="66"/>
      <c r="J1002" s="66"/>
      <c r="K1002" s="66"/>
      <c r="L1002" s="66"/>
      <c r="M1002" s="66"/>
      <c r="N1002" s="66"/>
    </row>
    <row r="1003" spans="1:14" x14ac:dyDescent="0.2">
      <c r="A1003" s="84"/>
      <c r="B1003" s="84"/>
      <c r="C1003" s="60"/>
      <c r="D1003" s="66"/>
      <c r="E1003" s="66"/>
      <c r="F1003" s="66"/>
      <c r="G1003" s="66"/>
      <c r="H1003" s="66"/>
      <c r="I1003" s="66"/>
      <c r="J1003" s="66"/>
      <c r="K1003" s="66"/>
      <c r="L1003" s="66"/>
      <c r="M1003" s="66"/>
      <c r="N1003" s="66"/>
    </row>
    <row r="1004" spans="1:14" x14ac:dyDescent="0.2">
      <c r="A1004" s="84"/>
      <c r="B1004" s="84"/>
      <c r="C1004" s="60"/>
      <c r="D1004" s="66"/>
      <c r="E1004" s="66"/>
      <c r="F1004" s="66"/>
      <c r="G1004" s="66"/>
      <c r="H1004" s="66"/>
      <c r="I1004" s="66"/>
      <c r="J1004" s="66"/>
      <c r="K1004" s="66"/>
      <c r="L1004" s="66"/>
      <c r="M1004" s="66"/>
      <c r="N1004" s="66"/>
    </row>
    <row r="1005" spans="1:14" x14ac:dyDescent="0.2">
      <c r="A1005" s="84"/>
      <c r="B1005" s="84"/>
      <c r="C1005" s="60"/>
      <c r="D1005" s="66"/>
      <c r="E1005" s="66"/>
      <c r="F1005" s="66"/>
      <c r="G1005" s="66"/>
      <c r="H1005" s="66"/>
      <c r="I1005" s="66"/>
      <c r="J1005" s="66"/>
      <c r="K1005" s="66"/>
      <c r="L1005" s="66"/>
      <c r="M1005" s="66"/>
      <c r="N1005" s="66"/>
    </row>
    <row r="1006" spans="1:14" x14ac:dyDescent="0.2">
      <c r="A1006" s="84"/>
      <c r="B1006" s="84"/>
      <c r="C1006" s="60"/>
      <c r="D1006" s="66"/>
      <c r="E1006" s="66"/>
      <c r="F1006" s="66"/>
      <c r="G1006" s="66"/>
      <c r="H1006" s="66"/>
      <c r="I1006" s="66"/>
      <c r="J1006" s="66"/>
      <c r="K1006" s="66"/>
      <c r="L1006" s="66"/>
      <c r="M1006" s="66"/>
      <c r="N1006" s="66"/>
    </row>
    <row r="1007" spans="1:14" x14ac:dyDescent="0.2">
      <c r="A1007" s="84"/>
      <c r="B1007" s="84"/>
      <c r="C1007" s="60"/>
      <c r="D1007" s="66"/>
      <c r="E1007" s="66"/>
      <c r="F1007" s="66"/>
      <c r="G1007" s="66"/>
      <c r="H1007" s="66"/>
      <c r="I1007" s="66"/>
      <c r="J1007" s="66"/>
      <c r="K1007" s="66"/>
      <c r="L1007" s="66"/>
      <c r="M1007" s="66"/>
      <c r="N1007" s="66"/>
    </row>
    <row r="1008" spans="1:14" x14ac:dyDescent="0.2">
      <c r="A1008" s="84"/>
      <c r="B1008" s="84"/>
      <c r="C1008" s="60"/>
      <c r="D1008" s="66"/>
      <c r="E1008" s="66"/>
      <c r="F1008" s="66"/>
      <c r="G1008" s="66"/>
      <c r="H1008" s="66"/>
      <c r="I1008" s="66"/>
      <c r="J1008" s="66"/>
      <c r="K1008" s="66"/>
      <c r="L1008" s="66"/>
      <c r="M1008" s="66"/>
      <c r="N1008" s="66"/>
    </row>
    <row r="1009" spans="1:14" x14ac:dyDescent="0.2">
      <c r="A1009" s="84"/>
      <c r="B1009" s="84"/>
      <c r="C1009" s="60"/>
      <c r="D1009" s="66"/>
      <c r="E1009" s="66"/>
      <c r="F1009" s="66"/>
      <c r="G1009" s="66"/>
      <c r="H1009" s="66"/>
      <c r="I1009" s="66"/>
      <c r="J1009" s="66"/>
      <c r="K1009" s="66"/>
      <c r="L1009" s="66"/>
      <c r="M1009" s="66"/>
      <c r="N1009" s="66"/>
    </row>
    <row r="1010" spans="1:14" x14ac:dyDescent="0.2">
      <c r="A1010" s="84"/>
      <c r="B1010" s="84"/>
      <c r="C1010" s="60"/>
      <c r="D1010" s="66"/>
      <c r="E1010" s="66"/>
      <c r="F1010" s="66"/>
      <c r="G1010" s="66"/>
      <c r="H1010" s="66"/>
      <c r="I1010" s="66"/>
      <c r="J1010" s="66"/>
      <c r="K1010" s="66"/>
      <c r="L1010" s="66"/>
      <c r="M1010" s="66"/>
      <c r="N1010" s="66"/>
    </row>
    <row r="1011" spans="1:14" x14ac:dyDescent="0.2">
      <c r="A1011" s="84"/>
      <c r="B1011" s="84"/>
      <c r="C1011" s="60"/>
      <c r="D1011" s="66"/>
      <c r="E1011" s="66"/>
      <c r="F1011" s="66"/>
      <c r="G1011" s="66"/>
      <c r="H1011" s="66"/>
      <c r="I1011" s="66"/>
      <c r="J1011" s="66"/>
      <c r="K1011" s="66"/>
      <c r="L1011" s="66"/>
      <c r="M1011" s="66"/>
      <c r="N1011" s="66"/>
    </row>
    <row r="1012" spans="1:14" x14ac:dyDescent="0.2">
      <c r="A1012" s="84"/>
      <c r="B1012" s="84"/>
      <c r="C1012" s="60"/>
      <c r="D1012" s="66"/>
      <c r="E1012" s="66"/>
      <c r="F1012" s="66"/>
      <c r="G1012" s="66"/>
      <c r="H1012" s="66"/>
      <c r="I1012" s="66"/>
      <c r="J1012" s="66"/>
      <c r="K1012" s="66"/>
      <c r="L1012" s="66"/>
      <c r="M1012" s="66"/>
      <c r="N1012" s="66"/>
    </row>
    <row r="1013" spans="1:14" x14ac:dyDescent="0.2">
      <c r="A1013" s="84"/>
      <c r="B1013" s="84"/>
      <c r="C1013" s="60"/>
      <c r="D1013" s="66"/>
      <c r="E1013" s="66"/>
      <c r="F1013" s="66"/>
      <c r="G1013" s="66"/>
      <c r="H1013" s="66"/>
      <c r="I1013" s="66"/>
      <c r="J1013" s="66"/>
      <c r="K1013" s="66"/>
      <c r="L1013" s="66"/>
      <c r="M1013" s="66"/>
      <c r="N1013" s="66"/>
    </row>
    <row r="1014" spans="1:14" x14ac:dyDescent="0.2">
      <c r="A1014" s="84"/>
      <c r="B1014" s="84"/>
      <c r="C1014" s="60"/>
      <c r="D1014" s="66"/>
      <c r="E1014" s="66"/>
      <c r="F1014" s="66"/>
      <c r="G1014" s="66"/>
      <c r="H1014" s="66"/>
      <c r="I1014" s="66"/>
      <c r="J1014" s="66"/>
      <c r="K1014" s="66"/>
      <c r="L1014" s="66"/>
      <c r="M1014" s="66"/>
      <c r="N1014" s="66"/>
    </row>
    <row r="1015" spans="1:14" x14ac:dyDescent="0.2">
      <c r="A1015" s="84"/>
      <c r="B1015" s="84"/>
      <c r="C1015" s="60"/>
      <c r="D1015" s="66"/>
      <c r="E1015" s="66"/>
      <c r="F1015" s="66"/>
      <c r="G1015" s="66"/>
      <c r="H1015" s="66"/>
      <c r="I1015" s="66"/>
      <c r="J1015" s="66"/>
      <c r="K1015" s="66"/>
      <c r="L1015" s="66"/>
      <c r="M1015" s="66"/>
      <c r="N1015" s="66"/>
    </row>
    <row r="1016" spans="1:14" x14ac:dyDescent="0.2">
      <c r="A1016" s="84"/>
      <c r="B1016" s="84"/>
      <c r="C1016" s="60"/>
      <c r="D1016" s="66"/>
      <c r="E1016" s="66"/>
      <c r="F1016" s="66"/>
      <c r="G1016" s="66"/>
      <c r="H1016" s="66"/>
      <c r="I1016" s="66"/>
      <c r="J1016" s="66"/>
      <c r="K1016" s="66"/>
      <c r="L1016" s="66"/>
      <c r="M1016" s="66"/>
      <c r="N1016" s="66"/>
    </row>
    <row r="1017" spans="1:14" x14ac:dyDescent="0.2">
      <c r="A1017" s="84"/>
      <c r="B1017" s="84"/>
      <c r="C1017" s="60"/>
      <c r="D1017" s="66"/>
      <c r="E1017" s="66"/>
      <c r="F1017" s="66"/>
      <c r="G1017" s="66"/>
      <c r="H1017" s="66"/>
      <c r="I1017" s="66"/>
      <c r="J1017" s="66"/>
      <c r="K1017" s="66"/>
      <c r="L1017" s="66"/>
      <c r="M1017" s="66"/>
      <c r="N1017" s="66"/>
    </row>
    <row r="1018" spans="1:14" x14ac:dyDescent="0.2">
      <c r="A1018" s="84"/>
      <c r="B1018" s="84"/>
      <c r="C1018" s="60"/>
      <c r="D1018" s="66"/>
      <c r="E1018" s="66"/>
      <c r="F1018" s="66"/>
      <c r="G1018" s="66"/>
      <c r="H1018" s="66"/>
      <c r="I1018" s="66"/>
      <c r="J1018" s="66"/>
      <c r="K1018" s="66"/>
      <c r="L1018" s="66"/>
      <c r="M1018" s="66"/>
      <c r="N1018" s="66"/>
    </row>
    <row r="1019" spans="1:14" x14ac:dyDescent="0.2">
      <c r="A1019" s="84"/>
      <c r="B1019" s="84"/>
      <c r="C1019" s="60"/>
      <c r="D1019" s="66"/>
      <c r="E1019" s="66"/>
      <c r="F1019" s="66"/>
      <c r="G1019" s="66"/>
      <c r="H1019" s="66"/>
      <c r="I1019" s="66"/>
      <c r="J1019" s="66"/>
      <c r="K1019" s="66"/>
      <c r="L1019" s="66"/>
      <c r="M1019" s="66"/>
      <c r="N1019" s="66"/>
    </row>
    <row r="1020" spans="1:14" x14ac:dyDescent="0.2">
      <c r="A1020" s="84"/>
      <c r="B1020" s="84"/>
      <c r="C1020" s="60"/>
      <c r="D1020" s="66"/>
      <c r="E1020" s="66"/>
      <c r="F1020" s="66"/>
      <c r="G1020" s="66"/>
      <c r="H1020" s="66"/>
      <c r="I1020" s="66"/>
      <c r="J1020" s="66"/>
      <c r="K1020" s="66"/>
      <c r="L1020" s="66"/>
      <c r="M1020" s="66"/>
      <c r="N1020" s="66"/>
    </row>
    <row r="1021" spans="1:14" x14ac:dyDescent="0.2">
      <c r="A1021" s="84"/>
      <c r="B1021" s="84"/>
      <c r="C1021" s="60"/>
      <c r="D1021" s="66"/>
      <c r="E1021" s="66"/>
      <c r="F1021" s="66"/>
      <c r="G1021" s="66"/>
      <c r="H1021" s="66"/>
      <c r="I1021" s="66"/>
      <c r="J1021" s="66"/>
      <c r="K1021" s="66"/>
      <c r="L1021" s="66"/>
      <c r="M1021" s="66"/>
      <c r="N1021" s="66"/>
    </row>
    <row r="1022" spans="1:14" x14ac:dyDescent="0.2">
      <c r="A1022" s="84"/>
      <c r="B1022" s="84"/>
      <c r="C1022" s="60"/>
      <c r="D1022" s="66"/>
      <c r="E1022" s="66"/>
      <c r="F1022" s="66"/>
      <c r="G1022" s="66"/>
      <c r="H1022" s="66"/>
      <c r="I1022" s="66"/>
      <c r="J1022" s="66"/>
      <c r="K1022" s="66"/>
      <c r="L1022" s="66"/>
      <c r="M1022" s="66"/>
      <c r="N1022" s="66"/>
    </row>
    <row r="1023" spans="1:14" x14ac:dyDescent="0.2">
      <c r="A1023" s="84"/>
      <c r="B1023" s="84"/>
      <c r="C1023" s="60"/>
      <c r="D1023" s="66"/>
      <c r="E1023" s="66"/>
      <c r="F1023" s="66"/>
      <c r="G1023" s="66"/>
      <c r="H1023" s="66"/>
      <c r="I1023" s="66"/>
      <c r="J1023" s="66"/>
      <c r="K1023" s="66"/>
      <c r="L1023" s="66"/>
      <c r="M1023" s="66"/>
      <c r="N1023" s="66"/>
    </row>
    <row r="1024" spans="1:14" x14ac:dyDescent="0.2">
      <c r="A1024" s="84"/>
      <c r="B1024" s="84"/>
      <c r="C1024" s="60"/>
      <c r="D1024" s="66"/>
      <c r="E1024" s="66"/>
      <c r="F1024" s="66"/>
      <c r="G1024" s="66"/>
      <c r="H1024" s="66"/>
      <c r="I1024" s="66"/>
      <c r="J1024" s="66"/>
      <c r="K1024" s="66"/>
      <c r="L1024" s="66"/>
      <c r="M1024" s="66"/>
      <c r="N1024" s="66"/>
    </row>
    <row r="1025" spans="1:14" x14ac:dyDescent="0.2">
      <c r="A1025" s="84"/>
      <c r="B1025" s="84"/>
      <c r="C1025" s="60"/>
      <c r="D1025" s="66"/>
      <c r="E1025" s="66"/>
      <c r="F1025" s="66"/>
      <c r="G1025" s="66"/>
      <c r="H1025" s="66"/>
      <c r="I1025" s="66"/>
      <c r="J1025" s="66"/>
      <c r="K1025" s="66"/>
      <c r="L1025" s="66"/>
      <c r="M1025" s="66"/>
      <c r="N1025" s="66"/>
    </row>
    <row r="1026" spans="1:14" x14ac:dyDescent="0.2">
      <c r="A1026" s="84"/>
      <c r="B1026" s="84"/>
      <c r="C1026" s="60"/>
      <c r="D1026" s="66"/>
      <c r="E1026" s="66"/>
      <c r="F1026" s="66"/>
      <c r="G1026" s="66"/>
      <c r="H1026" s="66"/>
      <c r="I1026" s="66"/>
      <c r="J1026" s="66"/>
      <c r="K1026" s="66"/>
      <c r="L1026" s="66"/>
      <c r="M1026" s="66"/>
      <c r="N1026" s="66"/>
    </row>
    <row r="1027" spans="1:14" x14ac:dyDescent="0.2">
      <c r="A1027" s="84"/>
      <c r="B1027" s="84"/>
      <c r="C1027" s="60"/>
      <c r="D1027" s="66"/>
      <c r="E1027" s="66"/>
      <c r="F1027" s="66"/>
      <c r="G1027" s="66"/>
      <c r="H1027" s="66"/>
      <c r="I1027" s="66"/>
      <c r="J1027" s="66"/>
      <c r="K1027" s="66"/>
      <c r="L1027" s="66"/>
      <c r="M1027" s="66"/>
      <c r="N1027" s="66"/>
    </row>
    <row r="1028" spans="1:14" x14ac:dyDescent="0.2">
      <c r="A1028" s="84"/>
      <c r="B1028" s="84"/>
      <c r="C1028" s="60"/>
      <c r="D1028" s="66"/>
      <c r="E1028" s="66"/>
      <c r="F1028" s="66"/>
      <c r="G1028" s="66"/>
      <c r="H1028" s="66"/>
      <c r="I1028" s="66"/>
      <c r="J1028" s="66"/>
      <c r="K1028" s="66"/>
      <c r="L1028" s="66"/>
      <c r="M1028" s="66"/>
      <c r="N1028" s="66"/>
    </row>
    <row r="1029" spans="1:14" x14ac:dyDescent="0.2">
      <c r="A1029" s="84"/>
      <c r="B1029" s="84"/>
      <c r="C1029" s="60"/>
      <c r="D1029" s="66"/>
      <c r="E1029" s="66"/>
      <c r="F1029" s="66"/>
      <c r="G1029" s="66"/>
      <c r="H1029" s="66"/>
      <c r="I1029" s="66"/>
      <c r="J1029" s="66"/>
      <c r="K1029" s="66"/>
      <c r="L1029" s="66"/>
      <c r="M1029" s="66"/>
      <c r="N1029" s="66"/>
    </row>
    <row r="1030" spans="1:14" x14ac:dyDescent="0.2">
      <c r="A1030" s="84"/>
      <c r="B1030" s="84"/>
      <c r="C1030" s="60"/>
      <c r="D1030" s="66"/>
      <c r="E1030" s="66"/>
      <c r="F1030" s="66"/>
      <c r="G1030" s="66"/>
      <c r="H1030" s="66"/>
      <c r="I1030" s="66"/>
      <c r="J1030" s="66"/>
      <c r="K1030" s="66"/>
      <c r="L1030" s="66"/>
      <c r="M1030" s="66"/>
      <c r="N1030" s="66"/>
    </row>
    <row r="1031" spans="1:14" x14ac:dyDescent="0.2">
      <c r="A1031" s="84"/>
      <c r="B1031" s="84"/>
      <c r="C1031" s="60"/>
      <c r="D1031" s="66"/>
      <c r="E1031" s="66"/>
      <c r="F1031" s="66"/>
      <c r="G1031" s="66"/>
      <c r="H1031" s="66"/>
      <c r="I1031" s="66"/>
      <c r="J1031" s="66"/>
      <c r="K1031" s="66"/>
      <c r="L1031" s="66"/>
      <c r="M1031" s="66"/>
      <c r="N1031" s="66"/>
    </row>
    <row r="1032" spans="1:14" x14ac:dyDescent="0.2">
      <c r="A1032" s="84"/>
      <c r="B1032" s="84"/>
      <c r="C1032" s="60"/>
      <c r="D1032" s="66"/>
      <c r="E1032" s="66"/>
      <c r="F1032" s="66"/>
      <c r="G1032" s="66"/>
      <c r="H1032" s="66"/>
      <c r="I1032" s="66"/>
      <c r="J1032" s="66"/>
      <c r="K1032" s="66"/>
      <c r="L1032" s="66"/>
      <c r="M1032" s="66"/>
      <c r="N1032" s="66"/>
    </row>
    <row r="1033" spans="1:14" x14ac:dyDescent="0.2">
      <c r="A1033" s="84"/>
      <c r="B1033" s="84"/>
      <c r="C1033" s="60"/>
      <c r="D1033" s="66"/>
      <c r="E1033" s="66"/>
      <c r="F1033" s="66"/>
      <c r="G1033" s="66"/>
      <c r="H1033" s="66"/>
      <c r="I1033" s="66"/>
      <c r="J1033" s="66"/>
      <c r="K1033" s="66"/>
      <c r="L1033" s="66"/>
      <c r="M1033" s="66"/>
      <c r="N1033" s="66"/>
    </row>
    <row r="1034" spans="1:14" x14ac:dyDescent="0.2">
      <c r="A1034" s="84"/>
      <c r="B1034" s="84"/>
      <c r="C1034" s="60"/>
      <c r="D1034" s="66"/>
      <c r="E1034" s="66"/>
      <c r="F1034" s="66"/>
      <c r="G1034" s="66"/>
      <c r="H1034" s="66"/>
      <c r="I1034" s="66"/>
      <c r="J1034" s="66"/>
      <c r="K1034" s="66"/>
      <c r="L1034" s="66"/>
      <c r="M1034" s="66"/>
      <c r="N1034" s="66"/>
    </row>
    <row r="1035" spans="1:14" x14ac:dyDescent="0.2">
      <c r="A1035" s="84"/>
      <c r="B1035" s="84"/>
      <c r="C1035" s="60"/>
      <c r="D1035" s="66"/>
      <c r="E1035" s="66"/>
      <c r="F1035" s="66"/>
      <c r="G1035" s="66"/>
      <c r="H1035" s="66"/>
      <c r="I1035" s="66"/>
      <c r="J1035" s="66"/>
      <c r="K1035" s="66"/>
      <c r="L1035" s="66"/>
      <c r="M1035" s="66"/>
      <c r="N1035" s="66"/>
    </row>
    <row r="1036" spans="1:14" x14ac:dyDescent="0.2">
      <c r="A1036" s="84"/>
      <c r="B1036" s="84"/>
      <c r="C1036" s="60"/>
      <c r="D1036" s="66"/>
      <c r="E1036" s="66"/>
      <c r="F1036" s="66"/>
      <c r="G1036" s="66"/>
      <c r="H1036" s="66"/>
      <c r="I1036" s="66"/>
      <c r="J1036" s="66"/>
      <c r="K1036" s="66"/>
      <c r="L1036" s="66"/>
      <c r="M1036" s="66"/>
      <c r="N1036" s="66"/>
    </row>
    <row r="1037" spans="1:14" x14ac:dyDescent="0.2">
      <c r="A1037" s="84"/>
      <c r="B1037" s="84"/>
      <c r="C1037" s="60"/>
      <c r="D1037" s="66"/>
      <c r="E1037" s="66"/>
      <c r="F1037" s="66"/>
      <c r="G1037" s="66"/>
      <c r="H1037" s="66"/>
      <c r="I1037" s="66"/>
      <c r="J1037" s="66"/>
      <c r="K1037" s="66"/>
      <c r="L1037" s="66"/>
      <c r="M1037" s="66"/>
      <c r="N1037" s="66"/>
    </row>
    <row r="1038" spans="1:14" x14ac:dyDescent="0.2">
      <c r="A1038" s="84"/>
      <c r="B1038" s="84"/>
      <c r="C1038" s="60"/>
      <c r="D1038" s="66"/>
      <c r="E1038" s="66"/>
      <c r="F1038" s="66"/>
      <c r="G1038" s="66"/>
      <c r="H1038" s="66"/>
      <c r="I1038" s="66"/>
      <c r="J1038" s="66"/>
      <c r="K1038" s="66"/>
      <c r="L1038" s="66"/>
      <c r="M1038" s="66"/>
      <c r="N1038" s="66"/>
    </row>
    <row r="1039" spans="1:14" x14ac:dyDescent="0.2">
      <c r="A1039" s="84"/>
      <c r="B1039" s="84"/>
      <c r="C1039" s="60"/>
      <c r="D1039" s="66"/>
      <c r="E1039" s="66"/>
      <c r="F1039" s="66"/>
      <c r="G1039" s="66"/>
      <c r="H1039" s="66"/>
      <c r="I1039" s="66"/>
      <c r="J1039" s="66"/>
      <c r="K1039" s="66"/>
      <c r="L1039" s="66"/>
      <c r="M1039" s="66"/>
      <c r="N1039" s="66"/>
    </row>
    <row r="1040" spans="1:14" x14ac:dyDescent="0.2">
      <c r="A1040" s="84"/>
      <c r="B1040" s="84"/>
      <c r="C1040" s="60"/>
      <c r="D1040" s="66"/>
      <c r="E1040" s="66"/>
      <c r="F1040" s="66"/>
      <c r="G1040" s="66"/>
      <c r="H1040" s="66"/>
      <c r="I1040" s="66"/>
      <c r="J1040" s="66"/>
      <c r="K1040" s="66"/>
      <c r="L1040" s="66"/>
      <c r="M1040" s="66"/>
      <c r="N1040" s="66"/>
    </row>
    <row r="1041" spans="1:14" x14ac:dyDescent="0.2">
      <c r="A1041" s="84"/>
      <c r="B1041" s="84"/>
      <c r="C1041" s="60"/>
      <c r="D1041" s="66"/>
      <c r="E1041" s="66"/>
      <c r="F1041" s="66"/>
      <c r="G1041" s="66"/>
      <c r="H1041" s="66"/>
      <c r="I1041" s="66"/>
      <c r="J1041" s="66"/>
      <c r="K1041" s="66"/>
      <c r="L1041" s="66"/>
      <c r="M1041" s="66"/>
      <c r="N1041" s="66"/>
    </row>
    <row r="1042" spans="1:14" x14ac:dyDescent="0.2">
      <c r="A1042" s="84"/>
      <c r="B1042" s="84"/>
      <c r="C1042" s="60"/>
      <c r="D1042" s="66"/>
      <c r="E1042" s="66"/>
      <c r="F1042" s="66"/>
      <c r="G1042" s="66"/>
      <c r="H1042" s="66"/>
      <c r="I1042" s="66"/>
      <c r="J1042" s="66"/>
      <c r="K1042" s="66"/>
      <c r="L1042" s="66"/>
      <c r="M1042" s="66"/>
      <c r="N1042" s="66"/>
    </row>
    <row r="1043" spans="1:14" x14ac:dyDescent="0.2">
      <c r="A1043" s="84"/>
      <c r="B1043" s="84"/>
      <c r="C1043" s="60"/>
      <c r="D1043" s="66"/>
      <c r="E1043" s="66"/>
      <c r="F1043" s="66"/>
      <c r="G1043" s="66"/>
      <c r="H1043" s="66"/>
      <c r="I1043" s="66"/>
      <c r="J1043" s="66"/>
      <c r="K1043" s="66"/>
      <c r="L1043" s="66"/>
      <c r="M1043" s="66"/>
      <c r="N1043" s="66"/>
    </row>
    <row r="1044" spans="1:14" x14ac:dyDescent="0.2">
      <c r="A1044" s="84"/>
      <c r="B1044" s="84"/>
      <c r="C1044" s="60"/>
      <c r="D1044" s="66"/>
      <c r="E1044" s="66"/>
      <c r="F1044" s="66"/>
      <c r="G1044" s="66"/>
      <c r="H1044" s="66"/>
      <c r="I1044" s="66"/>
      <c r="J1044" s="66"/>
      <c r="K1044" s="66"/>
      <c r="L1044" s="66"/>
      <c r="M1044" s="66"/>
      <c r="N1044" s="66"/>
    </row>
    <row r="1045" spans="1:14" x14ac:dyDescent="0.2">
      <c r="A1045" s="84"/>
      <c r="B1045" s="84"/>
      <c r="C1045" s="60"/>
      <c r="D1045" s="66"/>
      <c r="E1045" s="66"/>
      <c r="F1045" s="66"/>
      <c r="G1045" s="66"/>
      <c r="H1045" s="66"/>
      <c r="I1045" s="66"/>
      <c r="J1045" s="66"/>
      <c r="K1045" s="66"/>
      <c r="L1045" s="66"/>
      <c r="M1045" s="66"/>
      <c r="N1045" s="66"/>
    </row>
    <row r="1046" spans="1:14" x14ac:dyDescent="0.2">
      <c r="A1046" s="84"/>
      <c r="B1046" s="84"/>
      <c r="C1046" s="60"/>
      <c r="D1046" s="66"/>
      <c r="E1046" s="66"/>
      <c r="F1046" s="66"/>
      <c r="G1046" s="66"/>
      <c r="H1046" s="66"/>
      <c r="I1046" s="66"/>
      <c r="J1046" s="66"/>
      <c r="K1046" s="66"/>
      <c r="L1046" s="66"/>
      <c r="M1046" s="66"/>
      <c r="N1046" s="66"/>
    </row>
    <row r="1047" spans="1:14" x14ac:dyDescent="0.2">
      <c r="A1047" s="84"/>
      <c r="B1047" s="84"/>
      <c r="C1047" s="60"/>
      <c r="D1047" s="66"/>
      <c r="E1047" s="66"/>
      <c r="F1047" s="66"/>
      <c r="G1047" s="66"/>
      <c r="H1047" s="66"/>
      <c r="I1047" s="66"/>
      <c r="J1047" s="66"/>
      <c r="K1047" s="66"/>
      <c r="L1047" s="66"/>
      <c r="M1047" s="66"/>
      <c r="N1047" s="66"/>
    </row>
    <row r="1048" spans="1:14" x14ac:dyDescent="0.2">
      <c r="A1048" s="84"/>
      <c r="B1048" s="84"/>
      <c r="C1048" s="60"/>
      <c r="D1048" s="66"/>
      <c r="E1048" s="66"/>
      <c r="F1048" s="66"/>
      <c r="G1048" s="66"/>
      <c r="H1048" s="66"/>
      <c r="I1048" s="66"/>
      <c r="J1048" s="66"/>
      <c r="K1048" s="66"/>
      <c r="L1048" s="66"/>
      <c r="M1048" s="66"/>
      <c r="N1048" s="66"/>
    </row>
    <row r="1049" spans="1:14" x14ac:dyDescent="0.2">
      <c r="A1049" s="84"/>
      <c r="B1049" s="84"/>
      <c r="C1049" s="60"/>
      <c r="D1049" s="66"/>
      <c r="E1049" s="66"/>
      <c r="F1049" s="66"/>
      <c r="G1049" s="66"/>
      <c r="H1049" s="66"/>
      <c r="I1049" s="66"/>
      <c r="J1049" s="66"/>
      <c r="K1049" s="66"/>
      <c r="L1049" s="66"/>
      <c r="M1049" s="66"/>
      <c r="N1049" s="66"/>
    </row>
    <row r="1050" spans="1:14" x14ac:dyDescent="0.2">
      <c r="A1050" s="84"/>
      <c r="B1050" s="84"/>
      <c r="C1050" s="60"/>
      <c r="D1050" s="66"/>
      <c r="E1050" s="66"/>
      <c r="F1050" s="66"/>
      <c r="G1050" s="66"/>
      <c r="H1050" s="66"/>
      <c r="I1050" s="66"/>
      <c r="J1050" s="66"/>
      <c r="K1050" s="66"/>
      <c r="L1050" s="66"/>
      <c r="M1050" s="66"/>
      <c r="N1050" s="66"/>
    </row>
    <row r="1051" spans="1:14" x14ac:dyDescent="0.2">
      <c r="A1051" s="84"/>
      <c r="B1051" s="84"/>
      <c r="C1051" s="60"/>
      <c r="D1051" s="66"/>
      <c r="E1051" s="66"/>
      <c r="F1051" s="66"/>
      <c r="G1051" s="66"/>
      <c r="H1051" s="66"/>
      <c r="I1051" s="66"/>
      <c r="J1051" s="66"/>
      <c r="K1051" s="66"/>
      <c r="L1051" s="66"/>
      <c r="M1051" s="66"/>
      <c r="N1051" s="66"/>
    </row>
    <row r="1052" spans="1:14" x14ac:dyDescent="0.2">
      <c r="A1052" s="84"/>
      <c r="B1052" s="84"/>
      <c r="C1052" s="60"/>
      <c r="D1052" s="66"/>
      <c r="E1052" s="66"/>
      <c r="F1052" s="66"/>
      <c r="G1052" s="66"/>
      <c r="H1052" s="66"/>
      <c r="I1052" s="66"/>
      <c r="J1052" s="66"/>
      <c r="K1052" s="66"/>
      <c r="L1052" s="66"/>
      <c r="M1052" s="66"/>
      <c r="N1052" s="66"/>
    </row>
    <row r="1053" spans="1:14" x14ac:dyDescent="0.2">
      <c r="A1053" s="84"/>
      <c r="B1053" s="84"/>
      <c r="C1053" s="60"/>
      <c r="D1053" s="66"/>
      <c r="E1053" s="66"/>
      <c r="F1053" s="66"/>
      <c r="G1053" s="66"/>
      <c r="H1053" s="66"/>
      <c r="I1053" s="66"/>
      <c r="J1053" s="66"/>
      <c r="K1053" s="66"/>
      <c r="L1053" s="66"/>
      <c r="M1053" s="66"/>
      <c r="N1053" s="66"/>
    </row>
    <row r="1054" spans="1:14" x14ac:dyDescent="0.2">
      <c r="A1054" s="84"/>
      <c r="B1054" s="84"/>
      <c r="C1054" s="60"/>
      <c r="D1054" s="66"/>
      <c r="E1054" s="66"/>
      <c r="F1054" s="66"/>
      <c r="G1054" s="66"/>
      <c r="H1054" s="66"/>
      <c r="I1054" s="66"/>
      <c r="J1054" s="66"/>
      <c r="K1054" s="66"/>
      <c r="L1054" s="66"/>
      <c r="M1054" s="66"/>
      <c r="N1054" s="66"/>
    </row>
    <row r="1055" spans="1:14" x14ac:dyDescent="0.2">
      <c r="A1055" s="84"/>
      <c r="B1055" s="84"/>
      <c r="C1055" s="60"/>
      <c r="D1055" s="66"/>
      <c r="E1055" s="66"/>
      <c r="F1055" s="66"/>
      <c r="G1055" s="66"/>
      <c r="H1055" s="66"/>
      <c r="I1055" s="66"/>
      <c r="J1055" s="66"/>
      <c r="K1055" s="66"/>
      <c r="L1055" s="66"/>
      <c r="M1055" s="66"/>
      <c r="N1055" s="66"/>
    </row>
    <row r="1056" spans="1:14" x14ac:dyDescent="0.2">
      <c r="A1056" s="84"/>
      <c r="B1056" s="84"/>
      <c r="C1056" s="60"/>
      <c r="D1056" s="66"/>
      <c r="E1056" s="66"/>
      <c r="F1056" s="66"/>
      <c r="G1056" s="66"/>
      <c r="H1056" s="66"/>
      <c r="I1056" s="66"/>
      <c r="J1056" s="66"/>
      <c r="K1056" s="66"/>
      <c r="L1056" s="66"/>
      <c r="M1056" s="66"/>
      <c r="N1056" s="66"/>
    </row>
    <row r="1057" spans="1:14" x14ac:dyDescent="0.2">
      <c r="A1057" s="84"/>
      <c r="B1057" s="84"/>
      <c r="C1057" s="60"/>
      <c r="D1057" s="66"/>
      <c r="E1057" s="66"/>
      <c r="F1057" s="66"/>
      <c r="G1057" s="66"/>
      <c r="H1057" s="66"/>
      <c r="I1057" s="66"/>
      <c r="J1057" s="66"/>
      <c r="K1057" s="66"/>
      <c r="L1057" s="66"/>
      <c r="M1057" s="66"/>
      <c r="N1057" s="66"/>
    </row>
    <row r="1058" spans="1:14" x14ac:dyDescent="0.2">
      <c r="A1058" s="84"/>
      <c r="B1058" s="84"/>
      <c r="C1058" s="60"/>
      <c r="D1058" s="66"/>
      <c r="E1058" s="66"/>
      <c r="F1058" s="66"/>
      <c r="G1058" s="66"/>
      <c r="H1058" s="66"/>
      <c r="I1058" s="66"/>
      <c r="J1058" s="66"/>
      <c r="K1058" s="66"/>
      <c r="L1058" s="66"/>
      <c r="M1058" s="66"/>
      <c r="N1058" s="66"/>
    </row>
    <row r="1059" spans="1:14" x14ac:dyDescent="0.2">
      <c r="A1059" s="84"/>
      <c r="B1059" s="84"/>
      <c r="C1059" s="60"/>
      <c r="D1059" s="66"/>
      <c r="E1059" s="66"/>
      <c r="F1059" s="66"/>
      <c r="G1059" s="66"/>
      <c r="H1059" s="66"/>
      <c r="I1059" s="66"/>
      <c r="J1059" s="66"/>
      <c r="K1059" s="66"/>
      <c r="L1059" s="66"/>
      <c r="M1059" s="66"/>
      <c r="N1059" s="66"/>
    </row>
    <row r="1060" spans="1:14" x14ac:dyDescent="0.2">
      <c r="A1060" s="84"/>
      <c r="B1060" s="84"/>
      <c r="C1060" s="60"/>
      <c r="D1060" s="66"/>
      <c r="E1060" s="66"/>
      <c r="F1060" s="66"/>
      <c r="G1060" s="66"/>
      <c r="H1060" s="66"/>
      <c r="I1060" s="66"/>
      <c r="J1060" s="66"/>
      <c r="K1060" s="66"/>
      <c r="L1060" s="66"/>
      <c r="M1060" s="66"/>
      <c r="N1060" s="66"/>
    </row>
    <row r="1061" spans="1:14" x14ac:dyDescent="0.2">
      <c r="A1061" s="84"/>
      <c r="B1061" s="84"/>
      <c r="C1061" s="60"/>
      <c r="D1061" s="66"/>
      <c r="E1061" s="66"/>
      <c r="F1061" s="66"/>
      <c r="G1061" s="66"/>
      <c r="H1061" s="66"/>
      <c r="I1061" s="66"/>
      <c r="J1061" s="66"/>
      <c r="K1061" s="66"/>
      <c r="L1061" s="66"/>
      <c r="M1061" s="66"/>
      <c r="N1061" s="66"/>
    </row>
    <row r="1062" spans="1:14" x14ac:dyDescent="0.2">
      <c r="A1062" s="84"/>
      <c r="B1062" s="84"/>
      <c r="C1062" s="60"/>
      <c r="D1062" s="66"/>
      <c r="E1062" s="66"/>
      <c r="F1062" s="66"/>
      <c r="G1062" s="66"/>
      <c r="H1062" s="66"/>
      <c r="I1062" s="66"/>
      <c r="J1062" s="66"/>
      <c r="K1062" s="66"/>
      <c r="L1062" s="66"/>
      <c r="M1062" s="66"/>
      <c r="N1062" s="66"/>
    </row>
    <row r="1063" spans="1:14" x14ac:dyDescent="0.2">
      <c r="A1063" s="84"/>
      <c r="B1063" s="84"/>
      <c r="C1063" s="60"/>
      <c r="D1063" s="66"/>
      <c r="E1063" s="66"/>
      <c r="F1063" s="66"/>
      <c r="G1063" s="66"/>
      <c r="H1063" s="66"/>
      <c r="I1063" s="66"/>
      <c r="J1063" s="66"/>
      <c r="K1063" s="66"/>
      <c r="L1063" s="66"/>
      <c r="M1063" s="66"/>
      <c r="N1063" s="66"/>
    </row>
    <row r="1064" spans="1:14" x14ac:dyDescent="0.2">
      <c r="A1064" s="84"/>
      <c r="B1064" s="84"/>
      <c r="C1064" s="60"/>
      <c r="D1064" s="66"/>
      <c r="E1064" s="66"/>
      <c r="F1064" s="66"/>
      <c r="G1064" s="66"/>
      <c r="H1064" s="66"/>
      <c r="I1064" s="66"/>
      <c r="J1064" s="66"/>
      <c r="K1064" s="66"/>
      <c r="L1064" s="66"/>
      <c r="M1064" s="66"/>
      <c r="N1064" s="66"/>
    </row>
    <row r="1065" spans="1:14" x14ac:dyDescent="0.2">
      <c r="A1065" s="84"/>
      <c r="B1065" s="84"/>
      <c r="C1065" s="60"/>
      <c r="D1065" s="66"/>
      <c r="E1065" s="66"/>
      <c r="F1065" s="66"/>
      <c r="G1065" s="66"/>
      <c r="H1065" s="66"/>
      <c r="I1065" s="66"/>
      <c r="J1065" s="66"/>
      <c r="K1065" s="66"/>
      <c r="L1065" s="66"/>
      <c r="M1065" s="66"/>
      <c r="N1065" s="66"/>
    </row>
    <row r="1066" spans="1:14" x14ac:dyDescent="0.2">
      <c r="A1066" s="84"/>
      <c r="B1066" s="84"/>
      <c r="C1066" s="60"/>
      <c r="D1066" s="66"/>
      <c r="E1066" s="66"/>
      <c r="F1066" s="66"/>
      <c r="G1066" s="66"/>
      <c r="H1066" s="66"/>
      <c r="I1066" s="66"/>
      <c r="J1066" s="66"/>
      <c r="K1066" s="66"/>
      <c r="L1066" s="66"/>
      <c r="M1066" s="66"/>
      <c r="N1066" s="66"/>
    </row>
    <row r="1067" spans="1:14" x14ac:dyDescent="0.2">
      <c r="A1067" s="84"/>
      <c r="B1067" s="84"/>
      <c r="C1067" s="60"/>
      <c r="D1067" s="66"/>
      <c r="E1067" s="66"/>
      <c r="F1067" s="66"/>
      <c r="G1067" s="66"/>
      <c r="H1067" s="66"/>
      <c r="I1067" s="66"/>
      <c r="J1067" s="66"/>
      <c r="K1067" s="66"/>
      <c r="L1067" s="66"/>
      <c r="M1067" s="66"/>
      <c r="N1067" s="66"/>
    </row>
    <row r="1068" spans="1:14" x14ac:dyDescent="0.2">
      <c r="A1068" s="84"/>
      <c r="B1068" s="84"/>
      <c r="C1068" s="60"/>
      <c r="D1068" s="66"/>
      <c r="E1068" s="66"/>
      <c r="F1068" s="66"/>
      <c r="G1068" s="66"/>
      <c r="H1068" s="66"/>
      <c r="I1068" s="66"/>
      <c r="J1068" s="66"/>
      <c r="K1068" s="66"/>
      <c r="L1068" s="66"/>
      <c r="M1068" s="66"/>
      <c r="N1068" s="66"/>
    </row>
    <row r="1069" spans="1:14" x14ac:dyDescent="0.2">
      <c r="A1069" s="84"/>
      <c r="B1069" s="84"/>
      <c r="C1069" s="60"/>
      <c r="D1069" s="66"/>
      <c r="E1069" s="66"/>
      <c r="F1069" s="66"/>
      <c r="G1069" s="66"/>
      <c r="H1069" s="66"/>
      <c r="I1069" s="66"/>
      <c r="J1069" s="66"/>
      <c r="K1069" s="66"/>
      <c r="L1069" s="66"/>
      <c r="M1069" s="66"/>
      <c r="N1069" s="66"/>
    </row>
    <row r="1070" spans="1:14" x14ac:dyDescent="0.2">
      <c r="A1070" s="84"/>
      <c r="B1070" s="84"/>
      <c r="C1070" s="60"/>
      <c r="D1070" s="66"/>
      <c r="E1070" s="66"/>
      <c r="F1070" s="66"/>
      <c r="G1070" s="66"/>
      <c r="H1070" s="66"/>
      <c r="I1070" s="66"/>
      <c r="J1070" s="66"/>
      <c r="K1070" s="66"/>
      <c r="L1070" s="66"/>
      <c r="M1070" s="66"/>
      <c r="N1070" s="66"/>
    </row>
    <row r="1071" spans="1:14" x14ac:dyDescent="0.2">
      <c r="A1071" s="84"/>
      <c r="B1071" s="84"/>
      <c r="C1071" s="60"/>
      <c r="D1071" s="66"/>
      <c r="E1071" s="66"/>
      <c r="F1071" s="66"/>
      <c r="G1071" s="66"/>
      <c r="H1071" s="66"/>
      <c r="I1071" s="66"/>
      <c r="J1071" s="66"/>
      <c r="K1071" s="66"/>
      <c r="L1071" s="66"/>
      <c r="M1071" s="66"/>
      <c r="N1071" s="66"/>
    </row>
    <row r="1072" spans="1:14" x14ac:dyDescent="0.2">
      <c r="A1072" s="84"/>
      <c r="B1072" s="84"/>
      <c r="C1072" s="60"/>
      <c r="D1072" s="66"/>
      <c r="E1072" s="66"/>
      <c r="F1072" s="66"/>
      <c r="G1072" s="66"/>
      <c r="H1072" s="66"/>
      <c r="I1072" s="66"/>
      <c r="J1072" s="66"/>
      <c r="K1072" s="66"/>
      <c r="L1072" s="66"/>
      <c r="M1072" s="66"/>
      <c r="N1072" s="66"/>
    </row>
    <row r="1073" spans="1:14" x14ac:dyDescent="0.2">
      <c r="A1073" s="84"/>
      <c r="B1073" s="84"/>
      <c r="C1073" s="60"/>
      <c r="D1073" s="66"/>
      <c r="E1073" s="66"/>
      <c r="F1073" s="66"/>
      <c r="G1073" s="66"/>
      <c r="H1073" s="66"/>
      <c r="I1073" s="66"/>
      <c r="J1073" s="66"/>
      <c r="K1073" s="66"/>
      <c r="L1073" s="66"/>
      <c r="M1073" s="66"/>
      <c r="N1073" s="66"/>
    </row>
    <row r="1074" spans="1:14" x14ac:dyDescent="0.2">
      <c r="A1074" s="84"/>
      <c r="B1074" s="84"/>
      <c r="C1074" s="60"/>
      <c r="D1074" s="66"/>
      <c r="E1074" s="66"/>
      <c r="F1074" s="66"/>
      <c r="G1074" s="66"/>
      <c r="H1074" s="66"/>
      <c r="I1074" s="66"/>
      <c r="J1074" s="66"/>
      <c r="K1074" s="66"/>
      <c r="L1074" s="66"/>
      <c r="M1074" s="66"/>
      <c r="N1074" s="66"/>
    </row>
    <row r="1075" spans="1:14" x14ac:dyDescent="0.2">
      <c r="A1075" s="84"/>
      <c r="B1075" s="84"/>
      <c r="C1075" s="60"/>
      <c r="D1075" s="66"/>
      <c r="E1075" s="66"/>
      <c r="F1075" s="66"/>
      <c r="G1075" s="66"/>
      <c r="H1075" s="66"/>
      <c r="I1075" s="66"/>
      <c r="J1075" s="66"/>
      <c r="K1075" s="66"/>
      <c r="L1075" s="66"/>
      <c r="M1075" s="66"/>
      <c r="N1075" s="66"/>
    </row>
    <row r="1076" spans="1:14" x14ac:dyDescent="0.2">
      <c r="A1076" s="84"/>
      <c r="B1076" s="84"/>
      <c r="C1076" s="60"/>
      <c r="D1076" s="66"/>
      <c r="E1076" s="66"/>
      <c r="F1076" s="66"/>
      <c r="G1076" s="66"/>
      <c r="H1076" s="66"/>
      <c r="I1076" s="66"/>
      <c r="J1076" s="66"/>
      <c r="K1076" s="66"/>
      <c r="L1076" s="66"/>
      <c r="M1076" s="66"/>
      <c r="N1076" s="66"/>
    </row>
    <row r="1077" spans="1:14" x14ac:dyDescent="0.2">
      <c r="A1077" s="84"/>
      <c r="B1077" s="84"/>
      <c r="C1077" s="60"/>
      <c r="D1077" s="66"/>
      <c r="E1077" s="66"/>
      <c r="F1077" s="66"/>
      <c r="G1077" s="66"/>
      <c r="H1077" s="66"/>
      <c r="I1077" s="66"/>
      <c r="J1077" s="66"/>
      <c r="K1077" s="66"/>
      <c r="L1077" s="66"/>
      <c r="M1077" s="66"/>
      <c r="N1077" s="66"/>
    </row>
    <row r="1078" spans="1:14" x14ac:dyDescent="0.2">
      <c r="A1078" s="84"/>
      <c r="B1078" s="84"/>
      <c r="C1078" s="60"/>
      <c r="D1078" s="66"/>
      <c r="E1078" s="66"/>
      <c r="F1078" s="66"/>
      <c r="G1078" s="66"/>
      <c r="H1078" s="66"/>
      <c r="I1078" s="66"/>
      <c r="J1078" s="66"/>
      <c r="K1078" s="66"/>
      <c r="L1078" s="66"/>
      <c r="M1078" s="66"/>
      <c r="N1078" s="66"/>
    </row>
    <row r="1079" spans="1:14" x14ac:dyDescent="0.2">
      <c r="A1079" s="84"/>
      <c r="B1079" s="84"/>
      <c r="C1079" s="60"/>
      <c r="D1079" s="66"/>
      <c r="E1079" s="66"/>
      <c r="F1079" s="66"/>
      <c r="G1079" s="66"/>
      <c r="H1079" s="66"/>
      <c r="I1079" s="66"/>
      <c r="J1079" s="66"/>
      <c r="K1079" s="66"/>
      <c r="L1079" s="66"/>
      <c r="M1079" s="66"/>
      <c r="N1079" s="66"/>
    </row>
    <row r="1080" spans="1:14" x14ac:dyDescent="0.2">
      <c r="A1080" s="84"/>
      <c r="B1080" s="84"/>
      <c r="C1080" s="60"/>
      <c r="D1080" s="66"/>
      <c r="E1080" s="66"/>
      <c r="F1080" s="66"/>
      <c r="G1080" s="66"/>
      <c r="H1080" s="66"/>
      <c r="I1080" s="66"/>
      <c r="J1080" s="66"/>
      <c r="K1080" s="66"/>
      <c r="L1080" s="66"/>
      <c r="M1080" s="66"/>
      <c r="N1080" s="66"/>
    </row>
    <row r="1081" spans="1:14" x14ac:dyDescent="0.2">
      <c r="A1081" s="84"/>
      <c r="B1081" s="84"/>
      <c r="C1081" s="60"/>
      <c r="D1081" s="66"/>
      <c r="E1081" s="66"/>
      <c r="F1081" s="66"/>
      <c r="G1081" s="66"/>
      <c r="H1081" s="66"/>
      <c r="I1081" s="66"/>
      <c r="J1081" s="66"/>
      <c r="K1081" s="66"/>
      <c r="L1081" s="66"/>
      <c r="M1081" s="66"/>
      <c r="N1081" s="66"/>
    </row>
    <row r="1082" spans="1:14" x14ac:dyDescent="0.2">
      <c r="A1082" s="84"/>
      <c r="B1082" s="84"/>
      <c r="C1082" s="60"/>
      <c r="D1082" s="66"/>
      <c r="E1082" s="66"/>
      <c r="F1082" s="66"/>
      <c r="G1082" s="66"/>
      <c r="H1082" s="66"/>
      <c r="I1082" s="66"/>
      <c r="J1082" s="66"/>
      <c r="K1082" s="66"/>
      <c r="L1082" s="66"/>
      <c r="M1082" s="66"/>
      <c r="N1082" s="66"/>
    </row>
    <row r="1083" spans="1:14" x14ac:dyDescent="0.2">
      <c r="A1083" s="84"/>
      <c r="B1083" s="84"/>
      <c r="C1083" s="60"/>
      <c r="D1083" s="66"/>
      <c r="E1083" s="66"/>
      <c r="F1083" s="66"/>
      <c r="G1083" s="66"/>
      <c r="H1083" s="66"/>
      <c r="I1083" s="66"/>
      <c r="J1083" s="66"/>
      <c r="K1083" s="66"/>
      <c r="L1083" s="66"/>
      <c r="M1083" s="66"/>
      <c r="N1083" s="66"/>
    </row>
    <row r="1084" spans="1:14" x14ac:dyDescent="0.2">
      <c r="A1084" s="84"/>
      <c r="B1084" s="84"/>
      <c r="C1084" s="60"/>
      <c r="D1084" s="66"/>
      <c r="E1084" s="66"/>
      <c r="F1084" s="66"/>
      <c r="G1084" s="66"/>
      <c r="H1084" s="66"/>
      <c r="I1084" s="66"/>
      <c r="J1084" s="66"/>
      <c r="K1084" s="66"/>
      <c r="L1084" s="66"/>
      <c r="M1084" s="66"/>
      <c r="N1084" s="66"/>
    </row>
    <row r="1085" spans="1:14" x14ac:dyDescent="0.2">
      <c r="A1085" s="84"/>
      <c r="B1085" s="84"/>
      <c r="C1085" s="60"/>
      <c r="D1085" s="66"/>
      <c r="E1085" s="66"/>
      <c r="F1085" s="66"/>
      <c r="G1085" s="66"/>
      <c r="H1085" s="66"/>
      <c r="I1085" s="66"/>
      <c r="J1085" s="66"/>
      <c r="K1085" s="66"/>
      <c r="L1085" s="66"/>
      <c r="M1085" s="66"/>
      <c r="N1085" s="66"/>
    </row>
    <row r="1086" spans="1:14" x14ac:dyDescent="0.2">
      <c r="A1086" s="84"/>
      <c r="B1086" s="84"/>
      <c r="C1086" s="60"/>
      <c r="D1086" s="66"/>
      <c r="E1086" s="66"/>
      <c r="F1086" s="66"/>
      <c r="G1086" s="66"/>
      <c r="H1086" s="66"/>
      <c r="I1086" s="66"/>
      <c r="J1086" s="66"/>
      <c r="K1086" s="66"/>
      <c r="L1086" s="66"/>
      <c r="M1086" s="66"/>
      <c r="N1086" s="66"/>
    </row>
    <row r="1087" spans="1:14" x14ac:dyDescent="0.2">
      <c r="A1087" s="84"/>
      <c r="B1087" s="84"/>
      <c r="C1087" s="60"/>
      <c r="D1087" s="66"/>
      <c r="E1087" s="66"/>
      <c r="F1087" s="66"/>
      <c r="G1087" s="66"/>
      <c r="H1087" s="66"/>
      <c r="I1087" s="66"/>
      <c r="J1087" s="66"/>
      <c r="K1087" s="66"/>
      <c r="L1087" s="66"/>
      <c r="M1087" s="66"/>
      <c r="N1087" s="66"/>
    </row>
    <row r="1088" spans="1:14" x14ac:dyDescent="0.2">
      <c r="A1088" s="84"/>
      <c r="B1088" s="84"/>
      <c r="C1088" s="60"/>
      <c r="D1088" s="66"/>
      <c r="E1088" s="66"/>
      <c r="F1088" s="66"/>
      <c r="G1088" s="66"/>
      <c r="H1088" s="66"/>
      <c r="I1088" s="66"/>
      <c r="J1088" s="66"/>
      <c r="K1088" s="66"/>
      <c r="L1088" s="66"/>
      <c r="M1088" s="66"/>
      <c r="N1088" s="66"/>
    </row>
    <row r="1089" spans="1:14" x14ac:dyDescent="0.2">
      <c r="A1089" s="84"/>
      <c r="B1089" s="84"/>
      <c r="C1089" s="60"/>
      <c r="D1089" s="66"/>
      <c r="E1089" s="66"/>
      <c r="F1089" s="66"/>
      <c r="G1089" s="66"/>
      <c r="H1089" s="66"/>
      <c r="I1089" s="66"/>
      <c r="J1089" s="66"/>
      <c r="K1089" s="66"/>
      <c r="L1089" s="66"/>
      <c r="M1089" s="66"/>
      <c r="N1089" s="66"/>
    </row>
    <row r="1090" spans="1:14" x14ac:dyDescent="0.2">
      <c r="A1090" s="84"/>
      <c r="B1090" s="84"/>
      <c r="C1090" s="60"/>
      <c r="D1090" s="66"/>
      <c r="E1090" s="66"/>
      <c r="F1090" s="66"/>
      <c r="G1090" s="66"/>
      <c r="H1090" s="66"/>
      <c r="I1090" s="66"/>
      <c r="J1090" s="66"/>
      <c r="K1090" s="66"/>
      <c r="L1090" s="66"/>
      <c r="M1090" s="66"/>
      <c r="N1090" s="66"/>
    </row>
    <row r="1091" spans="1:14" x14ac:dyDescent="0.2">
      <c r="A1091" s="84"/>
      <c r="B1091" s="84"/>
      <c r="C1091" s="60"/>
      <c r="D1091" s="66"/>
      <c r="E1091" s="66"/>
      <c r="F1091" s="66"/>
      <c r="G1091" s="66"/>
      <c r="H1091" s="66"/>
      <c r="I1091" s="66"/>
      <c r="J1091" s="66"/>
      <c r="K1091" s="66"/>
      <c r="L1091" s="66"/>
      <c r="M1091" s="66"/>
      <c r="N1091" s="66"/>
    </row>
    <row r="1092" spans="1:14" x14ac:dyDescent="0.2">
      <c r="A1092" s="84"/>
      <c r="B1092" s="84"/>
      <c r="C1092" s="60"/>
      <c r="D1092" s="66"/>
      <c r="E1092" s="66"/>
      <c r="F1092" s="66"/>
      <c r="G1092" s="66"/>
      <c r="H1092" s="66"/>
      <c r="I1092" s="66"/>
      <c r="J1092" s="66"/>
      <c r="K1092" s="66"/>
      <c r="L1092" s="66"/>
      <c r="M1092" s="66"/>
      <c r="N1092" s="66"/>
    </row>
    <row r="1093" spans="1:14" x14ac:dyDescent="0.2">
      <c r="A1093" s="84"/>
      <c r="B1093" s="84"/>
      <c r="C1093" s="60"/>
      <c r="D1093" s="66"/>
      <c r="E1093" s="66"/>
      <c r="F1093" s="66"/>
      <c r="G1093" s="66"/>
      <c r="H1093" s="66"/>
      <c r="I1093" s="66"/>
      <c r="J1093" s="66"/>
      <c r="K1093" s="66"/>
      <c r="L1093" s="66"/>
      <c r="M1093" s="66"/>
      <c r="N1093" s="66"/>
    </row>
    <row r="1094" spans="1:14" x14ac:dyDescent="0.2">
      <c r="A1094" s="84"/>
      <c r="B1094" s="84"/>
      <c r="C1094" s="60"/>
      <c r="D1094" s="66"/>
      <c r="E1094" s="66"/>
      <c r="F1094" s="66"/>
      <c r="G1094" s="66"/>
      <c r="H1094" s="66"/>
      <c r="I1094" s="66"/>
      <c r="J1094" s="66"/>
      <c r="K1094" s="66"/>
      <c r="L1094" s="66"/>
      <c r="M1094" s="66"/>
      <c r="N1094" s="66"/>
    </row>
    <row r="1095" spans="1:14" x14ac:dyDescent="0.2">
      <c r="A1095" s="84"/>
      <c r="B1095" s="84"/>
      <c r="C1095" s="60"/>
      <c r="D1095" s="66"/>
      <c r="E1095" s="66"/>
      <c r="F1095" s="66"/>
      <c r="G1095" s="66"/>
      <c r="H1095" s="66"/>
      <c r="I1095" s="66"/>
      <c r="J1095" s="66"/>
      <c r="K1095" s="66"/>
      <c r="L1095" s="66"/>
      <c r="M1095" s="66"/>
      <c r="N1095" s="66"/>
    </row>
    <row r="1096" spans="1:14" x14ac:dyDescent="0.2">
      <c r="A1096" s="84"/>
      <c r="B1096" s="84"/>
      <c r="C1096" s="60"/>
      <c r="D1096" s="66"/>
      <c r="E1096" s="66"/>
      <c r="F1096" s="66"/>
      <c r="G1096" s="66"/>
      <c r="H1096" s="66"/>
      <c r="I1096" s="66"/>
      <c r="J1096" s="66"/>
      <c r="K1096" s="66"/>
      <c r="L1096" s="66"/>
      <c r="M1096" s="66"/>
      <c r="N1096" s="66"/>
    </row>
    <row r="1097" spans="1:14" x14ac:dyDescent="0.2">
      <c r="A1097" s="84"/>
      <c r="B1097" s="84"/>
      <c r="C1097" s="60"/>
      <c r="D1097" s="66"/>
      <c r="E1097" s="66"/>
      <c r="F1097" s="66"/>
      <c r="G1097" s="66"/>
      <c r="H1097" s="66"/>
      <c r="I1097" s="66"/>
      <c r="J1097" s="66"/>
      <c r="K1097" s="66"/>
      <c r="L1097" s="66"/>
      <c r="M1097" s="66"/>
      <c r="N1097" s="66"/>
    </row>
    <row r="1098" spans="1:14" x14ac:dyDescent="0.2">
      <c r="A1098" s="84"/>
      <c r="B1098" s="84"/>
      <c r="C1098" s="60"/>
      <c r="D1098" s="66"/>
      <c r="E1098" s="66"/>
      <c r="F1098" s="66"/>
      <c r="G1098" s="66"/>
      <c r="H1098" s="66"/>
      <c r="I1098" s="66"/>
      <c r="J1098" s="66"/>
      <c r="K1098" s="66"/>
      <c r="L1098" s="66"/>
      <c r="M1098" s="66"/>
      <c r="N1098" s="66"/>
    </row>
    <row r="1099" spans="1:14" x14ac:dyDescent="0.2">
      <c r="A1099" s="84"/>
      <c r="B1099" s="84"/>
      <c r="C1099" s="60"/>
      <c r="D1099" s="66"/>
      <c r="E1099" s="66"/>
      <c r="F1099" s="66"/>
      <c r="G1099" s="66"/>
      <c r="H1099" s="66"/>
      <c r="I1099" s="66"/>
      <c r="J1099" s="66"/>
      <c r="K1099" s="66"/>
      <c r="L1099" s="66"/>
      <c r="M1099" s="66"/>
      <c r="N1099" s="66"/>
    </row>
    <row r="1100" spans="1:14" x14ac:dyDescent="0.2">
      <c r="A1100" s="84"/>
      <c r="B1100" s="84"/>
      <c r="C1100" s="60"/>
      <c r="D1100" s="66"/>
      <c r="E1100" s="66"/>
      <c r="F1100" s="66"/>
      <c r="G1100" s="66"/>
      <c r="H1100" s="66"/>
      <c r="I1100" s="66"/>
      <c r="J1100" s="66"/>
      <c r="K1100" s="66"/>
      <c r="L1100" s="66"/>
      <c r="M1100" s="66"/>
      <c r="N1100" s="66"/>
    </row>
    <row r="1101" spans="1:14" x14ac:dyDescent="0.2">
      <c r="A1101" s="84"/>
      <c r="B1101" s="84"/>
      <c r="C1101" s="60"/>
      <c r="D1101" s="66"/>
      <c r="E1101" s="66"/>
      <c r="F1101" s="66"/>
      <c r="G1101" s="66"/>
      <c r="H1101" s="66"/>
      <c r="I1101" s="66"/>
      <c r="J1101" s="66"/>
      <c r="K1101" s="66"/>
      <c r="L1101" s="66"/>
      <c r="M1101" s="66"/>
      <c r="N1101" s="66"/>
    </row>
    <row r="1102" spans="1:14" x14ac:dyDescent="0.2">
      <c r="A1102" s="84"/>
      <c r="B1102" s="84"/>
      <c r="C1102" s="60"/>
      <c r="D1102" s="66"/>
      <c r="E1102" s="66"/>
      <c r="F1102" s="66"/>
      <c r="G1102" s="66"/>
      <c r="H1102" s="66"/>
      <c r="I1102" s="66"/>
      <c r="J1102" s="66"/>
      <c r="K1102" s="66"/>
      <c r="L1102" s="66"/>
      <c r="M1102" s="66"/>
      <c r="N1102" s="66"/>
    </row>
    <row r="1103" spans="1:14" x14ac:dyDescent="0.2">
      <c r="A1103" s="84"/>
      <c r="B1103" s="84"/>
      <c r="C1103" s="60"/>
      <c r="D1103" s="66"/>
      <c r="E1103" s="66"/>
      <c r="F1103" s="66"/>
      <c r="G1103" s="66"/>
      <c r="H1103" s="66"/>
      <c r="I1103" s="66"/>
      <c r="J1103" s="66"/>
      <c r="K1103" s="66"/>
      <c r="L1103" s="66"/>
      <c r="M1103" s="66"/>
      <c r="N1103" s="66"/>
    </row>
    <row r="1104" spans="1:14" x14ac:dyDescent="0.2">
      <c r="A1104" s="84"/>
      <c r="B1104" s="84"/>
      <c r="C1104" s="60"/>
      <c r="D1104" s="66"/>
      <c r="E1104" s="66"/>
      <c r="F1104" s="66"/>
      <c r="G1104" s="66"/>
      <c r="H1104" s="66"/>
      <c r="I1104" s="66"/>
      <c r="J1104" s="66"/>
      <c r="K1104" s="66"/>
      <c r="L1104" s="66"/>
      <c r="M1104" s="66"/>
      <c r="N1104" s="66"/>
    </row>
    <row r="1105" spans="1:14" x14ac:dyDescent="0.2">
      <c r="A1105" s="84"/>
      <c r="B1105" s="84"/>
      <c r="C1105" s="60"/>
      <c r="D1105" s="66"/>
      <c r="E1105" s="66"/>
      <c r="F1105" s="66"/>
      <c r="G1105" s="66"/>
      <c r="H1105" s="66"/>
      <c r="I1105" s="66"/>
      <c r="J1105" s="66"/>
      <c r="K1105" s="66"/>
      <c r="L1105" s="66"/>
      <c r="M1105" s="66"/>
      <c r="N1105" s="66"/>
    </row>
    <row r="1106" spans="1:14" x14ac:dyDescent="0.2">
      <c r="A1106" s="84"/>
      <c r="B1106" s="84"/>
      <c r="C1106" s="60"/>
      <c r="D1106" s="66"/>
      <c r="E1106" s="66"/>
      <c r="F1106" s="66"/>
      <c r="G1106" s="66"/>
      <c r="H1106" s="66"/>
      <c r="I1106" s="66"/>
      <c r="J1106" s="66"/>
      <c r="K1106" s="66"/>
      <c r="L1106" s="66"/>
      <c r="M1106" s="66"/>
      <c r="N1106" s="66"/>
    </row>
    <row r="1107" spans="1:14" x14ac:dyDescent="0.2">
      <c r="A1107" s="84"/>
      <c r="B1107" s="84"/>
      <c r="C1107" s="60"/>
      <c r="D1107" s="66"/>
      <c r="E1107" s="66"/>
      <c r="F1107" s="66"/>
      <c r="G1107" s="66"/>
      <c r="H1107" s="66"/>
      <c r="I1107" s="66"/>
      <c r="J1107" s="66"/>
      <c r="K1107" s="66"/>
      <c r="L1107" s="66"/>
      <c r="M1107" s="66"/>
      <c r="N1107" s="66"/>
    </row>
    <row r="1108" spans="1:14" x14ac:dyDescent="0.2">
      <c r="A1108" s="84"/>
      <c r="B1108" s="84"/>
      <c r="C1108" s="60"/>
      <c r="D1108" s="66"/>
      <c r="E1108" s="66"/>
      <c r="F1108" s="66"/>
      <c r="G1108" s="66"/>
      <c r="H1108" s="66"/>
      <c r="I1108" s="66"/>
      <c r="J1108" s="66"/>
      <c r="K1108" s="66"/>
      <c r="L1108" s="66"/>
      <c r="M1108" s="66"/>
      <c r="N1108" s="66"/>
    </row>
    <row r="1109" spans="1:14" x14ac:dyDescent="0.2">
      <c r="A1109" s="84"/>
      <c r="B1109" s="84"/>
      <c r="C1109" s="60"/>
      <c r="D1109" s="66"/>
      <c r="E1109" s="66"/>
      <c r="F1109" s="66"/>
      <c r="G1109" s="66"/>
      <c r="H1109" s="66"/>
      <c r="I1109" s="66"/>
      <c r="J1109" s="66"/>
      <c r="K1109" s="66"/>
      <c r="L1109" s="66"/>
      <c r="M1109" s="66"/>
      <c r="N1109" s="66"/>
    </row>
    <row r="1110" spans="1:14" x14ac:dyDescent="0.2">
      <c r="A1110" s="84"/>
      <c r="B1110" s="84"/>
      <c r="C1110" s="60"/>
      <c r="D1110" s="66"/>
      <c r="E1110" s="66"/>
      <c r="F1110" s="66"/>
      <c r="G1110" s="66"/>
      <c r="H1110" s="66"/>
      <c r="I1110" s="66"/>
      <c r="J1110" s="66"/>
      <c r="K1110" s="66"/>
      <c r="L1110" s="66"/>
      <c r="M1110" s="66"/>
      <c r="N1110" s="66"/>
    </row>
    <row r="1111" spans="1:14" x14ac:dyDescent="0.2">
      <c r="A1111" s="84"/>
      <c r="B1111" s="84"/>
      <c r="C1111" s="60"/>
      <c r="D1111" s="66"/>
      <c r="E1111" s="66"/>
      <c r="F1111" s="66"/>
      <c r="G1111" s="66"/>
      <c r="H1111" s="66"/>
      <c r="I1111" s="66"/>
      <c r="J1111" s="66"/>
      <c r="K1111" s="66"/>
      <c r="L1111" s="66"/>
      <c r="M1111" s="66"/>
      <c r="N1111" s="66"/>
    </row>
    <row r="1112" spans="1:14" x14ac:dyDescent="0.2">
      <c r="A1112" s="84"/>
      <c r="B1112" s="84"/>
      <c r="C1112" s="60"/>
      <c r="D1112" s="66"/>
      <c r="E1112" s="66"/>
      <c r="F1112" s="66"/>
      <c r="G1112" s="66"/>
      <c r="H1112" s="66"/>
      <c r="I1112" s="66"/>
      <c r="J1112" s="66"/>
      <c r="K1112" s="66"/>
      <c r="L1112" s="66"/>
      <c r="M1112" s="66"/>
      <c r="N1112" s="66"/>
    </row>
    <row r="1113" spans="1:14" x14ac:dyDescent="0.2">
      <c r="A1113" s="84"/>
      <c r="B1113" s="84"/>
      <c r="C1113" s="60"/>
      <c r="D1113" s="66"/>
      <c r="E1113" s="66"/>
      <c r="F1113" s="66"/>
      <c r="G1113" s="66"/>
      <c r="H1113" s="66"/>
      <c r="I1113" s="66"/>
      <c r="J1113" s="66"/>
      <c r="K1113" s="66"/>
      <c r="L1113" s="66"/>
      <c r="M1113" s="66"/>
      <c r="N1113" s="66"/>
    </row>
    <row r="1114" spans="1:14" x14ac:dyDescent="0.2">
      <c r="A1114" s="84"/>
      <c r="B1114" s="84"/>
      <c r="C1114" s="60"/>
      <c r="D1114" s="66"/>
      <c r="E1114" s="66"/>
      <c r="F1114" s="66"/>
      <c r="G1114" s="66"/>
      <c r="H1114" s="66"/>
      <c r="I1114" s="66"/>
      <c r="J1114" s="66"/>
      <c r="K1114" s="66"/>
      <c r="L1114" s="66"/>
      <c r="M1114" s="66"/>
      <c r="N1114" s="66"/>
    </row>
    <row r="1115" spans="1:14" x14ac:dyDescent="0.2">
      <c r="A1115" s="84"/>
      <c r="B1115" s="84"/>
      <c r="C1115" s="60"/>
      <c r="D1115" s="66"/>
      <c r="E1115" s="66"/>
      <c r="F1115" s="66"/>
      <c r="G1115" s="66"/>
      <c r="H1115" s="66"/>
      <c r="I1115" s="66"/>
      <c r="J1115" s="66"/>
      <c r="K1115" s="66"/>
      <c r="L1115" s="66"/>
      <c r="M1115" s="66"/>
      <c r="N1115" s="66"/>
    </row>
    <row r="1116" spans="1:14" x14ac:dyDescent="0.2">
      <c r="A1116" s="84"/>
      <c r="B1116" s="84"/>
      <c r="C1116" s="60"/>
      <c r="D1116" s="66"/>
      <c r="E1116" s="66"/>
      <c r="F1116" s="66"/>
      <c r="G1116" s="66"/>
      <c r="H1116" s="66"/>
      <c r="I1116" s="66"/>
      <c r="J1116" s="66"/>
      <c r="K1116" s="66"/>
      <c r="L1116" s="66"/>
      <c r="M1116" s="66"/>
      <c r="N1116" s="66"/>
    </row>
    <row r="1117" spans="1:14" x14ac:dyDescent="0.2">
      <c r="A1117" s="84"/>
      <c r="B1117" s="84"/>
      <c r="C1117" s="60"/>
      <c r="D1117" s="66"/>
      <c r="E1117" s="66"/>
      <c r="F1117" s="66"/>
      <c r="G1117" s="66"/>
      <c r="H1117" s="66"/>
      <c r="I1117" s="66"/>
      <c r="J1117" s="66"/>
      <c r="K1117" s="66"/>
      <c r="L1117" s="66"/>
      <c r="M1117" s="66"/>
      <c r="N1117" s="66"/>
    </row>
    <row r="1118" spans="1:14" x14ac:dyDescent="0.2">
      <c r="A1118" s="84"/>
      <c r="B1118" s="84"/>
      <c r="C1118" s="60"/>
      <c r="D1118" s="66"/>
      <c r="E1118" s="66"/>
      <c r="F1118" s="66"/>
      <c r="G1118" s="66"/>
      <c r="H1118" s="66"/>
      <c r="I1118" s="66"/>
      <c r="J1118" s="66"/>
      <c r="K1118" s="66"/>
      <c r="L1118" s="66"/>
      <c r="M1118" s="66"/>
      <c r="N1118" s="66"/>
    </row>
    <row r="1119" spans="1:14" x14ac:dyDescent="0.2">
      <c r="A1119" s="84"/>
      <c r="B1119" s="84"/>
      <c r="C1119" s="60"/>
      <c r="D1119" s="66"/>
      <c r="E1119" s="66"/>
      <c r="F1119" s="66"/>
      <c r="G1119" s="66"/>
      <c r="H1119" s="66"/>
      <c r="I1119" s="66"/>
      <c r="J1119" s="66"/>
      <c r="K1119" s="66"/>
      <c r="L1119" s="66"/>
      <c r="M1119" s="66"/>
      <c r="N1119" s="66"/>
    </row>
    <row r="1120" spans="1:14" x14ac:dyDescent="0.2">
      <c r="A1120" s="84"/>
      <c r="B1120" s="84"/>
      <c r="C1120" s="60"/>
      <c r="D1120" s="66"/>
      <c r="E1120" s="66"/>
      <c r="F1120" s="66"/>
      <c r="G1120" s="66"/>
      <c r="H1120" s="66"/>
      <c r="I1120" s="66"/>
      <c r="J1120" s="66"/>
      <c r="K1120" s="66"/>
      <c r="L1120" s="66"/>
      <c r="M1120" s="66"/>
      <c r="N1120" s="66"/>
    </row>
    <row r="1121" spans="1:14" x14ac:dyDescent="0.2">
      <c r="A1121" s="84"/>
      <c r="B1121" s="84"/>
      <c r="C1121" s="60"/>
      <c r="D1121" s="66"/>
      <c r="E1121" s="66"/>
      <c r="F1121" s="66"/>
      <c r="G1121" s="66"/>
      <c r="H1121" s="66"/>
      <c r="I1121" s="66"/>
      <c r="J1121" s="66"/>
      <c r="K1121" s="66"/>
      <c r="L1121" s="66"/>
      <c r="M1121" s="66"/>
      <c r="N1121" s="66"/>
    </row>
    <row r="1122" spans="1:14" x14ac:dyDescent="0.2">
      <c r="A1122" s="84"/>
      <c r="B1122" s="84"/>
      <c r="C1122" s="60"/>
      <c r="D1122" s="66"/>
      <c r="E1122" s="66"/>
      <c r="F1122" s="66"/>
      <c r="G1122" s="66"/>
      <c r="H1122" s="66"/>
      <c r="I1122" s="66"/>
      <c r="J1122" s="66"/>
      <c r="K1122" s="66"/>
      <c r="L1122" s="66"/>
      <c r="M1122" s="66"/>
      <c r="N1122" s="66"/>
    </row>
    <row r="1123" spans="1:14" x14ac:dyDescent="0.2">
      <c r="A1123" s="84"/>
      <c r="B1123" s="84"/>
      <c r="C1123" s="60"/>
      <c r="D1123" s="66"/>
      <c r="E1123" s="66"/>
      <c r="F1123" s="66"/>
      <c r="G1123" s="66"/>
      <c r="H1123" s="66"/>
      <c r="I1123" s="66"/>
      <c r="J1123" s="66"/>
      <c r="K1123" s="66"/>
      <c r="L1123" s="66"/>
      <c r="M1123" s="66"/>
      <c r="N1123" s="66"/>
    </row>
    <row r="1124" spans="1:14" x14ac:dyDescent="0.2">
      <c r="A1124" s="84"/>
      <c r="B1124" s="84"/>
      <c r="C1124" s="60"/>
      <c r="D1124" s="66"/>
      <c r="E1124" s="66"/>
      <c r="F1124" s="66"/>
      <c r="G1124" s="66"/>
      <c r="H1124" s="66"/>
      <c r="I1124" s="66"/>
      <c r="J1124" s="66"/>
      <c r="K1124" s="66"/>
      <c r="L1124" s="66"/>
      <c r="M1124" s="66"/>
      <c r="N1124" s="66"/>
    </row>
    <row r="1125" spans="1:14" x14ac:dyDescent="0.2">
      <c r="A1125" s="84"/>
      <c r="B1125" s="84"/>
      <c r="C1125" s="60"/>
      <c r="D1125" s="66"/>
      <c r="E1125" s="66"/>
      <c r="F1125" s="66"/>
      <c r="G1125" s="66"/>
      <c r="H1125" s="66"/>
      <c r="I1125" s="66"/>
      <c r="J1125" s="66"/>
      <c r="K1125" s="66"/>
      <c r="L1125" s="66"/>
      <c r="M1125" s="66"/>
      <c r="N1125" s="66"/>
    </row>
    <row r="1126" spans="1:14" x14ac:dyDescent="0.2">
      <c r="A1126" s="84"/>
      <c r="B1126" s="84"/>
      <c r="C1126" s="60"/>
      <c r="D1126" s="66"/>
      <c r="E1126" s="66"/>
      <c r="F1126" s="66"/>
      <c r="G1126" s="66"/>
      <c r="H1126" s="66"/>
      <c r="I1126" s="66"/>
      <c r="J1126" s="66"/>
      <c r="K1126" s="66"/>
      <c r="L1126" s="66"/>
      <c r="M1126" s="66"/>
      <c r="N1126" s="66"/>
    </row>
    <row r="1127" spans="1:14" x14ac:dyDescent="0.2">
      <c r="A1127" s="84"/>
      <c r="B1127" s="84"/>
      <c r="C1127" s="60"/>
      <c r="D1127" s="66"/>
      <c r="E1127" s="66"/>
      <c r="F1127" s="66"/>
      <c r="G1127" s="66"/>
      <c r="H1127" s="66"/>
      <c r="I1127" s="66"/>
      <c r="J1127" s="66"/>
      <c r="K1127" s="66"/>
      <c r="L1127" s="66"/>
      <c r="M1127" s="66"/>
      <c r="N1127" s="66"/>
    </row>
    <row r="1128" spans="1:14" x14ac:dyDescent="0.2">
      <c r="A1128" s="84"/>
      <c r="B1128" s="84"/>
      <c r="C1128" s="60"/>
      <c r="D1128" s="66"/>
      <c r="E1128" s="66"/>
      <c r="F1128" s="66"/>
      <c r="G1128" s="66"/>
      <c r="H1128" s="66"/>
      <c r="I1128" s="66"/>
      <c r="J1128" s="66"/>
      <c r="K1128" s="66"/>
      <c r="L1128" s="66"/>
      <c r="M1128" s="66"/>
      <c r="N1128" s="66"/>
    </row>
    <row r="1129" spans="1:14" x14ac:dyDescent="0.2">
      <c r="A1129" s="84"/>
      <c r="B1129" s="84"/>
      <c r="C1129" s="60"/>
      <c r="D1129" s="66"/>
      <c r="E1129" s="66"/>
      <c r="F1129" s="66"/>
      <c r="G1129" s="66"/>
      <c r="H1129" s="66"/>
      <c r="I1129" s="66"/>
      <c r="J1129" s="66"/>
      <c r="K1129" s="66"/>
      <c r="L1129" s="66"/>
      <c r="M1129" s="66"/>
      <c r="N1129" s="66"/>
    </row>
    <row r="1130" spans="1:14" x14ac:dyDescent="0.2">
      <c r="A1130" s="84"/>
      <c r="B1130" s="84"/>
      <c r="C1130" s="60"/>
      <c r="D1130" s="66"/>
      <c r="E1130" s="66"/>
      <c r="F1130" s="66"/>
      <c r="G1130" s="66"/>
      <c r="H1130" s="66"/>
      <c r="I1130" s="66"/>
      <c r="J1130" s="66"/>
      <c r="K1130" s="66"/>
      <c r="L1130" s="66"/>
      <c r="M1130" s="66"/>
      <c r="N1130" s="66"/>
    </row>
    <row r="1131" spans="1:14" x14ac:dyDescent="0.2">
      <c r="A1131" s="84"/>
      <c r="B1131" s="84"/>
      <c r="C1131" s="60"/>
      <c r="D1131" s="66"/>
      <c r="E1131" s="66"/>
      <c r="F1131" s="66"/>
      <c r="G1131" s="66"/>
      <c r="H1131" s="66"/>
      <c r="I1131" s="66"/>
      <c r="J1131" s="66"/>
      <c r="K1131" s="66"/>
      <c r="L1131" s="66"/>
      <c r="M1131" s="66"/>
      <c r="N1131" s="66"/>
    </row>
    <row r="1132" spans="1:14" x14ac:dyDescent="0.2">
      <c r="A1132" s="84"/>
      <c r="B1132" s="84"/>
      <c r="C1132" s="60"/>
      <c r="D1132" s="66"/>
      <c r="E1132" s="66"/>
      <c r="F1132" s="66"/>
      <c r="G1132" s="66"/>
      <c r="H1132" s="66"/>
      <c r="I1132" s="66"/>
      <c r="J1132" s="66"/>
      <c r="K1132" s="66"/>
      <c r="L1132" s="66"/>
      <c r="M1132" s="66"/>
      <c r="N1132" s="66"/>
    </row>
    <row r="1133" spans="1:14" x14ac:dyDescent="0.2">
      <c r="A1133" s="84"/>
      <c r="B1133" s="84"/>
      <c r="C1133" s="60"/>
      <c r="D1133" s="66"/>
      <c r="E1133" s="66"/>
      <c r="F1133" s="66"/>
      <c r="G1133" s="66"/>
      <c r="H1133" s="66"/>
      <c r="I1133" s="66"/>
      <c r="J1133" s="66"/>
      <c r="K1133" s="66"/>
      <c r="L1133" s="66"/>
      <c r="M1133" s="66"/>
      <c r="N1133" s="66"/>
    </row>
    <row r="1134" spans="1:14" x14ac:dyDescent="0.2">
      <c r="A1134" s="84"/>
      <c r="B1134" s="84"/>
      <c r="C1134" s="60"/>
      <c r="D1134" s="66"/>
      <c r="E1134" s="66"/>
      <c r="F1134" s="66"/>
      <c r="G1134" s="66"/>
      <c r="H1134" s="66"/>
      <c r="I1134" s="66"/>
      <c r="J1134" s="66"/>
      <c r="K1134" s="66"/>
      <c r="L1134" s="66"/>
      <c r="M1134" s="66"/>
      <c r="N1134" s="66"/>
    </row>
    <row r="1135" spans="1:14" x14ac:dyDescent="0.2">
      <c r="A1135" s="84"/>
      <c r="B1135" s="84"/>
      <c r="C1135" s="60"/>
      <c r="D1135" s="66"/>
      <c r="E1135" s="66"/>
      <c r="F1135" s="66"/>
      <c r="G1135" s="66"/>
      <c r="H1135" s="66"/>
      <c r="I1135" s="66"/>
      <c r="J1135" s="66"/>
      <c r="K1135" s="66"/>
      <c r="L1135" s="66"/>
      <c r="M1135" s="66"/>
      <c r="N1135" s="66"/>
    </row>
    <row r="1136" spans="1:14" x14ac:dyDescent="0.2">
      <c r="A1136" s="84"/>
      <c r="B1136" s="84"/>
      <c r="C1136" s="60"/>
      <c r="D1136" s="66"/>
      <c r="E1136" s="66"/>
      <c r="F1136" s="66"/>
      <c r="G1136" s="66"/>
      <c r="H1136" s="66"/>
      <c r="I1136" s="66"/>
      <c r="J1136" s="66"/>
      <c r="K1136" s="66"/>
      <c r="L1136" s="66"/>
      <c r="M1136" s="66"/>
      <c r="N1136" s="66"/>
    </row>
    <row r="1137" spans="1:14" x14ac:dyDescent="0.2">
      <c r="A1137" s="84"/>
      <c r="B1137" s="84"/>
      <c r="C1137" s="60"/>
      <c r="D1137" s="66"/>
      <c r="E1137" s="66"/>
      <c r="F1137" s="66"/>
      <c r="G1137" s="66"/>
      <c r="H1137" s="66"/>
      <c r="I1137" s="66"/>
      <c r="J1137" s="66"/>
      <c r="K1137" s="66"/>
      <c r="L1137" s="66"/>
      <c r="M1137" s="66"/>
      <c r="N1137" s="66"/>
    </row>
    <row r="1138" spans="1:14" x14ac:dyDescent="0.2">
      <c r="A1138" s="84"/>
      <c r="B1138" s="84"/>
      <c r="C1138" s="60"/>
      <c r="D1138" s="66"/>
      <c r="E1138" s="66"/>
      <c r="F1138" s="66"/>
      <c r="G1138" s="66"/>
      <c r="H1138" s="66"/>
      <c r="I1138" s="66"/>
      <c r="J1138" s="66"/>
      <c r="K1138" s="66"/>
      <c r="L1138" s="66"/>
      <c r="M1138" s="66"/>
      <c r="N1138" s="66"/>
    </row>
    <row r="1139" spans="1:14" x14ac:dyDescent="0.2">
      <c r="A1139" s="84"/>
      <c r="B1139" s="84"/>
      <c r="C1139" s="60"/>
      <c r="D1139" s="66"/>
      <c r="E1139" s="66"/>
      <c r="F1139" s="66"/>
      <c r="G1139" s="66"/>
      <c r="H1139" s="66"/>
      <c r="I1139" s="66"/>
      <c r="J1139" s="66"/>
      <c r="K1139" s="66"/>
      <c r="L1139" s="66"/>
      <c r="M1139" s="66"/>
      <c r="N1139" s="66"/>
    </row>
    <row r="1140" spans="1:14" x14ac:dyDescent="0.2">
      <c r="A1140" s="84"/>
      <c r="B1140" s="84"/>
      <c r="C1140" s="60"/>
      <c r="D1140" s="66"/>
      <c r="E1140" s="66"/>
      <c r="F1140" s="66"/>
      <c r="G1140" s="66"/>
      <c r="H1140" s="66"/>
      <c r="I1140" s="66"/>
      <c r="J1140" s="66"/>
      <c r="K1140" s="66"/>
      <c r="L1140" s="66"/>
      <c r="M1140" s="66"/>
      <c r="N1140" s="66"/>
    </row>
    <row r="1141" spans="1:14" x14ac:dyDescent="0.2">
      <c r="A1141" s="84"/>
      <c r="B1141" s="84"/>
      <c r="C1141" s="60"/>
      <c r="D1141" s="66"/>
      <c r="E1141" s="66"/>
      <c r="F1141" s="66"/>
      <c r="G1141" s="66"/>
      <c r="H1141" s="66"/>
      <c r="I1141" s="66"/>
      <c r="J1141" s="66"/>
      <c r="K1141" s="66"/>
      <c r="L1141" s="66"/>
      <c r="M1141" s="66"/>
      <c r="N1141" s="66"/>
    </row>
    <row r="1142" spans="1:14" x14ac:dyDescent="0.2">
      <c r="A1142" s="84"/>
      <c r="B1142" s="84"/>
      <c r="C1142" s="60"/>
      <c r="D1142" s="66"/>
      <c r="E1142" s="66"/>
      <c r="F1142" s="66"/>
      <c r="G1142" s="66"/>
      <c r="H1142" s="66"/>
      <c r="I1142" s="66"/>
      <c r="J1142" s="66"/>
      <c r="K1142" s="66"/>
      <c r="L1142" s="66"/>
      <c r="M1142" s="66"/>
      <c r="N1142" s="66"/>
    </row>
    <row r="1143" spans="1:14" x14ac:dyDescent="0.2">
      <c r="A1143" s="84"/>
      <c r="B1143" s="84"/>
      <c r="C1143" s="60"/>
      <c r="D1143" s="66"/>
      <c r="E1143" s="66"/>
      <c r="F1143" s="66"/>
      <c r="G1143" s="66"/>
      <c r="H1143" s="66"/>
      <c r="I1143" s="66"/>
      <c r="J1143" s="66"/>
      <c r="K1143" s="66"/>
      <c r="L1143" s="66"/>
      <c r="M1143" s="66"/>
      <c r="N1143" s="66"/>
    </row>
    <row r="1144" spans="1:14" x14ac:dyDescent="0.2">
      <c r="A1144" s="84"/>
      <c r="B1144" s="84"/>
      <c r="C1144" s="60"/>
      <c r="D1144" s="66"/>
      <c r="E1144" s="66"/>
      <c r="F1144" s="66"/>
      <c r="G1144" s="66"/>
      <c r="H1144" s="66"/>
      <c r="I1144" s="66"/>
      <c r="J1144" s="66"/>
      <c r="K1144" s="66"/>
      <c r="L1144" s="66"/>
      <c r="M1144" s="66"/>
      <c r="N1144" s="66"/>
    </row>
    <row r="1145" spans="1:14" x14ac:dyDescent="0.2">
      <c r="A1145" s="84"/>
      <c r="B1145" s="84"/>
      <c r="C1145" s="60"/>
      <c r="D1145" s="66"/>
      <c r="E1145" s="66"/>
      <c r="F1145" s="66"/>
      <c r="G1145" s="66"/>
      <c r="H1145" s="66"/>
      <c r="I1145" s="66"/>
      <c r="J1145" s="66"/>
      <c r="K1145" s="66"/>
      <c r="L1145" s="66"/>
      <c r="M1145" s="66"/>
      <c r="N1145" s="66"/>
    </row>
    <row r="1146" spans="1:14" x14ac:dyDescent="0.2">
      <c r="A1146" s="84"/>
      <c r="B1146" s="84"/>
      <c r="C1146" s="60"/>
      <c r="D1146" s="66"/>
      <c r="E1146" s="66"/>
      <c r="F1146" s="66"/>
      <c r="G1146" s="66"/>
      <c r="H1146" s="66"/>
      <c r="I1146" s="66"/>
      <c r="J1146" s="66"/>
      <c r="K1146" s="66"/>
      <c r="L1146" s="66"/>
      <c r="M1146" s="66"/>
      <c r="N1146" s="66"/>
    </row>
    <row r="1147" spans="1:14" x14ac:dyDescent="0.2">
      <c r="A1147" s="84"/>
      <c r="B1147" s="84"/>
      <c r="C1147" s="60"/>
      <c r="D1147" s="66"/>
      <c r="E1147" s="66"/>
      <c r="F1147" s="66"/>
      <c r="G1147" s="66"/>
      <c r="H1147" s="66"/>
      <c r="I1147" s="66"/>
      <c r="J1147" s="66"/>
      <c r="K1147" s="66"/>
      <c r="L1147" s="66"/>
      <c r="M1147" s="66"/>
      <c r="N1147" s="66"/>
    </row>
    <row r="1148" spans="1:14" x14ac:dyDescent="0.2">
      <c r="A1148" s="84"/>
      <c r="B1148" s="84"/>
      <c r="C1148" s="60"/>
      <c r="D1148" s="66"/>
      <c r="E1148" s="66"/>
      <c r="F1148" s="66"/>
      <c r="G1148" s="66"/>
      <c r="H1148" s="66"/>
      <c r="I1148" s="66"/>
      <c r="J1148" s="66"/>
      <c r="K1148" s="66"/>
      <c r="L1148" s="66"/>
      <c r="M1148" s="66"/>
      <c r="N1148" s="66"/>
    </row>
    <row r="1149" spans="1:14" x14ac:dyDescent="0.2">
      <c r="A1149" s="84"/>
      <c r="B1149" s="84"/>
      <c r="C1149" s="60"/>
      <c r="D1149" s="66"/>
      <c r="E1149" s="66"/>
      <c r="F1149" s="66"/>
      <c r="G1149" s="66"/>
      <c r="H1149" s="66"/>
      <c r="I1149" s="66"/>
      <c r="J1149" s="66"/>
      <c r="K1149" s="66"/>
      <c r="L1149" s="66"/>
      <c r="M1149" s="66"/>
      <c r="N1149" s="66"/>
    </row>
    <row r="1150" spans="1:14" x14ac:dyDescent="0.2">
      <c r="A1150" s="84"/>
      <c r="B1150" s="84"/>
      <c r="C1150" s="60"/>
      <c r="D1150" s="66"/>
      <c r="E1150" s="66"/>
      <c r="F1150" s="66"/>
      <c r="G1150" s="66"/>
      <c r="H1150" s="66"/>
      <c r="I1150" s="66"/>
      <c r="J1150" s="66"/>
      <c r="K1150" s="66"/>
      <c r="L1150" s="66"/>
      <c r="M1150" s="66"/>
      <c r="N1150" s="66"/>
    </row>
    <row r="1151" spans="1:14" x14ac:dyDescent="0.2">
      <c r="A1151" s="84"/>
      <c r="B1151" s="84"/>
      <c r="C1151" s="60"/>
      <c r="D1151" s="66"/>
      <c r="E1151" s="66"/>
      <c r="F1151" s="66"/>
      <c r="G1151" s="66"/>
      <c r="H1151" s="66"/>
      <c r="I1151" s="66"/>
      <c r="J1151" s="66"/>
      <c r="K1151" s="66"/>
      <c r="L1151" s="66"/>
      <c r="M1151" s="66"/>
      <c r="N1151" s="66"/>
    </row>
    <row r="1152" spans="1:14" x14ac:dyDescent="0.2">
      <c r="A1152" s="84"/>
      <c r="B1152" s="84"/>
      <c r="C1152" s="60"/>
      <c r="D1152" s="66"/>
      <c r="E1152" s="66"/>
      <c r="F1152" s="66"/>
      <c r="G1152" s="66"/>
      <c r="H1152" s="66"/>
      <c r="I1152" s="66"/>
      <c r="J1152" s="66"/>
      <c r="K1152" s="66"/>
      <c r="L1152" s="66"/>
      <c r="M1152" s="66"/>
      <c r="N1152" s="66"/>
    </row>
    <row r="1153" spans="1:14" x14ac:dyDescent="0.2">
      <c r="A1153" s="84"/>
      <c r="B1153" s="84"/>
      <c r="C1153" s="60"/>
      <c r="D1153" s="66"/>
      <c r="E1153" s="66"/>
      <c r="F1153" s="66"/>
      <c r="G1153" s="66"/>
      <c r="H1153" s="66"/>
      <c r="I1153" s="66"/>
      <c r="J1153" s="66"/>
      <c r="K1153" s="66"/>
      <c r="L1153" s="66"/>
      <c r="M1153" s="66"/>
      <c r="N1153" s="66"/>
    </row>
    <row r="1154" spans="1:14" x14ac:dyDescent="0.2">
      <c r="A1154" s="84"/>
      <c r="B1154" s="84"/>
      <c r="C1154" s="60"/>
      <c r="D1154" s="66"/>
      <c r="E1154" s="66"/>
      <c r="F1154" s="66"/>
      <c r="G1154" s="66"/>
      <c r="H1154" s="66"/>
      <c r="I1154" s="66"/>
      <c r="J1154" s="66"/>
      <c r="K1154" s="66"/>
      <c r="L1154" s="66"/>
      <c r="M1154" s="66"/>
      <c r="N1154" s="66"/>
    </row>
    <row r="1155" spans="1:14" x14ac:dyDescent="0.2">
      <c r="A1155" s="84"/>
      <c r="B1155" s="84"/>
      <c r="C1155" s="60"/>
      <c r="D1155" s="66"/>
      <c r="E1155" s="66"/>
      <c r="F1155" s="66"/>
      <c r="G1155" s="66"/>
      <c r="H1155" s="66"/>
      <c r="I1155" s="66"/>
      <c r="J1155" s="66"/>
      <c r="K1155" s="66"/>
      <c r="L1155" s="66"/>
      <c r="M1155" s="66"/>
      <c r="N1155" s="66"/>
    </row>
    <row r="1156" spans="1:14" x14ac:dyDescent="0.2">
      <c r="A1156" s="84"/>
      <c r="B1156" s="84"/>
      <c r="C1156" s="60"/>
      <c r="D1156" s="66"/>
      <c r="E1156" s="66"/>
      <c r="F1156" s="66"/>
      <c r="G1156" s="66"/>
      <c r="H1156" s="66"/>
      <c r="I1156" s="66"/>
      <c r="J1156" s="66"/>
      <c r="K1156" s="66"/>
      <c r="L1156" s="66"/>
      <c r="M1156" s="66"/>
      <c r="N1156" s="66"/>
    </row>
    <row r="1157" spans="1:14" x14ac:dyDescent="0.2">
      <c r="A1157" s="84"/>
      <c r="B1157" s="84"/>
      <c r="C1157" s="60"/>
      <c r="D1157" s="66"/>
      <c r="E1157" s="66"/>
      <c r="F1157" s="66"/>
      <c r="G1157" s="66"/>
      <c r="H1157" s="66"/>
      <c r="I1157" s="66"/>
      <c r="J1157" s="66"/>
      <c r="K1157" s="66"/>
      <c r="L1157" s="66"/>
      <c r="M1157" s="66"/>
      <c r="N1157" s="66"/>
    </row>
    <row r="1158" spans="1:14" x14ac:dyDescent="0.2">
      <c r="A1158" s="84"/>
      <c r="B1158" s="84"/>
      <c r="C1158" s="60"/>
      <c r="D1158" s="66"/>
      <c r="E1158" s="66"/>
      <c r="F1158" s="66"/>
      <c r="G1158" s="66"/>
      <c r="H1158" s="66"/>
      <c r="I1158" s="66"/>
      <c r="J1158" s="66"/>
      <c r="K1158" s="66"/>
      <c r="L1158" s="66"/>
      <c r="M1158" s="66"/>
      <c r="N1158" s="66"/>
    </row>
    <row r="1159" spans="1:14" x14ac:dyDescent="0.2">
      <c r="A1159" s="84"/>
      <c r="B1159" s="84"/>
      <c r="C1159" s="60"/>
      <c r="D1159" s="66"/>
      <c r="E1159" s="66"/>
      <c r="F1159" s="66"/>
      <c r="G1159" s="66"/>
      <c r="H1159" s="66"/>
      <c r="I1159" s="66"/>
      <c r="J1159" s="66"/>
      <c r="K1159" s="66"/>
      <c r="L1159" s="66"/>
      <c r="M1159" s="66"/>
      <c r="N1159" s="66"/>
    </row>
    <row r="1160" spans="1:14" x14ac:dyDescent="0.2">
      <c r="A1160" s="84"/>
      <c r="B1160" s="84"/>
      <c r="C1160" s="60"/>
      <c r="D1160" s="66"/>
      <c r="E1160" s="66"/>
      <c r="F1160" s="66"/>
      <c r="G1160" s="66"/>
      <c r="H1160" s="66"/>
      <c r="I1160" s="66"/>
      <c r="J1160" s="66"/>
      <c r="K1160" s="66"/>
      <c r="L1160" s="66"/>
      <c r="M1160" s="66"/>
      <c r="N1160" s="66"/>
    </row>
    <row r="1161" spans="1:14" x14ac:dyDescent="0.2">
      <c r="A1161" s="84"/>
      <c r="B1161" s="84"/>
      <c r="C1161" s="60"/>
      <c r="D1161" s="66"/>
      <c r="E1161" s="66"/>
      <c r="F1161" s="66"/>
      <c r="G1161" s="66"/>
      <c r="H1161" s="66"/>
      <c r="I1161" s="66"/>
      <c r="J1161" s="66"/>
      <c r="K1161" s="66"/>
      <c r="L1161" s="66"/>
      <c r="M1161" s="66"/>
      <c r="N1161" s="66"/>
    </row>
    <row r="1162" spans="1:14" x14ac:dyDescent="0.2">
      <c r="A1162" s="84"/>
      <c r="B1162" s="84"/>
      <c r="C1162" s="60"/>
      <c r="D1162" s="66"/>
      <c r="E1162" s="66"/>
      <c r="F1162" s="66"/>
      <c r="G1162" s="66"/>
      <c r="H1162" s="66"/>
      <c r="I1162" s="66"/>
      <c r="J1162" s="66"/>
      <c r="K1162" s="66"/>
      <c r="L1162" s="66"/>
      <c r="M1162" s="66"/>
      <c r="N1162" s="66"/>
    </row>
    <row r="1163" spans="1:14" x14ac:dyDescent="0.2">
      <c r="A1163" s="84"/>
      <c r="B1163" s="84"/>
      <c r="C1163" s="60"/>
      <c r="D1163" s="66"/>
      <c r="E1163" s="66"/>
      <c r="F1163" s="66"/>
      <c r="G1163" s="66"/>
      <c r="H1163" s="66"/>
      <c r="I1163" s="66"/>
      <c r="J1163" s="66"/>
      <c r="K1163" s="66"/>
      <c r="L1163" s="66"/>
      <c r="M1163" s="66"/>
      <c r="N1163" s="66"/>
    </row>
    <row r="1164" spans="1:14" x14ac:dyDescent="0.2">
      <c r="A1164" s="84"/>
      <c r="B1164" s="84"/>
      <c r="C1164" s="60"/>
      <c r="D1164" s="66"/>
      <c r="E1164" s="66"/>
      <c r="F1164" s="66"/>
      <c r="G1164" s="66"/>
      <c r="H1164" s="66"/>
      <c r="I1164" s="66"/>
      <c r="J1164" s="66"/>
      <c r="K1164" s="66"/>
      <c r="L1164" s="66"/>
      <c r="M1164" s="66"/>
      <c r="N1164" s="66"/>
    </row>
    <row r="1165" spans="1:14" x14ac:dyDescent="0.2">
      <c r="A1165" s="84"/>
      <c r="B1165" s="84"/>
      <c r="C1165" s="60"/>
      <c r="D1165" s="66"/>
      <c r="E1165" s="66"/>
      <c r="F1165" s="66"/>
      <c r="G1165" s="66"/>
      <c r="H1165" s="66"/>
      <c r="I1165" s="66"/>
      <c r="J1165" s="66"/>
      <c r="K1165" s="66"/>
      <c r="L1165" s="66"/>
      <c r="M1165" s="66"/>
      <c r="N1165" s="66"/>
    </row>
    <row r="1166" spans="1:14" x14ac:dyDescent="0.2">
      <c r="A1166" s="84"/>
      <c r="B1166" s="84"/>
      <c r="C1166" s="60"/>
      <c r="D1166" s="66"/>
      <c r="E1166" s="66"/>
      <c r="F1166" s="66"/>
      <c r="G1166" s="66"/>
      <c r="H1166" s="66"/>
      <c r="I1166" s="66"/>
      <c r="J1166" s="66"/>
      <c r="K1166" s="66"/>
      <c r="L1166" s="66"/>
      <c r="M1166" s="66"/>
      <c r="N1166" s="66"/>
    </row>
    <row r="1167" spans="1:14" x14ac:dyDescent="0.2">
      <c r="A1167" s="84"/>
      <c r="B1167" s="84"/>
      <c r="C1167" s="60"/>
      <c r="D1167" s="66"/>
      <c r="E1167" s="66"/>
      <c r="F1167" s="66"/>
      <c r="G1167" s="66"/>
      <c r="H1167" s="66"/>
      <c r="I1167" s="66"/>
      <c r="J1167" s="66"/>
      <c r="K1167" s="66"/>
      <c r="L1167" s="66"/>
      <c r="M1167" s="66"/>
      <c r="N1167" s="66"/>
    </row>
    <row r="1168" spans="1:14" x14ac:dyDescent="0.2">
      <c r="A1168" s="84"/>
      <c r="B1168" s="84"/>
      <c r="C1168" s="60"/>
      <c r="D1168" s="66"/>
      <c r="E1168" s="66"/>
      <c r="F1168" s="66"/>
      <c r="G1168" s="66"/>
      <c r="H1168" s="66"/>
      <c r="I1168" s="66"/>
      <c r="J1168" s="66"/>
      <c r="K1168" s="66"/>
      <c r="L1168" s="66"/>
      <c r="M1168" s="66"/>
      <c r="N1168" s="66"/>
    </row>
    <row r="1169" spans="1:14" x14ac:dyDescent="0.2">
      <c r="A1169" s="84"/>
      <c r="B1169" s="84"/>
      <c r="C1169" s="60"/>
      <c r="D1169" s="66"/>
      <c r="E1169" s="66"/>
      <c r="F1169" s="66"/>
      <c r="G1169" s="66"/>
      <c r="H1169" s="66"/>
      <c r="I1169" s="66"/>
      <c r="J1169" s="66"/>
      <c r="K1169" s="66"/>
      <c r="L1169" s="66"/>
      <c r="M1169" s="66"/>
      <c r="N1169" s="66"/>
    </row>
    <row r="1170" spans="1:14" x14ac:dyDescent="0.2">
      <c r="A1170" s="84"/>
      <c r="B1170" s="84"/>
      <c r="C1170" s="60"/>
      <c r="D1170" s="66"/>
      <c r="E1170" s="66"/>
      <c r="F1170" s="66"/>
      <c r="G1170" s="66"/>
      <c r="H1170" s="66"/>
      <c r="I1170" s="66"/>
      <c r="J1170" s="66"/>
      <c r="K1170" s="66"/>
      <c r="L1170" s="66"/>
      <c r="M1170" s="66"/>
      <c r="N1170" s="66"/>
    </row>
    <row r="1171" spans="1:14" x14ac:dyDescent="0.2">
      <c r="A1171" s="84"/>
      <c r="B1171" s="84"/>
      <c r="C1171" s="60"/>
      <c r="D1171" s="66"/>
      <c r="E1171" s="66"/>
      <c r="F1171" s="66"/>
      <c r="G1171" s="66"/>
      <c r="H1171" s="66"/>
      <c r="I1171" s="66"/>
      <c r="J1171" s="66"/>
      <c r="K1171" s="66"/>
      <c r="L1171" s="66"/>
      <c r="M1171" s="66"/>
      <c r="N1171" s="66"/>
    </row>
    <row r="1172" spans="1:14" x14ac:dyDescent="0.2">
      <c r="A1172" s="84"/>
      <c r="B1172" s="84"/>
      <c r="C1172" s="60"/>
      <c r="D1172" s="66"/>
      <c r="E1172" s="66"/>
      <c r="F1172" s="66"/>
      <c r="G1172" s="66"/>
      <c r="H1172" s="66"/>
      <c r="I1172" s="66"/>
      <c r="J1172" s="66"/>
      <c r="K1172" s="66"/>
      <c r="L1172" s="66"/>
      <c r="M1172" s="66"/>
      <c r="N1172" s="66"/>
    </row>
    <row r="1173" spans="1:14" x14ac:dyDescent="0.2">
      <c r="A1173" s="84"/>
      <c r="B1173" s="84"/>
      <c r="C1173" s="60"/>
      <c r="D1173" s="66"/>
      <c r="E1173" s="66"/>
      <c r="F1173" s="66"/>
      <c r="G1173" s="66"/>
      <c r="H1173" s="66"/>
      <c r="I1173" s="66"/>
      <c r="J1173" s="66"/>
      <c r="K1173" s="66"/>
      <c r="L1173" s="66"/>
      <c r="M1173" s="66"/>
      <c r="N1173" s="66"/>
    </row>
    <row r="1174" spans="1:14" x14ac:dyDescent="0.2">
      <c r="A1174" s="84"/>
      <c r="B1174" s="84"/>
      <c r="C1174" s="60"/>
      <c r="D1174" s="66"/>
      <c r="E1174" s="66"/>
      <c r="F1174" s="66"/>
      <c r="G1174" s="66"/>
      <c r="H1174" s="66"/>
      <c r="I1174" s="66"/>
      <c r="J1174" s="66"/>
      <c r="K1174" s="66"/>
      <c r="L1174" s="66"/>
      <c r="M1174" s="66"/>
      <c r="N1174" s="66"/>
    </row>
    <row r="1175" spans="1:14" x14ac:dyDescent="0.2">
      <c r="A1175" s="84"/>
      <c r="B1175" s="84"/>
      <c r="C1175" s="60"/>
      <c r="D1175" s="66"/>
      <c r="E1175" s="66"/>
      <c r="F1175" s="66"/>
      <c r="G1175" s="66"/>
      <c r="H1175" s="66"/>
      <c r="I1175" s="66"/>
      <c r="J1175" s="66"/>
      <c r="K1175" s="66"/>
      <c r="L1175" s="66"/>
      <c r="M1175" s="66"/>
      <c r="N1175" s="66"/>
    </row>
    <row r="1176" spans="1:14" x14ac:dyDescent="0.2">
      <c r="A1176" s="84"/>
      <c r="B1176" s="84"/>
      <c r="C1176" s="60"/>
      <c r="D1176" s="66"/>
      <c r="E1176" s="66"/>
      <c r="F1176" s="66"/>
      <c r="G1176" s="66"/>
      <c r="H1176" s="66"/>
      <c r="I1176" s="66"/>
      <c r="J1176" s="66"/>
      <c r="K1176" s="66"/>
      <c r="L1176" s="66"/>
      <c r="M1176" s="66"/>
      <c r="N1176" s="66"/>
    </row>
    <row r="1177" spans="1:14" x14ac:dyDescent="0.2">
      <c r="A1177" s="84"/>
      <c r="B1177" s="84"/>
      <c r="C1177" s="60"/>
      <c r="D1177" s="66"/>
      <c r="E1177" s="66"/>
      <c r="F1177" s="66"/>
      <c r="G1177" s="66"/>
      <c r="H1177" s="66"/>
      <c r="I1177" s="66"/>
      <c r="J1177" s="66"/>
      <c r="K1177" s="66"/>
      <c r="L1177" s="66"/>
      <c r="M1177" s="66"/>
      <c r="N1177" s="66"/>
    </row>
    <row r="1178" spans="1:14" x14ac:dyDescent="0.2">
      <c r="A1178" s="84"/>
      <c r="B1178" s="84"/>
      <c r="C1178" s="60"/>
      <c r="D1178" s="66"/>
      <c r="E1178" s="66"/>
      <c r="F1178" s="66"/>
      <c r="G1178" s="66"/>
      <c r="H1178" s="66"/>
      <c r="I1178" s="66"/>
      <c r="J1178" s="66"/>
      <c r="K1178" s="66"/>
      <c r="L1178" s="66"/>
      <c r="M1178" s="66"/>
      <c r="N1178" s="66"/>
    </row>
    <row r="1179" spans="1:14" x14ac:dyDescent="0.2">
      <c r="A1179" s="84"/>
      <c r="B1179" s="84"/>
      <c r="C1179" s="60"/>
      <c r="D1179" s="66"/>
      <c r="E1179" s="66"/>
      <c r="F1179" s="66"/>
      <c r="G1179" s="66"/>
      <c r="H1179" s="66"/>
      <c r="I1179" s="66"/>
      <c r="J1179" s="66"/>
      <c r="K1179" s="66"/>
      <c r="L1179" s="66"/>
      <c r="M1179" s="66"/>
      <c r="N1179" s="66"/>
    </row>
    <row r="1180" spans="1:14" x14ac:dyDescent="0.2">
      <c r="A1180" s="84"/>
      <c r="B1180" s="84"/>
      <c r="C1180" s="60"/>
      <c r="D1180" s="66"/>
      <c r="E1180" s="66"/>
      <c r="F1180" s="66"/>
      <c r="G1180" s="66"/>
      <c r="H1180" s="66"/>
      <c r="I1180" s="66"/>
      <c r="J1180" s="66"/>
      <c r="K1180" s="66"/>
      <c r="L1180" s="66"/>
      <c r="M1180" s="66"/>
      <c r="N1180" s="66"/>
    </row>
    <row r="1181" spans="1:14" x14ac:dyDescent="0.2">
      <c r="A1181" s="84"/>
      <c r="B1181" s="84"/>
      <c r="C1181" s="60"/>
      <c r="D1181" s="66"/>
      <c r="E1181" s="66"/>
      <c r="F1181" s="66"/>
      <c r="G1181" s="66"/>
      <c r="H1181" s="66"/>
      <c r="I1181" s="66"/>
      <c r="J1181" s="66"/>
      <c r="K1181" s="66"/>
      <c r="L1181" s="66"/>
      <c r="M1181" s="66"/>
      <c r="N1181" s="66"/>
    </row>
    <row r="1182" spans="1:14" x14ac:dyDescent="0.2">
      <c r="A1182" s="84"/>
      <c r="B1182" s="84"/>
      <c r="C1182" s="60"/>
      <c r="D1182" s="66"/>
      <c r="E1182" s="66"/>
      <c r="F1182" s="66"/>
      <c r="G1182" s="66"/>
      <c r="H1182" s="66"/>
      <c r="I1182" s="66"/>
      <c r="J1182" s="66"/>
      <c r="K1182" s="66"/>
      <c r="L1182" s="66"/>
      <c r="M1182" s="66"/>
      <c r="N1182" s="66"/>
    </row>
    <row r="1183" spans="1:14" x14ac:dyDescent="0.2">
      <c r="A1183" s="84"/>
      <c r="B1183" s="84"/>
      <c r="C1183" s="60"/>
      <c r="D1183" s="66"/>
      <c r="E1183" s="66"/>
      <c r="F1183" s="66"/>
      <c r="G1183" s="66"/>
      <c r="H1183" s="66"/>
      <c r="I1183" s="66"/>
      <c r="J1183" s="66"/>
      <c r="K1183" s="66"/>
      <c r="L1183" s="66"/>
      <c r="M1183" s="66"/>
      <c r="N1183" s="66"/>
    </row>
    <row r="1184" spans="1:14" x14ac:dyDescent="0.2">
      <c r="A1184" s="84"/>
      <c r="B1184" s="84"/>
      <c r="C1184" s="60"/>
      <c r="D1184" s="66"/>
      <c r="E1184" s="66"/>
      <c r="F1184" s="66"/>
      <c r="G1184" s="66"/>
      <c r="H1184" s="66"/>
      <c r="I1184" s="66"/>
      <c r="J1184" s="66"/>
      <c r="K1184" s="66"/>
      <c r="L1184" s="66"/>
      <c r="M1184" s="66"/>
      <c r="N1184" s="66"/>
    </row>
    <row r="1185" spans="1:14" x14ac:dyDescent="0.2">
      <c r="A1185" s="84"/>
      <c r="B1185" s="84"/>
      <c r="C1185" s="60"/>
      <c r="D1185" s="66"/>
      <c r="E1185" s="66"/>
      <c r="F1185" s="66"/>
      <c r="G1185" s="66"/>
      <c r="H1185" s="66"/>
      <c r="I1185" s="66"/>
      <c r="J1185" s="66"/>
      <c r="K1185" s="66"/>
      <c r="L1185" s="66"/>
      <c r="M1185" s="66"/>
      <c r="N1185" s="66"/>
    </row>
    <row r="1186" spans="1:14" x14ac:dyDescent="0.2">
      <c r="A1186" s="84"/>
      <c r="B1186" s="84"/>
      <c r="C1186" s="60"/>
      <c r="D1186" s="66"/>
      <c r="E1186" s="66"/>
      <c r="F1186" s="66"/>
      <c r="G1186" s="66"/>
      <c r="H1186" s="66"/>
      <c r="I1186" s="66"/>
      <c r="J1186" s="66"/>
      <c r="K1186" s="66"/>
      <c r="L1186" s="66"/>
      <c r="M1186" s="66"/>
      <c r="N1186" s="66"/>
    </row>
    <row r="1187" spans="1:14" x14ac:dyDescent="0.2">
      <c r="A1187" s="84"/>
      <c r="B1187" s="84"/>
      <c r="C1187" s="60"/>
      <c r="D1187" s="66"/>
      <c r="E1187" s="66"/>
      <c r="F1187" s="66"/>
      <c r="G1187" s="66"/>
      <c r="H1187" s="66"/>
      <c r="I1187" s="66"/>
      <c r="J1187" s="66"/>
      <c r="K1187" s="66"/>
      <c r="L1187" s="66"/>
      <c r="M1187" s="66"/>
      <c r="N1187" s="66"/>
    </row>
    <row r="1188" spans="1:14" x14ac:dyDescent="0.2">
      <c r="A1188" s="84"/>
      <c r="B1188" s="84"/>
      <c r="C1188" s="60"/>
      <c r="D1188" s="66"/>
      <c r="E1188" s="66"/>
      <c r="F1188" s="66"/>
      <c r="G1188" s="66"/>
      <c r="H1188" s="66"/>
      <c r="I1188" s="66"/>
      <c r="J1188" s="66"/>
      <c r="K1188" s="66"/>
      <c r="L1188" s="66"/>
      <c r="M1188" s="66"/>
      <c r="N1188" s="66"/>
    </row>
    <row r="1189" spans="1:14" x14ac:dyDescent="0.2">
      <c r="A1189" s="84"/>
      <c r="B1189" s="84"/>
      <c r="C1189" s="60"/>
      <c r="D1189" s="66"/>
      <c r="E1189" s="66"/>
      <c r="F1189" s="66"/>
      <c r="G1189" s="66"/>
      <c r="H1189" s="66"/>
      <c r="I1189" s="66"/>
      <c r="J1189" s="66"/>
      <c r="K1189" s="66"/>
      <c r="L1189" s="66"/>
      <c r="M1189" s="66"/>
      <c r="N1189" s="66"/>
    </row>
    <row r="1190" spans="1:14" x14ac:dyDescent="0.2">
      <c r="A1190" s="84"/>
      <c r="B1190" s="84"/>
      <c r="C1190" s="60"/>
      <c r="D1190" s="66"/>
      <c r="E1190" s="66"/>
      <c r="F1190" s="66"/>
      <c r="G1190" s="66"/>
      <c r="H1190" s="66"/>
      <c r="I1190" s="66"/>
      <c r="J1190" s="66"/>
      <c r="K1190" s="66"/>
      <c r="L1190" s="66"/>
      <c r="M1190" s="66"/>
      <c r="N1190" s="66"/>
    </row>
    <row r="1191" spans="1:14" x14ac:dyDescent="0.2">
      <c r="A1191" s="84"/>
      <c r="B1191" s="84"/>
      <c r="C1191" s="60"/>
      <c r="D1191" s="66"/>
      <c r="E1191" s="66"/>
      <c r="F1191" s="66"/>
      <c r="G1191" s="66"/>
      <c r="H1191" s="66"/>
      <c r="I1191" s="66"/>
      <c r="J1191" s="66"/>
      <c r="K1191" s="66"/>
      <c r="L1191" s="66"/>
      <c r="M1191" s="66"/>
      <c r="N1191" s="66"/>
    </row>
    <row r="1192" spans="1:14" x14ac:dyDescent="0.2">
      <c r="A1192" s="84"/>
      <c r="B1192" s="84"/>
      <c r="C1192" s="60"/>
      <c r="D1192" s="66"/>
      <c r="E1192" s="66"/>
      <c r="F1192" s="66"/>
      <c r="G1192" s="66"/>
      <c r="H1192" s="66"/>
      <c r="I1192" s="66"/>
      <c r="J1192" s="66"/>
      <c r="K1192" s="66"/>
      <c r="L1192" s="66"/>
      <c r="M1192" s="66"/>
      <c r="N1192" s="66"/>
    </row>
    <row r="1193" spans="1:14" x14ac:dyDescent="0.2">
      <c r="A1193" s="84"/>
      <c r="B1193" s="84"/>
      <c r="C1193" s="60"/>
      <c r="D1193" s="66"/>
      <c r="E1193" s="66"/>
      <c r="F1193" s="66"/>
      <c r="G1193" s="66"/>
      <c r="H1193" s="66"/>
      <c r="I1193" s="66"/>
      <c r="J1193" s="66"/>
      <c r="K1193" s="66"/>
      <c r="L1193" s="66"/>
      <c r="M1193" s="66"/>
      <c r="N1193" s="66"/>
    </row>
    <row r="1194" spans="1:14" x14ac:dyDescent="0.2">
      <c r="A1194" s="84"/>
      <c r="B1194" s="84"/>
      <c r="C1194" s="60"/>
      <c r="D1194" s="66"/>
      <c r="E1194" s="66"/>
      <c r="F1194" s="66"/>
      <c r="G1194" s="66"/>
      <c r="H1194" s="66"/>
      <c r="I1194" s="66"/>
      <c r="J1194" s="66"/>
      <c r="K1194" s="66"/>
      <c r="L1194" s="66"/>
      <c r="M1194" s="66"/>
      <c r="N1194" s="66"/>
    </row>
    <row r="1195" spans="1:14" x14ac:dyDescent="0.2">
      <c r="A1195" s="84"/>
      <c r="B1195" s="84"/>
      <c r="C1195" s="60"/>
      <c r="D1195" s="66"/>
      <c r="E1195" s="66"/>
      <c r="F1195" s="66"/>
      <c r="G1195" s="66"/>
      <c r="H1195" s="66"/>
      <c r="I1195" s="66"/>
      <c r="J1195" s="66"/>
      <c r="K1195" s="66"/>
      <c r="L1195" s="66"/>
      <c r="M1195" s="66"/>
      <c r="N1195" s="66"/>
    </row>
    <row r="1196" spans="1:14" x14ac:dyDescent="0.2">
      <c r="A1196" s="84"/>
      <c r="B1196" s="84"/>
      <c r="C1196" s="60"/>
      <c r="D1196" s="66"/>
      <c r="E1196" s="66"/>
      <c r="F1196" s="66"/>
      <c r="G1196" s="66"/>
      <c r="H1196" s="66"/>
      <c r="I1196" s="66"/>
      <c r="J1196" s="66"/>
      <c r="K1196" s="66"/>
      <c r="L1196" s="66"/>
      <c r="M1196" s="66"/>
      <c r="N1196" s="66"/>
    </row>
    <row r="1197" spans="1:14" x14ac:dyDescent="0.2">
      <c r="A1197" s="84"/>
      <c r="B1197" s="84"/>
      <c r="C1197" s="60"/>
      <c r="D1197" s="66"/>
      <c r="E1197" s="66"/>
      <c r="F1197" s="66"/>
      <c r="G1197" s="66"/>
      <c r="H1197" s="66"/>
      <c r="I1197" s="66"/>
      <c r="J1197" s="66"/>
      <c r="K1197" s="66"/>
      <c r="L1197" s="66"/>
      <c r="M1197" s="66"/>
      <c r="N1197" s="66"/>
    </row>
    <row r="1198" spans="1:14" x14ac:dyDescent="0.2">
      <c r="A1198" s="84"/>
      <c r="B1198" s="84"/>
      <c r="C1198" s="60"/>
      <c r="D1198" s="66"/>
      <c r="E1198" s="66"/>
      <c r="F1198" s="66"/>
      <c r="G1198" s="66"/>
      <c r="H1198" s="66"/>
      <c r="I1198" s="66"/>
      <c r="J1198" s="66"/>
      <c r="K1198" s="66"/>
      <c r="L1198" s="66"/>
      <c r="M1198" s="66"/>
      <c r="N1198" s="66"/>
    </row>
    <row r="1199" spans="1:14" x14ac:dyDescent="0.2">
      <c r="A1199" s="84"/>
      <c r="B1199" s="84"/>
      <c r="C1199" s="60"/>
      <c r="D1199" s="66"/>
      <c r="E1199" s="66"/>
      <c r="F1199" s="66"/>
      <c r="G1199" s="66"/>
      <c r="H1199" s="66"/>
      <c r="I1199" s="66"/>
      <c r="J1199" s="66"/>
      <c r="K1199" s="66"/>
      <c r="L1199" s="66"/>
      <c r="M1199" s="66"/>
      <c r="N1199" s="66"/>
    </row>
    <row r="1200" spans="1:14" x14ac:dyDescent="0.2">
      <c r="A1200" s="84"/>
      <c r="B1200" s="84"/>
      <c r="C1200" s="60"/>
      <c r="D1200" s="66"/>
      <c r="E1200" s="66"/>
      <c r="F1200" s="66"/>
      <c r="G1200" s="66"/>
      <c r="H1200" s="66"/>
      <c r="I1200" s="66"/>
      <c r="J1200" s="66"/>
      <c r="K1200" s="66"/>
      <c r="L1200" s="66"/>
      <c r="M1200" s="66"/>
      <c r="N1200" s="66"/>
    </row>
    <row r="1201" spans="1:14" x14ac:dyDescent="0.2">
      <c r="A1201" s="84"/>
      <c r="B1201" s="84"/>
      <c r="C1201" s="60"/>
      <c r="D1201" s="66"/>
      <c r="E1201" s="66"/>
      <c r="F1201" s="66"/>
      <c r="G1201" s="66"/>
      <c r="H1201" s="66"/>
      <c r="I1201" s="66"/>
      <c r="J1201" s="66"/>
      <c r="K1201" s="66"/>
      <c r="L1201" s="66"/>
      <c r="M1201" s="66"/>
      <c r="N1201" s="66"/>
    </row>
    <row r="1202" spans="1:14" x14ac:dyDescent="0.2">
      <c r="A1202" s="84"/>
      <c r="B1202" s="84"/>
      <c r="C1202" s="60"/>
      <c r="D1202" s="66"/>
      <c r="E1202" s="66"/>
      <c r="F1202" s="66"/>
      <c r="G1202" s="66"/>
      <c r="H1202" s="66"/>
      <c r="I1202" s="66"/>
      <c r="J1202" s="66"/>
      <c r="K1202" s="66"/>
      <c r="L1202" s="66"/>
      <c r="M1202" s="66"/>
      <c r="N1202" s="66"/>
    </row>
    <row r="1203" spans="1:14" x14ac:dyDescent="0.2">
      <c r="A1203" s="84"/>
      <c r="B1203" s="84"/>
      <c r="C1203" s="60"/>
      <c r="D1203" s="66"/>
      <c r="E1203" s="66"/>
      <c r="F1203" s="66"/>
      <c r="G1203" s="66"/>
      <c r="H1203" s="66"/>
      <c r="I1203" s="66"/>
      <c r="J1203" s="66"/>
      <c r="K1203" s="66"/>
      <c r="L1203" s="66"/>
      <c r="M1203" s="66"/>
      <c r="N1203" s="66"/>
    </row>
    <row r="1204" spans="1:14" x14ac:dyDescent="0.2">
      <c r="A1204" s="84"/>
      <c r="B1204" s="84"/>
      <c r="C1204" s="60"/>
      <c r="D1204" s="66"/>
      <c r="E1204" s="66"/>
      <c r="F1204" s="66"/>
      <c r="G1204" s="66"/>
      <c r="H1204" s="66"/>
      <c r="I1204" s="66"/>
      <c r="J1204" s="66"/>
      <c r="K1204" s="66"/>
      <c r="L1204" s="66"/>
      <c r="M1204" s="66"/>
      <c r="N1204" s="66"/>
    </row>
    <row r="1205" spans="1:14" x14ac:dyDescent="0.2">
      <c r="A1205" s="84"/>
      <c r="B1205" s="84"/>
      <c r="C1205" s="60"/>
      <c r="D1205" s="66"/>
      <c r="E1205" s="66"/>
      <c r="F1205" s="66"/>
      <c r="G1205" s="66"/>
      <c r="H1205" s="66"/>
      <c r="I1205" s="66"/>
      <c r="J1205" s="66"/>
      <c r="K1205" s="66"/>
      <c r="L1205" s="66"/>
      <c r="M1205" s="66"/>
      <c r="N1205" s="66"/>
    </row>
    <row r="1206" spans="1:14" x14ac:dyDescent="0.2">
      <c r="A1206" s="84"/>
      <c r="B1206" s="84"/>
      <c r="C1206" s="60"/>
      <c r="D1206" s="66"/>
      <c r="E1206" s="66"/>
      <c r="F1206" s="66"/>
      <c r="G1206" s="66"/>
      <c r="H1206" s="66"/>
      <c r="I1206" s="66"/>
      <c r="J1206" s="66"/>
      <c r="K1206" s="66"/>
      <c r="L1206" s="66"/>
      <c r="M1206" s="66"/>
      <c r="N1206" s="66"/>
    </row>
    <row r="1207" spans="1:14" x14ac:dyDescent="0.2">
      <c r="A1207" s="84"/>
      <c r="B1207" s="84"/>
      <c r="C1207" s="60"/>
      <c r="D1207" s="66"/>
      <c r="E1207" s="66"/>
      <c r="F1207" s="66"/>
      <c r="G1207" s="66"/>
      <c r="H1207" s="66"/>
      <c r="I1207" s="66"/>
      <c r="J1207" s="66"/>
      <c r="K1207" s="66"/>
      <c r="L1207" s="66"/>
      <c r="M1207" s="66"/>
      <c r="N1207" s="66"/>
    </row>
    <row r="1208" spans="1:14" x14ac:dyDescent="0.2">
      <c r="A1208" s="84"/>
      <c r="B1208" s="84"/>
      <c r="C1208" s="60"/>
      <c r="D1208" s="66"/>
      <c r="E1208" s="66"/>
      <c r="F1208" s="66"/>
      <c r="G1208" s="66"/>
      <c r="H1208" s="66"/>
      <c r="I1208" s="66"/>
      <c r="J1208" s="66"/>
      <c r="K1208" s="66"/>
      <c r="L1208" s="66"/>
      <c r="M1208" s="66"/>
      <c r="N1208" s="66"/>
    </row>
    <row r="1209" spans="1:14" x14ac:dyDescent="0.2">
      <c r="A1209" s="84"/>
      <c r="B1209" s="84"/>
      <c r="C1209" s="60"/>
      <c r="D1209" s="66"/>
      <c r="E1209" s="66"/>
      <c r="F1209" s="66"/>
      <c r="G1209" s="66"/>
      <c r="H1209" s="66"/>
      <c r="I1209" s="66"/>
      <c r="J1209" s="66"/>
      <c r="K1209" s="66"/>
      <c r="L1209" s="66"/>
      <c r="M1209" s="66"/>
      <c r="N1209" s="66"/>
    </row>
    <row r="1210" spans="1:14" x14ac:dyDescent="0.2">
      <c r="A1210" s="84"/>
      <c r="B1210" s="84"/>
      <c r="C1210" s="60"/>
      <c r="D1210" s="66"/>
      <c r="E1210" s="66"/>
      <c r="F1210" s="66"/>
      <c r="G1210" s="66"/>
      <c r="H1210" s="66"/>
      <c r="I1210" s="66"/>
      <c r="J1210" s="66"/>
      <c r="K1210" s="66"/>
      <c r="L1210" s="66"/>
      <c r="M1210" s="66"/>
      <c r="N1210" s="66"/>
    </row>
    <row r="1211" spans="1:14" x14ac:dyDescent="0.2">
      <c r="A1211" s="84"/>
      <c r="B1211" s="84"/>
      <c r="C1211" s="60"/>
      <c r="D1211" s="66"/>
      <c r="E1211" s="66"/>
      <c r="F1211" s="66"/>
      <c r="G1211" s="66"/>
      <c r="H1211" s="66"/>
      <c r="I1211" s="66"/>
      <c r="J1211" s="66"/>
      <c r="K1211" s="66"/>
      <c r="L1211" s="66"/>
      <c r="M1211" s="66"/>
      <c r="N1211" s="66"/>
    </row>
    <row r="1212" spans="1:14" x14ac:dyDescent="0.2">
      <c r="A1212" s="84"/>
      <c r="B1212" s="84"/>
      <c r="C1212" s="60"/>
      <c r="D1212" s="66"/>
      <c r="E1212" s="66"/>
      <c r="F1212" s="66"/>
      <c r="G1212" s="66"/>
      <c r="H1212" s="66"/>
      <c r="I1212" s="66"/>
      <c r="J1212" s="66"/>
      <c r="K1212" s="66"/>
      <c r="L1212" s="66"/>
      <c r="M1212" s="66"/>
      <c r="N1212" s="66"/>
    </row>
    <row r="1213" spans="1:14" x14ac:dyDescent="0.2">
      <c r="A1213" s="84"/>
      <c r="B1213" s="84"/>
      <c r="C1213" s="60"/>
      <c r="D1213" s="66"/>
      <c r="E1213" s="66"/>
      <c r="F1213" s="66"/>
      <c r="G1213" s="66"/>
      <c r="H1213" s="66"/>
      <c r="I1213" s="66"/>
      <c r="J1213" s="66"/>
      <c r="K1213" s="66"/>
      <c r="L1213" s="66"/>
      <c r="M1213" s="66"/>
      <c r="N1213" s="66"/>
    </row>
    <row r="1214" spans="1:14" x14ac:dyDescent="0.2">
      <c r="A1214" s="84"/>
      <c r="B1214" s="84"/>
      <c r="C1214" s="60"/>
      <c r="D1214" s="66"/>
      <c r="E1214" s="66"/>
      <c r="F1214" s="66"/>
      <c r="G1214" s="66"/>
      <c r="H1214" s="66"/>
      <c r="I1214" s="66"/>
      <c r="J1214" s="66"/>
      <c r="K1214" s="66"/>
      <c r="L1214" s="66"/>
      <c r="M1214" s="66"/>
      <c r="N1214" s="66"/>
    </row>
    <row r="1215" spans="1:14" x14ac:dyDescent="0.2">
      <c r="A1215" s="84"/>
      <c r="B1215" s="84"/>
      <c r="C1215" s="60"/>
      <c r="D1215" s="66"/>
      <c r="E1215" s="66"/>
      <c r="F1215" s="66"/>
      <c r="G1215" s="66"/>
      <c r="H1215" s="66"/>
      <c r="I1215" s="66"/>
      <c r="J1215" s="66"/>
      <c r="K1215" s="66"/>
      <c r="L1215" s="66"/>
      <c r="M1215" s="66"/>
      <c r="N1215" s="66"/>
    </row>
    <row r="1216" spans="1:14" x14ac:dyDescent="0.2">
      <c r="A1216" s="84"/>
      <c r="B1216" s="84"/>
      <c r="C1216" s="60"/>
      <c r="D1216" s="66"/>
      <c r="E1216" s="66"/>
      <c r="F1216" s="66"/>
      <c r="G1216" s="66"/>
      <c r="H1216" s="66"/>
      <c r="I1216" s="66"/>
      <c r="J1216" s="66"/>
      <c r="K1216" s="66"/>
      <c r="L1216" s="66"/>
      <c r="M1216" s="66"/>
      <c r="N1216" s="66"/>
    </row>
    <row r="1217" spans="1:14" x14ac:dyDescent="0.2">
      <c r="A1217" s="84"/>
      <c r="B1217" s="84"/>
      <c r="C1217" s="60"/>
      <c r="D1217" s="66"/>
      <c r="E1217" s="66"/>
      <c r="F1217" s="66"/>
      <c r="G1217" s="66"/>
      <c r="H1217" s="66"/>
      <c r="I1217" s="66"/>
      <c r="J1217" s="66"/>
      <c r="K1217" s="66"/>
      <c r="L1217" s="66"/>
      <c r="M1217" s="66"/>
      <c r="N1217" s="66"/>
    </row>
    <row r="1218" spans="1:14" x14ac:dyDescent="0.2">
      <c r="A1218" s="84"/>
      <c r="B1218" s="84"/>
      <c r="C1218" s="60"/>
      <c r="D1218" s="66"/>
      <c r="E1218" s="66"/>
      <c r="F1218" s="66"/>
      <c r="G1218" s="66"/>
      <c r="H1218" s="66"/>
      <c r="I1218" s="66"/>
      <c r="J1218" s="66"/>
      <c r="K1218" s="66"/>
      <c r="L1218" s="66"/>
      <c r="M1218" s="66"/>
      <c r="N1218" s="66"/>
    </row>
    <row r="1219" spans="1:14" x14ac:dyDescent="0.2">
      <c r="A1219" s="84"/>
      <c r="B1219" s="84"/>
      <c r="C1219" s="60"/>
      <c r="D1219" s="66"/>
      <c r="E1219" s="66"/>
      <c r="F1219" s="66"/>
      <c r="G1219" s="66"/>
      <c r="H1219" s="66"/>
      <c r="I1219" s="66"/>
      <c r="J1219" s="66"/>
      <c r="K1219" s="66"/>
      <c r="L1219" s="66"/>
      <c r="M1219" s="66"/>
      <c r="N1219" s="66"/>
    </row>
    <row r="1220" spans="1:14" x14ac:dyDescent="0.2">
      <c r="A1220" s="84"/>
      <c r="B1220" s="84"/>
      <c r="C1220" s="60"/>
      <c r="D1220" s="66"/>
      <c r="E1220" s="66"/>
      <c r="F1220" s="66"/>
      <c r="G1220" s="66"/>
      <c r="H1220" s="66"/>
      <c r="I1220" s="66"/>
      <c r="J1220" s="66"/>
      <c r="K1220" s="66"/>
      <c r="L1220" s="66"/>
      <c r="M1220" s="66"/>
      <c r="N1220" s="66"/>
    </row>
    <row r="1221" spans="1:14" x14ac:dyDescent="0.2">
      <c r="A1221" s="84"/>
      <c r="B1221" s="84"/>
      <c r="C1221" s="60"/>
      <c r="D1221" s="66"/>
      <c r="E1221" s="66"/>
      <c r="F1221" s="66"/>
      <c r="G1221" s="66"/>
      <c r="H1221" s="66"/>
      <c r="I1221" s="66"/>
      <c r="J1221" s="66"/>
      <c r="K1221" s="66"/>
      <c r="L1221" s="66"/>
      <c r="M1221" s="66"/>
      <c r="N1221" s="66"/>
    </row>
    <row r="1222" spans="1:14" x14ac:dyDescent="0.2">
      <c r="A1222" s="84"/>
      <c r="B1222" s="84"/>
      <c r="C1222" s="60"/>
      <c r="D1222" s="66"/>
      <c r="E1222" s="66"/>
      <c r="F1222" s="66"/>
      <c r="G1222" s="66"/>
      <c r="H1222" s="66"/>
      <c r="I1222" s="66"/>
      <c r="J1222" s="66"/>
      <c r="K1222" s="66"/>
      <c r="L1222" s="66"/>
      <c r="M1222" s="66"/>
      <c r="N1222" s="66"/>
    </row>
    <row r="1223" spans="1:14" x14ac:dyDescent="0.2">
      <c r="A1223" s="84"/>
      <c r="B1223" s="84"/>
      <c r="C1223" s="60"/>
      <c r="D1223" s="66"/>
      <c r="E1223" s="66"/>
      <c r="F1223" s="66"/>
      <c r="G1223" s="66"/>
      <c r="H1223" s="66"/>
      <c r="I1223" s="66"/>
      <c r="J1223" s="66"/>
      <c r="K1223" s="66"/>
      <c r="L1223" s="66"/>
      <c r="M1223" s="66"/>
      <c r="N1223" s="66"/>
    </row>
    <row r="1224" spans="1:14" x14ac:dyDescent="0.2">
      <c r="A1224" s="84"/>
      <c r="B1224" s="84"/>
      <c r="C1224" s="60"/>
      <c r="D1224" s="66"/>
      <c r="E1224" s="66"/>
      <c r="F1224" s="66"/>
      <c r="G1224" s="66"/>
      <c r="H1224" s="66"/>
      <c r="I1224" s="66"/>
      <c r="J1224" s="66"/>
      <c r="K1224" s="66"/>
      <c r="L1224" s="66"/>
      <c r="M1224" s="66"/>
      <c r="N1224" s="66"/>
    </row>
    <row r="1225" spans="1:14" x14ac:dyDescent="0.2">
      <c r="A1225" s="84"/>
      <c r="B1225" s="84"/>
      <c r="C1225" s="60"/>
      <c r="D1225" s="66"/>
      <c r="E1225" s="66"/>
      <c r="F1225" s="66"/>
      <c r="G1225" s="66"/>
      <c r="H1225" s="66"/>
      <c r="I1225" s="66"/>
      <c r="J1225" s="66"/>
      <c r="K1225" s="66"/>
      <c r="L1225" s="66"/>
      <c r="M1225" s="66"/>
      <c r="N1225" s="66"/>
    </row>
    <row r="1226" spans="1:14" x14ac:dyDescent="0.2">
      <c r="A1226" s="84"/>
      <c r="B1226" s="84"/>
      <c r="C1226" s="60"/>
      <c r="D1226" s="66"/>
      <c r="E1226" s="66"/>
      <c r="F1226" s="66"/>
      <c r="G1226" s="66"/>
      <c r="H1226" s="66"/>
      <c r="I1226" s="66"/>
      <c r="J1226" s="66"/>
      <c r="K1226" s="66"/>
      <c r="L1226" s="66"/>
      <c r="M1226" s="66"/>
      <c r="N1226" s="66"/>
    </row>
    <row r="1227" spans="1:14" x14ac:dyDescent="0.2">
      <c r="A1227" s="84"/>
      <c r="B1227" s="84"/>
      <c r="C1227" s="60"/>
      <c r="D1227" s="66"/>
      <c r="E1227" s="66"/>
      <c r="F1227" s="66"/>
      <c r="G1227" s="66"/>
      <c r="H1227" s="66"/>
      <c r="I1227" s="66"/>
      <c r="J1227" s="66"/>
      <c r="K1227" s="66"/>
      <c r="L1227" s="66"/>
      <c r="M1227" s="66"/>
      <c r="N1227" s="66"/>
    </row>
    <row r="1228" spans="1:14" x14ac:dyDescent="0.2">
      <c r="A1228" s="84"/>
      <c r="B1228" s="84"/>
      <c r="C1228" s="60"/>
      <c r="D1228" s="66"/>
      <c r="E1228" s="66"/>
      <c r="F1228" s="66"/>
      <c r="G1228" s="66"/>
      <c r="H1228" s="66"/>
      <c r="I1228" s="66"/>
      <c r="J1228" s="66"/>
      <c r="K1228" s="66"/>
      <c r="L1228" s="66"/>
      <c r="M1228" s="66"/>
      <c r="N1228" s="66"/>
    </row>
    <row r="1229" spans="1:14" x14ac:dyDescent="0.2">
      <c r="A1229" s="84"/>
      <c r="B1229" s="84"/>
      <c r="C1229" s="60"/>
      <c r="D1229" s="66"/>
      <c r="E1229" s="66"/>
      <c r="F1229" s="66"/>
      <c r="G1229" s="66"/>
      <c r="H1229" s="66"/>
      <c r="I1229" s="66"/>
      <c r="J1229" s="66"/>
      <c r="K1229" s="66"/>
      <c r="L1229" s="66"/>
      <c r="M1229" s="66"/>
      <c r="N1229" s="66"/>
    </row>
    <row r="1230" spans="1:14" x14ac:dyDescent="0.2">
      <c r="A1230" s="84"/>
      <c r="B1230" s="84"/>
      <c r="C1230" s="60"/>
      <c r="D1230" s="66"/>
      <c r="E1230" s="66"/>
      <c r="F1230" s="66"/>
      <c r="G1230" s="66"/>
      <c r="H1230" s="66"/>
      <c r="I1230" s="66"/>
      <c r="J1230" s="66"/>
      <c r="K1230" s="66"/>
      <c r="L1230" s="66"/>
      <c r="M1230" s="66"/>
      <c r="N1230" s="66"/>
    </row>
    <row r="1231" spans="1:14" x14ac:dyDescent="0.2">
      <c r="A1231" s="84"/>
      <c r="B1231" s="84"/>
      <c r="C1231" s="60"/>
      <c r="D1231" s="66"/>
      <c r="E1231" s="66"/>
      <c r="F1231" s="66"/>
      <c r="G1231" s="66"/>
      <c r="H1231" s="66"/>
      <c r="I1231" s="66"/>
      <c r="J1231" s="66"/>
      <c r="K1231" s="66"/>
      <c r="L1231" s="66"/>
      <c r="M1231" s="66"/>
      <c r="N1231" s="66"/>
    </row>
    <row r="1232" spans="1:14" x14ac:dyDescent="0.2">
      <c r="A1232" s="84"/>
      <c r="B1232" s="84"/>
      <c r="C1232" s="60"/>
      <c r="D1232" s="66"/>
      <c r="E1232" s="66"/>
      <c r="F1232" s="66"/>
      <c r="G1232" s="66"/>
      <c r="H1232" s="66"/>
      <c r="I1232" s="66"/>
      <c r="J1232" s="66"/>
      <c r="K1232" s="66"/>
      <c r="L1232" s="66"/>
      <c r="M1232" s="66"/>
      <c r="N1232" s="66"/>
    </row>
    <row r="1233" spans="1:14" x14ac:dyDescent="0.2">
      <c r="A1233" s="84"/>
      <c r="B1233" s="84"/>
      <c r="C1233" s="60"/>
      <c r="D1233" s="66"/>
      <c r="E1233" s="66"/>
      <c r="F1233" s="66"/>
      <c r="G1233" s="66"/>
      <c r="H1233" s="66"/>
      <c r="I1233" s="66"/>
      <c r="J1233" s="66"/>
      <c r="K1233" s="66"/>
      <c r="L1233" s="66"/>
      <c r="M1233" s="66"/>
      <c r="N1233" s="66"/>
    </row>
    <row r="1234" spans="1:14" x14ac:dyDescent="0.2">
      <c r="A1234" s="84"/>
      <c r="B1234" s="84"/>
      <c r="C1234" s="60"/>
      <c r="D1234" s="66"/>
      <c r="E1234" s="66"/>
      <c r="F1234" s="66"/>
      <c r="G1234" s="66"/>
      <c r="H1234" s="66"/>
      <c r="I1234" s="66"/>
      <c r="J1234" s="66"/>
      <c r="K1234" s="66"/>
      <c r="L1234" s="66"/>
      <c r="M1234" s="66"/>
      <c r="N1234" s="66"/>
    </row>
    <row r="1235" spans="1:14" x14ac:dyDescent="0.2">
      <c r="A1235" s="84"/>
      <c r="B1235" s="84"/>
      <c r="C1235" s="60"/>
      <c r="D1235" s="66"/>
      <c r="E1235" s="66"/>
      <c r="F1235" s="66"/>
      <c r="G1235" s="66"/>
      <c r="H1235" s="66"/>
      <c r="I1235" s="66"/>
      <c r="J1235" s="66"/>
      <c r="K1235" s="66"/>
      <c r="L1235" s="66"/>
      <c r="M1235" s="66"/>
      <c r="N1235" s="66"/>
    </row>
    <row r="1236" spans="1:14" x14ac:dyDescent="0.2">
      <c r="A1236" s="84"/>
      <c r="B1236" s="84"/>
      <c r="C1236" s="60"/>
      <c r="D1236" s="66"/>
      <c r="E1236" s="66"/>
      <c r="F1236" s="66"/>
      <c r="G1236" s="66"/>
      <c r="H1236" s="66"/>
      <c r="I1236" s="66"/>
      <c r="J1236" s="66"/>
      <c r="K1236" s="66"/>
      <c r="L1236" s="66"/>
      <c r="M1236" s="66"/>
      <c r="N1236" s="66"/>
    </row>
    <row r="1237" spans="1:14" x14ac:dyDescent="0.2">
      <c r="A1237" s="84"/>
      <c r="B1237" s="84"/>
      <c r="C1237" s="60"/>
      <c r="D1237" s="66"/>
      <c r="E1237" s="66"/>
      <c r="F1237" s="66"/>
      <c r="G1237" s="66"/>
      <c r="H1237" s="66"/>
      <c r="I1237" s="66"/>
      <c r="J1237" s="66"/>
      <c r="K1237" s="66"/>
      <c r="L1237" s="66"/>
      <c r="M1237" s="66"/>
      <c r="N1237" s="66"/>
    </row>
    <row r="1238" spans="1:14" x14ac:dyDescent="0.2">
      <c r="A1238" s="84"/>
      <c r="B1238" s="84"/>
      <c r="C1238" s="60"/>
      <c r="D1238" s="66"/>
      <c r="E1238" s="66"/>
      <c r="F1238" s="66"/>
      <c r="G1238" s="66"/>
      <c r="H1238" s="66"/>
      <c r="I1238" s="66"/>
      <c r="J1238" s="66"/>
      <c r="K1238" s="66"/>
      <c r="L1238" s="66"/>
      <c r="M1238" s="66"/>
      <c r="N1238" s="66"/>
    </row>
    <row r="1239" spans="1:14" x14ac:dyDescent="0.2">
      <c r="A1239" s="84"/>
      <c r="B1239" s="84"/>
      <c r="C1239" s="60"/>
      <c r="D1239" s="66"/>
      <c r="E1239" s="66"/>
      <c r="F1239" s="66"/>
      <c r="G1239" s="66"/>
      <c r="H1239" s="66"/>
      <c r="I1239" s="66"/>
      <c r="J1239" s="66"/>
      <c r="K1239" s="66"/>
      <c r="L1239" s="66"/>
      <c r="M1239" s="66"/>
      <c r="N1239" s="66"/>
    </row>
    <row r="1240" spans="1:14" x14ac:dyDescent="0.2">
      <c r="A1240" s="84"/>
      <c r="B1240" s="84"/>
      <c r="C1240" s="60"/>
      <c r="D1240" s="66"/>
      <c r="E1240" s="66"/>
      <c r="F1240" s="66"/>
      <c r="G1240" s="66"/>
      <c r="H1240" s="66"/>
      <c r="I1240" s="66"/>
      <c r="J1240" s="66"/>
      <c r="K1240" s="66"/>
      <c r="L1240" s="66"/>
      <c r="M1240" s="66"/>
      <c r="N1240" s="66"/>
    </row>
    <row r="1241" spans="1:14" x14ac:dyDescent="0.2">
      <c r="A1241" s="84"/>
      <c r="B1241" s="84"/>
      <c r="C1241" s="60"/>
      <c r="D1241" s="66"/>
      <c r="E1241" s="66"/>
      <c r="F1241" s="66"/>
      <c r="G1241" s="66"/>
      <c r="H1241" s="66"/>
      <c r="I1241" s="66"/>
      <c r="J1241" s="66"/>
      <c r="K1241" s="66"/>
      <c r="L1241" s="66"/>
      <c r="M1241" s="66"/>
      <c r="N1241" s="66"/>
    </row>
    <row r="1242" spans="1:14" x14ac:dyDescent="0.2">
      <c r="A1242" s="84"/>
      <c r="B1242" s="84"/>
      <c r="C1242" s="60"/>
      <c r="D1242" s="66"/>
      <c r="E1242" s="66"/>
      <c r="F1242" s="66"/>
      <c r="G1242" s="66"/>
      <c r="H1242" s="66"/>
      <c r="I1242" s="66"/>
      <c r="J1242" s="66"/>
      <c r="K1242" s="66"/>
      <c r="L1242" s="66"/>
      <c r="M1242" s="66"/>
      <c r="N1242" s="66"/>
    </row>
    <row r="1243" spans="1:14" x14ac:dyDescent="0.2">
      <c r="A1243" s="84"/>
      <c r="B1243" s="84"/>
      <c r="C1243" s="60"/>
      <c r="D1243" s="66"/>
      <c r="E1243" s="66"/>
      <c r="F1243" s="66"/>
      <c r="G1243" s="66"/>
      <c r="H1243" s="66"/>
      <c r="I1243" s="66"/>
      <c r="J1243" s="66"/>
      <c r="K1243" s="66"/>
      <c r="L1243" s="66"/>
      <c r="M1243" s="66"/>
      <c r="N1243" s="66"/>
    </row>
    <row r="1244" spans="1:14" x14ac:dyDescent="0.2">
      <c r="A1244" s="84"/>
      <c r="B1244" s="84"/>
      <c r="C1244" s="60"/>
      <c r="D1244" s="66"/>
      <c r="E1244" s="66"/>
      <c r="F1244" s="66"/>
      <c r="G1244" s="66"/>
      <c r="H1244" s="66"/>
      <c r="I1244" s="66"/>
      <c r="J1244" s="66"/>
      <c r="K1244" s="66"/>
      <c r="L1244" s="66"/>
      <c r="M1244" s="66"/>
      <c r="N1244" s="66"/>
    </row>
    <row r="1245" spans="1:14" x14ac:dyDescent="0.2">
      <c r="A1245" s="84"/>
      <c r="B1245" s="84"/>
      <c r="C1245" s="60"/>
      <c r="D1245" s="66"/>
      <c r="E1245" s="66"/>
      <c r="F1245" s="66"/>
      <c r="G1245" s="66"/>
      <c r="H1245" s="66"/>
      <c r="I1245" s="66"/>
      <c r="J1245" s="66"/>
      <c r="K1245" s="66"/>
      <c r="L1245" s="66"/>
      <c r="M1245" s="66"/>
      <c r="N1245" s="66"/>
    </row>
    <row r="1246" spans="1:14" x14ac:dyDescent="0.2">
      <c r="A1246" s="84"/>
      <c r="B1246" s="84"/>
      <c r="C1246" s="60"/>
      <c r="D1246" s="66"/>
      <c r="E1246" s="66"/>
      <c r="F1246" s="66"/>
      <c r="G1246" s="66"/>
      <c r="H1246" s="66"/>
      <c r="I1246" s="66"/>
      <c r="J1246" s="66"/>
      <c r="K1246" s="66"/>
      <c r="L1246" s="66"/>
      <c r="M1246" s="66"/>
      <c r="N1246" s="66"/>
    </row>
    <row r="1247" spans="1:14" x14ac:dyDescent="0.2">
      <c r="A1247" s="84"/>
      <c r="B1247" s="84"/>
      <c r="C1247" s="60"/>
      <c r="D1247" s="66"/>
      <c r="E1247" s="66"/>
      <c r="F1247" s="66"/>
      <c r="G1247" s="66"/>
      <c r="H1247" s="66"/>
      <c r="I1247" s="66"/>
      <c r="J1247" s="66"/>
      <c r="K1247" s="66"/>
      <c r="L1247" s="66"/>
      <c r="M1247" s="66"/>
      <c r="N1247" s="66"/>
    </row>
    <row r="1248" spans="1:14" x14ac:dyDescent="0.2">
      <c r="A1248" s="84"/>
      <c r="B1248" s="84"/>
      <c r="C1248" s="60"/>
      <c r="D1248" s="66"/>
      <c r="E1248" s="66"/>
      <c r="F1248" s="66"/>
      <c r="G1248" s="66"/>
      <c r="H1248" s="66"/>
      <c r="I1248" s="66"/>
      <c r="J1248" s="66"/>
      <c r="K1248" s="66"/>
      <c r="L1248" s="66"/>
      <c r="M1248" s="66"/>
      <c r="N1248" s="66"/>
    </row>
    <row r="1249" spans="1:14" x14ac:dyDescent="0.2">
      <c r="A1249" s="84"/>
      <c r="B1249" s="84"/>
      <c r="C1249" s="60"/>
      <c r="D1249" s="66"/>
      <c r="E1249" s="66"/>
      <c r="F1249" s="66"/>
      <c r="G1249" s="66"/>
      <c r="H1249" s="66"/>
      <c r="I1249" s="66"/>
      <c r="J1249" s="66"/>
      <c r="K1249" s="66"/>
      <c r="L1249" s="66"/>
      <c r="M1249" s="66"/>
      <c r="N1249" s="66"/>
    </row>
    <row r="1250" spans="1:14" x14ac:dyDescent="0.2">
      <c r="A1250" s="84"/>
      <c r="B1250" s="84"/>
      <c r="C1250" s="60"/>
      <c r="D1250" s="66"/>
      <c r="E1250" s="66"/>
      <c r="F1250" s="66"/>
      <c r="G1250" s="66"/>
      <c r="H1250" s="66"/>
      <c r="I1250" s="66"/>
      <c r="J1250" s="66"/>
      <c r="K1250" s="66"/>
      <c r="L1250" s="66"/>
      <c r="M1250" s="66"/>
      <c r="N1250" s="66"/>
    </row>
    <row r="1251" spans="1:14" x14ac:dyDescent="0.2">
      <c r="A1251" s="84"/>
      <c r="B1251" s="84"/>
      <c r="C1251" s="60"/>
      <c r="D1251" s="66"/>
      <c r="E1251" s="66"/>
      <c r="F1251" s="66"/>
      <c r="G1251" s="66"/>
      <c r="H1251" s="66"/>
      <c r="I1251" s="66"/>
      <c r="J1251" s="66"/>
      <c r="K1251" s="66"/>
      <c r="L1251" s="66"/>
      <c r="M1251" s="66"/>
      <c r="N1251" s="66"/>
    </row>
    <row r="1252" spans="1:14" x14ac:dyDescent="0.2">
      <c r="A1252" s="84"/>
      <c r="B1252" s="84"/>
      <c r="C1252" s="60"/>
      <c r="D1252" s="66"/>
      <c r="E1252" s="66"/>
      <c r="F1252" s="66"/>
      <c r="G1252" s="66"/>
      <c r="H1252" s="66"/>
      <c r="I1252" s="66"/>
      <c r="J1252" s="66"/>
      <c r="K1252" s="66"/>
      <c r="L1252" s="66"/>
      <c r="M1252" s="66"/>
      <c r="N1252" s="66"/>
    </row>
    <row r="1253" spans="1:14" x14ac:dyDescent="0.2">
      <c r="A1253" s="84"/>
      <c r="B1253" s="84"/>
      <c r="C1253" s="60"/>
      <c r="D1253" s="66"/>
      <c r="E1253" s="66"/>
      <c r="F1253" s="66"/>
      <c r="G1253" s="66"/>
      <c r="H1253" s="66"/>
      <c r="I1253" s="66"/>
      <c r="J1253" s="66"/>
      <c r="K1253" s="66"/>
      <c r="L1253" s="66"/>
      <c r="M1253" s="66"/>
      <c r="N1253" s="66"/>
    </row>
    <row r="1254" spans="1:14" x14ac:dyDescent="0.2">
      <c r="A1254" s="84"/>
      <c r="B1254" s="84"/>
      <c r="C1254" s="60"/>
      <c r="D1254" s="66"/>
      <c r="E1254" s="66"/>
      <c r="F1254" s="66"/>
      <c r="G1254" s="66"/>
      <c r="H1254" s="66"/>
      <c r="I1254" s="66"/>
      <c r="J1254" s="66"/>
      <c r="K1254" s="66"/>
      <c r="L1254" s="66"/>
      <c r="M1254" s="66"/>
      <c r="N1254" s="66"/>
    </row>
    <row r="1255" spans="1:14" x14ac:dyDescent="0.2">
      <c r="A1255" s="84"/>
      <c r="B1255" s="84"/>
      <c r="C1255" s="60"/>
      <c r="D1255" s="66"/>
      <c r="E1255" s="66"/>
      <c r="F1255" s="66"/>
      <c r="G1255" s="66"/>
      <c r="H1255" s="66"/>
      <c r="I1255" s="66"/>
      <c r="J1255" s="66"/>
      <c r="K1255" s="66"/>
      <c r="L1255" s="66"/>
      <c r="M1255" s="66"/>
      <c r="N1255" s="66"/>
    </row>
    <row r="1256" spans="1:14" x14ac:dyDescent="0.2">
      <c r="A1256" s="84"/>
      <c r="B1256" s="84"/>
      <c r="C1256" s="60"/>
      <c r="D1256" s="66"/>
      <c r="E1256" s="66"/>
      <c r="F1256" s="66"/>
      <c r="G1256" s="66"/>
      <c r="H1256" s="66"/>
      <c r="I1256" s="66"/>
      <c r="J1256" s="66"/>
      <c r="K1256" s="66"/>
      <c r="L1256" s="66"/>
      <c r="M1256" s="66"/>
      <c r="N1256" s="66"/>
    </row>
    <row r="1257" spans="1:14" x14ac:dyDescent="0.2">
      <c r="A1257" s="84"/>
      <c r="B1257" s="84"/>
      <c r="C1257" s="60"/>
      <c r="D1257" s="66"/>
      <c r="E1257" s="66"/>
      <c r="F1257" s="66"/>
      <c r="G1257" s="66"/>
      <c r="H1257" s="66"/>
      <c r="I1257" s="66"/>
      <c r="J1257" s="66"/>
      <c r="K1257" s="66"/>
      <c r="L1257" s="66"/>
      <c r="M1257" s="66"/>
      <c r="N1257" s="66"/>
    </row>
    <row r="1258" spans="1:14" x14ac:dyDescent="0.2">
      <c r="A1258" s="84"/>
      <c r="B1258" s="84"/>
      <c r="C1258" s="60"/>
      <c r="D1258" s="66"/>
      <c r="E1258" s="66"/>
      <c r="F1258" s="66"/>
      <c r="G1258" s="66"/>
      <c r="H1258" s="66"/>
      <c r="I1258" s="66"/>
      <c r="J1258" s="66"/>
      <c r="K1258" s="66"/>
      <c r="L1258" s="66"/>
      <c r="M1258" s="66"/>
      <c r="N1258" s="66"/>
    </row>
    <row r="1259" spans="1:14" x14ac:dyDescent="0.2">
      <c r="A1259" s="84"/>
      <c r="B1259" s="84"/>
      <c r="C1259" s="60"/>
      <c r="D1259" s="66"/>
      <c r="E1259" s="66"/>
      <c r="F1259" s="66"/>
      <c r="G1259" s="66"/>
      <c r="H1259" s="66"/>
      <c r="I1259" s="66"/>
      <c r="J1259" s="66"/>
      <c r="K1259" s="66"/>
      <c r="L1259" s="66"/>
      <c r="M1259" s="66"/>
      <c r="N1259" s="66"/>
    </row>
    <row r="1260" spans="1:14" x14ac:dyDescent="0.2">
      <c r="A1260" s="84"/>
      <c r="B1260" s="84"/>
      <c r="C1260" s="60"/>
      <c r="D1260" s="66"/>
      <c r="E1260" s="66"/>
      <c r="F1260" s="66"/>
      <c r="G1260" s="66"/>
      <c r="H1260" s="66"/>
      <c r="I1260" s="66"/>
      <c r="J1260" s="66"/>
      <c r="K1260" s="66"/>
      <c r="L1260" s="66"/>
      <c r="M1260" s="66"/>
      <c r="N1260" s="66"/>
    </row>
    <row r="1261" spans="1:14" x14ac:dyDescent="0.2">
      <c r="A1261" s="84"/>
      <c r="B1261" s="84"/>
      <c r="C1261" s="60"/>
      <c r="D1261" s="66"/>
      <c r="E1261" s="66"/>
      <c r="F1261" s="66"/>
      <c r="G1261" s="66"/>
      <c r="H1261" s="66"/>
      <c r="I1261" s="66"/>
      <c r="J1261" s="66"/>
      <c r="K1261" s="66"/>
      <c r="L1261" s="66"/>
      <c r="M1261" s="66"/>
      <c r="N1261" s="66"/>
    </row>
    <row r="1262" spans="1:14" x14ac:dyDescent="0.2">
      <c r="A1262" s="84"/>
      <c r="B1262" s="84"/>
      <c r="C1262" s="60"/>
      <c r="D1262" s="66"/>
      <c r="E1262" s="66"/>
      <c r="F1262" s="66"/>
      <c r="G1262" s="66"/>
      <c r="H1262" s="66"/>
      <c r="I1262" s="66"/>
      <c r="J1262" s="66"/>
      <c r="K1262" s="66"/>
      <c r="L1262" s="66"/>
      <c r="M1262" s="66"/>
      <c r="N1262" s="66"/>
    </row>
    <row r="1263" spans="1:14" x14ac:dyDescent="0.2">
      <c r="A1263" s="84"/>
      <c r="B1263" s="84"/>
      <c r="C1263" s="60"/>
      <c r="D1263" s="66"/>
      <c r="E1263" s="66"/>
      <c r="F1263" s="66"/>
      <c r="G1263" s="66"/>
      <c r="H1263" s="66"/>
      <c r="I1263" s="66"/>
      <c r="J1263" s="66"/>
      <c r="K1263" s="66"/>
      <c r="L1263" s="66"/>
      <c r="M1263" s="66"/>
      <c r="N1263" s="66"/>
    </row>
    <row r="1264" spans="1:14" x14ac:dyDescent="0.2">
      <c r="A1264" s="84"/>
      <c r="B1264" s="84"/>
      <c r="C1264" s="60"/>
      <c r="D1264" s="66"/>
      <c r="E1264" s="66"/>
      <c r="F1264" s="66"/>
      <c r="G1264" s="66"/>
      <c r="H1264" s="66"/>
      <c r="I1264" s="66"/>
      <c r="J1264" s="66"/>
      <c r="K1264" s="66"/>
      <c r="L1264" s="66"/>
      <c r="M1264" s="66"/>
      <c r="N1264" s="66"/>
    </row>
    <row r="1265" spans="1:14" x14ac:dyDescent="0.2">
      <c r="A1265" s="84"/>
      <c r="B1265" s="84"/>
      <c r="C1265" s="60"/>
      <c r="D1265" s="66"/>
      <c r="E1265" s="66"/>
      <c r="F1265" s="66"/>
      <c r="G1265" s="66"/>
      <c r="H1265" s="66"/>
      <c r="I1265" s="66"/>
      <c r="J1265" s="66"/>
      <c r="K1265" s="66"/>
      <c r="L1265" s="66"/>
      <c r="M1265" s="66"/>
      <c r="N1265" s="66"/>
    </row>
    <row r="1266" spans="1:14" x14ac:dyDescent="0.2">
      <c r="A1266" s="84"/>
      <c r="B1266" s="84"/>
      <c r="C1266" s="60"/>
      <c r="D1266" s="66"/>
      <c r="E1266" s="66"/>
      <c r="F1266" s="66"/>
      <c r="G1266" s="66"/>
      <c r="H1266" s="66"/>
      <c r="I1266" s="66"/>
      <c r="J1266" s="66"/>
      <c r="K1266" s="66"/>
      <c r="L1266" s="66"/>
      <c r="M1266" s="66"/>
      <c r="N1266" s="66"/>
    </row>
    <row r="1267" spans="1:14" x14ac:dyDescent="0.2">
      <c r="A1267" s="84"/>
      <c r="B1267" s="84"/>
      <c r="C1267" s="60"/>
      <c r="D1267" s="66"/>
      <c r="E1267" s="66"/>
      <c r="F1267" s="66"/>
      <c r="G1267" s="66"/>
      <c r="H1267" s="66"/>
      <c r="I1267" s="66"/>
      <c r="J1267" s="66"/>
      <c r="K1267" s="66"/>
      <c r="L1267" s="66"/>
      <c r="M1267" s="66"/>
      <c r="N1267" s="66"/>
    </row>
    <row r="1268" spans="1:14" x14ac:dyDescent="0.2">
      <c r="A1268" s="84"/>
      <c r="B1268" s="84"/>
      <c r="C1268" s="60"/>
      <c r="D1268" s="66"/>
      <c r="E1268" s="66"/>
      <c r="F1268" s="66"/>
      <c r="G1268" s="66"/>
      <c r="H1268" s="66"/>
      <c r="I1268" s="66"/>
      <c r="J1268" s="66"/>
      <c r="K1268" s="66"/>
      <c r="L1268" s="66"/>
      <c r="M1268" s="66"/>
      <c r="N1268" s="66"/>
    </row>
    <row r="1269" spans="1:14" x14ac:dyDescent="0.2">
      <c r="A1269" s="84"/>
      <c r="B1269" s="84"/>
      <c r="C1269" s="60"/>
      <c r="D1269" s="66"/>
      <c r="E1269" s="66"/>
      <c r="F1269" s="66"/>
      <c r="G1269" s="66"/>
      <c r="H1269" s="66"/>
      <c r="I1269" s="66"/>
      <c r="J1269" s="66"/>
      <c r="K1269" s="66"/>
      <c r="L1269" s="66"/>
      <c r="M1269" s="66"/>
      <c r="N1269" s="66"/>
    </row>
    <row r="1270" spans="1:14" x14ac:dyDescent="0.2">
      <c r="A1270" s="84"/>
      <c r="B1270" s="84"/>
      <c r="C1270" s="60"/>
      <c r="D1270" s="66"/>
      <c r="E1270" s="66"/>
      <c r="F1270" s="66"/>
      <c r="G1270" s="66"/>
      <c r="H1270" s="66"/>
      <c r="I1270" s="66"/>
      <c r="J1270" s="66"/>
      <c r="K1270" s="66"/>
      <c r="L1270" s="66"/>
      <c r="M1270" s="66"/>
      <c r="N1270" s="66"/>
    </row>
    <row r="1271" spans="1:14" x14ac:dyDescent="0.2">
      <c r="A1271" s="84"/>
      <c r="B1271" s="84"/>
      <c r="C1271" s="60"/>
      <c r="D1271" s="66"/>
      <c r="E1271" s="66"/>
      <c r="F1271" s="66"/>
      <c r="G1271" s="66"/>
      <c r="H1271" s="66"/>
      <c r="I1271" s="66"/>
      <c r="J1271" s="66"/>
      <c r="K1271" s="66"/>
      <c r="L1271" s="66"/>
      <c r="M1271" s="66"/>
      <c r="N1271" s="66"/>
    </row>
    <row r="1272" spans="1:14" x14ac:dyDescent="0.2">
      <c r="A1272" s="84"/>
      <c r="B1272" s="84"/>
      <c r="C1272" s="60"/>
      <c r="D1272" s="66"/>
      <c r="E1272" s="66"/>
      <c r="F1272" s="66"/>
      <c r="G1272" s="66"/>
      <c r="H1272" s="66"/>
      <c r="I1272" s="66"/>
      <c r="J1272" s="66"/>
      <c r="K1272" s="66"/>
      <c r="L1272" s="66"/>
      <c r="M1272" s="66"/>
      <c r="N1272" s="66"/>
    </row>
    <row r="1273" spans="1:14" x14ac:dyDescent="0.2">
      <c r="A1273" s="84"/>
      <c r="B1273" s="84"/>
      <c r="C1273" s="60"/>
      <c r="D1273" s="66"/>
      <c r="E1273" s="66"/>
      <c r="F1273" s="66"/>
      <c r="G1273" s="66"/>
      <c r="H1273" s="66"/>
      <c r="I1273" s="66"/>
      <c r="J1273" s="66"/>
      <c r="K1273" s="66"/>
      <c r="L1273" s="66"/>
      <c r="M1273" s="66"/>
      <c r="N1273" s="66"/>
    </row>
    <row r="1274" spans="1:14" x14ac:dyDescent="0.2">
      <c r="A1274" s="84"/>
      <c r="B1274" s="84"/>
      <c r="C1274" s="60"/>
      <c r="D1274" s="66"/>
      <c r="E1274" s="66"/>
      <c r="F1274" s="66"/>
      <c r="G1274" s="66"/>
      <c r="H1274" s="66"/>
      <c r="I1274" s="66"/>
      <c r="J1274" s="66"/>
      <c r="K1274" s="66"/>
      <c r="L1274" s="66"/>
      <c r="M1274" s="66"/>
      <c r="N1274" s="66"/>
    </row>
    <row r="1275" spans="1:14" x14ac:dyDescent="0.2">
      <c r="A1275" s="84"/>
      <c r="B1275" s="84"/>
      <c r="C1275" s="60"/>
      <c r="D1275" s="66"/>
      <c r="E1275" s="66"/>
      <c r="F1275" s="66"/>
      <c r="G1275" s="66"/>
      <c r="H1275" s="66"/>
      <c r="I1275" s="66"/>
      <c r="J1275" s="66"/>
      <c r="K1275" s="66"/>
      <c r="L1275" s="66"/>
      <c r="M1275" s="66"/>
      <c r="N1275" s="66"/>
    </row>
    <row r="1276" spans="1:14" x14ac:dyDescent="0.2">
      <c r="A1276" s="84"/>
      <c r="B1276" s="84"/>
      <c r="C1276" s="60"/>
      <c r="D1276" s="66"/>
      <c r="E1276" s="66"/>
      <c r="F1276" s="66"/>
      <c r="G1276" s="66"/>
      <c r="H1276" s="66"/>
      <c r="I1276" s="66"/>
      <c r="J1276" s="66"/>
      <c r="K1276" s="66"/>
      <c r="L1276" s="66"/>
      <c r="M1276" s="66"/>
      <c r="N1276" s="66"/>
    </row>
    <row r="1277" spans="1:14" x14ac:dyDescent="0.2">
      <c r="A1277" s="84"/>
      <c r="B1277" s="84"/>
      <c r="C1277" s="60"/>
      <c r="D1277" s="66"/>
      <c r="E1277" s="66"/>
      <c r="F1277" s="66"/>
      <c r="G1277" s="66"/>
      <c r="H1277" s="66"/>
      <c r="I1277" s="66"/>
      <c r="J1277" s="66"/>
      <c r="K1277" s="66"/>
      <c r="L1277" s="66"/>
      <c r="M1277" s="66"/>
      <c r="N1277" s="66"/>
    </row>
    <row r="1278" spans="1:14" x14ac:dyDescent="0.2">
      <c r="A1278" s="84"/>
      <c r="B1278" s="84"/>
      <c r="C1278" s="60"/>
      <c r="D1278" s="66"/>
      <c r="E1278" s="66"/>
      <c r="F1278" s="66"/>
      <c r="G1278" s="66"/>
      <c r="H1278" s="66"/>
      <c r="I1278" s="66"/>
      <c r="J1278" s="66"/>
      <c r="K1278" s="66"/>
      <c r="L1278" s="66"/>
      <c r="M1278" s="66"/>
      <c r="N1278" s="66"/>
    </row>
    <row r="1279" spans="1:14" x14ac:dyDescent="0.2">
      <c r="A1279" s="84"/>
      <c r="B1279" s="84"/>
      <c r="C1279" s="60"/>
      <c r="D1279" s="66"/>
      <c r="E1279" s="66"/>
      <c r="F1279" s="66"/>
      <c r="G1279" s="66"/>
      <c r="H1279" s="66"/>
      <c r="I1279" s="66"/>
      <c r="J1279" s="66"/>
      <c r="K1279" s="66"/>
      <c r="L1279" s="66"/>
      <c r="M1279" s="66"/>
      <c r="N1279" s="66"/>
    </row>
    <row r="1280" spans="1:14" x14ac:dyDescent="0.2">
      <c r="A1280" s="84"/>
      <c r="B1280" s="84"/>
      <c r="C1280" s="60"/>
      <c r="D1280" s="66"/>
      <c r="E1280" s="66"/>
      <c r="F1280" s="66"/>
      <c r="G1280" s="66"/>
      <c r="H1280" s="66"/>
      <c r="I1280" s="66"/>
      <c r="J1280" s="66"/>
      <c r="K1280" s="66"/>
      <c r="L1280" s="66"/>
      <c r="M1280" s="66"/>
      <c r="N1280" s="66"/>
    </row>
    <row r="1281" spans="1:14" x14ac:dyDescent="0.2">
      <c r="A1281" s="84"/>
      <c r="B1281" s="84"/>
      <c r="C1281" s="60"/>
      <c r="D1281" s="66"/>
      <c r="E1281" s="66"/>
      <c r="F1281" s="66"/>
      <c r="G1281" s="66"/>
      <c r="H1281" s="66"/>
      <c r="I1281" s="66"/>
      <c r="J1281" s="66"/>
      <c r="K1281" s="66"/>
      <c r="L1281" s="66"/>
      <c r="M1281" s="66"/>
      <c r="N1281" s="66"/>
    </row>
    <row r="1282" spans="1:14" x14ac:dyDescent="0.2">
      <c r="A1282" s="84"/>
      <c r="B1282" s="84"/>
      <c r="C1282" s="60"/>
      <c r="D1282" s="66"/>
      <c r="E1282" s="66"/>
      <c r="F1282" s="66"/>
      <c r="G1282" s="66"/>
      <c r="H1282" s="66"/>
      <c r="I1282" s="66"/>
      <c r="J1282" s="66"/>
      <c r="K1282" s="66"/>
      <c r="L1282" s="66"/>
      <c r="M1282" s="66"/>
      <c r="N1282" s="66"/>
    </row>
    <row r="1283" spans="1:14" x14ac:dyDescent="0.2">
      <c r="A1283" s="84"/>
      <c r="B1283" s="84"/>
      <c r="C1283" s="60"/>
      <c r="D1283" s="66"/>
      <c r="E1283" s="66"/>
      <c r="F1283" s="66"/>
      <c r="G1283" s="66"/>
      <c r="H1283" s="66"/>
      <c r="I1283" s="66"/>
      <c r="J1283" s="66"/>
      <c r="K1283" s="66"/>
      <c r="L1283" s="66"/>
      <c r="M1283" s="66"/>
      <c r="N1283" s="66"/>
    </row>
    <row r="1284" spans="1:14" x14ac:dyDescent="0.2">
      <c r="A1284" s="84"/>
      <c r="B1284" s="84"/>
      <c r="C1284" s="60"/>
      <c r="D1284" s="66"/>
      <c r="E1284" s="66"/>
      <c r="F1284" s="66"/>
      <c r="G1284" s="66"/>
      <c r="H1284" s="66"/>
      <c r="I1284" s="66"/>
      <c r="J1284" s="66"/>
      <c r="K1284" s="66"/>
      <c r="L1284" s="66"/>
      <c r="M1284" s="66"/>
      <c r="N1284" s="66"/>
    </row>
    <row r="1285" spans="1:14" x14ac:dyDescent="0.2">
      <c r="A1285" s="84"/>
      <c r="B1285" s="84"/>
      <c r="C1285" s="60"/>
      <c r="D1285" s="66"/>
      <c r="E1285" s="66"/>
      <c r="F1285" s="66"/>
      <c r="G1285" s="66"/>
      <c r="H1285" s="66"/>
      <c r="I1285" s="66"/>
      <c r="J1285" s="66"/>
      <c r="K1285" s="66"/>
      <c r="L1285" s="66"/>
      <c r="M1285" s="66"/>
      <c r="N1285" s="66"/>
    </row>
    <row r="1286" spans="1:14" x14ac:dyDescent="0.2">
      <c r="A1286" s="84"/>
      <c r="B1286" s="84"/>
      <c r="C1286" s="60"/>
      <c r="D1286" s="66"/>
      <c r="E1286" s="66"/>
      <c r="F1286" s="66"/>
      <c r="G1286" s="66"/>
      <c r="H1286" s="66"/>
      <c r="I1286" s="66"/>
      <c r="J1286" s="66"/>
      <c r="K1286" s="66"/>
      <c r="L1286" s="66"/>
      <c r="M1286" s="66"/>
      <c r="N1286" s="66"/>
    </row>
    <row r="1287" spans="1:14" x14ac:dyDescent="0.2">
      <c r="A1287" s="84"/>
      <c r="B1287" s="84"/>
      <c r="C1287" s="60"/>
      <c r="D1287" s="66"/>
      <c r="E1287" s="66"/>
      <c r="F1287" s="66"/>
      <c r="G1287" s="66"/>
      <c r="H1287" s="66"/>
      <c r="I1287" s="66"/>
      <c r="J1287" s="66"/>
      <c r="K1287" s="66"/>
      <c r="L1287" s="66"/>
      <c r="M1287" s="66"/>
      <c r="N1287" s="66"/>
    </row>
    <row r="1288" spans="1:14" x14ac:dyDescent="0.2">
      <c r="A1288" s="84"/>
      <c r="B1288" s="84"/>
      <c r="C1288" s="60"/>
      <c r="D1288" s="66"/>
      <c r="E1288" s="66"/>
      <c r="F1288" s="66"/>
      <c r="G1288" s="66"/>
      <c r="H1288" s="66"/>
      <c r="I1288" s="66"/>
      <c r="J1288" s="66"/>
      <c r="K1288" s="66"/>
      <c r="L1288" s="66"/>
      <c r="M1288" s="66"/>
      <c r="N1288" s="66"/>
    </row>
    <row r="1289" spans="1:14" x14ac:dyDescent="0.2">
      <c r="A1289" s="84"/>
      <c r="B1289" s="84"/>
      <c r="C1289" s="60"/>
      <c r="D1289" s="66"/>
      <c r="E1289" s="66"/>
      <c r="F1289" s="66"/>
      <c r="G1289" s="66"/>
      <c r="H1289" s="66"/>
      <c r="I1289" s="66"/>
      <c r="J1289" s="66"/>
      <c r="K1289" s="66"/>
      <c r="L1289" s="66"/>
      <c r="M1289" s="66"/>
      <c r="N1289" s="66"/>
    </row>
    <row r="1290" spans="1:14" x14ac:dyDescent="0.2">
      <c r="A1290" s="84"/>
      <c r="B1290" s="84"/>
      <c r="C1290" s="60"/>
      <c r="D1290" s="66"/>
      <c r="E1290" s="66"/>
      <c r="F1290" s="66"/>
      <c r="G1290" s="66"/>
      <c r="H1290" s="66"/>
      <c r="I1290" s="66"/>
      <c r="J1290" s="66"/>
      <c r="K1290" s="66"/>
      <c r="L1290" s="66"/>
      <c r="M1290" s="66"/>
      <c r="N1290" s="66"/>
    </row>
    <row r="1291" spans="1:14" x14ac:dyDescent="0.2">
      <c r="A1291" s="84"/>
      <c r="B1291" s="84"/>
      <c r="C1291" s="60"/>
      <c r="D1291" s="66"/>
      <c r="E1291" s="66"/>
      <c r="F1291" s="66"/>
      <c r="G1291" s="66"/>
      <c r="H1291" s="66"/>
      <c r="I1291" s="66"/>
      <c r="J1291" s="66"/>
      <c r="K1291" s="66"/>
      <c r="L1291" s="66"/>
      <c r="M1291" s="66"/>
      <c r="N1291" s="66"/>
    </row>
    <row r="1292" spans="1:14" x14ac:dyDescent="0.2">
      <c r="A1292" s="84"/>
      <c r="B1292" s="84"/>
      <c r="C1292" s="60"/>
      <c r="D1292" s="66"/>
      <c r="E1292" s="66"/>
      <c r="F1292" s="66"/>
      <c r="G1292" s="66"/>
      <c r="H1292" s="66"/>
      <c r="I1292" s="66"/>
      <c r="J1292" s="66"/>
      <c r="K1292" s="66"/>
      <c r="L1292" s="66"/>
      <c r="M1292" s="66"/>
      <c r="N1292" s="66"/>
    </row>
    <row r="1293" spans="1:14" x14ac:dyDescent="0.2">
      <c r="A1293" s="84"/>
      <c r="B1293" s="84"/>
      <c r="C1293" s="60"/>
      <c r="D1293" s="66"/>
      <c r="E1293" s="66"/>
      <c r="F1293" s="66"/>
      <c r="G1293" s="66"/>
      <c r="H1293" s="66"/>
      <c r="I1293" s="66"/>
      <c r="J1293" s="66"/>
      <c r="K1293" s="66"/>
      <c r="L1293" s="66"/>
      <c r="M1293" s="66"/>
      <c r="N1293" s="66"/>
    </row>
    <row r="1294" spans="1:14" x14ac:dyDescent="0.2">
      <c r="A1294" s="84"/>
      <c r="B1294" s="84"/>
      <c r="C1294" s="60"/>
      <c r="D1294" s="66"/>
      <c r="E1294" s="66"/>
      <c r="F1294" s="66"/>
      <c r="G1294" s="66"/>
      <c r="H1294" s="66"/>
      <c r="I1294" s="66"/>
      <c r="J1294" s="66"/>
      <c r="K1294" s="66"/>
      <c r="L1294" s="66"/>
      <c r="M1294" s="66"/>
      <c r="N1294" s="66"/>
    </row>
    <row r="1295" spans="1:14" x14ac:dyDescent="0.2">
      <c r="A1295" s="84"/>
      <c r="B1295" s="84"/>
      <c r="C1295" s="60"/>
      <c r="D1295" s="66"/>
      <c r="E1295" s="66"/>
      <c r="F1295" s="66"/>
      <c r="G1295" s="66"/>
      <c r="H1295" s="66"/>
      <c r="I1295" s="66"/>
      <c r="J1295" s="66"/>
      <c r="K1295" s="66"/>
      <c r="L1295" s="66"/>
      <c r="M1295" s="66"/>
      <c r="N1295" s="66"/>
    </row>
    <row r="1296" spans="1:14" x14ac:dyDescent="0.2">
      <c r="A1296" s="84"/>
      <c r="B1296" s="84"/>
      <c r="C1296" s="60"/>
      <c r="D1296" s="66"/>
      <c r="E1296" s="66"/>
      <c r="F1296" s="66"/>
      <c r="G1296" s="66"/>
      <c r="H1296" s="66"/>
      <c r="I1296" s="66"/>
      <c r="J1296" s="66"/>
      <c r="K1296" s="66"/>
      <c r="L1296" s="66"/>
      <c r="M1296" s="66"/>
      <c r="N1296" s="66"/>
    </row>
    <row r="1297" spans="1:14" x14ac:dyDescent="0.2">
      <c r="A1297" s="84"/>
      <c r="B1297" s="84"/>
      <c r="C1297" s="60"/>
      <c r="D1297" s="66"/>
      <c r="E1297" s="66"/>
      <c r="F1297" s="66"/>
      <c r="G1297" s="66"/>
      <c r="H1297" s="66"/>
      <c r="I1297" s="66"/>
      <c r="J1297" s="66"/>
      <c r="K1297" s="66"/>
      <c r="L1297" s="66"/>
      <c r="M1297" s="66"/>
      <c r="N1297" s="66"/>
    </row>
    <row r="1298" spans="1:14" x14ac:dyDescent="0.2">
      <c r="A1298" s="84"/>
      <c r="B1298" s="84"/>
      <c r="C1298" s="60"/>
      <c r="D1298" s="66"/>
      <c r="E1298" s="66"/>
      <c r="F1298" s="66"/>
      <c r="G1298" s="66"/>
      <c r="H1298" s="66"/>
      <c r="I1298" s="66"/>
      <c r="J1298" s="66"/>
      <c r="K1298" s="66"/>
      <c r="L1298" s="66"/>
      <c r="M1298" s="66"/>
      <c r="N1298" s="66"/>
    </row>
    <row r="1299" spans="1:14" x14ac:dyDescent="0.2">
      <c r="A1299" s="84"/>
      <c r="B1299" s="84"/>
      <c r="C1299" s="60"/>
      <c r="D1299" s="66"/>
      <c r="E1299" s="66"/>
      <c r="F1299" s="66"/>
      <c r="G1299" s="66"/>
      <c r="H1299" s="66"/>
      <c r="I1299" s="66"/>
      <c r="J1299" s="66"/>
      <c r="K1299" s="66"/>
      <c r="L1299" s="66"/>
      <c r="M1299" s="66"/>
      <c r="N1299" s="66"/>
    </row>
    <row r="1300" spans="1:14" x14ac:dyDescent="0.2">
      <c r="A1300" s="84"/>
      <c r="B1300" s="84"/>
      <c r="C1300" s="60"/>
      <c r="D1300" s="66"/>
      <c r="E1300" s="66"/>
      <c r="F1300" s="66"/>
      <c r="G1300" s="66"/>
      <c r="H1300" s="66"/>
      <c r="I1300" s="66"/>
      <c r="J1300" s="66"/>
      <c r="K1300" s="66"/>
      <c r="L1300" s="66"/>
      <c r="M1300" s="66"/>
      <c r="N1300" s="66"/>
    </row>
    <row r="1301" spans="1:14" x14ac:dyDescent="0.2">
      <c r="A1301" s="84"/>
      <c r="B1301" s="84"/>
      <c r="C1301" s="60"/>
      <c r="D1301" s="66"/>
      <c r="E1301" s="66"/>
      <c r="F1301" s="66"/>
      <c r="G1301" s="66"/>
      <c r="H1301" s="66"/>
      <c r="I1301" s="66"/>
      <c r="J1301" s="66"/>
      <c r="K1301" s="66"/>
      <c r="L1301" s="66"/>
      <c r="M1301" s="66"/>
      <c r="N1301" s="66"/>
    </row>
    <row r="1302" spans="1:14" x14ac:dyDescent="0.2">
      <c r="A1302" s="84"/>
      <c r="B1302" s="84"/>
      <c r="C1302" s="60"/>
      <c r="D1302" s="66"/>
      <c r="E1302" s="66"/>
      <c r="F1302" s="66"/>
      <c r="G1302" s="66"/>
      <c r="H1302" s="66"/>
      <c r="I1302" s="66"/>
      <c r="J1302" s="66"/>
      <c r="K1302" s="66"/>
      <c r="L1302" s="66"/>
      <c r="M1302" s="66"/>
      <c r="N1302" s="66"/>
    </row>
    <row r="1303" spans="1:14" x14ac:dyDescent="0.2">
      <c r="A1303" s="84"/>
      <c r="B1303" s="84"/>
      <c r="C1303" s="60"/>
      <c r="D1303" s="66"/>
      <c r="E1303" s="66"/>
      <c r="F1303" s="66"/>
      <c r="G1303" s="66"/>
      <c r="H1303" s="66"/>
      <c r="I1303" s="66"/>
      <c r="J1303" s="66"/>
      <c r="K1303" s="66"/>
      <c r="L1303" s="66"/>
      <c r="M1303" s="66"/>
      <c r="N1303" s="66"/>
    </row>
    <row r="1304" spans="1:14" x14ac:dyDescent="0.2">
      <c r="A1304" s="84"/>
      <c r="B1304" s="84"/>
      <c r="C1304" s="60"/>
      <c r="D1304" s="66"/>
      <c r="E1304" s="66"/>
      <c r="F1304" s="66"/>
      <c r="G1304" s="66"/>
      <c r="H1304" s="66"/>
      <c r="I1304" s="66"/>
      <c r="J1304" s="66"/>
      <c r="K1304" s="66"/>
      <c r="L1304" s="66"/>
      <c r="M1304" s="66"/>
      <c r="N1304" s="66"/>
    </row>
    <row r="1305" spans="1:14" x14ac:dyDescent="0.2">
      <c r="A1305" s="84"/>
      <c r="B1305" s="84"/>
      <c r="C1305" s="60"/>
      <c r="D1305" s="66"/>
      <c r="E1305" s="66"/>
      <c r="F1305" s="66"/>
      <c r="G1305" s="66"/>
      <c r="H1305" s="66"/>
      <c r="I1305" s="66"/>
      <c r="J1305" s="66"/>
      <c r="K1305" s="66"/>
      <c r="L1305" s="66"/>
      <c r="M1305" s="66"/>
      <c r="N1305" s="66"/>
    </row>
    <row r="1306" spans="1:14" x14ac:dyDescent="0.2">
      <c r="A1306" s="84"/>
      <c r="B1306" s="84"/>
      <c r="C1306" s="60"/>
      <c r="D1306" s="66"/>
      <c r="E1306" s="66"/>
      <c r="F1306" s="66"/>
      <c r="G1306" s="66"/>
      <c r="H1306" s="66"/>
      <c r="I1306" s="66"/>
      <c r="J1306" s="66"/>
      <c r="K1306" s="66"/>
      <c r="L1306" s="66"/>
      <c r="M1306" s="66"/>
      <c r="N1306" s="66"/>
    </row>
    <row r="1307" spans="1:14" x14ac:dyDescent="0.2">
      <c r="A1307" s="84"/>
      <c r="B1307" s="84"/>
      <c r="C1307" s="60"/>
      <c r="D1307" s="66"/>
      <c r="E1307" s="66"/>
      <c r="F1307" s="66"/>
      <c r="G1307" s="66"/>
      <c r="H1307" s="66"/>
      <c r="I1307" s="66"/>
      <c r="J1307" s="66"/>
      <c r="K1307" s="66"/>
      <c r="L1307" s="66"/>
      <c r="M1307" s="66"/>
      <c r="N1307" s="66"/>
    </row>
    <row r="1308" spans="1:14" x14ac:dyDescent="0.2">
      <c r="A1308" s="84"/>
      <c r="B1308" s="84"/>
      <c r="C1308" s="60"/>
      <c r="D1308" s="66"/>
      <c r="E1308" s="66"/>
      <c r="F1308" s="66"/>
      <c r="G1308" s="66"/>
      <c r="H1308" s="66"/>
      <c r="I1308" s="66"/>
      <c r="J1308" s="66"/>
      <c r="K1308" s="66"/>
      <c r="L1308" s="66"/>
      <c r="M1308" s="66"/>
      <c r="N1308" s="66"/>
    </row>
    <row r="1309" spans="1:14" x14ac:dyDescent="0.2">
      <c r="A1309" s="84"/>
      <c r="B1309" s="84"/>
      <c r="C1309" s="60"/>
      <c r="D1309" s="66"/>
      <c r="E1309" s="66"/>
      <c r="F1309" s="66"/>
      <c r="G1309" s="66"/>
      <c r="H1309" s="66"/>
      <c r="I1309" s="66"/>
      <c r="J1309" s="66"/>
      <c r="K1309" s="66"/>
      <c r="L1309" s="66"/>
      <c r="M1309" s="66"/>
      <c r="N1309" s="66"/>
    </row>
    <row r="1310" spans="1:14" x14ac:dyDescent="0.2">
      <c r="A1310" s="84"/>
      <c r="B1310" s="84"/>
      <c r="C1310" s="60"/>
      <c r="D1310" s="66"/>
      <c r="E1310" s="66"/>
      <c r="F1310" s="66"/>
      <c r="G1310" s="66"/>
      <c r="H1310" s="66"/>
      <c r="I1310" s="66"/>
      <c r="J1310" s="66"/>
      <c r="K1310" s="66"/>
      <c r="L1310" s="66"/>
      <c r="M1310" s="66"/>
      <c r="N1310" s="66"/>
    </row>
    <row r="1311" spans="1:14" x14ac:dyDescent="0.2">
      <c r="A1311" s="84"/>
      <c r="B1311" s="84"/>
      <c r="C1311" s="60"/>
      <c r="D1311" s="66"/>
      <c r="E1311" s="66"/>
      <c r="F1311" s="66"/>
      <c r="G1311" s="66"/>
      <c r="H1311" s="66"/>
      <c r="I1311" s="66"/>
      <c r="J1311" s="66"/>
      <c r="K1311" s="66"/>
      <c r="L1311" s="66"/>
      <c r="M1311" s="66"/>
      <c r="N1311" s="66"/>
    </row>
    <row r="1312" spans="1:14" x14ac:dyDescent="0.2">
      <c r="A1312" s="84"/>
      <c r="B1312" s="84"/>
      <c r="C1312" s="60"/>
      <c r="D1312" s="66"/>
      <c r="E1312" s="66"/>
      <c r="F1312" s="66"/>
      <c r="G1312" s="66"/>
      <c r="H1312" s="66"/>
      <c r="I1312" s="66"/>
      <c r="J1312" s="66"/>
      <c r="K1312" s="66"/>
      <c r="L1312" s="66"/>
      <c r="M1312" s="66"/>
      <c r="N1312" s="66"/>
    </row>
    <row r="1313" spans="1:14" x14ac:dyDescent="0.2">
      <c r="A1313" s="84"/>
      <c r="B1313" s="84"/>
      <c r="C1313" s="60"/>
      <c r="D1313" s="66"/>
      <c r="E1313" s="66"/>
      <c r="F1313" s="66"/>
      <c r="G1313" s="66"/>
      <c r="H1313" s="66"/>
      <c r="I1313" s="66"/>
      <c r="J1313" s="66"/>
      <c r="K1313" s="66"/>
      <c r="L1313" s="66"/>
      <c r="M1313" s="66"/>
      <c r="N1313" s="66"/>
    </row>
    <row r="1314" spans="1:14" x14ac:dyDescent="0.2">
      <c r="A1314" s="84"/>
      <c r="B1314" s="84"/>
      <c r="C1314" s="60"/>
      <c r="D1314" s="66"/>
      <c r="E1314" s="66"/>
      <c r="F1314" s="66"/>
      <c r="G1314" s="66"/>
      <c r="H1314" s="66"/>
      <c r="I1314" s="66"/>
      <c r="J1314" s="66"/>
      <c r="K1314" s="66"/>
      <c r="L1314" s="66"/>
      <c r="M1314" s="66"/>
      <c r="N1314" s="66"/>
    </row>
    <row r="1315" spans="1:14" x14ac:dyDescent="0.2">
      <c r="A1315" s="84"/>
      <c r="B1315" s="84"/>
      <c r="C1315" s="60"/>
      <c r="D1315" s="66"/>
      <c r="E1315" s="66"/>
      <c r="F1315" s="66"/>
      <c r="G1315" s="66"/>
      <c r="H1315" s="66"/>
      <c r="I1315" s="66"/>
      <c r="J1315" s="66"/>
      <c r="K1315" s="66"/>
      <c r="L1315" s="66"/>
      <c r="M1315" s="66"/>
      <c r="N1315" s="66"/>
    </row>
    <row r="1316" spans="1:14" x14ac:dyDescent="0.2">
      <c r="A1316" s="84"/>
      <c r="B1316" s="84"/>
      <c r="C1316" s="60"/>
      <c r="D1316" s="66"/>
      <c r="E1316" s="66"/>
      <c r="F1316" s="66"/>
      <c r="G1316" s="66"/>
      <c r="H1316" s="66"/>
      <c r="I1316" s="66"/>
      <c r="J1316" s="66"/>
      <c r="K1316" s="66"/>
      <c r="L1316" s="66"/>
      <c r="M1316" s="66"/>
      <c r="N1316" s="66"/>
    </row>
    <row r="1317" spans="1:14" x14ac:dyDescent="0.2">
      <c r="A1317" s="84"/>
      <c r="B1317" s="84"/>
      <c r="C1317" s="60"/>
      <c r="D1317" s="66"/>
      <c r="E1317" s="66"/>
      <c r="F1317" s="66"/>
      <c r="G1317" s="66"/>
      <c r="H1317" s="66"/>
      <c r="I1317" s="66"/>
      <c r="J1317" s="66"/>
      <c r="K1317" s="66"/>
      <c r="L1317" s="66"/>
      <c r="M1317" s="66"/>
      <c r="N1317" s="66"/>
    </row>
    <row r="1318" spans="1:14" x14ac:dyDescent="0.2">
      <c r="A1318" s="84"/>
      <c r="B1318" s="84"/>
      <c r="C1318" s="60"/>
      <c r="D1318" s="66"/>
      <c r="E1318" s="66"/>
      <c r="F1318" s="66"/>
      <c r="G1318" s="66"/>
      <c r="H1318" s="66"/>
      <c r="I1318" s="66"/>
      <c r="J1318" s="66"/>
      <c r="K1318" s="66"/>
      <c r="L1318" s="66"/>
      <c r="M1318" s="66"/>
      <c r="N1318" s="66"/>
    </row>
    <row r="1319" spans="1:14" x14ac:dyDescent="0.2">
      <c r="A1319" s="84"/>
      <c r="B1319" s="84"/>
      <c r="C1319" s="60"/>
      <c r="D1319" s="66"/>
      <c r="E1319" s="66"/>
      <c r="F1319" s="66"/>
      <c r="G1319" s="66"/>
      <c r="H1319" s="66"/>
      <c r="I1319" s="66"/>
      <c r="J1319" s="66"/>
      <c r="K1319" s="66"/>
      <c r="L1319" s="66"/>
      <c r="M1319" s="66"/>
      <c r="N1319" s="66"/>
    </row>
    <row r="1320" spans="1:14" x14ac:dyDescent="0.2">
      <c r="A1320" s="84"/>
      <c r="B1320" s="84"/>
      <c r="C1320" s="60"/>
      <c r="D1320" s="66"/>
      <c r="E1320" s="66"/>
      <c r="F1320" s="66"/>
      <c r="G1320" s="66"/>
      <c r="H1320" s="66"/>
      <c r="I1320" s="66"/>
      <c r="J1320" s="66"/>
      <c r="K1320" s="66"/>
      <c r="L1320" s="66"/>
      <c r="M1320" s="66"/>
      <c r="N1320" s="66"/>
    </row>
    <row r="1321" spans="1:14" x14ac:dyDescent="0.2">
      <c r="A1321" s="84"/>
      <c r="B1321" s="84"/>
      <c r="C1321" s="60"/>
      <c r="D1321" s="66"/>
      <c r="E1321" s="66"/>
      <c r="F1321" s="66"/>
      <c r="G1321" s="66"/>
      <c r="H1321" s="66"/>
      <c r="I1321" s="66"/>
      <c r="J1321" s="66"/>
      <c r="K1321" s="66"/>
      <c r="L1321" s="66"/>
      <c r="M1321" s="66"/>
      <c r="N1321" s="66"/>
    </row>
    <row r="1322" spans="1:14" x14ac:dyDescent="0.2">
      <c r="A1322" s="84"/>
      <c r="B1322" s="84"/>
      <c r="C1322" s="60"/>
      <c r="D1322" s="66"/>
      <c r="E1322" s="66"/>
      <c r="F1322" s="66"/>
      <c r="G1322" s="66"/>
      <c r="H1322" s="66"/>
      <c r="I1322" s="66"/>
      <c r="J1322" s="66"/>
      <c r="K1322" s="66"/>
      <c r="L1322" s="66"/>
      <c r="M1322" s="66"/>
      <c r="N1322" s="66"/>
    </row>
    <row r="1323" spans="1:14" x14ac:dyDescent="0.2">
      <c r="A1323" s="84"/>
      <c r="B1323" s="84"/>
      <c r="C1323" s="60"/>
      <c r="D1323" s="66"/>
      <c r="E1323" s="66"/>
      <c r="F1323" s="66"/>
      <c r="G1323" s="66"/>
      <c r="H1323" s="66"/>
      <c r="I1323" s="66"/>
      <c r="J1323" s="66"/>
      <c r="K1323" s="66"/>
      <c r="L1323" s="66"/>
      <c r="M1323" s="66"/>
      <c r="N1323" s="66"/>
    </row>
    <row r="1324" spans="1:14" x14ac:dyDescent="0.2">
      <c r="A1324" s="84"/>
      <c r="B1324" s="84"/>
      <c r="C1324" s="60"/>
      <c r="D1324" s="66"/>
      <c r="E1324" s="66"/>
      <c r="F1324" s="66"/>
      <c r="G1324" s="66"/>
      <c r="H1324" s="66"/>
      <c r="I1324" s="66"/>
      <c r="J1324" s="66"/>
      <c r="K1324" s="66"/>
      <c r="L1324" s="66"/>
      <c r="M1324" s="66"/>
      <c r="N1324" s="66"/>
    </row>
    <row r="1325" spans="1:14" x14ac:dyDescent="0.2">
      <c r="A1325" s="84"/>
      <c r="B1325" s="84"/>
      <c r="C1325" s="60"/>
      <c r="D1325" s="66"/>
      <c r="E1325" s="66"/>
      <c r="F1325" s="66"/>
      <c r="G1325" s="66"/>
      <c r="H1325" s="66"/>
      <c r="I1325" s="66"/>
      <c r="J1325" s="66"/>
      <c r="K1325" s="66"/>
      <c r="L1325" s="66"/>
      <c r="M1325" s="66"/>
      <c r="N1325" s="66"/>
    </row>
    <row r="1326" spans="1:14" x14ac:dyDescent="0.2">
      <c r="A1326" s="84"/>
      <c r="B1326" s="84"/>
      <c r="C1326" s="60"/>
      <c r="D1326" s="66"/>
      <c r="E1326" s="66"/>
      <c r="F1326" s="66"/>
      <c r="G1326" s="66"/>
      <c r="H1326" s="66"/>
      <c r="I1326" s="66"/>
      <c r="J1326" s="66"/>
      <c r="K1326" s="66"/>
      <c r="L1326" s="66"/>
      <c r="M1326" s="66"/>
      <c r="N1326" s="66"/>
    </row>
    <row r="1327" spans="1:14" x14ac:dyDescent="0.2">
      <c r="A1327" s="84"/>
      <c r="B1327" s="84"/>
      <c r="C1327" s="60"/>
      <c r="D1327" s="66"/>
      <c r="E1327" s="66"/>
      <c r="F1327" s="66"/>
      <c r="G1327" s="66"/>
      <c r="H1327" s="66"/>
      <c r="I1327" s="66"/>
      <c r="J1327" s="66"/>
      <c r="K1327" s="66"/>
      <c r="L1327" s="66"/>
      <c r="M1327" s="66"/>
      <c r="N1327" s="66"/>
    </row>
    <row r="1328" spans="1:14" x14ac:dyDescent="0.2">
      <c r="A1328" s="84"/>
      <c r="B1328" s="84"/>
      <c r="C1328" s="60"/>
      <c r="D1328" s="66"/>
      <c r="E1328" s="66"/>
      <c r="F1328" s="66"/>
      <c r="G1328" s="66"/>
      <c r="H1328" s="66"/>
      <c r="I1328" s="66"/>
      <c r="J1328" s="66"/>
      <c r="K1328" s="66"/>
      <c r="L1328" s="66"/>
      <c r="M1328" s="66"/>
      <c r="N1328" s="66"/>
    </row>
    <row r="1329" spans="1:14" x14ac:dyDescent="0.2">
      <c r="A1329" s="84"/>
      <c r="B1329" s="84"/>
      <c r="C1329" s="60"/>
      <c r="D1329" s="66"/>
      <c r="E1329" s="66"/>
      <c r="F1329" s="66"/>
      <c r="G1329" s="66"/>
      <c r="H1329" s="66"/>
      <c r="I1329" s="66"/>
      <c r="J1329" s="66"/>
      <c r="K1329" s="66"/>
      <c r="L1329" s="66"/>
      <c r="M1329" s="66"/>
      <c r="N1329" s="66"/>
    </row>
    <row r="1330" spans="1:14" x14ac:dyDescent="0.2">
      <c r="A1330" s="84"/>
      <c r="B1330" s="84"/>
      <c r="C1330" s="60"/>
      <c r="D1330" s="66"/>
      <c r="E1330" s="66"/>
      <c r="F1330" s="66"/>
      <c r="G1330" s="66"/>
      <c r="H1330" s="66"/>
      <c r="I1330" s="66"/>
      <c r="J1330" s="66"/>
      <c r="K1330" s="66"/>
      <c r="L1330" s="66"/>
      <c r="M1330" s="66"/>
      <c r="N1330" s="66"/>
    </row>
    <row r="1331" spans="1:14" x14ac:dyDescent="0.2">
      <c r="A1331" s="84"/>
      <c r="B1331" s="84"/>
      <c r="C1331" s="60"/>
      <c r="D1331" s="66"/>
      <c r="E1331" s="66"/>
      <c r="F1331" s="66"/>
      <c r="G1331" s="66"/>
      <c r="H1331" s="66"/>
      <c r="I1331" s="66"/>
      <c r="J1331" s="66"/>
      <c r="K1331" s="66"/>
      <c r="L1331" s="66"/>
      <c r="M1331" s="66"/>
      <c r="N1331" s="66"/>
    </row>
    <row r="1332" spans="1:14" x14ac:dyDescent="0.2">
      <c r="A1332" s="84"/>
      <c r="B1332" s="84"/>
      <c r="C1332" s="60"/>
      <c r="D1332" s="66"/>
      <c r="E1332" s="66"/>
      <c r="F1332" s="66"/>
      <c r="G1332" s="66"/>
      <c r="H1332" s="66"/>
      <c r="I1332" s="66"/>
      <c r="J1332" s="66"/>
      <c r="K1332" s="66"/>
      <c r="L1332" s="66"/>
      <c r="M1332" s="66"/>
      <c r="N1332" s="66"/>
    </row>
    <row r="1333" spans="1:14" x14ac:dyDescent="0.2">
      <c r="A1333" s="84"/>
      <c r="B1333" s="84"/>
      <c r="C1333" s="60"/>
      <c r="D1333" s="66"/>
      <c r="E1333" s="66"/>
      <c r="F1333" s="66"/>
      <c r="G1333" s="66"/>
      <c r="H1333" s="66"/>
      <c r="I1333" s="66"/>
      <c r="J1333" s="66"/>
      <c r="K1333" s="66"/>
      <c r="L1333" s="66"/>
      <c r="M1333" s="66"/>
      <c r="N1333" s="66"/>
    </row>
    <row r="1334" spans="1:14" x14ac:dyDescent="0.2">
      <c r="A1334" s="84"/>
      <c r="B1334" s="84"/>
      <c r="C1334" s="60"/>
      <c r="D1334" s="66"/>
      <c r="E1334" s="66"/>
      <c r="F1334" s="66"/>
      <c r="G1334" s="66"/>
      <c r="H1334" s="66"/>
      <c r="I1334" s="66"/>
      <c r="J1334" s="66"/>
      <c r="K1334" s="66"/>
      <c r="L1334" s="66"/>
      <c r="M1334" s="66"/>
      <c r="N1334" s="66"/>
    </row>
    <row r="1335" spans="1:14" x14ac:dyDescent="0.2">
      <c r="A1335" s="84"/>
      <c r="B1335" s="84"/>
      <c r="C1335" s="60"/>
      <c r="D1335" s="66"/>
      <c r="E1335" s="66"/>
      <c r="F1335" s="66"/>
      <c r="G1335" s="66"/>
      <c r="H1335" s="66"/>
      <c r="I1335" s="66"/>
      <c r="J1335" s="66"/>
      <c r="K1335" s="66"/>
      <c r="L1335" s="66"/>
      <c r="M1335" s="66"/>
      <c r="N1335" s="66"/>
    </row>
    <row r="1336" spans="1:14" x14ac:dyDescent="0.2">
      <c r="A1336" s="84"/>
      <c r="B1336" s="84"/>
      <c r="C1336" s="60"/>
      <c r="D1336" s="66"/>
      <c r="E1336" s="66"/>
      <c r="F1336" s="66"/>
      <c r="G1336" s="66"/>
      <c r="H1336" s="66"/>
      <c r="I1336" s="66"/>
      <c r="J1336" s="66"/>
      <c r="K1336" s="66"/>
      <c r="L1336" s="66"/>
      <c r="M1336" s="66"/>
      <c r="N1336" s="66"/>
    </row>
    <row r="1337" spans="1:14" x14ac:dyDescent="0.2">
      <c r="A1337" s="84"/>
      <c r="B1337" s="84"/>
      <c r="C1337" s="60"/>
      <c r="D1337" s="66"/>
      <c r="E1337" s="66"/>
      <c r="F1337" s="66"/>
      <c r="G1337" s="66"/>
      <c r="H1337" s="66"/>
      <c r="I1337" s="66"/>
      <c r="J1337" s="66"/>
      <c r="K1337" s="66"/>
      <c r="L1337" s="66"/>
      <c r="M1337" s="66"/>
      <c r="N1337" s="66"/>
    </row>
    <row r="1338" spans="1:14" x14ac:dyDescent="0.2">
      <c r="A1338" s="84"/>
      <c r="B1338" s="84"/>
      <c r="C1338" s="60"/>
      <c r="D1338" s="66"/>
      <c r="E1338" s="66"/>
      <c r="F1338" s="66"/>
      <c r="G1338" s="66"/>
      <c r="H1338" s="66"/>
      <c r="I1338" s="66"/>
      <c r="J1338" s="66"/>
      <c r="K1338" s="66"/>
      <c r="L1338" s="66"/>
      <c r="M1338" s="66"/>
      <c r="N1338" s="66"/>
    </row>
    <row r="1339" spans="1:14" x14ac:dyDescent="0.2">
      <c r="A1339" s="84"/>
      <c r="B1339" s="84"/>
      <c r="C1339" s="60"/>
      <c r="D1339" s="66"/>
      <c r="E1339" s="66"/>
      <c r="F1339" s="66"/>
      <c r="G1339" s="66"/>
      <c r="H1339" s="66"/>
      <c r="I1339" s="66"/>
      <c r="J1339" s="66"/>
      <c r="K1339" s="66"/>
      <c r="L1339" s="66"/>
      <c r="M1339" s="66"/>
      <c r="N1339" s="66"/>
    </row>
    <row r="1340" spans="1:14" x14ac:dyDescent="0.2">
      <c r="A1340" s="84"/>
      <c r="B1340" s="84"/>
      <c r="C1340" s="60"/>
      <c r="D1340" s="66"/>
      <c r="E1340" s="66"/>
      <c r="F1340" s="66"/>
      <c r="G1340" s="66"/>
      <c r="H1340" s="66"/>
      <c r="I1340" s="66"/>
      <c r="J1340" s="66"/>
      <c r="K1340" s="66"/>
      <c r="L1340" s="66"/>
      <c r="M1340" s="66"/>
      <c r="N1340" s="66"/>
    </row>
    <row r="1341" spans="1:14" x14ac:dyDescent="0.2">
      <c r="A1341" s="84"/>
      <c r="B1341" s="84"/>
      <c r="C1341" s="60"/>
      <c r="D1341" s="66"/>
      <c r="E1341" s="66"/>
      <c r="F1341" s="66"/>
      <c r="G1341" s="66"/>
      <c r="H1341" s="66"/>
      <c r="I1341" s="66"/>
      <c r="J1341" s="66"/>
      <c r="K1341" s="66"/>
      <c r="L1341" s="66"/>
      <c r="M1341" s="66"/>
      <c r="N1341" s="66"/>
    </row>
    <row r="1342" spans="1:14" x14ac:dyDescent="0.2">
      <c r="A1342" s="84"/>
      <c r="B1342" s="84"/>
      <c r="C1342" s="60"/>
      <c r="D1342" s="66"/>
      <c r="E1342" s="66"/>
      <c r="F1342" s="66"/>
      <c r="G1342" s="66"/>
      <c r="H1342" s="66"/>
      <c r="I1342" s="66"/>
      <c r="J1342" s="66"/>
      <c r="K1342" s="66"/>
      <c r="L1342" s="66"/>
      <c r="M1342" s="66"/>
      <c r="N1342" s="66"/>
    </row>
    <row r="1343" spans="1:14" x14ac:dyDescent="0.2">
      <c r="A1343" s="84"/>
      <c r="B1343" s="84"/>
      <c r="C1343" s="60"/>
      <c r="D1343" s="66"/>
      <c r="E1343" s="66"/>
      <c r="F1343" s="66"/>
      <c r="G1343" s="66"/>
      <c r="H1343" s="66"/>
      <c r="I1343" s="66"/>
      <c r="J1343" s="66"/>
      <c r="K1343" s="66"/>
      <c r="L1343" s="66"/>
      <c r="M1343" s="66"/>
      <c r="N1343" s="66"/>
    </row>
    <row r="1344" spans="1:14" x14ac:dyDescent="0.2">
      <c r="A1344" s="84"/>
      <c r="B1344" s="84"/>
      <c r="C1344" s="60"/>
      <c r="D1344" s="66"/>
      <c r="E1344" s="66"/>
      <c r="F1344" s="66"/>
      <c r="G1344" s="66"/>
      <c r="H1344" s="66"/>
      <c r="I1344" s="66"/>
      <c r="J1344" s="66"/>
      <c r="K1344" s="66"/>
      <c r="L1344" s="66"/>
      <c r="M1344" s="66"/>
      <c r="N1344" s="66"/>
    </row>
    <row r="1345" spans="1:14" x14ac:dyDescent="0.2">
      <c r="A1345" s="84"/>
      <c r="B1345" s="84"/>
      <c r="C1345" s="60"/>
      <c r="D1345" s="66"/>
      <c r="E1345" s="66"/>
      <c r="F1345" s="66"/>
      <c r="G1345" s="66"/>
      <c r="H1345" s="66"/>
      <c r="I1345" s="66"/>
      <c r="J1345" s="66"/>
      <c r="K1345" s="66"/>
      <c r="L1345" s="66"/>
      <c r="M1345" s="66"/>
      <c r="N1345" s="66"/>
    </row>
    <row r="1346" spans="1:14" x14ac:dyDescent="0.2">
      <c r="A1346" s="84"/>
      <c r="B1346" s="84"/>
      <c r="C1346" s="60"/>
      <c r="D1346" s="66"/>
      <c r="E1346" s="66"/>
      <c r="F1346" s="66"/>
      <c r="G1346" s="66"/>
      <c r="H1346" s="66"/>
      <c r="I1346" s="66"/>
      <c r="J1346" s="66"/>
      <c r="K1346" s="66"/>
      <c r="L1346" s="66"/>
      <c r="M1346" s="66"/>
      <c r="N1346" s="66"/>
    </row>
    <row r="1347" spans="1:14" x14ac:dyDescent="0.2">
      <c r="A1347" s="84"/>
      <c r="B1347" s="84"/>
      <c r="C1347" s="60"/>
      <c r="D1347" s="66"/>
      <c r="E1347" s="66"/>
      <c r="F1347" s="66"/>
      <c r="G1347" s="66"/>
      <c r="H1347" s="66"/>
      <c r="I1347" s="66"/>
      <c r="J1347" s="66"/>
      <c r="K1347" s="66"/>
      <c r="L1347" s="66"/>
      <c r="M1347" s="66"/>
      <c r="N1347" s="66"/>
    </row>
    <row r="1348" spans="1:14" x14ac:dyDescent="0.2">
      <c r="A1348" s="84"/>
      <c r="B1348" s="84"/>
      <c r="C1348" s="60"/>
      <c r="D1348" s="66"/>
      <c r="E1348" s="66"/>
      <c r="F1348" s="66"/>
      <c r="G1348" s="66"/>
      <c r="H1348" s="66"/>
      <c r="I1348" s="66"/>
      <c r="J1348" s="66"/>
      <c r="K1348" s="66"/>
      <c r="L1348" s="66"/>
      <c r="M1348" s="66"/>
      <c r="N1348" s="66"/>
    </row>
    <row r="1349" spans="1:14" x14ac:dyDescent="0.2">
      <c r="A1349" s="84"/>
      <c r="B1349" s="84"/>
      <c r="C1349" s="60"/>
      <c r="D1349" s="66"/>
      <c r="E1349" s="66"/>
      <c r="F1349" s="66"/>
      <c r="G1349" s="66"/>
      <c r="H1349" s="66"/>
      <c r="I1349" s="66"/>
      <c r="J1349" s="66"/>
      <c r="K1349" s="66"/>
      <c r="L1349" s="66"/>
      <c r="M1349" s="66"/>
      <c r="N1349" s="66"/>
    </row>
    <row r="1350" spans="1:14" x14ac:dyDescent="0.2">
      <c r="A1350" s="84"/>
      <c r="B1350" s="84"/>
      <c r="C1350" s="60"/>
      <c r="D1350" s="66"/>
      <c r="E1350" s="66"/>
      <c r="F1350" s="66"/>
      <c r="G1350" s="66"/>
      <c r="H1350" s="66"/>
      <c r="I1350" s="66"/>
      <c r="J1350" s="66"/>
      <c r="K1350" s="66"/>
      <c r="L1350" s="66"/>
      <c r="M1350" s="66"/>
      <c r="N1350" s="66"/>
    </row>
    <row r="1351" spans="1:14" x14ac:dyDescent="0.2">
      <c r="A1351" s="84"/>
      <c r="B1351" s="84"/>
      <c r="C1351" s="60"/>
      <c r="D1351" s="66"/>
      <c r="E1351" s="66"/>
      <c r="F1351" s="66"/>
      <c r="G1351" s="66"/>
      <c r="H1351" s="66"/>
      <c r="I1351" s="66"/>
      <c r="J1351" s="66"/>
      <c r="K1351" s="66"/>
      <c r="L1351" s="66"/>
      <c r="M1351" s="66"/>
      <c r="N1351" s="66"/>
    </row>
    <row r="1352" spans="1:14" x14ac:dyDescent="0.2">
      <c r="A1352" s="84"/>
      <c r="B1352" s="84"/>
      <c r="C1352" s="60"/>
      <c r="D1352" s="66"/>
      <c r="E1352" s="66"/>
      <c r="F1352" s="66"/>
      <c r="G1352" s="66"/>
      <c r="H1352" s="66"/>
      <c r="I1352" s="66"/>
      <c r="J1352" s="66"/>
      <c r="K1352" s="66"/>
      <c r="L1352" s="66"/>
      <c r="M1352" s="66"/>
      <c r="N1352" s="66"/>
    </row>
    <row r="1353" spans="1:14" x14ac:dyDescent="0.2">
      <c r="A1353" s="84"/>
      <c r="B1353" s="84"/>
      <c r="C1353" s="60"/>
      <c r="D1353" s="66"/>
      <c r="E1353" s="66"/>
      <c r="F1353" s="66"/>
      <c r="G1353" s="66"/>
      <c r="H1353" s="66"/>
      <c r="I1353" s="66"/>
      <c r="J1353" s="66"/>
      <c r="K1353" s="66"/>
      <c r="L1353" s="66"/>
      <c r="M1353" s="66"/>
      <c r="N1353" s="66"/>
    </row>
    <row r="1354" spans="1:14" x14ac:dyDescent="0.2">
      <c r="A1354" s="84"/>
      <c r="B1354" s="84"/>
      <c r="C1354" s="60"/>
      <c r="D1354" s="66"/>
      <c r="E1354" s="66"/>
      <c r="F1354" s="66"/>
      <c r="G1354" s="66"/>
      <c r="H1354" s="66"/>
      <c r="I1354" s="66"/>
      <c r="J1354" s="66"/>
      <c r="K1354" s="66"/>
      <c r="L1354" s="66"/>
      <c r="M1354" s="66"/>
      <c r="N1354" s="66"/>
    </row>
    <row r="1355" spans="1:14" x14ac:dyDescent="0.2">
      <c r="A1355" s="84"/>
      <c r="B1355" s="84"/>
      <c r="C1355" s="60"/>
      <c r="D1355" s="66"/>
      <c r="E1355" s="66"/>
      <c r="F1355" s="66"/>
      <c r="G1355" s="66"/>
      <c r="H1355" s="66"/>
      <c r="I1355" s="66"/>
      <c r="J1355" s="66"/>
      <c r="K1355" s="66"/>
      <c r="L1355" s="66"/>
      <c r="M1355" s="66"/>
      <c r="N1355" s="66"/>
    </row>
    <row r="1356" spans="1:14" x14ac:dyDescent="0.2">
      <c r="A1356" s="84"/>
      <c r="B1356" s="84"/>
      <c r="C1356" s="60"/>
      <c r="D1356" s="66"/>
      <c r="E1356" s="66"/>
      <c r="F1356" s="66"/>
      <c r="G1356" s="66"/>
      <c r="H1356" s="66"/>
      <c r="I1356" s="66"/>
      <c r="J1356" s="66"/>
      <c r="K1356" s="66"/>
      <c r="L1356" s="66"/>
      <c r="M1356" s="66"/>
      <c r="N1356" s="66"/>
    </row>
    <row r="1357" spans="1:14" x14ac:dyDescent="0.2">
      <c r="A1357" s="84"/>
      <c r="B1357" s="84"/>
      <c r="C1357" s="60"/>
      <c r="D1357" s="66"/>
      <c r="E1357" s="66"/>
      <c r="F1357" s="66"/>
      <c r="G1357" s="66"/>
      <c r="H1357" s="66"/>
      <c r="I1357" s="66"/>
      <c r="J1357" s="66"/>
      <c r="K1357" s="66"/>
      <c r="L1357" s="66"/>
      <c r="M1357" s="66"/>
      <c r="N1357" s="66"/>
    </row>
    <row r="1358" spans="1:14" x14ac:dyDescent="0.2">
      <c r="A1358" s="84"/>
      <c r="B1358" s="84"/>
      <c r="C1358" s="60"/>
      <c r="D1358" s="66"/>
      <c r="E1358" s="66"/>
      <c r="F1358" s="66"/>
      <c r="G1358" s="66"/>
      <c r="H1358" s="66"/>
      <c r="I1358" s="66"/>
      <c r="J1358" s="66"/>
      <c r="K1358" s="66"/>
      <c r="L1358" s="66"/>
      <c r="M1358" s="66"/>
      <c r="N1358" s="66"/>
    </row>
    <row r="1359" spans="1:14" x14ac:dyDescent="0.2">
      <c r="A1359" s="84"/>
      <c r="B1359" s="84"/>
      <c r="C1359" s="60"/>
      <c r="D1359" s="66"/>
      <c r="E1359" s="66"/>
      <c r="F1359" s="66"/>
      <c r="G1359" s="66"/>
      <c r="H1359" s="66"/>
      <c r="I1359" s="66"/>
      <c r="J1359" s="66"/>
      <c r="K1359" s="66"/>
      <c r="L1359" s="66"/>
      <c r="M1359" s="66"/>
      <c r="N1359" s="66"/>
    </row>
    <row r="1360" spans="1:14" x14ac:dyDescent="0.2">
      <c r="A1360" s="84"/>
      <c r="B1360" s="84"/>
      <c r="C1360" s="60"/>
      <c r="D1360" s="66"/>
      <c r="E1360" s="66"/>
      <c r="F1360" s="66"/>
      <c r="G1360" s="66"/>
      <c r="H1360" s="66"/>
      <c r="I1360" s="66"/>
      <c r="J1360" s="66"/>
      <c r="K1360" s="66"/>
      <c r="L1360" s="66"/>
      <c r="M1360" s="66"/>
      <c r="N1360" s="66"/>
    </row>
    <row r="1361" spans="1:14" x14ac:dyDescent="0.2">
      <c r="A1361" s="84"/>
      <c r="B1361" s="84"/>
      <c r="C1361" s="60"/>
      <c r="D1361" s="66"/>
      <c r="E1361" s="66"/>
      <c r="F1361" s="66"/>
      <c r="G1361" s="66"/>
      <c r="H1361" s="66"/>
      <c r="I1361" s="66"/>
      <c r="J1361" s="66"/>
      <c r="K1361" s="66"/>
      <c r="L1361" s="66"/>
      <c r="M1361" s="66"/>
      <c r="N1361" s="66"/>
    </row>
    <row r="1362" spans="1:14" x14ac:dyDescent="0.2">
      <c r="A1362" s="84"/>
      <c r="B1362" s="84"/>
      <c r="C1362" s="60"/>
      <c r="D1362" s="66"/>
      <c r="E1362" s="66"/>
      <c r="F1362" s="66"/>
      <c r="G1362" s="66"/>
      <c r="H1362" s="66"/>
      <c r="I1362" s="66"/>
      <c r="J1362" s="66"/>
      <c r="K1362" s="66"/>
      <c r="L1362" s="66"/>
      <c r="M1362" s="66"/>
      <c r="N1362" s="66"/>
    </row>
    <row r="1363" spans="1:14" x14ac:dyDescent="0.2">
      <c r="A1363" s="84"/>
      <c r="B1363" s="84"/>
      <c r="C1363" s="60"/>
      <c r="D1363" s="66"/>
      <c r="E1363" s="66"/>
      <c r="F1363" s="66"/>
      <c r="G1363" s="66"/>
      <c r="H1363" s="66"/>
      <c r="I1363" s="66"/>
      <c r="J1363" s="66"/>
      <c r="K1363" s="66"/>
      <c r="L1363" s="66"/>
      <c r="M1363" s="66"/>
      <c r="N1363" s="66"/>
    </row>
    <row r="1364" spans="1:14" x14ac:dyDescent="0.2">
      <c r="A1364" s="84"/>
      <c r="B1364" s="84"/>
      <c r="C1364" s="60"/>
      <c r="D1364" s="66"/>
      <c r="E1364" s="66"/>
      <c r="F1364" s="66"/>
      <c r="G1364" s="66"/>
      <c r="H1364" s="66"/>
      <c r="I1364" s="66"/>
      <c r="J1364" s="66"/>
      <c r="K1364" s="66"/>
      <c r="L1364" s="66"/>
      <c r="M1364" s="66"/>
      <c r="N1364" s="66"/>
    </row>
    <row r="1365" spans="1:14" x14ac:dyDescent="0.2">
      <c r="A1365" s="84"/>
      <c r="B1365" s="84"/>
      <c r="C1365" s="60"/>
      <c r="D1365" s="66"/>
      <c r="E1365" s="66"/>
      <c r="F1365" s="66"/>
      <c r="G1365" s="66"/>
      <c r="H1365" s="66"/>
      <c r="I1365" s="66"/>
      <c r="J1365" s="66"/>
      <c r="K1365" s="66"/>
      <c r="L1365" s="66"/>
      <c r="M1365" s="66"/>
      <c r="N1365" s="66"/>
    </row>
    <row r="1366" spans="1:14" x14ac:dyDescent="0.2">
      <c r="A1366" s="84"/>
      <c r="B1366" s="84"/>
      <c r="C1366" s="60"/>
      <c r="D1366" s="66"/>
      <c r="E1366" s="66"/>
      <c r="F1366" s="66"/>
      <c r="G1366" s="66"/>
      <c r="H1366" s="66"/>
      <c r="I1366" s="66"/>
      <c r="J1366" s="66"/>
      <c r="K1366" s="66"/>
      <c r="L1366" s="66"/>
      <c r="M1366" s="66"/>
      <c r="N1366" s="66"/>
    </row>
    <row r="1367" spans="1:14" x14ac:dyDescent="0.2">
      <c r="A1367" s="84"/>
      <c r="B1367" s="84"/>
      <c r="C1367" s="60"/>
      <c r="D1367" s="66"/>
      <c r="E1367" s="66"/>
      <c r="F1367" s="66"/>
      <c r="G1367" s="66"/>
      <c r="H1367" s="66"/>
      <c r="I1367" s="66"/>
      <c r="J1367" s="66"/>
      <c r="K1367" s="66"/>
      <c r="L1367" s="66"/>
      <c r="M1367" s="66"/>
      <c r="N1367" s="66"/>
    </row>
    <row r="1368" spans="1:14" x14ac:dyDescent="0.2">
      <c r="A1368" s="84"/>
      <c r="B1368" s="84"/>
      <c r="C1368" s="60"/>
      <c r="D1368" s="66"/>
      <c r="E1368" s="66"/>
      <c r="F1368" s="66"/>
      <c r="G1368" s="66"/>
      <c r="H1368" s="66"/>
      <c r="I1368" s="66"/>
      <c r="J1368" s="66"/>
      <c r="K1368" s="66"/>
      <c r="L1368" s="66"/>
      <c r="M1368" s="66"/>
      <c r="N1368" s="66"/>
    </row>
    <row r="1369" spans="1:14" x14ac:dyDescent="0.2">
      <c r="A1369" s="84"/>
      <c r="B1369" s="84"/>
      <c r="C1369" s="60"/>
      <c r="D1369" s="66"/>
      <c r="E1369" s="66"/>
      <c r="F1369" s="66"/>
      <c r="G1369" s="66"/>
      <c r="H1369" s="66"/>
      <c r="I1369" s="66"/>
      <c r="J1369" s="66"/>
      <c r="K1369" s="66"/>
      <c r="L1369" s="66"/>
      <c r="M1369" s="66"/>
      <c r="N1369" s="66"/>
    </row>
    <row r="1370" spans="1:14" x14ac:dyDescent="0.2">
      <c r="A1370" s="84"/>
      <c r="B1370" s="84"/>
      <c r="C1370" s="60"/>
      <c r="D1370" s="66"/>
      <c r="E1370" s="66"/>
      <c r="F1370" s="66"/>
      <c r="G1370" s="66"/>
      <c r="H1370" s="66"/>
      <c r="I1370" s="66"/>
      <c r="J1370" s="66"/>
      <c r="K1370" s="66"/>
      <c r="L1370" s="66"/>
      <c r="M1370" s="66"/>
      <c r="N1370" s="66"/>
    </row>
    <row r="1371" spans="1:14" x14ac:dyDescent="0.2">
      <c r="A1371" s="84"/>
      <c r="B1371" s="84"/>
      <c r="C1371" s="60"/>
      <c r="D1371" s="66"/>
      <c r="E1371" s="66"/>
      <c r="F1371" s="66"/>
      <c r="G1371" s="66"/>
      <c r="H1371" s="66"/>
      <c r="I1371" s="66"/>
      <c r="J1371" s="66"/>
      <c r="K1371" s="66"/>
      <c r="L1371" s="66"/>
      <c r="M1371" s="66"/>
      <c r="N1371" s="66"/>
    </row>
    <row r="1372" spans="1:14" x14ac:dyDescent="0.2">
      <c r="A1372" s="84"/>
      <c r="B1372" s="84"/>
      <c r="C1372" s="60"/>
      <c r="D1372" s="66"/>
      <c r="E1372" s="66"/>
      <c r="F1372" s="66"/>
      <c r="G1372" s="66"/>
      <c r="H1372" s="66"/>
      <c r="I1372" s="66"/>
      <c r="J1372" s="66"/>
      <c r="K1372" s="66"/>
      <c r="L1372" s="66"/>
      <c r="M1372" s="66"/>
      <c r="N1372" s="66"/>
    </row>
    <row r="1373" spans="1:14" x14ac:dyDescent="0.2">
      <c r="A1373" s="84"/>
      <c r="B1373" s="84"/>
      <c r="C1373" s="60"/>
      <c r="D1373" s="66"/>
      <c r="E1373" s="66"/>
      <c r="F1373" s="66"/>
      <c r="G1373" s="66"/>
      <c r="H1373" s="66"/>
      <c r="I1373" s="66"/>
      <c r="J1373" s="66"/>
      <c r="K1373" s="66"/>
      <c r="L1373" s="66"/>
      <c r="M1373" s="66"/>
      <c r="N1373" s="66"/>
    </row>
    <row r="1374" spans="1:14" x14ac:dyDescent="0.2">
      <c r="A1374" s="84"/>
      <c r="B1374" s="84"/>
      <c r="C1374" s="60"/>
      <c r="D1374" s="66"/>
      <c r="E1374" s="66"/>
      <c r="F1374" s="66"/>
      <c r="G1374" s="66"/>
      <c r="H1374" s="66"/>
      <c r="I1374" s="66"/>
      <c r="J1374" s="66"/>
      <c r="K1374" s="66"/>
      <c r="L1374" s="66"/>
      <c r="M1374" s="66"/>
      <c r="N1374" s="66"/>
    </row>
    <row r="1375" spans="1:14" x14ac:dyDescent="0.2">
      <c r="A1375" s="84"/>
      <c r="B1375" s="84"/>
      <c r="C1375" s="60"/>
      <c r="D1375" s="66"/>
      <c r="E1375" s="66"/>
      <c r="F1375" s="66"/>
      <c r="G1375" s="66"/>
      <c r="H1375" s="66"/>
      <c r="I1375" s="66"/>
      <c r="J1375" s="66"/>
      <c r="K1375" s="66"/>
      <c r="L1375" s="66"/>
      <c r="M1375" s="66"/>
      <c r="N1375" s="66"/>
    </row>
    <row r="1376" spans="1:14" x14ac:dyDescent="0.2">
      <c r="A1376" s="84"/>
      <c r="B1376" s="84"/>
      <c r="C1376" s="60"/>
      <c r="D1376" s="66"/>
      <c r="E1376" s="66"/>
      <c r="F1376" s="66"/>
      <c r="G1376" s="66"/>
      <c r="H1376" s="66"/>
      <c r="I1376" s="66"/>
      <c r="J1376" s="66"/>
      <c r="K1376" s="66"/>
      <c r="L1376" s="66"/>
      <c r="M1376" s="66"/>
      <c r="N1376" s="66"/>
    </row>
    <row r="1377" spans="1:14" x14ac:dyDescent="0.2">
      <c r="A1377" s="84"/>
      <c r="B1377" s="84"/>
      <c r="C1377" s="60"/>
      <c r="D1377" s="66"/>
      <c r="E1377" s="66"/>
      <c r="F1377" s="66"/>
      <c r="G1377" s="66"/>
      <c r="H1377" s="66"/>
      <c r="I1377" s="66"/>
      <c r="J1377" s="66"/>
      <c r="K1377" s="66"/>
      <c r="L1377" s="66"/>
      <c r="M1377" s="66"/>
      <c r="N1377" s="66"/>
    </row>
    <row r="1378" spans="1:14" x14ac:dyDescent="0.2">
      <c r="A1378" s="84"/>
      <c r="B1378" s="84"/>
      <c r="C1378" s="60"/>
      <c r="D1378" s="66"/>
      <c r="E1378" s="66"/>
      <c r="F1378" s="66"/>
      <c r="G1378" s="66"/>
      <c r="H1378" s="66"/>
      <c r="I1378" s="66"/>
      <c r="J1378" s="66"/>
      <c r="K1378" s="66"/>
      <c r="L1378" s="66"/>
      <c r="M1378" s="66"/>
      <c r="N1378" s="66"/>
    </row>
    <row r="1379" spans="1:14" x14ac:dyDescent="0.2">
      <c r="A1379" s="84"/>
      <c r="B1379" s="84"/>
      <c r="C1379" s="60"/>
      <c r="D1379" s="66"/>
      <c r="E1379" s="66"/>
      <c r="F1379" s="66"/>
      <c r="G1379" s="66"/>
      <c r="H1379" s="66"/>
      <c r="I1379" s="66"/>
      <c r="J1379" s="66"/>
      <c r="K1379" s="66"/>
      <c r="L1379" s="66"/>
      <c r="M1379" s="66"/>
      <c r="N1379" s="66"/>
    </row>
    <row r="1380" spans="1:14" x14ac:dyDescent="0.2">
      <c r="A1380" s="84"/>
      <c r="B1380" s="84"/>
      <c r="C1380" s="60"/>
      <c r="D1380" s="66"/>
      <c r="E1380" s="66"/>
      <c r="F1380" s="66"/>
      <c r="G1380" s="66"/>
      <c r="H1380" s="66"/>
      <c r="I1380" s="66"/>
      <c r="J1380" s="66"/>
      <c r="K1380" s="66"/>
      <c r="L1380" s="66"/>
      <c r="M1380" s="66"/>
      <c r="N1380" s="66"/>
    </row>
    <row r="1381" spans="1:14" x14ac:dyDescent="0.2">
      <c r="A1381" s="84"/>
      <c r="B1381" s="84"/>
      <c r="C1381" s="60"/>
      <c r="D1381" s="66"/>
      <c r="E1381" s="66"/>
      <c r="F1381" s="66"/>
      <c r="G1381" s="66"/>
      <c r="H1381" s="66"/>
      <c r="I1381" s="66"/>
      <c r="J1381" s="66"/>
      <c r="K1381" s="66"/>
      <c r="L1381" s="66"/>
      <c r="M1381" s="66"/>
      <c r="N1381" s="66"/>
    </row>
    <row r="1382" spans="1:14" x14ac:dyDescent="0.2">
      <c r="A1382" s="84"/>
      <c r="B1382" s="84"/>
      <c r="C1382" s="60"/>
      <c r="D1382" s="66"/>
      <c r="E1382" s="66"/>
      <c r="F1382" s="66"/>
      <c r="G1382" s="66"/>
      <c r="H1382" s="66"/>
      <c r="I1382" s="66"/>
      <c r="J1382" s="66"/>
      <c r="K1382" s="66"/>
      <c r="L1382" s="66"/>
      <c r="M1382" s="66"/>
      <c r="N1382" s="66"/>
    </row>
    <row r="1383" spans="1:14" x14ac:dyDescent="0.2">
      <c r="A1383" s="84"/>
      <c r="B1383" s="84"/>
      <c r="C1383" s="60"/>
      <c r="D1383" s="66"/>
      <c r="E1383" s="66"/>
      <c r="F1383" s="66"/>
      <c r="G1383" s="66"/>
      <c r="H1383" s="66"/>
      <c r="I1383" s="66"/>
      <c r="J1383" s="66"/>
      <c r="K1383" s="66"/>
      <c r="L1383" s="66"/>
      <c r="M1383" s="66"/>
      <c r="N1383" s="66"/>
    </row>
    <row r="1384" spans="1:14" x14ac:dyDescent="0.2">
      <c r="A1384" s="84"/>
      <c r="B1384" s="84"/>
      <c r="C1384" s="60"/>
      <c r="D1384" s="66"/>
      <c r="E1384" s="66"/>
      <c r="F1384" s="66"/>
      <c r="G1384" s="66"/>
      <c r="H1384" s="66"/>
      <c r="I1384" s="66"/>
      <c r="J1384" s="66"/>
      <c r="K1384" s="66"/>
      <c r="L1384" s="66"/>
      <c r="M1384" s="66"/>
      <c r="N1384" s="66"/>
    </row>
    <row r="1385" spans="1:14" x14ac:dyDescent="0.2">
      <c r="A1385" s="84"/>
      <c r="B1385" s="84"/>
      <c r="C1385" s="60"/>
      <c r="D1385" s="66"/>
      <c r="E1385" s="66"/>
      <c r="F1385" s="66"/>
      <c r="G1385" s="66"/>
      <c r="H1385" s="66"/>
      <c r="I1385" s="66"/>
      <c r="J1385" s="66"/>
      <c r="K1385" s="66"/>
      <c r="L1385" s="66"/>
      <c r="M1385" s="66"/>
      <c r="N1385" s="66"/>
    </row>
    <row r="1386" spans="1:14" x14ac:dyDescent="0.2">
      <c r="A1386" s="84"/>
      <c r="B1386" s="84"/>
      <c r="C1386" s="60"/>
      <c r="D1386" s="66"/>
      <c r="E1386" s="66"/>
      <c r="F1386" s="66"/>
      <c r="G1386" s="66"/>
      <c r="H1386" s="66"/>
      <c r="I1386" s="66"/>
      <c r="J1386" s="66"/>
      <c r="K1386" s="66"/>
      <c r="L1386" s="66"/>
      <c r="M1386" s="66"/>
      <c r="N1386" s="66"/>
    </row>
    <row r="1387" spans="1:14" x14ac:dyDescent="0.2">
      <c r="A1387" s="84"/>
      <c r="B1387" s="84"/>
      <c r="C1387" s="60"/>
      <c r="D1387" s="66"/>
      <c r="E1387" s="66"/>
      <c r="F1387" s="66"/>
      <c r="G1387" s="66"/>
      <c r="H1387" s="66"/>
      <c r="I1387" s="66"/>
      <c r="J1387" s="66"/>
      <c r="K1387" s="66"/>
      <c r="L1387" s="66"/>
      <c r="M1387" s="66"/>
      <c r="N1387" s="66"/>
    </row>
    <row r="1388" spans="1:14" x14ac:dyDescent="0.2">
      <c r="A1388" s="84"/>
      <c r="B1388" s="84"/>
      <c r="C1388" s="60"/>
      <c r="D1388" s="66"/>
      <c r="E1388" s="66"/>
      <c r="F1388" s="66"/>
      <c r="G1388" s="66"/>
      <c r="H1388" s="66"/>
      <c r="I1388" s="66"/>
      <c r="J1388" s="66"/>
      <c r="K1388" s="66"/>
      <c r="L1388" s="66"/>
      <c r="M1388" s="66"/>
      <c r="N1388" s="66"/>
    </row>
    <row r="1389" spans="1:14" x14ac:dyDescent="0.2">
      <c r="A1389" s="84"/>
      <c r="B1389" s="84"/>
      <c r="C1389" s="60"/>
      <c r="D1389" s="66"/>
      <c r="E1389" s="66"/>
      <c r="F1389" s="66"/>
      <c r="G1389" s="66"/>
      <c r="H1389" s="66"/>
      <c r="I1389" s="66"/>
      <c r="J1389" s="66"/>
      <c r="K1389" s="66"/>
      <c r="L1389" s="66"/>
      <c r="M1389" s="66"/>
      <c r="N1389" s="66"/>
    </row>
    <row r="1390" spans="1:14" x14ac:dyDescent="0.2">
      <c r="A1390" s="84"/>
      <c r="B1390" s="84"/>
      <c r="C1390" s="60"/>
      <c r="D1390" s="66"/>
      <c r="E1390" s="66"/>
      <c r="F1390" s="66"/>
      <c r="G1390" s="66"/>
      <c r="H1390" s="66"/>
      <c r="I1390" s="66"/>
      <c r="J1390" s="66"/>
      <c r="K1390" s="66"/>
      <c r="L1390" s="66"/>
      <c r="M1390" s="66"/>
      <c r="N1390" s="66"/>
    </row>
    <row r="1391" spans="1:14" x14ac:dyDescent="0.2">
      <c r="A1391" s="84"/>
      <c r="B1391" s="84"/>
      <c r="C1391" s="60"/>
      <c r="D1391" s="66"/>
      <c r="E1391" s="66"/>
      <c r="F1391" s="66"/>
      <c r="G1391" s="66"/>
      <c r="H1391" s="66"/>
      <c r="I1391" s="66"/>
      <c r="J1391" s="66"/>
      <c r="K1391" s="66"/>
      <c r="L1391" s="66"/>
      <c r="M1391" s="66"/>
      <c r="N1391" s="66"/>
    </row>
    <row r="1392" spans="1:14" x14ac:dyDescent="0.2">
      <c r="A1392" s="84"/>
      <c r="B1392" s="84"/>
      <c r="C1392" s="60"/>
      <c r="D1392" s="66"/>
      <c r="E1392" s="66"/>
      <c r="F1392" s="66"/>
      <c r="G1392" s="66"/>
      <c r="H1392" s="66"/>
      <c r="I1392" s="66"/>
      <c r="J1392" s="66"/>
      <c r="K1392" s="66"/>
      <c r="L1392" s="66"/>
      <c r="M1392" s="66"/>
      <c r="N1392" s="66"/>
    </row>
    <row r="1393" spans="1:14" x14ac:dyDescent="0.2">
      <c r="A1393" s="84"/>
      <c r="B1393" s="84"/>
      <c r="C1393" s="60"/>
      <c r="D1393" s="66"/>
      <c r="E1393" s="66"/>
      <c r="F1393" s="66"/>
      <c r="G1393" s="66"/>
      <c r="H1393" s="66"/>
      <c r="I1393" s="66"/>
      <c r="J1393" s="66"/>
      <c r="K1393" s="66"/>
      <c r="L1393" s="66"/>
      <c r="M1393" s="66"/>
      <c r="N1393" s="66"/>
    </row>
    <row r="1394" spans="1:14" x14ac:dyDescent="0.2">
      <c r="A1394" s="84"/>
      <c r="B1394" s="84"/>
      <c r="C1394" s="60"/>
      <c r="D1394" s="66"/>
      <c r="E1394" s="66"/>
      <c r="F1394" s="66"/>
      <c r="G1394" s="66"/>
      <c r="H1394" s="66"/>
      <c r="I1394" s="66"/>
      <c r="J1394" s="66"/>
      <c r="K1394" s="66"/>
      <c r="L1394" s="66"/>
      <c r="M1394" s="66"/>
      <c r="N1394" s="66"/>
    </row>
    <row r="1395" spans="1:14" x14ac:dyDescent="0.2">
      <c r="A1395" s="84"/>
      <c r="B1395" s="84"/>
      <c r="C1395" s="60"/>
      <c r="D1395" s="66"/>
      <c r="E1395" s="66"/>
      <c r="F1395" s="66"/>
      <c r="G1395" s="66"/>
      <c r="H1395" s="66"/>
      <c r="I1395" s="66"/>
      <c r="J1395" s="66"/>
      <c r="K1395" s="66"/>
      <c r="L1395" s="66"/>
      <c r="M1395" s="66"/>
      <c r="N1395" s="66"/>
    </row>
    <row r="1396" spans="1:14" x14ac:dyDescent="0.2">
      <c r="A1396" s="84"/>
      <c r="B1396" s="84"/>
      <c r="C1396" s="60"/>
      <c r="D1396" s="66"/>
      <c r="E1396" s="66"/>
      <c r="F1396" s="66"/>
      <c r="G1396" s="66"/>
      <c r="H1396" s="66"/>
      <c r="I1396" s="66"/>
      <c r="J1396" s="66"/>
      <c r="K1396" s="66"/>
      <c r="L1396" s="66"/>
      <c r="M1396" s="66"/>
      <c r="N1396" s="66"/>
    </row>
    <row r="1397" spans="1:14" x14ac:dyDescent="0.2">
      <c r="A1397" s="84"/>
      <c r="B1397" s="84"/>
      <c r="C1397" s="60"/>
      <c r="D1397" s="66"/>
      <c r="E1397" s="66"/>
      <c r="F1397" s="66"/>
      <c r="G1397" s="66"/>
      <c r="H1397" s="66"/>
      <c r="I1397" s="66"/>
      <c r="J1397" s="66"/>
      <c r="K1397" s="66"/>
      <c r="L1397" s="66"/>
      <c r="M1397" s="66"/>
      <c r="N1397" s="66"/>
    </row>
    <row r="1398" spans="1:14" x14ac:dyDescent="0.2">
      <c r="A1398" s="84"/>
      <c r="B1398" s="84"/>
      <c r="C1398" s="60"/>
      <c r="D1398" s="66"/>
      <c r="E1398" s="66"/>
      <c r="F1398" s="66"/>
      <c r="G1398" s="66"/>
      <c r="H1398" s="66"/>
      <c r="I1398" s="66"/>
      <c r="J1398" s="66"/>
      <c r="K1398" s="66"/>
      <c r="L1398" s="66"/>
      <c r="M1398" s="66"/>
      <c r="N1398" s="66"/>
    </row>
    <row r="1399" spans="1:14" x14ac:dyDescent="0.2">
      <c r="A1399" s="84"/>
      <c r="B1399" s="84"/>
      <c r="C1399" s="60"/>
      <c r="D1399" s="66"/>
      <c r="E1399" s="66"/>
      <c r="F1399" s="66"/>
      <c r="G1399" s="66"/>
      <c r="H1399" s="66"/>
      <c r="I1399" s="66"/>
      <c r="J1399" s="66"/>
      <c r="K1399" s="66"/>
      <c r="L1399" s="66"/>
      <c r="M1399" s="66"/>
      <c r="N1399" s="66"/>
    </row>
    <row r="1400" spans="1:14" x14ac:dyDescent="0.2">
      <c r="A1400" s="84"/>
      <c r="B1400" s="84"/>
      <c r="C1400" s="60"/>
      <c r="D1400" s="66"/>
      <c r="E1400" s="66"/>
      <c r="F1400" s="66"/>
      <c r="G1400" s="66"/>
      <c r="H1400" s="66"/>
      <c r="I1400" s="66"/>
      <c r="J1400" s="66"/>
      <c r="K1400" s="66"/>
      <c r="L1400" s="66"/>
      <c r="M1400" s="66"/>
      <c r="N1400" s="66"/>
    </row>
    <row r="1401" spans="1:14" x14ac:dyDescent="0.2">
      <c r="A1401" s="84"/>
      <c r="B1401" s="84"/>
      <c r="C1401" s="60"/>
      <c r="D1401" s="66"/>
      <c r="E1401" s="66"/>
      <c r="F1401" s="66"/>
      <c r="G1401" s="66"/>
      <c r="H1401" s="66"/>
      <c r="I1401" s="66"/>
      <c r="J1401" s="66"/>
      <c r="K1401" s="66"/>
      <c r="L1401" s="66"/>
      <c r="M1401" s="66"/>
      <c r="N1401" s="66"/>
    </row>
    <row r="1402" spans="1:14" x14ac:dyDescent="0.2">
      <c r="A1402" s="84"/>
      <c r="B1402" s="84"/>
      <c r="C1402" s="60"/>
      <c r="D1402" s="66"/>
      <c r="E1402" s="66"/>
      <c r="F1402" s="66"/>
      <c r="G1402" s="66"/>
      <c r="H1402" s="66"/>
      <c r="I1402" s="66"/>
      <c r="J1402" s="66"/>
      <c r="K1402" s="66"/>
      <c r="L1402" s="66"/>
      <c r="M1402" s="66"/>
      <c r="N1402" s="66"/>
    </row>
    <row r="1403" spans="1:14" x14ac:dyDescent="0.2">
      <c r="A1403" s="84"/>
      <c r="B1403" s="84"/>
      <c r="C1403" s="60"/>
      <c r="D1403" s="66"/>
      <c r="E1403" s="66"/>
      <c r="F1403" s="66"/>
      <c r="G1403" s="66"/>
      <c r="H1403" s="66"/>
      <c r="I1403" s="66"/>
      <c r="J1403" s="66"/>
      <c r="K1403" s="66"/>
      <c r="L1403" s="66"/>
      <c r="M1403" s="66"/>
      <c r="N1403" s="66"/>
    </row>
    <row r="1404" spans="1:14" x14ac:dyDescent="0.2">
      <c r="A1404" s="84"/>
      <c r="B1404" s="84"/>
      <c r="C1404" s="60"/>
      <c r="D1404" s="66"/>
      <c r="E1404" s="66"/>
      <c r="F1404" s="66"/>
      <c r="G1404" s="66"/>
      <c r="H1404" s="66"/>
      <c r="I1404" s="66"/>
      <c r="J1404" s="66"/>
      <c r="K1404" s="66"/>
      <c r="L1404" s="66"/>
      <c r="M1404" s="66"/>
      <c r="N1404" s="66"/>
    </row>
    <row r="1405" spans="1:14" x14ac:dyDescent="0.2">
      <c r="A1405" s="84"/>
      <c r="B1405" s="84"/>
      <c r="C1405" s="60"/>
      <c r="D1405" s="66"/>
      <c r="E1405" s="66"/>
      <c r="F1405" s="66"/>
      <c r="G1405" s="66"/>
      <c r="H1405" s="66"/>
      <c r="I1405" s="66"/>
      <c r="J1405" s="66"/>
      <c r="K1405" s="66"/>
      <c r="L1405" s="66"/>
      <c r="M1405" s="66"/>
      <c r="N1405" s="66"/>
    </row>
    <row r="1406" spans="1:14" x14ac:dyDescent="0.2">
      <c r="A1406" s="84"/>
      <c r="B1406" s="84"/>
      <c r="C1406" s="60"/>
      <c r="D1406" s="66"/>
      <c r="E1406" s="66"/>
      <c r="F1406" s="66"/>
      <c r="G1406" s="66"/>
      <c r="H1406" s="66"/>
      <c r="I1406" s="66"/>
      <c r="J1406" s="66"/>
      <c r="K1406" s="66"/>
      <c r="L1406" s="66"/>
      <c r="M1406" s="66"/>
      <c r="N1406" s="66"/>
    </row>
    <row r="1407" spans="1:14" x14ac:dyDescent="0.2">
      <c r="A1407" s="84"/>
      <c r="B1407" s="84"/>
      <c r="C1407" s="60"/>
      <c r="D1407" s="66"/>
      <c r="E1407" s="66"/>
      <c r="F1407" s="66"/>
      <c r="G1407" s="66"/>
      <c r="H1407" s="66"/>
      <c r="I1407" s="66"/>
      <c r="J1407" s="66"/>
      <c r="K1407" s="66"/>
      <c r="L1407" s="66"/>
      <c r="M1407" s="66"/>
      <c r="N1407" s="66"/>
    </row>
    <row r="1408" spans="1:14" x14ac:dyDescent="0.2">
      <c r="A1408" s="84"/>
      <c r="B1408" s="84"/>
      <c r="C1408" s="60"/>
      <c r="D1408" s="66"/>
      <c r="E1408" s="66"/>
      <c r="F1408" s="66"/>
      <c r="G1408" s="66"/>
      <c r="H1408" s="66"/>
      <c r="I1408" s="66"/>
      <c r="J1408" s="66"/>
      <c r="K1408" s="66"/>
      <c r="L1408" s="66"/>
      <c r="M1408" s="66"/>
      <c r="N1408" s="66"/>
    </row>
    <row r="1409" spans="1:14" x14ac:dyDescent="0.2">
      <c r="A1409" s="84"/>
      <c r="B1409" s="84"/>
      <c r="C1409" s="60"/>
      <c r="D1409" s="66"/>
      <c r="E1409" s="66"/>
      <c r="F1409" s="66"/>
      <c r="G1409" s="66"/>
      <c r="H1409" s="66"/>
      <c r="I1409" s="66"/>
      <c r="J1409" s="66"/>
      <c r="K1409" s="66"/>
      <c r="L1409" s="66"/>
      <c r="M1409" s="66"/>
      <c r="N1409" s="66"/>
    </row>
    <row r="1410" spans="1:14" x14ac:dyDescent="0.2">
      <c r="A1410" s="84"/>
      <c r="B1410" s="84"/>
      <c r="C1410" s="60"/>
      <c r="D1410" s="66"/>
      <c r="E1410" s="66"/>
      <c r="F1410" s="66"/>
      <c r="G1410" s="66"/>
      <c r="H1410" s="66"/>
      <c r="I1410" s="66"/>
      <c r="J1410" s="66"/>
      <c r="K1410" s="66"/>
      <c r="L1410" s="66"/>
      <c r="M1410" s="66"/>
      <c r="N1410" s="66"/>
    </row>
    <row r="1411" spans="1:14" x14ac:dyDescent="0.2">
      <c r="A1411" s="84"/>
      <c r="B1411" s="84"/>
      <c r="C1411" s="60"/>
      <c r="D1411" s="66"/>
      <c r="E1411" s="66"/>
      <c r="F1411" s="66"/>
      <c r="G1411" s="66"/>
      <c r="H1411" s="66"/>
      <c r="I1411" s="66"/>
      <c r="J1411" s="66"/>
      <c r="K1411" s="66"/>
      <c r="L1411" s="66"/>
      <c r="M1411" s="66"/>
      <c r="N1411" s="66"/>
    </row>
    <row r="1412" spans="1:14" x14ac:dyDescent="0.2">
      <c r="A1412" s="84"/>
      <c r="B1412" s="84"/>
      <c r="C1412" s="60"/>
      <c r="D1412" s="66"/>
      <c r="E1412" s="66"/>
      <c r="F1412" s="66"/>
      <c r="G1412" s="66"/>
      <c r="H1412" s="66"/>
      <c r="I1412" s="66"/>
      <c r="J1412" s="66"/>
      <c r="K1412" s="66"/>
      <c r="L1412" s="66"/>
      <c r="M1412" s="66"/>
      <c r="N1412" s="66"/>
    </row>
    <row r="1413" spans="1:14" x14ac:dyDescent="0.2">
      <c r="A1413" s="84"/>
      <c r="B1413" s="84"/>
      <c r="C1413" s="60"/>
      <c r="D1413" s="66"/>
      <c r="E1413" s="66"/>
      <c r="F1413" s="66"/>
      <c r="G1413" s="66"/>
      <c r="H1413" s="66"/>
      <c r="I1413" s="66"/>
      <c r="J1413" s="66"/>
      <c r="K1413" s="66"/>
      <c r="L1413" s="66"/>
      <c r="M1413" s="66"/>
      <c r="N1413" s="66"/>
    </row>
    <row r="1414" spans="1:14" x14ac:dyDescent="0.2">
      <c r="A1414" s="84"/>
      <c r="B1414" s="84"/>
      <c r="C1414" s="60"/>
      <c r="D1414" s="66"/>
      <c r="E1414" s="66"/>
      <c r="F1414" s="66"/>
      <c r="G1414" s="66"/>
      <c r="H1414" s="66"/>
      <c r="I1414" s="66"/>
      <c r="J1414" s="66"/>
      <c r="K1414" s="66"/>
      <c r="L1414" s="66"/>
      <c r="M1414" s="66"/>
      <c r="N1414" s="66"/>
    </row>
    <row r="1415" spans="1:14" x14ac:dyDescent="0.2">
      <c r="A1415" s="84"/>
      <c r="B1415" s="84"/>
      <c r="C1415" s="60"/>
      <c r="D1415" s="66"/>
      <c r="E1415" s="66"/>
      <c r="F1415" s="66"/>
      <c r="G1415" s="66"/>
      <c r="H1415" s="66"/>
      <c r="I1415" s="66"/>
      <c r="J1415" s="66"/>
      <c r="K1415" s="66"/>
      <c r="L1415" s="66"/>
      <c r="M1415" s="66"/>
      <c r="N1415" s="66"/>
    </row>
    <row r="1416" spans="1:14" x14ac:dyDescent="0.2">
      <c r="A1416" s="84"/>
      <c r="B1416" s="84"/>
      <c r="C1416" s="60"/>
      <c r="D1416" s="66"/>
      <c r="E1416" s="66"/>
      <c r="F1416" s="66"/>
      <c r="G1416" s="66"/>
      <c r="H1416" s="66"/>
      <c r="I1416" s="66"/>
      <c r="J1416" s="66"/>
      <c r="K1416" s="66"/>
      <c r="L1416" s="66"/>
      <c r="M1416" s="66"/>
      <c r="N1416" s="66"/>
    </row>
    <row r="1417" spans="1:14" x14ac:dyDescent="0.2">
      <c r="A1417" s="84"/>
      <c r="B1417" s="84"/>
      <c r="C1417" s="60"/>
      <c r="D1417" s="66"/>
      <c r="E1417" s="66"/>
      <c r="F1417" s="66"/>
      <c r="G1417" s="66"/>
      <c r="H1417" s="66"/>
      <c r="I1417" s="66"/>
      <c r="J1417" s="66"/>
      <c r="K1417" s="66"/>
      <c r="L1417" s="66"/>
      <c r="M1417" s="66"/>
      <c r="N1417" s="66"/>
    </row>
    <row r="1418" spans="1:14" x14ac:dyDescent="0.2">
      <c r="A1418" s="84"/>
      <c r="B1418" s="84"/>
      <c r="C1418" s="60"/>
      <c r="D1418" s="66"/>
      <c r="E1418" s="66"/>
      <c r="F1418" s="66"/>
      <c r="G1418" s="66"/>
      <c r="H1418" s="66"/>
      <c r="I1418" s="66"/>
      <c r="J1418" s="66"/>
      <c r="K1418" s="66"/>
      <c r="L1418" s="66"/>
      <c r="M1418" s="66"/>
      <c r="N1418" s="66"/>
    </row>
    <row r="1419" spans="1:14" x14ac:dyDescent="0.2">
      <c r="A1419" s="84"/>
      <c r="B1419" s="84"/>
      <c r="C1419" s="60"/>
      <c r="D1419" s="66"/>
      <c r="E1419" s="66"/>
      <c r="F1419" s="66"/>
      <c r="G1419" s="66"/>
      <c r="H1419" s="66"/>
      <c r="I1419" s="66"/>
      <c r="J1419" s="66"/>
      <c r="K1419" s="66"/>
      <c r="L1419" s="66"/>
      <c r="M1419" s="66"/>
      <c r="N1419" s="66"/>
    </row>
    <row r="1420" spans="1:14" x14ac:dyDescent="0.2">
      <c r="A1420" s="84"/>
      <c r="B1420" s="84"/>
      <c r="C1420" s="60"/>
      <c r="D1420" s="66"/>
      <c r="E1420" s="66"/>
      <c r="F1420" s="66"/>
      <c r="G1420" s="66"/>
      <c r="H1420" s="66"/>
      <c r="I1420" s="66"/>
      <c r="J1420" s="66"/>
      <c r="K1420" s="66"/>
      <c r="L1420" s="66"/>
      <c r="M1420" s="66"/>
      <c r="N1420" s="66"/>
    </row>
    <row r="1421" spans="1:14" x14ac:dyDescent="0.2">
      <c r="A1421" s="84"/>
      <c r="B1421" s="84"/>
      <c r="C1421" s="60"/>
      <c r="D1421" s="66"/>
      <c r="E1421" s="66"/>
      <c r="F1421" s="66"/>
      <c r="G1421" s="66"/>
      <c r="H1421" s="66"/>
      <c r="I1421" s="66"/>
      <c r="J1421" s="66"/>
      <c r="K1421" s="66"/>
      <c r="L1421" s="66"/>
      <c r="M1421" s="66"/>
      <c r="N1421" s="66"/>
    </row>
    <row r="1422" spans="1:14" x14ac:dyDescent="0.2">
      <c r="A1422" s="84"/>
      <c r="B1422" s="84"/>
      <c r="C1422" s="60"/>
      <c r="D1422" s="66"/>
      <c r="E1422" s="66"/>
      <c r="F1422" s="66"/>
      <c r="G1422" s="66"/>
      <c r="H1422" s="66"/>
      <c r="I1422" s="66"/>
      <c r="J1422" s="66"/>
      <c r="K1422" s="66"/>
      <c r="L1422" s="66"/>
      <c r="M1422" s="66"/>
      <c r="N1422" s="66"/>
    </row>
    <row r="1423" spans="1:14" x14ac:dyDescent="0.2">
      <c r="A1423" s="84"/>
      <c r="B1423" s="84"/>
      <c r="C1423" s="60"/>
      <c r="D1423" s="66"/>
      <c r="E1423" s="66"/>
      <c r="F1423" s="66"/>
      <c r="G1423" s="66"/>
      <c r="H1423" s="66"/>
      <c r="I1423" s="66"/>
      <c r="J1423" s="66"/>
      <c r="K1423" s="66"/>
      <c r="L1423" s="66"/>
      <c r="M1423" s="66"/>
      <c r="N1423" s="66"/>
    </row>
    <row r="1424" spans="1:14" x14ac:dyDescent="0.2">
      <c r="A1424" s="84"/>
      <c r="B1424" s="84"/>
      <c r="C1424" s="60"/>
      <c r="D1424" s="66"/>
      <c r="E1424" s="66"/>
      <c r="F1424" s="66"/>
      <c r="G1424" s="66"/>
      <c r="H1424" s="66"/>
      <c r="I1424" s="66"/>
      <c r="J1424" s="66"/>
      <c r="K1424" s="66"/>
      <c r="L1424" s="66"/>
      <c r="M1424" s="66"/>
      <c r="N1424" s="66"/>
    </row>
    <row r="1425" spans="1:14" x14ac:dyDescent="0.2">
      <c r="A1425" s="84"/>
      <c r="B1425" s="84"/>
      <c r="C1425" s="60"/>
      <c r="D1425" s="66"/>
      <c r="E1425" s="66"/>
      <c r="F1425" s="66"/>
      <c r="G1425" s="66"/>
      <c r="H1425" s="66"/>
      <c r="I1425" s="66"/>
      <c r="J1425" s="66"/>
      <c r="K1425" s="66"/>
      <c r="L1425" s="66"/>
      <c r="M1425" s="66"/>
      <c r="N1425" s="66"/>
    </row>
    <row r="1426" spans="1:14" x14ac:dyDescent="0.2">
      <c r="A1426" s="84"/>
      <c r="B1426" s="84"/>
      <c r="C1426" s="60"/>
      <c r="D1426" s="66"/>
      <c r="E1426" s="66"/>
      <c r="F1426" s="66"/>
      <c r="G1426" s="66"/>
      <c r="H1426" s="66"/>
      <c r="I1426" s="66"/>
      <c r="J1426" s="66"/>
      <c r="K1426" s="66"/>
      <c r="L1426" s="66"/>
      <c r="M1426" s="66"/>
      <c r="N1426" s="66"/>
    </row>
    <row r="1427" spans="1:14" x14ac:dyDescent="0.2">
      <c r="A1427" s="84"/>
      <c r="B1427" s="84"/>
      <c r="C1427" s="60"/>
      <c r="D1427" s="66"/>
      <c r="E1427" s="66"/>
      <c r="F1427" s="66"/>
      <c r="G1427" s="66"/>
      <c r="H1427" s="66"/>
      <c r="I1427" s="66"/>
      <c r="J1427" s="66"/>
      <c r="K1427" s="66"/>
      <c r="L1427" s="66"/>
      <c r="M1427" s="66"/>
      <c r="N1427" s="66"/>
    </row>
    <row r="1428" spans="1:14" x14ac:dyDescent="0.2">
      <c r="A1428" s="84"/>
      <c r="B1428" s="84"/>
      <c r="C1428" s="60"/>
      <c r="D1428" s="66"/>
      <c r="E1428" s="66"/>
      <c r="F1428" s="66"/>
      <c r="G1428" s="66"/>
      <c r="H1428" s="66"/>
      <c r="I1428" s="66"/>
      <c r="J1428" s="66"/>
      <c r="K1428" s="66"/>
      <c r="L1428" s="66"/>
      <c r="M1428" s="66"/>
      <c r="N1428" s="66"/>
    </row>
    <row r="1429" spans="1:14" x14ac:dyDescent="0.2">
      <c r="A1429" s="84"/>
      <c r="B1429" s="84"/>
      <c r="C1429" s="60"/>
      <c r="D1429" s="66"/>
      <c r="E1429" s="66"/>
      <c r="F1429" s="66"/>
      <c r="G1429" s="66"/>
      <c r="H1429" s="66"/>
      <c r="I1429" s="66"/>
      <c r="J1429" s="66"/>
      <c r="K1429" s="66"/>
      <c r="L1429" s="66"/>
      <c r="M1429" s="66"/>
      <c r="N1429" s="66"/>
    </row>
    <row r="1430" spans="1:14" x14ac:dyDescent="0.2">
      <c r="A1430" s="84"/>
      <c r="B1430" s="84"/>
      <c r="C1430" s="60"/>
      <c r="D1430" s="66"/>
      <c r="E1430" s="66"/>
      <c r="F1430" s="66"/>
      <c r="G1430" s="66"/>
      <c r="H1430" s="66"/>
      <c r="I1430" s="66"/>
      <c r="J1430" s="66"/>
      <c r="K1430" s="66"/>
      <c r="L1430" s="66"/>
      <c r="M1430" s="66"/>
      <c r="N1430" s="66"/>
    </row>
    <row r="1431" spans="1:14" x14ac:dyDescent="0.2">
      <c r="A1431" s="84"/>
      <c r="B1431" s="84"/>
      <c r="C1431" s="60"/>
      <c r="D1431" s="66"/>
      <c r="E1431" s="66"/>
      <c r="F1431" s="66"/>
      <c r="G1431" s="66"/>
      <c r="H1431" s="66"/>
      <c r="I1431" s="66"/>
      <c r="J1431" s="66"/>
      <c r="K1431" s="66"/>
      <c r="L1431" s="66"/>
      <c r="M1431" s="66"/>
      <c r="N1431" s="66"/>
    </row>
    <row r="1432" spans="1:14" x14ac:dyDescent="0.2">
      <c r="A1432" s="84"/>
      <c r="B1432" s="84"/>
      <c r="C1432" s="60"/>
      <c r="D1432" s="66"/>
      <c r="E1432" s="66"/>
      <c r="F1432" s="66"/>
      <c r="G1432" s="66"/>
      <c r="H1432" s="66"/>
      <c r="I1432" s="66"/>
      <c r="J1432" s="66"/>
      <c r="K1432" s="66"/>
      <c r="L1432" s="66"/>
      <c r="M1432" s="66"/>
      <c r="N1432" s="66"/>
    </row>
    <row r="1433" spans="1:14" x14ac:dyDescent="0.2">
      <c r="A1433" s="84"/>
      <c r="B1433" s="84"/>
      <c r="C1433" s="60"/>
      <c r="D1433" s="66"/>
      <c r="E1433" s="66"/>
      <c r="F1433" s="66"/>
      <c r="G1433" s="66"/>
      <c r="H1433" s="66"/>
      <c r="I1433" s="66"/>
      <c r="J1433" s="66"/>
      <c r="K1433" s="66"/>
      <c r="L1433" s="66"/>
      <c r="M1433" s="66"/>
      <c r="N1433" s="66"/>
    </row>
    <row r="1434" spans="1:14" x14ac:dyDescent="0.2">
      <c r="A1434" s="84"/>
      <c r="B1434" s="84"/>
      <c r="C1434" s="60"/>
      <c r="D1434" s="66"/>
      <c r="E1434" s="66"/>
      <c r="F1434" s="66"/>
      <c r="G1434" s="66"/>
      <c r="H1434" s="66"/>
      <c r="I1434" s="66"/>
      <c r="J1434" s="66"/>
      <c r="K1434" s="66"/>
      <c r="L1434" s="66"/>
      <c r="M1434" s="66"/>
      <c r="N1434" s="66"/>
    </row>
    <row r="1435" spans="1:14" x14ac:dyDescent="0.2">
      <c r="A1435" s="84"/>
      <c r="B1435" s="84"/>
      <c r="C1435" s="60"/>
      <c r="D1435" s="66"/>
      <c r="E1435" s="66"/>
      <c r="F1435" s="66"/>
      <c r="G1435" s="66"/>
      <c r="H1435" s="66"/>
      <c r="I1435" s="66"/>
      <c r="J1435" s="66"/>
      <c r="K1435" s="66"/>
      <c r="L1435" s="66"/>
      <c r="M1435" s="66"/>
      <c r="N1435" s="66"/>
    </row>
    <row r="1436" spans="1:14" x14ac:dyDescent="0.2">
      <c r="A1436" s="84"/>
      <c r="B1436" s="84"/>
      <c r="C1436" s="60"/>
      <c r="D1436" s="66"/>
      <c r="E1436" s="66"/>
      <c r="F1436" s="66"/>
      <c r="G1436" s="66"/>
      <c r="H1436" s="66"/>
      <c r="I1436" s="66"/>
      <c r="J1436" s="66"/>
      <c r="K1436" s="66"/>
      <c r="L1436" s="66"/>
      <c r="M1436" s="66"/>
      <c r="N1436" s="66"/>
    </row>
    <row r="1437" spans="1:14" x14ac:dyDescent="0.2">
      <c r="A1437" s="84"/>
      <c r="B1437" s="84"/>
      <c r="C1437" s="60"/>
      <c r="D1437" s="66"/>
      <c r="E1437" s="66"/>
      <c r="F1437" s="66"/>
      <c r="G1437" s="66"/>
      <c r="H1437" s="66"/>
      <c r="I1437" s="66"/>
      <c r="J1437" s="66"/>
      <c r="K1437" s="66"/>
      <c r="L1437" s="66"/>
      <c r="M1437" s="66"/>
      <c r="N1437" s="66"/>
    </row>
    <row r="1438" spans="1:14" x14ac:dyDescent="0.2">
      <c r="A1438" s="84"/>
      <c r="B1438" s="84"/>
      <c r="C1438" s="60"/>
      <c r="D1438" s="66"/>
      <c r="E1438" s="66"/>
      <c r="F1438" s="66"/>
      <c r="G1438" s="66"/>
      <c r="H1438" s="66"/>
      <c r="I1438" s="66"/>
      <c r="J1438" s="66"/>
      <c r="K1438" s="66"/>
      <c r="L1438" s="66"/>
      <c r="M1438" s="66"/>
      <c r="N1438" s="66"/>
    </row>
    <row r="1439" spans="1:14" x14ac:dyDescent="0.2">
      <c r="A1439" s="84"/>
      <c r="B1439" s="84"/>
      <c r="C1439" s="60"/>
      <c r="D1439" s="66"/>
      <c r="E1439" s="66"/>
      <c r="F1439" s="66"/>
      <c r="G1439" s="66"/>
      <c r="H1439" s="66"/>
      <c r="I1439" s="66"/>
      <c r="J1439" s="66"/>
      <c r="K1439" s="66"/>
      <c r="L1439" s="66"/>
      <c r="M1439" s="66"/>
      <c r="N1439" s="66"/>
    </row>
    <row r="1440" spans="1:14" x14ac:dyDescent="0.2">
      <c r="A1440" s="84"/>
      <c r="B1440" s="84"/>
      <c r="C1440" s="60"/>
      <c r="D1440" s="66"/>
      <c r="E1440" s="66"/>
      <c r="F1440" s="66"/>
      <c r="G1440" s="66"/>
      <c r="H1440" s="66"/>
      <c r="I1440" s="66"/>
      <c r="J1440" s="66"/>
      <c r="K1440" s="66"/>
      <c r="L1440" s="66"/>
      <c r="M1440" s="66"/>
      <c r="N1440" s="66"/>
    </row>
    <row r="1441" spans="1:14" x14ac:dyDescent="0.2">
      <c r="A1441" s="84"/>
      <c r="B1441" s="84"/>
      <c r="C1441" s="60"/>
      <c r="D1441" s="66"/>
      <c r="E1441" s="66"/>
      <c r="F1441" s="66"/>
      <c r="G1441" s="66"/>
      <c r="H1441" s="66"/>
      <c r="I1441" s="66"/>
      <c r="J1441" s="66"/>
      <c r="K1441" s="66"/>
      <c r="L1441" s="66"/>
      <c r="M1441" s="66"/>
      <c r="N1441" s="66"/>
    </row>
    <row r="1442" spans="1:14" x14ac:dyDescent="0.2">
      <c r="A1442" s="84"/>
      <c r="B1442" s="84"/>
      <c r="C1442" s="60"/>
      <c r="D1442" s="66"/>
      <c r="E1442" s="66"/>
      <c r="F1442" s="66"/>
      <c r="G1442" s="66"/>
      <c r="H1442" s="66"/>
      <c r="I1442" s="66"/>
      <c r="J1442" s="66"/>
      <c r="K1442" s="66"/>
      <c r="L1442" s="66"/>
      <c r="M1442" s="66"/>
      <c r="N1442" s="66"/>
    </row>
    <row r="1443" spans="1:14" x14ac:dyDescent="0.2">
      <c r="A1443" s="84"/>
      <c r="B1443" s="84"/>
      <c r="C1443" s="60"/>
      <c r="D1443" s="66"/>
      <c r="E1443" s="66"/>
      <c r="F1443" s="66"/>
      <c r="G1443" s="66"/>
      <c r="H1443" s="66"/>
      <c r="I1443" s="66"/>
      <c r="J1443" s="66"/>
      <c r="K1443" s="66"/>
      <c r="L1443" s="66"/>
      <c r="M1443" s="66"/>
      <c r="N1443" s="66"/>
    </row>
    <row r="1444" spans="1:14" x14ac:dyDescent="0.2">
      <c r="A1444" s="84"/>
      <c r="B1444" s="84"/>
      <c r="C1444" s="60"/>
      <c r="D1444" s="66"/>
      <c r="E1444" s="66"/>
      <c r="F1444" s="66"/>
      <c r="G1444" s="66"/>
      <c r="H1444" s="66"/>
      <c r="I1444" s="66"/>
      <c r="J1444" s="66"/>
      <c r="K1444" s="66"/>
      <c r="L1444" s="66"/>
      <c r="M1444" s="66"/>
      <c r="N1444" s="66"/>
    </row>
    <row r="1445" spans="1:14" x14ac:dyDescent="0.2">
      <c r="A1445" s="84"/>
      <c r="B1445" s="84"/>
      <c r="C1445" s="60"/>
      <c r="D1445" s="66"/>
      <c r="E1445" s="66"/>
      <c r="F1445" s="66"/>
      <c r="G1445" s="66"/>
      <c r="H1445" s="66"/>
      <c r="I1445" s="66"/>
      <c r="J1445" s="66"/>
      <c r="K1445" s="66"/>
      <c r="L1445" s="66"/>
      <c r="M1445" s="66"/>
      <c r="N1445" s="66"/>
    </row>
    <row r="1446" spans="1:14" x14ac:dyDescent="0.2">
      <c r="A1446" s="84"/>
      <c r="B1446" s="84"/>
      <c r="C1446" s="60"/>
      <c r="D1446" s="66"/>
      <c r="E1446" s="66"/>
      <c r="F1446" s="66"/>
      <c r="G1446" s="66"/>
      <c r="H1446" s="66"/>
      <c r="I1446" s="66"/>
      <c r="J1446" s="66"/>
      <c r="K1446" s="66"/>
      <c r="L1446" s="66"/>
      <c r="M1446" s="66"/>
      <c r="N1446" s="66"/>
    </row>
    <row r="1447" spans="1:14" x14ac:dyDescent="0.2">
      <c r="A1447" s="84"/>
      <c r="B1447" s="84"/>
      <c r="C1447" s="60"/>
      <c r="D1447" s="66"/>
      <c r="E1447" s="66"/>
      <c r="F1447" s="66"/>
      <c r="G1447" s="66"/>
      <c r="H1447" s="66"/>
      <c r="I1447" s="66"/>
      <c r="J1447" s="66"/>
      <c r="K1447" s="66"/>
      <c r="L1447" s="66"/>
      <c r="M1447" s="66"/>
      <c r="N1447" s="66"/>
    </row>
    <row r="1448" spans="1:14" x14ac:dyDescent="0.2">
      <c r="A1448" s="84"/>
      <c r="B1448" s="84"/>
      <c r="C1448" s="60"/>
      <c r="D1448" s="66"/>
      <c r="E1448" s="66"/>
      <c r="F1448" s="66"/>
      <c r="G1448" s="66"/>
      <c r="H1448" s="66"/>
      <c r="I1448" s="66"/>
      <c r="J1448" s="66"/>
      <c r="K1448" s="66"/>
      <c r="L1448" s="66"/>
      <c r="M1448" s="66"/>
      <c r="N1448" s="66"/>
    </row>
    <row r="1449" spans="1:14" x14ac:dyDescent="0.2">
      <c r="A1449" s="84"/>
      <c r="B1449" s="84"/>
      <c r="C1449" s="60"/>
      <c r="D1449" s="66"/>
      <c r="E1449" s="66"/>
      <c r="F1449" s="66"/>
      <c r="G1449" s="66"/>
      <c r="H1449" s="66"/>
      <c r="I1449" s="66"/>
      <c r="J1449" s="66"/>
      <c r="K1449" s="66"/>
      <c r="L1449" s="66"/>
      <c r="M1449" s="66"/>
      <c r="N1449" s="66"/>
    </row>
    <row r="1450" spans="1:14" x14ac:dyDescent="0.2">
      <c r="A1450" s="84"/>
      <c r="B1450" s="84"/>
      <c r="C1450" s="60"/>
      <c r="D1450" s="66"/>
      <c r="E1450" s="66"/>
      <c r="F1450" s="66"/>
      <c r="G1450" s="66"/>
      <c r="H1450" s="66"/>
      <c r="I1450" s="66"/>
      <c r="J1450" s="66"/>
      <c r="K1450" s="66"/>
      <c r="L1450" s="66"/>
      <c r="M1450" s="66"/>
      <c r="N1450" s="66"/>
    </row>
    <row r="1451" spans="1:14" x14ac:dyDescent="0.2">
      <c r="A1451" s="84"/>
      <c r="B1451" s="84"/>
      <c r="C1451" s="60"/>
      <c r="D1451" s="66"/>
      <c r="E1451" s="66"/>
      <c r="F1451" s="66"/>
      <c r="G1451" s="66"/>
      <c r="H1451" s="66"/>
      <c r="I1451" s="66"/>
      <c r="J1451" s="66"/>
      <c r="K1451" s="66"/>
      <c r="L1451" s="66"/>
      <c r="M1451" s="66"/>
      <c r="N1451" s="66"/>
    </row>
    <row r="1452" spans="1:14" x14ac:dyDescent="0.2">
      <c r="A1452" s="84"/>
      <c r="B1452" s="84"/>
      <c r="C1452" s="60"/>
      <c r="D1452" s="66"/>
      <c r="E1452" s="66"/>
      <c r="F1452" s="66"/>
      <c r="G1452" s="66"/>
      <c r="H1452" s="66"/>
      <c r="I1452" s="66"/>
      <c r="J1452" s="66"/>
      <c r="K1452" s="66"/>
      <c r="L1452" s="66"/>
      <c r="M1452" s="66"/>
      <c r="N1452" s="66"/>
    </row>
    <row r="1453" spans="1:14" x14ac:dyDescent="0.2">
      <c r="A1453" s="84"/>
      <c r="B1453" s="84"/>
      <c r="C1453" s="60"/>
      <c r="D1453" s="66"/>
      <c r="E1453" s="66"/>
      <c r="F1453" s="66"/>
      <c r="G1453" s="66"/>
      <c r="H1453" s="66"/>
      <c r="I1453" s="66"/>
      <c r="J1453" s="66"/>
      <c r="K1453" s="66"/>
      <c r="L1453" s="66"/>
      <c r="M1453" s="66"/>
      <c r="N1453" s="66"/>
    </row>
    <row r="1454" spans="1:14" x14ac:dyDescent="0.2">
      <c r="A1454" s="84"/>
      <c r="B1454" s="84"/>
      <c r="C1454" s="60"/>
      <c r="D1454" s="66"/>
      <c r="E1454" s="66"/>
      <c r="F1454" s="66"/>
      <c r="G1454" s="66"/>
      <c r="H1454" s="66"/>
      <c r="I1454" s="66"/>
      <c r="J1454" s="66"/>
      <c r="K1454" s="66"/>
      <c r="L1454" s="66"/>
      <c r="M1454" s="66"/>
      <c r="N1454" s="66"/>
    </row>
    <row r="1455" spans="1:14" x14ac:dyDescent="0.2">
      <c r="A1455" s="84"/>
      <c r="B1455" s="84"/>
      <c r="C1455" s="60"/>
      <c r="D1455" s="66"/>
      <c r="E1455" s="66"/>
      <c r="F1455" s="66"/>
      <c r="G1455" s="66"/>
      <c r="H1455" s="66"/>
      <c r="I1455" s="66"/>
      <c r="J1455" s="66"/>
      <c r="K1455" s="66"/>
      <c r="L1455" s="66"/>
      <c r="M1455" s="66"/>
      <c r="N1455" s="66"/>
    </row>
    <row r="1456" spans="1:14" x14ac:dyDescent="0.2">
      <c r="A1456" s="84"/>
      <c r="B1456" s="84"/>
      <c r="C1456" s="60"/>
      <c r="D1456" s="66"/>
      <c r="E1456" s="66"/>
      <c r="F1456" s="66"/>
      <c r="G1456" s="66"/>
      <c r="H1456" s="66"/>
      <c r="I1456" s="66"/>
      <c r="J1456" s="66"/>
      <c r="K1456" s="66"/>
      <c r="L1456" s="66"/>
      <c r="M1456" s="66"/>
      <c r="N1456" s="66"/>
    </row>
    <row r="1457" spans="1:14" x14ac:dyDescent="0.2">
      <c r="A1457" s="84"/>
      <c r="B1457" s="84"/>
      <c r="C1457" s="60"/>
      <c r="D1457" s="66"/>
      <c r="E1457" s="66"/>
      <c r="F1457" s="66"/>
      <c r="G1457" s="66"/>
      <c r="H1457" s="66"/>
      <c r="I1457" s="66"/>
      <c r="J1457" s="66"/>
      <c r="K1457" s="66"/>
      <c r="L1457" s="66"/>
      <c r="M1457" s="66"/>
      <c r="N1457" s="66"/>
    </row>
    <row r="1458" spans="1:14" x14ac:dyDescent="0.2">
      <c r="A1458" s="84"/>
      <c r="B1458" s="84"/>
      <c r="C1458" s="60"/>
      <c r="D1458" s="66"/>
      <c r="E1458" s="66"/>
      <c r="F1458" s="66"/>
      <c r="G1458" s="66"/>
      <c r="H1458" s="66"/>
      <c r="I1458" s="66"/>
      <c r="J1458" s="66"/>
      <c r="K1458" s="66"/>
      <c r="L1458" s="66"/>
      <c r="M1458" s="66"/>
      <c r="N1458" s="66"/>
    </row>
    <row r="1459" spans="1:14" x14ac:dyDescent="0.2">
      <c r="A1459" s="84"/>
      <c r="B1459" s="84"/>
      <c r="C1459" s="60"/>
      <c r="D1459" s="66"/>
      <c r="E1459" s="66"/>
      <c r="F1459" s="66"/>
      <c r="G1459" s="66"/>
      <c r="H1459" s="66"/>
      <c r="I1459" s="66"/>
      <c r="J1459" s="66"/>
      <c r="K1459" s="66"/>
      <c r="L1459" s="66"/>
      <c r="M1459" s="66"/>
      <c r="N1459" s="66"/>
    </row>
    <row r="1460" spans="1:14" x14ac:dyDescent="0.2">
      <c r="A1460" s="84"/>
      <c r="B1460" s="84"/>
      <c r="C1460" s="60"/>
      <c r="D1460" s="66"/>
      <c r="E1460" s="66"/>
      <c r="F1460" s="66"/>
      <c r="G1460" s="66"/>
      <c r="H1460" s="66"/>
      <c r="I1460" s="66"/>
      <c r="J1460" s="66"/>
      <c r="K1460" s="66"/>
      <c r="L1460" s="66"/>
      <c r="M1460" s="66"/>
      <c r="N1460" s="66"/>
    </row>
    <row r="1461" spans="1:14" x14ac:dyDescent="0.2">
      <c r="A1461" s="84"/>
      <c r="B1461" s="84"/>
      <c r="C1461" s="60"/>
      <c r="D1461" s="66"/>
      <c r="E1461" s="66"/>
      <c r="F1461" s="66"/>
      <c r="G1461" s="66"/>
      <c r="H1461" s="66"/>
      <c r="I1461" s="66"/>
      <c r="J1461" s="66"/>
      <c r="K1461" s="66"/>
      <c r="L1461" s="66"/>
      <c r="M1461" s="66"/>
      <c r="N1461" s="66"/>
    </row>
    <row r="1462" spans="1:14" x14ac:dyDescent="0.2">
      <c r="A1462" s="84"/>
      <c r="B1462" s="84"/>
      <c r="C1462" s="60"/>
      <c r="D1462" s="66"/>
      <c r="E1462" s="66"/>
      <c r="F1462" s="66"/>
      <c r="G1462" s="66"/>
      <c r="H1462" s="66"/>
      <c r="I1462" s="66"/>
      <c r="J1462" s="66"/>
      <c r="K1462" s="66"/>
      <c r="L1462" s="66"/>
      <c r="M1462" s="66"/>
      <c r="N1462" s="66"/>
    </row>
    <row r="1463" spans="1:14" x14ac:dyDescent="0.2">
      <c r="A1463" s="84"/>
      <c r="B1463" s="84"/>
      <c r="C1463" s="60"/>
      <c r="D1463" s="66"/>
      <c r="E1463" s="66"/>
      <c r="F1463" s="66"/>
      <c r="G1463" s="66"/>
      <c r="H1463" s="66"/>
      <c r="I1463" s="66"/>
      <c r="J1463" s="66"/>
      <c r="K1463" s="66"/>
      <c r="L1463" s="66"/>
      <c r="M1463" s="66"/>
      <c r="N1463" s="66"/>
    </row>
    <row r="1464" spans="1:14" x14ac:dyDescent="0.2">
      <c r="A1464" s="84"/>
      <c r="B1464" s="84"/>
      <c r="C1464" s="60"/>
      <c r="D1464" s="66"/>
      <c r="E1464" s="66"/>
      <c r="F1464" s="66"/>
      <c r="G1464" s="66"/>
      <c r="H1464" s="66"/>
      <c r="I1464" s="66"/>
      <c r="J1464" s="66"/>
      <c r="K1464" s="66"/>
      <c r="L1464" s="66"/>
      <c r="M1464" s="66"/>
      <c r="N1464" s="66"/>
    </row>
    <row r="1465" spans="1:14" x14ac:dyDescent="0.2">
      <c r="A1465" s="84"/>
      <c r="B1465" s="84"/>
      <c r="C1465" s="60"/>
      <c r="D1465" s="66"/>
      <c r="E1465" s="66"/>
      <c r="F1465" s="66"/>
      <c r="G1465" s="66"/>
      <c r="H1465" s="66"/>
      <c r="I1465" s="66"/>
      <c r="J1465" s="66"/>
      <c r="K1465" s="66"/>
      <c r="L1465" s="66"/>
      <c r="M1465" s="66"/>
      <c r="N1465" s="66"/>
    </row>
    <row r="1466" spans="1:14" x14ac:dyDescent="0.2">
      <c r="A1466" s="84"/>
      <c r="B1466" s="84"/>
      <c r="C1466" s="60"/>
      <c r="D1466" s="66"/>
      <c r="E1466" s="66"/>
      <c r="F1466" s="66"/>
      <c r="G1466" s="66"/>
      <c r="H1466" s="66"/>
      <c r="I1466" s="66"/>
      <c r="J1466" s="66"/>
      <c r="K1466" s="66"/>
      <c r="L1466" s="66"/>
      <c r="M1466" s="66"/>
      <c r="N1466" s="66"/>
    </row>
    <row r="1467" spans="1:14" x14ac:dyDescent="0.2">
      <c r="A1467" s="84"/>
      <c r="B1467" s="84"/>
      <c r="C1467" s="60"/>
      <c r="D1467" s="66"/>
      <c r="E1467" s="66"/>
      <c r="F1467" s="66"/>
      <c r="G1467" s="66"/>
      <c r="H1467" s="66"/>
      <c r="I1467" s="66"/>
      <c r="J1467" s="66"/>
      <c r="K1467" s="66"/>
      <c r="L1467" s="66"/>
      <c r="M1467" s="66"/>
      <c r="N1467" s="66"/>
    </row>
    <row r="1468" spans="1:14" x14ac:dyDescent="0.2">
      <c r="A1468" s="84"/>
      <c r="B1468" s="84"/>
      <c r="C1468" s="60"/>
      <c r="D1468" s="66"/>
      <c r="E1468" s="66"/>
      <c r="F1468" s="66"/>
      <c r="G1468" s="66"/>
      <c r="H1468" s="66"/>
      <c r="I1468" s="66"/>
      <c r="J1468" s="66"/>
      <c r="K1468" s="66"/>
      <c r="L1468" s="66"/>
      <c r="M1468" s="66"/>
      <c r="N1468" s="66"/>
    </row>
  </sheetData>
  <pageMargins left="0.25" right="0.25" top="0.75" bottom="0.75" header="0.3" footer="0.3"/>
  <pageSetup scale="80" fitToHeight="0" orientation="landscape" r:id="rId1"/>
  <headerFooter>
    <oddFooter>&amp;LRev &amp;D&amp;C&amp;P</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1225"/>
  <sheetViews>
    <sheetView topLeftCell="A188" zoomScaleNormal="100" workbookViewId="0">
      <selection sqref="A1:N231"/>
    </sheetView>
  </sheetViews>
  <sheetFormatPr defaultColWidth="9" defaultRowHeight="12.75" x14ac:dyDescent="0.2"/>
  <cols>
    <col min="1" max="1" width="29.5" style="59" customWidth="1"/>
    <col min="2" max="2" width="9.5" style="60" customWidth="1"/>
    <col min="3" max="4" width="9" style="84" customWidth="1"/>
    <col min="5" max="16384" width="9" style="84"/>
  </cols>
  <sheetData>
    <row r="1" spans="1:14" s="58" customFormat="1" ht="13.5" thickBot="1" x14ac:dyDescent="0.25">
      <c r="A1" s="67" t="str">
        <f>CMS!A1</f>
        <v>Northwest Youth Services Budget - 2018 - APPROVED BY BOARD NOV 30, 2017</v>
      </c>
      <c r="B1" s="79"/>
      <c r="C1" s="67"/>
      <c r="D1" s="67"/>
      <c r="E1" s="67"/>
      <c r="F1" s="67"/>
      <c r="G1" s="67"/>
      <c r="H1" s="67"/>
      <c r="I1" s="67"/>
      <c r="J1" s="67"/>
      <c r="K1" s="67"/>
      <c r="L1" s="67"/>
      <c r="M1" s="67"/>
      <c r="N1" s="67"/>
    </row>
    <row r="2" spans="1:14" s="58" customFormat="1" x14ac:dyDescent="0.2">
      <c r="A2" s="80"/>
      <c r="B2" s="81"/>
    </row>
    <row r="3" spans="1:14" s="58" customFormat="1" x14ac:dyDescent="0.2">
      <c r="A3" s="81" t="s">
        <v>566</v>
      </c>
      <c r="B3" s="81"/>
    </row>
    <row r="5" spans="1:14" s="70" customFormat="1" ht="13.5" thickBot="1" x14ac:dyDescent="0.25">
      <c r="A5" s="82" t="s">
        <v>143</v>
      </c>
      <c r="B5" s="83" t="s">
        <v>144</v>
      </c>
      <c r="C5" s="83" t="str">
        <f>CMS!C5</f>
        <v>January</v>
      </c>
      <c r="D5" s="83" t="str">
        <f>CMS!D5</f>
        <v>February</v>
      </c>
      <c r="E5" s="83" t="str">
        <f>CMS!E5</f>
        <v>March</v>
      </c>
      <c r="F5" s="83" t="str">
        <f>CMS!F5</f>
        <v>April</v>
      </c>
      <c r="G5" s="83" t="str">
        <f>CMS!G5</f>
        <v>May</v>
      </c>
      <c r="H5" s="83" t="str">
        <f>CMS!H5</f>
        <v>June</v>
      </c>
      <c r="I5" s="83" t="str">
        <f>CMS!I5</f>
        <v>July</v>
      </c>
      <c r="J5" s="83" t="str">
        <f>CMS!J5</f>
        <v>August</v>
      </c>
      <c r="K5" s="83" t="str">
        <f>CMS!K5</f>
        <v>September</v>
      </c>
      <c r="L5" s="83" t="str">
        <f>CMS!L5</f>
        <v>October</v>
      </c>
      <c r="M5" s="83" t="str">
        <f>CMS!M5</f>
        <v>November</v>
      </c>
      <c r="N5" s="83" t="str">
        <f>CMS!N5</f>
        <v>December</v>
      </c>
    </row>
    <row r="6" spans="1:14" s="70" customFormat="1" x14ac:dyDescent="0.2">
      <c r="A6" s="28"/>
      <c r="B6" s="86"/>
      <c r="C6" s="86"/>
      <c r="D6" s="26"/>
      <c r="E6" s="26"/>
      <c r="F6" s="26"/>
      <c r="G6" s="26"/>
      <c r="H6" s="26"/>
      <c r="I6" s="26"/>
      <c r="J6" s="26"/>
      <c r="K6" s="26"/>
      <c r="L6" s="26"/>
      <c r="M6" s="26"/>
      <c r="N6" s="26"/>
    </row>
    <row r="7" spans="1:14" s="70" customFormat="1" x14ac:dyDescent="0.2">
      <c r="A7" s="58" t="s">
        <v>14</v>
      </c>
      <c r="B7" s="60"/>
      <c r="C7" s="60"/>
      <c r="D7" s="94"/>
      <c r="E7" s="94"/>
      <c r="F7" s="94"/>
      <c r="G7" s="94"/>
      <c r="H7" s="94"/>
      <c r="I7" s="94"/>
      <c r="J7" s="94"/>
      <c r="K7" s="94"/>
      <c r="L7" s="94"/>
      <c r="M7" s="94"/>
      <c r="N7" s="94"/>
    </row>
    <row r="8" spans="1:14" x14ac:dyDescent="0.2">
      <c r="A8" s="61" t="s">
        <v>699</v>
      </c>
      <c r="B8" s="63">
        <f>SUM(C8:N8)</f>
        <v>87543.476666666669</v>
      </c>
      <c r="C8" s="62">
        <f>SUM(254981/18)*0.515</f>
        <v>7295.2897222222227</v>
      </c>
      <c r="D8" s="62">
        <f t="shared" ref="D8:N8" si="0">SUM(254981/18)*0.515</f>
        <v>7295.2897222222227</v>
      </c>
      <c r="E8" s="62">
        <f t="shared" si="0"/>
        <v>7295.2897222222227</v>
      </c>
      <c r="F8" s="62">
        <f t="shared" si="0"/>
        <v>7295.2897222222227</v>
      </c>
      <c r="G8" s="62">
        <f t="shared" si="0"/>
        <v>7295.2897222222227</v>
      </c>
      <c r="H8" s="62">
        <f t="shared" si="0"/>
        <v>7295.2897222222227</v>
      </c>
      <c r="I8" s="62">
        <f t="shared" si="0"/>
        <v>7295.2897222222227</v>
      </c>
      <c r="J8" s="62">
        <f t="shared" si="0"/>
        <v>7295.2897222222227</v>
      </c>
      <c r="K8" s="62">
        <f t="shared" si="0"/>
        <v>7295.2897222222227</v>
      </c>
      <c r="L8" s="62">
        <f t="shared" si="0"/>
        <v>7295.2897222222227</v>
      </c>
      <c r="M8" s="62">
        <f t="shared" si="0"/>
        <v>7295.2897222222227</v>
      </c>
      <c r="N8" s="62">
        <f t="shared" si="0"/>
        <v>7295.2897222222227</v>
      </c>
    </row>
    <row r="9" spans="1:14" hidden="1" x14ac:dyDescent="0.2">
      <c r="A9" s="61" t="s">
        <v>145</v>
      </c>
      <c r="B9" s="63">
        <f>SUM(C9:N9)</f>
        <v>0</v>
      </c>
      <c r="C9" s="62"/>
      <c r="D9" s="62"/>
      <c r="E9" s="62"/>
      <c r="F9" s="62"/>
      <c r="G9" s="62"/>
      <c r="H9" s="62"/>
      <c r="I9" s="62"/>
      <c r="J9" s="93"/>
      <c r="K9" s="93"/>
      <c r="L9" s="93"/>
      <c r="M9" s="93"/>
      <c r="N9" s="93"/>
    </row>
    <row r="10" spans="1:14" hidden="1" x14ac:dyDescent="0.2">
      <c r="A10" s="61" t="s">
        <v>145</v>
      </c>
      <c r="B10" s="63">
        <f t="shared" ref="B10:B44" si="1">SUM(C10:N10)</f>
        <v>0</v>
      </c>
      <c r="C10" s="63"/>
      <c r="D10" s="62"/>
      <c r="E10" s="62"/>
      <c r="F10" s="62"/>
      <c r="G10" s="62"/>
      <c r="H10" s="62"/>
      <c r="I10" s="62"/>
      <c r="J10" s="62"/>
      <c r="K10" s="62"/>
      <c r="L10" s="62"/>
      <c r="M10" s="62"/>
      <c r="N10" s="62"/>
    </row>
    <row r="11" spans="1:14" hidden="1" x14ac:dyDescent="0.2">
      <c r="A11" s="61" t="s">
        <v>145</v>
      </c>
      <c r="B11" s="63">
        <f t="shared" si="1"/>
        <v>0</v>
      </c>
      <c r="C11" s="63"/>
      <c r="D11" s="62"/>
      <c r="E11" s="62"/>
      <c r="F11" s="62"/>
      <c r="G11" s="62"/>
      <c r="H11" s="62"/>
      <c r="I11" s="62"/>
      <c r="J11" s="93"/>
      <c r="K11" s="93"/>
      <c r="L11" s="93"/>
      <c r="M11" s="93"/>
      <c r="N11" s="93"/>
    </row>
    <row r="12" spans="1:14" hidden="1" x14ac:dyDescent="0.2">
      <c r="A12" s="61" t="s">
        <v>145</v>
      </c>
      <c r="B12" s="63">
        <f t="shared" si="1"/>
        <v>0</v>
      </c>
      <c r="C12" s="63"/>
      <c r="D12" s="62"/>
      <c r="E12" s="62"/>
      <c r="F12" s="62"/>
      <c r="G12" s="62"/>
      <c r="H12" s="62"/>
      <c r="I12" s="62"/>
      <c r="J12" s="93"/>
      <c r="K12" s="93"/>
      <c r="L12" s="93"/>
      <c r="M12" s="93"/>
      <c r="N12" s="93"/>
    </row>
    <row r="13" spans="1:14" hidden="1" x14ac:dyDescent="0.2">
      <c r="A13" s="61" t="s">
        <v>145</v>
      </c>
      <c r="B13" s="63">
        <f t="shared" si="1"/>
        <v>0</v>
      </c>
      <c r="C13" s="63"/>
      <c r="D13" s="62"/>
      <c r="E13" s="62"/>
      <c r="F13" s="62"/>
      <c r="G13" s="62"/>
      <c r="H13" s="62"/>
      <c r="I13" s="62"/>
      <c r="J13" s="62"/>
      <c r="K13" s="62"/>
      <c r="L13" s="62"/>
      <c r="M13" s="62"/>
      <c r="N13" s="62"/>
    </row>
    <row r="14" spans="1:14" hidden="1" x14ac:dyDescent="0.2">
      <c r="A14" s="61" t="s">
        <v>145</v>
      </c>
      <c r="B14" s="63">
        <f t="shared" si="1"/>
        <v>0</v>
      </c>
      <c r="C14" s="63"/>
      <c r="D14" s="62"/>
      <c r="E14" s="62"/>
      <c r="F14" s="62"/>
      <c r="G14" s="62"/>
      <c r="H14" s="62"/>
      <c r="I14" s="62"/>
      <c r="J14" s="62"/>
      <c r="K14" s="62"/>
      <c r="L14" s="62"/>
      <c r="M14" s="62"/>
      <c r="N14" s="62"/>
    </row>
    <row r="15" spans="1:14" hidden="1" x14ac:dyDescent="0.2">
      <c r="A15" s="61" t="s">
        <v>145</v>
      </c>
      <c r="B15" s="63">
        <f t="shared" si="1"/>
        <v>0</v>
      </c>
      <c r="C15" s="63"/>
      <c r="D15" s="62"/>
      <c r="E15" s="62"/>
      <c r="F15" s="62"/>
      <c r="G15" s="62"/>
      <c r="H15" s="62"/>
      <c r="I15" s="62"/>
      <c r="J15" s="62"/>
      <c r="K15" s="62"/>
      <c r="L15" s="62"/>
      <c r="M15" s="62"/>
      <c r="N15" s="62"/>
    </row>
    <row r="16" spans="1:14" hidden="1" x14ac:dyDescent="0.2">
      <c r="A16" s="61" t="s">
        <v>145</v>
      </c>
      <c r="B16" s="63">
        <f t="shared" si="1"/>
        <v>0</v>
      </c>
      <c r="C16" s="63"/>
      <c r="D16" s="62"/>
      <c r="E16" s="62"/>
      <c r="F16" s="62"/>
      <c r="G16" s="62"/>
      <c r="H16" s="62"/>
      <c r="I16" s="62"/>
      <c r="J16" s="62"/>
      <c r="K16" s="62"/>
      <c r="L16" s="62"/>
      <c r="M16" s="62"/>
      <c r="N16" s="62"/>
    </row>
    <row r="17" spans="1:14" hidden="1" x14ac:dyDescent="0.2">
      <c r="A17" s="61" t="s">
        <v>145</v>
      </c>
      <c r="B17" s="63">
        <f t="shared" si="1"/>
        <v>0</v>
      </c>
      <c r="C17" s="63"/>
      <c r="D17" s="62"/>
      <c r="E17" s="62"/>
      <c r="F17" s="62"/>
      <c r="G17" s="62"/>
      <c r="H17" s="62"/>
      <c r="I17" s="62"/>
      <c r="J17" s="62"/>
      <c r="K17" s="62"/>
      <c r="L17" s="62"/>
      <c r="M17" s="62"/>
      <c r="N17" s="62"/>
    </row>
    <row r="18" spans="1:14" hidden="1" x14ac:dyDescent="0.2">
      <c r="A18" s="61" t="s">
        <v>145</v>
      </c>
      <c r="B18" s="63">
        <f t="shared" si="1"/>
        <v>0</v>
      </c>
      <c r="C18" s="63"/>
      <c r="D18" s="62"/>
      <c r="E18" s="62"/>
      <c r="F18" s="62"/>
      <c r="G18" s="62"/>
      <c r="H18" s="62"/>
      <c r="I18" s="62"/>
      <c r="J18" s="62"/>
      <c r="K18" s="62"/>
      <c r="L18" s="62"/>
      <c r="M18" s="62"/>
      <c r="N18" s="62"/>
    </row>
    <row r="19" spans="1:14" hidden="1" x14ac:dyDescent="0.2">
      <c r="A19" s="61" t="s">
        <v>145</v>
      </c>
      <c r="B19" s="63">
        <f t="shared" si="1"/>
        <v>0</v>
      </c>
      <c r="C19" s="63"/>
      <c r="D19" s="62"/>
      <c r="E19" s="62"/>
      <c r="F19" s="62"/>
      <c r="G19" s="62"/>
      <c r="H19" s="62"/>
      <c r="I19" s="62"/>
      <c r="J19" s="62"/>
      <c r="K19" s="62"/>
      <c r="L19" s="62"/>
      <c r="M19" s="62"/>
      <c r="N19" s="62"/>
    </row>
    <row r="20" spans="1:14" hidden="1" x14ac:dyDescent="0.2">
      <c r="A20" s="61" t="s">
        <v>145</v>
      </c>
      <c r="B20" s="63">
        <f t="shared" si="1"/>
        <v>0</v>
      </c>
      <c r="C20" s="63"/>
      <c r="D20" s="62"/>
      <c r="E20" s="62"/>
      <c r="F20" s="62"/>
      <c r="G20" s="62"/>
      <c r="H20" s="62"/>
      <c r="I20" s="62"/>
      <c r="J20" s="62"/>
      <c r="K20" s="62"/>
      <c r="L20" s="62"/>
      <c r="M20" s="62"/>
      <c r="N20" s="62"/>
    </row>
    <row r="21" spans="1:14" hidden="1" x14ac:dyDescent="0.2">
      <c r="A21" s="61" t="s">
        <v>145</v>
      </c>
      <c r="B21" s="63">
        <f t="shared" si="1"/>
        <v>0</v>
      </c>
      <c r="C21" s="63"/>
      <c r="D21" s="62"/>
      <c r="E21" s="62"/>
      <c r="F21" s="62"/>
      <c r="G21" s="62"/>
      <c r="H21" s="62"/>
      <c r="I21" s="62"/>
      <c r="J21" s="62"/>
      <c r="K21" s="62"/>
      <c r="L21" s="62"/>
      <c r="M21" s="62"/>
      <c r="N21" s="62"/>
    </row>
    <row r="22" spans="1:14" hidden="1" x14ac:dyDescent="0.2">
      <c r="A22" s="61" t="s">
        <v>145</v>
      </c>
      <c r="B22" s="63">
        <f t="shared" si="1"/>
        <v>0</v>
      </c>
      <c r="C22" s="63"/>
      <c r="D22" s="62"/>
      <c r="E22" s="62"/>
      <c r="F22" s="62"/>
      <c r="G22" s="62"/>
      <c r="H22" s="62"/>
      <c r="I22" s="62"/>
      <c r="J22" s="62"/>
      <c r="K22" s="62"/>
      <c r="L22" s="62"/>
      <c r="M22" s="62"/>
      <c r="N22" s="62"/>
    </row>
    <row r="23" spans="1:14" hidden="1" x14ac:dyDescent="0.2">
      <c r="A23" s="61" t="s">
        <v>146</v>
      </c>
      <c r="B23" s="63">
        <f t="shared" si="1"/>
        <v>0</v>
      </c>
      <c r="C23" s="63"/>
      <c r="D23" s="62"/>
      <c r="E23" s="62"/>
      <c r="F23" s="62"/>
      <c r="G23" s="62"/>
      <c r="H23" s="62"/>
      <c r="I23" s="62"/>
      <c r="J23" s="62"/>
      <c r="K23" s="62"/>
      <c r="L23" s="93"/>
      <c r="M23" s="93"/>
      <c r="N23" s="93"/>
    </row>
    <row r="24" spans="1:14" hidden="1" x14ac:dyDescent="0.2">
      <c r="A24" s="61" t="s">
        <v>146</v>
      </c>
      <c r="B24" s="63">
        <f t="shared" si="1"/>
        <v>0</v>
      </c>
      <c r="C24" s="63"/>
      <c r="D24" s="62"/>
      <c r="E24" s="62"/>
      <c r="F24" s="62"/>
      <c r="G24" s="62"/>
      <c r="H24" s="62"/>
      <c r="I24" s="62"/>
      <c r="J24" s="62"/>
      <c r="K24" s="62"/>
      <c r="L24" s="62"/>
      <c r="M24" s="62"/>
      <c r="N24" s="62"/>
    </row>
    <row r="25" spans="1:14" hidden="1" x14ac:dyDescent="0.2">
      <c r="A25" s="61" t="s">
        <v>146</v>
      </c>
      <c r="B25" s="63">
        <f t="shared" si="1"/>
        <v>0</v>
      </c>
      <c r="C25" s="63"/>
      <c r="D25" s="62"/>
      <c r="E25" s="62"/>
      <c r="F25" s="62"/>
      <c r="G25" s="62"/>
      <c r="H25" s="62"/>
      <c r="I25" s="62"/>
      <c r="J25" s="62"/>
      <c r="K25" s="62"/>
      <c r="L25" s="62"/>
      <c r="M25" s="62"/>
      <c r="N25" s="62"/>
    </row>
    <row r="26" spans="1:14" hidden="1" x14ac:dyDescent="0.2">
      <c r="A26" s="61" t="s">
        <v>146</v>
      </c>
      <c r="B26" s="63">
        <f t="shared" si="1"/>
        <v>0</v>
      </c>
      <c r="C26" s="63"/>
      <c r="D26" s="62"/>
      <c r="E26" s="62"/>
      <c r="F26" s="62"/>
      <c r="G26" s="62"/>
      <c r="H26" s="62"/>
      <c r="I26" s="62"/>
      <c r="J26" s="62"/>
      <c r="K26" s="62"/>
      <c r="L26" s="62"/>
      <c r="M26" s="62"/>
      <c r="N26" s="62"/>
    </row>
    <row r="27" spans="1:14" hidden="1" x14ac:dyDescent="0.2">
      <c r="A27" s="61" t="s">
        <v>146</v>
      </c>
      <c r="B27" s="63">
        <f t="shared" si="1"/>
        <v>0</v>
      </c>
      <c r="C27" s="63"/>
      <c r="D27" s="62"/>
      <c r="E27" s="62"/>
      <c r="F27" s="62"/>
      <c r="G27" s="62"/>
      <c r="H27" s="62"/>
      <c r="I27" s="62"/>
      <c r="J27" s="62"/>
      <c r="K27" s="62"/>
      <c r="L27" s="62"/>
      <c r="M27" s="62"/>
      <c r="N27" s="62"/>
    </row>
    <row r="28" spans="1:14" hidden="1" x14ac:dyDescent="0.2">
      <c r="A28" s="61" t="s">
        <v>146</v>
      </c>
      <c r="B28" s="63">
        <f t="shared" si="1"/>
        <v>0</v>
      </c>
      <c r="C28" s="63"/>
      <c r="D28" s="62"/>
      <c r="E28" s="62"/>
      <c r="F28" s="62"/>
      <c r="G28" s="62"/>
      <c r="H28" s="62"/>
      <c r="I28" s="62"/>
      <c r="J28" s="62"/>
      <c r="K28" s="62"/>
      <c r="L28" s="62"/>
      <c r="M28" s="62"/>
      <c r="N28" s="62"/>
    </row>
    <row r="29" spans="1:14" hidden="1" x14ac:dyDescent="0.2">
      <c r="A29" s="61" t="s">
        <v>146</v>
      </c>
      <c r="B29" s="63">
        <f t="shared" si="1"/>
        <v>0</v>
      </c>
      <c r="C29" s="63"/>
      <c r="D29" s="62"/>
      <c r="E29" s="62"/>
      <c r="F29" s="62"/>
      <c r="G29" s="62"/>
      <c r="H29" s="62"/>
      <c r="I29" s="62"/>
      <c r="J29" s="62"/>
      <c r="K29" s="62"/>
      <c r="L29" s="62"/>
      <c r="M29" s="62"/>
      <c r="N29" s="62"/>
    </row>
    <row r="30" spans="1:14" hidden="1" x14ac:dyDescent="0.2">
      <c r="A30" s="61" t="s">
        <v>146</v>
      </c>
      <c r="B30" s="63">
        <f t="shared" si="1"/>
        <v>0</v>
      </c>
      <c r="C30" s="63"/>
      <c r="D30" s="62"/>
      <c r="E30" s="62"/>
      <c r="F30" s="62"/>
      <c r="G30" s="62"/>
      <c r="H30" s="62"/>
      <c r="I30" s="62"/>
      <c r="J30" s="62"/>
      <c r="K30" s="62"/>
      <c r="L30" s="62"/>
      <c r="M30" s="62"/>
      <c r="N30" s="62"/>
    </row>
    <row r="31" spans="1:14" hidden="1" x14ac:dyDescent="0.2">
      <c r="A31" s="61" t="s">
        <v>146</v>
      </c>
      <c r="B31" s="63">
        <f t="shared" si="1"/>
        <v>0</v>
      </c>
      <c r="C31" s="63"/>
      <c r="D31" s="62"/>
      <c r="E31" s="62"/>
      <c r="F31" s="62"/>
      <c r="G31" s="62"/>
      <c r="H31" s="62"/>
      <c r="I31" s="62"/>
      <c r="J31" s="62"/>
      <c r="K31" s="62"/>
      <c r="L31" s="62"/>
      <c r="M31" s="62"/>
      <c r="N31" s="62"/>
    </row>
    <row r="32" spans="1:14" hidden="1" x14ac:dyDescent="0.2">
      <c r="A32" s="61" t="s">
        <v>146</v>
      </c>
      <c r="B32" s="63">
        <f t="shared" si="1"/>
        <v>0</v>
      </c>
      <c r="C32" s="63"/>
      <c r="D32" s="62"/>
      <c r="E32" s="62"/>
      <c r="F32" s="62"/>
      <c r="G32" s="62"/>
      <c r="H32" s="62"/>
      <c r="I32" s="62"/>
      <c r="J32" s="62"/>
      <c r="K32" s="62"/>
      <c r="L32" s="62"/>
      <c r="M32" s="62"/>
      <c r="N32" s="62"/>
    </row>
    <row r="33" spans="1:14" hidden="1" x14ac:dyDescent="0.2">
      <c r="A33" s="61" t="s">
        <v>146</v>
      </c>
      <c r="B33" s="63">
        <f t="shared" si="1"/>
        <v>0</v>
      </c>
      <c r="C33" s="63"/>
      <c r="D33" s="62"/>
      <c r="E33" s="62"/>
      <c r="F33" s="62"/>
      <c r="G33" s="62"/>
      <c r="H33" s="62"/>
      <c r="I33" s="62"/>
      <c r="J33" s="62"/>
      <c r="K33" s="62"/>
      <c r="L33" s="62"/>
      <c r="M33" s="62"/>
      <c r="N33" s="62"/>
    </row>
    <row r="34" spans="1:14" hidden="1" x14ac:dyDescent="0.2">
      <c r="A34" s="61" t="s">
        <v>146</v>
      </c>
      <c r="B34" s="63">
        <f t="shared" si="1"/>
        <v>0</v>
      </c>
      <c r="C34" s="63"/>
      <c r="D34" s="62"/>
      <c r="E34" s="62"/>
      <c r="F34" s="62"/>
      <c r="G34" s="62"/>
      <c r="H34" s="62"/>
      <c r="I34" s="62"/>
      <c r="J34" s="62"/>
      <c r="K34" s="62"/>
      <c r="L34" s="62"/>
      <c r="M34" s="62"/>
      <c r="N34" s="62"/>
    </row>
    <row r="35" spans="1:14" hidden="1" x14ac:dyDescent="0.2">
      <c r="A35" s="61" t="s">
        <v>146</v>
      </c>
      <c r="B35" s="63">
        <f t="shared" si="1"/>
        <v>0</v>
      </c>
      <c r="C35" s="63"/>
      <c r="D35" s="62"/>
      <c r="E35" s="62"/>
      <c r="F35" s="62"/>
      <c r="G35" s="62"/>
      <c r="H35" s="62"/>
      <c r="I35" s="62"/>
      <c r="J35" s="62"/>
      <c r="K35" s="62"/>
      <c r="L35" s="62"/>
      <c r="M35" s="62"/>
      <c r="N35" s="62"/>
    </row>
    <row r="36" spans="1:14" hidden="1" x14ac:dyDescent="0.2">
      <c r="A36" s="61" t="s">
        <v>146</v>
      </c>
      <c r="B36" s="63">
        <f t="shared" si="1"/>
        <v>0</v>
      </c>
      <c r="C36" s="62"/>
      <c r="D36" s="62"/>
      <c r="E36" s="62"/>
      <c r="F36" s="62"/>
      <c r="G36" s="62"/>
      <c r="H36" s="62"/>
      <c r="I36" s="62"/>
      <c r="J36" s="62"/>
      <c r="K36" s="62"/>
      <c r="L36" s="62"/>
      <c r="M36" s="62"/>
      <c r="N36" s="62"/>
    </row>
    <row r="37" spans="1:14" hidden="1" x14ac:dyDescent="0.2">
      <c r="A37" s="61" t="s">
        <v>146</v>
      </c>
      <c r="B37" s="63">
        <f t="shared" si="1"/>
        <v>0</v>
      </c>
      <c r="C37" s="63"/>
      <c r="D37" s="62"/>
      <c r="E37" s="62"/>
      <c r="F37" s="62"/>
      <c r="G37" s="62"/>
      <c r="H37" s="62"/>
      <c r="I37" s="62"/>
      <c r="J37" s="62"/>
      <c r="K37" s="62"/>
      <c r="L37" s="62"/>
      <c r="M37" s="62"/>
      <c r="N37" s="62"/>
    </row>
    <row r="38" spans="1:14" x14ac:dyDescent="0.2">
      <c r="A38" s="61" t="s">
        <v>146</v>
      </c>
      <c r="B38" s="63">
        <f t="shared" si="1"/>
        <v>0</v>
      </c>
      <c r="C38" s="63"/>
      <c r="D38" s="62"/>
      <c r="E38" s="62"/>
      <c r="F38" s="62"/>
      <c r="G38" s="62"/>
      <c r="H38" s="62"/>
      <c r="I38" s="62"/>
      <c r="J38" s="62"/>
      <c r="K38" s="62"/>
      <c r="L38" s="62"/>
      <c r="M38" s="62"/>
      <c r="N38" s="62"/>
    </row>
    <row r="39" spans="1:14" x14ac:dyDescent="0.2">
      <c r="A39" s="61" t="s">
        <v>16</v>
      </c>
      <c r="B39" s="63">
        <f t="shared" si="1"/>
        <v>0</v>
      </c>
      <c r="C39" s="63"/>
      <c r="D39" s="62"/>
      <c r="E39" s="62"/>
      <c r="F39" s="62"/>
      <c r="G39" s="62"/>
      <c r="H39" s="62"/>
      <c r="I39" s="62"/>
      <c r="J39" s="62"/>
      <c r="K39" s="62"/>
      <c r="L39" s="62"/>
      <c r="M39" s="62"/>
      <c r="N39" s="62"/>
    </row>
    <row r="40" spans="1:14" x14ac:dyDescent="0.2">
      <c r="A40" s="61" t="s">
        <v>17</v>
      </c>
      <c r="B40" s="63">
        <f t="shared" si="1"/>
        <v>0</v>
      </c>
      <c r="C40" s="63"/>
      <c r="D40" s="62"/>
      <c r="E40" s="62"/>
      <c r="F40" s="62"/>
      <c r="G40" s="62"/>
      <c r="H40" s="62"/>
      <c r="I40" s="62"/>
      <c r="J40" s="62"/>
      <c r="K40" s="62"/>
      <c r="L40" s="62"/>
      <c r="M40" s="62"/>
      <c r="N40" s="62"/>
    </row>
    <row r="41" spans="1:14" x14ac:dyDescent="0.2">
      <c r="A41" s="61" t="s">
        <v>147</v>
      </c>
      <c r="B41" s="63">
        <f t="shared" si="1"/>
        <v>0</v>
      </c>
      <c r="C41" s="62"/>
      <c r="D41" s="62"/>
      <c r="E41" s="62"/>
      <c r="F41" s="62"/>
      <c r="G41" s="62"/>
      <c r="H41" s="62"/>
      <c r="I41" s="62"/>
      <c r="J41" s="62"/>
      <c r="K41" s="62"/>
      <c r="L41" s="62"/>
      <c r="M41" s="62"/>
      <c r="N41" s="62"/>
    </row>
    <row r="42" spans="1:14" x14ac:dyDescent="0.2">
      <c r="A42" s="61" t="s">
        <v>148</v>
      </c>
      <c r="B42" s="63">
        <f t="shared" si="1"/>
        <v>0</v>
      </c>
      <c r="C42" s="63"/>
      <c r="D42" s="62"/>
      <c r="E42" s="62"/>
      <c r="F42" s="62"/>
      <c r="G42" s="62"/>
      <c r="H42" s="62"/>
      <c r="I42" s="62"/>
      <c r="J42" s="62"/>
      <c r="K42" s="62"/>
      <c r="L42" s="62"/>
      <c r="M42" s="62"/>
      <c r="N42" s="62"/>
    </row>
    <row r="43" spans="1:14" x14ac:dyDescent="0.2">
      <c r="A43" s="61" t="s">
        <v>149</v>
      </c>
      <c r="B43" s="63">
        <f t="shared" si="1"/>
        <v>0</v>
      </c>
      <c r="C43" s="63"/>
      <c r="D43" s="62"/>
      <c r="E43" s="62"/>
      <c r="F43" s="62"/>
      <c r="G43" s="62"/>
      <c r="H43" s="62"/>
      <c r="I43" s="62"/>
      <c r="J43" s="62"/>
      <c r="K43" s="62"/>
      <c r="L43" s="62"/>
      <c r="M43" s="62"/>
      <c r="N43" s="62"/>
    </row>
    <row r="44" spans="1:14" x14ac:dyDescent="0.2">
      <c r="A44" s="61" t="s">
        <v>150</v>
      </c>
      <c r="B44" s="63">
        <f t="shared" si="1"/>
        <v>0</v>
      </c>
      <c r="C44" s="63"/>
      <c r="D44" s="62"/>
      <c r="E44" s="62"/>
      <c r="F44" s="62"/>
      <c r="G44" s="62"/>
      <c r="H44" s="62"/>
      <c r="I44" s="62"/>
      <c r="J44" s="62"/>
      <c r="K44" s="62"/>
      <c r="L44" s="62"/>
      <c r="M44" s="62"/>
      <c r="N44" s="62"/>
    </row>
    <row r="45" spans="1:14" ht="13.5" thickBot="1" x14ac:dyDescent="0.25">
      <c r="A45" s="61" t="s">
        <v>18</v>
      </c>
      <c r="B45" s="63">
        <f>SUM(C45:N45)</f>
        <v>0</v>
      </c>
      <c r="C45" s="63"/>
      <c r="D45" s="62"/>
      <c r="E45" s="62"/>
      <c r="F45" s="62"/>
      <c r="G45" s="62"/>
      <c r="H45" s="62"/>
      <c r="I45" s="62"/>
      <c r="J45" s="62"/>
      <c r="K45" s="62"/>
      <c r="L45" s="62"/>
      <c r="M45" s="62"/>
      <c r="N45" s="62"/>
    </row>
    <row r="46" spans="1:14" x14ac:dyDescent="0.2">
      <c r="A46" s="64" t="s">
        <v>151</v>
      </c>
      <c r="B46" s="65">
        <f t="shared" ref="B46:N46" si="2">SUM(B8:B45)</f>
        <v>87543.476666666669</v>
      </c>
      <c r="C46" s="65">
        <f t="shared" si="2"/>
        <v>7295.2897222222227</v>
      </c>
      <c r="D46" s="65">
        <f t="shared" si="2"/>
        <v>7295.2897222222227</v>
      </c>
      <c r="E46" s="65">
        <f t="shared" si="2"/>
        <v>7295.2897222222227</v>
      </c>
      <c r="F46" s="65">
        <f t="shared" si="2"/>
        <v>7295.2897222222227</v>
      </c>
      <c r="G46" s="65">
        <f t="shared" si="2"/>
        <v>7295.2897222222227</v>
      </c>
      <c r="H46" s="65">
        <f t="shared" si="2"/>
        <v>7295.2897222222227</v>
      </c>
      <c r="I46" s="65">
        <f t="shared" si="2"/>
        <v>7295.2897222222227</v>
      </c>
      <c r="J46" s="65">
        <f t="shared" si="2"/>
        <v>7295.2897222222227</v>
      </c>
      <c r="K46" s="65">
        <f t="shared" si="2"/>
        <v>7295.2897222222227</v>
      </c>
      <c r="L46" s="65">
        <f t="shared" si="2"/>
        <v>7295.2897222222227</v>
      </c>
      <c r="M46" s="65">
        <f t="shared" si="2"/>
        <v>7295.2897222222227</v>
      </c>
      <c r="N46" s="65">
        <f t="shared" si="2"/>
        <v>7295.2897222222227</v>
      </c>
    </row>
    <row r="47" spans="1:14" x14ac:dyDescent="0.2">
      <c r="C47" s="60"/>
      <c r="D47" s="66"/>
      <c r="E47" s="66"/>
      <c r="F47" s="66"/>
      <c r="G47" s="66"/>
      <c r="H47" s="66"/>
      <c r="I47" s="66"/>
      <c r="J47" s="66"/>
      <c r="K47" s="66"/>
      <c r="L47" s="66"/>
      <c r="M47" s="66"/>
      <c r="N47" s="66"/>
    </row>
    <row r="48" spans="1:14" x14ac:dyDescent="0.2">
      <c r="A48" s="58"/>
      <c r="C48" s="60"/>
      <c r="D48" s="100"/>
      <c r="E48" s="100"/>
      <c r="F48" s="100"/>
      <c r="G48" s="100"/>
      <c r="H48" s="100"/>
      <c r="I48" s="100"/>
      <c r="J48" s="100"/>
      <c r="K48" s="100"/>
      <c r="L48" s="100"/>
      <c r="M48" s="100"/>
      <c r="N48" s="100"/>
    </row>
    <row r="49" spans="1:15" x14ac:dyDescent="0.2">
      <c r="A49" s="58" t="s">
        <v>152</v>
      </c>
      <c r="B49" s="85"/>
      <c r="C49" s="85"/>
      <c r="D49" s="85"/>
      <c r="E49" s="85"/>
      <c r="F49" s="85"/>
      <c r="G49" s="85"/>
      <c r="H49" s="85"/>
      <c r="I49" s="85"/>
      <c r="J49" s="85"/>
      <c r="K49" s="85"/>
      <c r="L49" s="85"/>
      <c r="M49" s="85"/>
      <c r="N49" s="85"/>
    </row>
    <row r="50" spans="1:15" x14ac:dyDescent="0.2">
      <c r="A50" s="61" t="s">
        <v>153</v>
      </c>
      <c r="B50" s="63">
        <f>SUM(C50:N50)</f>
        <v>41829.530399999989</v>
      </c>
      <c r="C50" s="62">
        <f>SUM(C228)</f>
        <v>3029.0441999999994</v>
      </c>
      <c r="D50" s="62">
        <f t="shared" ref="D50:N52" si="3">SUM(D228)</f>
        <v>3029.0441999999994</v>
      </c>
      <c r="E50" s="62">
        <f t="shared" si="3"/>
        <v>3029.0441999999994</v>
      </c>
      <c r="F50" s="62">
        <f t="shared" si="3"/>
        <v>3029.0441999999994</v>
      </c>
      <c r="G50" s="62">
        <f t="shared" si="3"/>
        <v>3714.1691999999994</v>
      </c>
      <c r="H50" s="62">
        <f t="shared" si="3"/>
        <v>3714.1691999999994</v>
      </c>
      <c r="I50" s="62">
        <f t="shared" si="3"/>
        <v>3714.1691999999994</v>
      </c>
      <c r="J50" s="62">
        <f t="shared" si="3"/>
        <v>3714.1691999999994</v>
      </c>
      <c r="K50" s="62">
        <f t="shared" si="3"/>
        <v>3714.1691999999994</v>
      </c>
      <c r="L50" s="62">
        <f t="shared" si="3"/>
        <v>3714.1691999999994</v>
      </c>
      <c r="M50" s="62">
        <f t="shared" si="3"/>
        <v>3714.1691999999994</v>
      </c>
      <c r="N50" s="62">
        <f t="shared" si="3"/>
        <v>3714.1691999999994</v>
      </c>
    </row>
    <row r="51" spans="1:15" x14ac:dyDescent="0.2">
      <c r="A51" s="61" t="s">
        <v>22</v>
      </c>
      <c r="B51" s="63">
        <f>SUM(C51:N51)</f>
        <v>3644.0260559999997</v>
      </c>
      <c r="C51" s="62">
        <f>SUM(C229)</f>
        <v>263.72931299999999</v>
      </c>
      <c r="D51" s="62">
        <f t="shared" si="3"/>
        <v>263.72931299999999</v>
      </c>
      <c r="E51" s="62">
        <f t="shared" si="3"/>
        <v>263.72931299999999</v>
      </c>
      <c r="F51" s="62">
        <f t="shared" si="3"/>
        <v>263.72931299999999</v>
      </c>
      <c r="G51" s="62">
        <f t="shared" si="3"/>
        <v>323.6386005</v>
      </c>
      <c r="H51" s="62">
        <f t="shared" si="3"/>
        <v>323.6386005</v>
      </c>
      <c r="I51" s="62">
        <f t="shared" si="3"/>
        <v>323.6386005</v>
      </c>
      <c r="J51" s="62">
        <f t="shared" si="3"/>
        <v>323.6386005</v>
      </c>
      <c r="K51" s="62">
        <f t="shared" si="3"/>
        <v>323.6386005</v>
      </c>
      <c r="L51" s="62">
        <f t="shared" si="3"/>
        <v>323.6386005</v>
      </c>
      <c r="M51" s="62">
        <f t="shared" si="3"/>
        <v>323.6386005</v>
      </c>
      <c r="N51" s="62">
        <f t="shared" si="3"/>
        <v>323.6386005</v>
      </c>
    </row>
    <row r="52" spans="1:15" s="101" customFormat="1" ht="13.5" thickBot="1" x14ac:dyDescent="0.25">
      <c r="A52" s="90" t="s">
        <v>23</v>
      </c>
      <c r="B52" s="63">
        <f>SUM(C52:N52)</f>
        <v>5378.0683497931022</v>
      </c>
      <c r="C52" s="62">
        <f>SUM(C230)</f>
        <v>170.06466248275865</v>
      </c>
      <c r="D52" s="62">
        <f t="shared" si="3"/>
        <v>170.06466248275865</v>
      </c>
      <c r="E52" s="62">
        <f t="shared" si="3"/>
        <v>170.06466248275865</v>
      </c>
      <c r="F52" s="62">
        <f t="shared" si="3"/>
        <v>170.06466248275865</v>
      </c>
      <c r="G52" s="62">
        <f t="shared" si="3"/>
        <v>587.22621248275857</v>
      </c>
      <c r="H52" s="62">
        <f t="shared" si="3"/>
        <v>587.22621248275857</v>
      </c>
      <c r="I52" s="62">
        <f t="shared" si="3"/>
        <v>587.22621248275857</v>
      </c>
      <c r="J52" s="62">
        <f t="shared" si="3"/>
        <v>587.22621248275857</v>
      </c>
      <c r="K52" s="62">
        <f t="shared" si="3"/>
        <v>587.22621248275857</v>
      </c>
      <c r="L52" s="62">
        <f t="shared" si="3"/>
        <v>587.22621248275857</v>
      </c>
      <c r="M52" s="62">
        <f t="shared" si="3"/>
        <v>587.22621248275857</v>
      </c>
      <c r="N52" s="62">
        <f t="shared" si="3"/>
        <v>587.22621248275857</v>
      </c>
    </row>
    <row r="53" spans="1:15" x14ac:dyDescent="0.2">
      <c r="A53" s="64" t="s">
        <v>154</v>
      </c>
      <c r="B53" s="65">
        <f>SUM(B50:B52)</f>
        <v>50851.624805793093</v>
      </c>
      <c r="C53" s="65">
        <f t="shared" ref="C53:N53" si="4">SUM(C50:C52)</f>
        <v>3462.8381754827578</v>
      </c>
      <c r="D53" s="65">
        <f t="shared" si="4"/>
        <v>3462.8381754827578</v>
      </c>
      <c r="E53" s="65">
        <f t="shared" si="4"/>
        <v>3462.8381754827578</v>
      </c>
      <c r="F53" s="65">
        <f t="shared" si="4"/>
        <v>3462.8381754827578</v>
      </c>
      <c r="G53" s="65">
        <f t="shared" si="4"/>
        <v>4625.0340129827582</v>
      </c>
      <c r="H53" s="65">
        <f t="shared" si="4"/>
        <v>4625.0340129827582</v>
      </c>
      <c r="I53" s="65">
        <f t="shared" si="4"/>
        <v>4625.0340129827582</v>
      </c>
      <c r="J53" s="65">
        <f t="shared" si="4"/>
        <v>4625.0340129827582</v>
      </c>
      <c r="K53" s="65">
        <f t="shared" si="4"/>
        <v>4625.0340129827582</v>
      </c>
      <c r="L53" s="65">
        <f t="shared" si="4"/>
        <v>4625.0340129827582</v>
      </c>
      <c r="M53" s="65">
        <f t="shared" si="4"/>
        <v>4625.0340129827582</v>
      </c>
      <c r="N53" s="65">
        <f t="shared" si="4"/>
        <v>4625.0340129827582</v>
      </c>
      <c r="O53" s="140">
        <f>SUM(C231:N231)</f>
        <v>50851.624805793108</v>
      </c>
    </row>
    <row r="54" spans="1:15" x14ac:dyDescent="0.2">
      <c r="C54" s="60"/>
      <c r="D54" s="66"/>
      <c r="E54" s="66"/>
      <c r="F54" s="66"/>
      <c r="G54" s="66"/>
      <c r="H54" s="66"/>
      <c r="I54" s="66"/>
      <c r="J54" s="66"/>
      <c r="K54" s="66"/>
      <c r="L54" s="66"/>
      <c r="M54" s="66"/>
      <c r="N54" s="66"/>
    </row>
    <row r="55" spans="1:15" x14ac:dyDescent="0.2">
      <c r="C55" s="60"/>
      <c r="D55" s="66"/>
      <c r="E55" s="66"/>
      <c r="F55" s="66"/>
      <c r="G55" s="66"/>
      <c r="H55" s="66"/>
      <c r="I55" s="66"/>
      <c r="J55" s="66"/>
      <c r="K55" s="66"/>
      <c r="L55" s="66"/>
      <c r="M55" s="66"/>
      <c r="N55" s="66"/>
    </row>
    <row r="56" spans="1:15" x14ac:dyDescent="0.2">
      <c r="A56" s="58" t="s">
        <v>155</v>
      </c>
      <c r="C56" s="60"/>
      <c r="D56" s="66"/>
      <c r="E56" s="66"/>
      <c r="F56" s="66"/>
      <c r="G56" s="66"/>
      <c r="H56" s="66"/>
      <c r="I56" s="66"/>
      <c r="J56" s="66"/>
      <c r="K56" s="66"/>
      <c r="L56" s="66"/>
      <c r="M56" s="66"/>
      <c r="N56" s="66"/>
    </row>
    <row r="57" spans="1:15" x14ac:dyDescent="0.2">
      <c r="A57" s="61" t="str">
        <f>CMS!A57</f>
        <v>Training</v>
      </c>
      <c r="B57" s="63">
        <f>SUM(C57:N57)</f>
        <v>250.00000000000003</v>
      </c>
      <c r="C57" s="62">
        <f>SUM(250/12)</f>
        <v>20.833333333333332</v>
      </c>
      <c r="D57" s="62">
        <f t="shared" ref="D57:N57" si="5">SUM(250/12)</f>
        <v>20.833333333333332</v>
      </c>
      <c r="E57" s="62">
        <f t="shared" si="5"/>
        <v>20.833333333333332</v>
      </c>
      <c r="F57" s="62">
        <f t="shared" si="5"/>
        <v>20.833333333333332</v>
      </c>
      <c r="G57" s="62">
        <f t="shared" si="5"/>
        <v>20.833333333333332</v>
      </c>
      <c r="H57" s="62">
        <f t="shared" si="5"/>
        <v>20.833333333333332</v>
      </c>
      <c r="I57" s="62">
        <f t="shared" si="5"/>
        <v>20.833333333333332</v>
      </c>
      <c r="J57" s="62">
        <f t="shared" si="5"/>
        <v>20.833333333333332</v>
      </c>
      <c r="K57" s="62">
        <f t="shared" si="5"/>
        <v>20.833333333333332</v>
      </c>
      <c r="L57" s="62">
        <f t="shared" si="5"/>
        <v>20.833333333333332</v>
      </c>
      <c r="M57" s="62">
        <f t="shared" si="5"/>
        <v>20.833333333333332</v>
      </c>
      <c r="N57" s="62">
        <f t="shared" si="5"/>
        <v>20.833333333333332</v>
      </c>
    </row>
    <row r="58" spans="1:15" x14ac:dyDescent="0.2">
      <c r="A58" s="61" t="str">
        <f>CMS!A58</f>
        <v>Travel</v>
      </c>
      <c r="B58" s="63">
        <f>SUM(C58:N58)</f>
        <v>500.00000000000006</v>
      </c>
      <c r="C58" s="62">
        <f>SUM(500/12)</f>
        <v>41.666666666666664</v>
      </c>
      <c r="D58" s="62">
        <f t="shared" ref="D58:N58" si="6">SUM(500/12)</f>
        <v>41.666666666666664</v>
      </c>
      <c r="E58" s="62">
        <f t="shared" si="6"/>
        <v>41.666666666666664</v>
      </c>
      <c r="F58" s="62">
        <f t="shared" si="6"/>
        <v>41.666666666666664</v>
      </c>
      <c r="G58" s="62">
        <f t="shared" si="6"/>
        <v>41.666666666666664</v>
      </c>
      <c r="H58" s="62">
        <f t="shared" si="6"/>
        <v>41.666666666666664</v>
      </c>
      <c r="I58" s="62">
        <f t="shared" si="6"/>
        <v>41.666666666666664</v>
      </c>
      <c r="J58" s="62">
        <f t="shared" si="6"/>
        <v>41.666666666666664</v>
      </c>
      <c r="K58" s="62">
        <f t="shared" si="6"/>
        <v>41.666666666666664</v>
      </c>
      <c r="L58" s="62">
        <f t="shared" si="6"/>
        <v>41.666666666666664</v>
      </c>
      <c r="M58" s="62">
        <f t="shared" si="6"/>
        <v>41.666666666666664</v>
      </c>
      <c r="N58" s="62">
        <f t="shared" si="6"/>
        <v>41.666666666666664</v>
      </c>
    </row>
    <row r="59" spans="1:15" x14ac:dyDescent="0.2">
      <c r="A59" s="61" t="str">
        <f>CMS!A59</f>
        <v>Recognition</v>
      </c>
      <c r="B59" s="63">
        <f>SUM(C59:N59)</f>
        <v>0</v>
      </c>
      <c r="C59" s="62"/>
      <c r="D59" s="62"/>
      <c r="E59" s="62"/>
      <c r="F59" s="62"/>
      <c r="G59" s="62"/>
      <c r="H59" s="62"/>
      <c r="I59" s="62"/>
      <c r="J59" s="62"/>
      <c r="K59" s="62"/>
      <c r="L59" s="62"/>
      <c r="M59" s="62"/>
      <c r="N59" s="62"/>
    </row>
    <row r="60" spans="1:15" x14ac:dyDescent="0.2">
      <c r="A60" s="61" t="str">
        <f>CMS!A60</f>
        <v>Communications</v>
      </c>
      <c r="B60" s="63">
        <f t="shared" ref="B60:B82" si="7">SUM(C60:N60)</f>
        <v>480</v>
      </c>
      <c r="C60" s="62">
        <v>40</v>
      </c>
      <c r="D60" s="62">
        <v>40</v>
      </c>
      <c r="E60" s="62">
        <v>40</v>
      </c>
      <c r="F60" s="62">
        <v>40</v>
      </c>
      <c r="G60" s="62">
        <v>40</v>
      </c>
      <c r="H60" s="62">
        <v>40</v>
      </c>
      <c r="I60" s="62">
        <v>40</v>
      </c>
      <c r="J60" s="62">
        <v>40</v>
      </c>
      <c r="K60" s="62">
        <v>40</v>
      </c>
      <c r="L60" s="62">
        <v>40</v>
      </c>
      <c r="M60" s="62">
        <v>40</v>
      </c>
      <c r="N60" s="62">
        <v>40</v>
      </c>
    </row>
    <row r="61" spans="1:15" x14ac:dyDescent="0.2">
      <c r="A61" s="61" t="str">
        <f>CMS!A61</f>
        <v>Dues &amp; Subscriptions</v>
      </c>
      <c r="B61" s="63">
        <f t="shared" si="7"/>
        <v>0</v>
      </c>
      <c r="C61" s="63"/>
      <c r="D61" s="62"/>
      <c r="E61" s="62"/>
      <c r="F61" s="62"/>
      <c r="G61" s="62"/>
      <c r="H61" s="62"/>
      <c r="I61" s="62"/>
      <c r="J61" s="62"/>
      <c r="K61" s="62"/>
      <c r="L61" s="62"/>
      <c r="M61" s="62"/>
      <c r="N61" s="62"/>
    </row>
    <row r="62" spans="1:15" x14ac:dyDescent="0.2">
      <c r="A62" s="61" t="str">
        <f>CMS!A62</f>
        <v>Liability Insurance</v>
      </c>
      <c r="B62" s="63">
        <f t="shared" si="7"/>
        <v>890.97015455620124</v>
      </c>
      <c r="C62" s="62">
        <f>SUM('Data Links'!$B$5/'All Employees'!$I$65)/12*C102</f>
        <v>63.8300864269725</v>
      </c>
      <c r="D62" s="62">
        <f>SUM('Data Links'!$B$5/'All Employees'!$I$65)/12*D102</f>
        <v>63.8300864269725</v>
      </c>
      <c r="E62" s="62">
        <f>SUM('Data Links'!$B$5/'All Employees'!$I$65)/12*E102</f>
        <v>63.8300864269725</v>
      </c>
      <c r="F62" s="62">
        <f>SUM('Data Links'!$B$5/'All Employees'!$I$65)/12*F102</f>
        <v>63.8300864269725</v>
      </c>
      <c r="G62" s="62">
        <f>SUM('Data Links'!$B$5/'All Employees'!$I$65)/12*G102</f>
        <v>79.456226106038883</v>
      </c>
      <c r="H62" s="62">
        <f>SUM('Data Links'!$B$5/'All Employees'!$I$65)/12*H102</f>
        <v>79.456226106038883</v>
      </c>
      <c r="I62" s="62">
        <f>SUM('Data Links'!$B$5/'All Employees'!$I$65)/12*I102</f>
        <v>79.456226106038883</v>
      </c>
      <c r="J62" s="62">
        <f>SUM('Data Links'!$B$5/'All Employees'!$I$65)/12*J102</f>
        <v>79.456226106038883</v>
      </c>
      <c r="K62" s="62">
        <f>SUM('Data Links'!$B$5/'All Employees'!$I$65)/12*K102</f>
        <v>79.456226106038883</v>
      </c>
      <c r="L62" s="62">
        <f>SUM('Data Links'!$B$5/'All Employees'!$I$65)/12*L102</f>
        <v>79.456226106038883</v>
      </c>
      <c r="M62" s="62">
        <f>SUM('Data Links'!$B$5/'All Employees'!$I$65)/12*M102</f>
        <v>79.456226106038883</v>
      </c>
      <c r="N62" s="62">
        <f>SUM('Data Links'!$B$5/'All Employees'!$I$65)/12*N102</f>
        <v>79.456226106038883</v>
      </c>
    </row>
    <row r="63" spans="1:15" x14ac:dyDescent="0.2">
      <c r="A63" s="61" t="str">
        <f>CMS!A63</f>
        <v>Professional Services</v>
      </c>
      <c r="B63" s="63">
        <f t="shared" si="7"/>
        <v>0</v>
      </c>
      <c r="C63" s="63"/>
      <c r="D63" s="62"/>
      <c r="E63" s="62"/>
      <c r="F63" s="62"/>
      <c r="G63" s="62"/>
      <c r="H63" s="62"/>
      <c r="I63" s="62"/>
      <c r="J63" s="62"/>
      <c r="K63" s="62"/>
      <c r="L63" s="62"/>
      <c r="M63" s="62"/>
      <c r="N63" s="62"/>
    </row>
    <row r="64" spans="1:15" x14ac:dyDescent="0.2">
      <c r="A64" s="61" t="str">
        <f>CMS!A64</f>
        <v>Legal Fees</v>
      </c>
      <c r="B64" s="63">
        <f t="shared" si="7"/>
        <v>0</v>
      </c>
      <c r="C64" s="63"/>
      <c r="D64" s="62"/>
      <c r="E64" s="62"/>
      <c r="F64" s="62"/>
      <c r="G64" s="62"/>
      <c r="H64" s="62"/>
      <c r="I64" s="62"/>
      <c r="J64" s="62"/>
      <c r="K64" s="62"/>
      <c r="L64" s="62"/>
      <c r="M64" s="62"/>
      <c r="N64" s="62"/>
    </row>
    <row r="65" spans="1:15" x14ac:dyDescent="0.2">
      <c r="A65" s="61" t="str">
        <f>CMS!A65</f>
        <v>Technical Services</v>
      </c>
      <c r="B65" s="63">
        <f t="shared" si="7"/>
        <v>0</v>
      </c>
      <c r="C65" s="63"/>
      <c r="D65" s="62"/>
      <c r="E65" s="62"/>
      <c r="F65" s="62"/>
      <c r="G65" s="62"/>
      <c r="H65" s="62"/>
      <c r="I65" s="62"/>
      <c r="J65" s="62"/>
      <c r="K65" s="62"/>
      <c r="L65" s="62"/>
      <c r="M65" s="62"/>
      <c r="N65" s="62"/>
    </row>
    <row r="66" spans="1:15" x14ac:dyDescent="0.2">
      <c r="A66" s="61" t="str">
        <f>CMS!A66</f>
        <v>Taxes/Licenses &amp; Permits</v>
      </c>
      <c r="B66" s="63">
        <f t="shared" si="7"/>
        <v>0</v>
      </c>
      <c r="C66" s="63"/>
      <c r="D66" s="62"/>
      <c r="E66" s="62"/>
      <c r="F66" s="62"/>
      <c r="G66" s="62"/>
      <c r="H66" s="62"/>
      <c r="I66" s="62"/>
      <c r="J66" s="62"/>
      <c r="K66" s="62"/>
      <c r="L66" s="62"/>
      <c r="M66" s="62"/>
      <c r="N66" s="62"/>
    </row>
    <row r="67" spans="1:15" x14ac:dyDescent="0.2">
      <c r="A67" s="61" t="str">
        <f>CMS!A67</f>
        <v>Small Tools &amp; Equip</v>
      </c>
      <c r="B67" s="63">
        <f t="shared" si="7"/>
        <v>700.00000000000011</v>
      </c>
      <c r="C67" s="62">
        <v>58.333333333333336</v>
      </c>
      <c r="D67" s="62">
        <v>58.333333333333336</v>
      </c>
      <c r="E67" s="62">
        <v>58.333333333333336</v>
      </c>
      <c r="F67" s="62">
        <v>58.333333333333336</v>
      </c>
      <c r="G67" s="62">
        <v>58.333333333333336</v>
      </c>
      <c r="H67" s="62">
        <v>58.333333333333336</v>
      </c>
      <c r="I67" s="62">
        <v>58.333333333333336</v>
      </c>
      <c r="J67" s="62">
        <v>58.333333333333336</v>
      </c>
      <c r="K67" s="62">
        <v>58.333333333333336</v>
      </c>
      <c r="L67" s="62">
        <v>58.333333333333336</v>
      </c>
      <c r="M67" s="62">
        <v>58.333333333333336</v>
      </c>
      <c r="N67" s="62">
        <v>58.333333333333336</v>
      </c>
      <c r="O67" s="140">
        <f>SUM(C67:N67)</f>
        <v>700.00000000000011</v>
      </c>
    </row>
    <row r="68" spans="1:15" x14ac:dyDescent="0.2">
      <c r="A68" s="61" t="str">
        <f>CMS!A68</f>
        <v>Office Supplies</v>
      </c>
      <c r="B68" s="63">
        <f t="shared" si="7"/>
        <v>120</v>
      </c>
      <c r="C68" s="62">
        <v>10</v>
      </c>
      <c r="D68" s="62">
        <v>10</v>
      </c>
      <c r="E68" s="62">
        <v>10</v>
      </c>
      <c r="F68" s="62">
        <v>10</v>
      </c>
      <c r="G68" s="62">
        <v>10</v>
      </c>
      <c r="H68" s="62">
        <v>10</v>
      </c>
      <c r="I68" s="62">
        <v>10</v>
      </c>
      <c r="J68" s="62">
        <v>10</v>
      </c>
      <c r="K68" s="62">
        <v>10</v>
      </c>
      <c r="L68" s="62">
        <v>10</v>
      </c>
      <c r="M68" s="62">
        <v>10</v>
      </c>
      <c r="N68" s="62">
        <v>10</v>
      </c>
    </row>
    <row r="69" spans="1:15" x14ac:dyDescent="0.2">
      <c r="A69" s="61" t="str">
        <f>CMS!A69</f>
        <v>Program Supplies</v>
      </c>
      <c r="B69" s="63">
        <f t="shared" si="7"/>
        <v>1800</v>
      </c>
      <c r="C69" s="62">
        <v>150</v>
      </c>
      <c r="D69" s="62">
        <v>150</v>
      </c>
      <c r="E69" s="62">
        <v>150</v>
      </c>
      <c r="F69" s="62">
        <v>150</v>
      </c>
      <c r="G69" s="62">
        <v>150</v>
      </c>
      <c r="H69" s="62">
        <v>150</v>
      </c>
      <c r="I69" s="62">
        <v>150</v>
      </c>
      <c r="J69" s="62">
        <v>150</v>
      </c>
      <c r="K69" s="62">
        <v>150</v>
      </c>
      <c r="L69" s="62">
        <v>150</v>
      </c>
      <c r="M69" s="62">
        <v>150</v>
      </c>
      <c r="N69" s="62">
        <v>150</v>
      </c>
    </row>
    <row r="70" spans="1:15" x14ac:dyDescent="0.2">
      <c r="A70" s="61" t="str">
        <f>CMS!A70</f>
        <v>Advertising</v>
      </c>
      <c r="B70" s="63">
        <f t="shared" si="7"/>
        <v>0</v>
      </c>
      <c r="C70" s="63"/>
      <c r="D70" s="62"/>
      <c r="E70" s="62"/>
      <c r="F70" s="62"/>
      <c r="G70" s="62"/>
      <c r="H70" s="62"/>
      <c r="I70" s="62"/>
      <c r="J70" s="62"/>
      <c r="K70" s="62"/>
      <c r="L70" s="62"/>
      <c r="M70" s="62"/>
      <c r="N70" s="62"/>
    </row>
    <row r="71" spans="1:15" x14ac:dyDescent="0.2">
      <c r="A71" s="61" t="str">
        <f>CMS!A71</f>
        <v>Repairs &amp; Maintenance</v>
      </c>
      <c r="B71" s="63">
        <f t="shared" si="7"/>
        <v>700.00000000000011</v>
      </c>
      <c r="C71" s="62">
        <f>SUM(700/12)</f>
        <v>58.333333333333336</v>
      </c>
      <c r="D71" s="62">
        <f t="shared" ref="D71:N71" si="8">SUM(700/12)</f>
        <v>58.333333333333336</v>
      </c>
      <c r="E71" s="62">
        <f t="shared" si="8"/>
        <v>58.333333333333336</v>
      </c>
      <c r="F71" s="62">
        <f t="shared" si="8"/>
        <v>58.333333333333336</v>
      </c>
      <c r="G71" s="62">
        <f t="shared" si="8"/>
        <v>58.333333333333336</v>
      </c>
      <c r="H71" s="62">
        <f t="shared" si="8"/>
        <v>58.333333333333336</v>
      </c>
      <c r="I71" s="62">
        <f t="shared" si="8"/>
        <v>58.333333333333336</v>
      </c>
      <c r="J71" s="62">
        <f t="shared" si="8"/>
        <v>58.333333333333336</v>
      </c>
      <c r="K71" s="62">
        <f t="shared" si="8"/>
        <v>58.333333333333336</v>
      </c>
      <c r="L71" s="62">
        <f t="shared" si="8"/>
        <v>58.333333333333336</v>
      </c>
      <c r="M71" s="62">
        <f t="shared" si="8"/>
        <v>58.333333333333336</v>
      </c>
      <c r="N71" s="62">
        <f t="shared" si="8"/>
        <v>58.333333333333336</v>
      </c>
    </row>
    <row r="72" spans="1:15" x14ac:dyDescent="0.2">
      <c r="A72" s="61" t="str">
        <f>CMS!A72</f>
        <v>Client Expense</v>
      </c>
      <c r="B72" s="63">
        <f t="shared" si="7"/>
        <v>3600</v>
      </c>
      <c r="C72" s="62">
        <v>300</v>
      </c>
      <c r="D72" s="62">
        <v>300</v>
      </c>
      <c r="E72" s="62">
        <v>300</v>
      </c>
      <c r="F72" s="62">
        <v>300</v>
      </c>
      <c r="G72" s="62">
        <v>300</v>
      </c>
      <c r="H72" s="62">
        <v>300</v>
      </c>
      <c r="I72" s="62">
        <v>300</v>
      </c>
      <c r="J72" s="62">
        <v>300</v>
      </c>
      <c r="K72" s="62">
        <v>300</v>
      </c>
      <c r="L72" s="62">
        <v>300</v>
      </c>
      <c r="M72" s="62">
        <v>300</v>
      </c>
      <c r="N72" s="62">
        <v>300</v>
      </c>
    </row>
    <row r="73" spans="1:15" x14ac:dyDescent="0.2">
      <c r="A73" s="61" t="str">
        <f>CMS!A73</f>
        <v>Printing</v>
      </c>
      <c r="B73" s="63">
        <f t="shared" si="7"/>
        <v>0</v>
      </c>
      <c r="C73" s="63"/>
      <c r="D73" s="62"/>
      <c r="E73" s="62"/>
      <c r="F73" s="62"/>
      <c r="G73" s="62"/>
      <c r="H73" s="62"/>
      <c r="I73" s="62"/>
      <c r="J73" s="62"/>
      <c r="K73" s="62"/>
      <c r="L73" s="62"/>
      <c r="M73" s="62"/>
      <c r="N73" s="62"/>
    </row>
    <row r="74" spans="1:15" x14ac:dyDescent="0.2">
      <c r="A74" s="61" t="str">
        <f>CMS!A74</f>
        <v>Postage</v>
      </c>
      <c r="B74" s="63">
        <f t="shared" si="7"/>
        <v>24</v>
      </c>
      <c r="C74" s="62">
        <v>2</v>
      </c>
      <c r="D74" s="62">
        <v>2</v>
      </c>
      <c r="E74" s="62">
        <v>2</v>
      </c>
      <c r="F74" s="62">
        <v>2</v>
      </c>
      <c r="G74" s="62">
        <v>2</v>
      </c>
      <c r="H74" s="62">
        <v>2</v>
      </c>
      <c r="I74" s="62">
        <v>2</v>
      </c>
      <c r="J74" s="62">
        <v>2</v>
      </c>
      <c r="K74" s="62">
        <v>2</v>
      </c>
      <c r="L74" s="62">
        <v>2</v>
      </c>
      <c r="M74" s="62">
        <v>2</v>
      </c>
      <c r="N74" s="62">
        <v>2</v>
      </c>
    </row>
    <row r="75" spans="1:15" ht="15.75" customHeight="1" x14ac:dyDescent="0.2">
      <c r="A75" s="61" t="str">
        <f>CMS!A75</f>
        <v>Rent/Lease Expense</v>
      </c>
      <c r="B75" s="63">
        <f t="shared" si="7"/>
        <v>22380</v>
      </c>
      <c r="C75" s="62">
        <v>1865</v>
      </c>
      <c r="D75" s="62">
        <v>1865</v>
      </c>
      <c r="E75" s="62">
        <v>1865</v>
      </c>
      <c r="F75" s="62">
        <v>1865</v>
      </c>
      <c r="G75" s="62">
        <v>1865</v>
      </c>
      <c r="H75" s="62">
        <v>1865</v>
      </c>
      <c r="I75" s="62">
        <v>1865</v>
      </c>
      <c r="J75" s="62">
        <v>1865</v>
      </c>
      <c r="K75" s="62">
        <v>1865</v>
      </c>
      <c r="L75" s="62">
        <v>1865</v>
      </c>
      <c r="M75" s="62">
        <v>1865</v>
      </c>
      <c r="N75" s="62">
        <v>1865</v>
      </c>
    </row>
    <row r="76" spans="1:15" x14ac:dyDescent="0.2">
      <c r="A76" s="61" t="str">
        <f>CMS!A76</f>
        <v>Utilities</v>
      </c>
      <c r="B76" s="63">
        <f t="shared" si="7"/>
        <v>1620</v>
      </c>
      <c r="C76" s="62">
        <v>135</v>
      </c>
      <c r="D76" s="62">
        <v>135</v>
      </c>
      <c r="E76" s="62">
        <v>135</v>
      </c>
      <c r="F76" s="62">
        <v>135</v>
      </c>
      <c r="G76" s="62">
        <v>135</v>
      </c>
      <c r="H76" s="62">
        <v>135</v>
      </c>
      <c r="I76" s="62">
        <v>135</v>
      </c>
      <c r="J76" s="62">
        <v>135</v>
      </c>
      <c r="K76" s="62">
        <v>135</v>
      </c>
      <c r="L76" s="62">
        <v>135</v>
      </c>
      <c r="M76" s="62">
        <v>135</v>
      </c>
      <c r="N76" s="62">
        <v>135</v>
      </c>
    </row>
    <row r="77" spans="1:15" x14ac:dyDescent="0.2">
      <c r="A77" s="61" t="str">
        <f>CMS!A77</f>
        <v>Bank Fees/Late Fees</v>
      </c>
      <c r="B77" s="63">
        <f t="shared" si="7"/>
        <v>0</v>
      </c>
      <c r="C77" s="63"/>
      <c r="D77" s="62"/>
      <c r="E77" s="62"/>
      <c r="F77" s="62"/>
      <c r="G77" s="62"/>
      <c r="H77" s="62"/>
      <c r="I77" s="62"/>
      <c r="J77" s="62"/>
      <c r="K77" s="62"/>
      <c r="L77" s="62"/>
      <c r="M77" s="62"/>
      <c r="N77" s="62"/>
    </row>
    <row r="78" spans="1:15" x14ac:dyDescent="0.2">
      <c r="A78" s="61" t="str">
        <f>CMS!A78</f>
        <v>Bad Debt Expense</v>
      </c>
      <c r="B78" s="63">
        <f t="shared" si="7"/>
        <v>0</v>
      </c>
      <c r="C78" s="62"/>
      <c r="D78" s="62"/>
      <c r="E78" s="62"/>
      <c r="F78" s="62"/>
      <c r="G78" s="62"/>
      <c r="H78" s="62"/>
      <c r="I78" s="62"/>
      <c r="J78" s="62"/>
      <c r="K78" s="62"/>
      <c r="L78" s="62"/>
      <c r="M78" s="62"/>
      <c r="N78" s="62"/>
    </row>
    <row r="79" spans="1:15" x14ac:dyDescent="0.2">
      <c r="A79" s="61" t="str">
        <f>CMS!A79</f>
        <v>Interest Expense</v>
      </c>
      <c r="B79" s="63">
        <f t="shared" si="7"/>
        <v>0</v>
      </c>
      <c r="C79" s="62"/>
      <c r="D79" s="62"/>
      <c r="E79" s="62"/>
      <c r="F79" s="62"/>
      <c r="G79" s="62"/>
      <c r="H79" s="62"/>
      <c r="I79" s="62"/>
      <c r="J79" s="62"/>
      <c r="K79" s="62"/>
      <c r="L79" s="62"/>
      <c r="M79" s="62"/>
      <c r="N79" s="62"/>
    </row>
    <row r="80" spans="1:15" x14ac:dyDescent="0.2">
      <c r="A80" s="61" t="str">
        <f>CMS!A80</f>
        <v>Meeting Expense</v>
      </c>
      <c r="B80" s="63">
        <f t="shared" si="7"/>
        <v>0</v>
      </c>
      <c r="C80" s="63"/>
      <c r="D80" s="62"/>
      <c r="E80" s="62"/>
      <c r="F80" s="62"/>
      <c r="G80" s="62"/>
      <c r="H80" s="62"/>
      <c r="I80" s="62"/>
      <c r="J80" s="62"/>
      <c r="K80" s="62"/>
      <c r="L80" s="62"/>
      <c r="M80" s="62"/>
      <c r="N80" s="62"/>
    </row>
    <row r="81" spans="1:15" x14ac:dyDescent="0.2">
      <c r="A81" s="61" t="str">
        <f>CMS!A81</f>
        <v>In Kind Expense</v>
      </c>
      <c r="B81" s="63">
        <f t="shared" si="7"/>
        <v>0</v>
      </c>
      <c r="C81" s="63"/>
      <c r="D81" s="62"/>
      <c r="E81" s="62"/>
      <c r="F81" s="62"/>
      <c r="G81" s="62"/>
      <c r="H81" s="62"/>
      <c r="I81" s="62"/>
      <c r="J81" s="62"/>
      <c r="K81" s="62"/>
      <c r="L81" s="62"/>
      <c r="M81" s="62"/>
      <c r="N81" s="62"/>
    </row>
    <row r="82" spans="1:15" s="101" customFormat="1" ht="13.5" thickBot="1" x14ac:dyDescent="0.25">
      <c r="A82" s="61" t="str">
        <f>CMS!A82</f>
        <v>Misc Expense</v>
      </c>
      <c r="B82" s="63">
        <f t="shared" si="7"/>
        <v>0</v>
      </c>
      <c r="C82" s="63"/>
      <c r="D82" s="93"/>
      <c r="E82" s="93"/>
      <c r="F82" s="93"/>
      <c r="G82" s="93"/>
      <c r="H82" s="93"/>
      <c r="I82" s="93"/>
      <c r="J82" s="93"/>
      <c r="K82" s="93"/>
      <c r="L82" s="93"/>
      <c r="M82" s="93"/>
      <c r="N82" s="93"/>
    </row>
    <row r="83" spans="1:15" x14ac:dyDescent="0.2">
      <c r="A83" s="64" t="s">
        <v>24</v>
      </c>
      <c r="B83" s="65">
        <f>SUM(B57:B82)</f>
        <v>33064.970154556198</v>
      </c>
      <c r="C83" s="65">
        <f t="shared" ref="C83:N83" si="9">SUM(C57:C82)</f>
        <v>2744.9967530936392</v>
      </c>
      <c r="D83" s="65">
        <f t="shared" si="9"/>
        <v>2744.9967530936392</v>
      </c>
      <c r="E83" s="65">
        <f t="shared" si="9"/>
        <v>2744.9967530936392</v>
      </c>
      <c r="F83" s="65">
        <f t="shared" si="9"/>
        <v>2744.9967530936392</v>
      </c>
      <c r="G83" s="65">
        <f t="shared" si="9"/>
        <v>2760.6228927727057</v>
      </c>
      <c r="H83" s="65">
        <f t="shared" si="9"/>
        <v>2760.6228927727057</v>
      </c>
      <c r="I83" s="65">
        <f t="shared" si="9"/>
        <v>2760.6228927727057</v>
      </c>
      <c r="J83" s="65">
        <f t="shared" si="9"/>
        <v>2760.6228927727057</v>
      </c>
      <c r="K83" s="65">
        <f t="shared" si="9"/>
        <v>2760.6228927727057</v>
      </c>
      <c r="L83" s="65">
        <f t="shared" si="9"/>
        <v>2760.6228927727057</v>
      </c>
      <c r="M83" s="65">
        <f t="shared" si="9"/>
        <v>2760.6228927727057</v>
      </c>
      <c r="N83" s="65">
        <f t="shared" si="9"/>
        <v>2760.6228927727057</v>
      </c>
    </row>
    <row r="84" spans="1:15" x14ac:dyDescent="0.2">
      <c r="C84" s="60"/>
      <c r="D84" s="66"/>
      <c r="E84" s="66"/>
      <c r="F84" s="66"/>
      <c r="G84" s="66"/>
      <c r="H84" s="66"/>
      <c r="I84" s="66"/>
      <c r="J84" s="66"/>
      <c r="K84" s="66"/>
      <c r="L84" s="66"/>
      <c r="M84" s="66"/>
      <c r="N84" s="66"/>
    </row>
    <row r="85" spans="1:15" x14ac:dyDescent="0.2">
      <c r="A85" s="28"/>
      <c r="B85" s="86"/>
      <c r="C85" s="86"/>
      <c r="D85" s="86"/>
      <c r="E85" s="86"/>
      <c r="F85" s="86"/>
      <c r="G85" s="86"/>
      <c r="H85" s="86"/>
      <c r="I85" s="86"/>
      <c r="J85" s="86"/>
      <c r="K85" s="86"/>
      <c r="L85" s="86"/>
      <c r="M85" s="86"/>
      <c r="N85" s="86"/>
    </row>
    <row r="86" spans="1:15" x14ac:dyDescent="0.2">
      <c r="A86" s="58" t="s">
        <v>25</v>
      </c>
      <c r="C86" s="60"/>
      <c r="D86" s="66"/>
      <c r="E86" s="66"/>
      <c r="F86" s="66"/>
      <c r="G86" s="66"/>
      <c r="H86" s="66"/>
      <c r="I86" s="66"/>
      <c r="J86" s="66"/>
      <c r="K86" s="66"/>
      <c r="L86" s="66"/>
      <c r="M86" s="66"/>
      <c r="N86" s="66"/>
    </row>
    <row r="87" spans="1:15" x14ac:dyDescent="0.2">
      <c r="A87" s="61" t="s">
        <v>329</v>
      </c>
      <c r="B87" s="63">
        <f>SUM(C87:N87)</f>
        <v>-3678.4243555733092</v>
      </c>
      <c r="C87" s="62">
        <f>SUM('CMS &amp; Fundraising Allocations'!B53)</f>
        <v>-592.19494056084318</v>
      </c>
      <c r="D87" s="62">
        <f>SUM('CMS &amp; Fundraising Allocations'!C53)</f>
        <v>-1020.8580316983202</v>
      </c>
      <c r="E87" s="62">
        <f>SUM('CMS &amp; Fundraising Allocations'!D53)</f>
        <v>-1529.5270591680057</v>
      </c>
      <c r="F87" s="62">
        <f>SUM('CMS &amp; Fundraising Allocations'!E53)</f>
        <v>-1021.9754330437422</v>
      </c>
      <c r="G87" s="62">
        <f>SUM('CMS &amp; Fundraising Allocations'!F53)</f>
        <v>-970.5470361206992</v>
      </c>
      <c r="H87" s="62">
        <f>SUM('CMS &amp; Fundraising Allocations'!G53)</f>
        <v>-1160.533199876058</v>
      </c>
      <c r="I87" s="62">
        <f>SUM('CMS &amp; Fundraising Allocations'!H53)</f>
        <v>-331.88100402661297</v>
      </c>
      <c r="J87" s="62">
        <f>SUM('CMS &amp; Fundraising Allocations'!I53)</f>
        <v>-1218.6119809588686</v>
      </c>
      <c r="K87" s="62">
        <f>SUM('CMS &amp; Fundraising Allocations'!J53)</f>
        <v>-1246.9178246930981</v>
      </c>
      <c r="L87" s="62">
        <f>SUM('CMS &amp; Fundraising Allocations'!K53)</f>
        <v>-1100.0334463965553</v>
      </c>
      <c r="M87" s="62">
        <f>SUM('CMS &amp; Fundraising Allocations'!L53)</f>
        <v>1066.6154547688579</v>
      </c>
      <c r="N87" s="62">
        <f>SUM('CMS &amp; Fundraising Allocations'!M53)</f>
        <v>5448.0401462006366</v>
      </c>
      <c r="O87" s="140">
        <f>SUM(C87:N88)</f>
        <v>-3678.4243555733092</v>
      </c>
    </row>
    <row r="88" spans="1:15" x14ac:dyDescent="0.2">
      <c r="A88" s="61" t="s">
        <v>330</v>
      </c>
      <c r="B88" s="63">
        <f>SUM(C88:N88)</f>
        <v>0</v>
      </c>
      <c r="C88" s="63"/>
      <c r="D88" s="62"/>
      <c r="E88" s="62"/>
      <c r="F88" s="62"/>
      <c r="G88" s="62"/>
      <c r="H88" s="62"/>
      <c r="I88" s="62"/>
      <c r="J88" s="62"/>
      <c r="K88" s="62"/>
      <c r="L88" s="62"/>
      <c r="M88" s="62"/>
      <c r="N88" s="62"/>
    </row>
    <row r="89" spans="1:15" ht="13.5" thickBot="1" x14ac:dyDescent="0.25">
      <c r="A89" s="61"/>
      <c r="B89" s="63">
        <f>SUM(C89:N89)</f>
        <v>0</v>
      </c>
      <c r="C89" s="63"/>
      <c r="D89" s="62"/>
      <c r="E89" s="62"/>
      <c r="F89" s="62"/>
      <c r="G89" s="62"/>
      <c r="H89" s="62"/>
      <c r="I89" s="62"/>
      <c r="J89" s="62"/>
      <c r="K89" s="62"/>
      <c r="L89" s="62"/>
      <c r="M89" s="62"/>
      <c r="N89" s="62"/>
    </row>
    <row r="90" spans="1:15" x14ac:dyDescent="0.2">
      <c r="A90" s="64" t="s">
        <v>26</v>
      </c>
      <c r="B90" s="65">
        <f t="shared" ref="B90:N90" si="10">SUM(B87:B89)</f>
        <v>-3678.4243555733092</v>
      </c>
      <c r="C90" s="65">
        <f t="shared" si="10"/>
        <v>-592.19494056084318</v>
      </c>
      <c r="D90" s="65">
        <f t="shared" si="10"/>
        <v>-1020.8580316983202</v>
      </c>
      <c r="E90" s="65">
        <f t="shared" si="10"/>
        <v>-1529.5270591680057</v>
      </c>
      <c r="F90" s="65">
        <f t="shared" si="10"/>
        <v>-1021.9754330437422</v>
      </c>
      <c r="G90" s="65">
        <f t="shared" si="10"/>
        <v>-970.5470361206992</v>
      </c>
      <c r="H90" s="65">
        <f t="shared" si="10"/>
        <v>-1160.533199876058</v>
      </c>
      <c r="I90" s="65">
        <f t="shared" si="10"/>
        <v>-331.88100402661297</v>
      </c>
      <c r="J90" s="65">
        <f t="shared" si="10"/>
        <v>-1218.6119809588686</v>
      </c>
      <c r="K90" s="65">
        <f t="shared" si="10"/>
        <v>-1246.9178246930981</v>
      </c>
      <c r="L90" s="65">
        <f t="shared" si="10"/>
        <v>-1100.0334463965553</v>
      </c>
      <c r="M90" s="65">
        <f t="shared" si="10"/>
        <v>1066.6154547688579</v>
      </c>
      <c r="N90" s="65">
        <f t="shared" si="10"/>
        <v>5448.0401462006366</v>
      </c>
    </row>
    <row r="91" spans="1:15" x14ac:dyDescent="0.2">
      <c r="C91" s="60"/>
      <c r="D91" s="66"/>
      <c r="E91" s="66"/>
      <c r="F91" s="66"/>
      <c r="G91" s="66"/>
      <c r="H91" s="66"/>
      <c r="I91" s="66"/>
      <c r="J91" s="66"/>
      <c r="K91" s="66"/>
      <c r="L91" s="66"/>
      <c r="M91" s="66"/>
      <c r="N91" s="66"/>
    </row>
    <row r="92" spans="1:15" x14ac:dyDescent="0.2">
      <c r="A92" s="265" t="s">
        <v>405</v>
      </c>
      <c r="B92" s="266"/>
      <c r="C92" s="266">
        <f>SUM(C46-C53-C83-C90)</f>
        <v>1679.6497342066689</v>
      </c>
      <c r="D92" s="266">
        <f t="shared" ref="D92:N92" si="11">SUM(D46-D53-D83-D90)</f>
        <v>2108.3128253441459</v>
      </c>
      <c r="E92" s="266">
        <f t="shared" si="11"/>
        <v>2616.9818528138312</v>
      </c>
      <c r="F92" s="266">
        <f t="shared" si="11"/>
        <v>2109.4302266895679</v>
      </c>
      <c r="G92" s="266">
        <f t="shared" si="11"/>
        <v>880.17985258745807</v>
      </c>
      <c r="H92" s="266">
        <f t="shared" si="11"/>
        <v>1070.1660163428169</v>
      </c>
      <c r="I92" s="266">
        <f t="shared" si="11"/>
        <v>241.51382049337184</v>
      </c>
      <c r="J92" s="266">
        <f t="shared" si="11"/>
        <v>1128.2447974256274</v>
      </c>
      <c r="K92" s="266">
        <f t="shared" si="11"/>
        <v>1156.5506411598569</v>
      </c>
      <c r="L92" s="266">
        <f t="shared" si="11"/>
        <v>1009.6662628633142</v>
      </c>
      <c r="M92" s="266">
        <f t="shared" si="11"/>
        <v>-1156.9826383020991</v>
      </c>
      <c r="N92" s="267">
        <f t="shared" si="11"/>
        <v>-5538.4073297338782</v>
      </c>
    </row>
    <row r="93" spans="1:15" x14ac:dyDescent="0.2">
      <c r="C93" s="60"/>
      <c r="D93" s="66"/>
      <c r="E93" s="66"/>
      <c r="F93" s="66"/>
      <c r="G93" s="66"/>
      <c r="H93" s="66"/>
      <c r="I93" s="66"/>
      <c r="J93" s="66"/>
      <c r="K93" s="66"/>
      <c r="L93" s="66"/>
      <c r="M93" s="66"/>
      <c r="N93" s="66"/>
    </row>
    <row r="94" spans="1:15" x14ac:dyDescent="0.2">
      <c r="B94" s="86" t="str">
        <f>B5</f>
        <v>Total</v>
      </c>
      <c r="C94" s="86"/>
      <c r="D94" s="66"/>
      <c r="E94" s="66"/>
      <c r="F94" s="66"/>
      <c r="G94" s="66"/>
      <c r="H94" s="66"/>
      <c r="I94" s="66"/>
      <c r="J94" s="66"/>
      <c r="K94" s="66"/>
      <c r="L94" s="66"/>
      <c r="M94" s="66"/>
      <c r="N94" s="66"/>
    </row>
    <row r="95" spans="1:15" x14ac:dyDescent="0.2">
      <c r="A95" s="58" t="s">
        <v>31</v>
      </c>
      <c r="B95" s="60">
        <f>SUM(B46)</f>
        <v>87543.476666666669</v>
      </c>
      <c r="C95" s="81"/>
      <c r="D95" s="66"/>
      <c r="E95" s="66"/>
      <c r="F95" s="66"/>
      <c r="G95" s="66"/>
      <c r="H95" s="66"/>
      <c r="I95" s="66"/>
      <c r="J95" s="66"/>
      <c r="K95" s="66"/>
      <c r="L95" s="66"/>
      <c r="M95" s="66"/>
      <c r="N95" s="66"/>
    </row>
    <row r="96" spans="1:15" x14ac:dyDescent="0.2">
      <c r="A96" s="58" t="s">
        <v>32</v>
      </c>
      <c r="B96" s="60">
        <f>-B53</f>
        <v>-50851.624805793093</v>
      </c>
      <c r="C96" s="81"/>
      <c r="D96" s="66"/>
      <c r="E96" s="66"/>
      <c r="F96" s="66"/>
      <c r="G96" s="66"/>
      <c r="H96" s="66"/>
      <c r="I96" s="66"/>
      <c r="J96" s="66"/>
      <c r="K96" s="66"/>
      <c r="L96" s="66"/>
      <c r="M96" s="66"/>
      <c r="N96" s="66"/>
    </row>
    <row r="97" spans="1:14" x14ac:dyDescent="0.2">
      <c r="A97" s="58" t="s">
        <v>33</v>
      </c>
      <c r="B97" s="60">
        <f>SUM(-B83)</f>
        <v>-33064.970154556198</v>
      </c>
      <c r="C97" s="81"/>
      <c r="D97" s="66"/>
      <c r="E97" s="66"/>
      <c r="F97" s="66"/>
      <c r="G97" s="66"/>
      <c r="H97" s="66"/>
      <c r="I97" s="66"/>
      <c r="J97" s="66"/>
      <c r="K97" s="66"/>
      <c r="L97" s="66"/>
      <c r="M97" s="66"/>
      <c r="N97" s="66"/>
    </row>
    <row r="98" spans="1:14" x14ac:dyDescent="0.2">
      <c r="A98" s="58" t="s">
        <v>182</v>
      </c>
      <c r="B98" s="60">
        <f>SUM(B90)</f>
        <v>-3678.4243555733092</v>
      </c>
      <c r="C98" s="81"/>
      <c r="D98" s="66"/>
      <c r="E98" s="66"/>
      <c r="F98" s="66"/>
      <c r="G98" s="66"/>
      <c r="H98" s="66"/>
      <c r="I98" s="66"/>
      <c r="J98" s="66"/>
      <c r="K98" s="66"/>
      <c r="L98" s="66"/>
      <c r="M98" s="66"/>
      <c r="N98" s="66"/>
    </row>
    <row r="99" spans="1:14" x14ac:dyDescent="0.2">
      <c r="A99" s="87" t="s">
        <v>35</v>
      </c>
      <c r="B99" s="88">
        <f>SUM(B95:B98)</f>
        <v>-51.542649255931792</v>
      </c>
      <c r="C99" s="81"/>
      <c r="D99" s="66"/>
      <c r="E99" s="73"/>
      <c r="F99" s="66"/>
      <c r="G99" s="81"/>
      <c r="H99" s="81"/>
      <c r="I99" s="66"/>
      <c r="J99" s="66"/>
      <c r="K99" s="66"/>
      <c r="L99" s="66"/>
      <c r="M99" s="66"/>
      <c r="N99" s="66"/>
    </row>
    <row r="100" spans="1:14" x14ac:dyDescent="0.2">
      <c r="C100" s="81"/>
      <c r="D100" s="66"/>
      <c r="E100" s="66"/>
      <c r="F100" s="66"/>
      <c r="G100" s="66"/>
      <c r="H100" s="66"/>
      <c r="I100" s="66"/>
      <c r="J100" s="66"/>
      <c r="K100" s="66"/>
      <c r="L100" s="66"/>
      <c r="M100" s="66"/>
      <c r="N100" s="66"/>
    </row>
    <row r="101" spans="1:14" x14ac:dyDescent="0.2">
      <c r="C101" s="60"/>
      <c r="D101" s="66"/>
      <c r="E101" s="66"/>
      <c r="F101" s="66"/>
      <c r="G101" s="66"/>
      <c r="H101" s="66"/>
      <c r="I101" s="66"/>
      <c r="J101" s="66"/>
      <c r="K101" s="66"/>
      <c r="L101" s="66"/>
      <c r="M101" s="66"/>
      <c r="N101" s="66"/>
    </row>
    <row r="102" spans="1:14" x14ac:dyDescent="0.2">
      <c r="A102" s="58"/>
      <c r="B102" s="60" t="s">
        <v>183</v>
      </c>
      <c r="C102" s="75">
        <f>SUM(C108+C121+C134+C147+C160+C173+C186+C199+C212)</f>
        <v>1.021206896551724</v>
      </c>
      <c r="D102" s="75">
        <f t="shared" ref="D102:N102" si="12">SUM(D108+D121+D134+D147+D160+D173+D186+D199+D212)</f>
        <v>1.021206896551724</v>
      </c>
      <c r="E102" s="75">
        <f t="shared" si="12"/>
        <v>1.021206896551724</v>
      </c>
      <c r="F102" s="75">
        <f t="shared" si="12"/>
        <v>1.021206896551724</v>
      </c>
      <c r="G102" s="75">
        <f t="shared" si="12"/>
        <v>1.271206896551724</v>
      </c>
      <c r="H102" s="75">
        <f t="shared" si="12"/>
        <v>1.271206896551724</v>
      </c>
      <c r="I102" s="75">
        <f t="shared" si="12"/>
        <v>1.271206896551724</v>
      </c>
      <c r="J102" s="75">
        <f t="shared" si="12"/>
        <v>1.271206896551724</v>
      </c>
      <c r="K102" s="75">
        <f t="shared" si="12"/>
        <v>1.271206896551724</v>
      </c>
      <c r="L102" s="75">
        <f t="shared" si="12"/>
        <v>1.271206896551724</v>
      </c>
      <c r="M102" s="75">
        <f t="shared" si="12"/>
        <v>1.271206896551724</v>
      </c>
      <c r="N102" s="75">
        <f t="shared" si="12"/>
        <v>1.271206896551724</v>
      </c>
    </row>
    <row r="103" spans="1:14" x14ac:dyDescent="0.2">
      <c r="A103" s="58"/>
      <c r="C103" s="73"/>
      <c r="D103" s="66"/>
      <c r="E103" s="66"/>
      <c r="F103" s="66"/>
      <c r="G103" s="66"/>
      <c r="H103" s="66"/>
      <c r="I103" s="66"/>
      <c r="J103" s="66"/>
      <c r="K103" s="66"/>
      <c r="L103" s="66"/>
      <c r="M103" s="66"/>
    </row>
    <row r="104" spans="1:14" x14ac:dyDescent="0.2">
      <c r="A104" s="116" t="s">
        <v>184</v>
      </c>
      <c r="B104" s="92"/>
      <c r="C104" s="25"/>
      <c r="D104" s="91"/>
      <c r="E104" s="91"/>
      <c r="F104" s="91"/>
      <c r="G104" s="91"/>
      <c r="H104" s="91"/>
      <c r="I104" s="91"/>
      <c r="J104" s="91"/>
      <c r="K104" s="91"/>
      <c r="L104" s="91"/>
      <c r="M104" s="91"/>
      <c r="N104" s="27"/>
    </row>
    <row r="105" spans="1:14" x14ac:dyDescent="0.2">
      <c r="C105" s="89" t="str">
        <f t="shared" ref="C105:N105" si="13">C5</f>
        <v>January</v>
      </c>
      <c r="D105" s="89" t="str">
        <f t="shared" si="13"/>
        <v>February</v>
      </c>
      <c r="E105" s="89" t="str">
        <f t="shared" si="13"/>
        <v>March</v>
      </c>
      <c r="F105" s="89" t="str">
        <f t="shared" si="13"/>
        <v>April</v>
      </c>
      <c r="G105" s="89" t="str">
        <f t="shared" si="13"/>
        <v>May</v>
      </c>
      <c r="H105" s="89" t="str">
        <f t="shared" si="13"/>
        <v>June</v>
      </c>
      <c r="I105" s="89" t="str">
        <f t="shared" si="13"/>
        <v>July</v>
      </c>
      <c r="J105" s="89" t="str">
        <f t="shared" si="13"/>
        <v>August</v>
      </c>
      <c r="K105" s="89" t="str">
        <f t="shared" si="13"/>
        <v>September</v>
      </c>
      <c r="L105" s="89" t="str">
        <f t="shared" si="13"/>
        <v>October</v>
      </c>
      <c r="M105" s="89" t="str">
        <f t="shared" si="13"/>
        <v>November</v>
      </c>
      <c r="N105" s="89" t="str">
        <f t="shared" si="13"/>
        <v>December</v>
      </c>
    </row>
    <row r="106" spans="1:14" x14ac:dyDescent="0.2">
      <c r="C106" s="72">
        <v>30</v>
      </c>
      <c r="D106" s="72">
        <v>31</v>
      </c>
      <c r="E106" s="72">
        <v>30</v>
      </c>
      <c r="F106" s="72">
        <v>31</v>
      </c>
      <c r="G106" s="72">
        <v>31</v>
      </c>
      <c r="H106" s="72">
        <v>30</v>
      </c>
      <c r="I106" s="72">
        <v>31</v>
      </c>
      <c r="J106" s="72">
        <v>30</v>
      </c>
      <c r="K106" s="72">
        <v>31</v>
      </c>
      <c r="L106" s="72">
        <v>31</v>
      </c>
      <c r="M106" s="72">
        <v>28</v>
      </c>
      <c r="N106" s="71">
        <v>31</v>
      </c>
    </row>
    <row r="107" spans="1:14" x14ac:dyDescent="0.2">
      <c r="B107" s="89" t="s">
        <v>185</v>
      </c>
      <c r="C107" s="78">
        <f>C94</f>
        <v>0</v>
      </c>
      <c r="D107" s="53">
        <v>1</v>
      </c>
      <c r="E107" s="53"/>
      <c r="F107" s="53">
        <v>1</v>
      </c>
      <c r="G107" s="53"/>
      <c r="H107" s="53">
        <v>1</v>
      </c>
      <c r="I107" s="53">
        <v>1</v>
      </c>
      <c r="J107" s="53">
        <v>1</v>
      </c>
      <c r="K107" s="53">
        <v>1</v>
      </c>
      <c r="L107" s="53">
        <v>2</v>
      </c>
      <c r="M107" s="53">
        <v>1</v>
      </c>
      <c r="N107" s="59"/>
    </row>
    <row r="108" spans="1:14" x14ac:dyDescent="0.2">
      <c r="B108" s="89" t="s">
        <v>44</v>
      </c>
      <c r="C108" s="49">
        <f>SUM('Program Support Allocations'!$C$5)</f>
        <v>7.3735632183908051E-2</v>
      </c>
      <c r="D108" s="49">
        <f>SUM('Program Support Allocations'!$C$5)</f>
        <v>7.3735632183908051E-2</v>
      </c>
      <c r="E108" s="49">
        <f>SUM('Program Support Allocations'!$C$5)</f>
        <v>7.3735632183908051E-2</v>
      </c>
      <c r="F108" s="49">
        <f>SUM('Program Support Allocations'!$C$5)</f>
        <v>7.3735632183908051E-2</v>
      </c>
      <c r="G108" s="49">
        <f>SUM('Program Support Allocations'!$C$5)</f>
        <v>7.3735632183908051E-2</v>
      </c>
      <c r="H108" s="49">
        <f>SUM('Program Support Allocations'!$C$5)</f>
        <v>7.3735632183908051E-2</v>
      </c>
      <c r="I108" s="49">
        <f>SUM('Program Support Allocations'!$C$5)</f>
        <v>7.3735632183908051E-2</v>
      </c>
      <c r="J108" s="49">
        <f>SUM('Program Support Allocations'!$C$5)</f>
        <v>7.3735632183908051E-2</v>
      </c>
      <c r="K108" s="49">
        <f>SUM('Program Support Allocations'!$C$5)</f>
        <v>7.3735632183908051E-2</v>
      </c>
      <c r="L108" s="49">
        <f>SUM('Program Support Allocations'!$C$5)</f>
        <v>7.3735632183908051E-2</v>
      </c>
      <c r="M108" s="49">
        <f>SUM('Program Support Allocations'!$C$5)</f>
        <v>7.3735632183908051E-2</v>
      </c>
      <c r="N108" s="49">
        <f>SUM('Program Support Allocations'!$C$5)</f>
        <v>7.3735632183908051E-2</v>
      </c>
    </row>
    <row r="109" spans="1:14" x14ac:dyDescent="0.2">
      <c r="B109" s="89" t="s">
        <v>186</v>
      </c>
      <c r="C109" s="53">
        <f>SUM(174*C108)</f>
        <v>12.83</v>
      </c>
      <c r="D109" s="53">
        <f t="shared" ref="D109:N109" si="14">SUM(174*D108)</f>
        <v>12.83</v>
      </c>
      <c r="E109" s="53">
        <f t="shared" si="14"/>
        <v>12.83</v>
      </c>
      <c r="F109" s="53">
        <f t="shared" si="14"/>
        <v>12.83</v>
      </c>
      <c r="G109" s="53">
        <f t="shared" si="14"/>
        <v>12.83</v>
      </c>
      <c r="H109" s="53">
        <f t="shared" si="14"/>
        <v>12.83</v>
      </c>
      <c r="I109" s="53">
        <f t="shared" si="14"/>
        <v>12.83</v>
      </c>
      <c r="J109" s="53">
        <f t="shared" si="14"/>
        <v>12.83</v>
      </c>
      <c r="K109" s="53">
        <f t="shared" si="14"/>
        <v>12.83</v>
      </c>
      <c r="L109" s="53">
        <f t="shared" si="14"/>
        <v>12.83</v>
      </c>
      <c r="M109" s="53">
        <f t="shared" si="14"/>
        <v>12.83</v>
      </c>
      <c r="N109" s="53">
        <f t="shared" si="14"/>
        <v>12.83</v>
      </c>
    </row>
    <row r="110" spans="1:14" x14ac:dyDescent="0.2">
      <c r="A110" s="59" t="s">
        <v>349</v>
      </c>
      <c r="B110" s="78" t="s">
        <v>348</v>
      </c>
      <c r="C110" s="66">
        <f>SUM(C109*$B$111)</f>
        <v>202.07249999999999</v>
      </c>
      <c r="D110" s="66">
        <f t="shared" ref="D110:N110" si="15">SUM(D109*$B$111)</f>
        <v>202.07249999999999</v>
      </c>
      <c r="E110" s="66">
        <f t="shared" si="15"/>
        <v>202.07249999999999</v>
      </c>
      <c r="F110" s="66">
        <f t="shared" si="15"/>
        <v>202.07249999999999</v>
      </c>
      <c r="G110" s="66">
        <f t="shared" si="15"/>
        <v>202.07249999999999</v>
      </c>
      <c r="H110" s="66">
        <f t="shared" si="15"/>
        <v>202.07249999999999</v>
      </c>
      <c r="I110" s="66">
        <f t="shared" si="15"/>
        <v>202.07249999999999</v>
      </c>
      <c r="J110" s="66">
        <f t="shared" si="15"/>
        <v>202.07249999999999</v>
      </c>
      <c r="K110" s="66">
        <f t="shared" si="15"/>
        <v>202.07249999999999</v>
      </c>
      <c r="L110" s="66">
        <f t="shared" si="15"/>
        <v>202.07249999999999</v>
      </c>
      <c r="M110" s="66">
        <f t="shared" si="15"/>
        <v>202.07249999999999</v>
      </c>
      <c r="N110" s="66">
        <f t="shared" si="15"/>
        <v>202.07249999999999</v>
      </c>
    </row>
    <row r="111" spans="1:14" x14ac:dyDescent="0.2">
      <c r="A111" s="59" t="s">
        <v>188</v>
      </c>
      <c r="B111" s="74">
        <v>15.75</v>
      </c>
      <c r="C111" s="66">
        <f>SUM(C110)*'Data Links'!$B$15</f>
        <v>15.458546249999999</v>
      </c>
      <c r="D111" s="66">
        <f>SUM(D110)*'Data Links'!$B$15</f>
        <v>15.458546249999999</v>
      </c>
      <c r="E111" s="66">
        <f>SUM(E110)*'Data Links'!$B$15</f>
        <v>15.458546249999999</v>
      </c>
      <c r="F111" s="66">
        <f>SUM(F110)*'Data Links'!$B$15</f>
        <v>15.458546249999999</v>
      </c>
      <c r="G111" s="66">
        <f>SUM(G110)*'Data Links'!$B$15</f>
        <v>15.458546249999999</v>
      </c>
      <c r="H111" s="66">
        <f>SUM(H110)*'Data Links'!$B$15</f>
        <v>15.458546249999999</v>
      </c>
      <c r="I111" s="66">
        <f>SUM(I110)*'Data Links'!$B$15</f>
        <v>15.458546249999999</v>
      </c>
      <c r="J111" s="66">
        <f>SUM(J110)*'Data Links'!$B$15</f>
        <v>15.458546249999999</v>
      </c>
      <c r="K111" s="66">
        <f>SUM(K110)*'Data Links'!$B$15</f>
        <v>15.458546249999999</v>
      </c>
      <c r="L111" s="66">
        <f>SUM(L110)*'Data Links'!$B$15</f>
        <v>15.458546249999999</v>
      </c>
      <c r="M111" s="66">
        <f>SUM(M110)*'Data Links'!$B$15</f>
        <v>15.458546249999999</v>
      </c>
      <c r="N111" s="66">
        <f>SUM(N110)*'Data Links'!$B$15</f>
        <v>15.458546249999999</v>
      </c>
    </row>
    <row r="112" spans="1:14" x14ac:dyDescent="0.2">
      <c r="A112" s="59" t="s">
        <v>189</v>
      </c>
      <c r="B112" s="74">
        <v>14.66</v>
      </c>
      <c r="C112" s="66">
        <f>SUM(C110*'Data Links'!$B$13)</f>
        <v>1.2124349999999999</v>
      </c>
      <c r="D112" s="66">
        <f>SUM(D110*'Data Links'!$B$13)</f>
        <v>1.2124349999999999</v>
      </c>
      <c r="E112" s="66">
        <f>SUM(E110*'Data Links'!$B$13)</f>
        <v>1.2124349999999999</v>
      </c>
      <c r="F112" s="66">
        <f>SUM(F110*'Data Links'!$B$13)</f>
        <v>1.2124349999999999</v>
      </c>
      <c r="G112" s="66">
        <f>SUM(G110*'Data Links'!$B$13)</f>
        <v>1.2124349999999999</v>
      </c>
      <c r="H112" s="66">
        <f>SUM(H110*'Data Links'!$B$13)</f>
        <v>1.2124349999999999</v>
      </c>
      <c r="I112" s="66">
        <f>SUM(I110*'Data Links'!$B$13)</f>
        <v>1.2124349999999999</v>
      </c>
      <c r="J112" s="66">
        <f>SUM(J110*'Data Links'!$B$13)</f>
        <v>1.2124349999999999</v>
      </c>
      <c r="K112" s="66">
        <f>SUM(K110*'Data Links'!$B$13)</f>
        <v>1.2124349999999999</v>
      </c>
      <c r="L112" s="66">
        <f>SUM(L110*'Data Links'!$B$13)</f>
        <v>1.2124349999999999</v>
      </c>
      <c r="M112" s="66">
        <f>SUM(M110*'Data Links'!$B$13)</f>
        <v>1.2124349999999999</v>
      </c>
      <c r="N112" s="66">
        <f>SUM(N110*'Data Links'!$B$13)</f>
        <v>1.2124349999999999</v>
      </c>
    </row>
    <row r="113" spans="1:15" x14ac:dyDescent="0.2">
      <c r="A113" s="59" t="s">
        <v>190</v>
      </c>
      <c r="C113" s="66">
        <f>SUM(C109*'Data Links'!$B$8)</f>
        <v>0.99881550000000008</v>
      </c>
      <c r="D113" s="66">
        <f>SUM(D109*'Data Links'!$B$8)</f>
        <v>0.99881550000000008</v>
      </c>
      <c r="E113" s="66">
        <f>SUM(E109*'Data Links'!$B$8)</f>
        <v>0.99881550000000008</v>
      </c>
      <c r="F113" s="66">
        <f>SUM(F109*'Data Links'!$B$8)</f>
        <v>0.99881550000000008</v>
      </c>
      <c r="G113" s="66">
        <f>SUM(G109*'Data Links'!$B$8)</f>
        <v>0.99881550000000008</v>
      </c>
      <c r="H113" s="66">
        <f>SUM(H109*'Data Links'!$B$8)</f>
        <v>0.99881550000000008</v>
      </c>
      <c r="I113" s="66">
        <f>SUM(I109*'Data Links'!$B$8)</f>
        <v>0.99881550000000008</v>
      </c>
      <c r="J113" s="66">
        <f>SUM(J109*'Data Links'!$B$8)</f>
        <v>0.99881550000000008</v>
      </c>
      <c r="K113" s="66">
        <f>SUM(K109*'Data Links'!$B$8)</f>
        <v>0.99881550000000008</v>
      </c>
      <c r="L113" s="66">
        <f>SUM(L109*'Data Links'!$B$8)</f>
        <v>0.99881550000000008</v>
      </c>
      <c r="M113" s="66">
        <f>SUM(M109*'Data Links'!$B$8)</f>
        <v>0.99881550000000008</v>
      </c>
      <c r="N113" s="66">
        <f>SUM(N109*'Data Links'!$B$8)</f>
        <v>0.99881550000000008</v>
      </c>
    </row>
    <row r="114" spans="1:15" x14ac:dyDescent="0.2">
      <c r="A114" s="59" t="s">
        <v>191</v>
      </c>
      <c r="C114" s="66">
        <f>SUM(C108*'All Employees'!$P$47)</f>
        <v>29.244126862068967</v>
      </c>
      <c r="D114" s="66">
        <f>SUM(D108*'All Employees'!$P$47)</f>
        <v>29.244126862068967</v>
      </c>
      <c r="E114" s="66">
        <f>SUM(E108*'All Employees'!$P$47)</f>
        <v>29.244126862068967</v>
      </c>
      <c r="F114" s="66">
        <f>SUM(F108*'All Employees'!$P$47)</f>
        <v>29.244126862068967</v>
      </c>
      <c r="G114" s="66">
        <f>SUM(G108*'All Employees'!$P$47)</f>
        <v>29.244126862068967</v>
      </c>
      <c r="H114" s="66">
        <f>SUM(H108*'All Employees'!$P$47)</f>
        <v>29.244126862068967</v>
      </c>
      <c r="I114" s="66">
        <f>SUM(I108*'All Employees'!$P$47)</f>
        <v>29.244126862068967</v>
      </c>
      <c r="J114" s="66">
        <f>SUM(J108*'All Employees'!$P$47)</f>
        <v>29.244126862068967</v>
      </c>
      <c r="K114" s="66">
        <f>SUM(K108*'All Employees'!$P$47)</f>
        <v>29.244126862068967</v>
      </c>
      <c r="L114" s="66">
        <f>SUM(L108*'All Employees'!$P$47)</f>
        <v>29.244126862068967</v>
      </c>
      <c r="M114" s="66">
        <f>SUM(M108*'All Employees'!$P$47)</f>
        <v>29.244126862068967</v>
      </c>
      <c r="N114" s="66">
        <f>SUM(N108*'All Employees'!$P$47)</f>
        <v>29.244126862068967</v>
      </c>
    </row>
    <row r="115" spans="1:15" x14ac:dyDescent="0.2">
      <c r="A115" s="59" t="s">
        <v>192</v>
      </c>
      <c r="C115" s="66"/>
      <c r="D115" s="66"/>
      <c r="E115" s="66"/>
      <c r="F115" s="66"/>
      <c r="G115" s="66"/>
      <c r="H115" s="66"/>
      <c r="I115" s="66"/>
      <c r="J115" s="66"/>
      <c r="K115" s="66"/>
      <c r="L115" s="66"/>
      <c r="M115" s="66"/>
      <c r="N115" s="66"/>
    </row>
    <row r="116" spans="1:15" s="58" customFormat="1" x14ac:dyDescent="0.2">
      <c r="A116" s="58" t="s">
        <v>144</v>
      </c>
      <c r="B116" s="60"/>
      <c r="C116" s="60">
        <f t="shared" ref="C116:N116" si="16">SUM(C110:C115)</f>
        <v>248.98642361206896</v>
      </c>
      <c r="D116" s="60">
        <f t="shared" si="16"/>
        <v>248.98642361206896</v>
      </c>
      <c r="E116" s="60">
        <f t="shared" si="16"/>
        <v>248.98642361206896</v>
      </c>
      <c r="F116" s="60">
        <f t="shared" si="16"/>
        <v>248.98642361206896</v>
      </c>
      <c r="G116" s="60">
        <f t="shared" si="16"/>
        <v>248.98642361206896</v>
      </c>
      <c r="H116" s="60">
        <f t="shared" si="16"/>
        <v>248.98642361206896</v>
      </c>
      <c r="I116" s="60">
        <f t="shared" si="16"/>
        <v>248.98642361206896</v>
      </c>
      <c r="J116" s="60">
        <f t="shared" si="16"/>
        <v>248.98642361206896</v>
      </c>
      <c r="K116" s="60">
        <f t="shared" si="16"/>
        <v>248.98642361206896</v>
      </c>
      <c r="L116" s="60">
        <f t="shared" si="16"/>
        <v>248.98642361206896</v>
      </c>
      <c r="M116" s="60">
        <f t="shared" si="16"/>
        <v>248.98642361206896</v>
      </c>
      <c r="N116" s="60">
        <f t="shared" si="16"/>
        <v>248.98642361206896</v>
      </c>
      <c r="O116" s="60">
        <f>SUM(C116:N116)</f>
        <v>2987.8370833448266</v>
      </c>
    </row>
    <row r="117" spans="1:15" x14ac:dyDescent="0.2">
      <c r="C117" s="60"/>
      <c r="D117" s="66"/>
      <c r="E117" s="66"/>
      <c r="F117" s="66"/>
      <c r="G117" s="66"/>
      <c r="H117" s="66"/>
      <c r="I117" s="66"/>
      <c r="J117" s="66"/>
      <c r="K117" s="66"/>
      <c r="L117" s="66"/>
      <c r="M117" s="66"/>
      <c r="N117" s="66"/>
    </row>
    <row r="118" spans="1:15" x14ac:dyDescent="0.2">
      <c r="C118" s="89" t="str">
        <f>C105</f>
        <v>January</v>
      </c>
      <c r="D118" s="89" t="str">
        <f t="shared" ref="D118:N120" si="17">D105</f>
        <v>February</v>
      </c>
      <c r="E118" s="89" t="str">
        <f t="shared" si="17"/>
        <v>March</v>
      </c>
      <c r="F118" s="89" t="str">
        <f t="shared" si="17"/>
        <v>April</v>
      </c>
      <c r="G118" s="89" t="str">
        <f t="shared" si="17"/>
        <v>May</v>
      </c>
      <c r="H118" s="89" t="str">
        <f t="shared" si="17"/>
        <v>June</v>
      </c>
      <c r="I118" s="89" t="str">
        <f t="shared" si="17"/>
        <v>July</v>
      </c>
      <c r="J118" s="89" t="str">
        <f t="shared" si="17"/>
        <v>August</v>
      </c>
      <c r="K118" s="89" t="str">
        <f t="shared" si="17"/>
        <v>September</v>
      </c>
      <c r="L118" s="89" t="str">
        <f t="shared" si="17"/>
        <v>October</v>
      </c>
      <c r="M118" s="89" t="str">
        <f t="shared" si="17"/>
        <v>November</v>
      </c>
      <c r="N118" s="89" t="str">
        <f t="shared" si="17"/>
        <v>December</v>
      </c>
    </row>
    <row r="119" spans="1:15" x14ac:dyDescent="0.2">
      <c r="C119" s="72">
        <f>C106</f>
        <v>30</v>
      </c>
      <c r="D119" s="72">
        <f t="shared" si="17"/>
        <v>31</v>
      </c>
      <c r="E119" s="72">
        <f t="shared" si="17"/>
        <v>30</v>
      </c>
      <c r="F119" s="72">
        <f t="shared" si="17"/>
        <v>31</v>
      </c>
      <c r="G119" s="72">
        <f t="shared" si="17"/>
        <v>31</v>
      </c>
      <c r="H119" s="72">
        <f t="shared" si="17"/>
        <v>30</v>
      </c>
      <c r="I119" s="72">
        <f t="shared" si="17"/>
        <v>31</v>
      </c>
      <c r="J119" s="72">
        <f t="shared" si="17"/>
        <v>30</v>
      </c>
      <c r="K119" s="72">
        <f t="shared" si="17"/>
        <v>31</v>
      </c>
      <c r="L119" s="72">
        <f t="shared" si="17"/>
        <v>31</v>
      </c>
      <c r="M119" s="72">
        <f t="shared" si="17"/>
        <v>28</v>
      </c>
      <c r="N119" s="72">
        <f t="shared" si="17"/>
        <v>31</v>
      </c>
    </row>
    <row r="120" spans="1:15" x14ac:dyDescent="0.2">
      <c r="B120" s="89" t="s">
        <v>185</v>
      </c>
      <c r="C120" s="53">
        <f>C107</f>
        <v>0</v>
      </c>
      <c r="D120" s="53">
        <f t="shared" si="17"/>
        <v>1</v>
      </c>
      <c r="E120" s="53">
        <f t="shared" si="17"/>
        <v>0</v>
      </c>
      <c r="F120" s="53">
        <f t="shared" si="17"/>
        <v>1</v>
      </c>
      <c r="G120" s="53">
        <f t="shared" si="17"/>
        <v>0</v>
      </c>
      <c r="H120" s="53">
        <f t="shared" si="17"/>
        <v>1</v>
      </c>
      <c r="I120" s="53">
        <f t="shared" si="17"/>
        <v>1</v>
      </c>
      <c r="J120" s="53">
        <f t="shared" si="17"/>
        <v>1</v>
      </c>
      <c r="K120" s="53">
        <f t="shared" si="17"/>
        <v>1</v>
      </c>
      <c r="L120" s="53">
        <f t="shared" si="17"/>
        <v>2</v>
      </c>
      <c r="M120" s="53">
        <f t="shared" si="17"/>
        <v>1</v>
      </c>
      <c r="N120" s="53">
        <f t="shared" si="17"/>
        <v>0</v>
      </c>
    </row>
    <row r="121" spans="1:15" x14ac:dyDescent="0.2">
      <c r="B121" s="89" t="s">
        <v>44</v>
      </c>
      <c r="C121" s="49">
        <v>0.05</v>
      </c>
      <c r="D121" s="49">
        <v>0.05</v>
      </c>
      <c r="E121" s="49">
        <v>0.05</v>
      </c>
      <c r="F121" s="49">
        <v>0.05</v>
      </c>
      <c r="G121" s="49">
        <v>0.05</v>
      </c>
      <c r="H121" s="49">
        <v>0.05</v>
      </c>
      <c r="I121" s="49">
        <v>0.05</v>
      </c>
      <c r="J121" s="49">
        <v>0.05</v>
      </c>
      <c r="K121" s="49">
        <v>0.05</v>
      </c>
      <c r="L121" s="49">
        <v>0.05</v>
      </c>
      <c r="M121" s="49">
        <v>0.05</v>
      </c>
      <c r="N121" s="49">
        <v>0.05</v>
      </c>
    </row>
    <row r="122" spans="1:15" x14ac:dyDescent="0.2">
      <c r="B122" s="89" t="s">
        <v>186</v>
      </c>
      <c r="C122" s="53">
        <f>SUM(174*C121)</f>
        <v>8.7000000000000011</v>
      </c>
      <c r="D122" s="53">
        <f t="shared" ref="D122:N122" si="18">SUM(174*D121)</f>
        <v>8.7000000000000011</v>
      </c>
      <c r="E122" s="53">
        <f t="shared" si="18"/>
        <v>8.7000000000000011</v>
      </c>
      <c r="F122" s="53">
        <f t="shared" si="18"/>
        <v>8.7000000000000011</v>
      </c>
      <c r="G122" s="53">
        <f t="shared" si="18"/>
        <v>8.7000000000000011</v>
      </c>
      <c r="H122" s="53">
        <f t="shared" si="18"/>
        <v>8.7000000000000011</v>
      </c>
      <c r="I122" s="53">
        <f t="shared" si="18"/>
        <v>8.7000000000000011</v>
      </c>
      <c r="J122" s="53">
        <f t="shared" si="18"/>
        <v>8.7000000000000011</v>
      </c>
      <c r="K122" s="53">
        <f t="shared" si="18"/>
        <v>8.7000000000000011</v>
      </c>
      <c r="L122" s="53">
        <f t="shared" si="18"/>
        <v>8.7000000000000011</v>
      </c>
      <c r="M122" s="53">
        <f t="shared" si="18"/>
        <v>8.7000000000000011</v>
      </c>
      <c r="N122" s="53">
        <f t="shared" si="18"/>
        <v>8.7000000000000011</v>
      </c>
    </row>
    <row r="123" spans="1:15" x14ac:dyDescent="0.2">
      <c r="A123" s="59" t="s">
        <v>340</v>
      </c>
      <c r="B123" s="78" t="s">
        <v>341</v>
      </c>
      <c r="C123" s="66">
        <f>SUM(C122*$B$124)</f>
        <v>202.62300000000002</v>
      </c>
      <c r="D123" s="66">
        <f t="shared" ref="D123:N123" si="19">SUM(D122*$B$124)</f>
        <v>202.62300000000002</v>
      </c>
      <c r="E123" s="66">
        <f t="shared" si="19"/>
        <v>202.62300000000002</v>
      </c>
      <c r="F123" s="66">
        <f t="shared" si="19"/>
        <v>202.62300000000002</v>
      </c>
      <c r="G123" s="66">
        <f t="shared" si="19"/>
        <v>202.62300000000002</v>
      </c>
      <c r="H123" s="66">
        <f t="shared" si="19"/>
        <v>202.62300000000002</v>
      </c>
      <c r="I123" s="66">
        <f t="shared" si="19"/>
        <v>202.62300000000002</v>
      </c>
      <c r="J123" s="66">
        <f t="shared" si="19"/>
        <v>202.62300000000002</v>
      </c>
      <c r="K123" s="66">
        <f t="shared" si="19"/>
        <v>202.62300000000002</v>
      </c>
      <c r="L123" s="66">
        <f t="shared" si="19"/>
        <v>202.62300000000002</v>
      </c>
      <c r="M123" s="66">
        <f t="shared" si="19"/>
        <v>202.62300000000002</v>
      </c>
      <c r="N123" s="66">
        <f t="shared" si="19"/>
        <v>202.62300000000002</v>
      </c>
    </row>
    <row r="124" spans="1:15" x14ac:dyDescent="0.2">
      <c r="A124" s="59" t="s">
        <v>188</v>
      </c>
      <c r="B124" s="74">
        <v>23.29</v>
      </c>
      <c r="C124" s="66">
        <f>SUM(C123)*'Data Links'!$B$15</f>
        <v>15.500659500000001</v>
      </c>
      <c r="D124" s="66">
        <f>SUM(D123)*'Data Links'!$B$15</f>
        <v>15.500659500000001</v>
      </c>
      <c r="E124" s="66">
        <f>SUM(E123)*'Data Links'!$B$15</f>
        <v>15.500659500000001</v>
      </c>
      <c r="F124" s="66">
        <f>SUM(F123)*'Data Links'!$B$15</f>
        <v>15.500659500000001</v>
      </c>
      <c r="G124" s="66">
        <f>SUM(G123)*'Data Links'!$B$15</f>
        <v>15.500659500000001</v>
      </c>
      <c r="H124" s="66">
        <f>SUM(H123)*'Data Links'!$B$15</f>
        <v>15.500659500000001</v>
      </c>
      <c r="I124" s="66">
        <f>SUM(I123)*'Data Links'!$B$15</f>
        <v>15.500659500000001</v>
      </c>
      <c r="J124" s="66">
        <f>SUM(J123)*'Data Links'!$B$15</f>
        <v>15.500659500000001</v>
      </c>
      <c r="K124" s="66">
        <f>SUM(K123)*'Data Links'!$B$15</f>
        <v>15.500659500000001</v>
      </c>
      <c r="L124" s="66">
        <f>SUM(L123)*'Data Links'!$B$15</f>
        <v>15.500659500000001</v>
      </c>
      <c r="M124" s="66">
        <f>SUM(M123)*'Data Links'!$B$15</f>
        <v>15.500659500000001</v>
      </c>
      <c r="N124" s="66">
        <f>SUM(N123)*'Data Links'!$B$15</f>
        <v>15.500659500000001</v>
      </c>
    </row>
    <row r="125" spans="1:15" x14ac:dyDescent="0.2">
      <c r="A125" s="59" t="s">
        <v>189</v>
      </c>
      <c r="C125" s="66">
        <f>SUM(C123*'Data Links'!$B$13)</f>
        <v>1.2157380000000002</v>
      </c>
      <c r="D125" s="66">
        <f>SUM(D123*'Data Links'!$B$13)</f>
        <v>1.2157380000000002</v>
      </c>
      <c r="E125" s="66">
        <f>SUM(E123*'Data Links'!$B$13)</f>
        <v>1.2157380000000002</v>
      </c>
      <c r="F125" s="66">
        <f>SUM(F123*'Data Links'!$B$13)</f>
        <v>1.2157380000000002</v>
      </c>
      <c r="G125" s="66">
        <f>SUM(G123*'Data Links'!$B$13)</f>
        <v>1.2157380000000002</v>
      </c>
      <c r="H125" s="66">
        <f>SUM(H123*'Data Links'!$B$13)</f>
        <v>1.2157380000000002</v>
      </c>
      <c r="I125" s="66">
        <f>SUM(I123*'Data Links'!$B$13)</f>
        <v>1.2157380000000002</v>
      </c>
      <c r="J125" s="66">
        <f>SUM(J123*'Data Links'!$B$13)</f>
        <v>1.2157380000000002</v>
      </c>
      <c r="K125" s="66">
        <f>SUM(K123*'Data Links'!$B$13)</f>
        <v>1.2157380000000002</v>
      </c>
      <c r="L125" s="66">
        <f>SUM(L123*'Data Links'!$B$13)</f>
        <v>1.2157380000000002</v>
      </c>
      <c r="M125" s="66">
        <f>SUM(M123*'Data Links'!$B$13)</f>
        <v>1.2157380000000002</v>
      </c>
      <c r="N125" s="66">
        <f>SUM(N123*'Data Links'!$B$13)</f>
        <v>1.2157380000000002</v>
      </c>
    </row>
    <row r="126" spans="1:15" x14ac:dyDescent="0.2">
      <c r="A126" s="59" t="s">
        <v>190</v>
      </c>
      <c r="C126" s="66">
        <f>SUM(C122*'Data Links'!$B$8)</f>
        <v>0.67729500000000009</v>
      </c>
      <c r="D126" s="66">
        <f>SUM(D122*'Data Links'!$B$8)</f>
        <v>0.67729500000000009</v>
      </c>
      <c r="E126" s="66">
        <f>SUM(E122*'Data Links'!$B$8)</f>
        <v>0.67729500000000009</v>
      </c>
      <c r="F126" s="66">
        <f>SUM(F122*'Data Links'!$B$8)</f>
        <v>0.67729500000000009</v>
      </c>
      <c r="G126" s="66">
        <f>SUM(G122*'Data Links'!$B$8)</f>
        <v>0.67729500000000009</v>
      </c>
      <c r="H126" s="66">
        <f>SUM(H122*'Data Links'!$B$8)</f>
        <v>0.67729500000000009</v>
      </c>
      <c r="I126" s="66">
        <f>SUM(I122*'Data Links'!$B$8)</f>
        <v>0.67729500000000009</v>
      </c>
      <c r="J126" s="66">
        <f>SUM(J122*'Data Links'!$B$8)</f>
        <v>0.67729500000000009</v>
      </c>
      <c r="K126" s="66">
        <f>SUM(K122*'Data Links'!$B$8)</f>
        <v>0.67729500000000009</v>
      </c>
      <c r="L126" s="66">
        <f>SUM(L122*'Data Links'!$B$8)</f>
        <v>0.67729500000000009</v>
      </c>
      <c r="M126" s="66">
        <f>SUM(M122*'Data Links'!$B$8)</f>
        <v>0.67729500000000009</v>
      </c>
      <c r="N126" s="66">
        <f>SUM(N122*'Data Links'!$B$8)</f>
        <v>0.67729500000000009</v>
      </c>
    </row>
    <row r="127" spans="1:15" x14ac:dyDescent="0.2">
      <c r="A127" s="59" t="s">
        <v>191</v>
      </c>
      <c r="C127" s="66">
        <f>SUM(C121*'All Employees'!$P$61)</f>
        <v>19.830390000000001</v>
      </c>
      <c r="D127" s="66">
        <f>SUM(D121*'All Employees'!$P$61)</f>
        <v>19.830390000000001</v>
      </c>
      <c r="E127" s="66">
        <f>SUM(E121*'All Employees'!$P$61)</f>
        <v>19.830390000000001</v>
      </c>
      <c r="F127" s="66">
        <f>SUM(F121*'All Employees'!$P$61)</f>
        <v>19.830390000000001</v>
      </c>
      <c r="G127" s="66">
        <f>SUM(G121*'All Employees'!$P$61)</f>
        <v>19.830390000000001</v>
      </c>
      <c r="H127" s="66">
        <f>SUM(H121*'All Employees'!$P$61)</f>
        <v>19.830390000000001</v>
      </c>
      <c r="I127" s="66">
        <f>SUM(I121*'All Employees'!$P$61)</f>
        <v>19.830390000000001</v>
      </c>
      <c r="J127" s="66">
        <f>SUM(J121*'All Employees'!$P$61)</f>
        <v>19.830390000000001</v>
      </c>
      <c r="K127" s="66">
        <f>SUM(K121*'All Employees'!$P$61)</f>
        <v>19.830390000000001</v>
      </c>
      <c r="L127" s="66">
        <f>SUM(L121*'All Employees'!$P$61)</f>
        <v>19.830390000000001</v>
      </c>
      <c r="M127" s="66">
        <f>SUM(M121*'All Employees'!$P$61)</f>
        <v>19.830390000000001</v>
      </c>
      <c r="N127" s="66">
        <f>SUM(N121*'All Employees'!$P$61)</f>
        <v>19.830390000000001</v>
      </c>
    </row>
    <row r="128" spans="1:15" x14ac:dyDescent="0.2">
      <c r="A128" s="59" t="s">
        <v>192</v>
      </c>
      <c r="C128" s="66">
        <f>SUM(C123*'Data Links'!$B$17)</f>
        <v>6.0786899999999999</v>
      </c>
      <c r="D128" s="66">
        <f>SUM(D123*'Data Links'!$B$17)</f>
        <v>6.0786899999999999</v>
      </c>
      <c r="E128" s="66">
        <f>SUM(E123*'Data Links'!$B$17)</f>
        <v>6.0786899999999999</v>
      </c>
      <c r="F128" s="66">
        <f>SUM(F123*'Data Links'!$B$17)</f>
        <v>6.0786899999999999</v>
      </c>
      <c r="G128" s="66">
        <f>SUM(G123*'Data Links'!$B$17)</f>
        <v>6.0786899999999999</v>
      </c>
      <c r="H128" s="66">
        <f>SUM(H123*'Data Links'!$B$17)</f>
        <v>6.0786899999999999</v>
      </c>
      <c r="I128" s="66">
        <f>SUM(I123*'Data Links'!$B$17)</f>
        <v>6.0786899999999999</v>
      </c>
      <c r="J128" s="66">
        <f>SUM(J123*'Data Links'!$B$17)</f>
        <v>6.0786899999999999</v>
      </c>
      <c r="K128" s="66">
        <f>SUM(K123*'Data Links'!$B$17)</f>
        <v>6.0786899999999999</v>
      </c>
      <c r="L128" s="66">
        <f>SUM(L123*'Data Links'!$B$17)</f>
        <v>6.0786899999999999</v>
      </c>
      <c r="M128" s="66">
        <f>SUM(M123*'Data Links'!$B$17)</f>
        <v>6.0786899999999999</v>
      </c>
      <c r="N128" s="66">
        <f>SUM(N123*'Data Links'!$B$17)</f>
        <v>6.0786899999999999</v>
      </c>
    </row>
    <row r="129" spans="1:15" s="58" customFormat="1" x14ac:dyDescent="0.2">
      <c r="A129" s="58" t="s">
        <v>144</v>
      </c>
      <c r="B129" s="60"/>
      <c r="C129" s="60">
        <f t="shared" ref="C129:N129" si="20">SUM(C123:C128)</f>
        <v>245.92577249999999</v>
      </c>
      <c r="D129" s="60">
        <f t="shared" si="20"/>
        <v>245.92577249999999</v>
      </c>
      <c r="E129" s="60">
        <f t="shared" si="20"/>
        <v>245.92577249999999</v>
      </c>
      <c r="F129" s="60">
        <f t="shared" si="20"/>
        <v>245.92577249999999</v>
      </c>
      <c r="G129" s="60">
        <f t="shared" si="20"/>
        <v>245.92577249999999</v>
      </c>
      <c r="H129" s="60">
        <f t="shared" si="20"/>
        <v>245.92577249999999</v>
      </c>
      <c r="I129" s="60">
        <f t="shared" si="20"/>
        <v>245.92577249999999</v>
      </c>
      <c r="J129" s="60">
        <f t="shared" si="20"/>
        <v>245.92577249999999</v>
      </c>
      <c r="K129" s="60">
        <f t="shared" si="20"/>
        <v>245.92577249999999</v>
      </c>
      <c r="L129" s="60">
        <f t="shared" si="20"/>
        <v>245.92577249999999</v>
      </c>
      <c r="M129" s="60">
        <f t="shared" si="20"/>
        <v>245.92577249999999</v>
      </c>
      <c r="N129" s="60">
        <f t="shared" si="20"/>
        <v>245.92577249999999</v>
      </c>
      <c r="O129" s="60">
        <f>SUM(C129:N129)</f>
        <v>2951.109269999999</v>
      </c>
    </row>
    <row r="130" spans="1:15" x14ac:dyDescent="0.2">
      <c r="C130" s="60"/>
      <c r="D130" s="66"/>
      <c r="E130" s="66"/>
      <c r="F130" s="66"/>
      <c r="G130" s="66"/>
      <c r="H130" s="66"/>
      <c r="I130" s="66"/>
      <c r="J130" s="66"/>
      <c r="K130" s="66"/>
      <c r="L130" s="66"/>
      <c r="M130" s="66"/>
      <c r="N130" s="66"/>
    </row>
    <row r="131" spans="1:15" x14ac:dyDescent="0.2">
      <c r="C131" s="89" t="str">
        <f>C118</f>
        <v>January</v>
      </c>
      <c r="D131" s="89" t="str">
        <f t="shared" ref="D131:N131" si="21">D118</f>
        <v>February</v>
      </c>
      <c r="E131" s="89" t="str">
        <f t="shared" si="21"/>
        <v>March</v>
      </c>
      <c r="F131" s="89" t="str">
        <f t="shared" si="21"/>
        <v>April</v>
      </c>
      <c r="G131" s="89" t="str">
        <f t="shared" si="21"/>
        <v>May</v>
      </c>
      <c r="H131" s="89" t="str">
        <f t="shared" si="21"/>
        <v>June</v>
      </c>
      <c r="I131" s="89" t="str">
        <f t="shared" si="21"/>
        <v>July</v>
      </c>
      <c r="J131" s="89" t="str">
        <f t="shared" si="21"/>
        <v>August</v>
      </c>
      <c r="K131" s="89" t="str">
        <f t="shared" si="21"/>
        <v>September</v>
      </c>
      <c r="L131" s="89" t="str">
        <f t="shared" si="21"/>
        <v>October</v>
      </c>
      <c r="M131" s="89" t="str">
        <f t="shared" si="21"/>
        <v>November</v>
      </c>
      <c r="N131" s="89" t="str">
        <f t="shared" si="21"/>
        <v>December</v>
      </c>
    </row>
    <row r="132" spans="1:15" x14ac:dyDescent="0.2">
      <c r="C132" s="89">
        <f t="shared" ref="C132:N133" si="22">C119</f>
        <v>30</v>
      </c>
      <c r="D132" s="89">
        <f t="shared" si="22"/>
        <v>31</v>
      </c>
      <c r="E132" s="89">
        <f t="shared" si="22"/>
        <v>30</v>
      </c>
      <c r="F132" s="89">
        <f t="shared" si="22"/>
        <v>31</v>
      </c>
      <c r="G132" s="89">
        <f t="shared" si="22"/>
        <v>31</v>
      </c>
      <c r="H132" s="89">
        <f t="shared" si="22"/>
        <v>30</v>
      </c>
      <c r="I132" s="89">
        <f t="shared" si="22"/>
        <v>31</v>
      </c>
      <c r="J132" s="89">
        <f t="shared" si="22"/>
        <v>30</v>
      </c>
      <c r="K132" s="89">
        <f t="shared" si="22"/>
        <v>31</v>
      </c>
      <c r="L132" s="89">
        <f t="shared" si="22"/>
        <v>31</v>
      </c>
      <c r="M132" s="89">
        <f t="shared" si="22"/>
        <v>28</v>
      </c>
      <c r="N132" s="89">
        <f t="shared" si="22"/>
        <v>31</v>
      </c>
    </row>
    <row r="133" spans="1:15" x14ac:dyDescent="0.2">
      <c r="B133" s="89" t="s">
        <v>185</v>
      </c>
      <c r="C133" s="53">
        <f>C120</f>
        <v>0</v>
      </c>
      <c r="D133" s="78">
        <f t="shared" si="22"/>
        <v>1</v>
      </c>
      <c r="E133" s="78">
        <f t="shared" si="22"/>
        <v>0</v>
      </c>
      <c r="F133" s="78">
        <f t="shared" si="22"/>
        <v>1</v>
      </c>
      <c r="G133" s="78">
        <f t="shared" si="22"/>
        <v>0</v>
      </c>
      <c r="H133" s="78">
        <f t="shared" si="22"/>
        <v>1</v>
      </c>
      <c r="I133" s="78">
        <f t="shared" si="22"/>
        <v>1</v>
      </c>
      <c r="J133" s="78">
        <f t="shared" si="22"/>
        <v>1</v>
      </c>
      <c r="K133" s="78">
        <f t="shared" si="22"/>
        <v>1</v>
      </c>
      <c r="L133" s="78">
        <f t="shared" si="22"/>
        <v>2</v>
      </c>
      <c r="M133" s="78">
        <f t="shared" si="22"/>
        <v>1</v>
      </c>
      <c r="N133" s="78">
        <f t="shared" si="22"/>
        <v>0</v>
      </c>
    </row>
    <row r="134" spans="1:15" x14ac:dyDescent="0.2">
      <c r="B134" s="89" t="s">
        <v>44</v>
      </c>
      <c r="C134" s="49">
        <v>0.5</v>
      </c>
      <c r="D134" s="49">
        <v>0.5</v>
      </c>
      <c r="E134" s="49">
        <v>0.5</v>
      </c>
      <c r="F134" s="49">
        <v>0.5</v>
      </c>
      <c r="G134" s="49">
        <v>0.75</v>
      </c>
      <c r="H134" s="49">
        <v>0.75</v>
      </c>
      <c r="I134" s="49">
        <v>0.75</v>
      </c>
      <c r="J134" s="49">
        <v>0.75</v>
      </c>
      <c r="K134" s="49">
        <v>0.75</v>
      </c>
      <c r="L134" s="49">
        <v>0.75</v>
      </c>
      <c r="M134" s="49">
        <v>0.75</v>
      </c>
      <c r="N134" s="49">
        <v>0.75</v>
      </c>
    </row>
    <row r="135" spans="1:15" x14ac:dyDescent="0.2">
      <c r="B135" s="89" t="s">
        <v>186</v>
      </c>
      <c r="C135" s="53">
        <f>SUM(174*C134)</f>
        <v>87</v>
      </c>
      <c r="D135" s="53">
        <f t="shared" ref="D135:N135" si="23">SUM(174*D134)</f>
        <v>87</v>
      </c>
      <c r="E135" s="53">
        <f t="shared" si="23"/>
        <v>87</v>
      </c>
      <c r="F135" s="53">
        <f t="shared" si="23"/>
        <v>87</v>
      </c>
      <c r="G135" s="53">
        <f t="shared" si="23"/>
        <v>130.5</v>
      </c>
      <c r="H135" s="53">
        <f t="shared" si="23"/>
        <v>130.5</v>
      </c>
      <c r="I135" s="53">
        <f t="shared" si="23"/>
        <v>130.5</v>
      </c>
      <c r="J135" s="53">
        <f t="shared" si="23"/>
        <v>130.5</v>
      </c>
      <c r="K135" s="53">
        <f t="shared" si="23"/>
        <v>130.5</v>
      </c>
      <c r="L135" s="53">
        <f t="shared" si="23"/>
        <v>130.5</v>
      </c>
      <c r="M135" s="53">
        <f t="shared" si="23"/>
        <v>130.5</v>
      </c>
      <c r="N135" s="53">
        <f t="shared" si="23"/>
        <v>130.5</v>
      </c>
    </row>
    <row r="136" spans="1:15" x14ac:dyDescent="0.2">
      <c r="A136" s="59" t="s">
        <v>358</v>
      </c>
      <c r="B136" s="78" t="s">
        <v>359</v>
      </c>
      <c r="C136" s="66">
        <f>SUM(C135*$B$137)</f>
        <v>1370.25</v>
      </c>
      <c r="D136" s="66">
        <f t="shared" ref="D136:N136" si="24">SUM(D135*$B$137)</f>
        <v>1370.25</v>
      </c>
      <c r="E136" s="66">
        <f t="shared" si="24"/>
        <v>1370.25</v>
      </c>
      <c r="F136" s="66">
        <f t="shared" si="24"/>
        <v>1370.25</v>
      </c>
      <c r="G136" s="66">
        <f t="shared" si="24"/>
        <v>2055.375</v>
      </c>
      <c r="H136" s="66">
        <f t="shared" si="24"/>
        <v>2055.375</v>
      </c>
      <c r="I136" s="66">
        <f t="shared" si="24"/>
        <v>2055.375</v>
      </c>
      <c r="J136" s="66">
        <f t="shared" si="24"/>
        <v>2055.375</v>
      </c>
      <c r="K136" s="66">
        <f t="shared" si="24"/>
        <v>2055.375</v>
      </c>
      <c r="L136" s="66">
        <f t="shared" si="24"/>
        <v>2055.375</v>
      </c>
      <c r="M136" s="66">
        <f t="shared" si="24"/>
        <v>2055.375</v>
      </c>
      <c r="N136" s="66">
        <f t="shared" si="24"/>
        <v>2055.375</v>
      </c>
    </row>
    <row r="137" spans="1:15" x14ac:dyDescent="0.2">
      <c r="A137" s="59" t="s">
        <v>188</v>
      </c>
      <c r="B137" s="74">
        <v>15.75</v>
      </c>
      <c r="C137" s="66">
        <f>SUM(C136)*'Data Links'!$B$15</f>
        <v>104.824125</v>
      </c>
      <c r="D137" s="66">
        <f>SUM(D136)*'Data Links'!$B$15</f>
        <v>104.824125</v>
      </c>
      <c r="E137" s="66">
        <f>SUM(E136)*'Data Links'!$B$15</f>
        <v>104.824125</v>
      </c>
      <c r="F137" s="66">
        <f>SUM(F136)*'Data Links'!$B$15</f>
        <v>104.824125</v>
      </c>
      <c r="G137" s="66">
        <f>SUM(G136)*'Data Links'!$B$15</f>
        <v>157.2361875</v>
      </c>
      <c r="H137" s="66">
        <f>SUM(H136)*'Data Links'!$B$15</f>
        <v>157.2361875</v>
      </c>
      <c r="I137" s="66">
        <f>SUM(I136)*'Data Links'!$B$15</f>
        <v>157.2361875</v>
      </c>
      <c r="J137" s="66">
        <f>SUM(J136)*'Data Links'!$B$15</f>
        <v>157.2361875</v>
      </c>
      <c r="K137" s="66">
        <f>SUM(K136)*'Data Links'!$B$15</f>
        <v>157.2361875</v>
      </c>
      <c r="L137" s="66">
        <f>SUM(L136)*'Data Links'!$B$15</f>
        <v>157.2361875</v>
      </c>
      <c r="M137" s="66">
        <f>SUM(M136)*'Data Links'!$B$15</f>
        <v>157.2361875</v>
      </c>
      <c r="N137" s="66">
        <f>SUM(N136)*'Data Links'!$B$15</f>
        <v>157.2361875</v>
      </c>
    </row>
    <row r="138" spans="1:15" x14ac:dyDescent="0.2">
      <c r="A138" s="59" t="s">
        <v>189</v>
      </c>
      <c r="B138" s="74">
        <v>13.77</v>
      </c>
      <c r="C138" s="66">
        <f>SUM(C136*'Data Links'!$B$13)</f>
        <v>8.2215000000000007</v>
      </c>
      <c r="D138" s="66">
        <f>SUM(D136*'Data Links'!$B$13)</f>
        <v>8.2215000000000007</v>
      </c>
      <c r="E138" s="66">
        <f>SUM(E136*'Data Links'!$B$13)</f>
        <v>8.2215000000000007</v>
      </c>
      <c r="F138" s="66">
        <f>SUM(F136*'Data Links'!$B$13)</f>
        <v>8.2215000000000007</v>
      </c>
      <c r="G138" s="66">
        <f>SUM(G136*'Data Links'!$B$13)</f>
        <v>12.33225</v>
      </c>
      <c r="H138" s="66">
        <f>SUM(H136*'Data Links'!$B$13)</f>
        <v>12.33225</v>
      </c>
      <c r="I138" s="66">
        <f>SUM(I136*'Data Links'!$B$13)</f>
        <v>12.33225</v>
      </c>
      <c r="J138" s="66">
        <f>SUM(J136*'Data Links'!$B$13)</f>
        <v>12.33225</v>
      </c>
      <c r="K138" s="66">
        <f>SUM(K136*'Data Links'!$B$13)</f>
        <v>12.33225</v>
      </c>
      <c r="L138" s="66">
        <f>SUM(L136*'Data Links'!$B$13)</f>
        <v>12.33225</v>
      </c>
      <c r="M138" s="66">
        <f>SUM(M136*'Data Links'!$B$13)</f>
        <v>12.33225</v>
      </c>
      <c r="N138" s="66">
        <f>SUM(N136*'Data Links'!$B$13)</f>
        <v>12.33225</v>
      </c>
    </row>
    <row r="139" spans="1:15" x14ac:dyDescent="0.2">
      <c r="A139" s="59" t="s">
        <v>190</v>
      </c>
      <c r="C139" s="66">
        <f>SUM(C135*'Data Links'!$B$8)</f>
        <v>6.7729499999999998</v>
      </c>
      <c r="D139" s="66">
        <f>SUM(D135*'Data Links'!$B$8)</f>
        <v>6.7729499999999998</v>
      </c>
      <c r="E139" s="66">
        <f>SUM(E135*'Data Links'!$B$8)</f>
        <v>6.7729499999999998</v>
      </c>
      <c r="F139" s="66">
        <f>SUM(F135*'Data Links'!$B$8)</f>
        <v>6.7729499999999998</v>
      </c>
      <c r="G139" s="66">
        <f>SUM(G135*'Data Links'!$B$8)</f>
        <v>10.159425000000001</v>
      </c>
      <c r="H139" s="66">
        <f>SUM(H135*'Data Links'!$B$8)</f>
        <v>10.159425000000001</v>
      </c>
      <c r="I139" s="66">
        <f>SUM(I135*'Data Links'!$B$8)</f>
        <v>10.159425000000001</v>
      </c>
      <c r="J139" s="66">
        <f>SUM(J135*'Data Links'!$B$8)</f>
        <v>10.159425000000001</v>
      </c>
      <c r="K139" s="66">
        <f>SUM(K135*'Data Links'!$B$8)</f>
        <v>10.159425000000001</v>
      </c>
      <c r="L139" s="66">
        <f>SUM(L135*'Data Links'!$B$8)</f>
        <v>10.159425000000001</v>
      </c>
      <c r="M139" s="66">
        <f>SUM(M135*'Data Links'!$B$8)</f>
        <v>10.159425000000001</v>
      </c>
      <c r="N139" s="66">
        <f>SUM(N135*'Data Links'!$B$8)</f>
        <v>10.159425000000001</v>
      </c>
    </row>
    <row r="140" spans="1:15" x14ac:dyDescent="0.2">
      <c r="A140" s="59" t="s">
        <v>191</v>
      </c>
      <c r="C140" s="66"/>
      <c r="D140" s="66"/>
      <c r="E140" s="66"/>
      <c r="F140" s="66"/>
      <c r="G140" s="66">
        <f>SUM('All Employees'!$P$37)</f>
        <v>396.6078</v>
      </c>
      <c r="H140" s="66">
        <f>SUM('All Employees'!$P$37)</f>
        <v>396.6078</v>
      </c>
      <c r="I140" s="66">
        <f>SUM('All Employees'!$P$37)</f>
        <v>396.6078</v>
      </c>
      <c r="J140" s="66">
        <f>SUM('All Employees'!$P$37)</f>
        <v>396.6078</v>
      </c>
      <c r="K140" s="66">
        <f>SUM('All Employees'!$P$37)</f>
        <v>396.6078</v>
      </c>
      <c r="L140" s="66">
        <f>SUM('All Employees'!$P$37)</f>
        <v>396.6078</v>
      </c>
      <c r="M140" s="66">
        <f>SUM('All Employees'!$P$37)</f>
        <v>396.6078</v>
      </c>
      <c r="N140" s="66">
        <f>SUM('All Employees'!$P$37)</f>
        <v>396.6078</v>
      </c>
    </row>
    <row r="141" spans="1:15" x14ac:dyDescent="0.2">
      <c r="A141" s="59" t="s">
        <v>192</v>
      </c>
      <c r="C141" s="66">
        <f>SUM(C136*'Data Links'!$B$17)</f>
        <v>41.107500000000002</v>
      </c>
      <c r="D141" s="66">
        <f>SUM(D136*'Data Links'!$B$17)</f>
        <v>41.107500000000002</v>
      </c>
      <c r="E141" s="66">
        <f>SUM(E136*'Data Links'!$B$17)</f>
        <v>41.107500000000002</v>
      </c>
      <c r="F141" s="66">
        <f>SUM(F136*'Data Links'!$B$17)</f>
        <v>41.107500000000002</v>
      </c>
      <c r="G141" s="66">
        <f>SUM(G136*'Data Links'!$B$17)</f>
        <v>61.661249999999995</v>
      </c>
      <c r="H141" s="66">
        <f>SUM(H136*'Data Links'!$B$17)</f>
        <v>61.661249999999995</v>
      </c>
      <c r="I141" s="66">
        <f>SUM(I136*'Data Links'!$B$17)</f>
        <v>61.661249999999995</v>
      </c>
      <c r="J141" s="66">
        <f>SUM(J136*'Data Links'!$B$17)</f>
        <v>61.661249999999995</v>
      </c>
      <c r="K141" s="66">
        <f>SUM(K136*'Data Links'!$B$17)</f>
        <v>61.661249999999995</v>
      </c>
      <c r="L141" s="66">
        <f>SUM(L136*'Data Links'!$B$17)</f>
        <v>61.661249999999995</v>
      </c>
      <c r="M141" s="66">
        <f>SUM(M136*'Data Links'!$B$17)</f>
        <v>61.661249999999995</v>
      </c>
      <c r="N141" s="66">
        <f>SUM(N136*'Data Links'!$B$17)</f>
        <v>61.661249999999995</v>
      </c>
    </row>
    <row r="142" spans="1:15" s="58" customFormat="1" x14ac:dyDescent="0.2">
      <c r="A142" s="58" t="s">
        <v>144</v>
      </c>
      <c r="B142" s="60"/>
      <c r="C142" s="60">
        <f t="shared" ref="C142:N142" si="25">SUM(C136:C141)</f>
        <v>1531.1760750000003</v>
      </c>
      <c r="D142" s="60">
        <f t="shared" si="25"/>
        <v>1531.1760750000003</v>
      </c>
      <c r="E142" s="60">
        <f t="shared" si="25"/>
        <v>1531.1760750000003</v>
      </c>
      <c r="F142" s="60">
        <f t="shared" si="25"/>
        <v>1531.1760750000003</v>
      </c>
      <c r="G142" s="60">
        <f t="shared" si="25"/>
        <v>2693.3719124999998</v>
      </c>
      <c r="H142" s="60">
        <f t="shared" si="25"/>
        <v>2693.3719124999998</v>
      </c>
      <c r="I142" s="60">
        <f t="shared" si="25"/>
        <v>2693.3719124999998</v>
      </c>
      <c r="J142" s="60">
        <f t="shared" si="25"/>
        <v>2693.3719124999998</v>
      </c>
      <c r="K142" s="60">
        <f t="shared" si="25"/>
        <v>2693.3719124999998</v>
      </c>
      <c r="L142" s="60">
        <f t="shared" si="25"/>
        <v>2693.3719124999998</v>
      </c>
      <c r="M142" s="60">
        <f t="shared" si="25"/>
        <v>2693.3719124999998</v>
      </c>
      <c r="N142" s="60">
        <f t="shared" si="25"/>
        <v>2693.3719124999998</v>
      </c>
      <c r="O142" s="60"/>
    </row>
    <row r="143" spans="1:15" x14ac:dyDescent="0.2">
      <c r="C143" s="60"/>
      <c r="D143" s="66"/>
      <c r="E143" s="66"/>
      <c r="F143" s="66"/>
      <c r="G143" s="66"/>
      <c r="H143" s="66"/>
      <c r="I143" s="66"/>
      <c r="J143" s="66"/>
      <c r="K143" s="66"/>
      <c r="L143" s="66"/>
      <c r="M143" s="66"/>
      <c r="N143" s="66"/>
    </row>
    <row r="144" spans="1:15" x14ac:dyDescent="0.2">
      <c r="C144" s="89" t="str">
        <f>C131</f>
        <v>January</v>
      </c>
      <c r="D144" s="89" t="str">
        <f t="shared" ref="D144:N144" si="26">D131</f>
        <v>February</v>
      </c>
      <c r="E144" s="89" t="str">
        <f t="shared" si="26"/>
        <v>March</v>
      </c>
      <c r="F144" s="89" t="str">
        <f t="shared" si="26"/>
        <v>April</v>
      </c>
      <c r="G144" s="89" t="str">
        <f t="shared" si="26"/>
        <v>May</v>
      </c>
      <c r="H144" s="89" t="str">
        <f t="shared" si="26"/>
        <v>June</v>
      </c>
      <c r="I144" s="89" t="str">
        <f t="shared" si="26"/>
        <v>July</v>
      </c>
      <c r="J144" s="89" t="str">
        <f t="shared" si="26"/>
        <v>August</v>
      </c>
      <c r="K144" s="89" t="str">
        <f t="shared" si="26"/>
        <v>September</v>
      </c>
      <c r="L144" s="89" t="str">
        <f t="shared" si="26"/>
        <v>October</v>
      </c>
      <c r="M144" s="89" t="str">
        <f t="shared" si="26"/>
        <v>November</v>
      </c>
      <c r="N144" s="89" t="str">
        <f t="shared" si="26"/>
        <v>December</v>
      </c>
    </row>
    <row r="145" spans="1:15" x14ac:dyDescent="0.2">
      <c r="C145" s="89">
        <f t="shared" ref="C145:N146" si="27">C132</f>
        <v>30</v>
      </c>
      <c r="D145" s="89">
        <f t="shared" si="27"/>
        <v>31</v>
      </c>
      <c r="E145" s="89">
        <f t="shared" si="27"/>
        <v>30</v>
      </c>
      <c r="F145" s="89">
        <f t="shared" si="27"/>
        <v>31</v>
      </c>
      <c r="G145" s="89">
        <f t="shared" si="27"/>
        <v>31</v>
      </c>
      <c r="H145" s="89">
        <f t="shared" si="27"/>
        <v>30</v>
      </c>
      <c r="I145" s="89">
        <f t="shared" si="27"/>
        <v>31</v>
      </c>
      <c r="J145" s="89">
        <f t="shared" si="27"/>
        <v>30</v>
      </c>
      <c r="K145" s="89">
        <f t="shared" si="27"/>
        <v>31</v>
      </c>
      <c r="L145" s="89">
        <f t="shared" si="27"/>
        <v>31</v>
      </c>
      <c r="M145" s="89">
        <f t="shared" si="27"/>
        <v>28</v>
      </c>
      <c r="N145" s="89">
        <f t="shared" si="27"/>
        <v>31</v>
      </c>
    </row>
    <row r="146" spans="1:15" x14ac:dyDescent="0.2">
      <c r="B146" s="89" t="s">
        <v>185</v>
      </c>
      <c r="C146" s="78">
        <f t="shared" si="27"/>
        <v>0</v>
      </c>
      <c r="D146" s="78">
        <f t="shared" si="27"/>
        <v>1</v>
      </c>
      <c r="E146" s="78">
        <f t="shared" si="27"/>
        <v>0</v>
      </c>
      <c r="F146" s="78">
        <f t="shared" si="27"/>
        <v>1</v>
      </c>
      <c r="G146" s="78">
        <f t="shared" si="27"/>
        <v>0</v>
      </c>
      <c r="H146" s="78">
        <f t="shared" si="27"/>
        <v>1</v>
      </c>
      <c r="I146" s="78">
        <f t="shared" si="27"/>
        <v>1</v>
      </c>
      <c r="J146" s="78">
        <f t="shared" si="27"/>
        <v>1</v>
      </c>
      <c r="K146" s="78">
        <f t="shared" si="27"/>
        <v>1</v>
      </c>
      <c r="L146" s="78">
        <f t="shared" si="27"/>
        <v>2</v>
      </c>
      <c r="M146" s="78">
        <f t="shared" si="27"/>
        <v>1</v>
      </c>
      <c r="N146" s="78">
        <f t="shared" si="27"/>
        <v>0</v>
      </c>
    </row>
    <row r="147" spans="1:15" x14ac:dyDescent="0.2">
      <c r="B147" s="89" t="s">
        <v>44</v>
      </c>
      <c r="C147" s="49">
        <v>0.25</v>
      </c>
      <c r="D147" s="49">
        <v>0.25</v>
      </c>
      <c r="E147" s="49">
        <v>0.25</v>
      </c>
      <c r="F147" s="49">
        <v>0.25</v>
      </c>
      <c r="G147" s="49">
        <v>0.25</v>
      </c>
      <c r="H147" s="49">
        <v>0.25</v>
      </c>
      <c r="I147" s="49">
        <v>0.25</v>
      </c>
      <c r="J147" s="49">
        <v>0.25</v>
      </c>
      <c r="K147" s="49">
        <v>0.25</v>
      </c>
      <c r="L147" s="49">
        <v>0.25</v>
      </c>
      <c r="M147" s="49">
        <v>0.25</v>
      </c>
      <c r="N147" s="49">
        <v>0.25</v>
      </c>
    </row>
    <row r="148" spans="1:15" x14ac:dyDescent="0.2">
      <c r="B148" s="78" t="s">
        <v>186</v>
      </c>
      <c r="C148" s="53">
        <f>SUM(174*C147)</f>
        <v>43.5</v>
      </c>
      <c r="D148" s="53">
        <f t="shared" ref="D148:N148" si="28">SUM(174*D147)</f>
        <v>43.5</v>
      </c>
      <c r="E148" s="53">
        <f t="shared" si="28"/>
        <v>43.5</v>
      </c>
      <c r="F148" s="53">
        <f t="shared" si="28"/>
        <v>43.5</v>
      </c>
      <c r="G148" s="53">
        <f t="shared" si="28"/>
        <v>43.5</v>
      </c>
      <c r="H148" s="53">
        <f t="shared" si="28"/>
        <v>43.5</v>
      </c>
      <c r="I148" s="53">
        <f t="shared" si="28"/>
        <v>43.5</v>
      </c>
      <c r="J148" s="53">
        <f t="shared" si="28"/>
        <v>43.5</v>
      </c>
      <c r="K148" s="53">
        <f t="shared" si="28"/>
        <v>43.5</v>
      </c>
      <c r="L148" s="53">
        <f t="shared" si="28"/>
        <v>43.5</v>
      </c>
      <c r="M148" s="53">
        <f t="shared" si="28"/>
        <v>43.5</v>
      </c>
      <c r="N148" s="53">
        <f t="shared" si="28"/>
        <v>43.5</v>
      </c>
    </row>
    <row r="149" spans="1:15" x14ac:dyDescent="0.2">
      <c r="A149" s="59" t="s">
        <v>538</v>
      </c>
      <c r="B149" s="78" t="s">
        <v>187</v>
      </c>
      <c r="C149" s="66">
        <f>SUM(C148*$B$150)</f>
        <v>652.5</v>
      </c>
      <c r="D149" s="66">
        <f t="shared" ref="D149:N149" si="29">SUM(D148*$B$150)</f>
        <v>652.5</v>
      </c>
      <c r="E149" s="66">
        <f t="shared" si="29"/>
        <v>652.5</v>
      </c>
      <c r="F149" s="66">
        <f t="shared" si="29"/>
        <v>652.5</v>
      </c>
      <c r="G149" s="66">
        <f t="shared" si="29"/>
        <v>652.5</v>
      </c>
      <c r="H149" s="66">
        <f t="shared" si="29"/>
        <v>652.5</v>
      </c>
      <c r="I149" s="66">
        <f t="shared" si="29"/>
        <v>652.5</v>
      </c>
      <c r="J149" s="66">
        <f t="shared" si="29"/>
        <v>652.5</v>
      </c>
      <c r="K149" s="66">
        <f t="shared" si="29"/>
        <v>652.5</v>
      </c>
      <c r="L149" s="66">
        <f t="shared" si="29"/>
        <v>652.5</v>
      </c>
      <c r="M149" s="66">
        <f t="shared" si="29"/>
        <v>652.5</v>
      </c>
      <c r="N149" s="66">
        <f t="shared" si="29"/>
        <v>652.5</v>
      </c>
    </row>
    <row r="150" spans="1:15" x14ac:dyDescent="0.2">
      <c r="A150" s="59" t="s">
        <v>188</v>
      </c>
      <c r="B150" s="74">
        <v>15</v>
      </c>
      <c r="C150" s="66">
        <f>SUM(C149)*'Data Links'!$B$15</f>
        <v>49.916249999999998</v>
      </c>
      <c r="D150" s="66">
        <f>SUM(D149)*'Data Links'!$B$15</f>
        <v>49.916249999999998</v>
      </c>
      <c r="E150" s="66">
        <f>SUM(E149)*'Data Links'!$B$15</f>
        <v>49.916249999999998</v>
      </c>
      <c r="F150" s="66">
        <f>SUM(F149)*'Data Links'!$B$15</f>
        <v>49.916249999999998</v>
      </c>
      <c r="G150" s="66">
        <f>SUM(G149)*'Data Links'!$B$15</f>
        <v>49.916249999999998</v>
      </c>
      <c r="H150" s="66">
        <f>SUM(H149)*'Data Links'!$B$15</f>
        <v>49.916249999999998</v>
      </c>
      <c r="I150" s="66">
        <f>SUM(I149)*'Data Links'!$B$15</f>
        <v>49.916249999999998</v>
      </c>
      <c r="J150" s="66">
        <f>SUM(J149)*'Data Links'!$B$15</f>
        <v>49.916249999999998</v>
      </c>
      <c r="K150" s="66">
        <f>SUM(K149)*'Data Links'!$B$15</f>
        <v>49.916249999999998</v>
      </c>
      <c r="L150" s="66">
        <f>SUM(L149)*'Data Links'!$B$15</f>
        <v>49.916249999999998</v>
      </c>
      <c r="M150" s="66">
        <f>SUM(M149)*'Data Links'!$B$15</f>
        <v>49.916249999999998</v>
      </c>
      <c r="N150" s="66">
        <f>SUM(N149)*'Data Links'!$B$15</f>
        <v>49.916249999999998</v>
      </c>
    </row>
    <row r="151" spans="1:15" x14ac:dyDescent="0.2">
      <c r="A151" s="59" t="s">
        <v>189</v>
      </c>
      <c r="B151" s="74">
        <v>13</v>
      </c>
      <c r="C151" s="66">
        <f>SUM(C149*'Data Links'!$B$13)</f>
        <v>3.915</v>
      </c>
      <c r="D151" s="66">
        <f>SUM(D149*'Data Links'!$B$13)</f>
        <v>3.915</v>
      </c>
      <c r="E151" s="66">
        <f>SUM(E149*'Data Links'!$B$13)</f>
        <v>3.915</v>
      </c>
      <c r="F151" s="66">
        <f>SUM(F149*'Data Links'!$B$13)</f>
        <v>3.915</v>
      </c>
      <c r="G151" s="66">
        <f>SUM(G149*'Data Links'!$B$13)</f>
        <v>3.915</v>
      </c>
      <c r="H151" s="66">
        <f>SUM(H149*'Data Links'!$B$13)</f>
        <v>3.915</v>
      </c>
      <c r="I151" s="66">
        <f>SUM(I149*'Data Links'!$B$13)</f>
        <v>3.915</v>
      </c>
      <c r="J151" s="66">
        <f>SUM(J149*'Data Links'!$B$13)</f>
        <v>3.915</v>
      </c>
      <c r="K151" s="66">
        <f>SUM(K149*'Data Links'!$B$13)</f>
        <v>3.915</v>
      </c>
      <c r="L151" s="66">
        <f>SUM(L149*'Data Links'!$B$13)</f>
        <v>3.915</v>
      </c>
      <c r="M151" s="66">
        <f>SUM(M149*'Data Links'!$B$13)</f>
        <v>3.915</v>
      </c>
      <c r="N151" s="66">
        <f>SUM(N149*'Data Links'!$B$13)</f>
        <v>3.915</v>
      </c>
    </row>
    <row r="152" spans="1:15" x14ac:dyDescent="0.2">
      <c r="A152" s="59" t="s">
        <v>190</v>
      </c>
      <c r="C152" s="66">
        <f>SUM(C148*'Data Links'!$B$8)</f>
        <v>3.3864749999999999</v>
      </c>
      <c r="D152" s="66">
        <f>SUM(D148*'Data Links'!$B$8)</f>
        <v>3.3864749999999999</v>
      </c>
      <c r="E152" s="66">
        <f>SUM(E148*'Data Links'!$B$8)</f>
        <v>3.3864749999999999</v>
      </c>
      <c r="F152" s="66">
        <f>SUM(F148*'Data Links'!$B$8)</f>
        <v>3.3864749999999999</v>
      </c>
      <c r="G152" s="66">
        <f>SUM(G148*'Data Links'!$B$8)</f>
        <v>3.3864749999999999</v>
      </c>
      <c r="H152" s="66">
        <f>SUM(H148*'Data Links'!$B$8)</f>
        <v>3.3864749999999999</v>
      </c>
      <c r="I152" s="66">
        <f>SUM(I148*'Data Links'!$B$8)</f>
        <v>3.3864749999999999</v>
      </c>
      <c r="J152" s="66">
        <f>SUM(J148*'Data Links'!$B$8)</f>
        <v>3.3864749999999999</v>
      </c>
      <c r="K152" s="66">
        <f>SUM(K148*'Data Links'!$B$8)</f>
        <v>3.3864749999999999</v>
      </c>
      <c r="L152" s="66">
        <f>SUM(L148*'Data Links'!$B$8)</f>
        <v>3.3864749999999999</v>
      </c>
      <c r="M152" s="66">
        <f>SUM(M148*'Data Links'!$B$8)</f>
        <v>3.3864749999999999</v>
      </c>
      <c r="N152" s="66">
        <f>SUM(N148*'Data Links'!$B$8)</f>
        <v>3.3864749999999999</v>
      </c>
    </row>
    <row r="153" spans="1:15" x14ac:dyDescent="0.2">
      <c r="A153" s="59" t="s">
        <v>191</v>
      </c>
      <c r="C153" s="66"/>
      <c r="D153" s="66"/>
      <c r="E153" s="66"/>
      <c r="F153" s="66"/>
      <c r="G153" s="66"/>
      <c r="H153" s="66"/>
      <c r="I153" s="66"/>
      <c r="J153" s="66"/>
      <c r="K153" s="66"/>
      <c r="L153" s="66"/>
      <c r="M153" s="66"/>
      <c r="N153" s="66"/>
    </row>
    <row r="154" spans="1:15" x14ac:dyDescent="0.2">
      <c r="A154" s="59" t="s">
        <v>192</v>
      </c>
      <c r="C154" s="66"/>
      <c r="D154" s="66"/>
      <c r="E154" s="66"/>
      <c r="F154" s="66"/>
      <c r="G154" s="66"/>
      <c r="H154" s="66"/>
      <c r="I154" s="66"/>
      <c r="J154" s="66"/>
      <c r="K154" s="66"/>
      <c r="L154" s="66"/>
      <c r="M154" s="66"/>
      <c r="N154" s="66"/>
    </row>
    <row r="155" spans="1:15" s="58" customFormat="1" x14ac:dyDescent="0.2">
      <c r="A155" s="58" t="s">
        <v>144</v>
      </c>
      <c r="B155" s="60"/>
      <c r="C155" s="60">
        <f t="shared" ref="C155:N155" si="30">SUM(C149:C154)</f>
        <v>709.71772499999997</v>
      </c>
      <c r="D155" s="60">
        <f t="shared" si="30"/>
        <v>709.71772499999997</v>
      </c>
      <c r="E155" s="60">
        <f t="shared" si="30"/>
        <v>709.71772499999997</v>
      </c>
      <c r="F155" s="60">
        <f t="shared" si="30"/>
        <v>709.71772499999997</v>
      </c>
      <c r="G155" s="60">
        <f t="shared" si="30"/>
        <v>709.71772499999997</v>
      </c>
      <c r="H155" s="60">
        <f t="shared" si="30"/>
        <v>709.71772499999997</v>
      </c>
      <c r="I155" s="60">
        <f t="shared" si="30"/>
        <v>709.71772499999997</v>
      </c>
      <c r="J155" s="60">
        <f t="shared" si="30"/>
        <v>709.71772499999997</v>
      </c>
      <c r="K155" s="60">
        <f t="shared" si="30"/>
        <v>709.71772499999997</v>
      </c>
      <c r="L155" s="60">
        <f t="shared" si="30"/>
        <v>709.71772499999997</v>
      </c>
      <c r="M155" s="60">
        <f t="shared" si="30"/>
        <v>709.71772499999997</v>
      </c>
      <c r="N155" s="60">
        <f t="shared" si="30"/>
        <v>709.71772499999997</v>
      </c>
      <c r="O155" s="60"/>
    </row>
    <row r="156" spans="1:15" x14ac:dyDescent="0.2">
      <c r="C156" s="60"/>
      <c r="D156" s="66"/>
      <c r="E156" s="66"/>
      <c r="F156" s="66"/>
      <c r="G156" s="66"/>
      <c r="H156" s="66"/>
      <c r="I156" s="66"/>
      <c r="J156" s="66"/>
      <c r="K156" s="66"/>
      <c r="L156" s="66"/>
      <c r="M156" s="66"/>
      <c r="N156" s="66"/>
      <c r="O156" s="140"/>
    </row>
    <row r="157" spans="1:15" x14ac:dyDescent="0.2">
      <c r="C157" s="89" t="str">
        <f>C144</f>
        <v>January</v>
      </c>
      <c r="D157" s="89" t="str">
        <f t="shared" ref="D157:N157" si="31">D144</f>
        <v>February</v>
      </c>
      <c r="E157" s="89" t="str">
        <f t="shared" si="31"/>
        <v>March</v>
      </c>
      <c r="F157" s="89" t="str">
        <f t="shared" si="31"/>
        <v>April</v>
      </c>
      <c r="G157" s="89" t="str">
        <f t="shared" si="31"/>
        <v>May</v>
      </c>
      <c r="H157" s="89" t="str">
        <f t="shared" si="31"/>
        <v>June</v>
      </c>
      <c r="I157" s="89" t="str">
        <f t="shared" si="31"/>
        <v>July</v>
      </c>
      <c r="J157" s="89" t="str">
        <f t="shared" si="31"/>
        <v>August</v>
      </c>
      <c r="K157" s="89" t="str">
        <f t="shared" si="31"/>
        <v>September</v>
      </c>
      <c r="L157" s="89" t="str">
        <f t="shared" si="31"/>
        <v>October</v>
      </c>
      <c r="M157" s="89" t="str">
        <f t="shared" si="31"/>
        <v>November</v>
      </c>
      <c r="N157" s="89" t="str">
        <f t="shared" si="31"/>
        <v>December</v>
      </c>
    </row>
    <row r="158" spans="1:15" x14ac:dyDescent="0.2">
      <c r="C158" s="89">
        <f t="shared" ref="C158:N159" si="32">C145</f>
        <v>30</v>
      </c>
      <c r="D158" s="89">
        <f t="shared" si="32"/>
        <v>31</v>
      </c>
      <c r="E158" s="89">
        <f t="shared" si="32"/>
        <v>30</v>
      </c>
      <c r="F158" s="89">
        <f t="shared" si="32"/>
        <v>31</v>
      </c>
      <c r="G158" s="89">
        <f t="shared" si="32"/>
        <v>31</v>
      </c>
      <c r="H158" s="89">
        <f t="shared" si="32"/>
        <v>30</v>
      </c>
      <c r="I158" s="89">
        <f t="shared" si="32"/>
        <v>31</v>
      </c>
      <c r="J158" s="89">
        <f t="shared" si="32"/>
        <v>30</v>
      </c>
      <c r="K158" s="89">
        <f t="shared" si="32"/>
        <v>31</v>
      </c>
      <c r="L158" s="89">
        <f t="shared" si="32"/>
        <v>31</v>
      </c>
      <c r="M158" s="89">
        <f t="shared" si="32"/>
        <v>28</v>
      </c>
      <c r="N158" s="89">
        <f t="shared" si="32"/>
        <v>31</v>
      </c>
    </row>
    <row r="159" spans="1:15" x14ac:dyDescent="0.2">
      <c r="B159" s="89" t="s">
        <v>185</v>
      </c>
      <c r="C159" s="78">
        <f t="shared" si="32"/>
        <v>0</v>
      </c>
      <c r="D159" s="78">
        <f t="shared" si="32"/>
        <v>1</v>
      </c>
      <c r="E159" s="78">
        <f t="shared" si="32"/>
        <v>0</v>
      </c>
      <c r="F159" s="78">
        <f t="shared" si="32"/>
        <v>1</v>
      </c>
      <c r="G159" s="78">
        <f t="shared" si="32"/>
        <v>0</v>
      </c>
      <c r="H159" s="78">
        <f t="shared" si="32"/>
        <v>1</v>
      </c>
      <c r="I159" s="78">
        <f t="shared" si="32"/>
        <v>1</v>
      </c>
      <c r="J159" s="78">
        <f t="shared" si="32"/>
        <v>1</v>
      </c>
      <c r="K159" s="78">
        <f t="shared" si="32"/>
        <v>1</v>
      </c>
      <c r="L159" s="78">
        <f t="shared" si="32"/>
        <v>2</v>
      </c>
      <c r="M159" s="78">
        <f t="shared" si="32"/>
        <v>1</v>
      </c>
      <c r="N159" s="78">
        <f t="shared" si="32"/>
        <v>0</v>
      </c>
    </row>
    <row r="160" spans="1:15" x14ac:dyDescent="0.2">
      <c r="B160" s="89" t="s">
        <v>44</v>
      </c>
      <c r="C160" s="49">
        <v>0</v>
      </c>
      <c r="D160" s="49">
        <v>0</v>
      </c>
      <c r="E160" s="49">
        <v>0</v>
      </c>
      <c r="F160" s="49">
        <v>0</v>
      </c>
      <c r="G160" s="49">
        <v>0</v>
      </c>
      <c r="H160" s="49">
        <v>0</v>
      </c>
      <c r="I160" s="49">
        <v>0</v>
      </c>
      <c r="J160" s="49">
        <v>0</v>
      </c>
      <c r="K160" s="49">
        <v>0</v>
      </c>
      <c r="L160" s="49">
        <v>0</v>
      </c>
      <c r="M160" s="49">
        <v>0</v>
      </c>
      <c r="N160" s="49">
        <v>0</v>
      </c>
    </row>
    <row r="161" spans="1:15" x14ac:dyDescent="0.2">
      <c r="B161" s="78" t="s">
        <v>186</v>
      </c>
      <c r="C161" s="53">
        <f>SUM(174*C160)</f>
        <v>0</v>
      </c>
      <c r="D161" s="53">
        <f t="shared" ref="D161:N161" si="33">SUM(174*D160)</f>
        <v>0</v>
      </c>
      <c r="E161" s="53">
        <f t="shared" si="33"/>
        <v>0</v>
      </c>
      <c r="F161" s="53">
        <f t="shared" si="33"/>
        <v>0</v>
      </c>
      <c r="G161" s="53">
        <f t="shared" si="33"/>
        <v>0</v>
      </c>
      <c r="H161" s="53">
        <f t="shared" si="33"/>
        <v>0</v>
      </c>
      <c r="I161" s="53">
        <f t="shared" si="33"/>
        <v>0</v>
      </c>
      <c r="J161" s="53">
        <f t="shared" si="33"/>
        <v>0</v>
      </c>
      <c r="K161" s="53">
        <f t="shared" si="33"/>
        <v>0</v>
      </c>
      <c r="L161" s="53">
        <f t="shared" si="33"/>
        <v>0</v>
      </c>
      <c r="M161" s="53">
        <f t="shared" si="33"/>
        <v>0</v>
      </c>
      <c r="N161" s="53">
        <f t="shared" si="33"/>
        <v>0</v>
      </c>
    </row>
    <row r="162" spans="1:15" x14ac:dyDescent="0.2">
      <c r="A162" s="59" t="s">
        <v>342</v>
      </c>
      <c r="B162" s="78" t="s">
        <v>274</v>
      </c>
      <c r="C162" s="66">
        <f>SUM(C161*$B$163)</f>
        <v>0</v>
      </c>
      <c r="D162" s="66">
        <f t="shared" ref="D162:N162" si="34">SUM(D161*$B$163)</f>
        <v>0</v>
      </c>
      <c r="E162" s="66">
        <f t="shared" si="34"/>
        <v>0</v>
      </c>
      <c r="F162" s="66">
        <f t="shared" si="34"/>
        <v>0</v>
      </c>
      <c r="G162" s="66">
        <f t="shared" si="34"/>
        <v>0</v>
      </c>
      <c r="H162" s="66">
        <f t="shared" si="34"/>
        <v>0</v>
      </c>
      <c r="I162" s="66">
        <f t="shared" si="34"/>
        <v>0</v>
      </c>
      <c r="J162" s="66">
        <f t="shared" si="34"/>
        <v>0</v>
      </c>
      <c r="K162" s="66">
        <f t="shared" si="34"/>
        <v>0</v>
      </c>
      <c r="L162" s="66">
        <f t="shared" si="34"/>
        <v>0</v>
      </c>
      <c r="M162" s="66">
        <f t="shared" si="34"/>
        <v>0</v>
      </c>
      <c r="N162" s="66">
        <f t="shared" si="34"/>
        <v>0</v>
      </c>
    </row>
    <row r="163" spans="1:15" x14ac:dyDescent="0.2">
      <c r="A163" s="59" t="s">
        <v>188</v>
      </c>
      <c r="B163" s="74">
        <v>20</v>
      </c>
      <c r="C163" s="66">
        <f>SUM(C162)*'Data Links'!$B$15</f>
        <v>0</v>
      </c>
      <c r="D163" s="66">
        <f>SUM(D162)*'Data Links'!$B$15</f>
        <v>0</v>
      </c>
      <c r="E163" s="66">
        <f>SUM(E162)*'Data Links'!$B$15</f>
        <v>0</v>
      </c>
      <c r="F163" s="66">
        <f>SUM(F162)*'Data Links'!$B$15</f>
        <v>0</v>
      </c>
      <c r="G163" s="66">
        <f>SUM(G162)*'Data Links'!$B$15</f>
        <v>0</v>
      </c>
      <c r="H163" s="66">
        <f>SUM(H162)*'Data Links'!$B$15</f>
        <v>0</v>
      </c>
      <c r="I163" s="66">
        <f>SUM(I162)*'Data Links'!$B$15</f>
        <v>0</v>
      </c>
      <c r="J163" s="66">
        <f>SUM(J162)*'Data Links'!$B$15</f>
        <v>0</v>
      </c>
      <c r="K163" s="66">
        <f>SUM(K162)*'Data Links'!$B$15</f>
        <v>0</v>
      </c>
      <c r="L163" s="66">
        <f>SUM(L162)*'Data Links'!$B$15</f>
        <v>0</v>
      </c>
      <c r="M163" s="66">
        <f>SUM(M162)*'Data Links'!$B$15</f>
        <v>0</v>
      </c>
      <c r="N163" s="66">
        <f>SUM(N162)*'Data Links'!$B$15</f>
        <v>0</v>
      </c>
    </row>
    <row r="164" spans="1:15" x14ac:dyDescent="0.2">
      <c r="A164" s="59" t="s">
        <v>189</v>
      </c>
      <c r="B164" s="74">
        <v>18.61</v>
      </c>
      <c r="C164" s="66">
        <f>SUM(C162*'Data Links'!$B$13)</f>
        <v>0</v>
      </c>
      <c r="D164" s="66">
        <f>SUM(D162*'Data Links'!$B$13)</f>
        <v>0</v>
      </c>
      <c r="E164" s="66">
        <f>SUM(E162*'Data Links'!$B$13)</f>
        <v>0</v>
      </c>
      <c r="F164" s="66">
        <f>SUM(F162*'Data Links'!$B$13)</f>
        <v>0</v>
      </c>
      <c r="G164" s="66">
        <f>SUM(G162*'Data Links'!$B$13)</f>
        <v>0</v>
      </c>
      <c r="H164" s="66">
        <f>SUM(H162*'Data Links'!$B$13)</f>
        <v>0</v>
      </c>
      <c r="I164" s="66">
        <f>SUM(I162*'Data Links'!$B$13)</f>
        <v>0</v>
      </c>
      <c r="J164" s="66">
        <f>SUM(J162*'Data Links'!$B$13)</f>
        <v>0</v>
      </c>
      <c r="K164" s="66">
        <f>SUM(K162*'Data Links'!$B$13)</f>
        <v>0</v>
      </c>
      <c r="L164" s="66">
        <f>SUM(L162*'Data Links'!$B$13)</f>
        <v>0</v>
      </c>
      <c r="M164" s="66">
        <f>SUM(M162*'Data Links'!$B$13)</f>
        <v>0</v>
      </c>
      <c r="N164" s="66">
        <f>SUM(N162*'Data Links'!$B$13)</f>
        <v>0</v>
      </c>
    </row>
    <row r="165" spans="1:15" x14ac:dyDescent="0.2">
      <c r="A165" s="59" t="s">
        <v>190</v>
      </c>
      <c r="C165" s="66">
        <f>SUM(C161*'Data Links'!$B$8)</f>
        <v>0</v>
      </c>
      <c r="D165" s="66">
        <f>SUM(D161*'Data Links'!$B$8)</f>
        <v>0</v>
      </c>
      <c r="E165" s="66">
        <f>SUM(E161*'Data Links'!$B$8)</f>
        <v>0</v>
      </c>
      <c r="F165" s="66">
        <f>SUM(F161*'Data Links'!$B$8)</f>
        <v>0</v>
      </c>
      <c r="G165" s="66">
        <f>SUM(G161*'Data Links'!$B$8)</f>
        <v>0</v>
      </c>
      <c r="H165" s="66">
        <f>SUM(H161*'Data Links'!$B$8)</f>
        <v>0</v>
      </c>
      <c r="I165" s="66">
        <f>SUM(I161*'Data Links'!$B$8)</f>
        <v>0</v>
      </c>
      <c r="J165" s="66">
        <f>SUM(J161*'Data Links'!$B$8)</f>
        <v>0</v>
      </c>
      <c r="K165" s="66">
        <f>SUM(K161*'Data Links'!$B$8)</f>
        <v>0</v>
      </c>
      <c r="L165" s="66">
        <f>SUM(L161*'Data Links'!$B$8)</f>
        <v>0</v>
      </c>
      <c r="M165" s="66">
        <f>SUM(M161*'Data Links'!$B$8)</f>
        <v>0</v>
      </c>
      <c r="N165" s="66">
        <f>SUM(N161*'Data Links'!$B$8)</f>
        <v>0</v>
      </c>
    </row>
    <row r="166" spans="1:15" x14ac:dyDescent="0.2">
      <c r="A166" s="59" t="s">
        <v>191</v>
      </c>
      <c r="C166" s="66"/>
      <c r="D166" s="66"/>
      <c r="E166" s="66"/>
      <c r="F166" s="66"/>
      <c r="G166" s="66"/>
      <c r="H166" s="66"/>
      <c r="I166" s="66"/>
      <c r="J166" s="66"/>
      <c r="K166" s="66"/>
      <c r="L166" s="66"/>
      <c r="M166" s="66"/>
      <c r="N166" s="66"/>
    </row>
    <row r="167" spans="1:15" x14ac:dyDescent="0.2">
      <c r="A167" s="59" t="s">
        <v>192</v>
      </c>
      <c r="C167" s="66"/>
      <c r="D167" s="66"/>
      <c r="E167" s="66"/>
      <c r="F167" s="66"/>
      <c r="G167" s="66"/>
      <c r="H167" s="66"/>
      <c r="I167" s="66"/>
      <c r="J167" s="66"/>
      <c r="K167" s="66">
        <f>SUM(K162*'Data Links'!$B$17)</f>
        <v>0</v>
      </c>
      <c r="L167" s="66">
        <f>SUM(L162*'Data Links'!$B$17)</f>
        <v>0</v>
      </c>
      <c r="M167" s="66">
        <f>SUM(M162*'Data Links'!$B$17)</f>
        <v>0</v>
      </c>
      <c r="N167" s="66">
        <f>SUM(N162*'Data Links'!$B$17)</f>
        <v>0</v>
      </c>
    </row>
    <row r="168" spans="1:15" s="58" customFormat="1" x14ac:dyDescent="0.2">
      <c r="A168" s="58" t="s">
        <v>144</v>
      </c>
      <c r="B168" s="60"/>
      <c r="C168" s="60">
        <f t="shared" ref="C168:N168" si="35">SUM(C162:C167)</f>
        <v>0</v>
      </c>
      <c r="D168" s="60">
        <f t="shared" si="35"/>
        <v>0</v>
      </c>
      <c r="E168" s="60">
        <f t="shared" si="35"/>
        <v>0</v>
      </c>
      <c r="F168" s="60">
        <f t="shared" si="35"/>
        <v>0</v>
      </c>
      <c r="G168" s="60">
        <f t="shared" si="35"/>
        <v>0</v>
      </c>
      <c r="H168" s="60">
        <f t="shared" si="35"/>
        <v>0</v>
      </c>
      <c r="I168" s="60">
        <f t="shared" si="35"/>
        <v>0</v>
      </c>
      <c r="J168" s="60">
        <f t="shared" si="35"/>
        <v>0</v>
      </c>
      <c r="K168" s="60">
        <f t="shared" si="35"/>
        <v>0</v>
      </c>
      <c r="L168" s="60">
        <f t="shared" si="35"/>
        <v>0</v>
      </c>
      <c r="M168" s="60">
        <f t="shared" si="35"/>
        <v>0</v>
      </c>
      <c r="N168" s="60">
        <f t="shared" si="35"/>
        <v>0</v>
      </c>
      <c r="O168" s="60">
        <f>SUM(C168:N168)</f>
        <v>0</v>
      </c>
    </row>
    <row r="169" spans="1:15" x14ac:dyDescent="0.2">
      <c r="C169" s="60"/>
      <c r="D169" s="66"/>
      <c r="E169" s="66"/>
      <c r="F169" s="66"/>
      <c r="G169" s="66"/>
      <c r="H169" s="66"/>
      <c r="I169" s="66"/>
      <c r="J169" s="66"/>
      <c r="K169" s="66"/>
      <c r="L169" s="66"/>
      <c r="M169" s="66"/>
      <c r="N169" s="66"/>
    </row>
    <row r="170" spans="1:15" x14ac:dyDescent="0.2">
      <c r="C170" s="224" t="str">
        <f>C157</f>
        <v>January</v>
      </c>
      <c r="D170" s="224" t="str">
        <f t="shared" ref="D170:N170" si="36">D157</f>
        <v>February</v>
      </c>
      <c r="E170" s="224" t="str">
        <f t="shared" si="36"/>
        <v>March</v>
      </c>
      <c r="F170" s="224" t="str">
        <f t="shared" si="36"/>
        <v>April</v>
      </c>
      <c r="G170" s="224" t="str">
        <f t="shared" si="36"/>
        <v>May</v>
      </c>
      <c r="H170" s="224" t="str">
        <f t="shared" si="36"/>
        <v>June</v>
      </c>
      <c r="I170" s="224" t="str">
        <f t="shared" si="36"/>
        <v>July</v>
      </c>
      <c r="J170" s="224" t="str">
        <f t="shared" si="36"/>
        <v>August</v>
      </c>
      <c r="K170" s="224" t="str">
        <f t="shared" si="36"/>
        <v>September</v>
      </c>
      <c r="L170" s="224" t="str">
        <f t="shared" si="36"/>
        <v>October</v>
      </c>
      <c r="M170" s="224" t="str">
        <f t="shared" si="36"/>
        <v>November</v>
      </c>
      <c r="N170" s="224" t="str">
        <f t="shared" si="36"/>
        <v>December</v>
      </c>
    </row>
    <row r="171" spans="1:15" x14ac:dyDescent="0.2">
      <c r="C171" s="225">
        <v>31</v>
      </c>
      <c r="D171" s="225">
        <v>31</v>
      </c>
      <c r="E171" s="225">
        <v>30</v>
      </c>
      <c r="F171" s="225">
        <v>31</v>
      </c>
      <c r="G171" s="225">
        <v>30</v>
      </c>
      <c r="H171" s="225">
        <v>31</v>
      </c>
      <c r="I171" s="225">
        <v>31</v>
      </c>
      <c r="J171" s="225">
        <v>28</v>
      </c>
      <c r="K171" s="225">
        <v>31</v>
      </c>
      <c r="L171" s="225">
        <v>30</v>
      </c>
      <c r="M171" s="225">
        <v>31</v>
      </c>
      <c r="N171" s="226">
        <v>30</v>
      </c>
    </row>
    <row r="172" spans="1:15" x14ac:dyDescent="0.2">
      <c r="B172" s="89" t="s">
        <v>185</v>
      </c>
      <c r="C172" s="227">
        <f t="shared" ref="C172:N172" si="37">C159</f>
        <v>0</v>
      </c>
      <c r="D172" s="227">
        <f t="shared" si="37"/>
        <v>1</v>
      </c>
      <c r="E172" s="227">
        <f t="shared" si="37"/>
        <v>0</v>
      </c>
      <c r="F172" s="227">
        <f t="shared" si="37"/>
        <v>1</v>
      </c>
      <c r="G172" s="227">
        <f t="shared" si="37"/>
        <v>0</v>
      </c>
      <c r="H172" s="227">
        <f t="shared" si="37"/>
        <v>1</v>
      </c>
      <c r="I172" s="227">
        <f t="shared" si="37"/>
        <v>1</v>
      </c>
      <c r="J172" s="227">
        <f t="shared" si="37"/>
        <v>1</v>
      </c>
      <c r="K172" s="227">
        <f t="shared" si="37"/>
        <v>1</v>
      </c>
      <c r="L172" s="227">
        <f t="shared" si="37"/>
        <v>2</v>
      </c>
      <c r="M172" s="227">
        <f t="shared" si="37"/>
        <v>1</v>
      </c>
      <c r="N172" s="227">
        <f t="shared" si="37"/>
        <v>0</v>
      </c>
    </row>
    <row r="173" spans="1:15" x14ac:dyDescent="0.2">
      <c r="B173" s="89" t="s">
        <v>44</v>
      </c>
      <c r="C173" s="228">
        <f>C108</f>
        <v>7.3735632183908051E-2</v>
      </c>
      <c r="D173" s="228">
        <f t="shared" ref="D173:N173" si="38">D108</f>
        <v>7.3735632183908051E-2</v>
      </c>
      <c r="E173" s="228">
        <f t="shared" si="38"/>
        <v>7.3735632183908051E-2</v>
      </c>
      <c r="F173" s="228">
        <f t="shared" si="38"/>
        <v>7.3735632183908051E-2</v>
      </c>
      <c r="G173" s="228">
        <f t="shared" si="38"/>
        <v>7.3735632183908051E-2</v>
      </c>
      <c r="H173" s="228">
        <f t="shared" si="38"/>
        <v>7.3735632183908051E-2</v>
      </c>
      <c r="I173" s="228">
        <f t="shared" si="38"/>
        <v>7.3735632183908051E-2</v>
      </c>
      <c r="J173" s="228">
        <f t="shared" si="38"/>
        <v>7.3735632183908051E-2</v>
      </c>
      <c r="K173" s="228">
        <f t="shared" si="38"/>
        <v>7.3735632183908051E-2</v>
      </c>
      <c r="L173" s="228">
        <f t="shared" si="38"/>
        <v>7.3735632183908051E-2</v>
      </c>
      <c r="M173" s="228">
        <f t="shared" si="38"/>
        <v>7.3735632183908051E-2</v>
      </c>
      <c r="N173" s="228">
        <f t="shared" si="38"/>
        <v>7.3735632183908051E-2</v>
      </c>
    </row>
    <row r="174" spans="1:15" x14ac:dyDescent="0.2">
      <c r="B174" s="89" t="s">
        <v>186</v>
      </c>
      <c r="C174" s="229">
        <f>SUM(174*C173)</f>
        <v>12.83</v>
      </c>
      <c r="D174" s="229">
        <f t="shared" ref="D174:N174" si="39">SUM(174*D173)</f>
        <v>12.83</v>
      </c>
      <c r="E174" s="229">
        <f t="shared" si="39"/>
        <v>12.83</v>
      </c>
      <c r="F174" s="229">
        <f t="shared" si="39"/>
        <v>12.83</v>
      </c>
      <c r="G174" s="229">
        <f t="shared" si="39"/>
        <v>12.83</v>
      </c>
      <c r="H174" s="229">
        <f t="shared" si="39"/>
        <v>12.83</v>
      </c>
      <c r="I174" s="229">
        <f t="shared" si="39"/>
        <v>12.83</v>
      </c>
      <c r="J174" s="229">
        <f t="shared" si="39"/>
        <v>12.83</v>
      </c>
      <c r="K174" s="229">
        <f t="shared" si="39"/>
        <v>12.83</v>
      </c>
      <c r="L174" s="229">
        <f t="shared" si="39"/>
        <v>12.83</v>
      </c>
      <c r="M174" s="229">
        <f t="shared" si="39"/>
        <v>12.83</v>
      </c>
      <c r="N174" s="229">
        <f t="shared" si="39"/>
        <v>12.83</v>
      </c>
    </row>
    <row r="175" spans="1:15" x14ac:dyDescent="0.2">
      <c r="A175" s="59" t="s">
        <v>557</v>
      </c>
      <c r="B175" s="78" t="s">
        <v>187</v>
      </c>
      <c r="C175" s="210">
        <f>SUM(C174*$B$176)</f>
        <v>235.55879999999999</v>
      </c>
      <c r="D175" s="210">
        <f t="shared" ref="D175:N175" si="40">SUM(D174*$B$176)</f>
        <v>235.55879999999999</v>
      </c>
      <c r="E175" s="210">
        <f t="shared" si="40"/>
        <v>235.55879999999999</v>
      </c>
      <c r="F175" s="210">
        <f t="shared" si="40"/>
        <v>235.55879999999999</v>
      </c>
      <c r="G175" s="210">
        <f t="shared" si="40"/>
        <v>235.55879999999999</v>
      </c>
      <c r="H175" s="210">
        <f t="shared" si="40"/>
        <v>235.55879999999999</v>
      </c>
      <c r="I175" s="210">
        <f t="shared" si="40"/>
        <v>235.55879999999999</v>
      </c>
      <c r="J175" s="210">
        <f t="shared" si="40"/>
        <v>235.55879999999999</v>
      </c>
      <c r="K175" s="210">
        <f t="shared" si="40"/>
        <v>235.55879999999999</v>
      </c>
      <c r="L175" s="210">
        <f t="shared" si="40"/>
        <v>235.55879999999999</v>
      </c>
      <c r="M175" s="210">
        <f t="shared" si="40"/>
        <v>235.55879999999999</v>
      </c>
      <c r="N175" s="210">
        <f t="shared" si="40"/>
        <v>235.55879999999999</v>
      </c>
    </row>
    <row r="176" spans="1:15" x14ac:dyDescent="0.2">
      <c r="A176" s="59" t="s">
        <v>188</v>
      </c>
      <c r="B176" s="74">
        <v>18.36</v>
      </c>
      <c r="C176" s="210">
        <f>SUM(C175)*'Data Links'!$B$15</f>
        <v>18.020248199999997</v>
      </c>
      <c r="D176" s="210">
        <f>SUM(D175)*'Data Links'!$B$15</f>
        <v>18.020248199999997</v>
      </c>
      <c r="E176" s="210">
        <f>SUM(E175)*'Data Links'!$B$15</f>
        <v>18.020248199999997</v>
      </c>
      <c r="F176" s="210">
        <f>SUM(F175)*'Data Links'!$B$15</f>
        <v>18.020248199999997</v>
      </c>
      <c r="G176" s="210">
        <f>SUM(G175)*'Data Links'!$B$15</f>
        <v>18.020248199999997</v>
      </c>
      <c r="H176" s="210">
        <f>SUM(H175)*'Data Links'!$B$15</f>
        <v>18.020248199999997</v>
      </c>
      <c r="I176" s="210">
        <f>SUM(I175)*'Data Links'!$B$15</f>
        <v>18.020248199999997</v>
      </c>
      <c r="J176" s="210">
        <f>SUM(J175)*'Data Links'!$B$15</f>
        <v>18.020248199999997</v>
      </c>
      <c r="K176" s="210">
        <f>SUM(K175)*'Data Links'!$B$15</f>
        <v>18.020248199999997</v>
      </c>
      <c r="L176" s="210">
        <f>SUM(L175)*'Data Links'!$B$15</f>
        <v>18.020248199999997</v>
      </c>
      <c r="M176" s="210">
        <f>SUM(M175)*'Data Links'!$B$15</f>
        <v>18.020248199999997</v>
      </c>
      <c r="N176" s="210">
        <f>SUM(N175)*'Data Links'!$B$15</f>
        <v>18.020248199999997</v>
      </c>
    </row>
    <row r="177" spans="1:14" x14ac:dyDescent="0.2">
      <c r="A177" s="59" t="s">
        <v>189</v>
      </c>
      <c r="C177" s="210">
        <f>SUM(C175*'Data Links'!$B$13)</f>
        <v>1.4133528</v>
      </c>
      <c r="D177" s="210">
        <f>SUM(D175*'Data Links'!$B$13)</f>
        <v>1.4133528</v>
      </c>
      <c r="E177" s="210">
        <f>SUM(E175*'Data Links'!$B$13)</f>
        <v>1.4133528</v>
      </c>
      <c r="F177" s="210">
        <f>SUM(F175*'Data Links'!$B$13)</f>
        <v>1.4133528</v>
      </c>
      <c r="G177" s="210">
        <f>SUM(G175*'Data Links'!$B$13)</f>
        <v>1.4133528</v>
      </c>
      <c r="H177" s="210">
        <f>SUM(H175*'Data Links'!$B$13)</f>
        <v>1.4133528</v>
      </c>
      <c r="I177" s="210">
        <f>SUM(I175*'Data Links'!$B$13)</f>
        <v>1.4133528</v>
      </c>
      <c r="J177" s="210">
        <f>SUM(J175*'Data Links'!$B$13)</f>
        <v>1.4133528</v>
      </c>
      <c r="K177" s="210">
        <f>SUM(K175*'Data Links'!$B$13)</f>
        <v>1.4133528</v>
      </c>
      <c r="L177" s="210">
        <f>SUM(L175*'Data Links'!$B$13)</f>
        <v>1.4133528</v>
      </c>
      <c r="M177" s="210">
        <f>SUM(M175*'Data Links'!$B$13)</f>
        <v>1.4133528</v>
      </c>
      <c r="N177" s="210">
        <f>SUM(N175*'Data Links'!$B$13)</f>
        <v>1.4133528</v>
      </c>
    </row>
    <row r="178" spans="1:14" x14ac:dyDescent="0.2">
      <c r="A178" s="59" t="s">
        <v>190</v>
      </c>
      <c r="C178" s="210">
        <f>SUM(C174*'Data Links'!$B$8)</f>
        <v>0.99881550000000008</v>
      </c>
      <c r="D178" s="210">
        <f>SUM(D174*'Data Links'!$B$8)</f>
        <v>0.99881550000000008</v>
      </c>
      <c r="E178" s="210">
        <f>SUM(E174*'Data Links'!$B$8)</f>
        <v>0.99881550000000008</v>
      </c>
      <c r="F178" s="210">
        <f>SUM(F174*'Data Links'!$B$8)</f>
        <v>0.99881550000000008</v>
      </c>
      <c r="G178" s="210">
        <f>SUM(G174*'Data Links'!$B$8)</f>
        <v>0.99881550000000008</v>
      </c>
      <c r="H178" s="210">
        <f>SUM(H174*'Data Links'!$B$8)</f>
        <v>0.99881550000000008</v>
      </c>
      <c r="I178" s="210">
        <f>SUM(I174*'Data Links'!$B$8)</f>
        <v>0.99881550000000008</v>
      </c>
      <c r="J178" s="210">
        <f>SUM(J174*'Data Links'!$B$8)</f>
        <v>0.99881550000000008</v>
      </c>
      <c r="K178" s="210">
        <f>SUM(K174*'Data Links'!$B$8)</f>
        <v>0.99881550000000008</v>
      </c>
      <c r="L178" s="210">
        <f>SUM(L174*'Data Links'!$B$8)</f>
        <v>0.99881550000000008</v>
      </c>
      <c r="M178" s="210">
        <f>SUM(M174*'Data Links'!$B$8)</f>
        <v>0.99881550000000008</v>
      </c>
      <c r="N178" s="210">
        <f>SUM(N174*'Data Links'!$B$8)</f>
        <v>0.99881550000000008</v>
      </c>
    </row>
    <row r="179" spans="1:14" x14ac:dyDescent="0.2">
      <c r="A179" s="59" t="s">
        <v>191</v>
      </c>
      <c r="C179" s="210">
        <f>SUM('All Employees'!$P$50*C173)</f>
        <v>31.411379310344831</v>
      </c>
      <c r="D179" s="210">
        <f>SUM('All Employees'!$P$50*D173)</f>
        <v>31.411379310344831</v>
      </c>
      <c r="E179" s="210">
        <f>SUM('All Employees'!$P$50*E173)</f>
        <v>31.411379310344831</v>
      </c>
      <c r="F179" s="210">
        <f>SUM('All Employees'!$P$50*F173)</f>
        <v>31.411379310344831</v>
      </c>
      <c r="G179" s="210">
        <f>SUM('All Employees'!$P$50*G173)</f>
        <v>31.411379310344831</v>
      </c>
      <c r="H179" s="210">
        <f>SUM('All Employees'!$P$50*H173)</f>
        <v>31.411379310344831</v>
      </c>
      <c r="I179" s="210">
        <f>SUM('All Employees'!$P$50*I173)</f>
        <v>31.411379310344831</v>
      </c>
      <c r="J179" s="210">
        <f>SUM('All Employees'!$P$50*J173)</f>
        <v>31.411379310344831</v>
      </c>
      <c r="K179" s="210">
        <f>SUM('All Employees'!$P$50*K173)</f>
        <v>31.411379310344831</v>
      </c>
      <c r="L179" s="210">
        <f>SUM('All Employees'!$P$50*L173)</f>
        <v>31.411379310344831</v>
      </c>
      <c r="M179" s="210">
        <f>SUM('All Employees'!$P$50*M173)</f>
        <v>31.411379310344831</v>
      </c>
      <c r="N179" s="210">
        <f>SUM('All Employees'!$P$50*N173)</f>
        <v>31.411379310344831</v>
      </c>
    </row>
    <row r="180" spans="1:14" x14ac:dyDescent="0.2">
      <c r="A180" s="59" t="s">
        <v>192</v>
      </c>
      <c r="C180" s="66"/>
      <c r="D180" s="66"/>
      <c r="E180" s="66"/>
      <c r="F180" s="66"/>
      <c r="G180" s="66"/>
      <c r="H180" s="66"/>
      <c r="I180" s="66"/>
      <c r="J180" s="66"/>
      <c r="K180" s="66"/>
      <c r="L180" s="66"/>
      <c r="M180" s="66"/>
      <c r="N180" s="66"/>
    </row>
    <row r="181" spans="1:14" s="58" customFormat="1" x14ac:dyDescent="0.2">
      <c r="A181" s="58" t="s">
        <v>144</v>
      </c>
      <c r="B181" s="60"/>
      <c r="C181" s="212">
        <f t="shared" ref="C181:N181" si="41">SUM(C175:C180)</f>
        <v>287.40259581034485</v>
      </c>
      <c r="D181" s="212">
        <f t="shared" si="41"/>
        <v>287.40259581034485</v>
      </c>
      <c r="E181" s="212">
        <f t="shared" si="41"/>
        <v>287.40259581034485</v>
      </c>
      <c r="F181" s="212">
        <f t="shared" si="41"/>
        <v>287.40259581034485</v>
      </c>
      <c r="G181" s="212">
        <f t="shared" si="41"/>
        <v>287.40259581034485</v>
      </c>
      <c r="H181" s="212">
        <f t="shared" si="41"/>
        <v>287.40259581034485</v>
      </c>
      <c r="I181" s="212">
        <f t="shared" si="41"/>
        <v>287.40259581034485</v>
      </c>
      <c r="J181" s="212">
        <f t="shared" si="41"/>
        <v>287.40259581034485</v>
      </c>
      <c r="K181" s="212">
        <f t="shared" si="41"/>
        <v>287.40259581034485</v>
      </c>
      <c r="L181" s="212">
        <f t="shared" si="41"/>
        <v>287.40259581034485</v>
      </c>
      <c r="M181" s="212">
        <f t="shared" si="41"/>
        <v>287.40259581034485</v>
      </c>
      <c r="N181" s="212">
        <f t="shared" si="41"/>
        <v>287.40259581034485</v>
      </c>
    </row>
    <row r="182" spans="1:14" x14ac:dyDescent="0.2">
      <c r="C182" s="60"/>
      <c r="D182" s="66"/>
      <c r="E182" s="66"/>
      <c r="F182" s="66"/>
      <c r="G182" s="66"/>
      <c r="H182" s="66"/>
      <c r="I182" s="66"/>
      <c r="J182" s="66"/>
      <c r="K182" s="66"/>
      <c r="L182" s="66"/>
      <c r="M182" s="66"/>
      <c r="N182" s="66"/>
    </row>
    <row r="183" spans="1:14" x14ac:dyDescent="0.2">
      <c r="C183" s="89" t="str">
        <f>C170</f>
        <v>January</v>
      </c>
      <c r="D183" s="89" t="str">
        <f t="shared" ref="D183:N183" si="42">D170</f>
        <v>February</v>
      </c>
      <c r="E183" s="89" t="str">
        <f t="shared" si="42"/>
        <v>March</v>
      </c>
      <c r="F183" s="89" t="str">
        <f t="shared" si="42"/>
        <v>April</v>
      </c>
      <c r="G183" s="89" t="str">
        <f t="shared" si="42"/>
        <v>May</v>
      </c>
      <c r="H183" s="89" t="str">
        <f t="shared" si="42"/>
        <v>June</v>
      </c>
      <c r="I183" s="89" t="str">
        <f t="shared" si="42"/>
        <v>July</v>
      </c>
      <c r="J183" s="89" t="str">
        <f t="shared" si="42"/>
        <v>August</v>
      </c>
      <c r="K183" s="89" t="str">
        <f t="shared" si="42"/>
        <v>September</v>
      </c>
      <c r="L183" s="89" t="str">
        <f t="shared" si="42"/>
        <v>October</v>
      </c>
      <c r="M183" s="89" t="str">
        <f t="shared" si="42"/>
        <v>November</v>
      </c>
      <c r="N183" s="89" t="str">
        <f t="shared" si="42"/>
        <v>December</v>
      </c>
    </row>
    <row r="184" spans="1:14" x14ac:dyDescent="0.2">
      <c r="C184" s="89">
        <f t="shared" ref="C184:N185" si="43">C171</f>
        <v>31</v>
      </c>
      <c r="D184" s="89">
        <f t="shared" si="43"/>
        <v>31</v>
      </c>
      <c r="E184" s="89">
        <f t="shared" si="43"/>
        <v>30</v>
      </c>
      <c r="F184" s="89">
        <f t="shared" si="43"/>
        <v>31</v>
      </c>
      <c r="G184" s="89">
        <f t="shared" si="43"/>
        <v>30</v>
      </c>
      <c r="H184" s="89">
        <f t="shared" si="43"/>
        <v>31</v>
      </c>
      <c r="I184" s="89">
        <f t="shared" si="43"/>
        <v>31</v>
      </c>
      <c r="J184" s="89">
        <f t="shared" si="43"/>
        <v>28</v>
      </c>
      <c r="K184" s="89">
        <f t="shared" si="43"/>
        <v>31</v>
      </c>
      <c r="L184" s="89">
        <f t="shared" si="43"/>
        <v>30</v>
      </c>
      <c r="M184" s="89">
        <f t="shared" si="43"/>
        <v>31</v>
      </c>
      <c r="N184" s="89">
        <f t="shared" si="43"/>
        <v>30</v>
      </c>
    </row>
    <row r="185" spans="1:14" x14ac:dyDescent="0.2">
      <c r="B185" s="89" t="s">
        <v>185</v>
      </c>
      <c r="C185" s="78">
        <f t="shared" si="43"/>
        <v>0</v>
      </c>
      <c r="D185" s="78">
        <f t="shared" si="43"/>
        <v>1</v>
      </c>
      <c r="E185" s="78">
        <f t="shared" si="43"/>
        <v>0</v>
      </c>
      <c r="F185" s="78">
        <f t="shared" si="43"/>
        <v>1</v>
      </c>
      <c r="G185" s="78">
        <f t="shared" si="43"/>
        <v>0</v>
      </c>
      <c r="H185" s="78">
        <f t="shared" si="43"/>
        <v>1</v>
      </c>
      <c r="I185" s="78">
        <f t="shared" si="43"/>
        <v>1</v>
      </c>
      <c r="J185" s="78">
        <f t="shared" si="43"/>
        <v>1</v>
      </c>
      <c r="K185" s="78">
        <f t="shared" si="43"/>
        <v>1</v>
      </c>
      <c r="L185" s="78">
        <f t="shared" si="43"/>
        <v>2</v>
      </c>
      <c r="M185" s="78">
        <f t="shared" si="43"/>
        <v>1</v>
      </c>
      <c r="N185" s="78">
        <f t="shared" si="43"/>
        <v>0</v>
      </c>
    </row>
    <row r="186" spans="1:14" x14ac:dyDescent="0.2">
      <c r="B186" s="89" t="s">
        <v>44</v>
      </c>
      <c r="C186" s="49">
        <f>SUM('Program Support Allocations'!$C$29)</f>
        <v>7.3735632183908051E-2</v>
      </c>
      <c r="D186" s="49">
        <f>SUM('Program Support Allocations'!$C$29)</f>
        <v>7.3735632183908051E-2</v>
      </c>
      <c r="E186" s="49">
        <f>SUM('Program Support Allocations'!$C$29)</f>
        <v>7.3735632183908051E-2</v>
      </c>
      <c r="F186" s="49">
        <f>SUM('Program Support Allocations'!$C$29)</f>
        <v>7.3735632183908051E-2</v>
      </c>
      <c r="G186" s="49">
        <f>SUM('Program Support Allocations'!$C$29)</f>
        <v>7.3735632183908051E-2</v>
      </c>
      <c r="H186" s="49">
        <f>SUM('Program Support Allocations'!$C$29)</f>
        <v>7.3735632183908051E-2</v>
      </c>
      <c r="I186" s="49">
        <f>SUM('Program Support Allocations'!$C$29)</f>
        <v>7.3735632183908051E-2</v>
      </c>
      <c r="J186" s="49">
        <f>SUM('Program Support Allocations'!$C$29)</f>
        <v>7.3735632183908051E-2</v>
      </c>
      <c r="K186" s="49">
        <f>SUM('Program Support Allocations'!$C$29)</f>
        <v>7.3735632183908051E-2</v>
      </c>
      <c r="L186" s="49">
        <f>SUM('Program Support Allocations'!$C$29)</f>
        <v>7.3735632183908051E-2</v>
      </c>
      <c r="M186" s="49">
        <f>SUM('Program Support Allocations'!$C$29)</f>
        <v>7.3735632183908051E-2</v>
      </c>
      <c r="N186" s="49">
        <f>SUM('Program Support Allocations'!$C$29)</f>
        <v>7.3735632183908051E-2</v>
      </c>
    </row>
    <row r="187" spans="1:14" x14ac:dyDescent="0.2">
      <c r="B187" s="89" t="s">
        <v>186</v>
      </c>
      <c r="C187" s="53">
        <f>SUM(174*C186)</f>
        <v>12.83</v>
      </c>
      <c r="D187" s="53">
        <f t="shared" ref="D187:N187" si="44">SUM(174*D186)</f>
        <v>12.83</v>
      </c>
      <c r="E187" s="53">
        <f t="shared" si="44"/>
        <v>12.83</v>
      </c>
      <c r="F187" s="53">
        <f t="shared" si="44"/>
        <v>12.83</v>
      </c>
      <c r="G187" s="53">
        <f t="shared" si="44"/>
        <v>12.83</v>
      </c>
      <c r="H187" s="53">
        <f t="shared" si="44"/>
        <v>12.83</v>
      </c>
      <c r="I187" s="53">
        <f t="shared" si="44"/>
        <v>12.83</v>
      </c>
      <c r="J187" s="53">
        <f t="shared" si="44"/>
        <v>12.83</v>
      </c>
      <c r="K187" s="53">
        <f t="shared" si="44"/>
        <v>12.83</v>
      </c>
      <c r="L187" s="53">
        <f t="shared" si="44"/>
        <v>12.83</v>
      </c>
      <c r="M187" s="53">
        <f t="shared" si="44"/>
        <v>12.83</v>
      </c>
      <c r="N187" s="53">
        <f t="shared" si="44"/>
        <v>12.83</v>
      </c>
    </row>
    <row r="188" spans="1:14" x14ac:dyDescent="0.2">
      <c r="A188" s="59" t="s">
        <v>623</v>
      </c>
      <c r="B188" s="78" t="s">
        <v>187</v>
      </c>
      <c r="C188" s="66">
        <f>SUM(C187*$B$189)</f>
        <v>366.03989999999999</v>
      </c>
      <c r="D188" s="66">
        <f t="shared" ref="D188:N188" si="45">SUM(D187*$B$189)</f>
        <v>366.03989999999999</v>
      </c>
      <c r="E188" s="66">
        <f t="shared" si="45"/>
        <v>366.03989999999999</v>
      </c>
      <c r="F188" s="66">
        <f t="shared" si="45"/>
        <v>366.03989999999999</v>
      </c>
      <c r="G188" s="66">
        <f t="shared" si="45"/>
        <v>366.03989999999999</v>
      </c>
      <c r="H188" s="66">
        <f t="shared" si="45"/>
        <v>366.03989999999999</v>
      </c>
      <c r="I188" s="66">
        <f t="shared" si="45"/>
        <v>366.03989999999999</v>
      </c>
      <c r="J188" s="66">
        <f t="shared" si="45"/>
        <v>366.03989999999999</v>
      </c>
      <c r="K188" s="66">
        <f t="shared" si="45"/>
        <v>366.03989999999999</v>
      </c>
      <c r="L188" s="66">
        <f t="shared" si="45"/>
        <v>366.03989999999999</v>
      </c>
      <c r="M188" s="66">
        <f t="shared" si="45"/>
        <v>366.03989999999999</v>
      </c>
      <c r="N188" s="66">
        <f t="shared" si="45"/>
        <v>366.03989999999999</v>
      </c>
    </row>
    <row r="189" spans="1:14" x14ac:dyDescent="0.2">
      <c r="A189" s="59" t="s">
        <v>188</v>
      </c>
      <c r="B189" s="74">
        <v>28.53</v>
      </c>
      <c r="C189" s="66">
        <f>SUM(C188)*'Data Links'!$B$15</f>
        <v>28.00205235</v>
      </c>
      <c r="D189" s="66">
        <f>SUM(D188)*'Data Links'!$B$15</f>
        <v>28.00205235</v>
      </c>
      <c r="E189" s="66">
        <f>SUM(E188)*'Data Links'!$B$15</f>
        <v>28.00205235</v>
      </c>
      <c r="F189" s="66">
        <f>SUM(F188)*'Data Links'!$B$15</f>
        <v>28.00205235</v>
      </c>
      <c r="G189" s="66">
        <f>SUM(G188)*'Data Links'!$B$15</f>
        <v>28.00205235</v>
      </c>
      <c r="H189" s="66">
        <f>SUM(H188)*'Data Links'!$B$15</f>
        <v>28.00205235</v>
      </c>
      <c r="I189" s="66">
        <f>SUM(I188)*'Data Links'!$B$15</f>
        <v>28.00205235</v>
      </c>
      <c r="J189" s="66">
        <f>SUM(J188)*'Data Links'!$B$15</f>
        <v>28.00205235</v>
      </c>
      <c r="K189" s="66">
        <f>SUM(K188)*'Data Links'!$B$15</f>
        <v>28.00205235</v>
      </c>
      <c r="L189" s="66">
        <f>SUM(L188)*'Data Links'!$B$15</f>
        <v>28.00205235</v>
      </c>
      <c r="M189" s="66">
        <f>SUM(M188)*'Data Links'!$B$15</f>
        <v>28.00205235</v>
      </c>
      <c r="N189" s="66">
        <f>SUM(N188)*'Data Links'!$B$15</f>
        <v>28.00205235</v>
      </c>
    </row>
    <row r="190" spans="1:14" x14ac:dyDescent="0.2">
      <c r="A190" s="59" t="s">
        <v>189</v>
      </c>
      <c r="C190" s="66">
        <f>SUM(C188*'Data Links'!$B$13)</f>
        <v>2.1962394000000001</v>
      </c>
      <c r="D190" s="66">
        <f>SUM(D188*'Data Links'!$B$13)</f>
        <v>2.1962394000000001</v>
      </c>
      <c r="E190" s="66">
        <f>SUM(E188*'Data Links'!$B$13)</f>
        <v>2.1962394000000001</v>
      </c>
      <c r="F190" s="66">
        <f>SUM(F188*'Data Links'!$B$13)</f>
        <v>2.1962394000000001</v>
      </c>
      <c r="G190" s="66">
        <f>SUM(G188*'Data Links'!$B$13)</f>
        <v>2.1962394000000001</v>
      </c>
      <c r="H190" s="66">
        <f>SUM(H188*'Data Links'!$B$13)</f>
        <v>2.1962394000000001</v>
      </c>
      <c r="I190" s="66">
        <f>SUM(I188*'Data Links'!$B$13)</f>
        <v>2.1962394000000001</v>
      </c>
      <c r="J190" s="66">
        <f>SUM(J188*'Data Links'!$B$13)</f>
        <v>2.1962394000000001</v>
      </c>
      <c r="K190" s="66">
        <f>SUM(K188*'Data Links'!$B$13)</f>
        <v>2.1962394000000001</v>
      </c>
      <c r="L190" s="66">
        <f>SUM(L188*'Data Links'!$B$13)</f>
        <v>2.1962394000000001</v>
      </c>
      <c r="M190" s="66">
        <f>SUM(M188*'Data Links'!$B$13)</f>
        <v>2.1962394000000001</v>
      </c>
      <c r="N190" s="66">
        <f>SUM(N188*'Data Links'!$B$13)</f>
        <v>2.1962394000000001</v>
      </c>
    </row>
    <row r="191" spans="1:14" x14ac:dyDescent="0.2">
      <c r="A191" s="59" t="s">
        <v>190</v>
      </c>
      <c r="C191" s="66">
        <f>SUM(C187*'Data Links'!$B$8)</f>
        <v>0.99881550000000008</v>
      </c>
      <c r="D191" s="66">
        <f>SUM(D187*'Data Links'!$B$8)</f>
        <v>0.99881550000000008</v>
      </c>
      <c r="E191" s="66">
        <f>SUM(E187*'Data Links'!$B$8)</f>
        <v>0.99881550000000008</v>
      </c>
      <c r="F191" s="66">
        <f>SUM(F187*'Data Links'!$B$8)</f>
        <v>0.99881550000000008</v>
      </c>
      <c r="G191" s="66">
        <f>SUM(G187*'Data Links'!$B$8)</f>
        <v>0.99881550000000008</v>
      </c>
      <c r="H191" s="66">
        <f>SUM(H187*'Data Links'!$B$8)</f>
        <v>0.99881550000000008</v>
      </c>
      <c r="I191" s="66">
        <f>SUM(I187*'Data Links'!$B$8)</f>
        <v>0.99881550000000008</v>
      </c>
      <c r="J191" s="66">
        <f>SUM(J187*'Data Links'!$B$8)</f>
        <v>0.99881550000000008</v>
      </c>
      <c r="K191" s="66">
        <f>SUM(K187*'Data Links'!$B$8)</f>
        <v>0.99881550000000008</v>
      </c>
      <c r="L191" s="66">
        <f>SUM(L187*'Data Links'!$B$8)</f>
        <v>0.99881550000000008</v>
      </c>
      <c r="M191" s="66">
        <f>SUM(M187*'Data Links'!$B$8)</f>
        <v>0.99881550000000008</v>
      </c>
      <c r="N191" s="66">
        <f>SUM(N187*'Data Links'!$B$8)</f>
        <v>0.99881550000000008</v>
      </c>
    </row>
    <row r="192" spans="1:14" x14ac:dyDescent="0.2">
      <c r="A192" s="59" t="s">
        <v>191</v>
      </c>
      <c r="C192" s="66">
        <f>SUM('All Employees'!$P$51*C186)</f>
        <v>31.411379310344831</v>
      </c>
      <c r="D192" s="66">
        <f>SUM('All Employees'!$P$51*D186)</f>
        <v>31.411379310344831</v>
      </c>
      <c r="E192" s="66">
        <f>SUM('All Employees'!$P$51*E186)</f>
        <v>31.411379310344831</v>
      </c>
      <c r="F192" s="66">
        <f>SUM('All Employees'!$P$51*F186)</f>
        <v>31.411379310344831</v>
      </c>
      <c r="G192" s="66">
        <f>SUM('All Employees'!$P$51*G186)</f>
        <v>31.411379310344831</v>
      </c>
      <c r="H192" s="66">
        <f>SUM('All Employees'!$P$51*H186)</f>
        <v>31.411379310344831</v>
      </c>
      <c r="I192" s="66">
        <f>SUM('All Employees'!$P$51*I186)</f>
        <v>31.411379310344831</v>
      </c>
      <c r="J192" s="66">
        <f>SUM('All Employees'!$P$51*J186)</f>
        <v>31.411379310344831</v>
      </c>
      <c r="K192" s="66">
        <f>SUM('All Employees'!$P$51*K186)</f>
        <v>31.411379310344831</v>
      </c>
      <c r="L192" s="66">
        <f>SUM('All Employees'!$P$51*L186)</f>
        <v>31.411379310344831</v>
      </c>
      <c r="M192" s="66">
        <f>SUM('All Employees'!$P$51*M186)</f>
        <v>31.411379310344831</v>
      </c>
      <c r="N192" s="66">
        <f>SUM('All Employees'!$P$51*N186)</f>
        <v>31.411379310344831</v>
      </c>
    </row>
    <row r="193" spans="1:15" x14ac:dyDescent="0.2">
      <c r="A193" s="59" t="s">
        <v>192</v>
      </c>
      <c r="C193" s="66">
        <f>SUM(C188*'Data Links'!$B$17)</f>
        <v>10.981197</v>
      </c>
      <c r="D193" s="66">
        <f>SUM(D188*'Data Links'!$B$17)</f>
        <v>10.981197</v>
      </c>
      <c r="E193" s="66">
        <f>SUM(E188*'Data Links'!$B$17)</f>
        <v>10.981197</v>
      </c>
      <c r="F193" s="66">
        <f>SUM(F188*'Data Links'!$B$17)</f>
        <v>10.981197</v>
      </c>
      <c r="G193" s="66">
        <f>SUM(G188*'Data Links'!$B$17)</f>
        <v>10.981197</v>
      </c>
      <c r="H193" s="66">
        <f>SUM(H188*'Data Links'!$B$17)</f>
        <v>10.981197</v>
      </c>
      <c r="I193" s="66">
        <f>SUM(I188*'Data Links'!$B$17)</f>
        <v>10.981197</v>
      </c>
      <c r="J193" s="66">
        <f>SUM(J188*'Data Links'!$B$17)</f>
        <v>10.981197</v>
      </c>
      <c r="K193" s="66">
        <f>SUM(K188*'Data Links'!$B$17)</f>
        <v>10.981197</v>
      </c>
      <c r="L193" s="66">
        <f>SUM(L188*'Data Links'!$B$17)</f>
        <v>10.981197</v>
      </c>
      <c r="M193" s="66">
        <f>SUM(M188*'Data Links'!$B$17)</f>
        <v>10.981197</v>
      </c>
      <c r="N193" s="66">
        <f>SUM(N188*'Data Links'!$B$17)</f>
        <v>10.981197</v>
      </c>
    </row>
    <row r="194" spans="1:15" s="58" customFormat="1" x14ac:dyDescent="0.2">
      <c r="A194" s="58" t="s">
        <v>144</v>
      </c>
      <c r="B194" s="60"/>
      <c r="C194" s="60">
        <f t="shared" ref="C194:N194" si="46">SUM(C188:C193)</f>
        <v>439.62958356034483</v>
      </c>
      <c r="D194" s="60">
        <f t="shared" si="46"/>
        <v>439.62958356034483</v>
      </c>
      <c r="E194" s="60">
        <f t="shared" si="46"/>
        <v>439.62958356034483</v>
      </c>
      <c r="F194" s="60">
        <f t="shared" si="46"/>
        <v>439.62958356034483</v>
      </c>
      <c r="G194" s="60">
        <f t="shared" si="46"/>
        <v>439.62958356034483</v>
      </c>
      <c r="H194" s="60">
        <f t="shared" si="46"/>
        <v>439.62958356034483</v>
      </c>
      <c r="I194" s="60">
        <f t="shared" si="46"/>
        <v>439.62958356034483</v>
      </c>
      <c r="J194" s="60">
        <f t="shared" si="46"/>
        <v>439.62958356034483</v>
      </c>
      <c r="K194" s="60">
        <f t="shared" si="46"/>
        <v>439.62958356034483</v>
      </c>
      <c r="L194" s="60">
        <f t="shared" si="46"/>
        <v>439.62958356034483</v>
      </c>
      <c r="M194" s="60">
        <f t="shared" si="46"/>
        <v>439.62958356034483</v>
      </c>
      <c r="N194" s="60">
        <f t="shared" si="46"/>
        <v>439.62958356034483</v>
      </c>
      <c r="O194" s="60">
        <f>SUM(C194:N194)</f>
        <v>5275.5550027241397</v>
      </c>
    </row>
    <row r="195" spans="1:15" x14ac:dyDescent="0.2">
      <c r="C195" s="60"/>
      <c r="D195" s="66"/>
      <c r="E195" s="66"/>
      <c r="F195" s="66"/>
      <c r="G195" s="66"/>
      <c r="H195" s="66"/>
      <c r="I195" s="66"/>
      <c r="J195" s="66"/>
      <c r="K195" s="66"/>
      <c r="L195" s="66"/>
      <c r="M195" s="66"/>
      <c r="N195" s="66"/>
    </row>
    <row r="196" spans="1:15" hidden="1" x14ac:dyDescent="0.2">
      <c r="C196" s="89" t="str">
        <f>C183</f>
        <v>January</v>
      </c>
      <c r="D196" s="89" t="str">
        <f t="shared" ref="D196:M196" si="47">D183</f>
        <v>February</v>
      </c>
      <c r="E196" s="89" t="str">
        <f t="shared" si="47"/>
        <v>March</v>
      </c>
      <c r="F196" s="89" t="str">
        <f t="shared" si="47"/>
        <v>April</v>
      </c>
      <c r="G196" s="89" t="str">
        <f t="shared" si="47"/>
        <v>May</v>
      </c>
      <c r="H196" s="89" t="str">
        <f t="shared" si="47"/>
        <v>June</v>
      </c>
      <c r="I196" s="89" t="str">
        <f t="shared" si="47"/>
        <v>July</v>
      </c>
      <c r="J196" s="89" t="str">
        <f t="shared" si="47"/>
        <v>August</v>
      </c>
      <c r="K196" s="89" t="str">
        <f t="shared" si="47"/>
        <v>September</v>
      </c>
      <c r="L196" s="89" t="str">
        <f t="shared" si="47"/>
        <v>October</v>
      </c>
      <c r="M196" s="89" t="str">
        <f t="shared" si="47"/>
        <v>November</v>
      </c>
      <c r="N196" s="89" t="str">
        <f>N183</f>
        <v>December</v>
      </c>
    </row>
    <row r="197" spans="1:15" hidden="1" x14ac:dyDescent="0.2">
      <c r="C197" s="89">
        <f t="shared" ref="C197:N198" si="48">C184</f>
        <v>31</v>
      </c>
      <c r="D197" s="89">
        <f t="shared" si="48"/>
        <v>31</v>
      </c>
      <c r="E197" s="89">
        <f t="shared" si="48"/>
        <v>30</v>
      </c>
      <c r="F197" s="89">
        <f t="shared" si="48"/>
        <v>31</v>
      </c>
      <c r="G197" s="89">
        <f t="shared" si="48"/>
        <v>30</v>
      </c>
      <c r="H197" s="89">
        <f t="shared" si="48"/>
        <v>31</v>
      </c>
      <c r="I197" s="89">
        <f t="shared" si="48"/>
        <v>31</v>
      </c>
      <c r="J197" s="89">
        <f t="shared" si="48"/>
        <v>28</v>
      </c>
      <c r="K197" s="89">
        <f t="shared" si="48"/>
        <v>31</v>
      </c>
      <c r="L197" s="89">
        <f t="shared" si="48"/>
        <v>30</v>
      </c>
      <c r="M197" s="89">
        <f t="shared" si="48"/>
        <v>31</v>
      </c>
      <c r="N197" s="89">
        <f t="shared" si="48"/>
        <v>30</v>
      </c>
    </row>
    <row r="198" spans="1:15" hidden="1" x14ac:dyDescent="0.2">
      <c r="B198" s="89" t="s">
        <v>185</v>
      </c>
      <c r="C198" s="78">
        <f t="shared" si="48"/>
        <v>0</v>
      </c>
      <c r="D198" s="78">
        <f t="shared" si="48"/>
        <v>1</v>
      </c>
      <c r="E198" s="78">
        <f t="shared" si="48"/>
        <v>0</v>
      </c>
      <c r="F198" s="78">
        <f t="shared" si="48"/>
        <v>1</v>
      </c>
      <c r="G198" s="78">
        <f t="shared" si="48"/>
        <v>0</v>
      </c>
      <c r="H198" s="78">
        <f t="shared" si="48"/>
        <v>1</v>
      </c>
      <c r="I198" s="78">
        <f t="shared" si="48"/>
        <v>1</v>
      </c>
      <c r="J198" s="78">
        <f t="shared" si="48"/>
        <v>1</v>
      </c>
      <c r="K198" s="78">
        <f t="shared" si="48"/>
        <v>1</v>
      </c>
      <c r="L198" s="78">
        <f t="shared" si="48"/>
        <v>2</v>
      </c>
      <c r="M198" s="78">
        <f t="shared" si="48"/>
        <v>1</v>
      </c>
      <c r="N198" s="78">
        <f t="shared" si="48"/>
        <v>0</v>
      </c>
    </row>
    <row r="199" spans="1:15" hidden="1" x14ac:dyDescent="0.2">
      <c r="B199" s="89" t="s">
        <v>44</v>
      </c>
      <c r="C199" s="49"/>
      <c r="D199" s="49"/>
      <c r="E199" s="49"/>
      <c r="F199" s="49"/>
      <c r="G199" s="49"/>
      <c r="H199" s="49"/>
      <c r="I199" s="49"/>
      <c r="J199" s="49"/>
      <c r="K199" s="49"/>
      <c r="L199" s="49"/>
      <c r="M199" s="49"/>
      <c r="N199" s="49"/>
    </row>
    <row r="200" spans="1:15" hidden="1" x14ac:dyDescent="0.2">
      <c r="B200" s="89" t="s">
        <v>186</v>
      </c>
      <c r="C200" s="53">
        <f>SUM(174*C199)</f>
        <v>0</v>
      </c>
      <c r="D200" s="53">
        <f t="shared" ref="D200:N200" si="49">SUM(174*D199)</f>
        <v>0</v>
      </c>
      <c r="E200" s="53">
        <f t="shared" si="49"/>
        <v>0</v>
      </c>
      <c r="F200" s="53">
        <f t="shared" si="49"/>
        <v>0</v>
      </c>
      <c r="G200" s="53">
        <f t="shared" si="49"/>
        <v>0</v>
      </c>
      <c r="H200" s="53">
        <f t="shared" si="49"/>
        <v>0</v>
      </c>
      <c r="I200" s="53">
        <f t="shared" si="49"/>
        <v>0</v>
      </c>
      <c r="J200" s="53">
        <f t="shared" si="49"/>
        <v>0</v>
      </c>
      <c r="K200" s="53">
        <f t="shared" si="49"/>
        <v>0</v>
      </c>
      <c r="L200" s="53">
        <f t="shared" si="49"/>
        <v>0</v>
      </c>
      <c r="M200" s="53">
        <f t="shared" si="49"/>
        <v>0</v>
      </c>
      <c r="N200" s="53">
        <f t="shared" si="49"/>
        <v>0</v>
      </c>
    </row>
    <row r="201" spans="1:15" hidden="1" x14ac:dyDescent="0.2">
      <c r="A201" s="59" t="s">
        <v>542</v>
      </c>
      <c r="B201" s="78" t="s">
        <v>187</v>
      </c>
      <c r="C201" s="66">
        <f>SUM(C200*$B$202)</f>
        <v>0</v>
      </c>
      <c r="D201" s="66">
        <f t="shared" ref="D201:N201" si="50">SUM(D200*$B$202)</f>
        <v>0</v>
      </c>
      <c r="E201" s="66">
        <f t="shared" si="50"/>
        <v>0</v>
      </c>
      <c r="F201" s="66">
        <f t="shared" si="50"/>
        <v>0</v>
      </c>
      <c r="G201" s="66">
        <f t="shared" si="50"/>
        <v>0</v>
      </c>
      <c r="H201" s="66">
        <f t="shared" si="50"/>
        <v>0</v>
      </c>
      <c r="I201" s="66">
        <f t="shared" si="50"/>
        <v>0</v>
      </c>
      <c r="J201" s="66">
        <f t="shared" si="50"/>
        <v>0</v>
      </c>
      <c r="K201" s="66">
        <f t="shared" si="50"/>
        <v>0</v>
      </c>
      <c r="L201" s="66">
        <f t="shared" si="50"/>
        <v>0</v>
      </c>
      <c r="M201" s="66">
        <f t="shared" si="50"/>
        <v>0</v>
      </c>
      <c r="N201" s="66">
        <f t="shared" si="50"/>
        <v>0</v>
      </c>
    </row>
    <row r="202" spans="1:15" hidden="1" x14ac:dyDescent="0.2">
      <c r="A202" s="59" t="s">
        <v>188</v>
      </c>
      <c r="B202" s="74">
        <v>0</v>
      </c>
      <c r="C202" s="66">
        <f>SUM(C201)*'Data Links'!$B$15</f>
        <v>0</v>
      </c>
      <c r="D202" s="66">
        <f>SUM(D201)*'Data Links'!$B$15</f>
        <v>0</v>
      </c>
      <c r="E202" s="66">
        <f>SUM(E201)*'Data Links'!$B$15</f>
        <v>0</v>
      </c>
      <c r="F202" s="66">
        <f>SUM(F201)*'Data Links'!$B$15</f>
        <v>0</v>
      </c>
      <c r="G202" s="66">
        <f>SUM(G201)*'Data Links'!$B$15</f>
        <v>0</v>
      </c>
      <c r="H202" s="66">
        <f>SUM(H201)*'Data Links'!$B$15</f>
        <v>0</v>
      </c>
      <c r="I202" s="66">
        <f>SUM(I201)*'Data Links'!$B$15</f>
        <v>0</v>
      </c>
      <c r="J202" s="66">
        <f>SUM(J201)*'Data Links'!$B$15</f>
        <v>0</v>
      </c>
      <c r="K202" s="66">
        <f>SUM(K201)*'Data Links'!$B$15</f>
        <v>0</v>
      </c>
      <c r="L202" s="66">
        <f>SUM(L201)*'Data Links'!$B$15</f>
        <v>0</v>
      </c>
      <c r="M202" s="66">
        <f>SUM(M201)*'Data Links'!$B$15</f>
        <v>0</v>
      </c>
      <c r="N202" s="66">
        <f>SUM(N201)*'Data Links'!$B$15</f>
        <v>0</v>
      </c>
    </row>
    <row r="203" spans="1:15" hidden="1" x14ac:dyDescent="0.2">
      <c r="A203" s="59" t="s">
        <v>189</v>
      </c>
      <c r="C203" s="66">
        <f>SUM(C201*'Data Links'!$B$13)</f>
        <v>0</v>
      </c>
      <c r="D203" s="66">
        <f>SUM(D201*'Data Links'!$B$13)</f>
        <v>0</v>
      </c>
      <c r="E203" s="66">
        <f>SUM(E201*'Data Links'!$B$13)</f>
        <v>0</v>
      </c>
      <c r="F203" s="66">
        <f>SUM(F201*'Data Links'!$B$13)</f>
        <v>0</v>
      </c>
      <c r="G203" s="66">
        <f>SUM(G201*'Data Links'!$B$13)</f>
        <v>0</v>
      </c>
      <c r="H203" s="66">
        <f>SUM(H201*'Data Links'!$B$13)</f>
        <v>0</v>
      </c>
      <c r="I203" s="66">
        <f>SUM(I201*'Data Links'!$B$13)</f>
        <v>0</v>
      </c>
      <c r="J203" s="66">
        <f>SUM(J201*'Data Links'!$B$13)</f>
        <v>0</v>
      </c>
      <c r="K203" s="66">
        <f>SUM(K201*'Data Links'!$B$13)</f>
        <v>0</v>
      </c>
      <c r="L203" s="66">
        <f>SUM(L201*'Data Links'!$B$13)</f>
        <v>0</v>
      </c>
      <c r="M203" s="66">
        <f>SUM(M201*'Data Links'!$B$13)</f>
        <v>0</v>
      </c>
      <c r="N203" s="66">
        <f>SUM(N201*'Data Links'!$B$13)</f>
        <v>0</v>
      </c>
    </row>
    <row r="204" spans="1:15" hidden="1" x14ac:dyDescent="0.2">
      <c r="A204" s="59" t="s">
        <v>190</v>
      </c>
      <c r="C204" s="66">
        <f>SUM(C200*'Data Links'!$B$8)</f>
        <v>0</v>
      </c>
      <c r="D204" s="66">
        <f>SUM(D200*'Data Links'!$B$8)</f>
        <v>0</v>
      </c>
      <c r="E204" s="66">
        <f>SUM(E200*'Data Links'!$B$8)</f>
        <v>0</v>
      </c>
      <c r="F204" s="66">
        <f>SUM(F200*'Data Links'!$B$8)</f>
        <v>0</v>
      </c>
      <c r="G204" s="66">
        <f>SUM(G200*'Data Links'!$B$8)</f>
        <v>0</v>
      </c>
      <c r="H204" s="66">
        <f>SUM(H200*'Data Links'!$B$8)</f>
        <v>0</v>
      </c>
      <c r="I204" s="66">
        <f>SUM(I200*'Data Links'!$B$8)</f>
        <v>0</v>
      </c>
      <c r="J204" s="66">
        <f>SUM(J200*'Data Links'!$B$8)</f>
        <v>0</v>
      </c>
      <c r="K204" s="66">
        <f>SUM(K200*'Data Links'!$B$8)</f>
        <v>0</v>
      </c>
      <c r="L204" s="66">
        <f>SUM(L200*'Data Links'!$B$8)</f>
        <v>0</v>
      </c>
      <c r="M204" s="66">
        <f>SUM(M200*'Data Links'!$B$8)</f>
        <v>0</v>
      </c>
      <c r="N204" s="66">
        <f>SUM(N200*'Data Links'!$B$8)</f>
        <v>0</v>
      </c>
    </row>
    <row r="205" spans="1:15" hidden="1" x14ac:dyDescent="0.2">
      <c r="A205" s="59" t="s">
        <v>191</v>
      </c>
      <c r="C205" s="66">
        <f>SUM(C199*'Data Links'!$B$26)</f>
        <v>0</v>
      </c>
      <c r="D205" s="66">
        <f>SUM(D199*'Data Links'!$B$26)</f>
        <v>0</v>
      </c>
      <c r="E205" s="66">
        <f>SUM(E199*'Data Links'!$B$26)</f>
        <v>0</v>
      </c>
      <c r="F205" s="66">
        <f>SUM(F199*'Data Links'!$B$26)</f>
        <v>0</v>
      </c>
      <c r="G205" s="66">
        <f>SUM(G199*'Data Links'!$B$26)</f>
        <v>0</v>
      </c>
      <c r="H205" s="66">
        <f>SUM(H199*'Data Links'!$B$26)</f>
        <v>0</v>
      </c>
      <c r="I205" s="66">
        <f>SUM(I199*'Data Links'!$B$26)</f>
        <v>0</v>
      </c>
      <c r="J205" s="66">
        <f>SUM(J199*'Data Links'!$B$26)</f>
        <v>0</v>
      </c>
      <c r="K205" s="66">
        <f>SUM(K199*'Data Links'!$B$26)</f>
        <v>0</v>
      </c>
      <c r="L205" s="66">
        <f>SUM(L199*'Data Links'!$B$26)</f>
        <v>0</v>
      </c>
      <c r="M205" s="66">
        <f>SUM(M199*'Data Links'!$B$26)</f>
        <v>0</v>
      </c>
      <c r="N205" s="66">
        <f>SUM(N199*'Data Links'!$B$26)</f>
        <v>0</v>
      </c>
    </row>
    <row r="206" spans="1:15" hidden="1" x14ac:dyDescent="0.2">
      <c r="A206" s="59" t="s">
        <v>192</v>
      </c>
      <c r="C206" s="66">
        <f>SUM(C201*'Data Links'!$B$17)</f>
        <v>0</v>
      </c>
      <c r="D206" s="66">
        <f>SUM(D201*'Data Links'!$B$17)</f>
        <v>0</v>
      </c>
      <c r="E206" s="66">
        <f>SUM(E201*'Data Links'!$B$17)</f>
        <v>0</v>
      </c>
      <c r="F206" s="66">
        <f>SUM(F201*'Data Links'!$B$17)</f>
        <v>0</v>
      </c>
      <c r="G206" s="66">
        <f>SUM(G201*'Data Links'!$B$17)</f>
        <v>0</v>
      </c>
      <c r="H206" s="66">
        <f>SUM(H201*'Data Links'!$B$17)</f>
        <v>0</v>
      </c>
      <c r="I206" s="66">
        <f>SUM(I201*'Data Links'!$B$17)</f>
        <v>0</v>
      </c>
      <c r="J206" s="66">
        <f>SUM(J201*'Data Links'!$B$17)</f>
        <v>0</v>
      </c>
      <c r="K206" s="66">
        <f>SUM(K201*'Data Links'!$B$17)</f>
        <v>0</v>
      </c>
      <c r="L206" s="66">
        <f>SUM(L201*'Data Links'!$B$17)</f>
        <v>0</v>
      </c>
      <c r="M206" s="66">
        <f>SUM(M201*'Data Links'!$B$17)</f>
        <v>0</v>
      </c>
      <c r="N206" s="66">
        <f>SUM(N201*'Data Links'!$B$17)</f>
        <v>0</v>
      </c>
    </row>
    <row r="207" spans="1:15" s="58" customFormat="1" hidden="1" x14ac:dyDescent="0.2">
      <c r="A207" s="58" t="s">
        <v>144</v>
      </c>
      <c r="B207" s="60"/>
      <c r="C207" s="60">
        <f t="shared" ref="C207:N207" si="51">SUM(C201:C206)</f>
        <v>0</v>
      </c>
      <c r="D207" s="60">
        <f t="shared" si="51"/>
        <v>0</v>
      </c>
      <c r="E207" s="60">
        <f t="shared" si="51"/>
        <v>0</v>
      </c>
      <c r="F207" s="60">
        <f t="shared" si="51"/>
        <v>0</v>
      </c>
      <c r="G207" s="60">
        <f t="shared" si="51"/>
        <v>0</v>
      </c>
      <c r="H207" s="60">
        <f t="shared" si="51"/>
        <v>0</v>
      </c>
      <c r="I207" s="60">
        <f t="shared" si="51"/>
        <v>0</v>
      </c>
      <c r="J207" s="60">
        <f t="shared" si="51"/>
        <v>0</v>
      </c>
      <c r="K207" s="60">
        <f t="shared" si="51"/>
        <v>0</v>
      </c>
      <c r="L207" s="60">
        <f t="shared" si="51"/>
        <v>0</v>
      </c>
      <c r="M207" s="60">
        <f t="shared" si="51"/>
        <v>0</v>
      </c>
      <c r="N207" s="60">
        <f t="shared" si="51"/>
        <v>0</v>
      </c>
    </row>
    <row r="208" spans="1:15" hidden="1" x14ac:dyDescent="0.2">
      <c r="C208" s="60"/>
      <c r="D208" s="66"/>
      <c r="E208" s="66"/>
      <c r="F208" s="66"/>
      <c r="G208" s="66"/>
      <c r="H208" s="66"/>
      <c r="I208" s="66"/>
      <c r="J208" s="66"/>
      <c r="K208" s="66"/>
      <c r="L208" s="66"/>
      <c r="M208" s="66"/>
      <c r="N208" s="66"/>
    </row>
    <row r="209" spans="1:14" hidden="1" x14ac:dyDescent="0.2">
      <c r="C209" s="89" t="str">
        <f>C196</f>
        <v>January</v>
      </c>
      <c r="D209" s="89" t="str">
        <f t="shared" ref="D209:M209" si="52">D196</f>
        <v>February</v>
      </c>
      <c r="E209" s="89" t="str">
        <f t="shared" si="52"/>
        <v>March</v>
      </c>
      <c r="F209" s="89" t="str">
        <f t="shared" si="52"/>
        <v>April</v>
      </c>
      <c r="G209" s="89" t="str">
        <f t="shared" si="52"/>
        <v>May</v>
      </c>
      <c r="H209" s="89" t="str">
        <f t="shared" si="52"/>
        <v>June</v>
      </c>
      <c r="I209" s="89" t="str">
        <f t="shared" si="52"/>
        <v>July</v>
      </c>
      <c r="J209" s="89" t="str">
        <f t="shared" si="52"/>
        <v>August</v>
      </c>
      <c r="K209" s="89" t="str">
        <f t="shared" si="52"/>
        <v>September</v>
      </c>
      <c r="L209" s="89" t="str">
        <f t="shared" si="52"/>
        <v>October</v>
      </c>
      <c r="M209" s="89" t="str">
        <f t="shared" si="52"/>
        <v>November</v>
      </c>
      <c r="N209" s="89" t="str">
        <f>N196</f>
        <v>December</v>
      </c>
    </row>
    <row r="210" spans="1:14" hidden="1" x14ac:dyDescent="0.2">
      <c r="C210" s="89">
        <f t="shared" ref="C210:N211" si="53">C197</f>
        <v>31</v>
      </c>
      <c r="D210" s="89">
        <f t="shared" si="53"/>
        <v>31</v>
      </c>
      <c r="E210" s="89">
        <f t="shared" si="53"/>
        <v>30</v>
      </c>
      <c r="F210" s="89">
        <f t="shared" si="53"/>
        <v>31</v>
      </c>
      <c r="G210" s="89">
        <f t="shared" si="53"/>
        <v>30</v>
      </c>
      <c r="H210" s="89">
        <f t="shared" si="53"/>
        <v>31</v>
      </c>
      <c r="I210" s="89">
        <f t="shared" si="53"/>
        <v>31</v>
      </c>
      <c r="J210" s="89">
        <f t="shared" si="53"/>
        <v>28</v>
      </c>
      <c r="K210" s="89">
        <f t="shared" si="53"/>
        <v>31</v>
      </c>
      <c r="L210" s="89">
        <f t="shared" si="53"/>
        <v>30</v>
      </c>
      <c r="M210" s="89">
        <f t="shared" si="53"/>
        <v>31</v>
      </c>
      <c r="N210" s="89">
        <f t="shared" si="53"/>
        <v>30</v>
      </c>
    </row>
    <row r="211" spans="1:14" hidden="1" x14ac:dyDescent="0.2">
      <c r="B211" s="89" t="s">
        <v>185</v>
      </c>
      <c r="C211" s="78">
        <f t="shared" si="53"/>
        <v>0</v>
      </c>
      <c r="D211" s="78">
        <f t="shared" si="53"/>
        <v>1</v>
      </c>
      <c r="E211" s="78">
        <f t="shared" si="53"/>
        <v>0</v>
      </c>
      <c r="F211" s="78">
        <f t="shared" si="53"/>
        <v>1</v>
      </c>
      <c r="G211" s="78">
        <f t="shared" si="53"/>
        <v>0</v>
      </c>
      <c r="H211" s="78">
        <f t="shared" si="53"/>
        <v>1</v>
      </c>
      <c r="I211" s="78">
        <f t="shared" si="53"/>
        <v>1</v>
      </c>
      <c r="J211" s="78">
        <f t="shared" si="53"/>
        <v>1</v>
      </c>
      <c r="K211" s="78">
        <f t="shared" si="53"/>
        <v>1</v>
      </c>
      <c r="L211" s="78">
        <f t="shared" si="53"/>
        <v>2</v>
      </c>
      <c r="M211" s="78">
        <f t="shared" si="53"/>
        <v>1</v>
      </c>
      <c r="N211" s="78">
        <f t="shared" si="53"/>
        <v>0</v>
      </c>
    </row>
    <row r="212" spans="1:14" hidden="1" x14ac:dyDescent="0.2">
      <c r="B212" s="89" t="s">
        <v>44</v>
      </c>
      <c r="C212" s="49"/>
      <c r="D212" s="49"/>
      <c r="E212" s="49"/>
      <c r="F212" s="49"/>
      <c r="G212" s="49"/>
      <c r="H212" s="49"/>
      <c r="I212" s="49"/>
      <c r="J212" s="49"/>
      <c r="K212" s="49"/>
      <c r="L212" s="49"/>
      <c r="M212" s="49"/>
      <c r="N212" s="49"/>
    </row>
    <row r="213" spans="1:14" hidden="1" x14ac:dyDescent="0.2">
      <c r="B213" s="89" t="s">
        <v>186</v>
      </c>
      <c r="C213" s="53">
        <f>SUM(174*C212)</f>
        <v>0</v>
      </c>
      <c r="D213" s="53">
        <f t="shared" ref="D213:N213" si="54">SUM(174*D212)</f>
        <v>0</v>
      </c>
      <c r="E213" s="53">
        <f t="shared" si="54"/>
        <v>0</v>
      </c>
      <c r="F213" s="53">
        <f t="shared" si="54"/>
        <v>0</v>
      </c>
      <c r="G213" s="53">
        <f t="shared" si="54"/>
        <v>0</v>
      </c>
      <c r="H213" s="53">
        <f t="shared" si="54"/>
        <v>0</v>
      </c>
      <c r="I213" s="53">
        <f t="shared" si="54"/>
        <v>0</v>
      </c>
      <c r="J213" s="53">
        <f t="shared" si="54"/>
        <v>0</v>
      </c>
      <c r="K213" s="53">
        <f t="shared" si="54"/>
        <v>0</v>
      </c>
      <c r="L213" s="53">
        <f t="shared" si="54"/>
        <v>0</v>
      </c>
      <c r="M213" s="53">
        <f t="shared" si="54"/>
        <v>0</v>
      </c>
      <c r="N213" s="53">
        <f t="shared" si="54"/>
        <v>0</v>
      </c>
    </row>
    <row r="214" spans="1:14" hidden="1" x14ac:dyDescent="0.2">
      <c r="A214" s="59" t="s">
        <v>193</v>
      </c>
      <c r="B214" s="78" t="s">
        <v>187</v>
      </c>
      <c r="C214" s="66">
        <f>SUM(C213*$B$215)</f>
        <v>0</v>
      </c>
      <c r="D214" s="66">
        <f t="shared" ref="D214:N214" si="55">SUM(D213*$B$215)</f>
        <v>0</v>
      </c>
      <c r="E214" s="66">
        <f t="shared" si="55"/>
        <v>0</v>
      </c>
      <c r="F214" s="66">
        <f t="shared" si="55"/>
        <v>0</v>
      </c>
      <c r="G214" s="66">
        <f t="shared" si="55"/>
        <v>0</v>
      </c>
      <c r="H214" s="66">
        <f t="shared" si="55"/>
        <v>0</v>
      </c>
      <c r="I214" s="66">
        <f t="shared" si="55"/>
        <v>0</v>
      </c>
      <c r="J214" s="66">
        <f t="shared" si="55"/>
        <v>0</v>
      </c>
      <c r="K214" s="66">
        <f t="shared" si="55"/>
        <v>0</v>
      </c>
      <c r="L214" s="66">
        <f t="shared" si="55"/>
        <v>0</v>
      </c>
      <c r="M214" s="66">
        <f t="shared" si="55"/>
        <v>0</v>
      </c>
      <c r="N214" s="66">
        <f t="shared" si="55"/>
        <v>0</v>
      </c>
    </row>
    <row r="215" spans="1:14" hidden="1" x14ac:dyDescent="0.2">
      <c r="A215" s="59" t="s">
        <v>188</v>
      </c>
      <c r="B215" s="74">
        <v>0</v>
      </c>
      <c r="C215" s="66">
        <f>SUM(C214)*'Data Links'!$B$15</f>
        <v>0</v>
      </c>
      <c r="D215" s="66">
        <f>SUM(D214)*'Data Links'!$B$15</f>
        <v>0</v>
      </c>
      <c r="E215" s="66">
        <f>SUM(E214)*'Data Links'!$B$15</f>
        <v>0</v>
      </c>
      <c r="F215" s="66">
        <f>SUM(F214)*'Data Links'!$B$15</f>
        <v>0</v>
      </c>
      <c r="G215" s="66">
        <f>SUM(G214)*'Data Links'!$B$15</f>
        <v>0</v>
      </c>
      <c r="H215" s="66">
        <f>SUM(H214)*'Data Links'!$B$15</f>
        <v>0</v>
      </c>
      <c r="I215" s="66">
        <f>SUM(I214)*'Data Links'!$B$15</f>
        <v>0</v>
      </c>
      <c r="J215" s="66">
        <f>SUM(J214)*'Data Links'!$B$15</f>
        <v>0</v>
      </c>
      <c r="K215" s="66">
        <f>SUM(K214)*'Data Links'!$B$15</f>
        <v>0</v>
      </c>
      <c r="L215" s="66">
        <f>SUM(L214)*'Data Links'!$B$15</f>
        <v>0</v>
      </c>
      <c r="M215" s="66">
        <f>SUM(M214)*'Data Links'!$B$15</f>
        <v>0</v>
      </c>
      <c r="N215" s="66">
        <f>SUM(N214)*'Data Links'!$B$15</f>
        <v>0</v>
      </c>
    </row>
    <row r="216" spans="1:14" hidden="1" x14ac:dyDescent="0.2">
      <c r="A216" s="59" t="s">
        <v>189</v>
      </c>
      <c r="C216" s="66">
        <f>SUM(C214*'Data Links'!$B$13)</f>
        <v>0</v>
      </c>
      <c r="D216" s="66">
        <f>SUM(D214*'Data Links'!$B$13)</f>
        <v>0</v>
      </c>
      <c r="E216" s="66">
        <f>SUM(E214*'Data Links'!$B$13)</f>
        <v>0</v>
      </c>
      <c r="F216" s="66">
        <f>SUM(F214*'Data Links'!$B$13)</f>
        <v>0</v>
      </c>
      <c r="G216" s="66">
        <f>SUM(G214*'Data Links'!$B$13)</f>
        <v>0</v>
      </c>
      <c r="H216" s="66">
        <f>SUM(H214*'Data Links'!$B$13)</f>
        <v>0</v>
      </c>
      <c r="I216" s="66">
        <f>SUM(I214*'Data Links'!$B$13)</f>
        <v>0</v>
      </c>
      <c r="J216" s="66">
        <f>SUM(J214*'Data Links'!$B$13)</f>
        <v>0</v>
      </c>
      <c r="K216" s="66">
        <f>SUM(K214*'Data Links'!$B$13)</f>
        <v>0</v>
      </c>
      <c r="L216" s="66">
        <f>SUM(L214*'Data Links'!$B$13)</f>
        <v>0</v>
      </c>
      <c r="M216" s="66">
        <f>SUM(M214*'Data Links'!$B$13)</f>
        <v>0</v>
      </c>
      <c r="N216" s="66">
        <f>SUM(N214*'Data Links'!$B$13)</f>
        <v>0</v>
      </c>
    </row>
    <row r="217" spans="1:14" hidden="1" x14ac:dyDescent="0.2">
      <c r="A217" s="59" t="s">
        <v>190</v>
      </c>
      <c r="C217" s="66">
        <f>SUM(C213*'Data Links'!$B$8)</f>
        <v>0</v>
      </c>
      <c r="D217" s="66">
        <f>SUM(D213*'Data Links'!$B$8)</f>
        <v>0</v>
      </c>
      <c r="E217" s="66">
        <f>SUM(E213*'Data Links'!$B$8)</f>
        <v>0</v>
      </c>
      <c r="F217" s="66">
        <f>SUM(F213*'Data Links'!$B$8)</f>
        <v>0</v>
      </c>
      <c r="G217" s="66">
        <f>SUM(G213*'Data Links'!$B$8)</f>
        <v>0</v>
      </c>
      <c r="H217" s="66">
        <f>SUM(H213*'Data Links'!$B$8)</f>
        <v>0</v>
      </c>
      <c r="I217" s="66">
        <f>SUM(I213*'Data Links'!$B$8)</f>
        <v>0</v>
      </c>
      <c r="J217" s="66">
        <f>SUM(J213*'Data Links'!$B$8)</f>
        <v>0</v>
      </c>
      <c r="K217" s="66">
        <f>SUM(K213*'Data Links'!$B$8)</f>
        <v>0</v>
      </c>
      <c r="L217" s="66">
        <f>SUM(L213*'Data Links'!$B$8)</f>
        <v>0</v>
      </c>
      <c r="M217" s="66">
        <f>SUM(M213*'Data Links'!$B$8)</f>
        <v>0</v>
      </c>
      <c r="N217" s="66">
        <f>SUM(N213*'Data Links'!$B$8)</f>
        <v>0</v>
      </c>
    </row>
    <row r="218" spans="1:14" hidden="1" x14ac:dyDescent="0.2">
      <c r="A218" s="59" t="s">
        <v>191</v>
      </c>
      <c r="C218" s="66"/>
      <c r="D218" s="66"/>
      <c r="E218" s="66"/>
      <c r="F218" s="66"/>
      <c r="G218" s="66"/>
      <c r="H218" s="66"/>
      <c r="I218" s="66"/>
      <c r="J218" s="66"/>
      <c r="K218" s="66"/>
      <c r="L218" s="66"/>
      <c r="M218" s="66"/>
      <c r="N218" s="66"/>
    </row>
    <row r="219" spans="1:14" hidden="1" x14ac:dyDescent="0.2">
      <c r="A219" s="59" t="s">
        <v>192</v>
      </c>
      <c r="C219" s="66"/>
      <c r="D219" s="66"/>
      <c r="E219" s="66"/>
      <c r="F219" s="66"/>
      <c r="G219" s="66"/>
      <c r="H219" s="66"/>
      <c r="I219" s="66"/>
      <c r="J219" s="66"/>
      <c r="K219" s="66"/>
      <c r="L219" s="66"/>
      <c r="M219" s="66"/>
      <c r="N219" s="66"/>
    </row>
    <row r="220" spans="1:14" s="58" customFormat="1" hidden="1" x14ac:dyDescent="0.2">
      <c r="A220" s="58" t="s">
        <v>144</v>
      </c>
      <c r="B220" s="60"/>
      <c r="C220" s="60">
        <f t="shared" ref="C220:N220" si="56">SUM(C214:C219)</f>
        <v>0</v>
      </c>
      <c r="D220" s="60">
        <f t="shared" si="56"/>
        <v>0</v>
      </c>
      <c r="E220" s="60">
        <f t="shared" si="56"/>
        <v>0</v>
      </c>
      <c r="F220" s="60">
        <f t="shared" si="56"/>
        <v>0</v>
      </c>
      <c r="G220" s="60">
        <f t="shared" si="56"/>
        <v>0</v>
      </c>
      <c r="H220" s="60">
        <f t="shared" si="56"/>
        <v>0</v>
      </c>
      <c r="I220" s="60">
        <f t="shared" si="56"/>
        <v>0</v>
      </c>
      <c r="J220" s="60">
        <f t="shared" si="56"/>
        <v>0</v>
      </c>
      <c r="K220" s="60">
        <f t="shared" si="56"/>
        <v>0</v>
      </c>
      <c r="L220" s="60">
        <f t="shared" si="56"/>
        <v>0</v>
      </c>
      <c r="M220" s="60">
        <f t="shared" si="56"/>
        <v>0</v>
      </c>
      <c r="N220" s="60">
        <f t="shared" si="56"/>
        <v>0</v>
      </c>
    </row>
    <row r="221" spans="1:14" hidden="1" x14ac:dyDescent="0.2">
      <c r="C221" s="60"/>
      <c r="D221" s="66"/>
      <c r="E221" s="66"/>
      <c r="F221" s="66"/>
      <c r="G221" s="66"/>
      <c r="H221" s="66"/>
      <c r="I221" s="66"/>
      <c r="J221" s="66"/>
      <c r="K221" s="66"/>
      <c r="L221" s="66"/>
      <c r="M221" s="66"/>
      <c r="N221" s="66"/>
    </row>
    <row r="222" spans="1:14" hidden="1" x14ac:dyDescent="0.2">
      <c r="C222" s="60"/>
      <c r="D222" s="66"/>
      <c r="E222" s="66"/>
      <c r="F222" s="66"/>
      <c r="G222" s="66"/>
      <c r="H222" s="66"/>
      <c r="I222" s="66"/>
      <c r="J222" s="66"/>
      <c r="K222" s="66"/>
      <c r="L222" s="66"/>
      <c r="M222" s="66"/>
      <c r="N222" s="66"/>
    </row>
    <row r="223" spans="1:14" hidden="1" x14ac:dyDescent="0.2">
      <c r="C223" s="60"/>
      <c r="D223" s="66"/>
      <c r="E223" s="66"/>
      <c r="F223" s="66"/>
      <c r="G223" s="66"/>
      <c r="H223" s="66"/>
      <c r="I223" s="66"/>
      <c r="J223" s="66"/>
      <c r="K223" s="66"/>
      <c r="L223" s="66"/>
      <c r="M223" s="66"/>
      <c r="N223" s="66"/>
    </row>
    <row r="224" spans="1:14" hidden="1" x14ac:dyDescent="0.2">
      <c r="C224" s="60"/>
      <c r="D224" s="66"/>
      <c r="E224" s="66"/>
      <c r="F224" s="66"/>
      <c r="G224" s="66"/>
      <c r="H224" s="66"/>
      <c r="I224" s="66"/>
      <c r="J224" s="66"/>
      <c r="K224" s="66"/>
      <c r="L224" s="66"/>
      <c r="M224" s="66"/>
      <c r="N224" s="66"/>
    </row>
    <row r="225" spans="1:14" hidden="1" x14ac:dyDescent="0.2">
      <c r="C225" s="60"/>
      <c r="D225" s="66"/>
      <c r="E225" s="66"/>
      <c r="F225" s="66"/>
      <c r="G225" s="66"/>
      <c r="H225" s="66"/>
      <c r="I225" s="66"/>
      <c r="J225" s="66"/>
      <c r="K225" s="66"/>
      <c r="L225" s="66"/>
      <c r="M225" s="66"/>
      <c r="N225" s="66"/>
    </row>
    <row r="226" spans="1:14" x14ac:dyDescent="0.2">
      <c r="C226" s="60"/>
      <c r="D226" s="66"/>
      <c r="E226" s="66"/>
      <c r="F226" s="66"/>
      <c r="G226" s="66"/>
      <c r="H226" s="66"/>
      <c r="I226" s="66"/>
      <c r="J226" s="66"/>
      <c r="K226" s="66"/>
      <c r="L226" s="66"/>
      <c r="M226" s="66"/>
      <c r="N226" s="66"/>
    </row>
    <row r="227" spans="1:14" x14ac:dyDescent="0.2">
      <c r="A227" s="58" t="s">
        <v>194</v>
      </c>
      <c r="C227" s="60"/>
      <c r="D227" s="66"/>
      <c r="E227" s="66"/>
      <c r="F227" s="66"/>
      <c r="G227" s="66"/>
      <c r="H227" s="66"/>
      <c r="I227" s="66"/>
      <c r="J227" s="66"/>
      <c r="K227" s="66"/>
      <c r="L227" s="66"/>
      <c r="M227" s="66"/>
      <c r="N227" s="66"/>
    </row>
    <row r="228" spans="1:14" x14ac:dyDescent="0.2">
      <c r="A228" s="59" t="s">
        <v>195</v>
      </c>
      <c r="C228" s="66">
        <f>SUM(C110+C123+C136+C149+C162+C175+C188+C201+C214)</f>
        <v>3029.0441999999994</v>
      </c>
      <c r="D228" s="66">
        <f t="shared" ref="D228:N228" si="57">SUM(D110+D123+D136+D149+D162+D175+D188+D201+D214)</f>
        <v>3029.0441999999994</v>
      </c>
      <c r="E228" s="66">
        <f t="shared" si="57"/>
        <v>3029.0441999999994</v>
      </c>
      <c r="F228" s="66">
        <f t="shared" si="57"/>
        <v>3029.0441999999994</v>
      </c>
      <c r="G228" s="66">
        <f t="shared" si="57"/>
        <v>3714.1691999999994</v>
      </c>
      <c r="H228" s="66">
        <f t="shared" si="57"/>
        <v>3714.1691999999994</v>
      </c>
      <c r="I228" s="66">
        <f t="shared" si="57"/>
        <v>3714.1691999999994</v>
      </c>
      <c r="J228" s="66">
        <f t="shared" si="57"/>
        <v>3714.1691999999994</v>
      </c>
      <c r="K228" s="66">
        <f t="shared" si="57"/>
        <v>3714.1691999999994</v>
      </c>
      <c r="L228" s="66">
        <f t="shared" si="57"/>
        <v>3714.1691999999994</v>
      </c>
      <c r="M228" s="66">
        <f t="shared" si="57"/>
        <v>3714.1691999999994</v>
      </c>
      <c r="N228" s="66">
        <f t="shared" si="57"/>
        <v>3714.1691999999994</v>
      </c>
    </row>
    <row r="229" spans="1:14" x14ac:dyDescent="0.2">
      <c r="A229" s="59" t="s">
        <v>22</v>
      </c>
      <c r="C229" s="66">
        <f>SUM(C111+C112+C113+C124+C125+C126+C137+C138+C139+C150+C151+C152+C163+C164+C165+C176+C177+C178+C189+C190+C191+C202+C203+C204+C215+C216+C217)</f>
        <v>263.72931299999999</v>
      </c>
      <c r="D229" s="66">
        <f t="shared" ref="D229:N229" si="58">SUM(D111+D112+D113+D124+D125+D126+D137+D138+D139+D150+D151+D152+D163+D164+D165+D176+D177+D178+D189+D190+D191+D202+D203+D204+D215+D216+D217)</f>
        <v>263.72931299999999</v>
      </c>
      <c r="E229" s="66">
        <f t="shared" si="58"/>
        <v>263.72931299999999</v>
      </c>
      <c r="F229" s="66">
        <f t="shared" si="58"/>
        <v>263.72931299999999</v>
      </c>
      <c r="G229" s="66">
        <f t="shared" si="58"/>
        <v>323.6386005</v>
      </c>
      <c r="H229" s="66">
        <f t="shared" si="58"/>
        <v>323.6386005</v>
      </c>
      <c r="I229" s="66">
        <f t="shared" si="58"/>
        <v>323.6386005</v>
      </c>
      <c r="J229" s="66">
        <f t="shared" si="58"/>
        <v>323.6386005</v>
      </c>
      <c r="K229" s="66">
        <f t="shared" si="58"/>
        <v>323.6386005</v>
      </c>
      <c r="L229" s="66">
        <f t="shared" si="58"/>
        <v>323.6386005</v>
      </c>
      <c r="M229" s="66">
        <f t="shared" si="58"/>
        <v>323.6386005</v>
      </c>
      <c r="N229" s="66">
        <f t="shared" si="58"/>
        <v>323.6386005</v>
      </c>
    </row>
    <row r="230" spans="1:14" x14ac:dyDescent="0.2">
      <c r="A230" s="59" t="s">
        <v>23</v>
      </c>
      <c r="C230" s="66">
        <f>SUM(C114+C115+C127+C128+C140+C141+C153+C154+C167+C166+C179+C180+C192+C193+C205+C206+C218+C219)</f>
        <v>170.06466248275865</v>
      </c>
      <c r="D230" s="66">
        <f t="shared" ref="D230:N230" si="59">SUM(D114+D115+D127+D128+D140+D141+D153+D154+D167+D166+D179+D180+D192+D193+D205+D206+D218+D219)</f>
        <v>170.06466248275865</v>
      </c>
      <c r="E230" s="66">
        <f t="shared" si="59"/>
        <v>170.06466248275865</v>
      </c>
      <c r="F230" s="66">
        <f t="shared" si="59"/>
        <v>170.06466248275865</v>
      </c>
      <c r="G230" s="66">
        <f t="shared" si="59"/>
        <v>587.22621248275857</v>
      </c>
      <c r="H230" s="66">
        <f t="shared" si="59"/>
        <v>587.22621248275857</v>
      </c>
      <c r="I230" s="66">
        <f t="shared" si="59"/>
        <v>587.22621248275857</v>
      </c>
      <c r="J230" s="66">
        <f t="shared" si="59"/>
        <v>587.22621248275857</v>
      </c>
      <c r="K230" s="66">
        <f t="shared" si="59"/>
        <v>587.22621248275857</v>
      </c>
      <c r="L230" s="66">
        <f t="shared" si="59"/>
        <v>587.22621248275857</v>
      </c>
      <c r="M230" s="66">
        <f t="shared" si="59"/>
        <v>587.22621248275857</v>
      </c>
      <c r="N230" s="66">
        <f t="shared" si="59"/>
        <v>587.22621248275857</v>
      </c>
    </row>
    <row r="231" spans="1:14" s="58" customFormat="1" x14ac:dyDescent="0.2">
      <c r="A231" s="58" t="s">
        <v>196</v>
      </c>
      <c r="B231" s="60"/>
      <c r="C231" s="60">
        <f>SUM(C228:C230)</f>
        <v>3462.8381754827578</v>
      </c>
      <c r="D231" s="60">
        <f t="shared" ref="D231:N231" si="60">SUM(D228:D230)</f>
        <v>3462.8381754827578</v>
      </c>
      <c r="E231" s="60">
        <f t="shared" si="60"/>
        <v>3462.8381754827578</v>
      </c>
      <c r="F231" s="60">
        <f t="shared" si="60"/>
        <v>3462.8381754827578</v>
      </c>
      <c r="G231" s="60">
        <f t="shared" si="60"/>
        <v>4625.0340129827582</v>
      </c>
      <c r="H231" s="60">
        <f t="shared" si="60"/>
        <v>4625.0340129827582</v>
      </c>
      <c r="I231" s="60">
        <f t="shared" si="60"/>
        <v>4625.0340129827582</v>
      </c>
      <c r="J231" s="60">
        <f t="shared" si="60"/>
        <v>4625.0340129827582</v>
      </c>
      <c r="K231" s="60">
        <f t="shared" si="60"/>
        <v>4625.0340129827582</v>
      </c>
      <c r="L231" s="60">
        <f t="shared" si="60"/>
        <v>4625.0340129827582</v>
      </c>
      <c r="M231" s="60">
        <f t="shared" si="60"/>
        <v>4625.0340129827582</v>
      </c>
      <c r="N231" s="60">
        <f t="shared" si="60"/>
        <v>4625.0340129827582</v>
      </c>
    </row>
    <row r="232" spans="1:14" x14ac:dyDescent="0.2">
      <c r="C232" s="60"/>
      <c r="D232" s="66"/>
      <c r="E232" s="66"/>
      <c r="F232" s="66"/>
      <c r="G232" s="66"/>
      <c r="H232" s="66"/>
      <c r="I232" s="66"/>
      <c r="J232" s="66"/>
      <c r="K232" s="66"/>
      <c r="L232" s="66"/>
      <c r="M232" s="66"/>
      <c r="N232" s="66"/>
    </row>
    <row r="233" spans="1:14" x14ac:dyDescent="0.2">
      <c r="C233" s="60"/>
      <c r="D233" s="66"/>
      <c r="E233" s="66"/>
      <c r="F233" s="66"/>
      <c r="G233" s="66"/>
      <c r="H233" s="66"/>
      <c r="I233" s="66"/>
      <c r="J233" s="66"/>
      <c r="K233" s="66"/>
      <c r="L233" s="66"/>
      <c r="M233" s="66"/>
      <c r="N233" s="66"/>
    </row>
    <row r="234" spans="1:14" x14ac:dyDescent="0.2">
      <c r="C234" s="60"/>
      <c r="D234" s="66"/>
      <c r="E234" s="66"/>
      <c r="F234" s="66"/>
      <c r="G234" s="66"/>
      <c r="H234" s="66"/>
      <c r="I234" s="66"/>
      <c r="J234" s="66"/>
      <c r="K234" s="66"/>
      <c r="L234" s="66"/>
      <c r="M234" s="66"/>
      <c r="N234" s="66"/>
    </row>
    <row r="235" spans="1:14" x14ac:dyDescent="0.2">
      <c r="C235" s="60"/>
      <c r="D235" s="66"/>
      <c r="E235" s="66"/>
      <c r="F235" s="66"/>
      <c r="G235" s="66"/>
      <c r="H235" s="66"/>
      <c r="I235" s="66"/>
      <c r="J235" s="66"/>
      <c r="K235" s="66"/>
      <c r="L235" s="66"/>
      <c r="M235" s="66"/>
      <c r="N235" s="66"/>
    </row>
    <row r="236" spans="1:14" x14ac:dyDescent="0.2">
      <c r="A236" s="84"/>
      <c r="B236" s="84"/>
      <c r="C236" s="60"/>
      <c r="D236" s="66"/>
      <c r="E236" s="66"/>
      <c r="F236" s="66"/>
      <c r="G236" s="66"/>
      <c r="H236" s="66"/>
      <c r="I236" s="66"/>
      <c r="J236" s="66"/>
      <c r="K236" s="66"/>
      <c r="L236" s="66"/>
      <c r="M236" s="66"/>
      <c r="N236" s="66"/>
    </row>
    <row r="237" spans="1:14" x14ac:dyDescent="0.2">
      <c r="A237" s="84"/>
      <c r="B237" s="84"/>
      <c r="C237" s="60"/>
      <c r="D237" s="66"/>
      <c r="E237" s="66"/>
      <c r="F237" s="66"/>
      <c r="G237" s="66"/>
      <c r="H237" s="66"/>
      <c r="I237" s="66"/>
      <c r="J237" s="66"/>
      <c r="K237" s="66"/>
      <c r="L237" s="66"/>
      <c r="M237" s="66"/>
      <c r="N237" s="66"/>
    </row>
    <row r="238" spans="1:14" x14ac:dyDescent="0.2">
      <c r="A238" s="84"/>
      <c r="B238" s="84"/>
      <c r="C238" s="60"/>
      <c r="D238" s="66"/>
      <c r="E238" s="66"/>
      <c r="F238" s="66"/>
      <c r="G238" s="66"/>
      <c r="H238" s="66"/>
      <c r="I238" s="66"/>
      <c r="J238" s="66"/>
      <c r="K238" s="66"/>
      <c r="L238" s="66"/>
      <c r="M238" s="66"/>
      <c r="N238" s="66"/>
    </row>
    <row r="239" spans="1:14" x14ac:dyDescent="0.2">
      <c r="A239" s="84"/>
      <c r="B239" s="84"/>
      <c r="C239" s="60"/>
      <c r="D239" s="66"/>
      <c r="E239" s="66"/>
      <c r="F239" s="66"/>
      <c r="G239" s="66"/>
      <c r="H239" s="66"/>
      <c r="I239" s="66"/>
      <c r="J239" s="66"/>
      <c r="K239" s="66"/>
      <c r="L239" s="66"/>
      <c r="M239" s="66"/>
      <c r="N239" s="66"/>
    </row>
    <row r="240" spans="1:14" x14ac:dyDescent="0.2">
      <c r="A240" s="84"/>
      <c r="B240" s="84"/>
      <c r="C240" s="60"/>
      <c r="D240" s="66"/>
      <c r="E240" s="66"/>
      <c r="F240" s="66"/>
      <c r="G240" s="66"/>
      <c r="H240" s="66"/>
      <c r="I240" s="66"/>
      <c r="J240" s="66"/>
      <c r="K240" s="66"/>
      <c r="L240" s="66"/>
      <c r="M240" s="66"/>
      <c r="N240" s="66"/>
    </row>
    <row r="241" spans="1:14" x14ac:dyDescent="0.2">
      <c r="A241" s="84"/>
      <c r="B241" s="84"/>
      <c r="C241" s="60"/>
      <c r="D241" s="66"/>
      <c r="E241" s="66"/>
      <c r="F241" s="66"/>
      <c r="G241" s="66"/>
      <c r="H241" s="66"/>
      <c r="I241" s="66"/>
      <c r="J241" s="66"/>
      <c r="K241" s="66"/>
      <c r="L241" s="66"/>
      <c r="M241" s="66"/>
      <c r="N241" s="66"/>
    </row>
    <row r="242" spans="1:14" x14ac:dyDescent="0.2">
      <c r="A242" s="84"/>
      <c r="B242" s="84"/>
      <c r="C242" s="60"/>
      <c r="D242" s="66"/>
      <c r="E242" s="66"/>
      <c r="F242" s="66"/>
      <c r="G242" s="66"/>
      <c r="H242" s="66"/>
      <c r="I242" s="66"/>
      <c r="J242" s="66"/>
      <c r="K242" s="66"/>
      <c r="L242" s="66"/>
      <c r="M242" s="66"/>
      <c r="N242" s="66"/>
    </row>
    <row r="243" spans="1:14" x14ac:dyDescent="0.2">
      <c r="A243" s="84"/>
      <c r="B243" s="84"/>
      <c r="C243" s="60"/>
      <c r="D243" s="66"/>
      <c r="E243" s="66"/>
      <c r="F243" s="66"/>
      <c r="G243" s="66"/>
      <c r="H243" s="66"/>
      <c r="I243" s="66"/>
      <c r="J243" s="66"/>
      <c r="K243" s="66"/>
      <c r="L243" s="66"/>
      <c r="M243" s="66"/>
      <c r="N243" s="66"/>
    </row>
    <row r="244" spans="1:14" x14ac:dyDescent="0.2">
      <c r="A244" s="84"/>
      <c r="B244" s="84"/>
      <c r="C244" s="60"/>
      <c r="D244" s="66"/>
      <c r="E244" s="66"/>
      <c r="F244" s="66"/>
      <c r="G244" s="66"/>
      <c r="H244" s="66"/>
      <c r="I244" s="66"/>
      <c r="J244" s="66"/>
      <c r="K244" s="66"/>
      <c r="L244" s="66"/>
      <c r="M244" s="66"/>
      <c r="N244" s="66"/>
    </row>
    <row r="245" spans="1:14" x14ac:dyDescent="0.2">
      <c r="A245" s="84"/>
      <c r="B245" s="84"/>
      <c r="C245" s="60"/>
      <c r="D245" s="66"/>
      <c r="E245" s="66"/>
      <c r="F245" s="66"/>
      <c r="G245" s="66"/>
      <c r="H245" s="66"/>
      <c r="I245" s="66"/>
      <c r="J245" s="66"/>
      <c r="K245" s="66"/>
      <c r="L245" s="66"/>
      <c r="M245" s="66"/>
      <c r="N245" s="66"/>
    </row>
    <row r="246" spans="1:14" x14ac:dyDescent="0.2">
      <c r="A246" s="84"/>
      <c r="B246" s="84"/>
      <c r="C246" s="60"/>
      <c r="D246" s="66"/>
      <c r="E246" s="66"/>
      <c r="F246" s="66"/>
      <c r="G246" s="66"/>
      <c r="H246" s="66"/>
      <c r="I246" s="66"/>
      <c r="J246" s="66"/>
      <c r="K246" s="66"/>
      <c r="L246" s="66"/>
      <c r="M246" s="66"/>
      <c r="N246" s="66"/>
    </row>
    <row r="247" spans="1:14" x14ac:dyDescent="0.2">
      <c r="A247" s="84"/>
      <c r="B247" s="84"/>
      <c r="C247" s="60"/>
      <c r="D247" s="66"/>
      <c r="E247" s="66"/>
      <c r="F247" s="66"/>
      <c r="G247" s="66"/>
      <c r="H247" s="66"/>
      <c r="I247" s="66"/>
      <c r="J247" s="66"/>
      <c r="K247" s="66"/>
      <c r="L247" s="66"/>
      <c r="M247" s="66"/>
      <c r="N247" s="66"/>
    </row>
    <row r="248" spans="1:14" x14ac:dyDescent="0.2">
      <c r="A248" s="84"/>
      <c r="B248" s="84"/>
      <c r="C248" s="60"/>
      <c r="D248" s="66"/>
      <c r="E248" s="66"/>
      <c r="F248" s="66"/>
      <c r="G248" s="66"/>
      <c r="H248" s="66"/>
      <c r="I248" s="66"/>
      <c r="J248" s="66"/>
      <c r="K248" s="66"/>
      <c r="L248" s="66"/>
      <c r="M248" s="66"/>
      <c r="N248" s="66"/>
    </row>
    <row r="249" spans="1:14" x14ac:dyDescent="0.2">
      <c r="A249" s="84"/>
      <c r="B249" s="84"/>
      <c r="C249" s="60"/>
      <c r="D249" s="66"/>
      <c r="E249" s="66"/>
      <c r="F249" s="66"/>
      <c r="G249" s="66"/>
      <c r="H249" s="66"/>
      <c r="I249" s="66"/>
      <c r="J249" s="66"/>
      <c r="K249" s="66"/>
      <c r="L249" s="66"/>
      <c r="M249" s="66"/>
      <c r="N249" s="66"/>
    </row>
    <row r="250" spans="1:14" x14ac:dyDescent="0.2">
      <c r="A250" s="84"/>
      <c r="B250" s="84"/>
      <c r="C250" s="60"/>
      <c r="D250" s="66"/>
      <c r="E250" s="66"/>
      <c r="F250" s="66"/>
      <c r="G250" s="66"/>
      <c r="H250" s="66"/>
      <c r="I250" s="66"/>
      <c r="J250" s="66"/>
      <c r="K250" s="66"/>
      <c r="L250" s="66"/>
      <c r="M250" s="66"/>
      <c r="N250" s="66"/>
    </row>
    <row r="251" spans="1:14" x14ac:dyDescent="0.2">
      <c r="A251" s="84"/>
      <c r="B251" s="84"/>
      <c r="C251" s="60"/>
      <c r="D251" s="66"/>
      <c r="E251" s="66"/>
      <c r="F251" s="66"/>
      <c r="G251" s="66"/>
      <c r="H251" s="66"/>
      <c r="I251" s="66"/>
      <c r="J251" s="66"/>
      <c r="K251" s="66"/>
      <c r="L251" s="66"/>
      <c r="M251" s="66"/>
      <c r="N251" s="66"/>
    </row>
    <row r="252" spans="1:14" x14ac:dyDescent="0.2">
      <c r="A252" s="84"/>
      <c r="B252" s="84"/>
      <c r="C252" s="60"/>
      <c r="D252" s="66"/>
      <c r="E252" s="66"/>
      <c r="F252" s="66"/>
      <c r="G252" s="66"/>
      <c r="H252" s="66"/>
      <c r="I252" s="66"/>
      <c r="J252" s="66"/>
      <c r="K252" s="66"/>
      <c r="L252" s="66"/>
      <c r="M252" s="66"/>
      <c r="N252" s="66"/>
    </row>
    <row r="253" spans="1:14" x14ac:dyDescent="0.2">
      <c r="A253" s="84"/>
      <c r="B253" s="84"/>
      <c r="C253" s="60"/>
      <c r="D253" s="66"/>
      <c r="E253" s="66"/>
      <c r="F253" s="66"/>
      <c r="G253" s="66"/>
      <c r="H253" s="66"/>
      <c r="I253" s="66"/>
      <c r="J253" s="66"/>
      <c r="K253" s="66"/>
      <c r="L253" s="66"/>
      <c r="M253" s="66"/>
      <c r="N253" s="66"/>
    </row>
    <row r="254" spans="1:14" x14ac:dyDescent="0.2">
      <c r="A254" s="84"/>
      <c r="B254" s="84"/>
      <c r="C254" s="60"/>
      <c r="D254" s="66"/>
      <c r="E254" s="66"/>
      <c r="F254" s="66"/>
      <c r="G254" s="66"/>
      <c r="H254" s="66"/>
      <c r="I254" s="66"/>
      <c r="J254" s="66"/>
      <c r="K254" s="66"/>
      <c r="L254" s="66"/>
      <c r="M254" s="66"/>
      <c r="N254" s="66"/>
    </row>
    <row r="255" spans="1:14" x14ac:dyDescent="0.2">
      <c r="A255" s="84"/>
      <c r="B255" s="84"/>
      <c r="C255" s="60"/>
      <c r="D255" s="66"/>
      <c r="E255" s="66"/>
      <c r="F255" s="66"/>
      <c r="G255" s="66"/>
      <c r="H255" s="66"/>
      <c r="I255" s="66"/>
      <c r="J255" s="66"/>
      <c r="K255" s="66"/>
      <c r="L255" s="66"/>
      <c r="M255" s="66"/>
      <c r="N255" s="66"/>
    </row>
    <row r="256" spans="1:14" x14ac:dyDescent="0.2">
      <c r="A256" s="84"/>
      <c r="B256" s="84"/>
      <c r="C256" s="60"/>
      <c r="D256" s="66"/>
      <c r="E256" s="66"/>
      <c r="F256" s="66"/>
      <c r="G256" s="66"/>
      <c r="H256" s="66"/>
      <c r="I256" s="66"/>
      <c r="J256" s="66"/>
      <c r="K256" s="66"/>
      <c r="L256" s="66"/>
      <c r="M256" s="66"/>
      <c r="N256" s="66"/>
    </row>
    <row r="257" spans="1:14" x14ac:dyDescent="0.2">
      <c r="A257" s="84"/>
      <c r="B257" s="84"/>
      <c r="C257" s="60"/>
      <c r="D257" s="66"/>
      <c r="E257" s="66"/>
      <c r="F257" s="66"/>
      <c r="G257" s="66"/>
      <c r="H257" s="66"/>
      <c r="I257" s="66"/>
      <c r="J257" s="66"/>
      <c r="K257" s="66"/>
      <c r="L257" s="66"/>
      <c r="M257" s="66"/>
      <c r="N257" s="66"/>
    </row>
    <row r="258" spans="1:14" x14ac:dyDescent="0.2">
      <c r="A258" s="84"/>
      <c r="B258" s="84"/>
      <c r="C258" s="60"/>
      <c r="D258" s="66"/>
      <c r="E258" s="66"/>
      <c r="F258" s="66"/>
      <c r="G258" s="66"/>
      <c r="H258" s="66"/>
      <c r="I258" s="66"/>
      <c r="J258" s="66"/>
      <c r="K258" s="66"/>
      <c r="L258" s="66"/>
      <c r="M258" s="66"/>
      <c r="N258" s="66"/>
    </row>
    <row r="259" spans="1:14" x14ac:dyDescent="0.2">
      <c r="A259" s="84"/>
      <c r="B259" s="84"/>
      <c r="C259" s="60"/>
      <c r="D259" s="66"/>
      <c r="E259" s="66"/>
      <c r="F259" s="66"/>
      <c r="G259" s="66"/>
      <c r="H259" s="66"/>
      <c r="I259" s="66"/>
      <c r="J259" s="66"/>
      <c r="K259" s="66"/>
      <c r="L259" s="66"/>
      <c r="M259" s="66"/>
      <c r="N259" s="66"/>
    </row>
    <row r="260" spans="1:14" x14ac:dyDescent="0.2">
      <c r="A260" s="84"/>
      <c r="B260" s="84"/>
      <c r="C260" s="60"/>
      <c r="D260" s="66"/>
      <c r="E260" s="66"/>
      <c r="F260" s="66"/>
      <c r="G260" s="66"/>
      <c r="H260" s="66"/>
      <c r="I260" s="66"/>
      <c r="J260" s="66"/>
      <c r="K260" s="66"/>
      <c r="L260" s="66"/>
      <c r="M260" s="66"/>
      <c r="N260" s="66"/>
    </row>
    <row r="261" spans="1:14" x14ac:dyDescent="0.2">
      <c r="A261" s="84"/>
      <c r="B261" s="84"/>
      <c r="C261" s="60"/>
      <c r="D261" s="66"/>
      <c r="E261" s="66"/>
      <c r="F261" s="66"/>
      <c r="G261" s="66"/>
      <c r="H261" s="66"/>
      <c r="I261" s="66"/>
      <c r="J261" s="66"/>
      <c r="K261" s="66"/>
      <c r="L261" s="66"/>
      <c r="M261" s="66"/>
      <c r="N261" s="66"/>
    </row>
    <row r="262" spans="1:14" x14ac:dyDescent="0.2">
      <c r="A262" s="84"/>
      <c r="B262" s="84"/>
      <c r="C262" s="60"/>
      <c r="D262" s="66"/>
      <c r="E262" s="66"/>
      <c r="F262" s="66"/>
      <c r="G262" s="66"/>
      <c r="H262" s="66"/>
      <c r="I262" s="66"/>
      <c r="J262" s="66"/>
      <c r="K262" s="66"/>
      <c r="L262" s="66"/>
      <c r="M262" s="66"/>
      <c r="N262" s="66"/>
    </row>
    <row r="263" spans="1:14" x14ac:dyDescent="0.2">
      <c r="A263" s="84"/>
      <c r="B263" s="84"/>
      <c r="C263" s="60"/>
      <c r="D263" s="66"/>
      <c r="E263" s="66"/>
      <c r="F263" s="66"/>
      <c r="G263" s="66"/>
      <c r="H263" s="66"/>
      <c r="I263" s="66"/>
      <c r="J263" s="66"/>
      <c r="K263" s="66"/>
      <c r="L263" s="66"/>
      <c r="M263" s="66"/>
      <c r="N263" s="66"/>
    </row>
    <row r="264" spans="1:14" x14ac:dyDescent="0.2">
      <c r="A264" s="84"/>
      <c r="B264" s="84"/>
      <c r="C264" s="60"/>
      <c r="D264" s="66"/>
      <c r="E264" s="66"/>
      <c r="F264" s="66"/>
      <c r="G264" s="66"/>
      <c r="H264" s="66"/>
      <c r="I264" s="66"/>
      <c r="J264" s="66"/>
      <c r="K264" s="66"/>
      <c r="L264" s="66"/>
      <c r="M264" s="66"/>
      <c r="N264" s="66"/>
    </row>
    <row r="265" spans="1:14" x14ac:dyDescent="0.2">
      <c r="A265" s="84"/>
      <c r="B265" s="84"/>
      <c r="C265" s="60"/>
      <c r="D265" s="66"/>
      <c r="E265" s="66"/>
      <c r="F265" s="66"/>
      <c r="G265" s="66"/>
      <c r="H265" s="66"/>
      <c r="I265" s="66"/>
      <c r="J265" s="66"/>
      <c r="K265" s="66"/>
      <c r="L265" s="66"/>
      <c r="M265" s="66"/>
      <c r="N265" s="66"/>
    </row>
    <row r="266" spans="1:14" x14ac:dyDescent="0.2">
      <c r="A266" s="84"/>
      <c r="B266" s="84"/>
      <c r="C266" s="60"/>
      <c r="D266" s="66"/>
      <c r="E266" s="66"/>
      <c r="F266" s="66"/>
      <c r="G266" s="66"/>
      <c r="H266" s="66"/>
      <c r="I266" s="66"/>
      <c r="J266" s="66"/>
      <c r="K266" s="66"/>
      <c r="L266" s="66"/>
      <c r="M266" s="66"/>
      <c r="N266" s="66"/>
    </row>
    <row r="267" spans="1:14" x14ac:dyDescent="0.2">
      <c r="A267" s="84"/>
      <c r="B267" s="84"/>
      <c r="C267" s="60"/>
      <c r="D267" s="66"/>
      <c r="E267" s="66"/>
      <c r="F267" s="66"/>
      <c r="G267" s="66"/>
      <c r="H267" s="66"/>
      <c r="I267" s="66"/>
      <c r="J267" s="66"/>
      <c r="K267" s="66"/>
      <c r="L267" s="66"/>
      <c r="M267" s="66"/>
      <c r="N267" s="66"/>
    </row>
    <row r="268" spans="1:14" x14ac:dyDescent="0.2">
      <c r="A268" s="84"/>
      <c r="B268" s="84"/>
      <c r="C268" s="60"/>
      <c r="D268" s="66"/>
      <c r="E268" s="66"/>
      <c r="F268" s="66"/>
      <c r="G268" s="66"/>
      <c r="H268" s="66"/>
      <c r="I268" s="66"/>
      <c r="J268" s="66"/>
      <c r="K268" s="66"/>
      <c r="L268" s="66"/>
      <c r="M268" s="66"/>
      <c r="N268" s="66"/>
    </row>
    <row r="269" spans="1:14" x14ac:dyDescent="0.2">
      <c r="A269" s="84"/>
      <c r="B269" s="84"/>
      <c r="C269" s="60"/>
      <c r="D269" s="66"/>
      <c r="E269" s="66"/>
      <c r="F269" s="66"/>
      <c r="G269" s="66"/>
      <c r="H269" s="66"/>
      <c r="I269" s="66"/>
      <c r="J269" s="66"/>
      <c r="K269" s="66"/>
      <c r="L269" s="66"/>
      <c r="M269" s="66"/>
      <c r="N269" s="66"/>
    </row>
    <row r="270" spans="1:14" x14ac:dyDescent="0.2">
      <c r="A270" s="84"/>
      <c r="B270" s="84"/>
      <c r="C270" s="60"/>
      <c r="D270" s="66"/>
      <c r="E270" s="66"/>
      <c r="F270" s="66"/>
      <c r="G270" s="66"/>
      <c r="H270" s="66"/>
      <c r="I270" s="66"/>
      <c r="J270" s="66"/>
      <c r="K270" s="66"/>
      <c r="L270" s="66"/>
      <c r="M270" s="66"/>
      <c r="N270" s="66"/>
    </row>
    <row r="271" spans="1:14" x14ac:dyDescent="0.2">
      <c r="A271" s="84"/>
      <c r="B271" s="84"/>
      <c r="C271" s="60"/>
      <c r="D271" s="66"/>
      <c r="E271" s="66"/>
      <c r="F271" s="66"/>
      <c r="G271" s="66"/>
      <c r="H271" s="66"/>
      <c r="I271" s="66"/>
      <c r="J271" s="66"/>
      <c r="K271" s="66"/>
      <c r="L271" s="66"/>
      <c r="M271" s="66"/>
      <c r="N271" s="66"/>
    </row>
    <row r="272" spans="1:14" x14ac:dyDescent="0.2">
      <c r="A272" s="84"/>
      <c r="B272" s="84"/>
      <c r="C272" s="60"/>
      <c r="D272" s="66"/>
      <c r="E272" s="66"/>
      <c r="F272" s="66"/>
      <c r="G272" s="66"/>
      <c r="H272" s="66"/>
      <c r="I272" s="66"/>
      <c r="J272" s="66"/>
      <c r="K272" s="66"/>
      <c r="L272" s="66"/>
      <c r="M272" s="66"/>
      <c r="N272" s="66"/>
    </row>
    <row r="273" spans="1:14" x14ac:dyDescent="0.2">
      <c r="A273" s="84"/>
      <c r="B273" s="84"/>
      <c r="C273" s="60"/>
      <c r="D273" s="66"/>
      <c r="E273" s="66"/>
      <c r="F273" s="66"/>
      <c r="G273" s="66"/>
      <c r="H273" s="66"/>
      <c r="I273" s="66"/>
      <c r="J273" s="66"/>
      <c r="K273" s="66"/>
      <c r="L273" s="66"/>
      <c r="M273" s="66"/>
      <c r="N273" s="66"/>
    </row>
    <row r="274" spans="1:14" x14ac:dyDescent="0.2">
      <c r="A274" s="84"/>
      <c r="B274" s="84"/>
      <c r="C274" s="60"/>
      <c r="D274" s="66"/>
      <c r="E274" s="66"/>
      <c r="F274" s="66"/>
      <c r="G274" s="66"/>
      <c r="H274" s="66"/>
      <c r="I274" s="66"/>
      <c r="J274" s="66"/>
      <c r="K274" s="66"/>
      <c r="L274" s="66"/>
      <c r="M274" s="66"/>
      <c r="N274" s="66"/>
    </row>
    <row r="275" spans="1:14" x14ac:dyDescent="0.2">
      <c r="A275" s="84"/>
      <c r="B275" s="84"/>
      <c r="C275" s="60"/>
      <c r="D275" s="66"/>
      <c r="E275" s="66"/>
      <c r="F275" s="66"/>
      <c r="G275" s="66"/>
      <c r="H275" s="66"/>
      <c r="I275" s="66"/>
      <c r="J275" s="66"/>
      <c r="K275" s="66"/>
      <c r="L275" s="66"/>
      <c r="M275" s="66"/>
      <c r="N275" s="66"/>
    </row>
    <row r="276" spans="1:14" x14ac:dyDescent="0.2">
      <c r="A276" s="84"/>
      <c r="B276" s="84"/>
      <c r="C276" s="60"/>
      <c r="D276" s="66"/>
      <c r="E276" s="66"/>
      <c r="F276" s="66"/>
      <c r="G276" s="66"/>
      <c r="H276" s="66"/>
      <c r="I276" s="66"/>
      <c r="J276" s="66"/>
      <c r="K276" s="66"/>
      <c r="L276" s="66"/>
      <c r="M276" s="66"/>
      <c r="N276" s="66"/>
    </row>
    <row r="277" spans="1:14" x14ac:dyDescent="0.2">
      <c r="A277" s="84"/>
      <c r="B277" s="84"/>
      <c r="C277" s="60"/>
      <c r="D277" s="66"/>
      <c r="E277" s="66"/>
      <c r="F277" s="66"/>
      <c r="G277" s="66"/>
      <c r="H277" s="66"/>
      <c r="I277" s="66"/>
      <c r="J277" s="66"/>
      <c r="K277" s="66"/>
      <c r="L277" s="66"/>
      <c r="M277" s="66"/>
      <c r="N277" s="66"/>
    </row>
    <row r="278" spans="1:14" x14ac:dyDescent="0.2">
      <c r="A278" s="84"/>
      <c r="B278" s="84"/>
      <c r="C278" s="60"/>
      <c r="D278" s="66"/>
      <c r="E278" s="66"/>
      <c r="F278" s="66"/>
      <c r="G278" s="66"/>
      <c r="H278" s="66"/>
      <c r="I278" s="66"/>
      <c r="J278" s="66"/>
      <c r="K278" s="66"/>
      <c r="L278" s="66"/>
      <c r="M278" s="66"/>
      <c r="N278" s="66"/>
    </row>
    <row r="279" spans="1:14" x14ac:dyDescent="0.2">
      <c r="A279" s="84"/>
      <c r="B279" s="84"/>
      <c r="C279" s="60"/>
      <c r="D279" s="66"/>
      <c r="E279" s="66"/>
      <c r="F279" s="66"/>
      <c r="G279" s="66"/>
      <c r="H279" s="66"/>
      <c r="I279" s="66"/>
      <c r="J279" s="66"/>
      <c r="K279" s="66"/>
      <c r="L279" s="66"/>
      <c r="M279" s="66"/>
      <c r="N279" s="66"/>
    </row>
    <row r="280" spans="1:14" x14ac:dyDescent="0.2">
      <c r="A280" s="84"/>
      <c r="B280" s="84"/>
      <c r="C280" s="60"/>
      <c r="D280" s="66"/>
      <c r="E280" s="66"/>
      <c r="F280" s="66"/>
      <c r="G280" s="66"/>
      <c r="H280" s="66"/>
      <c r="I280" s="66"/>
      <c r="J280" s="66"/>
      <c r="K280" s="66"/>
      <c r="L280" s="66"/>
      <c r="M280" s="66"/>
      <c r="N280" s="66"/>
    </row>
    <row r="281" spans="1:14" x14ac:dyDescent="0.2">
      <c r="A281" s="84"/>
      <c r="B281" s="84"/>
      <c r="C281" s="60"/>
      <c r="D281" s="66"/>
      <c r="E281" s="66"/>
      <c r="F281" s="66"/>
      <c r="G281" s="66"/>
      <c r="H281" s="66"/>
      <c r="I281" s="66"/>
      <c r="J281" s="66"/>
      <c r="K281" s="66"/>
      <c r="L281" s="66"/>
      <c r="M281" s="66"/>
      <c r="N281" s="66"/>
    </row>
    <row r="282" spans="1:14" x14ac:dyDescent="0.2">
      <c r="A282" s="84"/>
      <c r="B282" s="84"/>
      <c r="C282" s="60"/>
      <c r="D282" s="66"/>
      <c r="E282" s="66"/>
      <c r="F282" s="66"/>
      <c r="G282" s="66"/>
      <c r="H282" s="66"/>
      <c r="I282" s="66"/>
      <c r="J282" s="66"/>
      <c r="K282" s="66"/>
      <c r="L282" s="66"/>
      <c r="M282" s="66"/>
      <c r="N282" s="66"/>
    </row>
    <row r="283" spans="1:14" x14ac:dyDescent="0.2">
      <c r="A283" s="84"/>
      <c r="B283" s="84"/>
      <c r="C283" s="60"/>
      <c r="D283" s="66"/>
      <c r="E283" s="66"/>
      <c r="F283" s="66"/>
      <c r="G283" s="66"/>
      <c r="H283" s="66"/>
      <c r="I283" s="66"/>
      <c r="J283" s="66"/>
      <c r="K283" s="66"/>
      <c r="L283" s="66"/>
      <c r="M283" s="66"/>
      <c r="N283" s="66"/>
    </row>
    <row r="284" spans="1:14" x14ac:dyDescent="0.2">
      <c r="A284" s="84"/>
      <c r="B284" s="84"/>
      <c r="C284" s="60"/>
      <c r="D284" s="66"/>
      <c r="E284" s="66"/>
      <c r="F284" s="66"/>
      <c r="G284" s="66"/>
      <c r="H284" s="66"/>
      <c r="I284" s="66"/>
      <c r="J284" s="66"/>
      <c r="K284" s="66"/>
      <c r="L284" s="66"/>
      <c r="M284" s="66"/>
      <c r="N284" s="66"/>
    </row>
    <row r="285" spans="1:14" x14ac:dyDescent="0.2">
      <c r="A285" s="84"/>
      <c r="B285" s="84"/>
      <c r="C285" s="60"/>
      <c r="D285" s="66"/>
      <c r="E285" s="66"/>
      <c r="F285" s="66"/>
      <c r="G285" s="66"/>
      <c r="H285" s="66"/>
      <c r="I285" s="66"/>
      <c r="J285" s="66"/>
      <c r="K285" s="66"/>
      <c r="L285" s="66"/>
      <c r="M285" s="66"/>
      <c r="N285" s="66"/>
    </row>
    <row r="286" spans="1:14" x14ac:dyDescent="0.2">
      <c r="A286" s="84"/>
      <c r="B286" s="84"/>
      <c r="C286" s="60"/>
      <c r="D286" s="66"/>
      <c r="E286" s="66"/>
      <c r="F286" s="66"/>
      <c r="G286" s="66"/>
      <c r="H286" s="66"/>
      <c r="I286" s="66"/>
      <c r="J286" s="66"/>
      <c r="K286" s="66"/>
      <c r="L286" s="66"/>
      <c r="M286" s="66"/>
      <c r="N286" s="66"/>
    </row>
    <row r="287" spans="1:14" x14ac:dyDescent="0.2">
      <c r="A287" s="84"/>
      <c r="B287" s="84"/>
      <c r="C287" s="60"/>
      <c r="D287" s="66"/>
      <c r="E287" s="66"/>
      <c r="F287" s="66"/>
      <c r="G287" s="66"/>
      <c r="H287" s="66"/>
      <c r="I287" s="66"/>
      <c r="J287" s="66"/>
      <c r="K287" s="66"/>
      <c r="L287" s="66"/>
      <c r="M287" s="66"/>
      <c r="N287" s="66"/>
    </row>
    <row r="288" spans="1:14" x14ac:dyDescent="0.2">
      <c r="A288" s="84"/>
      <c r="B288" s="84"/>
      <c r="C288" s="60"/>
      <c r="D288" s="66"/>
      <c r="E288" s="66"/>
      <c r="F288" s="66"/>
      <c r="G288" s="66"/>
      <c r="H288" s="66"/>
      <c r="I288" s="66"/>
      <c r="J288" s="66"/>
      <c r="K288" s="66"/>
      <c r="L288" s="66"/>
      <c r="M288" s="66"/>
      <c r="N288" s="66"/>
    </row>
    <row r="289" spans="1:14" x14ac:dyDescent="0.2">
      <c r="A289" s="84"/>
      <c r="B289" s="84"/>
      <c r="C289" s="60"/>
      <c r="D289" s="66"/>
      <c r="E289" s="66"/>
      <c r="F289" s="66"/>
      <c r="G289" s="66"/>
      <c r="H289" s="66"/>
      <c r="I289" s="66"/>
      <c r="J289" s="66"/>
      <c r="K289" s="66"/>
      <c r="L289" s="66"/>
      <c r="M289" s="66"/>
      <c r="N289" s="66"/>
    </row>
    <row r="290" spans="1:14" x14ac:dyDescent="0.2">
      <c r="A290" s="84"/>
      <c r="B290" s="84"/>
      <c r="C290" s="60"/>
      <c r="D290" s="66"/>
      <c r="E290" s="66"/>
      <c r="F290" s="66"/>
      <c r="G290" s="66"/>
      <c r="H290" s="66"/>
      <c r="I290" s="66"/>
      <c r="J290" s="66"/>
      <c r="K290" s="66"/>
      <c r="L290" s="66"/>
      <c r="M290" s="66"/>
      <c r="N290" s="66"/>
    </row>
    <row r="291" spans="1:14" x14ac:dyDescent="0.2">
      <c r="A291" s="84"/>
      <c r="B291" s="84"/>
      <c r="C291" s="60"/>
      <c r="D291" s="66"/>
      <c r="E291" s="66"/>
      <c r="F291" s="66"/>
      <c r="G291" s="66"/>
      <c r="H291" s="66"/>
      <c r="I291" s="66"/>
      <c r="J291" s="66"/>
      <c r="K291" s="66"/>
      <c r="L291" s="66"/>
      <c r="M291" s="66"/>
      <c r="N291" s="66"/>
    </row>
    <row r="292" spans="1:14" x14ac:dyDescent="0.2">
      <c r="A292" s="84"/>
      <c r="B292" s="84"/>
      <c r="C292" s="60"/>
      <c r="D292" s="66"/>
      <c r="E292" s="66"/>
      <c r="F292" s="66"/>
      <c r="G292" s="66"/>
      <c r="H292" s="66"/>
      <c r="I292" s="66"/>
      <c r="J292" s="66"/>
      <c r="K292" s="66"/>
      <c r="L292" s="66"/>
      <c r="M292" s="66"/>
      <c r="N292" s="66"/>
    </row>
    <row r="293" spans="1:14" x14ac:dyDescent="0.2">
      <c r="A293" s="84"/>
      <c r="B293" s="84"/>
      <c r="C293" s="60"/>
      <c r="D293" s="66"/>
      <c r="E293" s="66"/>
      <c r="F293" s="66"/>
      <c r="G293" s="66"/>
      <c r="H293" s="66"/>
      <c r="I293" s="66"/>
      <c r="J293" s="66"/>
      <c r="K293" s="66"/>
      <c r="L293" s="66"/>
      <c r="M293" s="66"/>
      <c r="N293" s="66"/>
    </row>
    <row r="294" spans="1:14" x14ac:dyDescent="0.2">
      <c r="A294" s="84"/>
      <c r="B294" s="84"/>
      <c r="C294" s="60"/>
      <c r="D294" s="66"/>
      <c r="E294" s="66"/>
      <c r="F294" s="66"/>
      <c r="G294" s="66"/>
      <c r="H294" s="66"/>
      <c r="I294" s="66"/>
      <c r="J294" s="66"/>
      <c r="K294" s="66"/>
      <c r="L294" s="66"/>
      <c r="M294" s="66"/>
      <c r="N294" s="66"/>
    </row>
    <row r="295" spans="1:14" x14ac:dyDescent="0.2">
      <c r="A295" s="84"/>
      <c r="B295" s="84"/>
      <c r="C295" s="60"/>
      <c r="D295" s="66"/>
      <c r="E295" s="66"/>
      <c r="F295" s="66"/>
      <c r="G295" s="66"/>
      <c r="H295" s="66"/>
      <c r="I295" s="66"/>
      <c r="J295" s="66"/>
      <c r="K295" s="66"/>
      <c r="L295" s="66"/>
      <c r="M295" s="66"/>
      <c r="N295" s="66"/>
    </row>
    <row r="296" spans="1:14" x14ac:dyDescent="0.2">
      <c r="A296" s="84"/>
      <c r="B296" s="84"/>
      <c r="C296" s="60"/>
      <c r="D296" s="66"/>
      <c r="E296" s="66"/>
      <c r="F296" s="66"/>
      <c r="G296" s="66"/>
      <c r="H296" s="66"/>
      <c r="I296" s="66"/>
      <c r="J296" s="66"/>
      <c r="K296" s="66"/>
      <c r="L296" s="66"/>
      <c r="M296" s="66"/>
      <c r="N296" s="66"/>
    </row>
    <row r="297" spans="1:14" x14ac:dyDescent="0.2">
      <c r="A297" s="84"/>
      <c r="B297" s="84"/>
      <c r="C297" s="60"/>
      <c r="D297" s="66"/>
      <c r="E297" s="66"/>
      <c r="F297" s="66"/>
      <c r="G297" s="66"/>
      <c r="H297" s="66"/>
      <c r="I297" s="66"/>
      <c r="J297" s="66"/>
      <c r="K297" s="66"/>
      <c r="L297" s="66"/>
      <c r="M297" s="66"/>
      <c r="N297" s="66"/>
    </row>
    <row r="298" spans="1:14" x14ac:dyDescent="0.2">
      <c r="A298" s="84"/>
      <c r="B298" s="84"/>
      <c r="C298" s="60"/>
      <c r="D298" s="66"/>
      <c r="E298" s="66"/>
      <c r="F298" s="66"/>
      <c r="G298" s="66"/>
      <c r="H298" s="66"/>
      <c r="I298" s="66"/>
      <c r="J298" s="66"/>
      <c r="K298" s="66"/>
      <c r="L298" s="66"/>
      <c r="M298" s="66"/>
      <c r="N298" s="66"/>
    </row>
    <row r="299" spans="1:14" x14ac:dyDescent="0.2">
      <c r="A299" s="84"/>
      <c r="B299" s="84"/>
      <c r="C299" s="60"/>
      <c r="D299" s="66"/>
      <c r="E299" s="66"/>
      <c r="F299" s="66"/>
      <c r="G299" s="66"/>
      <c r="H299" s="66"/>
      <c r="I299" s="66"/>
      <c r="J299" s="66"/>
      <c r="K299" s="66"/>
      <c r="L299" s="66"/>
      <c r="M299" s="66"/>
      <c r="N299" s="66"/>
    </row>
    <row r="300" spans="1:14" x14ac:dyDescent="0.2">
      <c r="A300" s="84"/>
      <c r="B300" s="84"/>
      <c r="C300" s="60"/>
      <c r="D300" s="66"/>
      <c r="E300" s="66"/>
      <c r="F300" s="66"/>
      <c r="G300" s="66"/>
      <c r="H300" s="66"/>
      <c r="I300" s="66"/>
      <c r="J300" s="66"/>
      <c r="K300" s="66"/>
      <c r="L300" s="66"/>
      <c r="M300" s="66"/>
      <c r="N300" s="66"/>
    </row>
    <row r="301" spans="1:14" x14ac:dyDescent="0.2">
      <c r="A301" s="84"/>
      <c r="B301" s="84"/>
      <c r="C301" s="60"/>
      <c r="D301" s="66"/>
      <c r="E301" s="66"/>
      <c r="F301" s="66"/>
      <c r="G301" s="66"/>
      <c r="H301" s="66"/>
      <c r="I301" s="66"/>
      <c r="J301" s="66"/>
      <c r="K301" s="66"/>
      <c r="L301" s="66"/>
      <c r="M301" s="66"/>
      <c r="N301" s="66"/>
    </row>
    <row r="302" spans="1:14" x14ac:dyDescent="0.2">
      <c r="A302" s="84"/>
      <c r="B302" s="84"/>
      <c r="C302" s="60"/>
      <c r="D302" s="66"/>
      <c r="E302" s="66"/>
      <c r="F302" s="66"/>
      <c r="G302" s="66"/>
      <c r="H302" s="66"/>
      <c r="I302" s="66"/>
      <c r="J302" s="66"/>
      <c r="K302" s="66"/>
      <c r="L302" s="66"/>
      <c r="M302" s="66"/>
      <c r="N302" s="66"/>
    </row>
    <row r="303" spans="1:14" x14ac:dyDescent="0.2">
      <c r="A303" s="84"/>
      <c r="B303" s="84"/>
      <c r="C303" s="60"/>
      <c r="D303" s="66"/>
      <c r="E303" s="66"/>
      <c r="F303" s="66"/>
      <c r="G303" s="66"/>
      <c r="H303" s="66"/>
      <c r="I303" s="66"/>
      <c r="J303" s="66"/>
      <c r="K303" s="66"/>
      <c r="L303" s="66"/>
      <c r="M303" s="66"/>
      <c r="N303" s="66"/>
    </row>
    <row r="304" spans="1:14" x14ac:dyDescent="0.2">
      <c r="A304" s="84"/>
      <c r="B304" s="84"/>
      <c r="C304" s="60"/>
      <c r="D304" s="66"/>
      <c r="E304" s="66"/>
      <c r="F304" s="66"/>
      <c r="G304" s="66"/>
      <c r="H304" s="66"/>
      <c r="I304" s="66"/>
      <c r="J304" s="66"/>
      <c r="K304" s="66"/>
      <c r="L304" s="66"/>
      <c r="M304" s="66"/>
      <c r="N304" s="66"/>
    </row>
    <row r="305" spans="1:14" x14ac:dyDescent="0.2">
      <c r="A305" s="84"/>
      <c r="B305" s="84"/>
      <c r="C305" s="60"/>
      <c r="D305" s="66"/>
      <c r="E305" s="66"/>
      <c r="F305" s="66"/>
      <c r="G305" s="66"/>
      <c r="H305" s="66"/>
      <c r="I305" s="66"/>
      <c r="J305" s="66"/>
      <c r="K305" s="66"/>
      <c r="L305" s="66"/>
      <c r="M305" s="66"/>
      <c r="N305" s="66"/>
    </row>
    <row r="306" spans="1:14" x14ac:dyDescent="0.2">
      <c r="A306" s="84"/>
      <c r="B306" s="84"/>
      <c r="C306" s="60"/>
      <c r="D306" s="66"/>
      <c r="E306" s="66"/>
      <c r="F306" s="66"/>
      <c r="G306" s="66"/>
      <c r="H306" s="66"/>
      <c r="I306" s="66"/>
      <c r="J306" s="66"/>
      <c r="K306" s="66"/>
      <c r="L306" s="66"/>
      <c r="M306" s="66"/>
      <c r="N306" s="66"/>
    </row>
    <row r="307" spans="1:14" x14ac:dyDescent="0.2">
      <c r="A307" s="84"/>
      <c r="B307" s="84"/>
      <c r="C307" s="60"/>
      <c r="D307" s="66"/>
      <c r="E307" s="66"/>
      <c r="F307" s="66"/>
      <c r="G307" s="66"/>
      <c r="H307" s="66"/>
      <c r="I307" s="66"/>
      <c r="J307" s="66"/>
      <c r="K307" s="66"/>
      <c r="L307" s="66"/>
      <c r="M307" s="66"/>
      <c r="N307" s="66"/>
    </row>
    <row r="308" spans="1:14" x14ac:dyDescent="0.2">
      <c r="A308" s="84"/>
      <c r="B308" s="84"/>
      <c r="C308" s="60"/>
      <c r="D308" s="66"/>
      <c r="E308" s="66"/>
      <c r="F308" s="66"/>
      <c r="G308" s="66"/>
      <c r="H308" s="66"/>
      <c r="I308" s="66"/>
      <c r="J308" s="66"/>
      <c r="K308" s="66"/>
      <c r="L308" s="66"/>
      <c r="M308" s="66"/>
      <c r="N308" s="66"/>
    </row>
    <row r="309" spans="1:14" x14ac:dyDescent="0.2">
      <c r="A309" s="84"/>
      <c r="B309" s="84"/>
      <c r="C309" s="60"/>
      <c r="D309" s="66"/>
      <c r="E309" s="66"/>
      <c r="F309" s="66"/>
      <c r="G309" s="66"/>
      <c r="H309" s="66"/>
      <c r="I309" s="66"/>
      <c r="J309" s="66"/>
      <c r="K309" s="66"/>
      <c r="L309" s="66"/>
      <c r="M309" s="66"/>
      <c r="N309" s="66"/>
    </row>
    <row r="310" spans="1:14" x14ac:dyDescent="0.2">
      <c r="A310" s="84"/>
      <c r="B310" s="84"/>
      <c r="C310" s="60"/>
      <c r="D310" s="66"/>
      <c r="E310" s="66"/>
      <c r="F310" s="66"/>
      <c r="G310" s="66"/>
      <c r="H310" s="66"/>
      <c r="I310" s="66"/>
      <c r="J310" s="66"/>
      <c r="K310" s="66"/>
      <c r="L310" s="66"/>
      <c r="M310" s="66"/>
      <c r="N310" s="66"/>
    </row>
    <row r="311" spans="1:14" x14ac:dyDescent="0.2">
      <c r="A311" s="84"/>
      <c r="B311" s="84"/>
      <c r="C311" s="60"/>
      <c r="D311" s="66"/>
      <c r="E311" s="66"/>
      <c r="F311" s="66"/>
      <c r="G311" s="66"/>
      <c r="H311" s="66"/>
      <c r="I311" s="66"/>
      <c r="J311" s="66"/>
      <c r="K311" s="66"/>
      <c r="L311" s="66"/>
      <c r="M311" s="66"/>
      <c r="N311" s="66"/>
    </row>
    <row r="312" spans="1:14" x14ac:dyDescent="0.2">
      <c r="A312" s="84"/>
      <c r="B312" s="84"/>
      <c r="C312" s="60"/>
      <c r="D312" s="66"/>
      <c r="E312" s="66"/>
      <c r="F312" s="66"/>
      <c r="G312" s="66"/>
      <c r="H312" s="66"/>
      <c r="I312" s="66"/>
      <c r="J312" s="66"/>
      <c r="K312" s="66"/>
      <c r="L312" s="66"/>
      <c r="M312" s="66"/>
      <c r="N312" s="66"/>
    </row>
    <row r="313" spans="1:14" x14ac:dyDescent="0.2">
      <c r="A313" s="84"/>
      <c r="B313" s="84"/>
      <c r="C313" s="60"/>
      <c r="D313" s="66"/>
      <c r="E313" s="66"/>
      <c r="F313" s="66"/>
      <c r="G313" s="66"/>
      <c r="H313" s="66"/>
      <c r="I313" s="66"/>
      <c r="J313" s="66"/>
      <c r="K313" s="66"/>
      <c r="L313" s="66"/>
      <c r="M313" s="66"/>
      <c r="N313" s="66"/>
    </row>
    <row r="314" spans="1:14" x14ac:dyDescent="0.2">
      <c r="A314" s="84"/>
      <c r="B314" s="84"/>
      <c r="C314" s="60"/>
      <c r="D314" s="66"/>
      <c r="E314" s="66"/>
      <c r="F314" s="66"/>
      <c r="G314" s="66"/>
      <c r="H314" s="66"/>
      <c r="I314" s="66"/>
      <c r="J314" s="66"/>
      <c r="K314" s="66"/>
      <c r="L314" s="66"/>
      <c r="M314" s="66"/>
      <c r="N314" s="66"/>
    </row>
    <row r="315" spans="1:14" x14ac:dyDescent="0.2">
      <c r="A315" s="84"/>
      <c r="B315" s="84"/>
      <c r="C315" s="60"/>
      <c r="D315" s="66"/>
      <c r="E315" s="66"/>
      <c r="F315" s="66"/>
      <c r="G315" s="66"/>
      <c r="H315" s="66"/>
      <c r="I315" s="66"/>
      <c r="J315" s="66"/>
      <c r="K315" s="66"/>
      <c r="L315" s="66"/>
      <c r="M315" s="66"/>
      <c r="N315" s="66"/>
    </row>
    <row r="316" spans="1:14" x14ac:dyDescent="0.2">
      <c r="A316" s="84"/>
      <c r="B316" s="84"/>
      <c r="C316" s="60"/>
      <c r="D316" s="66"/>
      <c r="E316" s="66"/>
      <c r="F316" s="66"/>
      <c r="G316" s="66"/>
      <c r="H316" s="66"/>
      <c r="I316" s="66"/>
      <c r="J316" s="66"/>
      <c r="K316" s="66"/>
      <c r="L316" s="66"/>
      <c r="M316" s="66"/>
      <c r="N316" s="66"/>
    </row>
    <row r="317" spans="1:14" x14ac:dyDescent="0.2">
      <c r="A317" s="84"/>
      <c r="B317" s="84"/>
      <c r="C317" s="60"/>
      <c r="D317" s="66"/>
      <c r="E317" s="66"/>
      <c r="F317" s="66"/>
      <c r="G317" s="66"/>
      <c r="H317" s="66"/>
      <c r="I317" s="66"/>
      <c r="J317" s="66"/>
      <c r="K317" s="66"/>
      <c r="L317" s="66"/>
      <c r="M317" s="66"/>
      <c r="N317" s="66"/>
    </row>
    <row r="318" spans="1:14" x14ac:dyDescent="0.2">
      <c r="A318" s="84"/>
      <c r="B318" s="84"/>
      <c r="C318" s="60"/>
      <c r="D318" s="66"/>
      <c r="E318" s="66"/>
      <c r="F318" s="66"/>
      <c r="G318" s="66"/>
      <c r="H318" s="66"/>
      <c r="I318" s="66"/>
      <c r="J318" s="66"/>
      <c r="K318" s="66"/>
      <c r="L318" s="66"/>
      <c r="M318" s="66"/>
      <c r="N318" s="66"/>
    </row>
    <row r="319" spans="1:14" x14ac:dyDescent="0.2">
      <c r="A319" s="84"/>
      <c r="B319" s="84"/>
      <c r="C319" s="60"/>
      <c r="D319" s="66"/>
      <c r="E319" s="66"/>
      <c r="F319" s="66"/>
      <c r="G319" s="66"/>
      <c r="H319" s="66"/>
      <c r="I319" s="66"/>
      <c r="J319" s="66"/>
      <c r="K319" s="66"/>
      <c r="L319" s="66"/>
      <c r="M319" s="66"/>
      <c r="N319" s="66"/>
    </row>
    <row r="320" spans="1:14" x14ac:dyDescent="0.2">
      <c r="A320" s="84"/>
      <c r="B320" s="84"/>
      <c r="C320" s="60"/>
      <c r="D320" s="66"/>
      <c r="E320" s="66"/>
      <c r="F320" s="66"/>
      <c r="G320" s="66"/>
      <c r="H320" s="66"/>
      <c r="I320" s="66"/>
      <c r="J320" s="66"/>
      <c r="K320" s="66"/>
      <c r="L320" s="66"/>
      <c r="M320" s="66"/>
      <c r="N320" s="66"/>
    </row>
    <row r="321" spans="1:14" x14ac:dyDescent="0.2">
      <c r="A321" s="84"/>
      <c r="B321" s="84"/>
      <c r="C321" s="60"/>
      <c r="D321" s="66"/>
      <c r="E321" s="66"/>
      <c r="F321" s="66"/>
      <c r="G321" s="66"/>
      <c r="H321" s="66"/>
      <c r="I321" s="66"/>
      <c r="J321" s="66"/>
      <c r="K321" s="66"/>
      <c r="L321" s="66"/>
      <c r="M321" s="66"/>
      <c r="N321" s="66"/>
    </row>
    <row r="322" spans="1:14" x14ac:dyDescent="0.2">
      <c r="A322" s="84"/>
      <c r="B322" s="84"/>
      <c r="C322" s="60"/>
      <c r="D322" s="66"/>
      <c r="E322" s="66"/>
      <c r="F322" s="66"/>
      <c r="G322" s="66"/>
      <c r="H322" s="66"/>
      <c r="I322" s="66"/>
      <c r="J322" s="66"/>
      <c r="K322" s="66"/>
      <c r="L322" s="66"/>
      <c r="M322" s="66"/>
      <c r="N322" s="66"/>
    </row>
    <row r="323" spans="1:14" x14ac:dyDescent="0.2">
      <c r="A323" s="84"/>
      <c r="B323" s="84"/>
      <c r="C323" s="60"/>
      <c r="D323" s="66"/>
      <c r="E323" s="66"/>
      <c r="F323" s="66"/>
      <c r="G323" s="66"/>
      <c r="H323" s="66"/>
      <c r="I323" s="66"/>
      <c r="J323" s="66"/>
      <c r="K323" s="66"/>
      <c r="L323" s="66"/>
      <c r="M323" s="66"/>
      <c r="N323" s="66"/>
    </row>
    <row r="324" spans="1:14" x14ac:dyDescent="0.2">
      <c r="A324" s="84"/>
      <c r="B324" s="84"/>
      <c r="C324" s="60"/>
      <c r="D324" s="66"/>
      <c r="E324" s="66"/>
      <c r="F324" s="66"/>
      <c r="G324" s="66"/>
      <c r="H324" s="66"/>
      <c r="I324" s="66"/>
      <c r="J324" s="66"/>
      <c r="K324" s="66"/>
      <c r="L324" s="66"/>
      <c r="M324" s="66"/>
      <c r="N324" s="66"/>
    </row>
    <row r="325" spans="1:14" x14ac:dyDescent="0.2">
      <c r="A325" s="84"/>
      <c r="B325" s="84"/>
      <c r="C325" s="60"/>
      <c r="D325" s="66"/>
      <c r="E325" s="66"/>
      <c r="F325" s="66"/>
      <c r="G325" s="66"/>
      <c r="H325" s="66"/>
      <c r="I325" s="66"/>
      <c r="J325" s="66"/>
      <c r="K325" s="66"/>
      <c r="L325" s="66"/>
      <c r="M325" s="66"/>
      <c r="N325" s="66"/>
    </row>
    <row r="326" spans="1:14" x14ac:dyDescent="0.2">
      <c r="A326" s="84"/>
      <c r="B326" s="84"/>
      <c r="C326" s="60"/>
      <c r="D326" s="66"/>
      <c r="E326" s="66"/>
      <c r="F326" s="66"/>
      <c r="G326" s="66"/>
      <c r="H326" s="66"/>
      <c r="I326" s="66"/>
      <c r="J326" s="66"/>
      <c r="K326" s="66"/>
      <c r="L326" s="66"/>
      <c r="M326" s="66"/>
      <c r="N326" s="66"/>
    </row>
    <row r="327" spans="1:14" x14ac:dyDescent="0.2">
      <c r="A327" s="84"/>
      <c r="B327" s="84"/>
      <c r="C327" s="60"/>
      <c r="D327" s="66"/>
      <c r="E327" s="66"/>
      <c r="F327" s="66"/>
      <c r="G327" s="66"/>
      <c r="H327" s="66"/>
      <c r="I327" s="66"/>
      <c r="J327" s="66"/>
      <c r="K327" s="66"/>
      <c r="L327" s="66"/>
      <c r="M327" s="66"/>
      <c r="N327" s="66"/>
    </row>
    <row r="328" spans="1:14" x14ac:dyDescent="0.2">
      <c r="A328" s="84"/>
      <c r="B328" s="84"/>
      <c r="C328" s="60"/>
      <c r="D328" s="66"/>
      <c r="E328" s="66"/>
      <c r="F328" s="66"/>
      <c r="G328" s="66"/>
      <c r="H328" s="66"/>
      <c r="I328" s="66"/>
      <c r="J328" s="66"/>
      <c r="K328" s="66"/>
      <c r="L328" s="66"/>
      <c r="M328" s="66"/>
      <c r="N328" s="66"/>
    </row>
    <row r="329" spans="1:14" x14ac:dyDescent="0.2">
      <c r="A329" s="84"/>
      <c r="B329" s="84"/>
      <c r="C329" s="60"/>
      <c r="D329" s="66"/>
      <c r="E329" s="66"/>
      <c r="F329" s="66"/>
      <c r="G329" s="66"/>
      <c r="H329" s="66"/>
      <c r="I329" s="66"/>
      <c r="J329" s="66"/>
      <c r="K329" s="66"/>
      <c r="L329" s="66"/>
      <c r="M329" s="66"/>
      <c r="N329" s="66"/>
    </row>
    <row r="330" spans="1:14" x14ac:dyDescent="0.2">
      <c r="A330" s="84"/>
      <c r="B330" s="84"/>
      <c r="C330" s="60"/>
      <c r="D330" s="66"/>
      <c r="E330" s="66"/>
      <c r="F330" s="66"/>
      <c r="G330" s="66"/>
      <c r="H330" s="66"/>
      <c r="I330" s="66"/>
      <c r="J330" s="66"/>
      <c r="K330" s="66"/>
      <c r="L330" s="66"/>
      <c r="M330" s="66"/>
      <c r="N330" s="66"/>
    </row>
    <row r="331" spans="1:14" x14ac:dyDescent="0.2">
      <c r="A331" s="84"/>
      <c r="B331" s="84"/>
      <c r="C331" s="60"/>
      <c r="D331" s="66"/>
      <c r="E331" s="66"/>
      <c r="F331" s="66"/>
      <c r="G331" s="66"/>
      <c r="H331" s="66"/>
      <c r="I331" s="66"/>
      <c r="J331" s="66"/>
      <c r="K331" s="66"/>
      <c r="L331" s="66"/>
      <c r="M331" s="66"/>
      <c r="N331" s="66"/>
    </row>
    <row r="332" spans="1:14" x14ac:dyDescent="0.2">
      <c r="A332" s="84"/>
      <c r="B332" s="84"/>
      <c r="C332" s="60"/>
      <c r="D332" s="66"/>
      <c r="E332" s="66"/>
      <c r="F332" s="66"/>
      <c r="G332" s="66"/>
      <c r="H332" s="66"/>
      <c r="I332" s="66"/>
      <c r="J332" s="66"/>
      <c r="K332" s="66"/>
      <c r="L332" s="66"/>
      <c r="M332" s="66"/>
      <c r="N332" s="66"/>
    </row>
    <row r="333" spans="1:14" x14ac:dyDescent="0.2">
      <c r="A333" s="84"/>
      <c r="B333" s="84"/>
      <c r="C333" s="60"/>
      <c r="D333" s="66"/>
      <c r="E333" s="66"/>
      <c r="F333" s="66"/>
      <c r="G333" s="66"/>
      <c r="H333" s="66"/>
      <c r="I333" s="66"/>
      <c r="J333" s="66"/>
      <c r="K333" s="66"/>
      <c r="L333" s="66"/>
      <c r="M333" s="66"/>
      <c r="N333" s="66"/>
    </row>
    <row r="334" spans="1:14" x14ac:dyDescent="0.2">
      <c r="A334" s="84"/>
      <c r="B334" s="84"/>
      <c r="C334" s="60"/>
      <c r="D334" s="66"/>
      <c r="E334" s="66"/>
      <c r="F334" s="66"/>
      <c r="G334" s="66"/>
      <c r="H334" s="66"/>
      <c r="I334" s="66"/>
      <c r="J334" s="66"/>
      <c r="K334" s="66"/>
      <c r="L334" s="66"/>
      <c r="M334" s="66"/>
      <c r="N334" s="66"/>
    </row>
    <row r="335" spans="1:14" x14ac:dyDescent="0.2">
      <c r="A335" s="84"/>
      <c r="B335" s="84"/>
      <c r="C335" s="60"/>
      <c r="D335" s="66"/>
      <c r="E335" s="66"/>
      <c r="F335" s="66"/>
      <c r="G335" s="66"/>
      <c r="H335" s="66"/>
      <c r="I335" s="66"/>
      <c r="J335" s="66"/>
      <c r="K335" s="66"/>
      <c r="L335" s="66"/>
      <c r="M335" s="66"/>
      <c r="N335" s="66"/>
    </row>
    <row r="336" spans="1:14" x14ac:dyDescent="0.2">
      <c r="A336" s="84"/>
      <c r="B336" s="84"/>
      <c r="C336" s="60"/>
      <c r="D336" s="66"/>
      <c r="E336" s="66"/>
      <c r="F336" s="66"/>
      <c r="G336" s="66"/>
      <c r="H336" s="66"/>
      <c r="I336" s="66"/>
      <c r="J336" s="66"/>
      <c r="K336" s="66"/>
      <c r="L336" s="66"/>
      <c r="M336" s="66"/>
      <c r="N336" s="66"/>
    </row>
    <row r="337" spans="1:14" x14ac:dyDescent="0.2">
      <c r="A337" s="84"/>
      <c r="B337" s="84"/>
      <c r="C337" s="60"/>
      <c r="D337" s="66"/>
      <c r="E337" s="66"/>
      <c r="F337" s="66"/>
      <c r="G337" s="66"/>
      <c r="H337" s="66"/>
      <c r="I337" s="66"/>
      <c r="J337" s="66"/>
      <c r="K337" s="66"/>
      <c r="L337" s="66"/>
      <c r="M337" s="66"/>
      <c r="N337" s="66"/>
    </row>
    <row r="338" spans="1:14" x14ac:dyDescent="0.2">
      <c r="A338" s="84"/>
      <c r="B338" s="84"/>
      <c r="C338" s="60"/>
      <c r="D338" s="66"/>
      <c r="E338" s="66"/>
      <c r="F338" s="66"/>
      <c r="G338" s="66"/>
      <c r="H338" s="66"/>
      <c r="I338" s="66"/>
      <c r="J338" s="66"/>
      <c r="K338" s="66"/>
      <c r="L338" s="66"/>
      <c r="M338" s="66"/>
      <c r="N338" s="66"/>
    </row>
    <row r="339" spans="1:14" x14ac:dyDescent="0.2">
      <c r="A339" s="84"/>
      <c r="B339" s="84"/>
      <c r="C339" s="60"/>
      <c r="D339" s="66"/>
      <c r="E339" s="66"/>
      <c r="F339" s="66"/>
      <c r="G339" s="66"/>
      <c r="H339" s="66"/>
      <c r="I339" s="66"/>
      <c r="J339" s="66"/>
      <c r="K339" s="66"/>
      <c r="L339" s="66"/>
      <c r="M339" s="66"/>
      <c r="N339" s="66"/>
    </row>
    <row r="340" spans="1:14" x14ac:dyDescent="0.2">
      <c r="A340" s="84"/>
      <c r="B340" s="84"/>
      <c r="C340" s="60"/>
      <c r="D340" s="66"/>
      <c r="E340" s="66"/>
      <c r="F340" s="66"/>
      <c r="G340" s="66"/>
      <c r="H340" s="66"/>
      <c r="I340" s="66"/>
      <c r="J340" s="66"/>
      <c r="K340" s="66"/>
      <c r="L340" s="66"/>
      <c r="M340" s="66"/>
      <c r="N340" s="66"/>
    </row>
    <row r="341" spans="1:14" x14ac:dyDescent="0.2">
      <c r="A341" s="84"/>
      <c r="B341" s="84"/>
      <c r="C341" s="60"/>
      <c r="D341" s="66"/>
      <c r="E341" s="66"/>
      <c r="F341" s="66"/>
      <c r="G341" s="66"/>
      <c r="H341" s="66"/>
      <c r="I341" s="66"/>
      <c r="J341" s="66"/>
      <c r="K341" s="66"/>
      <c r="L341" s="66"/>
      <c r="M341" s="66"/>
      <c r="N341" s="66"/>
    </row>
    <row r="342" spans="1:14" x14ac:dyDescent="0.2">
      <c r="A342" s="84"/>
      <c r="B342" s="84"/>
      <c r="C342" s="60"/>
      <c r="D342" s="66"/>
      <c r="E342" s="66"/>
      <c r="F342" s="66"/>
      <c r="G342" s="66"/>
      <c r="H342" s="66"/>
      <c r="I342" s="66"/>
      <c r="J342" s="66"/>
      <c r="K342" s="66"/>
      <c r="L342" s="66"/>
      <c r="M342" s="66"/>
      <c r="N342" s="66"/>
    </row>
    <row r="343" spans="1:14" x14ac:dyDescent="0.2">
      <c r="A343" s="84"/>
      <c r="B343" s="84"/>
      <c r="C343" s="60"/>
      <c r="D343" s="66"/>
      <c r="E343" s="66"/>
      <c r="F343" s="66"/>
      <c r="G343" s="66"/>
      <c r="H343" s="66"/>
      <c r="I343" s="66"/>
      <c r="J343" s="66"/>
      <c r="K343" s="66"/>
      <c r="L343" s="66"/>
      <c r="M343" s="66"/>
      <c r="N343" s="66"/>
    </row>
    <row r="344" spans="1:14" x14ac:dyDescent="0.2">
      <c r="A344" s="84"/>
      <c r="B344" s="84"/>
      <c r="C344" s="60"/>
      <c r="D344" s="66"/>
      <c r="E344" s="66"/>
      <c r="F344" s="66"/>
      <c r="G344" s="66"/>
      <c r="H344" s="66"/>
      <c r="I344" s="66"/>
      <c r="J344" s="66"/>
      <c r="K344" s="66"/>
      <c r="L344" s="66"/>
      <c r="M344" s="66"/>
      <c r="N344" s="66"/>
    </row>
    <row r="345" spans="1:14" x14ac:dyDescent="0.2">
      <c r="A345" s="84"/>
      <c r="B345" s="84"/>
      <c r="C345" s="60"/>
      <c r="D345" s="66"/>
      <c r="E345" s="66"/>
      <c r="F345" s="66"/>
      <c r="G345" s="66"/>
      <c r="H345" s="66"/>
      <c r="I345" s="66"/>
      <c r="J345" s="66"/>
      <c r="K345" s="66"/>
      <c r="L345" s="66"/>
      <c r="M345" s="66"/>
      <c r="N345" s="66"/>
    </row>
    <row r="346" spans="1:14" x14ac:dyDescent="0.2">
      <c r="A346" s="84"/>
      <c r="B346" s="84"/>
      <c r="C346" s="60"/>
      <c r="D346" s="66"/>
      <c r="E346" s="66"/>
      <c r="F346" s="66"/>
      <c r="G346" s="66"/>
      <c r="H346" s="66"/>
      <c r="I346" s="66"/>
      <c r="J346" s="66"/>
      <c r="K346" s="66"/>
      <c r="L346" s="66"/>
      <c r="M346" s="66"/>
      <c r="N346" s="66"/>
    </row>
    <row r="347" spans="1:14" x14ac:dyDescent="0.2">
      <c r="A347" s="84"/>
      <c r="B347" s="84"/>
      <c r="C347" s="60"/>
      <c r="D347" s="66"/>
      <c r="E347" s="66"/>
      <c r="F347" s="66"/>
      <c r="G347" s="66"/>
      <c r="H347" s="66"/>
      <c r="I347" s="66"/>
      <c r="J347" s="66"/>
      <c r="K347" s="66"/>
      <c r="L347" s="66"/>
      <c r="M347" s="66"/>
      <c r="N347" s="66"/>
    </row>
    <row r="348" spans="1:14" x14ac:dyDescent="0.2">
      <c r="A348" s="84"/>
      <c r="B348" s="84"/>
      <c r="C348" s="60"/>
      <c r="D348" s="66"/>
      <c r="E348" s="66"/>
      <c r="F348" s="66"/>
      <c r="G348" s="66"/>
      <c r="H348" s="66"/>
      <c r="I348" s="66"/>
      <c r="J348" s="66"/>
      <c r="K348" s="66"/>
      <c r="L348" s="66"/>
      <c r="M348" s="66"/>
      <c r="N348" s="66"/>
    </row>
    <row r="349" spans="1:14" x14ac:dyDescent="0.2">
      <c r="A349" s="84"/>
      <c r="B349" s="84"/>
      <c r="C349" s="60"/>
      <c r="D349" s="66"/>
      <c r="E349" s="66"/>
      <c r="F349" s="66"/>
      <c r="G349" s="66"/>
      <c r="H349" s="66"/>
      <c r="I349" s="66"/>
      <c r="J349" s="66"/>
      <c r="K349" s="66"/>
      <c r="L349" s="66"/>
      <c r="M349" s="66"/>
      <c r="N349" s="66"/>
    </row>
    <row r="350" spans="1:14" x14ac:dyDescent="0.2">
      <c r="A350" s="84"/>
      <c r="B350" s="84"/>
      <c r="C350" s="60"/>
      <c r="D350" s="66"/>
      <c r="E350" s="66"/>
      <c r="F350" s="66"/>
      <c r="G350" s="66"/>
      <c r="H350" s="66"/>
      <c r="I350" s="66"/>
      <c r="J350" s="66"/>
      <c r="K350" s="66"/>
      <c r="L350" s="66"/>
      <c r="M350" s="66"/>
      <c r="N350" s="66"/>
    </row>
    <row r="351" spans="1:14" x14ac:dyDescent="0.2">
      <c r="A351" s="84"/>
      <c r="B351" s="84"/>
      <c r="C351" s="60"/>
      <c r="D351" s="66"/>
      <c r="E351" s="66"/>
      <c r="F351" s="66"/>
      <c r="G351" s="66"/>
      <c r="H351" s="66"/>
      <c r="I351" s="66"/>
      <c r="J351" s="66"/>
      <c r="K351" s="66"/>
      <c r="L351" s="66"/>
      <c r="M351" s="66"/>
      <c r="N351" s="66"/>
    </row>
    <row r="352" spans="1:14" x14ac:dyDescent="0.2">
      <c r="A352" s="84"/>
      <c r="B352" s="84"/>
      <c r="C352" s="60"/>
      <c r="D352" s="66"/>
      <c r="E352" s="66"/>
      <c r="F352" s="66"/>
      <c r="G352" s="66"/>
      <c r="H352" s="66"/>
      <c r="I352" s="66"/>
      <c r="J352" s="66"/>
      <c r="K352" s="66"/>
      <c r="L352" s="66"/>
      <c r="M352" s="66"/>
      <c r="N352" s="66"/>
    </row>
    <row r="353" spans="1:14" x14ac:dyDescent="0.2">
      <c r="A353" s="84"/>
      <c r="B353" s="84"/>
      <c r="C353" s="60"/>
      <c r="D353" s="66"/>
      <c r="E353" s="66"/>
      <c r="F353" s="66"/>
      <c r="G353" s="66"/>
      <c r="H353" s="66"/>
      <c r="I353" s="66"/>
      <c r="J353" s="66"/>
      <c r="K353" s="66"/>
      <c r="L353" s="66"/>
      <c r="M353" s="66"/>
      <c r="N353" s="66"/>
    </row>
    <row r="354" spans="1:14" x14ac:dyDescent="0.2">
      <c r="A354" s="84"/>
      <c r="B354" s="84"/>
      <c r="C354" s="60"/>
      <c r="D354" s="66"/>
      <c r="E354" s="66"/>
      <c r="F354" s="66"/>
      <c r="G354" s="66"/>
      <c r="H354" s="66"/>
      <c r="I354" s="66"/>
      <c r="J354" s="66"/>
      <c r="K354" s="66"/>
      <c r="L354" s="66"/>
      <c r="M354" s="66"/>
      <c r="N354" s="66"/>
    </row>
    <row r="355" spans="1:14" x14ac:dyDescent="0.2">
      <c r="A355" s="84"/>
      <c r="B355" s="84"/>
      <c r="C355" s="60"/>
      <c r="D355" s="66"/>
      <c r="E355" s="66"/>
      <c r="F355" s="66"/>
      <c r="G355" s="66"/>
      <c r="H355" s="66"/>
      <c r="I355" s="66"/>
      <c r="J355" s="66"/>
      <c r="K355" s="66"/>
      <c r="L355" s="66"/>
      <c r="M355" s="66"/>
      <c r="N355" s="66"/>
    </row>
    <row r="356" spans="1:14" x14ac:dyDescent="0.2">
      <c r="A356" s="84"/>
      <c r="B356" s="84"/>
      <c r="C356" s="60"/>
      <c r="D356" s="66"/>
      <c r="E356" s="66"/>
      <c r="F356" s="66"/>
      <c r="G356" s="66"/>
      <c r="H356" s="66"/>
      <c r="I356" s="66"/>
      <c r="J356" s="66"/>
      <c r="K356" s="66"/>
      <c r="L356" s="66"/>
      <c r="M356" s="66"/>
      <c r="N356" s="66"/>
    </row>
    <row r="357" spans="1:14" x14ac:dyDescent="0.2">
      <c r="A357" s="84"/>
      <c r="B357" s="84"/>
      <c r="C357" s="60"/>
      <c r="D357" s="66"/>
      <c r="E357" s="66"/>
      <c r="F357" s="66"/>
      <c r="G357" s="66"/>
      <c r="H357" s="66"/>
      <c r="I357" s="66"/>
      <c r="J357" s="66"/>
      <c r="K357" s="66"/>
      <c r="L357" s="66"/>
      <c r="M357" s="66"/>
      <c r="N357" s="66"/>
    </row>
    <row r="358" spans="1:14" x14ac:dyDescent="0.2">
      <c r="A358" s="84"/>
      <c r="B358" s="84"/>
      <c r="C358" s="60"/>
      <c r="D358" s="66"/>
      <c r="E358" s="66"/>
      <c r="F358" s="66"/>
      <c r="G358" s="66"/>
      <c r="H358" s="66"/>
      <c r="I358" s="66"/>
      <c r="J358" s="66"/>
      <c r="K358" s="66"/>
      <c r="L358" s="66"/>
      <c r="M358" s="66"/>
      <c r="N358" s="66"/>
    </row>
    <row r="359" spans="1:14" x14ac:dyDescent="0.2">
      <c r="A359" s="84"/>
      <c r="B359" s="84"/>
      <c r="C359" s="60"/>
      <c r="D359" s="66"/>
      <c r="E359" s="66"/>
      <c r="F359" s="66"/>
      <c r="G359" s="66"/>
      <c r="H359" s="66"/>
      <c r="I359" s="66"/>
      <c r="J359" s="66"/>
      <c r="K359" s="66"/>
      <c r="L359" s="66"/>
      <c r="M359" s="66"/>
      <c r="N359" s="66"/>
    </row>
    <row r="360" spans="1:14" x14ac:dyDescent="0.2">
      <c r="A360" s="84"/>
      <c r="B360" s="84"/>
      <c r="C360" s="60"/>
      <c r="D360" s="66"/>
      <c r="E360" s="66"/>
      <c r="F360" s="66"/>
      <c r="G360" s="66"/>
      <c r="H360" s="66"/>
      <c r="I360" s="66"/>
      <c r="J360" s="66"/>
      <c r="K360" s="66"/>
      <c r="L360" s="66"/>
      <c r="M360" s="66"/>
      <c r="N360" s="66"/>
    </row>
    <row r="361" spans="1:14" x14ac:dyDescent="0.2">
      <c r="A361" s="84"/>
      <c r="B361" s="84"/>
      <c r="C361" s="60"/>
      <c r="D361" s="66"/>
      <c r="E361" s="66"/>
      <c r="F361" s="66"/>
      <c r="G361" s="66"/>
      <c r="H361" s="66"/>
      <c r="I361" s="66"/>
      <c r="J361" s="66"/>
      <c r="K361" s="66"/>
      <c r="L361" s="66"/>
      <c r="M361" s="66"/>
      <c r="N361" s="66"/>
    </row>
    <row r="362" spans="1:14" x14ac:dyDescent="0.2">
      <c r="A362" s="84"/>
      <c r="B362" s="84"/>
      <c r="C362" s="60"/>
      <c r="D362" s="66"/>
      <c r="E362" s="66"/>
      <c r="F362" s="66"/>
      <c r="G362" s="66"/>
      <c r="H362" s="66"/>
      <c r="I362" s="66"/>
      <c r="J362" s="66"/>
      <c r="K362" s="66"/>
      <c r="L362" s="66"/>
      <c r="M362" s="66"/>
      <c r="N362" s="66"/>
    </row>
    <row r="363" spans="1:14" x14ac:dyDescent="0.2">
      <c r="A363" s="84"/>
      <c r="B363" s="84"/>
      <c r="C363" s="60"/>
      <c r="D363" s="66"/>
      <c r="E363" s="66"/>
      <c r="F363" s="66"/>
      <c r="G363" s="66"/>
      <c r="H363" s="66"/>
      <c r="I363" s="66"/>
      <c r="J363" s="66"/>
      <c r="K363" s="66"/>
      <c r="L363" s="66"/>
      <c r="M363" s="66"/>
      <c r="N363" s="66"/>
    </row>
    <row r="364" spans="1:14" x14ac:dyDescent="0.2">
      <c r="A364" s="84"/>
      <c r="B364" s="84"/>
      <c r="C364" s="60"/>
      <c r="D364" s="66"/>
      <c r="E364" s="66"/>
      <c r="F364" s="66"/>
      <c r="G364" s="66"/>
      <c r="H364" s="66"/>
      <c r="I364" s="66"/>
      <c r="J364" s="66"/>
      <c r="K364" s="66"/>
      <c r="L364" s="66"/>
      <c r="M364" s="66"/>
      <c r="N364" s="66"/>
    </row>
    <row r="365" spans="1:14" x14ac:dyDescent="0.2">
      <c r="A365" s="84"/>
      <c r="B365" s="84"/>
      <c r="C365" s="60"/>
      <c r="D365" s="66"/>
      <c r="E365" s="66"/>
      <c r="F365" s="66"/>
      <c r="G365" s="66"/>
      <c r="H365" s="66"/>
      <c r="I365" s="66"/>
      <c r="J365" s="66"/>
      <c r="K365" s="66"/>
      <c r="L365" s="66"/>
      <c r="M365" s="66"/>
      <c r="N365" s="66"/>
    </row>
    <row r="366" spans="1:14" x14ac:dyDescent="0.2">
      <c r="A366" s="84"/>
      <c r="B366" s="84"/>
      <c r="C366" s="60"/>
      <c r="D366" s="66"/>
      <c r="E366" s="66"/>
      <c r="F366" s="66"/>
      <c r="G366" s="66"/>
      <c r="H366" s="66"/>
      <c r="I366" s="66"/>
      <c r="J366" s="66"/>
      <c r="K366" s="66"/>
      <c r="L366" s="66"/>
      <c r="M366" s="66"/>
      <c r="N366" s="66"/>
    </row>
    <row r="367" spans="1:14" x14ac:dyDescent="0.2">
      <c r="A367" s="84"/>
      <c r="B367" s="84"/>
      <c r="C367" s="60"/>
      <c r="D367" s="66"/>
      <c r="E367" s="66"/>
      <c r="F367" s="66"/>
      <c r="G367" s="66"/>
      <c r="H367" s="66"/>
      <c r="I367" s="66"/>
      <c r="J367" s="66"/>
      <c r="K367" s="66"/>
      <c r="L367" s="66"/>
      <c r="M367" s="66"/>
      <c r="N367" s="66"/>
    </row>
    <row r="368" spans="1:14" x14ac:dyDescent="0.2">
      <c r="A368" s="84"/>
      <c r="B368" s="84"/>
      <c r="C368" s="60"/>
      <c r="D368" s="66"/>
      <c r="E368" s="66"/>
      <c r="F368" s="66"/>
      <c r="G368" s="66"/>
      <c r="H368" s="66"/>
      <c r="I368" s="66"/>
      <c r="J368" s="66"/>
      <c r="K368" s="66"/>
      <c r="L368" s="66"/>
      <c r="M368" s="66"/>
      <c r="N368" s="66"/>
    </row>
    <row r="369" spans="1:14" x14ac:dyDescent="0.2">
      <c r="A369" s="84"/>
      <c r="B369" s="84"/>
      <c r="C369" s="60"/>
      <c r="D369" s="66"/>
      <c r="E369" s="66"/>
      <c r="F369" s="66"/>
      <c r="G369" s="66"/>
      <c r="H369" s="66"/>
      <c r="I369" s="66"/>
      <c r="J369" s="66"/>
      <c r="K369" s="66"/>
      <c r="L369" s="66"/>
      <c r="M369" s="66"/>
      <c r="N369" s="66"/>
    </row>
    <row r="370" spans="1:14" x14ac:dyDescent="0.2">
      <c r="A370" s="84"/>
      <c r="B370" s="84"/>
      <c r="C370" s="60"/>
      <c r="D370" s="66"/>
      <c r="E370" s="66"/>
      <c r="F370" s="66"/>
      <c r="G370" s="66"/>
      <c r="H370" s="66"/>
      <c r="I370" s="66"/>
      <c r="J370" s="66"/>
      <c r="K370" s="66"/>
      <c r="L370" s="66"/>
      <c r="M370" s="66"/>
      <c r="N370" s="66"/>
    </row>
    <row r="371" spans="1:14" x14ac:dyDescent="0.2">
      <c r="A371" s="84"/>
      <c r="B371" s="84"/>
      <c r="C371" s="60"/>
      <c r="D371" s="66"/>
      <c r="E371" s="66"/>
      <c r="F371" s="66"/>
      <c r="G371" s="66"/>
      <c r="H371" s="66"/>
      <c r="I371" s="66"/>
      <c r="J371" s="66"/>
      <c r="K371" s="66"/>
      <c r="L371" s="66"/>
      <c r="M371" s="66"/>
      <c r="N371" s="66"/>
    </row>
    <row r="372" spans="1:14" x14ac:dyDescent="0.2">
      <c r="A372" s="84"/>
      <c r="B372" s="84"/>
      <c r="C372" s="60"/>
      <c r="D372" s="66"/>
      <c r="E372" s="66"/>
      <c r="F372" s="66"/>
      <c r="G372" s="66"/>
      <c r="H372" s="66"/>
      <c r="I372" s="66"/>
      <c r="J372" s="66"/>
      <c r="K372" s="66"/>
      <c r="L372" s="66"/>
      <c r="M372" s="66"/>
      <c r="N372" s="66"/>
    </row>
    <row r="373" spans="1:14" x14ac:dyDescent="0.2">
      <c r="A373" s="84"/>
      <c r="B373" s="84"/>
      <c r="C373" s="60"/>
      <c r="D373" s="66"/>
      <c r="E373" s="66"/>
      <c r="F373" s="66"/>
      <c r="G373" s="66"/>
      <c r="H373" s="66"/>
      <c r="I373" s="66"/>
      <c r="J373" s="66"/>
      <c r="K373" s="66"/>
      <c r="L373" s="66"/>
      <c r="M373" s="66"/>
      <c r="N373" s="66"/>
    </row>
    <row r="374" spans="1:14" x14ac:dyDescent="0.2">
      <c r="A374" s="84"/>
      <c r="B374" s="84"/>
      <c r="C374" s="60"/>
      <c r="D374" s="66"/>
      <c r="E374" s="66"/>
      <c r="F374" s="66"/>
      <c r="G374" s="66"/>
      <c r="H374" s="66"/>
      <c r="I374" s="66"/>
      <c r="J374" s="66"/>
      <c r="K374" s="66"/>
      <c r="L374" s="66"/>
      <c r="M374" s="66"/>
      <c r="N374" s="66"/>
    </row>
    <row r="375" spans="1:14" x14ac:dyDescent="0.2">
      <c r="A375" s="84"/>
      <c r="B375" s="84"/>
      <c r="C375" s="60"/>
      <c r="D375" s="66"/>
      <c r="E375" s="66"/>
      <c r="F375" s="66"/>
      <c r="G375" s="66"/>
      <c r="H375" s="66"/>
      <c r="I375" s="66"/>
      <c r="J375" s="66"/>
      <c r="K375" s="66"/>
      <c r="L375" s="66"/>
      <c r="M375" s="66"/>
      <c r="N375" s="66"/>
    </row>
    <row r="376" spans="1:14" x14ac:dyDescent="0.2">
      <c r="A376" s="84"/>
      <c r="B376" s="84"/>
      <c r="C376" s="60"/>
      <c r="D376" s="66"/>
      <c r="E376" s="66"/>
      <c r="F376" s="66"/>
      <c r="G376" s="66"/>
      <c r="H376" s="66"/>
      <c r="I376" s="66"/>
      <c r="J376" s="66"/>
      <c r="K376" s="66"/>
      <c r="L376" s="66"/>
      <c r="M376" s="66"/>
      <c r="N376" s="66"/>
    </row>
    <row r="377" spans="1:14" x14ac:dyDescent="0.2">
      <c r="A377" s="84"/>
      <c r="B377" s="84"/>
      <c r="C377" s="60"/>
      <c r="D377" s="66"/>
      <c r="E377" s="66"/>
      <c r="F377" s="66"/>
      <c r="G377" s="66"/>
      <c r="H377" s="66"/>
      <c r="I377" s="66"/>
      <c r="J377" s="66"/>
      <c r="K377" s="66"/>
      <c r="L377" s="66"/>
      <c r="M377" s="66"/>
      <c r="N377" s="66"/>
    </row>
    <row r="378" spans="1:14" x14ac:dyDescent="0.2">
      <c r="A378" s="84"/>
      <c r="B378" s="84"/>
      <c r="C378" s="60"/>
      <c r="D378" s="66"/>
      <c r="E378" s="66"/>
      <c r="F378" s="66"/>
      <c r="G378" s="66"/>
      <c r="H378" s="66"/>
      <c r="I378" s="66"/>
      <c r="J378" s="66"/>
      <c r="K378" s="66"/>
      <c r="L378" s="66"/>
      <c r="M378" s="66"/>
      <c r="N378" s="66"/>
    </row>
    <row r="379" spans="1:14" x14ac:dyDescent="0.2">
      <c r="A379" s="84"/>
      <c r="B379" s="84"/>
      <c r="C379" s="60"/>
      <c r="D379" s="66"/>
      <c r="E379" s="66"/>
      <c r="F379" s="66"/>
      <c r="G379" s="66"/>
      <c r="H379" s="66"/>
      <c r="I379" s="66"/>
      <c r="J379" s="66"/>
      <c r="K379" s="66"/>
      <c r="L379" s="66"/>
      <c r="M379" s="66"/>
      <c r="N379" s="66"/>
    </row>
    <row r="380" spans="1:14" x14ac:dyDescent="0.2">
      <c r="A380" s="84"/>
      <c r="B380" s="84"/>
      <c r="C380" s="60"/>
      <c r="D380" s="66"/>
      <c r="E380" s="66"/>
      <c r="F380" s="66"/>
      <c r="G380" s="66"/>
      <c r="H380" s="66"/>
      <c r="I380" s="66"/>
      <c r="J380" s="66"/>
      <c r="K380" s="66"/>
      <c r="L380" s="66"/>
      <c r="M380" s="66"/>
      <c r="N380" s="66"/>
    </row>
    <row r="381" spans="1:14" x14ac:dyDescent="0.2">
      <c r="A381" s="84"/>
      <c r="B381" s="84"/>
      <c r="C381" s="60"/>
      <c r="D381" s="66"/>
      <c r="E381" s="66"/>
      <c r="F381" s="66"/>
      <c r="G381" s="66"/>
      <c r="H381" s="66"/>
      <c r="I381" s="66"/>
      <c r="J381" s="66"/>
      <c r="K381" s="66"/>
      <c r="L381" s="66"/>
      <c r="M381" s="66"/>
      <c r="N381" s="66"/>
    </row>
    <row r="382" spans="1:14" x14ac:dyDescent="0.2">
      <c r="A382" s="84"/>
      <c r="B382" s="84"/>
      <c r="C382" s="60"/>
      <c r="D382" s="66"/>
      <c r="E382" s="66"/>
      <c r="F382" s="66"/>
      <c r="G382" s="66"/>
      <c r="H382" s="66"/>
      <c r="I382" s="66"/>
      <c r="J382" s="66"/>
      <c r="K382" s="66"/>
      <c r="L382" s="66"/>
      <c r="M382" s="66"/>
      <c r="N382" s="66"/>
    </row>
    <row r="383" spans="1:14" x14ac:dyDescent="0.2">
      <c r="A383" s="84"/>
      <c r="B383" s="84"/>
      <c r="C383" s="60"/>
      <c r="D383" s="66"/>
      <c r="E383" s="66"/>
      <c r="F383" s="66"/>
      <c r="G383" s="66"/>
      <c r="H383" s="66"/>
      <c r="I383" s="66"/>
      <c r="J383" s="66"/>
      <c r="K383" s="66"/>
      <c r="L383" s="66"/>
      <c r="M383" s="66"/>
      <c r="N383" s="66"/>
    </row>
    <row r="384" spans="1:14" x14ac:dyDescent="0.2">
      <c r="A384" s="84"/>
      <c r="B384" s="84"/>
      <c r="C384" s="60"/>
      <c r="D384" s="66"/>
      <c r="E384" s="66"/>
      <c r="F384" s="66"/>
      <c r="G384" s="66"/>
      <c r="H384" s="66"/>
      <c r="I384" s="66"/>
      <c r="J384" s="66"/>
      <c r="K384" s="66"/>
      <c r="L384" s="66"/>
      <c r="M384" s="66"/>
      <c r="N384" s="66"/>
    </row>
    <row r="385" spans="1:14" x14ac:dyDescent="0.2">
      <c r="A385" s="84"/>
      <c r="B385" s="84"/>
      <c r="C385" s="60"/>
      <c r="D385" s="66"/>
      <c r="E385" s="66"/>
      <c r="F385" s="66"/>
      <c r="G385" s="66"/>
      <c r="H385" s="66"/>
      <c r="I385" s="66"/>
      <c r="J385" s="66"/>
      <c r="K385" s="66"/>
      <c r="L385" s="66"/>
      <c r="M385" s="66"/>
      <c r="N385" s="66"/>
    </row>
    <row r="386" spans="1:14" x14ac:dyDescent="0.2">
      <c r="A386" s="84"/>
      <c r="B386" s="84"/>
      <c r="C386" s="60"/>
      <c r="D386" s="66"/>
      <c r="E386" s="66"/>
      <c r="F386" s="66"/>
      <c r="G386" s="66"/>
      <c r="H386" s="66"/>
      <c r="I386" s="66"/>
      <c r="J386" s="66"/>
      <c r="K386" s="66"/>
      <c r="L386" s="66"/>
      <c r="M386" s="66"/>
      <c r="N386" s="66"/>
    </row>
    <row r="387" spans="1:14" x14ac:dyDescent="0.2">
      <c r="A387" s="84"/>
      <c r="B387" s="84"/>
      <c r="C387" s="60"/>
      <c r="D387" s="66"/>
      <c r="E387" s="66"/>
      <c r="F387" s="66"/>
      <c r="G387" s="66"/>
      <c r="H387" s="66"/>
      <c r="I387" s="66"/>
      <c r="J387" s="66"/>
      <c r="K387" s="66"/>
      <c r="L387" s="66"/>
      <c r="M387" s="66"/>
      <c r="N387" s="66"/>
    </row>
    <row r="388" spans="1:14" x14ac:dyDescent="0.2">
      <c r="A388" s="84"/>
      <c r="B388" s="84"/>
      <c r="C388" s="60"/>
      <c r="D388" s="66"/>
      <c r="E388" s="66"/>
      <c r="F388" s="66"/>
      <c r="G388" s="66"/>
      <c r="H388" s="66"/>
      <c r="I388" s="66"/>
      <c r="J388" s="66"/>
      <c r="K388" s="66"/>
      <c r="L388" s="66"/>
      <c r="M388" s="66"/>
      <c r="N388" s="66"/>
    </row>
    <row r="389" spans="1:14" x14ac:dyDescent="0.2">
      <c r="A389" s="84"/>
      <c r="B389" s="84"/>
      <c r="C389" s="60"/>
      <c r="D389" s="66"/>
      <c r="E389" s="66"/>
      <c r="F389" s="66"/>
      <c r="G389" s="66"/>
      <c r="H389" s="66"/>
      <c r="I389" s="66"/>
      <c r="J389" s="66"/>
      <c r="K389" s="66"/>
      <c r="L389" s="66"/>
      <c r="M389" s="66"/>
      <c r="N389" s="66"/>
    </row>
    <row r="390" spans="1:14" x14ac:dyDescent="0.2">
      <c r="A390" s="84"/>
      <c r="B390" s="84"/>
      <c r="C390" s="60"/>
      <c r="D390" s="66"/>
      <c r="E390" s="66"/>
      <c r="F390" s="66"/>
      <c r="G390" s="66"/>
      <c r="H390" s="66"/>
      <c r="I390" s="66"/>
      <c r="J390" s="66"/>
      <c r="K390" s="66"/>
      <c r="L390" s="66"/>
      <c r="M390" s="66"/>
      <c r="N390" s="66"/>
    </row>
    <row r="391" spans="1:14" x14ac:dyDescent="0.2">
      <c r="A391" s="84"/>
      <c r="B391" s="84"/>
      <c r="C391" s="60"/>
      <c r="D391" s="66"/>
      <c r="E391" s="66"/>
      <c r="F391" s="66"/>
      <c r="G391" s="66"/>
      <c r="H391" s="66"/>
      <c r="I391" s="66"/>
      <c r="J391" s="66"/>
      <c r="K391" s="66"/>
      <c r="L391" s="66"/>
      <c r="M391" s="66"/>
      <c r="N391" s="66"/>
    </row>
    <row r="392" spans="1:14" x14ac:dyDescent="0.2">
      <c r="A392" s="84"/>
      <c r="B392" s="84"/>
      <c r="C392" s="60"/>
      <c r="D392" s="66"/>
      <c r="E392" s="66"/>
      <c r="F392" s="66"/>
      <c r="G392" s="66"/>
      <c r="H392" s="66"/>
      <c r="I392" s="66"/>
      <c r="J392" s="66"/>
      <c r="K392" s="66"/>
      <c r="L392" s="66"/>
      <c r="M392" s="66"/>
      <c r="N392" s="66"/>
    </row>
    <row r="393" spans="1:14" x14ac:dyDescent="0.2">
      <c r="A393" s="84"/>
      <c r="B393" s="84"/>
      <c r="C393" s="60"/>
      <c r="D393" s="66"/>
      <c r="E393" s="66"/>
      <c r="F393" s="66"/>
      <c r="G393" s="66"/>
      <c r="H393" s="66"/>
      <c r="I393" s="66"/>
      <c r="J393" s="66"/>
      <c r="K393" s="66"/>
      <c r="L393" s="66"/>
      <c r="M393" s="66"/>
      <c r="N393" s="66"/>
    </row>
    <row r="394" spans="1:14" x14ac:dyDescent="0.2">
      <c r="A394" s="84"/>
      <c r="B394" s="84"/>
      <c r="C394" s="60"/>
      <c r="D394" s="66"/>
      <c r="E394" s="66"/>
      <c r="F394" s="66"/>
      <c r="G394" s="66"/>
      <c r="H394" s="66"/>
      <c r="I394" s="66"/>
      <c r="J394" s="66"/>
      <c r="K394" s="66"/>
      <c r="L394" s="66"/>
      <c r="M394" s="66"/>
      <c r="N394" s="66"/>
    </row>
    <row r="395" spans="1:14" x14ac:dyDescent="0.2">
      <c r="A395" s="84"/>
      <c r="B395" s="84"/>
      <c r="C395" s="60"/>
      <c r="D395" s="66"/>
      <c r="E395" s="66"/>
      <c r="F395" s="66"/>
      <c r="G395" s="66"/>
      <c r="H395" s="66"/>
      <c r="I395" s="66"/>
      <c r="J395" s="66"/>
      <c r="K395" s="66"/>
      <c r="L395" s="66"/>
      <c r="M395" s="66"/>
      <c r="N395" s="66"/>
    </row>
    <row r="396" spans="1:14" x14ac:dyDescent="0.2">
      <c r="A396" s="84"/>
      <c r="B396" s="84"/>
      <c r="C396" s="60"/>
      <c r="D396" s="66"/>
      <c r="E396" s="66"/>
      <c r="F396" s="66"/>
      <c r="G396" s="66"/>
      <c r="H396" s="66"/>
      <c r="I396" s="66"/>
      <c r="J396" s="66"/>
      <c r="K396" s="66"/>
      <c r="L396" s="66"/>
      <c r="M396" s="66"/>
      <c r="N396" s="66"/>
    </row>
    <row r="397" spans="1:14" x14ac:dyDescent="0.2">
      <c r="A397" s="84"/>
      <c r="B397" s="84"/>
      <c r="C397" s="60"/>
      <c r="D397" s="66"/>
      <c r="E397" s="66"/>
      <c r="F397" s="66"/>
      <c r="G397" s="66"/>
      <c r="H397" s="66"/>
      <c r="I397" s="66"/>
      <c r="J397" s="66"/>
      <c r="K397" s="66"/>
      <c r="L397" s="66"/>
      <c r="M397" s="66"/>
      <c r="N397" s="66"/>
    </row>
    <row r="398" spans="1:14" x14ac:dyDescent="0.2">
      <c r="A398" s="84"/>
      <c r="B398" s="84"/>
      <c r="C398" s="60"/>
      <c r="D398" s="66"/>
      <c r="E398" s="66"/>
      <c r="F398" s="66"/>
      <c r="G398" s="66"/>
      <c r="H398" s="66"/>
      <c r="I398" s="66"/>
      <c r="J398" s="66"/>
      <c r="K398" s="66"/>
      <c r="L398" s="66"/>
      <c r="M398" s="66"/>
      <c r="N398" s="66"/>
    </row>
    <row r="399" spans="1:14" x14ac:dyDescent="0.2">
      <c r="A399" s="84"/>
      <c r="B399" s="84"/>
      <c r="C399" s="60"/>
      <c r="D399" s="66"/>
      <c r="E399" s="66"/>
      <c r="F399" s="66"/>
      <c r="G399" s="66"/>
      <c r="H399" s="66"/>
      <c r="I399" s="66"/>
      <c r="J399" s="66"/>
      <c r="K399" s="66"/>
      <c r="L399" s="66"/>
      <c r="M399" s="66"/>
      <c r="N399" s="66"/>
    </row>
    <row r="400" spans="1:14" x14ac:dyDescent="0.2">
      <c r="A400" s="84"/>
      <c r="B400" s="84"/>
      <c r="C400" s="60"/>
      <c r="D400" s="66"/>
      <c r="E400" s="66"/>
      <c r="F400" s="66"/>
      <c r="G400" s="66"/>
      <c r="H400" s="66"/>
      <c r="I400" s="66"/>
      <c r="J400" s="66"/>
      <c r="K400" s="66"/>
      <c r="L400" s="66"/>
      <c r="M400" s="66"/>
      <c r="N400" s="66"/>
    </row>
    <row r="401" spans="1:14" x14ac:dyDescent="0.2">
      <c r="A401" s="84"/>
      <c r="B401" s="84"/>
      <c r="C401" s="60"/>
      <c r="D401" s="66"/>
      <c r="E401" s="66"/>
      <c r="F401" s="66"/>
      <c r="G401" s="66"/>
      <c r="H401" s="66"/>
      <c r="I401" s="66"/>
      <c r="J401" s="66"/>
      <c r="K401" s="66"/>
      <c r="L401" s="66"/>
      <c r="M401" s="66"/>
      <c r="N401" s="66"/>
    </row>
    <row r="402" spans="1:14" x14ac:dyDescent="0.2">
      <c r="A402" s="84"/>
      <c r="B402" s="84"/>
      <c r="C402" s="60"/>
      <c r="D402" s="66"/>
      <c r="E402" s="66"/>
      <c r="F402" s="66"/>
      <c r="G402" s="66"/>
      <c r="H402" s="66"/>
      <c r="I402" s="66"/>
      <c r="J402" s="66"/>
      <c r="K402" s="66"/>
      <c r="L402" s="66"/>
      <c r="M402" s="66"/>
      <c r="N402" s="66"/>
    </row>
    <row r="403" spans="1:14" x14ac:dyDescent="0.2">
      <c r="A403" s="84"/>
      <c r="B403" s="84"/>
      <c r="C403" s="60"/>
      <c r="D403" s="66"/>
      <c r="E403" s="66"/>
      <c r="F403" s="66"/>
      <c r="G403" s="66"/>
      <c r="H403" s="66"/>
      <c r="I403" s="66"/>
      <c r="J403" s="66"/>
      <c r="K403" s="66"/>
      <c r="L403" s="66"/>
      <c r="M403" s="66"/>
      <c r="N403" s="66"/>
    </row>
    <row r="404" spans="1:14" x14ac:dyDescent="0.2">
      <c r="A404" s="84"/>
      <c r="B404" s="84"/>
      <c r="C404" s="60"/>
      <c r="D404" s="66"/>
      <c r="E404" s="66"/>
      <c r="F404" s="66"/>
      <c r="G404" s="66"/>
      <c r="H404" s="66"/>
      <c r="I404" s="66"/>
      <c r="J404" s="66"/>
      <c r="K404" s="66"/>
      <c r="L404" s="66"/>
      <c r="M404" s="66"/>
      <c r="N404" s="66"/>
    </row>
    <row r="405" spans="1:14" x14ac:dyDescent="0.2">
      <c r="A405" s="84"/>
      <c r="B405" s="84"/>
      <c r="C405" s="60"/>
      <c r="D405" s="66"/>
      <c r="E405" s="66"/>
      <c r="F405" s="66"/>
      <c r="G405" s="66"/>
      <c r="H405" s="66"/>
      <c r="I405" s="66"/>
      <c r="J405" s="66"/>
      <c r="K405" s="66"/>
      <c r="L405" s="66"/>
      <c r="M405" s="66"/>
      <c r="N405" s="66"/>
    </row>
    <row r="406" spans="1:14" x14ac:dyDescent="0.2">
      <c r="A406" s="84"/>
      <c r="B406" s="84"/>
      <c r="C406" s="60"/>
      <c r="D406" s="66"/>
      <c r="E406" s="66"/>
      <c r="F406" s="66"/>
      <c r="G406" s="66"/>
      <c r="H406" s="66"/>
      <c r="I406" s="66"/>
      <c r="J406" s="66"/>
      <c r="K406" s="66"/>
      <c r="L406" s="66"/>
      <c r="M406" s="66"/>
      <c r="N406" s="66"/>
    </row>
    <row r="407" spans="1:14" x14ac:dyDescent="0.2">
      <c r="A407" s="84"/>
      <c r="B407" s="84"/>
      <c r="C407" s="60"/>
      <c r="D407" s="66"/>
      <c r="E407" s="66"/>
      <c r="F407" s="66"/>
      <c r="G407" s="66"/>
      <c r="H407" s="66"/>
      <c r="I407" s="66"/>
      <c r="J407" s="66"/>
      <c r="K407" s="66"/>
      <c r="L407" s="66"/>
      <c r="M407" s="66"/>
      <c r="N407" s="66"/>
    </row>
    <row r="408" spans="1:14" x14ac:dyDescent="0.2">
      <c r="A408" s="84"/>
      <c r="B408" s="84"/>
      <c r="C408" s="60"/>
      <c r="D408" s="66"/>
      <c r="E408" s="66"/>
      <c r="F408" s="66"/>
      <c r="G408" s="66"/>
      <c r="H408" s="66"/>
      <c r="I408" s="66"/>
      <c r="J408" s="66"/>
      <c r="K408" s="66"/>
      <c r="L408" s="66"/>
      <c r="M408" s="66"/>
      <c r="N408" s="66"/>
    </row>
    <row r="409" spans="1:14" x14ac:dyDescent="0.2">
      <c r="A409" s="84"/>
      <c r="B409" s="84"/>
      <c r="C409" s="60"/>
      <c r="D409" s="66"/>
      <c r="E409" s="66"/>
      <c r="F409" s="66"/>
      <c r="G409" s="66"/>
      <c r="H409" s="66"/>
      <c r="I409" s="66"/>
      <c r="J409" s="66"/>
      <c r="K409" s="66"/>
      <c r="L409" s="66"/>
      <c r="M409" s="66"/>
      <c r="N409" s="66"/>
    </row>
    <row r="410" spans="1:14" x14ac:dyDescent="0.2">
      <c r="A410" s="84"/>
      <c r="B410" s="84"/>
      <c r="C410" s="60"/>
      <c r="D410" s="66"/>
      <c r="E410" s="66"/>
      <c r="F410" s="66"/>
      <c r="G410" s="66"/>
      <c r="H410" s="66"/>
      <c r="I410" s="66"/>
      <c r="J410" s="66"/>
      <c r="K410" s="66"/>
      <c r="L410" s="66"/>
      <c r="M410" s="66"/>
      <c r="N410" s="66"/>
    </row>
    <row r="411" spans="1:14" x14ac:dyDescent="0.2">
      <c r="A411" s="84"/>
      <c r="B411" s="84"/>
      <c r="C411" s="60"/>
      <c r="D411" s="66"/>
      <c r="E411" s="66"/>
      <c r="F411" s="66"/>
      <c r="G411" s="66"/>
      <c r="H411" s="66"/>
      <c r="I411" s="66"/>
      <c r="J411" s="66"/>
      <c r="K411" s="66"/>
      <c r="L411" s="66"/>
      <c r="M411" s="66"/>
      <c r="N411" s="66"/>
    </row>
    <row r="412" spans="1:14" x14ac:dyDescent="0.2">
      <c r="A412" s="84"/>
      <c r="B412" s="84"/>
      <c r="C412" s="60"/>
      <c r="D412" s="66"/>
      <c r="E412" s="66"/>
      <c r="F412" s="66"/>
      <c r="G412" s="66"/>
      <c r="H412" s="66"/>
      <c r="I412" s="66"/>
      <c r="J412" s="66"/>
      <c r="K412" s="66"/>
      <c r="L412" s="66"/>
      <c r="M412" s="66"/>
      <c r="N412" s="66"/>
    </row>
    <row r="413" spans="1:14" x14ac:dyDescent="0.2">
      <c r="A413" s="84"/>
      <c r="B413" s="84"/>
      <c r="C413" s="60"/>
      <c r="D413" s="66"/>
      <c r="E413" s="66"/>
      <c r="F413" s="66"/>
      <c r="G413" s="66"/>
      <c r="H413" s="66"/>
      <c r="I413" s="66"/>
      <c r="J413" s="66"/>
      <c r="K413" s="66"/>
      <c r="L413" s="66"/>
      <c r="M413" s="66"/>
      <c r="N413" s="66"/>
    </row>
    <row r="414" spans="1:14" x14ac:dyDescent="0.2">
      <c r="A414" s="84"/>
      <c r="B414" s="84"/>
      <c r="C414" s="60"/>
      <c r="D414" s="66"/>
      <c r="E414" s="66"/>
      <c r="F414" s="66"/>
      <c r="G414" s="66"/>
      <c r="H414" s="66"/>
      <c r="I414" s="66"/>
      <c r="J414" s="66"/>
      <c r="K414" s="66"/>
      <c r="L414" s="66"/>
      <c r="M414" s="66"/>
      <c r="N414" s="66"/>
    </row>
    <row r="415" spans="1:14" x14ac:dyDescent="0.2">
      <c r="A415" s="84"/>
      <c r="B415" s="84"/>
      <c r="C415" s="60"/>
      <c r="D415" s="66"/>
      <c r="E415" s="66"/>
      <c r="F415" s="66"/>
      <c r="G415" s="66"/>
      <c r="H415" s="66"/>
      <c r="I415" s="66"/>
      <c r="J415" s="66"/>
      <c r="K415" s="66"/>
      <c r="L415" s="66"/>
      <c r="M415" s="66"/>
      <c r="N415" s="66"/>
    </row>
    <row r="416" spans="1:14" x14ac:dyDescent="0.2">
      <c r="A416" s="84"/>
      <c r="B416" s="84"/>
      <c r="C416" s="60"/>
      <c r="D416" s="66"/>
      <c r="E416" s="66"/>
      <c r="F416" s="66"/>
      <c r="G416" s="66"/>
      <c r="H416" s="66"/>
      <c r="I416" s="66"/>
      <c r="J416" s="66"/>
      <c r="K416" s="66"/>
      <c r="L416" s="66"/>
      <c r="M416" s="66"/>
      <c r="N416" s="66"/>
    </row>
    <row r="417" spans="1:14" x14ac:dyDescent="0.2">
      <c r="A417" s="84"/>
      <c r="B417" s="84"/>
      <c r="C417" s="60"/>
      <c r="D417" s="66"/>
      <c r="E417" s="66"/>
      <c r="F417" s="66"/>
      <c r="G417" s="66"/>
      <c r="H417" s="66"/>
      <c r="I417" s="66"/>
      <c r="J417" s="66"/>
      <c r="K417" s="66"/>
      <c r="L417" s="66"/>
      <c r="M417" s="66"/>
      <c r="N417" s="66"/>
    </row>
    <row r="418" spans="1:14" x14ac:dyDescent="0.2">
      <c r="A418" s="84"/>
      <c r="B418" s="84"/>
      <c r="C418" s="60"/>
      <c r="D418" s="66"/>
      <c r="E418" s="66"/>
      <c r="F418" s="66"/>
      <c r="G418" s="66"/>
      <c r="H418" s="66"/>
      <c r="I418" s="66"/>
      <c r="J418" s="66"/>
      <c r="K418" s="66"/>
      <c r="L418" s="66"/>
      <c r="M418" s="66"/>
      <c r="N418" s="66"/>
    </row>
    <row r="419" spans="1:14" x14ac:dyDescent="0.2">
      <c r="A419" s="84"/>
      <c r="B419" s="84"/>
      <c r="C419" s="60"/>
      <c r="D419" s="66"/>
      <c r="E419" s="66"/>
      <c r="F419" s="66"/>
      <c r="G419" s="66"/>
      <c r="H419" s="66"/>
      <c r="I419" s="66"/>
      <c r="J419" s="66"/>
      <c r="K419" s="66"/>
      <c r="L419" s="66"/>
      <c r="M419" s="66"/>
      <c r="N419" s="66"/>
    </row>
    <row r="420" spans="1:14" x14ac:dyDescent="0.2">
      <c r="A420" s="84"/>
      <c r="B420" s="84"/>
      <c r="C420" s="60"/>
      <c r="D420" s="66"/>
      <c r="E420" s="66"/>
      <c r="F420" s="66"/>
      <c r="G420" s="66"/>
      <c r="H420" s="66"/>
      <c r="I420" s="66"/>
      <c r="J420" s="66"/>
      <c r="K420" s="66"/>
      <c r="L420" s="66"/>
      <c r="M420" s="66"/>
      <c r="N420" s="66"/>
    </row>
    <row r="421" spans="1:14" x14ac:dyDescent="0.2">
      <c r="A421" s="84"/>
      <c r="B421" s="84"/>
      <c r="C421" s="60"/>
      <c r="D421" s="66"/>
      <c r="E421" s="66"/>
      <c r="F421" s="66"/>
      <c r="G421" s="66"/>
      <c r="H421" s="66"/>
      <c r="I421" s="66"/>
      <c r="J421" s="66"/>
      <c r="K421" s="66"/>
      <c r="L421" s="66"/>
      <c r="M421" s="66"/>
      <c r="N421" s="66"/>
    </row>
    <row r="422" spans="1:14" x14ac:dyDescent="0.2">
      <c r="A422" s="84"/>
      <c r="B422" s="84"/>
      <c r="C422" s="60"/>
      <c r="D422" s="66"/>
      <c r="E422" s="66"/>
      <c r="F422" s="66"/>
      <c r="G422" s="66"/>
      <c r="H422" s="66"/>
      <c r="I422" s="66"/>
      <c r="J422" s="66"/>
      <c r="K422" s="66"/>
      <c r="L422" s="66"/>
      <c r="M422" s="66"/>
      <c r="N422" s="66"/>
    </row>
    <row r="423" spans="1:14" x14ac:dyDescent="0.2">
      <c r="A423" s="84"/>
      <c r="B423" s="84"/>
      <c r="C423" s="60"/>
      <c r="D423" s="66"/>
      <c r="E423" s="66"/>
      <c r="F423" s="66"/>
      <c r="G423" s="66"/>
      <c r="H423" s="66"/>
      <c r="I423" s="66"/>
      <c r="J423" s="66"/>
      <c r="K423" s="66"/>
      <c r="L423" s="66"/>
      <c r="M423" s="66"/>
      <c r="N423" s="66"/>
    </row>
    <row r="424" spans="1:14" x14ac:dyDescent="0.2">
      <c r="A424" s="84"/>
      <c r="B424" s="84"/>
      <c r="C424" s="60"/>
      <c r="D424" s="66"/>
      <c r="E424" s="66"/>
      <c r="F424" s="66"/>
      <c r="G424" s="66"/>
      <c r="H424" s="66"/>
      <c r="I424" s="66"/>
      <c r="J424" s="66"/>
      <c r="K424" s="66"/>
      <c r="L424" s="66"/>
      <c r="M424" s="66"/>
      <c r="N424" s="66"/>
    </row>
    <row r="425" spans="1:14" x14ac:dyDescent="0.2">
      <c r="A425" s="84"/>
      <c r="B425" s="84"/>
      <c r="C425" s="60"/>
      <c r="D425" s="66"/>
      <c r="E425" s="66"/>
      <c r="F425" s="66"/>
      <c r="G425" s="66"/>
      <c r="H425" s="66"/>
      <c r="I425" s="66"/>
      <c r="J425" s="66"/>
      <c r="K425" s="66"/>
      <c r="L425" s="66"/>
      <c r="M425" s="66"/>
      <c r="N425" s="66"/>
    </row>
    <row r="426" spans="1:14" x14ac:dyDescent="0.2">
      <c r="A426" s="84"/>
      <c r="B426" s="84"/>
      <c r="C426" s="60"/>
      <c r="D426" s="66"/>
      <c r="E426" s="66"/>
      <c r="F426" s="66"/>
      <c r="G426" s="66"/>
      <c r="H426" s="66"/>
      <c r="I426" s="66"/>
      <c r="J426" s="66"/>
      <c r="K426" s="66"/>
      <c r="L426" s="66"/>
      <c r="M426" s="66"/>
      <c r="N426" s="66"/>
    </row>
    <row r="427" spans="1:14" x14ac:dyDescent="0.2">
      <c r="A427" s="84"/>
      <c r="B427" s="84"/>
      <c r="C427" s="60"/>
      <c r="D427" s="66"/>
      <c r="E427" s="66"/>
      <c r="F427" s="66"/>
      <c r="G427" s="66"/>
      <c r="H427" s="66"/>
      <c r="I427" s="66"/>
      <c r="J427" s="66"/>
      <c r="K427" s="66"/>
      <c r="L427" s="66"/>
      <c r="M427" s="66"/>
      <c r="N427" s="66"/>
    </row>
    <row r="428" spans="1:14" x14ac:dyDescent="0.2">
      <c r="A428" s="84"/>
      <c r="B428" s="84"/>
      <c r="C428" s="60"/>
      <c r="D428" s="66"/>
      <c r="E428" s="66"/>
      <c r="F428" s="66"/>
      <c r="G428" s="66"/>
      <c r="H428" s="66"/>
      <c r="I428" s="66"/>
      <c r="J428" s="66"/>
      <c r="K428" s="66"/>
      <c r="L428" s="66"/>
      <c r="M428" s="66"/>
      <c r="N428" s="66"/>
    </row>
    <row r="429" spans="1:14" x14ac:dyDescent="0.2">
      <c r="A429" s="84"/>
      <c r="B429" s="84"/>
      <c r="C429" s="60"/>
      <c r="D429" s="66"/>
      <c r="E429" s="66"/>
      <c r="F429" s="66"/>
      <c r="G429" s="66"/>
      <c r="H429" s="66"/>
      <c r="I429" s="66"/>
      <c r="J429" s="66"/>
      <c r="K429" s="66"/>
      <c r="L429" s="66"/>
      <c r="M429" s="66"/>
      <c r="N429" s="66"/>
    </row>
    <row r="430" spans="1:14" x14ac:dyDescent="0.2">
      <c r="A430" s="84"/>
      <c r="B430" s="84"/>
      <c r="C430" s="60"/>
      <c r="D430" s="66"/>
      <c r="E430" s="66"/>
      <c r="F430" s="66"/>
      <c r="G430" s="66"/>
      <c r="H430" s="66"/>
      <c r="I430" s="66"/>
      <c r="J430" s="66"/>
      <c r="K430" s="66"/>
      <c r="L430" s="66"/>
      <c r="M430" s="66"/>
      <c r="N430" s="66"/>
    </row>
    <row r="431" spans="1:14" x14ac:dyDescent="0.2">
      <c r="A431" s="84"/>
      <c r="B431" s="84"/>
      <c r="C431" s="60"/>
      <c r="D431" s="66"/>
      <c r="E431" s="66"/>
      <c r="F431" s="66"/>
      <c r="G431" s="66"/>
      <c r="H431" s="66"/>
      <c r="I431" s="66"/>
      <c r="J431" s="66"/>
      <c r="K431" s="66"/>
      <c r="L431" s="66"/>
      <c r="M431" s="66"/>
      <c r="N431" s="66"/>
    </row>
    <row r="432" spans="1:14" x14ac:dyDescent="0.2">
      <c r="A432" s="84"/>
      <c r="B432" s="84"/>
      <c r="C432" s="60"/>
      <c r="D432" s="66"/>
      <c r="E432" s="66"/>
      <c r="F432" s="66"/>
      <c r="G432" s="66"/>
      <c r="H432" s="66"/>
      <c r="I432" s="66"/>
      <c r="J432" s="66"/>
      <c r="K432" s="66"/>
      <c r="L432" s="66"/>
      <c r="M432" s="66"/>
      <c r="N432" s="66"/>
    </row>
    <row r="433" spans="1:14" x14ac:dyDescent="0.2">
      <c r="A433" s="84"/>
      <c r="B433" s="84"/>
      <c r="C433" s="60"/>
      <c r="D433" s="66"/>
      <c r="E433" s="66"/>
      <c r="F433" s="66"/>
      <c r="G433" s="66"/>
      <c r="H433" s="66"/>
      <c r="I433" s="66"/>
      <c r="J433" s="66"/>
      <c r="K433" s="66"/>
      <c r="L433" s="66"/>
      <c r="M433" s="66"/>
      <c r="N433" s="66"/>
    </row>
    <row r="434" spans="1:14" x14ac:dyDescent="0.2">
      <c r="A434" s="84"/>
      <c r="B434" s="84"/>
      <c r="C434" s="60"/>
      <c r="D434" s="66"/>
      <c r="E434" s="66"/>
      <c r="F434" s="66"/>
      <c r="G434" s="66"/>
      <c r="H434" s="66"/>
      <c r="I434" s="66"/>
      <c r="J434" s="66"/>
      <c r="K434" s="66"/>
      <c r="L434" s="66"/>
      <c r="M434" s="66"/>
      <c r="N434" s="66"/>
    </row>
    <row r="435" spans="1:14" x14ac:dyDescent="0.2">
      <c r="A435" s="84"/>
      <c r="B435" s="84"/>
      <c r="C435" s="60"/>
      <c r="D435" s="66"/>
      <c r="E435" s="66"/>
      <c r="F435" s="66"/>
      <c r="G435" s="66"/>
      <c r="H435" s="66"/>
      <c r="I435" s="66"/>
      <c r="J435" s="66"/>
      <c r="K435" s="66"/>
      <c r="L435" s="66"/>
      <c r="M435" s="66"/>
      <c r="N435" s="66"/>
    </row>
    <row r="436" spans="1:14" x14ac:dyDescent="0.2">
      <c r="A436" s="84"/>
      <c r="B436" s="84"/>
      <c r="C436" s="60"/>
      <c r="D436" s="66"/>
      <c r="E436" s="66"/>
      <c r="F436" s="66"/>
      <c r="G436" s="66"/>
      <c r="H436" s="66"/>
      <c r="I436" s="66"/>
      <c r="J436" s="66"/>
      <c r="K436" s="66"/>
      <c r="L436" s="66"/>
      <c r="M436" s="66"/>
      <c r="N436" s="66"/>
    </row>
    <row r="437" spans="1:14" x14ac:dyDescent="0.2">
      <c r="A437" s="84"/>
      <c r="B437" s="84"/>
      <c r="C437" s="60"/>
      <c r="D437" s="66"/>
      <c r="E437" s="66"/>
      <c r="F437" s="66"/>
      <c r="G437" s="66"/>
      <c r="H437" s="66"/>
      <c r="I437" s="66"/>
      <c r="J437" s="66"/>
      <c r="K437" s="66"/>
      <c r="L437" s="66"/>
      <c r="M437" s="66"/>
      <c r="N437" s="66"/>
    </row>
    <row r="438" spans="1:14" x14ac:dyDescent="0.2">
      <c r="A438" s="84"/>
      <c r="B438" s="84"/>
      <c r="C438" s="60"/>
      <c r="D438" s="66"/>
      <c r="E438" s="66"/>
      <c r="F438" s="66"/>
      <c r="G438" s="66"/>
      <c r="H438" s="66"/>
      <c r="I438" s="66"/>
      <c r="J438" s="66"/>
      <c r="K438" s="66"/>
      <c r="L438" s="66"/>
      <c r="M438" s="66"/>
      <c r="N438" s="66"/>
    </row>
    <row r="439" spans="1:14" x14ac:dyDescent="0.2">
      <c r="A439" s="84"/>
      <c r="B439" s="84"/>
      <c r="C439" s="60"/>
      <c r="D439" s="66"/>
      <c r="E439" s="66"/>
      <c r="F439" s="66"/>
      <c r="G439" s="66"/>
      <c r="H439" s="66"/>
      <c r="I439" s="66"/>
      <c r="J439" s="66"/>
      <c r="K439" s="66"/>
      <c r="L439" s="66"/>
      <c r="M439" s="66"/>
      <c r="N439" s="66"/>
    </row>
    <row r="440" spans="1:14" x14ac:dyDescent="0.2">
      <c r="A440" s="84"/>
      <c r="B440" s="84"/>
      <c r="C440" s="60"/>
      <c r="D440" s="66"/>
      <c r="E440" s="66"/>
      <c r="F440" s="66"/>
      <c r="G440" s="66"/>
      <c r="H440" s="66"/>
      <c r="I440" s="66"/>
      <c r="J440" s="66"/>
      <c r="K440" s="66"/>
      <c r="L440" s="66"/>
      <c r="M440" s="66"/>
      <c r="N440" s="66"/>
    </row>
    <row r="441" spans="1:14" x14ac:dyDescent="0.2">
      <c r="A441" s="84"/>
      <c r="B441" s="84"/>
      <c r="C441" s="60"/>
      <c r="D441" s="66"/>
      <c r="E441" s="66"/>
      <c r="F441" s="66"/>
      <c r="G441" s="66"/>
      <c r="H441" s="66"/>
      <c r="I441" s="66"/>
      <c r="J441" s="66"/>
      <c r="K441" s="66"/>
      <c r="L441" s="66"/>
      <c r="M441" s="66"/>
      <c r="N441" s="66"/>
    </row>
    <row r="442" spans="1:14" x14ac:dyDescent="0.2">
      <c r="A442" s="84"/>
      <c r="B442" s="84"/>
      <c r="C442" s="60"/>
      <c r="D442" s="66"/>
      <c r="E442" s="66"/>
      <c r="F442" s="66"/>
      <c r="G442" s="66"/>
      <c r="H442" s="66"/>
      <c r="I442" s="66"/>
      <c r="J442" s="66"/>
      <c r="K442" s="66"/>
      <c r="L442" s="66"/>
      <c r="M442" s="66"/>
      <c r="N442" s="66"/>
    </row>
    <row r="443" spans="1:14" x14ac:dyDescent="0.2">
      <c r="A443" s="84"/>
      <c r="B443" s="84"/>
      <c r="C443" s="60"/>
      <c r="D443" s="66"/>
      <c r="E443" s="66"/>
      <c r="F443" s="66"/>
      <c r="G443" s="66"/>
      <c r="H443" s="66"/>
      <c r="I443" s="66"/>
      <c r="J443" s="66"/>
      <c r="K443" s="66"/>
      <c r="L443" s="66"/>
      <c r="M443" s="66"/>
      <c r="N443" s="66"/>
    </row>
    <row r="444" spans="1:14" x14ac:dyDescent="0.2">
      <c r="A444" s="84"/>
      <c r="B444" s="84"/>
      <c r="C444" s="60"/>
      <c r="D444" s="66"/>
      <c r="E444" s="66"/>
      <c r="F444" s="66"/>
      <c r="G444" s="66"/>
      <c r="H444" s="66"/>
      <c r="I444" s="66"/>
      <c r="J444" s="66"/>
      <c r="K444" s="66"/>
      <c r="L444" s="66"/>
      <c r="M444" s="66"/>
      <c r="N444" s="66"/>
    </row>
    <row r="445" spans="1:14" x14ac:dyDescent="0.2">
      <c r="A445" s="84"/>
      <c r="B445" s="84"/>
      <c r="C445" s="60"/>
      <c r="D445" s="66"/>
      <c r="E445" s="66"/>
      <c r="F445" s="66"/>
      <c r="G445" s="66"/>
      <c r="H445" s="66"/>
      <c r="I445" s="66"/>
      <c r="J445" s="66"/>
      <c r="K445" s="66"/>
      <c r="L445" s="66"/>
      <c r="M445" s="66"/>
      <c r="N445" s="66"/>
    </row>
    <row r="446" spans="1:14" x14ac:dyDescent="0.2">
      <c r="A446" s="84"/>
      <c r="B446" s="84"/>
      <c r="C446" s="60"/>
      <c r="D446" s="66"/>
      <c r="E446" s="66"/>
      <c r="F446" s="66"/>
      <c r="G446" s="66"/>
      <c r="H446" s="66"/>
      <c r="I446" s="66"/>
      <c r="J446" s="66"/>
      <c r="K446" s="66"/>
      <c r="L446" s="66"/>
      <c r="M446" s="66"/>
      <c r="N446" s="66"/>
    </row>
    <row r="447" spans="1:14" x14ac:dyDescent="0.2">
      <c r="A447" s="84"/>
      <c r="B447" s="84"/>
      <c r="C447" s="60"/>
      <c r="D447" s="66"/>
      <c r="E447" s="66"/>
      <c r="F447" s="66"/>
      <c r="G447" s="66"/>
      <c r="H447" s="66"/>
      <c r="I447" s="66"/>
      <c r="J447" s="66"/>
      <c r="K447" s="66"/>
      <c r="L447" s="66"/>
      <c r="M447" s="66"/>
      <c r="N447" s="66"/>
    </row>
    <row r="448" spans="1:14" x14ac:dyDescent="0.2">
      <c r="A448" s="84"/>
      <c r="B448" s="84"/>
      <c r="C448" s="60"/>
      <c r="D448" s="66"/>
      <c r="E448" s="66"/>
      <c r="F448" s="66"/>
      <c r="G448" s="66"/>
      <c r="H448" s="66"/>
      <c r="I448" s="66"/>
      <c r="J448" s="66"/>
      <c r="K448" s="66"/>
      <c r="L448" s="66"/>
      <c r="M448" s="66"/>
      <c r="N448" s="66"/>
    </row>
    <row r="449" spans="1:14" x14ac:dyDescent="0.2">
      <c r="A449" s="84"/>
      <c r="B449" s="84"/>
      <c r="C449" s="60"/>
      <c r="D449" s="66"/>
      <c r="E449" s="66"/>
      <c r="F449" s="66"/>
      <c r="G449" s="66"/>
      <c r="H449" s="66"/>
      <c r="I449" s="66"/>
      <c r="J449" s="66"/>
      <c r="K449" s="66"/>
      <c r="L449" s="66"/>
      <c r="M449" s="66"/>
      <c r="N449" s="66"/>
    </row>
    <row r="450" spans="1:14" x14ac:dyDescent="0.2">
      <c r="A450" s="84"/>
      <c r="B450" s="84"/>
      <c r="C450" s="60"/>
      <c r="D450" s="66"/>
      <c r="E450" s="66"/>
      <c r="F450" s="66"/>
      <c r="G450" s="66"/>
      <c r="H450" s="66"/>
      <c r="I450" s="66"/>
      <c r="J450" s="66"/>
      <c r="K450" s="66"/>
      <c r="L450" s="66"/>
      <c r="M450" s="66"/>
      <c r="N450" s="66"/>
    </row>
    <row r="451" spans="1:14" x14ac:dyDescent="0.2">
      <c r="A451" s="84"/>
      <c r="B451" s="84"/>
      <c r="C451" s="60"/>
      <c r="D451" s="66"/>
      <c r="E451" s="66"/>
      <c r="F451" s="66"/>
      <c r="G451" s="66"/>
      <c r="H451" s="66"/>
      <c r="I451" s="66"/>
      <c r="J451" s="66"/>
      <c r="K451" s="66"/>
      <c r="L451" s="66"/>
      <c r="M451" s="66"/>
      <c r="N451" s="66"/>
    </row>
    <row r="452" spans="1:14" x14ac:dyDescent="0.2">
      <c r="A452" s="84"/>
      <c r="B452" s="84"/>
      <c r="C452" s="60"/>
      <c r="D452" s="66"/>
      <c r="E452" s="66"/>
      <c r="F452" s="66"/>
      <c r="G452" s="66"/>
      <c r="H452" s="66"/>
      <c r="I452" s="66"/>
      <c r="J452" s="66"/>
      <c r="K452" s="66"/>
      <c r="L452" s="66"/>
      <c r="M452" s="66"/>
      <c r="N452" s="66"/>
    </row>
    <row r="453" spans="1:14" x14ac:dyDescent="0.2">
      <c r="A453" s="84"/>
      <c r="B453" s="84"/>
      <c r="C453" s="60"/>
      <c r="D453" s="66"/>
      <c r="E453" s="66"/>
      <c r="F453" s="66"/>
      <c r="G453" s="66"/>
      <c r="H453" s="66"/>
      <c r="I453" s="66"/>
      <c r="J453" s="66"/>
      <c r="K453" s="66"/>
      <c r="L453" s="66"/>
      <c r="M453" s="66"/>
      <c r="N453" s="66"/>
    </row>
    <row r="454" spans="1:14" x14ac:dyDescent="0.2">
      <c r="A454" s="84"/>
      <c r="B454" s="84"/>
      <c r="C454" s="60"/>
      <c r="D454" s="66"/>
      <c r="E454" s="66"/>
      <c r="F454" s="66"/>
      <c r="G454" s="66"/>
      <c r="H454" s="66"/>
      <c r="I454" s="66"/>
      <c r="J454" s="66"/>
      <c r="K454" s="66"/>
      <c r="L454" s="66"/>
      <c r="M454" s="66"/>
      <c r="N454" s="66"/>
    </row>
    <row r="455" spans="1:14" x14ac:dyDescent="0.2">
      <c r="A455" s="84"/>
      <c r="B455" s="84"/>
      <c r="C455" s="60"/>
      <c r="D455" s="66"/>
      <c r="E455" s="66"/>
      <c r="F455" s="66"/>
      <c r="G455" s="66"/>
      <c r="H455" s="66"/>
      <c r="I455" s="66"/>
      <c r="J455" s="66"/>
      <c r="K455" s="66"/>
      <c r="L455" s="66"/>
      <c r="M455" s="66"/>
      <c r="N455" s="66"/>
    </row>
    <row r="456" spans="1:14" x14ac:dyDescent="0.2">
      <c r="A456" s="84"/>
      <c r="B456" s="84"/>
      <c r="C456" s="60"/>
      <c r="D456" s="66"/>
      <c r="E456" s="66"/>
      <c r="F456" s="66"/>
      <c r="G456" s="66"/>
      <c r="H456" s="66"/>
      <c r="I456" s="66"/>
      <c r="J456" s="66"/>
      <c r="K456" s="66"/>
      <c r="L456" s="66"/>
      <c r="M456" s="66"/>
      <c r="N456" s="66"/>
    </row>
    <row r="457" spans="1:14" x14ac:dyDescent="0.2">
      <c r="A457" s="84"/>
      <c r="B457" s="84"/>
      <c r="C457" s="60"/>
      <c r="D457" s="66"/>
      <c r="E457" s="66"/>
      <c r="F457" s="66"/>
      <c r="G457" s="66"/>
      <c r="H457" s="66"/>
      <c r="I457" s="66"/>
      <c r="J457" s="66"/>
      <c r="K457" s="66"/>
      <c r="L457" s="66"/>
      <c r="M457" s="66"/>
      <c r="N457" s="66"/>
    </row>
    <row r="458" spans="1:14" x14ac:dyDescent="0.2">
      <c r="A458" s="84"/>
      <c r="B458" s="84"/>
      <c r="C458" s="60"/>
      <c r="D458" s="66"/>
      <c r="E458" s="66"/>
      <c r="F458" s="66"/>
      <c r="G458" s="66"/>
      <c r="H458" s="66"/>
      <c r="I458" s="66"/>
      <c r="J458" s="66"/>
      <c r="K458" s="66"/>
      <c r="L458" s="66"/>
      <c r="M458" s="66"/>
      <c r="N458" s="66"/>
    </row>
    <row r="459" spans="1:14" x14ac:dyDescent="0.2">
      <c r="A459" s="84"/>
      <c r="B459" s="84"/>
      <c r="C459" s="60"/>
      <c r="D459" s="66"/>
      <c r="E459" s="66"/>
      <c r="F459" s="66"/>
      <c r="G459" s="66"/>
      <c r="H459" s="66"/>
      <c r="I459" s="66"/>
      <c r="J459" s="66"/>
      <c r="K459" s="66"/>
      <c r="L459" s="66"/>
      <c r="M459" s="66"/>
      <c r="N459" s="66"/>
    </row>
    <row r="460" spans="1:14" x14ac:dyDescent="0.2">
      <c r="A460" s="84"/>
      <c r="B460" s="84"/>
      <c r="C460" s="60"/>
      <c r="D460" s="66"/>
      <c r="E460" s="66"/>
      <c r="F460" s="66"/>
      <c r="G460" s="66"/>
      <c r="H460" s="66"/>
      <c r="I460" s="66"/>
      <c r="J460" s="66"/>
      <c r="K460" s="66"/>
      <c r="L460" s="66"/>
      <c r="M460" s="66"/>
      <c r="N460" s="66"/>
    </row>
    <row r="461" spans="1:14" x14ac:dyDescent="0.2">
      <c r="A461" s="84"/>
      <c r="B461" s="84"/>
      <c r="C461" s="60"/>
      <c r="D461" s="66"/>
      <c r="E461" s="66"/>
      <c r="F461" s="66"/>
      <c r="G461" s="66"/>
      <c r="H461" s="66"/>
      <c r="I461" s="66"/>
      <c r="J461" s="66"/>
      <c r="K461" s="66"/>
      <c r="L461" s="66"/>
      <c r="M461" s="66"/>
      <c r="N461" s="66"/>
    </row>
    <row r="462" spans="1:14" x14ac:dyDescent="0.2">
      <c r="A462" s="84"/>
      <c r="B462" s="84"/>
      <c r="C462" s="60"/>
      <c r="D462" s="66"/>
      <c r="E462" s="66"/>
      <c r="F462" s="66"/>
      <c r="G462" s="66"/>
      <c r="H462" s="66"/>
      <c r="I462" s="66"/>
      <c r="J462" s="66"/>
      <c r="K462" s="66"/>
      <c r="L462" s="66"/>
      <c r="M462" s="66"/>
      <c r="N462" s="66"/>
    </row>
    <row r="463" spans="1:14" x14ac:dyDescent="0.2">
      <c r="A463" s="84"/>
      <c r="B463" s="84"/>
      <c r="C463" s="60"/>
      <c r="D463" s="66"/>
      <c r="E463" s="66"/>
      <c r="F463" s="66"/>
      <c r="G463" s="66"/>
      <c r="H463" s="66"/>
      <c r="I463" s="66"/>
      <c r="J463" s="66"/>
      <c r="K463" s="66"/>
      <c r="L463" s="66"/>
      <c r="M463" s="66"/>
      <c r="N463" s="66"/>
    </row>
    <row r="464" spans="1:14" x14ac:dyDescent="0.2">
      <c r="A464" s="84"/>
      <c r="B464" s="84"/>
      <c r="C464" s="60"/>
      <c r="D464" s="66"/>
      <c r="E464" s="66"/>
      <c r="F464" s="66"/>
      <c r="G464" s="66"/>
      <c r="H464" s="66"/>
      <c r="I464" s="66"/>
      <c r="J464" s="66"/>
      <c r="K464" s="66"/>
      <c r="L464" s="66"/>
      <c r="M464" s="66"/>
      <c r="N464" s="66"/>
    </row>
    <row r="465" spans="1:14" x14ac:dyDescent="0.2">
      <c r="A465" s="84"/>
      <c r="B465" s="84"/>
      <c r="C465" s="60"/>
      <c r="D465" s="66"/>
      <c r="E465" s="66"/>
      <c r="F465" s="66"/>
      <c r="G465" s="66"/>
      <c r="H465" s="66"/>
      <c r="I465" s="66"/>
      <c r="J465" s="66"/>
      <c r="K465" s="66"/>
      <c r="L465" s="66"/>
      <c r="M465" s="66"/>
      <c r="N465" s="66"/>
    </row>
    <row r="466" spans="1:14" x14ac:dyDescent="0.2">
      <c r="A466" s="84"/>
      <c r="B466" s="84"/>
      <c r="C466" s="60"/>
      <c r="D466" s="66"/>
      <c r="E466" s="66"/>
      <c r="F466" s="66"/>
      <c r="G466" s="66"/>
      <c r="H466" s="66"/>
      <c r="I466" s="66"/>
      <c r="J466" s="66"/>
      <c r="K466" s="66"/>
      <c r="L466" s="66"/>
      <c r="M466" s="66"/>
      <c r="N466" s="66"/>
    </row>
    <row r="467" spans="1:14" x14ac:dyDescent="0.2">
      <c r="A467" s="84"/>
      <c r="B467" s="84"/>
      <c r="C467" s="60"/>
      <c r="D467" s="66"/>
      <c r="E467" s="66"/>
      <c r="F467" s="66"/>
      <c r="G467" s="66"/>
      <c r="H467" s="66"/>
      <c r="I467" s="66"/>
      <c r="J467" s="66"/>
      <c r="K467" s="66"/>
      <c r="L467" s="66"/>
      <c r="M467" s="66"/>
      <c r="N467" s="66"/>
    </row>
    <row r="468" spans="1:14" x14ac:dyDescent="0.2">
      <c r="A468" s="84"/>
      <c r="B468" s="84"/>
      <c r="C468" s="60"/>
      <c r="D468" s="66"/>
      <c r="E468" s="66"/>
      <c r="F468" s="66"/>
      <c r="G468" s="66"/>
      <c r="H468" s="66"/>
      <c r="I468" s="66"/>
      <c r="J468" s="66"/>
      <c r="K468" s="66"/>
      <c r="L468" s="66"/>
      <c r="M468" s="66"/>
      <c r="N468" s="66"/>
    </row>
    <row r="469" spans="1:14" x14ac:dyDescent="0.2">
      <c r="A469" s="84"/>
      <c r="B469" s="84"/>
      <c r="C469" s="60"/>
      <c r="D469" s="66"/>
      <c r="E469" s="66"/>
      <c r="F469" s="66"/>
      <c r="G469" s="66"/>
      <c r="H469" s="66"/>
      <c r="I469" s="66"/>
      <c r="J469" s="66"/>
      <c r="K469" s="66"/>
      <c r="L469" s="66"/>
      <c r="M469" s="66"/>
      <c r="N469" s="66"/>
    </row>
    <row r="470" spans="1:14" x14ac:dyDescent="0.2">
      <c r="A470" s="84"/>
      <c r="B470" s="84"/>
      <c r="C470" s="60"/>
      <c r="D470" s="66"/>
      <c r="E470" s="66"/>
      <c r="F470" s="66"/>
      <c r="G470" s="66"/>
      <c r="H470" s="66"/>
      <c r="I470" s="66"/>
      <c r="J470" s="66"/>
      <c r="K470" s="66"/>
      <c r="L470" s="66"/>
      <c r="M470" s="66"/>
      <c r="N470" s="66"/>
    </row>
    <row r="471" spans="1:14" x14ac:dyDescent="0.2">
      <c r="A471" s="84"/>
      <c r="B471" s="84"/>
      <c r="C471" s="60"/>
      <c r="D471" s="66"/>
      <c r="E471" s="66"/>
      <c r="F471" s="66"/>
      <c r="G471" s="66"/>
      <c r="H471" s="66"/>
      <c r="I471" s="66"/>
      <c r="J471" s="66"/>
      <c r="K471" s="66"/>
      <c r="L471" s="66"/>
      <c r="M471" s="66"/>
      <c r="N471" s="66"/>
    </row>
    <row r="472" spans="1:14" x14ac:dyDescent="0.2">
      <c r="A472" s="84"/>
      <c r="B472" s="84"/>
      <c r="C472" s="60"/>
      <c r="D472" s="66"/>
      <c r="E472" s="66"/>
      <c r="F472" s="66"/>
      <c r="G472" s="66"/>
      <c r="H472" s="66"/>
      <c r="I472" s="66"/>
      <c r="J472" s="66"/>
      <c r="K472" s="66"/>
      <c r="L472" s="66"/>
      <c r="M472" s="66"/>
      <c r="N472" s="66"/>
    </row>
    <row r="473" spans="1:14" x14ac:dyDescent="0.2">
      <c r="A473" s="84"/>
      <c r="B473" s="84"/>
      <c r="C473" s="60"/>
      <c r="D473" s="66"/>
      <c r="E473" s="66"/>
      <c r="F473" s="66"/>
      <c r="G473" s="66"/>
      <c r="H473" s="66"/>
      <c r="I473" s="66"/>
      <c r="J473" s="66"/>
      <c r="K473" s="66"/>
      <c r="L473" s="66"/>
      <c r="M473" s="66"/>
      <c r="N473" s="66"/>
    </row>
    <row r="474" spans="1:14" x14ac:dyDescent="0.2">
      <c r="A474" s="84"/>
      <c r="B474" s="84"/>
      <c r="C474" s="60"/>
      <c r="D474" s="66"/>
      <c r="E474" s="66"/>
      <c r="F474" s="66"/>
      <c r="G474" s="66"/>
      <c r="H474" s="66"/>
      <c r="I474" s="66"/>
      <c r="J474" s="66"/>
      <c r="K474" s="66"/>
      <c r="L474" s="66"/>
      <c r="M474" s="66"/>
      <c r="N474" s="66"/>
    </row>
    <row r="475" spans="1:14" x14ac:dyDescent="0.2">
      <c r="A475" s="84"/>
      <c r="B475" s="84"/>
      <c r="C475" s="60"/>
      <c r="D475" s="66"/>
      <c r="E475" s="66"/>
      <c r="F475" s="66"/>
      <c r="G475" s="66"/>
      <c r="H475" s="66"/>
      <c r="I475" s="66"/>
      <c r="J475" s="66"/>
      <c r="K475" s="66"/>
      <c r="L475" s="66"/>
      <c r="M475" s="66"/>
      <c r="N475" s="66"/>
    </row>
    <row r="476" spans="1:14" x14ac:dyDescent="0.2">
      <c r="A476" s="84"/>
      <c r="B476" s="84"/>
      <c r="C476" s="60"/>
      <c r="D476" s="66"/>
      <c r="E476" s="66"/>
      <c r="F476" s="66"/>
      <c r="G476" s="66"/>
      <c r="H476" s="66"/>
      <c r="I476" s="66"/>
      <c r="J476" s="66"/>
      <c r="K476" s="66"/>
      <c r="L476" s="66"/>
      <c r="M476" s="66"/>
      <c r="N476" s="66"/>
    </row>
    <row r="477" spans="1:14" x14ac:dyDescent="0.2">
      <c r="A477" s="84"/>
      <c r="B477" s="84"/>
      <c r="C477" s="60"/>
      <c r="D477" s="66"/>
      <c r="E477" s="66"/>
      <c r="F477" s="66"/>
      <c r="G477" s="66"/>
      <c r="H477" s="66"/>
      <c r="I477" s="66"/>
      <c r="J477" s="66"/>
      <c r="K477" s="66"/>
      <c r="L477" s="66"/>
      <c r="M477" s="66"/>
      <c r="N477" s="66"/>
    </row>
    <row r="478" spans="1:14" x14ac:dyDescent="0.2">
      <c r="A478" s="84"/>
      <c r="B478" s="84"/>
      <c r="C478" s="60"/>
      <c r="D478" s="66"/>
      <c r="E478" s="66"/>
      <c r="F478" s="66"/>
      <c r="G478" s="66"/>
      <c r="H478" s="66"/>
      <c r="I478" s="66"/>
      <c r="J478" s="66"/>
      <c r="K478" s="66"/>
      <c r="L478" s="66"/>
      <c r="M478" s="66"/>
      <c r="N478" s="66"/>
    </row>
    <row r="479" spans="1:14" x14ac:dyDescent="0.2">
      <c r="A479" s="84"/>
      <c r="B479" s="84"/>
      <c r="C479" s="60"/>
      <c r="D479" s="66"/>
      <c r="E479" s="66"/>
      <c r="F479" s="66"/>
      <c r="G479" s="66"/>
      <c r="H479" s="66"/>
      <c r="I479" s="66"/>
      <c r="J479" s="66"/>
      <c r="K479" s="66"/>
      <c r="L479" s="66"/>
      <c r="M479" s="66"/>
      <c r="N479" s="66"/>
    </row>
    <row r="480" spans="1:14" x14ac:dyDescent="0.2">
      <c r="A480" s="84"/>
      <c r="B480" s="84"/>
      <c r="C480" s="60"/>
      <c r="D480" s="66"/>
      <c r="E480" s="66"/>
      <c r="F480" s="66"/>
      <c r="G480" s="66"/>
      <c r="H480" s="66"/>
      <c r="I480" s="66"/>
      <c r="J480" s="66"/>
      <c r="K480" s="66"/>
      <c r="L480" s="66"/>
      <c r="M480" s="66"/>
      <c r="N480" s="66"/>
    </row>
    <row r="481" spans="1:14" x14ac:dyDescent="0.2">
      <c r="A481" s="84"/>
      <c r="B481" s="84"/>
      <c r="C481" s="60"/>
      <c r="D481" s="66"/>
      <c r="E481" s="66"/>
      <c r="F481" s="66"/>
      <c r="G481" s="66"/>
      <c r="H481" s="66"/>
      <c r="I481" s="66"/>
      <c r="J481" s="66"/>
      <c r="K481" s="66"/>
      <c r="L481" s="66"/>
      <c r="M481" s="66"/>
      <c r="N481" s="66"/>
    </row>
    <row r="482" spans="1:14" x14ac:dyDescent="0.2">
      <c r="A482" s="84"/>
      <c r="B482" s="84"/>
      <c r="C482" s="60"/>
      <c r="D482" s="66"/>
      <c r="E482" s="66"/>
      <c r="F482" s="66"/>
      <c r="G482" s="66"/>
      <c r="H482" s="66"/>
      <c r="I482" s="66"/>
      <c r="J482" s="66"/>
      <c r="K482" s="66"/>
      <c r="L482" s="66"/>
      <c r="M482" s="66"/>
      <c r="N482" s="66"/>
    </row>
    <row r="483" spans="1:14" x14ac:dyDescent="0.2">
      <c r="A483" s="84"/>
      <c r="B483" s="84"/>
      <c r="C483" s="60"/>
      <c r="D483" s="66"/>
      <c r="E483" s="66"/>
      <c r="F483" s="66"/>
      <c r="G483" s="66"/>
      <c r="H483" s="66"/>
      <c r="I483" s="66"/>
      <c r="J483" s="66"/>
      <c r="K483" s="66"/>
      <c r="L483" s="66"/>
      <c r="M483" s="66"/>
      <c r="N483" s="66"/>
    </row>
    <row r="484" spans="1:14" x14ac:dyDescent="0.2">
      <c r="A484" s="84"/>
      <c r="B484" s="84"/>
      <c r="C484" s="60"/>
      <c r="D484" s="66"/>
      <c r="E484" s="66"/>
      <c r="F484" s="66"/>
      <c r="G484" s="66"/>
      <c r="H484" s="66"/>
      <c r="I484" s="66"/>
      <c r="J484" s="66"/>
      <c r="K484" s="66"/>
      <c r="L484" s="66"/>
      <c r="M484" s="66"/>
      <c r="N484" s="66"/>
    </row>
    <row r="485" spans="1:14" x14ac:dyDescent="0.2">
      <c r="A485" s="84"/>
      <c r="B485" s="84"/>
      <c r="C485" s="60"/>
      <c r="D485" s="66"/>
      <c r="E485" s="66"/>
      <c r="F485" s="66"/>
      <c r="G485" s="66"/>
      <c r="H485" s="66"/>
      <c r="I485" s="66"/>
      <c r="J485" s="66"/>
      <c r="K485" s="66"/>
      <c r="L485" s="66"/>
      <c r="M485" s="66"/>
      <c r="N485" s="66"/>
    </row>
    <row r="486" spans="1:14" x14ac:dyDescent="0.2">
      <c r="A486" s="84"/>
      <c r="B486" s="84"/>
      <c r="C486" s="60"/>
      <c r="D486" s="66"/>
      <c r="E486" s="66"/>
      <c r="F486" s="66"/>
      <c r="G486" s="66"/>
      <c r="H486" s="66"/>
      <c r="I486" s="66"/>
      <c r="J486" s="66"/>
      <c r="K486" s="66"/>
      <c r="L486" s="66"/>
      <c r="M486" s="66"/>
      <c r="N486" s="66"/>
    </row>
    <row r="487" spans="1:14" x14ac:dyDescent="0.2">
      <c r="A487" s="84"/>
      <c r="B487" s="84"/>
      <c r="C487" s="60"/>
      <c r="D487" s="66"/>
      <c r="E487" s="66"/>
      <c r="F487" s="66"/>
      <c r="G487" s="66"/>
      <c r="H487" s="66"/>
      <c r="I487" s="66"/>
      <c r="J487" s="66"/>
      <c r="K487" s="66"/>
      <c r="L487" s="66"/>
      <c r="M487" s="66"/>
      <c r="N487" s="66"/>
    </row>
    <row r="488" spans="1:14" x14ac:dyDescent="0.2">
      <c r="A488" s="84"/>
      <c r="B488" s="84"/>
      <c r="C488" s="60"/>
      <c r="D488" s="66"/>
      <c r="E488" s="66"/>
      <c r="F488" s="66"/>
      <c r="G488" s="66"/>
      <c r="H488" s="66"/>
      <c r="I488" s="66"/>
      <c r="J488" s="66"/>
      <c r="K488" s="66"/>
      <c r="L488" s="66"/>
      <c r="M488" s="66"/>
      <c r="N488" s="66"/>
    </row>
    <row r="489" spans="1:14" x14ac:dyDescent="0.2">
      <c r="A489" s="84"/>
      <c r="B489" s="84"/>
      <c r="C489" s="60"/>
      <c r="D489" s="66"/>
      <c r="E489" s="66"/>
      <c r="F489" s="66"/>
      <c r="G489" s="66"/>
      <c r="H489" s="66"/>
      <c r="I489" s="66"/>
      <c r="J489" s="66"/>
      <c r="K489" s="66"/>
      <c r="L489" s="66"/>
      <c r="M489" s="66"/>
      <c r="N489" s="66"/>
    </row>
    <row r="490" spans="1:14" x14ac:dyDescent="0.2">
      <c r="A490" s="84"/>
      <c r="B490" s="84"/>
      <c r="C490" s="60"/>
      <c r="D490" s="66"/>
      <c r="E490" s="66"/>
      <c r="F490" s="66"/>
      <c r="G490" s="66"/>
      <c r="H490" s="66"/>
      <c r="I490" s="66"/>
      <c r="J490" s="66"/>
      <c r="K490" s="66"/>
      <c r="L490" s="66"/>
      <c r="M490" s="66"/>
      <c r="N490" s="66"/>
    </row>
    <row r="491" spans="1:14" x14ac:dyDescent="0.2">
      <c r="A491" s="84"/>
      <c r="B491" s="84"/>
      <c r="C491" s="60"/>
      <c r="D491" s="66"/>
      <c r="E491" s="66"/>
      <c r="F491" s="66"/>
      <c r="G491" s="66"/>
      <c r="H491" s="66"/>
      <c r="I491" s="66"/>
      <c r="J491" s="66"/>
      <c r="K491" s="66"/>
      <c r="L491" s="66"/>
      <c r="M491" s="66"/>
      <c r="N491" s="66"/>
    </row>
    <row r="492" spans="1:14" x14ac:dyDescent="0.2">
      <c r="A492" s="84"/>
      <c r="B492" s="84"/>
      <c r="C492" s="60"/>
      <c r="D492" s="66"/>
      <c r="E492" s="66"/>
      <c r="F492" s="66"/>
      <c r="G492" s="66"/>
      <c r="H492" s="66"/>
      <c r="I492" s="66"/>
      <c r="J492" s="66"/>
      <c r="K492" s="66"/>
      <c r="L492" s="66"/>
      <c r="M492" s="66"/>
      <c r="N492" s="66"/>
    </row>
    <row r="493" spans="1:14" x14ac:dyDescent="0.2">
      <c r="A493" s="84"/>
      <c r="B493" s="84"/>
      <c r="C493" s="60"/>
      <c r="D493" s="66"/>
      <c r="E493" s="66"/>
      <c r="F493" s="66"/>
      <c r="G493" s="66"/>
      <c r="H493" s="66"/>
      <c r="I493" s="66"/>
      <c r="J493" s="66"/>
      <c r="K493" s="66"/>
      <c r="L493" s="66"/>
      <c r="M493" s="66"/>
      <c r="N493" s="66"/>
    </row>
    <row r="494" spans="1:14" x14ac:dyDescent="0.2">
      <c r="A494" s="84"/>
      <c r="B494" s="84"/>
      <c r="C494" s="60"/>
      <c r="D494" s="66"/>
      <c r="E494" s="66"/>
      <c r="F494" s="66"/>
      <c r="G494" s="66"/>
      <c r="H494" s="66"/>
      <c r="I494" s="66"/>
      <c r="J494" s="66"/>
      <c r="K494" s="66"/>
      <c r="L494" s="66"/>
      <c r="M494" s="66"/>
      <c r="N494" s="66"/>
    </row>
    <row r="495" spans="1:14" x14ac:dyDescent="0.2">
      <c r="A495" s="84"/>
      <c r="B495" s="84"/>
      <c r="C495" s="60"/>
      <c r="D495" s="66"/>
      <c r="E495" s="66"/>
      <c r="F495" s="66"/>
      <c r="G495" s="66"/>
      <c r="H495" s="66"/>
      <c r="I495" s="66"/>
      <c r="J495" s="66"/>
      <c r="K495" s="66"/>
      <c r="L495" s="66"/>
      <c r="M495" s="66"/>
      <c r="N495" s="66"/>
    </row>
    <row r="496" spans="1:14" x14ac:dyDescent="0.2">
      <c r="A496" s="84"/>
      <c r="B496" s="84"/>
      <c r="C496" s="60"/>
      <c r="D496" s="66"/>
      <c r="E496" s="66"/>
      <c r="F496" s="66"/>
      <c r="G496" s="66"/>
      <c r="H496" s="66"/>
      <c r="I496" s="66"/>
      <c r="J496" s="66"/>
      <c r="K496" s="66"/>
      <c r="L496" s="66"/>
      <c r="M496" s="66"/>
      <c r="N496" s="66"/>
    </row>
    <row r="497" spans="1:14" x14ac:dyDescent="0.2">
      <c r="A497" s="84"/>
      <c r="B497" s="84"/>
      <c r="C497" s="60"/>
      <c r="D497" s="66"/>
      <c r="E497" s="66"/>
      <c r="F497" s="66"/>
      <c r="G497" s="66"/>
      <c r="H497" s="66"/>
      <c r="I497" s="66"/>
      <c r="J497" s="66"/>
      <c r="K497" s="66"/>
      <c r="L497" s="66"/>
      <c r="M497" s="66"/>
      <c r="N497" s="66"/>
    </row>
    <row r="498" spans="1:14" x14ac:dyDescent="0.2">
      <c r="A498" s="84"/>
      <c r="B498" s="84"/>
      <c r="C498" s="60"/>
      <c r="D498" s="66"/>
      <c r="E498" s="66"/>
      <c r="F498" s="66"/>
      <c r="G498" s="66"/>
      <c r="H498" s="66"/>
      <c r="I498" s="66"/>
      <c r="J498" s="66"/>
      <c r="K498" s="66"/>
      <c r="L498" s="66"/>
      <c r="M498" s="66"/>
      <c r="N498" s="66"/>
    </row>
    <row r="499" spans="1:14" x14ac:dyDescent="0.2">
      <c r="A499" s="84"/>
      <c r="B499" s="84"/>
      <c r="C499" s="60"/>
      <c r="D499" s="66"/>
      <c r="E499" s="66"/>
      <c r="F499" s="66"/>
      <c r="G499" s="66"/>
      <c r="H499" s="66"/>
      <c r="I499" s="66"/>
      <c r="J499" s="66"/>
      <c r="K499" s="66"/>
      <c r="L499" s="66"/>
      <c r="M499" s="66"/>
      <c r="N499" s="66"/>
    </row>
    <row r="500" spans="1:14" x14ac:dyDescent="0.2">
      <c r="A500" s="84"/>
      <c r="B500" s="84"/>
      <c r="C500" s="60"/>
      <c r="D500" s="66"/>
      <c r="E500" s="66"/>
      <c r="F500" s="66"/>
      <c r="G500" s="66"/>
      <c r="H500" s="66"/>
      <c r="I500" s="66"/>
      <c r="J500" s="66"/>
      <c r="K500" s="66"/>
      <c r="L500" s="66"/>
      <c r="M500" s="66"/>
      <c r="N500" s="66"/>
    </row>
    <row r="501" spans="1:14" x14ac:dyDescent="0.2">
      <c r="A501" s="84"/>
      <c r="B501" s="84"/>
      <c r="C501" s="60"/>
      <c r="D501" s="66"/>
      <c r="E501" s="66"/>
      <c r="F501" s="66"/>
      <c r="G501" s="66"/>
      <c r="H501" s="66"/>
      <c r="I501" s="66"/>
      <c r="J501" s="66"/>
      <c r="K501" s="66"/>
      <c r="L501" s="66"/>
      <c r="M501" s="66"/>
      <c r="N501" s="66"/>
    </row>
    <row r="502" spans="1:14" x14ac:dyDescent="0.2">
      <c r="A502" s="84"/>
      <c r="B502" s="84"/>
      <c r="C502" s="60"/>
      <c r="D502" s="66"/>
      <c r="E502" s="66"/>
      <c r="F502" s="66"/>
      <c r="G502" s="66"/>
      <c r="H502" s="66"/>
      <c r="I502" s="66"/>
      <c r="J502" s="66"/>
      <c r="K502" s="66"/>
      <c r="L502" s="66"/>
      <c r="M502" s="66"/>
      <c r="N502" s="66"/>
    </row>
    <row r="503" spans="1:14" x14ac:dyDescent="0.2">
      <c r="A503" s="84"/>
      <c r="B503" s="84"/>
      <c r="C503" s="60"/>
      <c r="D503" s="66"/>
      <c r="E503" s="66"/>
      <c r="F503" s="66"/>
      <c r="G503" s="66"/>
      <c r="H503" s="66"/>
      <c r="I503" s="66"/>
      <c r="J503" s="66"/>
      <c r="K503" s="66"/>
      <c r="L503" s="66"/>
      <c r="M503" s="66"/>
      <c r="N503" s="66"/>
    </row>
    <row r="504" spans="1:14" x14ac:dyDescent="0.2">
      <c r="A504" s="84"/>
      <c r="B504" s="84"/>
      <c r="C504" s="60"/>
      <c r="D504" s="66"/>
      <c r="E504" s="66"/>
      <c r="F504" s="66"/>
      <c r="G504" s="66"/>
      <c r="H504" s="66"/>
      <c r="I504" s="66"/>
      <c r="J504" s="66"/>
      <c r="K504" s="66"/>
      <c r="L504" s="66"/>
      <c r="M504" s="66"/>
      <c r="N504" s="66"/>
    </row>
    <row r="505" spans="1:14" x14ac:dyDescent="0.2">
      <c r="A505" s="84"/>
      <c r="B505" s="84"/>
      <c r="C505" s="60"/>
      <c r="D505" s="66"/>
      <c r="E505" s="66"/>
      <c r="F505" s="66"/>
      <c r="G505" s="66"/>
      <c r="H505" s="66"/>
      <c r="I505" s="66"/>
      <c r="J505" s="66"/>
      <c r="K505" s="66"/>
      <c r="L505" s="66"/>
      <c r="M505" s="66"/>
      <c r="N505" s="66"/>
    </row>
    <row r="506" spans="1:14" x14ac:dyDescent="0.2">
      <c r="A506" s="84"/>
      <c r="B506" s="84"/>
      <c r="C506" s="60"/>
      <c r="D506" s="66"/>
      <c r="E506" s="66"/>
      <c r="F506" s="66"/>
      <c r="G506" s="66"/>
      <c r="H506" s="66"/>
      <c r="I506" s="66"/>
      <c r="J506" s="66"/>
      <c r="K506" s="66"/>
      <c r="L506" s="66"/>
      <c r="M506" s="66"/>
      <c r="N506" s="66"/>
    </row>
    <row r="507" spans="1:14" x14ac:dyDescent="0.2">
      <c r="A507" s="84"/>
      <c r="B507" s="84"/>
      <c r="C507" s="60"/>
      <c r="D507" s="66"/>
      <c r="E507" s="66"/>
      <c r="F507" s="66"/>
      <c r="G507" s="66"/>
      <c r="H507" s="66"/>
      <c r="I507" s="66"/>
      <c r="J507" s="66"/>
      <c r="K507" s="66"/>
      <c r="L507" s="66"/>
      <c r="M507" s="66"/>
      <c r="N507" s="66"/>
    </row>
    <row r="508" spans="1:14" x14ac:dyDescent="0.2">
      <c r="A508" s="84"/>
      <c r="B508" s="84"/>
      <c r="C508" s="60"/>
      <c r="D508" s="66"/>
      <c r="E508" s="66"/>
      <c r="F508" s="66"/>
      <c r="G508" s="66"/>
      <c r="H508" s="66"/>
      <c r="I508" s="66"/>
      <c r="J508" s="66"/>
      <c r="K508" s="66"/>
      <c r="L508" s="66"/>
      <c r="M508" s="66"/>
      <c r="N508" s="66"/>
    </row>
    <row r="509" spans="1:14" x14ac:dyDescent="0.2">
      <c r="A509" s="84"/>
      <c r="B509" s="84"/>
      <c r="C509" s="60"/>
      <c r="D509" s="66"/>
      <c r="E509" s="66"/>
      <c r="F509" s="66"/>
      <c r="G509" s="66"/>
      <c r="H509" s="66"/>
      <c r="I509" s="66"/>
      <c r="J509" s="66"/>
      <c r="K509" s="66"/>
      <c r="L509" s="66"/>
      <c r="M509" s="66"/>
      <c r="N509" s="66"/>
    </row>
    <row r="510" spans="1:14" x14ac:dyDescent="0.2">
      <c r="A510" s="84"/>
      <c r="B510" s="84"/>
      <c r="C510" s="60"/>
      <c r="D510" s="66"/>
      <c r="E510" s="66"/>
      <c r="F510" s="66"/>
      <c r="G510" s="66"/>
      <c r="H510" s="66"/>
      <c r="I510" s="66"/>
      <c r="J510" s="66"/>
      <c r="K510" s="66"/>
      <c r="L510" s="66"/>
      <c r="M510" s="66"/>
      <c r="N510" s="66"/>
    </row>
    <row r="511" spans="1:14" x14ac:dyDescent="0.2">
      <c r="A511" s="84"/>
      <c r="B511" s="84"/>
      <c r="C511" s="60"/>
      <c r="D511" s="66"/>
      <c r="E511" s="66"/>
      <c r="F511" s="66"/>
      <c r="G511" s="66"/>
      <c r="H511" s="66"/>
      <c r="I511" s="66"/>
      <c r="J511" s="66"/>
      <c r="K511" s="66"/>
      <c r="L511" s="66"/>
      <c r="M511" s="66"/>
      <c r="N511" s="66"/>
    </row>
    <row r="512" spans="1:14" x14ac:dyDescent="0.2">
      <c r="A512" s="84"/>
      <c r="B512" s="84"/>
      <c r="C512" s="60"/>
      <c r="D512" s="66"/>
      <c r="E512" s="66"/>
      <c r="F512" s="66"/>
      <c r="G512" s="66"/>
      <c r="H512" s="66"/>
      <c r="I512" s="66"/>
      <c r="J512" s="66"/>
      <c r="K512" s="66"/>
      <c r="L512" s="66"/>
      <c r="M512" s="66"/>
      <c r="N512" s="66"/>
    </row>
    <row r="513" spans="1:14" x14ac:dyDescent="0.2">
      <c r="A513" s="84"/>
      <c r="B513" s="84"/>
      <c r="C513" s="60"/>
      <c r="D513" s="66"/>
      <c r="E513" s="66"/>
      <c r="F513" s="66"/>
      <c r="G513" s="66"/>
      <c r="H513" s="66"/>
      <c r="I513" s="66"/>
      <c r="J513" s="66"/>
      <c r="K513" s="66"/>
      <c r="L513" s="66"/>
      <c r="M513" s="66"/>
      <c r="N513" s="66"/>
    </row>
    <row r="514" spans="1:14" x14ac:dyDescent="0.2">
      <c r="A514" s="84"/>
      <c r="B514" s="84"/>
      <c r="C514" s="60"/>
      <c r="D514" s="66"/>
      <c r="E514" s="66"/>
      <c r="F514" s="66"/>
      <c r="G514" s="66"/>
      <c r="H514" s="66"/>
      <c r="I514" s="66"/>
      <c r="J514" s="66"/>
      <c r="K514" s="66"/>
      <c r="L514" s="66"/>
      <c r="M514" s="66"/>
      <c r="N514" s="66"/>
    </row>
    <row r="515" spans="1:14" x14ac:dyDescent="0.2">
      <c r="A515" s="84"/>
      <c r="B515" s="84"/>
      <c r="C515" s="60"/>
      <c r="D515" s="66"/>
      <c r="E515" s="66"/>
      <c r="F515" s="66"/>
      <c r="G515" s="66"/>
      <c r="H515" s="66"/>
      <c r="I515" s="66"/>
      <c r="J515" s="66"/>
      <c r="K515" s="66"/>
      <c r="L515" s="66"/>
      <c r="M515" s="66"/>
      <c r="N515" s="66"/>
    </row>
    <row r="516" spans="1:14" x14ac:dyDescent="0.2">
      <c r="A516" s="84"/>
      <c r="B516" s="84"/>
      <c r="C516" s="60"/>
      <c r="D516" s="66"/>
      <c r="E516" s="66"/>
      <c r="F516" s="66"/>
      <c r="G516" s="66"/>
      <c r="H516" s="66"/>
      <c r="I516" s="66"/>
      <c r="J516" s="66"/>
      <c r="K516" s="66"/>
      <c r="L516" s="66"/>
      <c r="M516" s="66"/>
      <c r="N516" s="66"/>
    </row>
    <row r="517" spans="1:14" x14ac:dyDescent="0.2">
      <c r="A517" s="84"/>
      <c r="B517" s="84"/>
      <c r="C517" s="60"/>
      <c r="D517" s="66"/>
      <c r="E517" s="66"/>
      <c r="F517" s="66"/>
      <c r="G517" s="66"/>
      <c r="H517" s="66"/>
      <c r="I517" s="66"/>
      <c r="J517" s="66"/>
      <c r="K517" s="66"/>
      <c r="L517" s="66"/>
      <c r="M517" s="66"/>
      <c r="N517" s="66"/>
    </row>
    <row r="518" spans="1:14" x14ac:dyDescent="0.2">
      <c r="A518" s="84"/>
      <c r="B518" s="84"/>
      <c r="C518" s="60"/>
      <c r="D518" s="66"/>
      <c r="E518" s="66"/>
      <c r="F518" s="66"/>
      <c r="G518" s="66"/>
      <c r="H518" s="66"/>
      <c r="I518" s="66"/>
      <c r="J518" s="66"/>
      <c r="K518" s="66"/>
      <c r="L518" s="66"/>
      <c r="M518" s="66"/>
      <c r="N518" s="66"/>
    </row>
    <row r="519" spans="1:14" x14ac:dyDescent="0.2">
      <c r="A519" s="84"/>
      <c r="B519" s="84"/>
      <c r="C519" s="60"/>
      <c r="D519" s="66"/>
      <c r="E519" s="66"/>
      <c r="F519" s="66"/>
      <c r="G519" s="66"/>
      <c r="H519" s="66"/>
      <c r="I519" s="66"/>
      <c r="J519" s="66"/>
      <c r="K519" s="66"/>
      <c r="L519" s="66"/>
      <c r="M519" s="66"/>
      <c r="N519" s="66"/>
    </row>
    <row r="520" spans="1:14" x14ac:dyDescent="0.2">
      <c r="A520" s="84"/>
      <c r="B520" s="84"/>
      <c r="C520" s="60"/>
      <c r="D520" s="66"/>
      <c r="E520" s="66"/>
      <c r="F520" s="66"/>
      <c r="G520" s="66"/>
      <c r="H520" s="66"/>
      <c r="I520" s="66"/>
      <c r="J520" s="66"/>
      <c r="K520" s="66"/>
      <c r="L520" s="66"/>
      <c r="M520" s="66"/>
      <c r="N520" s="66"/>
    </row>
    <row r="521" spans="1:14" x14ac:dyDescent="0.2">
      <c r="A521" s="84"/>
      <c r="B521" s="84"/>
      <c r="C521" s="60"/>
      <c r="D521" s="66"/>
      <c r="E521" s="66"/>
      <c r="F521" s="66"/>
      <c r="G521" s="66"/>
      <c r="H521" s="66"/>
      <c r="I521" s="66"/>
      <c r="J521" s="66"/>
      <c r="K521" s="66"/>
      <c r="L521" s="66"/>
      <c r="M521" s="66"/>
      <c r="N521" s="66"/>
    </row>
    <row r="522" spans="1:14" x14ac:dyDescent="0.2">
      <c r="A522" s="84"/>
      <c r="B522" s="84"/>
      <c r="C522" s="60"/>
      <c r="D522" s="66"/>
      <c r="E522" s="66"/>
      <c r="F522" s="66"/>
      <c r="G522" s="66"/>
      <c r="H522" s="66"/>
      <c r="I522" s="66"/>
      <c r="J522" s="66"/>
      <c r="K522" s="66"/>
      <c r="L522" s="66"/>
      <c r="M522" s="66"/>
      <c r="N522" s="66"/>
    </row>
    <row r="523" spans="1:14" x14ac:dyDescent="0.2">
      <c r="A523" s="84"/>
      <c r="B523" s="84"/>
      <c r="C523" s="60"/>
      <c r="D523" s="66"/>
      <c r="E523" s="66"/>
      <c r="F523" s="66"/>
      <c r="G523" s="66"/>
      <c r="H523" s="66"/>
      <c r="I523" s="66"/>
      <c r="J523" s="66"/>
      <c r="K523" s="66"/>
      <c r="L523" s="66"/>
      <c r="M523" s="66"/>
      <c r="N523" s="66"/>
    </row>
    <row r="524" spans="1:14" x14ac:dyDescent="0.2">
      <c r="A524" s="84"/>
      <c r="B524" s="84"/>
      <c r="C524" s="60"/>
      <c r="D524" s="66"/>
      <c r="E524" s="66"/>
      <c r="F524" s="66"/>
      <c r="G524" s="66"/>
      <c r="H524" s="66"/>
      <c r="I524" s="66"/>
      <c r="J524" s="66"/>
      <c r="K524" s="66"/>
      <c r="L524" s="66"/>
      <c r="M524" s="66"/>
      <c r="N524" s="66"/>
    </row>
    <row r="525" spans="1:14" x14ac:dyDescent="0.2">
      <c r="A525" s="84"/>
      <c r="B525" s="84"/>
      <c r="C525" s="60"/>
      <c r="D525" s="66"/>
      <c r="E525" s="66"/>
      <c r="F525" s="66"/>
      <c r="G525" s="66"/>
      <c r="H525" s="66"/>
      <c r="I525" s="66"/>
      <c r="J525" s="66"/>
      <c r="K525" s="66"/>
      <c r="L525" s="66"/>
      <c r="M525" s="66"/>
      <c r="N525" s="66"/>
    </row>
    <row r="526" spans="1:14" x14ac:dyDescent="0.2">
      <c r="A526" s="84"/>
      <c r="B526" s="84"/>
      <c r="C526" s="60"/>
      <c r="D526" s="66"/>
      <c r="E526" s="66"/>
      <c r="F526" s="66"/>
      <c r="G526" s="66"/>
      <c r="H526" s="66"/>
      <c r="I526" s="66"/>
      <c r="J526" s="66"/>
      <c r="K526" s="66"/>
      <c r="L526" s="66"/>
      <c r="M526" s="66"/>
      <c r="N526" s="66"/>
    </row>
    <row r="527" spans="1:14" x14ac:dyDescent="0.2">
      <c r="A527" s="84"/>
      <c r="B527" s="84"/>
      <c r="C527" s="60"/>
      <c r="D527" s="66"/>
      <c r="E527" s="66"/>
      <c r="F527" s="66"/>
      <c r="G527" s="66"/>
      <c r="H527" s="66"/>
      <c r="I527" s="66"/>
      <c r="J527" s="66"/>
      <c r="K527" s="66"/>
      <c r="L527" s="66"/>
      <c r="M527" s="66"/>
      <c r="N527" s="66"/>
    </row>
    <row r="528" spans="1:14" x14ac:dyDescent="0.2">
      <c r="A528" s="84"/>
      <c r="B528" s="84"/>
      <c r="C528" s="60"/>
      <c r="D528" s="66"/>
      <c r="E528" s="66"/>
      <c r="F528" s="66"/>
      <c r="G528" s="66"/>
      <c r="H528" s="66"/>
      <c r="I528" s="66"/>
      <c r="J528" s="66"/>
      <c r="K528" s="66"/>
      <c r="L528" s="66"/>
      <c r="M528" s="66"/>
      <c r="N528" s="66"/>
    </row>
    <row r="529" spans="1:14" x14ac:dyDescent="0.2">
      <c r="A529" s="84"/>
      <c r="B529" s="84"/>
      <c r="C529" s="60"/>
      <c r="D529" s="66"/>
      <c r="E529" s="66"/>
      <c r="F529" s="66"/>
      <c r="G529" s="66"/>
      <c r="H529" s="66"/>
      <c r="I529" s="66"/>
      <c r="J529" s="66"/>
      <c r="K529" s="66"/>
      <c r="L529" s="66"/>
      <c r="M529" s="66"/>
      <c r="N529" s="66"/>
    </row>
    <row r="530" spans="1:14" x14ac:dyDescent="0.2">
      <c r="A530" s="84"/>
      <c r="B530" s="84"/>
      <c r="C530" s="60"/>
      <c r="D530" s="66"/>
      <c r="E530" s="66"/>
      <c r="F530" s="66"/>
      <c r="G530" s="66"/>
      <c r="H530" s="66"/>
      <c r="I530" s="66"/>
      <c r="J530" s="66"/>
      <c r="K530" s="66"/>
      <c r="L530" s="66"/>
      <c r="M530" s="66"/>
      <c r="N530" s="66"/>
    </row>
    <row r="531" spans="1:14" x14ac:dyDescent="0.2">
      <c r="A531" s="84"/>
      <c r="B531" s="84"/>
      <c r="C531" s="60"/>
      <c r="D531" s="66"/>
      <c r="E531" s="66"/>
      <c r="F531" s="66"/>
      <c r="G531" s="66"/>
      <c r="H531" s="66"/>
      <c r="I531" s="66"/>
      <c r="J531" s="66"/>
      <c r="K531" s="66"/>
      <c r="L531" s="66"/>
      <c r="M531" s="66"/>
      <c r="N531" s="66"/>
    </row>
    <row r="532" spans="1:14" x14ac:dyDescent="0.2">
      <c r="A532" s="84"/>
      <c r="B532" s="84"/>
      <c r="C532" s="60"/>
      <c r="D532" s="66"/>
      <c r="E532" s="66"/>
      <c r="F532" s="66"/>
      <c r="G532" s="66"/>
      <c r="H532" s="66"/>
      <c r="I532" s="66"/>
      <c r="J532" s="66"/>
      <c r="K532" s="66"/>
      <c r="L532" s="66"/>
      <c r="M532" s="66"/>
      <c r="N532" s="66"/>
    </row>
    <row r="533" spans="1:14" x14ac:dyDescent="0.2">
      <c r="A533" s="84"/>
      <c r="B533" s="84"/>
      <c r="C533" s="60"/>
      <c r="D533" s="66"/>
      <c r="E533" s="66"/>
      <c r="F533" s="66"/>
      <c r="G533" s="66"/>
      <c r="H533" s="66"/>
      <c r="I533" s="66"/>
      <c r="J533" s="66"/>
      <c r="K533" s="66"/>
      <c r="L533" s="66"/>
      <c r="M533" s="66"/>
      <c r="N533" s="66"/>
    </row>
    <row r="534" spans="1:14" x14ac:dyDescent="0.2">
      <c r="A534" s="84"/>
      <c r="B534" s="84"/>
      <c r="C534" s="60"/>
      <c r="D534" s="66"/>
      <c r="E534" s="66"/>
      <c r="F534" s="66"/>
      <c r="G534" s="66"/>
      <c r="H534" s="66"/>
      <c r="I534" s="66"/>
      <c r="J534" s="66"/>
      <c r="K534" s="66"/>
      <c r="L534" s="66"/>
      <c r="M534" s="66"/>
      <c r="N534" s="66"/>
    </row>
    <row r="535" spans="1:14" x14ac:dyDescent="0.2">
      <c r="A535" s="84"/>
      <c r="B535" s="84"/>
      <c r="C535" s="60"/>
      <c r="D535" s="66"/>
      <c r="E535" s="66"/>
      <c r="F535" s="66"/>
      <c r="G535" s="66"/>
      <c r="H535" s="66"/>
      <c r="I535" s="66"/>
      <c r="J535" s="66"/>
      <c r="K535" s="66"/>
      <c r="L535" s="66"/>
      <c r="M535" s="66"/>
      <c r="N535" s="66"/>
    </row>
    <row r="536" spans="1:14" x14ac:dyDescent="0.2">
      <c r="A536" s="84"/>
      <c r="B536" s="84"/>
      <c r="C536" s="60"/>
      <c r="D536" s="66"/>
      <c r="E536" s="66"/>
      <c r="F536" s="66"/>
      <c r="G536" s="66"/>
      <c r="H536" s="66"/>
      <c r="I536" s="66"/>
      <c r="J536" s="66"/>
      <c r="K536" s="66"/>
      <c r="L536" s="66"/>
      <c r="M536" s="66"/>
      <c r="N536" s="66"/>
    </row>
    <row r="537" spans="1:14" x14ac:dyDescent="0.2">
      <c r="A537" s="84"/>
      <c r="B537" s="84"/>
      <c r="C537" s="60"/>
      <c r="D537" s="66"/>
      <c r="E537" s="66"/>
      <c r="F537" s="66"/>
      <c r="G537" s="66"/>
      <c r="H537" s="66"/>
      <c r="I537" s="66"/>
      <c r="J537" s="66"/>
      <c r="K537" s="66"/>
      <c r="L537" s="66"/>
      <c r="M537" s="66"/>
      <c r="N537" s="66"/>
    </row>
    <row r="538" spans="1:14" x14ac:dyDescent="0.2">
      <c r="A538" s="84"/>
      <c r="B538" s="84"/>
      <c r="C538" s="60"/>
      <c r="D538" s="66"/>
      <c r="E538" s="66"/>
      <c r="F538" s="66"/>
      <c r="G538" s="66"/>
      <c r="H538" s="66"/>
      <c r="I538" s="66"/>
      <c r="J538" s="66"/>
      <c r="K538" s="66"/>
      <c r="L538" s="66"/>
      <c r="M538" s="66"/>
      <c r="N538" s="66"/>
    </row>
    <row r="539" spans="1:14" x14ac:dyDescent="0.2">
      <c r="A539" s="84"/>
      <c r="B539" s="84"/>
      <c r="C539" s="60"/>
      <c r="D539" s="66"/>
      <c r="E539" s="66"/>
      <c r="F539" s="66"/>
      <c r="G539" s="66"/>
      <c r="H539" s="66"/>
      <c r="I539" s="66"/>
      <c r="J539" s="66"/>
      <c r="K539" s="66"/>
      <c r="L539" s="66"/>
      <c r="M539" s="66"/>
      <c r="N539" s="66"/>
    </row>
    <row r="540" spans="1:14" x14ac:dyDescent="0.2">
      <c r="A540" s="84"/>
      <c r="B540" s="84"/>
      <c r="C540" s="60"/>
      <c r="D540" s="66"/>
      <c r="E540" s="66"/>
      <c r="F540" s="66"/>
      <c r="G540" s="66"/>
      <c r="H540" s="66"/>
      <c r="I540" s="66"/>
      <c r="J540" s="66"/>
      <c r="K540" s="66"/>
      <c r="L540" s="66"/>
      <c r="M540" s="66"/>
      <c r="N540" s="66"/>
    </row>
    <row r="541" spans="1:14" x14ac:dyDescent="0.2">
      <c r="A541" s="84"/>
      <c r="B541" s="84"/>
      <c r="C541" s="60"/>
      <c r="D541" s="66"/>
      <c r="E541" s="66"/>
      <c r="F541" s="66"/>
      <c r="G541" s="66"/>
      <c r="H541" s="66"/>
      <c r="I541" s="66"/>
      <c r="J541" s="66"/>
      <c r="K541" s="66"/>
      <c r="L541" s="66"/>
      <c r="M541" s="66"/>
      <c r="N541" s="66"/>
    </row>
    <row r="542" spans="1:14" x14ac:dyDescent="0.2">
      <c r="A542" s="84"/>
      <c r="B542" s="84"/>
      <c r="C542" s="60"/>
      <c r="D542" s="66"/>
      <c r="E542" s="66"/>
      <c r="F542" s="66"/>
      <c r="G542" s="66"/>
      <c r="H542" s="66"/>
      <c r="I542" s="66"/>
      <c r="J542" s="66"/>
      <c r="K542" s="66"/>
      <c r="L542" s="66"/>
      <c r="M542" s="66"/>
      <c r="N542" s="66"/>
    </row>
    <row r="543" spans="1:14" x14ac:dyDescent="0.2">
      <c r="A543" s="84"/>
      <c r="B543" s="84"/>
      <c r="C543" s="60"/>
      <c r="D543" s="66"/>
      <c r="E543" s="66"/>
      <c r="F543" s="66"/>
      <c r="G543" s="66"/>
      <c r="H543" s="66"/>
      <c r="I543" s="66"/>
      <c r="J543" s="66"/>
      <c r="K543" s="66"/>
      <c r="L543" s="66"/>
      <c r="M543" s="66"/>
      <c r="N543" s="66"/>
    </row>
    <row r="544" spans="1:14" x14ac:dyDescent="0.2">
      <c r="A544" s="84"/>
      <c r="B544" s="84"/>
      <c r="C544" s="60"/>
      <c r="D544" s="66"/>
      <c r="E544" s="66"/>
      <c r="F544" s="66"/>
      <c r="G544" s="66"/>
      <c r="H544" s="66"/>
      <c r="I544" s="66"/>
      <c r="J544" s="66"/>
      <c r="K544" s="66"/>
      <c r="L544" s="66"/>
      <c r="M544" s="66"/>
      <c r="N544" s="66"/>
    </row>
    <row r="545" spans="1:14" x14ac:dyDescent="0.2">
      <c r="A545" s="84"/>
      <c r="B545" s="84"/>
      <c r="C545" s="60"/>
      <c r="D545" s="66"/>
      <c r="E545" s="66"/>
      <c r="F545" s="66"/>
      <c r="G545" s="66"/>
      <c r="H545" s="66"/>
      <c r="I545" s="66"/>
      <c r="J545" s="66"/>
      <c r="K545" s="66"/>
      <c r="L545" s="66"/>
      <c r="M545" s="66"/>
      <c r="N545" s="66"/>
    </row>
    <row r="546" spans="1:14" x14ac:dyDescent="0.2">
      <c r="A546" s="84"/>
      <c r="B546" s="84"/>
      <c r="C546" s="60"/>
      <c r="D546" s="66"/>
      <c r="E546" s="66"/>
      <c r="F546" s="66"/>
      <c r="G546" s="66"/>
      <c r="H546" s="66"/>
      <c r="I546" s="66"/>
      <c r="J546" s="66"/>
      <c r="K546" s="66"/>
      <c r="L546" s="66"/>
      <c r="M546" s="66"/>
      <c r="N546" s="66"/>
    </row>
    <row r="547" spans="1:14" x14ac:dyDescent="0.2">
      <c r="A547" s="84"/>
      <c r="B547" s="84"/>
      <c r="C547" s="60"/>
      <c r="D547" s="66"/>
      <c r="E547" s="66"/>
      <c r="F547" s="66"/>
      <c r="G547" s="66"/>
      <c r="H547" s="66"/>
      <c r="I547" s="66"/>
      <c r="J547" s="66"/>
      <c r="K547" s="66"/>
      <c r="L547" s="66"/>
      <c r="M547" s="66"/>
      <c r="N547" s="66"/>
    </row>
    <row r="548" spans="1:14" x14ac:dyDescent="0.2">
      <c r="A548" s="84"/>
      <c r="B548" s="84"/>
      <c r="C548" s="60"/>
      <c r="D548" s="66"/>
      <c r="E548" s="66"/>
      <c r="F548" s="66"/>
      <c r="G548" s="66"/>
      <c r="H548" s="66"/>
      <c r="I548" s="66"/>
      <c r="J548" s="66"/>
      <c r="K548" s="66"/>
      <c r="L548" s="66"/>
      <c r="M548" s="66"/>
      <c r="N548" s="66"/>
    </row>
    <row r="549" spans="1:14" x14ac:dyDescent="0.2">
      <c r="A549" s="84"/>
      <c r="B549" s="84"/>
      <c r="C549" s="60"/>
      <c r="D549" s="66"/>
      <c r="E549" s="66"/>
      <c r="F549" s="66"/>
      <c r="G549" s="66"/>
      <c r="H549" s="66"/>
      <c r="I549" s="66"/>
      <c r="J549" s="66"/>
      <c r="K549" s="66"/>
      <c r="L549" s="66"/>
      <c r="M549" s="66"/>
      <c r="N549" s="66"/>
    </row>
    <row r="550" spans="1:14" x14ac:dyDescent="0.2">
      <c r="A550" s="84"/>
      <c r="B550" s="84"/>
      <c r="C550" s="60"/>
      <c r="D550" s="66"/>
      <c r="E550" s="66"/>
      <c r="F550" s="66"/>
      <c r="G550" s="66"/>
      <c r="H550" s="66"/>
      <c r="I550" s="66"/>
      <c r="J550" s="66"/>
      <c r="K550" s="66"/>
      <c r="L550" s="66"/>
      <c r="M550" s="66"/>
      <c r="N550" s="66"/>
    </row>
    <row r="551" spans="1:14" x14ac:dyDescent="0.2">
      <c r="A551" s="84"/>
      <c r="B551" s="84"/>
      <c r="C551" s="60"/>
      <c r="D551" s="66"/>
      <c r="E551" s="66"/>
      <c r="F551" s="66"/>
      <c r="G551" s="66"/>
      <c r="H551" s="66"/>
      <c r="I551" s="66"/>
      <c r="J551" s="66"/>
      <c r="K551" s="66"/>
      <c r="L551" s="66"/>
      <c r="M551" s="66"/>
      <c r="N551" s="66"/>
    </row>
    <row r="552" spans="1:14" x14ac:dyDescent="0.2">
      <c r="A552" s="84"/>
      <c r="B552" s="84"/>
      <c r="C552" s="60"/>
      <c r="D552" s="66"/>
      <c r="E552" s="66"/>
      <c r="F552" s="66"/>
      <c r="G552" s="66"/>
      <c r="H552" s="66"/>
      <c r="I552" s="66"/>
      <c r="J552" s="66"/>
      <c r="K552" s="66"/>
      <c r="L552" s="66"/>
      <c r="M552" s="66"/>
      <c r="N552" s="66"/>
    </row>
    <row r="553" spans="1:14" x14ac:dyDescent="0.2">
      <c r="A553" s="84"/>
      <c r="B553" s="84"/>
      <c r="C553" s="60"/>
      <c r="D553" s="66"/>
      <c r="E553" s="66"/>
      <c r="F553" s="66"/>
      <c r="G553" s="66"/>
      <c r="H553" s="66"/>
      <c r="I553" s="66"/>
      <c r="J553" s="66"/>
      <c r="K553" s="66"/>
      <c r="L553" s="66"/>
      <c r="M553" s="66"/>
      <c r="N553" s="66"/>
    </row>
    <row r="554" spans="1:14" x14ac:dyDescent="0.2">
      <c r="A554" s="84"/>
      <c r="B554" s="84"/>
      <c r="C554" s="60"/>
      <c r="D554" s="66"/>
      <c r="E554" s="66"/>
      <c r="F554" s="66"/>
      <c r="G554" s="66"/>
      <c r="H554" s="66"/>
      <c r="I554" s="66"/>
      <c r="J554" s="66"/>
      <c r="K554" s="66"/>
      <c r="L554" s="66"/>
      <c r="M554" s="66"/>
      <c r="N554" s="66"/>
    </row>
    <row r="555" spans="1:14" x14ac:dyDescent="0.2">
      <c r="A555" s="84"/>
      <c r="B555" s="84"/>
      <c r="C555" s="60"/>
      <c r="D555" s="66"/>
      <c r="E555" s="66"/>
      <c r="F555" s="66"/>
      <c r="G555" s="66"/>
      <c r="H555" s="66"/>
      <c r="I555" s="66"/>
      <c r="J555" s="66"/>
      <c r="K555" s="66"/>
      <c r="L555" s="66"/>
      <c r="M555" s="66"/>
      <c r="N555" s="66"/>
    </row>
    <row r="556" spans="1:14" x14ac:dyDescent="0.2">
      <c r="A556" s="84"/>
      <c r="B556" s="84"/>
      <c r="C556" s="60"/>
      <c r="D556" s="66"/>
      <c r="E556" s="66"/>
      <c r="F556" s="66"/>
      <c r="G556" s="66"/>
      <c r="H556" s="66"/>
      <c r="I556" s="66"/>
      <c r="J556" s="66"/>
      <c r="K556" s="66"/>
      <c r="L556" s="66"/>
      <c r="M556" s="66"/>
      <c r="N556" s="66"/>
    </row>
    <row r="557" spans="1:14" x14ac:dyDescent="0.2">
      <c r="A557" s="84"/>
      <c r="B557" s="84"/>
      <c r="C557" s="60"/>
      <c r="D557" s="66"/>
      <c r="E557" s="66"/>
      <c r="F557" s="66"/>
      <c r="G557" s="66"/>
      <c r="H557" s="66"/>
      <c r="I557" s="66"/>
      <c r="J557" s="66"/>
      <c r="K557" s="66"/>
      <c r="L557" s="66"/>
      <c r="M557" s="66"/>
      <c r="N557" s="66"/>
    </row>
    <row r="558" spans="1:14" x14ac:dyDescent="0.2">
      <c r="A558" s="84"/>
      <c r="B558" s="84"/>
      <c r="C558" s="60"/>
      <c r="D558" s="66"/>
      <c r="E558" s="66"/>
      <c r="F558" s="66"/>
      <c r="G558" s="66"/>
      <c r="H558" s="66"/>
      <c r="I558" s="66"/>
      <c r="J558" s="66"/>
      <c r="K558" s="66"/>
      <c r="L558" s="66"/>
      <c r="M558" s="66"/>
      <c r="N558" s="66"/>
    </row>
    <row r="559" spans="1:14" x14ac:dyDescent="0.2">
      <c r="A559" s="84"/>
      <c r="B559" s="84"/>
      <c r="C559" s="60"/>
      <c r="D559" s="66"/>
      <c r="E559" s="66"/>
      <c r="F559" s="66"/>
      <c r="G559" s="66"/>
      <c r="H559" s="66"/>
      <c r="I559" s="66"/>
      <c r="J559" s="66"/>
      <c r="K559" s="66"/>
      <c r="L559" s="66"/>
      <c r="M559" s="66"/>
      <c r="N559" s="66"/>
    </row>
    <row r="560" spans="1:14" x14ac:dyDescent="0.2">
      <c r="A560" s="84"/>
      <c r="B560" s="84"/>
      <c r="C560" s="60"/>
      <c r="D560" s="66"/>
      <c r="E560" s="66"/>
      <c r="F560" s="66"/>
      <c r="G560" s="66"/>
      <c r="H560" s="66"/>
      <c r="I560" s="66"/>
      <c r="J560" s="66"/>
      <c r="K560" s="66"/>
      <c r="L560" s="66"/>
      <c r="M560" s="66"/>
      <c r="N560" s="66"/>
    </row>
    <row r="561" spans="1:14" x14ac:dyDescent="0.2">
      <c r="A561" s="84"/>
      <c r="B561" s="84"/>
      <c r="C561" s="60"/>
      <c r="D561" s="66"/>
      <c r="E561" s="66"/>
      <c r="F561" s="66"/>
      <c r="G561" s="66"/>
      <c r="H561" s="66"/>
      <c r="I561" s="66"/>
      <c r="J561" s="66"/>
      <c r="K561" s="66"/>
      <c r="L561" s="66"/>
      <c r="M561" s="66"/>
      <c r="N561" s="66"/>
    </row>
    <row r="562" spans="1:14" x14ac:dyDescent="0.2">
      <c r="A562" s="84"/>
      <c r="B562" s="84"/>
      <c r="C562" s="60"/>
      <c r="D562" s="66"/>
      <c r="E562" s="66"/>
      <c r="F562" s="66"/>
      <c r="G562" s="66"/>
      <c r="H562" s="66"/>
      <c r="I562" s="66"/>
      <c r="J562" s="66"/>
      <c r="K562" s="66"/>
      <c r="L562" s="66"/>
      <c r="M562" s="66"/>
      <c r="N562" s="66"/>
    </row>
    <row r="563" spans="1:14" x14ac:dyDescent="0.2">
      <c r="A563" s="84"/>
      <c r="B563" s="84"/>
      <c r="C563" s="60"/>
      <c r="D563" s="66"/>
      <c r="E563" s="66"/>
      <c r="F563" s="66"/>
      <c r="G563" s="66"/>
      <c r="H563" s="66"/>
      <c r="I563" s="66"/>
      <c r="J563" s="66"/>
      <c r="K563" s="66"/>
      <c r="L563" s="66"/>
      <c r="M563" s="66"/>
      <c r="N563" s="66"/>
    </row>
    <row r="564" spans="1:14" x14ac:dyDescent="0.2">
      <c r="A564" s="84"/>
      <c r="B564" s="84"/>
      <c r="C564" s="60"/>
      <c r="D564" s="66"/>
      <c r="E564" s="66"/>
      <c r="F564" s="66"/>
      <c r="G564" s="66"/>
      <c r="H564" s="66"/>
      <c r="I564" s="66"/>
      <c r="J564" s="66"/>
      <c r="K564" s="66"/>
      <c r="L564" s="66"/>
      <c r="M564" s="66"/>
      <c r="N564" s="66"/>
    </row>
    <row r="565" spans="1:14" x14ac:dyDescent="0.2">
      <c r="A565" s="84"/>
      <c r="B565" s="84"/>
      <c r="C565" s="60"/>
      <c r="D565" s="66"/>
      <c r="E565" s="66"/>
      <c r="F565" s="66"/>
      <c r="G565" s="66"/>
      <c r="H565" s="66"/>
      <c r="I565" s="66"/>
      <c r="J565" s="66"/>
      <c r="K565" s="66"/>
      <c r="L565" s="66"/>
      <c r="M565" s="66"/>
      <c r="N565" s="66"/>
    </row>
    <row r="566" spans="1:14" x14ac:dyDescent="0.2">
      <c r="A566" s="84"/>
      <c r="B566" s="84"/>
      <c r="C566" s="60"/>
      <c r="D566" s="66"/>
      <c r="E566" s="66"/>
      <c r="F566" s="66"/>
      <c r="G566" s="66"/>
      <c r="H566" s="66"/>
      <c r="I566" s="66"/>
      <c r="J566" s="66"/>
      <c r="K566" s="66"/>
      <c r="L566" s="66"/>
      <c r="M566" s="66"/>
      <c r="N566" s="66"/>
    </row>
    <row r="567" spans="1:14" x14ac:dyDescent="0.2">
      <c r="A567" s="84"/>
      <c r="B567" s="84"/>
      <c r="C567" s="60"/>
      <c r="D567" s="66"/>
      <c r="E567" s="66"/>
      <c r="F567" s="66"/>
      <c r="G567" s="66"/>
      <c r="H567" s="66"/>
      <c r="I567" s="66"/>
      <c r="J567" s="66"/>
      <c r="K567" s="66"/>
      <c r="L567" s="66"/>
      <c r="M567" s="66"/>
      <c r="N567" s="66"/>
    </row>
    <row r="568" spans="1:14" x14ac:dyDescent="0.2">
      <c r="A568" s="84"/>
      <c r="B568" s="84"/>
      <c r="C568" s="60"/>
      <c r="D568" s="66"/>
      <c r="E568" s="66"/>
      <c r="F568" s="66"/>
      <c r="G568" s="66"/>
      <c r="H568" s="66"/>
      <c r="I568" s="66"/>
      <c r="J568" s="66"/>
      <c r="K568" s="66"/>
      <c r="L568" s="66"/>
      <c r="M568" s="66"/>
      <c r="N568" s="66"/>
    </row>
    <row r="569" spans="1:14" x14ac:dyDescent="0.2">
      <c r="A569" s="84"/>
      <c r="B569" s="84"/>
      <c r="C569" s="60"/>
      <c r="D569" s="66"/>
      <c r="E569" s="66"/>
      <c r="F569" s="66"/>
      <c r="G569" s="66"/>
      <c r="H569" s="66"/>
      <c r="I569" s="66"/>
      <c r="J569" s="66"/>
      <c r="K569" s="66"/>
      <c r="L569" s="66"/>
      <c r="M569" s="66"/>
      <c r="N569" s="66"/>
    </row>
    <row r="570" spans="1:14" x14ac:dyDescent="0.2">
      <c r="A570" s="84"/>
      <c r="B570" s="84"/>
      <c r="C570" s="60"/>
      <c r="D570" s="66"/>
      <c r="E570" s="66"/>
      <c r="F570" s="66"/>
      <c r="G570" s="66"/>
      <c r="H570" s="66"/>
      <c r="I570" s="66"/>
      <c r="J570" s="66"/>
      <c r="K570" s="66"/>
      <c r="L570" s="66"/>
      <c r="M570" s="66"/>
      <c r="N570" s="66"/>
    </row>
    <row r="571" spans="1:14" x14ac:dyDescent="0.2">
      <c r="A571" s="84"/>
      <c r="B571" s="84"/>
      <c r="C571" s="60"/>
      <c r="D571" s="66"/>
      <c r="E571" s="66"/>
      <c r="F571" s="66"/>
      <c r="G571" s="66"/>
      <c r="H571" s="66"/>
      <c r="I571" s="66"/>
      <c r="J571" s="66"/>
      <c r="K571" s="66"/>
      <c r="L571" s="66"/>
      <c r="M571" s="66"/>
      <c r="N571" s="66"/>
    </row>
    <row r="572" spans="1:14" x14ac:dyDescent="0.2">
      <c r="A572" s="84"/>
      <c r="B572" s="84"/>
      <c r="C572" s="60"/>
      <c r="D572" s="66"/>
      <c r="E572" s="66"/>
      <c r="F572" s="66"/>
      <c r="G572" s="66"/>
      <c r="H572" s="66"/>
      <c r="I572" s="66"/>
      <c r="J572" s="66"/>
      <c r="K572" s="66"/>
      <c r="L572" s="66"/>
      <c r="M572" s="66"/>
      <c r="N572" s="66"/>
    </row>
    <row r="573" spans="1:14" x14ac:dyDescent="0.2">
      <c r="A573" s="84"/>
      <c r="B573" s="84"/>
      <c r="C573" s="60"/>
      <c r="D573" s="66"/>
      <c r="E573" s="66"/>
      <c r="F573" s="66"/>
      <c r="G573" s="66"/>
      <c r="H573" s="66"/>
      <c r="I573" s="66"/>
      <c r="J573" s="66"/>
      <c r="K573" s="66"/>
      <c r="L573" s="66"/>
      <c r="M573" s="66"/>
      <c r="N573" s="66"/>
    </row>
    <row r="574" spans="1:14" x14ac:dyDescent="0.2">
      <c r="A574" s="84"/>
      <c r="B574" s="84"/>
      <c r="C574" s="60"/>
      <c r="D574" s="66"/>
      <c r="E574" s="66"/>
      <c r="F574" s="66"/>
      <c r="G574" s="66"/>
      <c r="H574" s="66"/>
      <c r="I574" s="66"/>
      <c r="J574" s="66"/>
      <c r="K574" s="66"/>
      <c r="L574" s="66"/>
      <c r="M574" s="66"/>
      <c r="N574" s="66"/>
    </row>
    <row r="575" spans="1:14" x14ac:dyDescent="0.2">
      <c r="A575" s="84"/>
      <c r="B575" s="84"/>
      <c r="C575" s="60"/>
      <c r="D575" s="66"/>
      <c r="E575" s="66"/>
      <c r="F575" s="66"/>
      <c r="G575" s="66"/>
      <c r="H575" s="66"/>
      <c r="I575" s="66"/>
      <c r="J575" s="66"/>
      <c r="K575" s="66"/>
      <c r="L575" s="66"/>
      <c r="M575" s="66"/>
      <c r="N575" s="66"/>
    </row>
    <row r="576" spans="1:14" x14ac:dyDescent="0.2">
      <c r="A576" s="84"/>
      <c r="B576" s="84"/>
      <c r="C576" s="60"/>
      <c r="D576" s="66"/>
      <c r="E576" s="66"/>
      <c r="F576" s="66"/>
      <c r="G576" s="66"/>
      <c r="H576" s="66"/>
      <c r="I576" s="66"/>
      <c r="J576" s="66"/>
      <c r="K576" s="66"/>
      <c r="L576" s="66"/>
      <c r="M576" s="66"/>
      <c r="N576" s="66"/>
    </row>
    <row r="577" spans="1:14" x14ac:dyDescent="0.2">
      <c r="A577" s="84"/>
      <c r="B577" s="84"/>
      <c r="C577" s="60"/>
      <c r="D577" s="66"/>
      <c r="E577" s="66"/>
      <c r="F577" s="66"/>
      <c r="G577" s="66"/>
      <c r="H577" s="66"/>
      <c r="I577" s="66"/>
      <c r="J577" s="66"/>
      <c r="K577" s="66"/>
      <c r="L577" s="66"/>
      <c r="M577" s="66"/>
      <c r="N577" s="66"/>
    </row>
    <row r="578" spans="1:14" x14ac:dyDescent="0.2">
      <c r="A578" s="84"/>
      <c r="B578" s="84"/>
      <c r="C578" s="60"/>
      <c r="D578" s="66"/>
      <c r="E578" s="66"/>
      <c r="F578" s="66"/>
      <c r="G578" s="66"/>
      <c r="H578" s="66"/>
      <c r="I578" s="66"/>
      <c r="J578" s="66"/>
      <c r="K578" s="66"/>
      <c r="L578" s="66"/>
      <c r="M578" s="66"/>
      <c r="N578" s="66"/>
    </row>
    <row r="579" spans="1:14" x14ac:dyDescent="0.2">
      <c r="A579" s="84"/>
      <c r="B579" s="84"/>
      <c r="C579" s="60"/>
      <c r="D579" s="66"/>
      <c r="E579" s="66"/>
      <c r="F579" s="66"/>
      <c r="G579" s="66"/>
      <c r="H579" s="66"/>
      <c r="I579" s="66"/>
      <c r="J579" s="66"/>
      <c r="K579" s="66"/>
      <c r="L579" s="66"/>
      <c r="M579" s="66"/>
      <c r="N579" s="66"/>
    </row>
    <row r="580" spans="1:14" x14ac:dyDescent="0.2">
      <c r="A580" s="84"/>
      <c r="B580" s="84"/>
      <c r="C580" s="60"/>
      <c r="D580" s="66"/>
      <c r="E580" s="66"/>
      <c r="F580" s="66"/>
      <c r="G580" s="66"/>
      <c r="H580" s="66"/>
      <c r="I580" s="66"/>
      <c r="J580" s="66"/>
      <c r="K580" s="66"/>
      <c r="L580" s="66"/>
      <c r="M580" s="66"/>
      <c r="N580" s="66"/>
    </row>
    <row r="581" spans="1:14" x14ac:dyDescent="0.2">
      <c r="A581" s="84"/>
      <c r="B581" s="84"/>
      <c r="C581" s="60"/>
      <c r="D581" s="66"/>
      <c r="E581" s="66"/>
      <c r="F581" s="66"/>
      <c r="G581" s="66"/>
      <c r="H581" s="66"/>
      <c r="I581" s="66"/>
      <c r="J581" s="66"/>
      <c r="K581" s="66"/>
      <c r="L581" s="66"/>
      <c r="M581" s="66"/>
      <c r="N581" s="66"/>
    </row>
    <row r="582" spans="1:14" x14ac:dyDescent="0.2">
      <c r="A582" s="84"/>
      <c r="B582" s="84"/>
      <c r="C582" s="60"/>
      <c r="D582" s="66"/>
      <c r="E582" s="66"/>
      <c r="F582" s="66"/>
      <c r="G582" s="66"/>
      <c r="H582" s="66"/>
      <c r="I582" s="66"/>
      <c r="J582" s="66"/>
      <c r="K582" s="66"/>
      <c r="L582" s="66"/>
      <c r="M582" s="66"/>
      <c r="N582" s="66"/>
    </row>
    <row r="583" spans="1:14" x14ac:dyDescent="0.2">
      <c r="A583" s="84"/>
      <c r="B583" s="84"/>
      <c r="C583" s="60"/>
      <c r="D583" s="66"/>
      <c r="E583" s="66"/>
      <c r="F583" s="66"/>
      <c r="G583" s="66"/>
      <c r="H583" s="66"/>
      <c r="I583" s="66"/>
      <c r="J583" s="66"/>
      <c r="K583" s="66"/>
      <c r="L583" s="66"/>
      <c r="M583" s="66"/>
      <c r="N583" s="66"/>
    </row>
    <row r="584" spans="1:14" x14ac:dyDescent="0.2">
      <c r="A584" s="84"/>
      <c r="B584" s="84"/>
      <c r="C584" s="60"/>
      <c r="D584" s="66"/>
      <c r="E584" s="66"/>
      <c r="F584" s="66"/>
      <c r="G584" s="66"/>
      <c r="H584" s="66"/>
      <c r="I584" s="66"/>
      <c r="J584" s="66"/>
      <c r="K584" s="66"/>
      <c r="L584" s="66"/>
      <c r="M584" s="66"/>
      <c r="N584" s="66"/>
    </row>
    <row r="585" spans="1:14" x14ac:dyDescent="0.2">
      <c r="A585" s="84"/>
      <c r="B585" s="84"/>
      <c r="C585" s="60"/>
      <c r="D585" s="66"/>
      <c r="E585" s="66"/>
      <c r="F585" s="66"/>
      <c r="G585" s="66"/>
      <c r="H585" s="66"/>
      <c r="I585" s="66"/>
      <c r="J585" s="66"/>
      <c r="K585" s="66"/>
      <c r="L585" s="66"/>
      <c r="M585" s="66"/>
      <c r="N585" s="66"/>
    </row>
    <row r="586" spans="1:14" x14ac:dyDescent="0.2">
      <c r="A586" s="84"/>
      <c r="B586" s="84"/>
      <c r="C586" s="60"/>
      <c r="D586" s="66"/>
      <c r="E586" s="66"/>
      <c r="F586" s="66"/>
      <c r="G586" s="66"/>
      <c r="H586" s="66"/>
      <c r="I586" s="66"/>
      <c r="J586" s="66"/>
      <c r="K586" s="66"/>
      <c r="L586" s="66"/>
      <c r="M586" s="66"/>
      <c r="N586" s="66"/>
    </row>
    <row r="587" spans="1:14" x14ac:dyDescent="0.2">
      <c r="A587" s="84"/>
      <c r="B587" s="84"/>
      <c r="C587" s="60"/>
      <c r="D587" s="66"/>
      <c r="E587" s="66"/>
      <c r="F587" s="66"/>
      <c r="G587" s="66"/>
      <c r="H587" s="66"/>
      <c r="I587" s="66"/>
      <c r="J587" s="66"/>
      <c r="K587" s="66"/>
      <c r="L587" s="66"/>
      <c r="M587" s="66"/>
      <c r="N587" s="66"/>
    </row>
    <row r="588" spans="1:14" x14ac:dyDescent="0.2">
      <c r="A588" s="84"/>
      <c r="B588" s="84"/>
      <c r="C588" s="60"/>
      <c r="D588" s="66"/>
      <c r="E588" s="66"/>
      <c r="F588" s="66"/>
      <c r="G588" s="66"/>
      <c r="H588" s="66"/>
      <c r="I588" s="66"/>
      <c r="J588" s="66"/>
      <c r="K588" s="66"/>
      <c r="L588" s="66"/>
      <c r="M588" s="66"/>
      <c r="N588" s="66"/>
    </row>
    <row r="589" spans="1:14" x14ac:dyDescent="0.2">
      <c r="A589" s="84"/>
      <c r="B589" s="84"/>
      <c r="C589" s="60"/>
      <c r="D589" s="66"/>
      <c r="E589" s="66"/>
      <c r="F589" s="66"/>
      <c r="G589" s="66"/>
      <c r="H589" s="66"/>
      <c r="I589" s="66"/>
      <c r="J589" s="66"/>
      <c r="K589" s="66"/>
      <c r="L589" s="66"/>
      <c r="M589" s="66"/>
      <c r="N589" s="66"/>
    </row>
    <row r="590" spans="1:14" x14ac:dyDescent="0.2">
      <c r="A590" s="84"/>
      <c r="B590" s="84"/>
      <c r="C590" s="60"/>
      <c r="D590" s="66"/>
      <c r="E590" s="66"/>
      <c r="F590" s="66"/>
      <c r="G590" s="66"/>
      <c r="H590" s="66"/>
      <c r="I590" s="66"/>
      <c r="J590" s="66"/>
      <c r="K590" s="66"/>
      <c r="L590" s="66"/>
      <c r="M590" s="66"/>
      <c r="N590" s="66"/>
    </row>
    <row r="591" spans="1:14" x14ac:dyDescent="0.2">
      <c r="A591" s="84"/>
      <c r="B591" s="84"/>
      <c r="C591" s="60"/>
      <c r="D591" s="66"/>
      <c r="E591" s="66"/>
      <c r="F591" s="66"/>
      <c r="G591" s="66"/>
      <c r="H591" s="66"/>
      <c r="I591" s="66"/>
      <c r="J591" s="66"/>
      <c r="K591" s="66"/>
      <c r="L591" s="66"/>
      <c r="M591" s="66"/>
      <c r="N591" s="66"/>
    </row>
    <row r="592" spans="1:14" x14ac:dyDescent="0.2">
      <c r="A592" s="84"/>
      <c r="B592" s="84"/>
      <c r="C592" s="60"/>
      <c r="D592" s="66"/>
      <c r="E592" s="66"/>
      <c r="F592" s="66"/>
      <c r="G592" s="66"/>
      <c r="H592" s="66"/>
      <c r="I592" s="66"/>
      <c r="J592" s="66"/>
      <c r="K592" s="66"/>
      <c r="L592" s="66"/>
      <c r="M592" s="66"/>
      <c r="N592" s="66"/>
    </row>
    <row r="593" spans="1:14" x14ac:dyDescent="0.2">
      <c r="A593" s="84"/>
      <c r="B593" s="84"/>
      <c r="C593" s="60"/>
      <c r="D593" s="66"/>
      <c r="E593" s="66"/>
      <c r="F593" s="66"/>
      <c r="G593" s="66"/>
      <c r="H593" s="66"/>
      <c r="I593" s="66"/>
      <c r="J593" s="66"/>
      <c r="K593" s="66"/>
      <c r="L593" s="66"/>
      <c r="M593" s="66"/>
      <c r="N593" s="66"/>
    </row>
    <row r="594" spans="1:14" x14ac:dyDescent="0.2">
      <c r="A594" s="84"/>
      <c r="B594" s="84"/>
      <c r="C594" s="60"/>
      <c r="D594" s="66"/>
      <c r="E594" s="66"/>
      <c r="F594" s="66"/>
      <c r="G594" s="66"/>
      <c r="H594" s="66"/>
      <c r="I594" s="66"/>
      <c r="J594" s="66"/>
      <c r="K594" s="66"/>
      <c r="L594" s="66"/>
      <c r="M594" s="66"/>
      <c r="N594" s="66"/>
    </row>
    <row r="595" spans="1:14" x14ac:dyDescent="0.2">
      <c r="A595" s="84"/>
      <c r="B595" s="84"/>
      <c r="C595" s="60"/>
      <c r="D595" s="66"/>
      <c r="E595" s="66"/>
      <c r="F595" s="66"/>
      <c r="G595" s="66"/>
      <c r="H595" s="66"/>
      <c r="I595" s="66"/>
      <c r="J595" s="66"/>
      <c r="K595" s="66"/>
      <c r="L595" s="66"/>
      <c r="M595" s="66"/>
      <c r="N595" s="66"/>
    </row>
    <row r="596" spans="1:14" x14ac:dyDescent="0.2">
      <c r="A596" s="84"/>
      <c r="B596" s="84"/>
      <c r="C596" s="60"/>
      <c r="D596" s="66"/>
      <c r="E596" s="66"/>
      <c r="F596" s="66"/>
      <c r="G596" s="66"/>
      <c r="H596" s="66"/>
      <c r="I596" s="66"/>
      <c r="J596" s="66"/>
      <c r="K596" s="66"/>
      <c r="L596" s="66"/>
      <c r="M596" s="66"/>
      <c r="N596" s="66"/>
    </row>
    <row r="597" spans="1:14" x14ac:dyDescent="0.2">
      <c r="A597" s="84"/>
      <c r="B597" s="84"/>
      <c r="C597" s="60"/>
      <c r="D597" s="66"/>
      <c r="E597" s="66"/>
      <c r="F597" s="66"/>
      <c r="G597" s="66"/>
      <c r="H597" s="66"/>
      <c r="I597" s="66"/>
      <c r="J597" s="66"/>
      <c r="K597" s="66"/>
      <c r="L597" s="66"/>
      <c r="M597" s="66"/>
      <c r="N597" s="66"/>
    </row>
    <row r="598" spans="1:14" x14ac:dyDescent="0.2">
      <c r="A598" s="84"/>
      <c r="B598" s="84"/>
      <c r="C598" s="60"/>
      <c r="D598" s="66"/>
      <c r="E598" s="66"/>
      <c r="F598" s="66"/>
      <c r="G598" s="66"/>
      <c r="H598" s="66"/>
      <c r="I598" s="66"/>
      <c r="J598" s="66"/>
      <c r="K598" s="66"/>
      <c r="L598" s="66"/>
      <c r="M598" s="66"/>
      <c r="N598" s="66"/>
    </row>
    <row r="599" spans="1:14" x14ac:dyDescent="0.2">
      <c r="A599" s="84"/>
      <c r="B599" s="84"/>
      <c r="C599" s="60"/>
      <c r="D599" s="66"/>
      <c r="E599" s="66"/>
      <c r="F599" s="66"/>
      <c r="G599" s="66"/>
      <c r="H599" s="66"/>
      <c r="I599" s="66"/>
      <c r="J599" s="66"/>
      <c r="K599" s="66"/>
      <c r="L599" s="66"/>
      <c r="M599" s="66"/>
      <c r="N599" s="66"/>
    </row>
    <row r="600" spans="1:14" x14ac:dyDescent="0.2">
      <c r="A600" s="84"/>
      <c r="B600" s="84"/>
      <c r="C600" s="60"/>
      <c r="D600" s="66"/>
      <c r="E600" s="66"/>
      <c r="F600" s="66"/>
      <c r="G600" s="66"/>
      <c r="H600" s="66"/>
      <c r="I600" s="66"/>
      <c r="J600" s="66"/>
      <c r="K600" s="66"/>
      <c r="L600" s="66"/>
      <c r="M600" s="66"/>
      <c r="N600" s="66"/>
    </row>
    <row r="601" spans="1:14" x14ac:dyDescent="0.2">
      <c r="A601" s="84"/>
      <c r="B601" s="84"/>
      <c r="C601" s="60"/>
      <c r="D601" s="66"/>
      <c r="E601" s="66"/>
      <c r="F601" s="66"/>
      <c r="G601" s="66"/>
      <c r="H601" s="66"/>
      <c r="I601" s="66"/>
      <c r="J601" s="66"/>
      <c r="K601" s="66"/>
      <c r="L601" s="66"/>
      <c r="M601" s="66"/>
      <c r="N601" s="66"/>
    </row>
    <row r="602" spans="1:14" x14ac:dyDescent="0.2">
      <c r="A602" s="84"/>
      <c r="B602" s="84"/>
      <c r="C602" s="60"/>
      <c r="D602" s="66"/>
      <c r="E602" s="66"/>
      <c r="F602" s="66"/>
      <c r="G602" s="66"/>
      <c r="H602" s="66"/>
      <c r="I602" s="66"/>
      <c r="J602" s="66"/>
      <c r="K602" s="66"/>
      <c r="L602" s="66"/>
      <c r="M602" s="66"/>
      <c r="N602" s="66"/>
    </row>
    <row r="603" spans="1:14" x14ac:dyDescent="0.2">
      <c r="A603" s="84"/>
      <c r="B603" s="84"/>
      <c r="C603" s="60"/>
      <c r="D603" s="66"/>
      <c r="E603" s="66"/>
      <c r="F603" s="66"/>
      <c r="G603" s="66"/>
      <c r="H603" s="66"/>
      <c r="I603" s="66"/>
      <c r="J603" s="66"/>
      <c r="K603" s="66"/>
      <c r="L603" s="66"/>
      <c r="M603" s="66"/>
      <c r="N603" s="66"/>
    </row>
    <row r="604" spans="1:14" x14ac:dyDescent="0.2">
      <c r="A604" s="84"/>
      <c r="B604" s="84"/>
      <c r="C604" s="60"/>
      <c r="D604" s="66"/>
      <c r="E604" s="66"/>
      <c r="F604" s="66"/>
      <c r="G604" s="66"/>
      <c r="H604" s="66"/>
      <c r="I604" s="66"/>
      <c r="J604" s="66"/>
      <c r="K604" s="66"/>
      <c r="L604" s="66"/>
      <c r="M604" s="66"/>
      <c r="N604" s="66"/>
    </row>
    <row r="605" spans="1:14" x14ac:dyDescent="0.2">
      <c r="A605" s="84"/>
      <c r="B605" s="84"/>
      <c r="C605" s="60"/>
      <c r="D605" s="66"/>
      <c r="E605" s="66"/>
      <c r="F605" s="66"/>
      <c r="G605" s="66"/>
      <c r="H605" s="66"/>
      <c r="I605" s="66"/>
      <c r="J605" s="66"/>
      <c r="K605" s="66"/>
      <c r="L605" s="66"/>
      <c r="M605" s="66"/>
      <c r="N605" s="66"/>
    </row>
    <row r="606" spans="1:14" x14ac:dyDescent="0.2">
      <c r="A606" s="84"/>
      <c r="B606" s="84"/>
      <c r="C606" s="60"/>
      <c r="D606" s="66"/>
      <c r="E606" s="66"/>
      <c r="F606" s="66"/>
      <c r="G606" s="66"/>
      <c r="H606" s="66"/>
      <c r="I606" s="66"/>
      <c r="J606" s="66"/>
      <c r="K606" s="66"/>
      <c r="L606" s="66"/>
      <c r="M606" s="66"/>
      <c r="N606" s="66"/>
    </row>
    <row r="607" spans="1:14" x14ac:dyDescent="0.2">
      <c r="A607" s="84"/>
      <c r="B607" s="84"/>
      <c r="C607" s="60"/>
      <c r="D607" s="66"/>
      <c r="E607" s="66"/>
      <c r="F607" s="66"/>
      <c r="G607" s="66"/>
      <c r="H607" s="66"/>
      <c r="I607" s="66"/>
      <c r="J607" s="66"/>
      <c r="K607" s="66"/>
      <c r="L607" s="66"/>
      <c r="M607" s="66"/>
      <c r="N607" s="66"/>
    </row>
    <row r="608" spans="1:14" x14ac:dyDescent="0.2">
      <c r="A608" s="84"/>
      <c r="B608" s="84"/>
      <c r="C608" s="60"/>
      <c r="D608" s="66"/>
      <c r="E608" s="66"/>
      <c r="F608" s="66"/>
      <c r="G608" s="66"/>
      <c r="H608" s="66"/>
      <c r="I608" s="66"/>
      <c r="J608" s="66"/>
      <c r="K608" s="66"/>
      <c r="L608" s="66"/>
      <c r="M608" s="66"/>
      <c r="N608" s="66"/>
    </row>
    <row r="609" spans="1:14" x14ac:dyDescent="0.2">
      <c r="A609" s="84"/>
      <c r="B609" s="84"/>
      <c r="C609" s="60"/>
      <c r="D609" s="66"/>
      <c r="E609" s="66"/>
      <c r="F609" s="66"/>
      <c r="G609" s="66"/>
      <c r="H609" s="66"/>
      <c r="I609" s="66"/>
      <c r="J609" s="66"/>
      <c r="K609" s="66"/>
      <c r="L609" s="66"/>
      <c r="M609" s="66"/>
      <c r="N609" s="66"/>
    </row>
    <row r="610" spans="1:14" x14ac:dyDescent="0.2">
      <c r="A610" s="84"/>
      <c r="B610" s="84"/>
      <c r="C610" s="60"/>
      <c r="D610" s="66"/>
      <c r="E610" s="66"/>
      <c r="F610" s="66"/>
      <c r="G610" s="66"/>
      <c r="H610" s="66"/>
      <c r="I610" s="66"/>
      <c r="J610" s="66"/>
      <c r="K610" s="66"/>
      <c r="L610" s="66"/>
      <c r="M610" s="66"/>
      <c r="N610" s="66"/>
    </row>
    <row r="611" spans="1:14" x14ac:dyDescent="0.2">
      <c r="A611" s="84"/>
      <c r="B611" s="84"/>
      <c r="C611" s="60"/>
      <c r="D611" s="66"/>
      <c r="E611" s="66"/>
      <c r="F611" s="66"/>
      <c r="G611" s="66"/>
      <c r="H611" s="66"/>
      <c r="I611" s="66"/>
      <c r="J611" s="66"/>
      <c r="K611" s="66"/>
      <c r="L611" s="66"/>
      <c r="M611" s="66"/>
      <c r="N611" s="66"/>
    </row>
    <row r="612" spans="1:14" x14ac:dyDescent="0.2">
      <c r="A612" s="84"/>
      <c r="B612" s="84"/>
      <c r="C612" s="60"/>
      <c r="D612" s="66"/>
      <c r="E612" s="66"/>
      <c r="F612" s="66"/>
      <c r="G612" s="66"/>
      <c r="H612" s="66"/>
      <c r="I612" s="66"/>
      <c r="J612" s="66"/>
      <c r="K612" s="66"/>
      <c r="L612" s="66"/>
      <c r="M612" s="66"/>
      <c r="N612" s="66"/>
    </row>
    <row r="613" spans="1:14" x14ac:dyDescent="0.2">
      <c r="A613" s="84"/>
      <c r="B613" s="84"/>
      <c r="C613" s="60"/>
      <c r="D613" s="66"/>
      <c r="E613" s="66"/>
      <c r="F613" s="66"/>
      <c r="G613" s="66"/>
      <c r="H613" s="66"/>
      <c r="I613" s="66"/>
      <c r="J613" s="66"/>
      <c r="K613" s="66"/>
      <c r="L613" s="66"/>
      <c r="M613" s="66"/>
      <c r="N613" s="66"/>
    </row>
    <row r="614" spans="1:14" x14ac:dyDescent="0.2">
      <c r="A614" s="84"/>
      <c r="B614" s="84"/>
      <c r="C614" s="60"/>
      <c r="D614" s="66"/>
      <c r="E614" s="66"/>
      <c r="F614" s="66"/>
      <c r="G614" s="66"/>
      <c r="H614" s="66"/>
      <c r="I614" s="66"/>
      <c r="J614" s="66"/>
      <c r="K614" s="66"/>
      <c r="L614" s="66"/>
      <c r="M614" s="66"/>
      <c r="N614" s="66"/>
    </row>
    <row r="615" spans="1:14" x14ac:dyDescent="0.2">
      <c r="A615" s="84"/>
      <c r="B615" s="84"/>
      <c r="C615" s="60"/>
      <c r="D615" s="66"/>
      <c r="E615" s="66"/>
      <c r="F615" s="66"/>
      <c r="G615" s="66"/>
      <c r="H615" s="66"/>
      <c r="I615" s="66"/>
      <c r="J615" s="66"/>
      <c r="K615" s="66"/>
      <c r="L615" s="66"/>
      <c r="M615" s="66"/>
      <c r="N615" s="66"/>
    </row>
    <row r="616" spans="1:14" x14ac:dyDescent="0.2">
      <c r="A616" s="84"/>
      <c r="B616" s="84"/>
      <c r="C616" s="60"/>
      <c r="D616" s="66"/>
      <c r="E616" s="66"/>
      <c r="F616" s="66"/>
      <c r="G616" s="66"/>
      <c r="H616" s="66"/>
      <c r="I616" s="66"/>
      <c r="J616" s="66"/>
      <c r="K616" s="66"/>
      <c r="L616" s="66"/>
      <c r="M616" s="66"/>
      <c r="N616" s="66"/>
    </row>
    <row r="617" spans="1:14" x14ac:dyDescent="0.2">
      <c r="A617" s="84"/>
      <c r="B617" s="84"/>
      <c r="C617" s="60"/>
      <c r="D617" s="66"/>
      <c r="E617" s="66"/>
      <c r="F617" s="66"/>
      <c r="G617" s="66"/>
      <c r="H617" s="66"/>
      <c r="I617" s="66"/>
      <c r="J617" s="66"/>
      <c r="K617" s="66"/>
      <c r="L617" s="66"/>
      <c r="M617" s="66"/>
      <c r="N617" s="66"/>
    </row>
    <row r="618" spans="1:14" x14ac:dyDescent="0.2">
      <c r="A618" s="84"/>
      <c r="B618" s="84"/>
      <c r="C618" s="60"/>
      <c r="D618" s="66"/>
      <c r="E618" s="66"/>
      <c r="F618" s="66"/>
      <c r="G618" s="66"/>
      <c r="H618" s="66"/>
      <c r="I618" s="66"/>
      <c r="J618" s="66"/>
      <c r="K618" s="66"/>
      <c r="L618" s="66"/>
      <c r="M618" s="66"/>
      <c r="N618" s="66"/>
    </row>
    <row r="619" spans="1:14" x14ac:dyDescent="0.2">
      <c r="A619" s="84"/>
      <c r="B619" s="84"/>
      <c r="C619" s="60"/>
      <c r="D619" s="66"/>
      <c r="E619" s="66"/>
      <c r="F619" s="66"/>
      <c r="G619" s="66"/>
      <c r="H619" s="66"/>
      <c r="I619" s="66"/>
      <c r="J619" s="66"/>
      <c r="K619" s="66"/>
      <c r="L619" s="66"/>
      <c r="M619" s="66"/>
      <c r="N619" s="66"/>
    </row>
    <row r="620" spans="1:14" x14ac:dyDescent="0.2">
      <c r="A620" s="84"/>
      <c r="B620" s="84"/>
      <c r="C620" s="60"/>
      <c r="D620" s="66"/>
      <c r="E620" s="66"/>
      <c r="F620" s="66"/>
      <c r="G620" s="66"/>
      <c r="H620" s="66"/>
      <c r="I620" s="66"/>
      <c r="J620" s="66"/>
      <c r="K620" s="66"/>
      <c r="L620" s="66"/>
      <c r="M620" s="66"/>
      <c r="N620" s="66"/>
    </row>
    <row r="621" spans="1:14" x14ac:dyDescent="0.2">
      <c r="A621" s="84"/>
      <c r="B621" s="84"/>
      <c r="C621" s="60"/>
      <c r="D621" s="66"/>
      <c r="E621" s="66"/>
      <c r="F621" s="66"/>
      <c r="G621" s="66"/>
      <c r="H621" s="66"/>
      <c r="I621" s="66"/>
      <c r="J621" s="66"/>
      <c r="K621" s="66"/>
      <c r="L621" s="66"/>
      <c r="M621" s="66"/>
      <c r="N621" s="66"/>
    </row>
    <row r="622" spans="1:14" x14ac:dyDescent="0.2">
      <c r="A622" s="84"/>
      <c r="B622" s="84"/>
      <c r="C622" s="60"/>
      <c r="D622" s="66"/>
      <c r="E622" s="66"/>
      <c r="F622" s="66"/>
      <c r="G622" s="66"/>
      <c r="H622" s="66"/>
      <c r="I622" s="66"/>
      <c r="J622" s="66"/>
      <c r="K622" s="66"/>
      <c r="L622" s="66"/>
      <c r="M622" s="66"/>
      <c r="N622" s="66"/>
    </row>
    <row r="623" spans="1:14" x14ac:dyDescent="0.2">
      <c r="A623" s="84"/>
      <c r="B623" s="84"/>
      <c r="C623" s="60"/>
      <c r="D623" s="66"/>
      <c r="E623" s="66"/>
      <c r="F623" s="66"/>
      <c r="G623" s="66"/>
      <c r="H623" s="66"/>
      <c r="I623" s="66"/>
      <c r="J623" s="66"/>
      <c r="K623" s="66"/>
      <c r="L623" s="66"/>
      <c r="M623" s="66"/>
      <c r="N623" s="66"/>
    </row>
    <row r="624" spans="1:14" x14ac:dyDescent="0.2">
      <c r="A624" s="84"/>
      <c r="B624" s="84"/>
      <c r="C624" s="60"/>
      <c r="D624" s="66"/>
      <c r="E624" s="66"/>
      <c r="F624" s="66"/>
      <c r="G624" s="66"/>
      <c r="H624" s="66"/>
      <c r="I624" s="66"/>
      <c r="J624" s="66"/>
      <c r="K624" s="66"/>
      <c r="L624" s="66"/>
      <c r="M624" s="66"/>
      <c r="N624" s="66"/>
    </row>
    <row r="625" spans="1:14" x14ac:dyDescent="0.2">
      <c r="A625" s="84"/>
      <c r="B625" s="84"/>
      <c r="C625" s="60"/>
      <c r="D625" s="66"/>
      <c r="E625" s="66"/>
      <c r="F625" s="66"/>
      <c r="G625" s="66"/>
      <c r="H625" s="66"/>
      <c r="I625" s="66"/>
      <c r="J625" s="66"/>
      <c r="K625" s="66"/>
      <c r="L625" s="66"/>
      <c r="M625" s="66"/>
      <c r="N625" s="66"/>
    </row>
    <row r="626" spans="1:14" x14ac:dyDescent="0.2">
      <c r="A626" s="84"/>
      <c r="B626" s="84"/>
      <c r="C626" s="60"/>
      <c r="D626" s="66"/>
      <c r="E626" s="66"/>
      <c r="F626" s="66"/>
      <c r="G626" s="66"/>
      <c r="H626" s="66"/>
      <c r="I626" s="66"/>
      <c r="J626" s="66"/>
      <c r="K626" s="66"/>
      <c r="L626" s="66"/>
      <c r="M626" s="66"/>
      <c r="N626" s="66"/>
    </row>
    <row r="627" spans="1:14" x14ac:dyDescent="0.2">
      <c r="A627" s="84"/>
      <c r="B627" s="84"/>
      <c r="C627" s="60"/>
      <c r="D627" s="66"/>
      <c r="E627" s="66"/>
      <c r="F627" s="66"/>
      <c r="G627" s="66"/>
      <c r="H627" s="66"/>
      <c r="I627" s="66"/>
      <c r="J627" s="66"/>
      <c r="K627" s="66"/>
      <c r="L627" s="66"/>
      <c r="M627" s="66"/>
      <c r="N627" s="66"/>
    </row>
    <row r="628" spans="1:14" x14ac:dyDescent="0.2">
      <c r="A628" s="84"/>
      <c r="B628" s="84"/>
      <c r="C628" s="60"/>
      <c r="D628" s="66"/>
      <c r="E628" s="66"/>
      <c r="F628" s="66"/>
      <c r="G628" s="66"/>
      <c r="H628" s="66"/>
      <c r="I628" s="66"/>
      <c r="J628" s="66"/>
      <c r="K628" s="66"/>
      <c r="L628" s="66"/>
      <c r="M628" s="66"/>
      <c r="N628" s="66"/>
    </row>
    <row r="629" spans="1:14" x14ac:dyDescent="0.2">
      <c r="A629" s="84"/>
      <c r="B629" s="84"/>
      <c r="C629" s="60"/>
      <c r="D629" s="66"/>
      <c r="E629" s="66"/>
      <c r="F629" s="66"/>
      <c r="G629" s="66"/>
      <c r="H629" s="66"/>
      <c r="I629" s="66"/>
      <c r="J629" s="66"/>
      <c r="K629" s="66"/>
      <c r="L629" s="66"/>
      <c r="M629" s="66"/>
      <c r="N629" s="66"/>
    </row>
    <row r="630" spans="1:14" x14ac:dyDescent="0.2">
      <c r="A630" s="84"/>
      <c r="B630" s="84"/>
      <c r="C630" s="60"/>
      <c r="D630" s="66"/>
      <c r="E630" s="66"/>
      <c r="F630" s="66"/>
      <c r="G630" s="66"/>
      <c r="H630" s="66"/>
      <c r="I630" s="66"/>
      <c r="J630" s="66"/>
      <c r="K630" s="66"/>
      <c r="L630" s="66"/>
      <c r="M630" s="66"/>
      <c r="N630" s="66"/>
    </row>
    <row r="631" spans="1:14" x14ac:dyDescent="0.2">
      <c r="A631" s="84"/>
      <c r="B631" s="84"/>
      <c r="C631" s="60"/>
      <c r="D631" s="66"/>
      <c r="E631" s="66"/>
      <c r="F631" s="66"/>
      <c r="G631" s="66"/>
      <c r="H631" s="66"/>
      <c r="I631" s="66"/>
      <c r="J631" s="66"/>
      <c r="K631" s="66"/>
      <c r="L631" s="66"/>
      <c r="M631" s="66"/>
      <c r="N631" s="66"/>
    </row>
    <row r="632" spans="1:14" x14ac:dyDescent="0.2">
      <c r="A632" s="84"/>
      <c r="B632" s="84"/>
      <c r="C632" s="60"/>
      <c r="D632" s="66"/>
      <c r="E632" s="66"/>
      <c r="F632" s="66"/>
      <c r="G632" s="66"/>
      <c r="H632" s="66"/>
      <c r="I632" s="66"/>
      <c r="J632" s="66"/>
      <c r="K632" s="66"/>
      <c r="L632" s="66"/>
      <c r="M632" s="66"/>
      <c r="N632" s="66"/>
    </row>
    <row r="633" spans="1:14" x14ac:dyDescent="0.2">
      <c r="A633" s="84"/>
      <c r="B633" s="84"/>
      <c r="C633" s="60"/>
      <c r="D633" s="66"/>
      <c r="E633" s="66"/>
      <c r="F633" s="66"/>
      <c r="G633" s="66"/>
      <c r="H633" s="66"/>
      <c r="I633" s="66"/>
      <c r="J633" s="66"/>
      <c r="K633" s="66"/>
      <c r="L633" s="66"/>
      <c r="M633" s="66"/>
      <c r="N633" s="66"/>
    </row>
    <row r="634" spans="1:14" x14ac:dyDescent="0.2">
      <c r="A634" s="84"/>
      <c r="B634" s="84"/>
      <c r="C634" s="60"/>
      <c r="D634" s="66"/>
      <c r="E634" s="66"/>
      <c r="F634" s="66"/>
      <c r="G634" s="66"/>
      <c r="H634" s="66"/>
      <c r="I634" s="66"/>
      <c r="J634" s="66"/>
      <c r="K634" s="66"/>
      <c r="L634" s="66"/>
      <c r="M634" s="66"/>
      <c r="N634" s="66"/>
    </row>
    <row r="635" spans="1:14" x14ac:dyDescent="0.2">
      <c r="A635" s="84"/>
      <c r="B635" s="84"/>
      <c r="C635" s="60"/>
      <c r="D635" s="66"/>
      <c r="E635" s="66"/>
      <c r="F635" s="66"/>
      <c r="G635" s="66"/>
      <c r="H635" s="66"/>
      <c r="I635" s="66"/>
      <c r="J635" s="66"/>
      <c r="K635" s="66"/>
      <c r="L635" s="66"/>
      <c r="M635" s="66"/>
      <c r="N635" s="66"/>
    </row>
    <row r="636" spans="1:14" x14ac:dyDescent="0.2">
      <c r="A636" s="84"/>
      <c r="B636" s="84"/>
      <c r="C636" s="60"/>
      <c r="D636" s="66"/>
      <c r="E636" s="66"/>
      <c r="F636" s="66"/>
      <c r="G636" s="66"/>
      <c r="H636" s="66"/>
      <c r="I636" s="66"/>
      <c r="J636" s="66"/>
      <c r="K636" s="66"/>
      <c r="L636" s="66"/>
      <c r="M636" s="66"/>
      <c r="N636" s="66"/>
    </row>
    <row r="637" spans="1:14" x14ac:dyDescent="0.2">
      <c r="A637" s="84"/>
      <c r="B637" s="84"/>
      <c r="C637" s="60"/>
      <c r="D637" s="66"/>
      <c r="E637" s="66"/>
      <c r="F637" s="66"/>
      <c r="G637" s="66"/>
      <c r="H637" s="66"/>
      <c r="I637" s="66"/>
      <c r="J637" s="66"/>
      <c r="K637" s="66"/>
      <c r="L637" s="66"/>
      <c r="M637" s="66"/>
      <c r="N637" s="66"/>
    </row>
    <row r="638" spans="1:14" x14ac:dyDescent="0.2">
      <c r="A638" s="84"/>
      <c r="B638" s="84"/>
      <c r="C638" s="60"/>
      <c r="D638" s="66"/>
      <c r="E638" s="66"/>
      <c r="F638" s="66"/>
      <c r="G638" s="66"/>
      <c r="H638" s="66"/>
      <c r="I638" s="66"/>
      <c r="J638" s="66"/>
      <c r="K638" s="66"/>
      <c r="L638" s="66"/>
      <c r="M638" s="66"/>
      <c r="N638" s="66"/>
    </row>
    <row r="639" spans="1:14" x14ac:dyDescent="0.2">
      <c r="A639" s="84"/>
      <c r="B639" s="84"/>
      <c r="C639" s="60"/>
      <c r="D639" s="66"/>
      <c r="E639" s="66"/>
      <c r="F639" s="66"/>
      <c r="G639" s="66"/>
      <c r="H639" s="66"/>
      <c r="I639" s="66"/>
      <c r="J639" s="66"/>
      <c r="K639" s="66"/>
      <c r="L639" s="66"/>
      <c r="M639" s="66"/>
      <c r="N639" s="66"/>
    </row>
    <row r="640" spans="1:14" x14ac:dyDescent="0.2">
      <c r="A640" s="84"/>
      <c r="B640" s="84"/>
      <c r="C640" s="60"/>
      <c r="D640" s="66"/>
      <c r="E640" s="66"/>
      <c r="F640" s="66"/>
      <c r="G640" s="66"/>
      <c r="H640" s="66"/>
      <c r="I640" s="66"/>
      <c r="J640" s="66"/>
      <c r="K640" s="66"/>
      <c r="L640" s="66"/>
      <c r="M640" s="66"/>
      <c r="N640" s="66"/>
    </row>
    <row r="641" spans="1:14" x14ac:dyDescent="0.2">
      <c r="A641" s="84"/>
      <c r="B641" s="84"/>
      <c r="C641" s="60"/>
      <c r="D641" s="66"/>
      <c r="E641" s="66"/>
      <c r="F641" s="66"/>
      <c r="G641" s="66"/>
      <c r="H641" s="66"/>
      <c r="I641" s="66"/>
      <c r="J641" s="66"/>
      <c r="K641" s="66"/>
      <c r="L641" s="66"/>
      <c r="M641" s="66"/>
      <c r="N641" s="66"/>
    </row>
    <row r="642" spans="1:14" x14ac:dyDescent="0.2">
      <c r="A642" s="84"/>
      <c r="B642" s="84"/>
      <c r="C642" s="60"/>
      <c r="D642" s="66"/>
      <c r="E642" s="66"/>
      <c r="F642" s="66"/>
      <c r="G642" s="66"/>
      <c r="H642" s="66"/>
      <c r="I642" s="66"/>
      <c r="J642" s="66"/>
      <c r="K642" s="66"/>
      <c r="L642" s="66"/>
      <c r="M642" s="66"/>
      <c r="N642" s="66"/>
    </row>
    <row r="643" spans="1:14" x14ac:dyDescent="0.2">
      <c r="A643" s="84"/>
      <c r="B643" s="84"/>
      <c r="C643" s="60"/>
      <c r="D643" s="66"/>
      <c r="E643" s="66"/>
      <c r="F643" s="66"/>
      <c r="G643" s="66"/>
      <c r="H643" s="66"/>
      <c r="I643" s="66"/>
      <c r="J643" s="66"/>
      <c r="K643" s="66"/>
      <c r="L643" s="66"/>
      <c r="M643" s="66"/>
      <c r="N643" s="66"/>
    </row>
    <row r="644" spans="1:14" x14ac:dyDescent="0.2">
      <c r="A644" s="84"/>
      <c r="B644" s="84"/>
      <c r="C644" s="60"/>
      <c r="D644" s="66"/>
      <c r="E644" s="66"/>
      <c r="F644" s="66"/>
      <c r="G644" s="66"/>
      <c r="H644" s="66"/>
      <c r="I644" s="66"/>
      <c r="J644" s="66"/>
      <c r="K644" s="66"/>
      <c r="L644" s="66"/>
      <c r="M644" s="66"/>
      <c r="N644" s="66"/>
    </row>
    <row r="645" spans="1:14" x14ac:dyDescent="0.2">
      <c r="A645" s="84"/>
      <c r="B645" s="84"/>
      <c r="C645" s="60"/>
      <c r="D645" s="66"/>
      <c r="E645" s="66"/>
      <c r="F645" s="66"/>
      <c r="G645" s="66"/>
      <c r="H645" s="66"/>
      <c r="I645" s="66"/>
      <c r="J645" s="66"/>
      <c r="K645" s="66"/>
      <c r="L645" s="66"/>
      <c r="M645" s="66"/>
      <c r="N645" s="66"/>
    </row>
    <row r="646" spans="1:14" x14ac:dyDescent="0.2">
      <c r="A646" s="84"/>
      <c r="B646" s="84"/>
      <c r="C646" s="60"/>
      <c r="D646" s="66"/>
      <c r="E646" s="66"/>
      <c r="F646" s="66"/>
      <c r="G646" s="66"/>
      <c r="H646" s="66"/>
      <c r="I646" s="66"/>
      <c r="J646" s="66"/>
      <c r="K646" s="66"/>
      <c r="L646" s="66"/>
      <c r="M646" s="66"/>
      <c r="N646" s="66"/>
    </row>
    <row r="647" spans="1:14" x14ac:dyDescent="0.2">
      <c r="A647" s="84"/>
      <c r="B647" s="84"/>
      <c r="C647" s="60"/>
      <c r="D647" s="66"/>
      <c r="E647" s="66"/>
      <c r="F647" s="66"/>
      <c r="G647" s="66"/>
      <c r="H647" s="66"/>
      <c r="I647" s="66"/>
      <c r="J647" s="66"/>
      <c r="K647" s="66"/>
      <c r="L647" s="66"/>
      <c r="M647" s="66"/>
      <c r="N647" s="66"/>
    </row>
    <row r="648" spans="1:14" x14ac:dyDescent="0.2">
      <c r="A648" s="84"/>
      <c r="B648" s="84"/>
      <c r="C648" s="60"/>
      <c r="D648" s="66"/>
      <c r="E648" s="66"/>
      <c r="F648" s="66"/>
      <c r="G648" s="66"/>
      <c r="H648" s="66"/>
      <c r="I648" s="66"/>
      <c r="J648" s="66"/>
      <c r="K648" s="66"/>
      <c r="L648" s="66"/>
      <c r="M648" s="66"/>
      <c r="N648" s="66"/>
    </row>
    <row r="649" spans="1:14" x14ac:dyDescent="0.2">
      <c r="A649" s="84"/>
      <c r="B649" s="84"/>
      <c r="C649" s="60"/>
      <c r="D649" s="66"/>
      <c r="E649" s="66"/>
      <c r="F649" s="66"/>
      <c r="G649" s="66"/>
      <c r="H649" s="66"/>
      <c r="I649" s="66"/>
      <c r="J649" s="66"/>
      <c r="K649" s="66"/>
      <c r="L649" s="66"/>
      <c r="M649" s="66"/>
      <c r="N649" s="66"/>
    </row>
    <row r="650" spans="1:14" x14ac:dyDescent="0.2">
      <c r="A650" s="84"/>
      <c r="B650" s="84"/>
      <c r="C650" s="60"/>
      <c r="D650" s="66"/>
      <c r="E650" s="66"/>
      <c r="F650" s="66"/>
      <c r="G650" s="66"/>
      <c r="H650" s="66"/>
      <c r="I650" s="66"/>
      <c r="J650" s="66"/>
      <c r="K650" s="66"/>
      <c r="L650" s="66"/>
      <c r="M650" s="66"/>
      <c r="N650" s="66"/>
    </row>
    <row r="651" spans="1:14" x14ac:dyDescent="0.2">
      <c r="A651" s="84"/>
      <c r="B651" s="84"/>
      <c r="C651" s="60"/>
      <c r="D651" s="66"/>
      <c r="E651" s="66"/>
      <c r="F651" s="66"/>
      <c r="G651" s="66"/>
      <c r="H651" s="66"/>
      <c r="I651" s="66"/>
      <c r="J651" s="66"/>
      <c r="K651" s="66"/>
      <c r="L651" s="66"/>
      <c r="M651" s="66"/>
      <c r="N651" s="66"/>
    </row>
    <row r="652" spans="1:14" x14ac:dyDescent="0.2">
      <c r="A652" s="84"/>
      <c r="B652" s="84"/>
      <c r="C652" s="60"/>
      <c r="D652" s="66"/>
      <c r="E652" s="66"/>
      <c r="F652" s="66"/>
      <c r="G652" s="66"/>
      <c r="H652" s="66"/>
      <c r="I652" s="66"/>
      <c r="J652" s="66"/>
      <c r="K652" s="66"/>
      <c r="L652" s="66"/>
      <c r="M652" s="66"/>
      <c r="N652" s="66"/>
    </row>
    <row r="653" spans="1:14" x14ac:dyDescent="0.2">
      <c r="A653" s="84"/>
      <c r="B653" s="84"/>
      <c r="C653" s="60"/>
      <c r="D653" s="66"/>
      <c r="E653" s="66"/>
      <c r="F653" s="66"/>
      <c r="G653" s="66"/>
      <c r="H653" s="66"/>
      <c r="I653" s="66"/>
      <c r="J653" s="66"/>
      <c r="K653" s="66"/>
      <c r="L653" s="66"/>
      <c r="M653" s="66"/>
      <c r="N653" s="66"/>
    </row>
    <row r="654" spans="1:14" x14ac:dyDescent="0.2">
      <c r="A654" s="84"/>
      <c r="B654" s="84"/>
      <c r="C654" s="60"/>
      <c r="D654" s="66"/>
      <c r="E654" s="66"/>
      <c r="F654" s="66"/>
      <c r="G654" s="66"/>
      <c r="H654" s="66"/>
      <c r="I654" s="66"/>
      <c r="J654" s="66"/>
      <c r="K654" s="66"/>
      <c r="L654" s="66"/>
      <c r="M654" s="66"/>
      <c r="N654" s="66"/>
    </row>
    <row r="655" spans="1:14" x14ac:dyDescent="0.2">
      <c r="A655" s="84"/>
      <c r="B655" s="84"/>
      <c r="C655" s="60"/>
      <c r="D655" s="66"/>
      <c r="E655" s="66"/>
      <c r="F655" s="66"/>
      <c r="G655" s="66"/>
      <c r="H655" s="66"/>
      <c r="I655" s="66"/>
      <c r="J655" s="66"/>
      <c r="K655" s="66"/>
      <c r="L655" s="66"/>
      <c r="M655" s="66"/>
      <c r="N655" s="66"/>
    </row>
    <row r="656" spans="1:14" x14ac:dyDescent="0.2">
      <c r="A656" s="84"/>
      <c r="B656" s="84"/>
      <c r="C656" s="60"/>
      <c r="D656" s="66"/>
      <c r="E656" s="66"/>
      <c r="F656" s="66"/>
      <c r="G656" s="66"/>
      <c r="H656" s="66"/>
      <c r="I656" s="66"/>
      <c r="J656" s="66"/>
      <c r="K656" s="66"/>
      <c r="L656" s="66"/>
      <c r="M656" s="66"/>
      <c r="N656" s="66"/>
    </row>
    <row r="657" spans="1:14" x14ac:dyDescent="0.2">
      <c r="A657" s="84"/>
      <c r="B657" s="84"/>
      <c r="C657" s="60"/>
      <c r="D657" s="66"/>
      <c r="E657" s="66"/>
      <c r="F657" s="66"/>
      <c r="G657" s="66"/>
      <c r="H657" s="66"/>
      <c r="I657" s="66"/>
      <c r="J657" s="66"/>
      <c r="K657" s="66"/>
      <c r="L657" s="66"/>
      <c r="M657" s="66"/>
      <c r="N657" s="66"/>
    </row>
    <row r="658" spans="1:14" x14ac:dyDescent="0.2">
      <c r="A658" s="84"/>
      <c r="B658" s="84"/>
      <c r="C658" s="60"/>
      <c r="D658" s="66"/>
      <c r="E658" s="66"/>
      <c r="F658" s="66"/>
      <c r="G658" s="66"/>
      <c r="H658" s="66"/>
      <c r="I658" s="66"/>
      <c r="J658" s="66"/>
      <c r="K658" s="66"/>
      <c r="L658" s="66"/>
      <c r="M658" s="66"/>
      <c r="N658" s="66"/>
    </row>
    <row r="659" spans="1:14" x14ac:dyDescent="0.2">
      <c r="A659" s="84"/>
      <c r="B659" s="84"/>
      <c r="C659" s="60"/>
      <c r="D659" s="66"/>
      <c r="E659" s="66"/>
      <c r="F659" s="66"/>
      <c r="G659" s="66"/>
      <c r="H659" s="66"/>
      <c r="I659" s="66"/>
      <c r="J659" s="66"/>
      <c r="K659" s="66"/>
      <c r="L659" s="66"/>
      <c r="M659" s="66"/>
      <c r="N659" s="66"/>
    </row>
    <row r="660" spans="1:14" x14ac:dyDescent="0.2">
      <c r="A660" s="84"/>
      <c r="B660" s="84"/>
      <c r="C660" s="60"/>
      <c r="D660" s="66"/>
      <c r="E660" s="66"/>
      <c r="F660" s="66"/>
      <c r="G660" s="66"/>
      <c r="H660" s="66"/>
      <c r="I660" s="66"/>
      <c r="J660" s="66"/>
      <c r="K660" s="66"/>
      <c r="L660" s="66"/>
      <c r="M660" s="66"/>
      <c r="N660" s="66"/>
    </row>
    <row r="661" spans="1:14" x14ac:dyDescent="0.2">
      <c r="A661" s="84"/>
      <c r="B661" s="84"/>
      <c r="C661" s="60"/>
      <c r="D661" s="66"/>
      <c r="E661" s="66"/>
      <c r="F661" s="66"/>
      <c r="G661" s="66"/>
      <c r="H661" s="66"/>
      <c r="I661" s="66"/>
      <c r="J661" s="66"/>
      <c r="K661" s="66"/>
      <c r="L661" s="66"/>
      <c r="M661" s="66"/>
      <c r="N661" s="66"/>
    </row>
    <row r="662" spans="1:14" x14ac:dyDescent="0.2">
      <c r="A662" s="84"/>
      <c r="B662" s="84"/>
      <c r="C662" s="60"/>
      <c r="D662" s="66"/>
      <c r="E662" s="66"/>
      <c r="F662" s="66"/>
      <c r="G662" s="66"/>
      <c r="H662" s="66"/>
      <c r="I662" s="66"/>
      <c r="J662" s="66"/>
      <c r="K662" s="66"/>
      <c r="L662" s="66"/>
      <c r="M662" s="66"/>
      <c r="N662" s="66"/>
    </row>
    <row r="663" spans="1:14" x14ac:dyDescent="0.2">
      <c r="A663" s="84"/>
      <c r="B663" s="84"/>
      <c r="C663" s="60"/>
      <c r="D663" s="66"/>
      <c r="E663" s="66"/>
      <c r="F663" s="66"/>
      <c r="G663" s="66"/>
      <c r="H663" s="66"/>
      <c r="I663" s="66"/>
      <c r="J663" s="66"/>
      <c r="K663" s="66"/>
      <c r="L663" s="66"/>
      <c r="M663" s="66"/>
      <c r="N663" s="66"/>
    </row>
    <row r="664" spans="1:14" x14ac:dyDescent="0.2">
      <c r="A664" s="84"/>
      <c r="B664" s="84"/>
      <c r="C664" s="60"/>
      <c r="D664" s="66"/>
      <c r="E664" s="66"/>
      <c r="F664" s="66"/>
      <c r="G664" s="66"/>
      <c r="H664" s="66"/>
      <c r="I664" s="66"/>
      <c r="J664" s="66"/>
      <c r="K664" s="66"/>
      <c r="L664" s="66"/>
      <c r="M664" s="66"/>
      <c r="N664" s="66"/>
    </row>
    <row r="665" spans="1:14" x14ac:dyDescent="0.2">
      <c r="A665" s="84"/>
      <c r="B665" s="84"/>
      <c r="C665" s="60"/>
      <c r="D665" s="66"/>
      <c r="E665" s="66"/>
      <c r="F665" s="66"/>
      <c r="G665" s="66"/>
      <c r="H665" s="66"/>
      <c r="I665" s="66"/>
      <c r="J665" s="66"/>
      <c r="K665" s="66"/>
      <c r="L665" s="66"/>
      <c r="M665" s="66"/>
      <c r="N665" s="66"/>
    </row>
    <row r="666" spans="1:14" x14ac:dyDescent="0.2">
      <c r="A666" s="84"/>
      <c r="B666" s="84"/>
      <c r="C666" s="60"/>
      <c r="D666" s="66"/>
      <c r="E666" s="66"/>
      <c r="F666" s="66"/>
      <c r="G666" s="66"/>
      <c r="H666" s="66"/>
      <c r="I666" s="66"/>
      <c r="J666" s="66"/>
      <c r="K666" s="66"/>
      <c r="L666" s="66"/>
      <c r="M666" s="66"/>
      <c r="N666" s="66"/>
    </row>
    <row r="667" spans="1:14" x14ac:dyDescent="0.2">
      <c r="A667" s="84"/>
      <c r="B667" s="84"/>
      <c r="C667" s="60"/>
      <c r="D667" s="66"/>
      <c r="E667" s="66"/>
      <c r="F667" s="66"/>
      <c r="G667" s="66"/>
      <c r="H667" s="66"/>
      <c r="I667" s="66"/>
      <c r="J667" s="66"/>
      <c r="K667" s="66"/>
      <c r="L667" s="66"/>
      <c r="M667" s="66"/>
      <c r="N667" s="66"/>
    </row>
    <row r="668" spans="1:14" x14ac:dyDescent="0.2">
      <c r="A668" s="84"/>
      <c r="B668" s="84"/>
      <c r="C668" s="60"/>
      <c r="D668" s="66"/>
      <c r="E668" s="66"/>
      <c r="F668" s="66"/>
      <c r="G668" s="66"/>
      <c r="H668" s="66"/>
      <c r="I668" s="66"/>
      <c r="J668" s="66"/>
      <c r="K668" s="66"/>
      <c r="L668" s="66"/>
      <c r="M668" s="66"/>
      <c r="N668" s="66"/>
    </row>
    <row r="669" spans="1:14" x14ac:dyDescent="0.2">
      <c r="A669" s="84"/>
      <c r="B669" s="84"/>
      <c r="C669" s="60"/>
      <c r="D669" s="66"/>
      <c r="E669" s="66"/>
      <c r="F669" s="66"/>
      <c r="G669" s="66"/>
      <c r="H669" s="66"/>
      <c r="I669" s="66"/>
      <c r="J669" s="66"/>
      <c r="K669" s="66"/>
      <c r="L669" s="66"/>
      <c r="M669" s="66"/>
      <c r="N669" s="66"/>
    </row>
    <row r="670" spans="1:14" x14ac:dyDescent="0.2">
      <c r="A670" s="84"/>
      <c r="B670" s="84"/>
      <c r="C670" s="60"/>
      <c r="D670" s="66"/>
      <c r="E670" s="66"/>
      <c r="F670" s="66"/>
      <c r="G670" s="66"/>
      <c r="H670" s="66"/>
      <c r="I670" s="66"/>
      <c r="J670" s="66"/>
      <c r="K670" s="66"/>
      <c r="L670" s="66"/>
      <c r="M670" s="66"/>
      <c r="N670" s="66"/>
    </row>
    <row r="671" spans="1:14" x14ac:dyDescent="0.2">
      <c r="A671" s="84"/>
      <c r="B671" s="84"/>
      <c r="C671" s="60"/>
      <c r="D671" s="66"/>
      <c r="E671" s="66"/>
      <c r="F671" s="66"/>
      <c r="G671" s="66"/>
      <c r="H671" s="66"/>
      <c r="I671" s="66"/>
      <c r="J671" s="66"/>
      <c r="K671" s="66"/>
      <c r="L671" s="66"/>
      <c r="M671" s="66"/>
      <c r="N671" s="66"/>
    </row>
    <row r="672" spans="1:14" x14ac:dyDescent="0.2">
      <c r="A672" s="84"/>
      <c r="B672" s="84"/>
      <c r="C672" s="60"/>
      <c r="D672" s="66"/>
      <c r="E672" s="66"/>
      <c r="F672" s="66"/>
      <c r="G672" s="66"/>
      <c r="H672" s="66"/>
      <c r="I672" s="66"/>
      <c r="J672" s="66"/>
      <c r="K672" s="66"/>
      <c r="L672" s="66"/>
      <c r="M672" s="66"/>
      <c r="N672" s="66"/>
    </row>
    <row r="673" spans="1:14" x14ac:dyDescent="0.2">
      <c r="A673" s="84"/>
      <c r="B673" s="84"/>
      <c r="C673" s="60"/>
      <c r="D673" s="66"/>
      <c r="E673" s="66"/>
      <c r="F673" s="66"/>
      <c r="G673" s="66"/>
      <c r="H673" s="66"/>
      <c r="I673" s="66"/>
      <c r="J673" s="66"/>
      <c r="K673" s="66"/>
      <c r="L673" s="66"/>
      <c r="M673" s="66"/>
      <c r="N673" s="66"/>
    </row>
    <row r="674" spans="1:14" x14ac:dyDescent="0.2">
      <c r="A674" s="84"/>
      <c r="B674" s="84"/>
      <c r="C674" s="60"/>
      <c r="D674" s="66"/>
      <c r="E674" s="66"/>
      <c r="F674" s="66"/>
      <c r="G674" s="66"/>
      <c r="H674" s="66"/>
      <c r="I674" s="66"/>
      <c r="J674" s="66"/>
      <c r="K674" s="66"/>
      <c r="L674" s="66"/>
      <c r="M674" s="66"/>
      <c r="N674" s="66"/>
    </row>
    <row r="675" spans="1:14" x14ac:dyDescent="0.2">
      <c r="A675" s="84"/>
      <c r="B675" s="84"/>
      <c r="C675" s="60"/>
      <c r="D675" s="66"/>
      <c r="E675" s="66"/>
      <c r="F675" s="66"/>
      <c r="G675" s="66"/>
      <c r="H675" s="66"/>
      <c r="I675" s="66"/>
      <c r="J675" s="66"/>
      <c r="K675" s="66"/>
      <c r="L675" s="66"/>
      <c r="M675" s="66"/>
      <c r="N675" s="66"/>
    </row>
    <row r="676" spans="1:14" x14ac:dyDescent="0.2">
      <c r="A676" s="84"/>
      <c r="B676" s="84"/>
      <c r="C676" s="60"/>
      <c r="D676" s="66"/>
      <c r="E676" s="66"/>
      <c r="F676" s="66"/>
      <c r="G676" s="66"/>
      <c r="H676" s="66"/>
      <c r="I676" s="66"/>
      <c r="J676" s="66"/>
      <c r="K676" s="66"/>
      <c r="L676" s="66"/>
      <c r="M676" s="66"/>
      <c r="N676" s="66"/>
    </row>
    <row r="677" spans="1:14" x14ac:dyDescent="0.2">
      <c r="A677" s="84"/>
      <c r="B677" s="84"/>
      <c r="C677" s="60"/>
      <c r="D677" s="66"/>
      <c r="E677" s="66"/>
      <c r="F677" s="66"/>
      <c r="G677" s="66"/>
      <c r="H677" s="66"/>
      <c r="I677" s="66"/>
      <c r="J677" s="66"/>
      <c r="K677" s="66"/>
      <c r="L677" s="66"/>
      <c r="M677" s="66"/>
      <c r="N677" s="66"/>
    </row>
    <row r="678" spans="1:14" x14ac:dyDescent="0.2">
      <c r="A678" s="84"/>
      <c r="B678" s="84"/>
      <c r="C678" s="60"/>
      <c r="D678" s="66"/>
      <c r="E678" s="66"/>
      <c r="F678" s="66"/>
      <c r="G678" s="66"/>
      <c r="H678" s="66"/>
      <c r="I678" s="66"/>
      <c r="J678" s="66"/>
      <c r="K678" s="66"/>
      <c r="L678" s="66"/>
      <c r="M678" s="66"/>
      <c r="N678" s="66"/>
    </row>
    <row r="679" spans="1:14" x14ac:dyDescent="0.2">
      <c r="A679" s="84"/>
      <c r="B679" s="84"/>
      <c r="C679" s="60"/>
      <c r="D679" s="66"/>
      <c r="E679" s="66"/>
      <c r="F679" s="66"/>
      <c r="G679" s="66"/>
      <c r="H679" s="66"/>
      <c r="I679" s="66"/>
      <c r="J679" s="66"/>
      <c r="K679" s="66"/>
      <c r="L679" s="66"/>
      <c r="M679" s="66"/>
      <c r="N679" s="66"/>
    </row>
    <row r="680" spans="1:14" x14ac:dyDescent="0.2">
      <c r="A680" s="84"/>
      <c r="B680" s="84"/>
      <c r="C680" s="60"/>
      <c r="D680" s="66"/>
      <c r="E680" s="66"/>
      <c r="F680" s="66"/>
      <c r="G680" s="66"/>
      <c r="H680" s="66"/>
      <c r="I680" s="66"/>
      <c r="J680" s="66"/>
      <c r="K680" s="66"/>
      <c r="L680" s="66"/>
      <c r="M680" s="66"/>
      <c r="N680" s="66"/>
    </row>
    <row r="681" spans="1:14" x14ac:dyDescent="0.2">
      <c r="A681" s="84"/>
      <c r="B681" s="84"/>
      <c r="C681" s="60"/>
      <c r="D681" s="66"/>
      <c r="E681" s="66"/>
      <c r="F681" s="66"/>
      <c r="G681" s="66"/>
      <c r="H681" s="66"/>
      <c r="I681" s="66"/>
      <c r="J681" s="66"/>
      <c r="K681" s="66"/>
      <c r="L681" s="66"/>
      <c r="M681" s="66"/>
      <c r="N681" s="66"/>
    </row>
    <row r="682" spans="1:14" x14ac:dyDescent="0.2">
      <c r="A682" s="84"/>
      <c r="B682" s="84"/>
      <c r="C682" s="60"/>
      <c r="D682" s="66"/>
      <c r="E682" s="66"/>
      <c r="F682" s="66"/>
      <c r="G682" s="66"/>
      <c r="H682" s="66"/>
      <c r="I682" s="66"/>
      <c r="J682" s="66"/>
      <c r="K682" s="66"/>
      <c r="L682" s="66"/>
      <c r="M682" s="66"/>
      <c r="N682" s="66"/>
    </row>
    <row r="683" spans="1:14" x14ac:dyDescent="0.2">
      <c r="A683" s="84"/>
      <c r="B683" s="84"/>
      <c r="C683" s="60"/>
      <c r="D683" s="66"/>
      <c r="E683" s="66"/>
      <c r="F683" s="66"/>
      <c r="G683" s="66"/>
      <c r="H683" s="66"/>
      <c r="I683" s="66"/>
      <c r="J683" s="66"/>
      <c r="K683" s="66"/>
      <c r="L683" s="66"/>
      <c r="M683" s="66"/>
      <c r="N683" s="66"/>
    </row>
    <row r="684" spans="1:14" x14ac:dyDescent="0.2">
      <c r="A684" s="84"/>
      <c r="B684" s="84"/>
      <c r="C684" s="60"/>
      <c r="D684" s="66"/>
      <c r="E684" s="66"/>
      <c r="F684" s="66"/>
      <c r="G684" s="66"/>
      <c r="H684" s="66"/>
      <c r="I684" s="66"/>
      <c r="J684" s="66"/>
      <c r="K684" s="66"/>
      <c r="L684" s="66"/>
      <c r="M684" s="66"/>
      <c r="N684" s="66"/>
    </row>
    <row r="685" spans="1:14" x14ac:dyDescent="0.2">
      <c r="A685" s="84"/>
      <c r="B685" s="84"/>
      <c r="C685" s="60"/>
      <c r="D685" s="66"/>
      <c r="E685" s="66"/>
      <c r="F685" s="66"/>
      <c r="G685" s="66"/>
      <c r="H685" s="66"/>
      <c r="I685" s="66"/>
      <c r="J685" s="66"/>
      <c r="K685" s="66"/>
      <c r="L685" s="66"/>
      <c r="M685" s="66"/>
      <c r="N685" s="66"/>
    </row>
    <row r="686" spans="1:14" x14ac:dyDescent="0.2">
      <c r="A686" s="84"/>
      <c r="B686" s="84"/>
      <c r="C686" s="60"/>
      <c r="D686" s="66"/>
      <c r="E686" s="66"/>
      <c r="F686" s="66"/>
      <c r="G686" s="66"/>
      <c r="H686" s="66"/>
      <c r="I686" s="66"/>
      <c r="J686" s="66"/>
      <c r="K686" s="66"/>
      <c r="L686" s="66"/>
      <c r="M686" s="66"/>
      <c r="N686" s="66"/>
    </row>
    <row r="687" spans="1:14" x14ac:dyDescent="0.2">
      <c r="A687" s="84"/>
      <c r="B687" s="84"/>
      <c r="C687" s="60"/>
      <c r="D687" s="66"/>
      <c r="E687" s="66"/>
      <c r="F687" s="66"/>
      <c r="G687" s="66"/>
      <c r="H687" s="66"/>
      <c r="I687" s="66"/>
      <c r="J687" s="66"/>
      <c r="K687" s="66"/>
      <c r="L687" s="66"/>
      <c r="M687" s="66"/>
      <c r="N687" s="66"/>
    </row>
    <row r="688" spans="1:14" x14ac:dyDescent="0.2">
      <c r="A688" s="84"/>
      <c r="B688" s="84"/>
      <c r="C688" s="60"/>
      <c r="D688" s="66"/>
      <c r="E688" s="66"/>
      <c r="F688" s="66"/>
      <c r="G688" s="66"/>
      <c r="H688" s="66"/>
      <c r="I688" s="66"/>
      <c r="J688" s="66"/>
      <c r="K688" s="66"/>
      <c r="L688" s="66"/>
      <c r="M688" s="66"/>
      <c r="N688" s="66"/>
    </row>
    <row r="689" spans="1:14" x14ac:dyDescent="0.2">
      <c r="A689" s="84"/>
      <c r="B689" s="84"/>
      <c r="C689" s="60"/>
      <c r="D689" s="66"/>
      <c r="E689" s="66"/>
      <c r="F689" s="66"/>
      <c r="G689" s="66"/>
      <c r="H689" s="66"/>
      <c r="I689" s="66"/>
      <c r="J689" s="66"/>
      <c r="K689" s="66"/>
      <c r="L689" s="66"/>
      <c r="M689" s="66"/>
      <c r="N689" s="66"/>
    </row>
    <row r="690" spans="1:14" x14ac:dyDescent="0.2">
      <c r="A690" s="84"/>
      <c r="B690" s="84"/>
      <c r="C690" s="60"/>
      <c r="D690" s="66"/>
      <c r="E690" s="66"/>
      <c r="F690" s="66"/>
      <c r="G690" s="66"/>
      <c r="H690" s="66"/>
      <c r="I690" s="66"/>
      <c r="J690" s="66"/>
      <c r="K690" s="66"/>
      <c r="L690" s="66"/>
      <c r="M690" s="66"/>
      <c r="N690" s="66"/>
    </row>
    <row r="691" spans="1:14" x14ac:dyDescent="0.2">
      <c r="A691" s="84"/>
      <c r="B691" s="84"/>
      <c r="C691" s="60"/>
      <c r="D691" s="66"/>
      <c r="E691" s="66"/>
      <c r="F691" s="66"/>
      <c r="G691" s="66"/>
      <c r="H691" s="66"/>
      <c r="I691" s="66"/>
      <c r="J691" s="66"/>
      <c r="K691" s="66"/>
      <c r="L691" s="66"/>
      <c r="M691" s="66"/>
      <c r="N691" s="66"/>
    </row>
    <row r="692" spans="1:14" x14ac:dyDescent="0.2">
      <c r="A692" s="84"/>
      <c r="B692" s="84"/>
      <c r="C692" s="60"/>
      <c r="D692" s="66"/>
      <c r="E692" s="66"/>
      <c r="F692" s="66"/>
      <c r="G692" s="66"/>
      <c r="H692" s="66"/>
      <c r="I692" s="66"/>
      <c r="J692" s="66"/>
      <c r="K692" s="66"/>
      <c r="L692" s="66"/>
      <c r="M692" s="66"/>
      <c r="N692" s="66"/>
    </row>
    <row r="693" spans="1:14" x14ac:dyDescent="0.2">
      <c r="A693" s="84"/>
      <c r="B693" s="84"/>
      <c r="C693" s="60"/>
      <c r="D693" s="66"/>
      <c r="E693" s="66"/>
      <c r="F693" s="66"/>
      <c r="G693" s="66"/>
      <c r="H693" s="66"/>
      <c r="I693" s="66"/>
      <c r="J693" s="66"/>
      <c r="K693" s="66"/>
      <c r="L693" s="66"/>
      <c r="M693" s="66"/>
      <c r="N693" s="66"/>
    </row>
    <row r="694" spans="1:14" x14ac:dyDescent="0.2">
      <c r="A694" s="84"/>
      <c r="B694" s="84"/>
      <c r="C694" s="60"/>
      <c r="D694" s="66"/>
      <c r="E694" s="66"/>
      <c r="F694" s="66"/>
      <c r="G694" s="66"/>
      <c r="H694" s="66"/>
      <c r="I694" s="66"/>
      <c r="J694" s="66"/>
      <c r="K694" s="66"/>
      <c r="L694" s="66"/>
      <c r="M694" s="66"/>
      <c r="N694" s="66"/>
    </row>
    <row r="695" spans="1:14" x14ac:dyDescent="0.2">
      <c r="A695" s="84"/>
      <c r="B695" s="84"/>
      <c r="C695" s="60"/>
      <c r="D695" s="66"/>
      <c r="E695" s="66"/>
      <c r="F695" s="66"/>
      <c r="G695" s="66"/>
      <c r="H695" s="66"/>
      <c r="I695" s="66"/>
      <c r="J695" s="66"/>
      <c r="K695" s="66"/>
      <c r="L695" s="66"/>
      <c r="M695" s="66"/>
      <c r="N695" s="66"/>
    </row>
    <row r="696" spans="1:14" x14ac:dyDescent="0.2">
      <c r="A696" s="84"/>
      <c r="B696" s="84"/>
      <c r="C696" s="60"/>
      <c r="D696" s="66"/>
      <c r="E696" s="66"/>
      <c r="F696" s="66"/>
      <c r="G696" s="66"/>
      <c r="H696" s="66"/>
      <c r="I696" s="66"/>
      <c r="J696" s="66"/>
      <c r="K696" s="66"/>
      <c r="L696" s="66"/>
      <c r="M696" s="66"/>
      <c r="N696" s="66"/>
    </row>
    <row r="697" spans="1:14" x14ac:dyDescent="0.2">
      <c r="A697" s="84"/>
      <c r="B697" s="84"/>
      <c r="C697" s="60"/>
      <c r="D697" s="66"/>
      <c r="E697" s="66"/>
      <c r="F697" s="66"/>
      <c r="G697" s="66"/>
      <c r="H697" s="66"/>
      <c r="I697" s="66"/>
      <c r="J697" s="66"/>
      <c r="K697" s="66"/>
      <c r="L697" s="66"/>
      <c r="M697" s="66"/>
      <c r="N697" s="66"/>
    </row>
    <row r="698" spans="1:14" x14ac:dyDescent="0.2">
      <c r="A698" s="84"/>
      <c r="B698" s="84"/>
      <c r="C698" s="60"/>
      <c r="D698" s="66"/>
      <c r="E698" s="66"/>
      <c r="F698" s="66"/>
      <c r="G698" s="66"/>
      <c r="H698" s="66"/>
      <c r="I698" s="66"/>
      <c r="J698" s="66"/>
      <c r="K698" s="66"/>
      <c r="L698" s="66"/>
      <c r="M698" s="66"/>
      <c r="N698" s="66"/>
    </row>
    <row r="699" spans="1:14" x14ac:dyDescent="0.2">
      <c r="A699" s="84"/>
      <c r="B699" s="84"/>
      <c r="C699" s="60"/>
      <c r="D699" s="66"/>
      <c r="E699" s="66"/>
      <c r="F699" s="66"/>
      <c r="G699" s="66"/>
      <c r="H699" s="66"/>
      <c r="I699" s="66"/>
      <c r="J699" s="66"/>
      <c r="K699" s="66"/>
      <c r="L699" s="66"/>
      <c r="M699" s="66"/>
      <c r="N699" s="66"/>
    </row>
    <row r="700" spans="1:14" x14ac:dyDescent="0.2">
      <c r="A700" s="84"/>
      <c r="B700" s="84"/>
      <c r="C700" s="60"/>
      <c r="D700" s="66"/>
      <c r="E700" s="66"/>
      <c r="F700" s="66"/>
      <c r="G700" s="66"/>
      <c r="H700" s="66"/>
      <c r="I700" s="66"/>
      <c r="J700" s="66"/>
      <c r="K700" s="66"/>
      <c r="L700" s="66"/>
      <c r="M700" s="66"/>
      <c r="N700" s="66"/>
    </row>
    <row r="701" spans="1:14" x14ac:dyDescent="0.2">
      <c r="A701" s="84"/>
      <c r="B701" s="84"/>
      <c r="C701" s="60"/>
      <c r="D701" s="66"/>
      <c r="E701" s="66"/>
      <c r="F701" s="66"/>
      <c r="G701" s="66"/>
      <c r="H701" s="66"/>
      <c r="I701" s="66"/>
      <c r="J701" s="66"/>
      <c r="K701" s="66"/>
      <c r="L701" s="66"/>
      <c r="M701" s="66"/>
      <c r="N701" s="66"/>
    </row>
    <row r="702" spans="1:14" x14ac:dyDescent="0.2">
      <c r="A702" s="84"/>
      <c r="B702" s="84"/>
      <c r="C702" s="60"/>
      <c r="D702" s="66"/>
      <c r="E702" s="66"/>
      <c r="F702" s="66"/>
      <c r="G702" s="66"/>
      <c r="H702" s="66"/>
      <c r="I702" s="66"/>
      <c r="J702" s="66"/>
      <c r="K702" s="66"/>
      <c r="L702" s="66"/>
      <c r="M702" s="66"/>
      <c r="N702" s="66"/>
    </row>
    <row r="703" spans="1:14" x14ac:dyDescent="0.2">
      <c r="A703" s="84"/>
      <c r="B703" s="84"/>
      <c r="C703" s="60"/>
      <c r="D703" s="66"/>
      <c r="E703" s="66"/>
      <c r="F703" s="66"/>
      <c r="G703" s="66"/>
      <c r="H703" s="66"/>
      <c r="I703" s="66"/>
      <c r="J703" s="66"/>
      <c r="K703" s="66"/>
      <c r="L703" s="66"/>
      <c r="M703" s="66"/>
      <c r="N703" s="66"/>
    </row>
    <row r="704" spans="1:14" x14ac:dyDescent="0.2">
      <c r="A704" s="84"/>
      <c r="B704" s="84"/>
      <c r="C704" s="60"/>
      <c r="D704" s="66"/>
      <c r="E704" s="66"/>
      <c r="F704" s="66"/>
      <c r="G704" s="66"/>
      <c r="H704" s="66"/>
      <c r="I704" s="66"/>
      <c r="J704" s="66"/>
      <c r="K704" s="66"/>
      <c r="L704" s="66"/>
      <c r="M704" s="66"/>
      <c r="N704" s="66"/>
    </row>
    <row r="705" spans="1:14" x14ac:dyDescent="0.2">
      <c r="A705" s="84"/>
      <c r="B705" s="84"/>
      <c r="C705" s="60"/>
      <c r="D705" s="66"/>
      <c r="E705" s="66"/>
      <c r="F705" s="66"/>
      <c r="G705" s="66"/>
      <c r="H705" s="66"/>
      <c r="I705" s="66"/>
      <c r="J705" s="66"/>
      <c r="K705" s="66"/>
      <c r="L705" s="66"/>
      <c r="M705" s="66"/>
      <c r="N705" s="66"/>
    </row>
    <row r="706" spans="1:14" x14ac:dyDescent="0.2">
      <c r="A706" s="84"/>
      <c r="B706" s="84"/>
      <c r="C706" s="60"/>
      <c r="D706" s="66"/>
      <c r="E706" s="66"/>
      <c r="F706" s="66"/>
      <c r="G706" s="66"/>
      <c r="H706" s="66"/>
      <c r="I706" s="66"/>
      <c r="J706" s="66"/>
      <c r="K706" s="66"/>
      <c r="L706" s="66"/>
      <c r="M706" s="66"/>
      <c r="N706" s="66"/>
    </row>
    <row r="707" spans="1:14" x14ac:dyDescent="0.2">
      <c r="A707" s="84"/>
      <c r="B707" s="84"/>
      <c r="C707" s="60"/>
      <c r="D707" s="66"/>
      <c r="E707" s="66"/>
      <c r="F707" s="66"/>
      <c r="G707" s="66"/>
      <c r="H707" s="66"/>
      <c r="I707" s="66"/>
      <c r="J707" s="66"/>
      <c r="K707" s="66"/>
      <c r="L707" s="66"/>
      <c r="M707" s="66"/>
      <c r="N707" s="66"/>
    </row>
    <row r="708" spans="1:14" x14ac:dyDescent="0.2">
      <c r="A708" s="84"/>
      <c r="B708" s="84"/>
      <c r="C708" s="60"/>
      <c r="D708" s="66"/>
      <c r="E708" s="66"/>
      <c r="F708" s="66"/>
      <c r="G708" s="66"/>
      <c r="H708" s="66"/>
      <c r="I708" s="66"/>
      <c r="J708" s="66"/>
      <c r="K708" s="66"/>
      <c r="L708" s="66"/>
      <c r="M708" s="66"/>
      <c r="N708" s="66"/>
    </row>
    <row r="709" spans="1:14" x14ac:dyDescent="0.2">
      <c r="A709" s="84"/>
      <c r="B709" s="84"/>
      <c r="C709" s="60"/>
      <c r="D709" s="66"/>
      <c r="E709" s="66"/>
      <c r="F709" s="66"/>
      <c r="G709" s="66"/>
      <c r="H709" s="66"/>
      <c r="I709" s="66"/>
      <c r="J709" s="66"/>
      <c r="K709" s="66"/>
      <c r="L709" s="66"/>
      <c r="M709" s="66"/>
      <c r="N709" s="66"/>
    </row>
    <row r="710" spans="1:14" x14ac:dyDescent="0.2">
      <c r="A710" s="84"/>
      <c r="B710" s="84"/>
      <c r="C710" s="60"/>
      <c r="D710" s="66"/>
      <c r="E710" s="66"/>
      <c r="F710" s="66"/>
      <c r="G710" s="66"/>
      <c r="H710" s="66"/>
      <c r="I710" s="66"/>
      <c r="J710" s="66"/>
      <c r="K710" s="66"/>
      <c r="L710" s="66"/>
      <c r="M710" s="66"/>
      <c r="N710" s="66"/>
    </row>
    <row r="711" spans="1:14" x14ac:dyDescent="0.2">
      <c r="A711" s="84"/>
      <c r="B711" s="84"/>
      <c r="C711" s="60"/>
      <c r="D711" s="66"/>
      <c r="E711" s="66"/>
      <c r="F711" s="66"/>
      <c r="G711" s="66"/>
      <c r="H711" s="66"/>
      <c r="I711" s="66"/>
      <c r="J711" s="66"/>
      <c r="K711" s="66"/>
      <c r="L711" s="66"/>
      <c r="M711" s="66"/>
      <c r="N711" s="66"/>
    </row>
    <row r="712" spans="1:14" x14ac:dyDescent="0.2">
      <c r="A712" s="84"/>
      <c r="B712" s="84"/>
      <c r="C712" s="60"/>
      <c r="D712" s="66"/>
      <c r="E712" s="66"/>
      <c r="F712" s="66"/>
      <c r="G712" s="66"/>
      <c r="H712" s="66"/>
      <c r="I712" s="66"/>
      <c r="J712" s="66"/>
      <c r="K712" s="66"/>
      <c r="L712" s="66"/>
      <c r="M712" s="66"/>
      <c r="N712" s="66"/>
    </row>
    <row r="713" spans="1:14" x14ac:dyDescent="0.2">
      <c r="A713" s="84"/>
      <c r="B713" s="84"/>
      <c r="C713" s="60"/>
      <c r="D713" s="66"/>
      <c r="E713" s="66"/>
      <c r="F713" s="66"/>
      <c r="G713" s="66"/>
      <c r="H713" s="66"/>
      <c r="I713" s="66"/>
      <c r="J713" s="66"/>
      <c r="K713" s="66"/>
      <c r="L713" s="66"/>
      <c r="M713" s="66"/>
      <c r="N713" s="66"/>
    </row>
    <row r="714" spans="1:14" x14ac:dyDescent="0.2">
      <c r="A714" s="84"/>
      <c r="B714" s="84"/>
      <c r="C714" s="60"/>
      <c r="D714" s="66"/>
      <c r="E714" s="66"/>
      <c r="F714" s="66"/>
      <c r="G714" s="66"/>
      <c r="H714" s="66"/>
      <c r="I714" s="66"/>
      <c r="J714" s="66"/>
      <c r="K714" s="66"/>
      <c r="L714" s="66"/>
      <c r="M714" s="66"/>
      <c r="N714" s="66"/>
    </row>
    <row r="715" spans="1:14" x14ac:dyDescent="0.2">
      <c r="A715" s="84"/>
      <c r="B715" s="84"/>
      <c r="C715" s="60"/>
      <c r="D715" s="66"/>
      <c r="E715" s="66"/>
      <c r="F715" s="66"/>
      <c r="G715" s="66"/>
      <c r="H715" s="66"/>
      <c r="I715" s="66"/>
      <c r="J715" s="66"/>
      <c r="K715" s="66"/>
      <c r="L715" s="66"/>
      <c r="M715" s="66"/>
      <c r="N715" s="66"/>
    </row>
    <row r="716" spans="1:14" x14ac:dyDescent="0.2">
      <c r="A716" s="84"/>
      <c r="B716" s="84"/>
      <c r="C716" s="60"/>
      <c r="D716" s="66"/>
      <c r="E716" s="66"/>
      <c r="F716" s="66"/>
      <c r="G716" s="66"/>
      <c r="H716" s="66"/>
      <c r="I716" s="66"/>
      <c r="J716" s="66"/>
      <c r="K716" s="66"/>
      <c r="L716" s="66"/>
      <c r="M716" s="66"/>
      <c r="N716" s="66"/>
    </row>
    <row r="717" spans="1:14" x14ac:dyDescent="0.2">
      <c r="A717" s="84"/>
      <c r="B717" s="84"/>
      <c r="C717" s="60"/>
      <c r="D717" s="66"/>
      <c r="E717" s="66"/>
      <c r="F717" s="66"/>
      <c r="G717" s="66"/>
      <c r="H717" s="66"/>
      <c r="I717" s="66"/>
      <c r="J717" s="66"/>
      <c r="K717" s="66"/>
      <c r="L717" s="66"/>
      <c r="M717" s="66"/>
      <c r="N717" s="66"/>
    </row>
    <row r="718" spans="1:14" x14ac:dyDescent="0.2">
      <c r="A718" s="84"/>
      <c r="B718" s="84"/>
      <c r="C718" s="60"/>
      <c r="D718" s="66"/>
      <c r="E718" s="66"/>
      <c r="F718" s="66"/>
      <c r="G718" s="66"/>
      <c r="H718" s="66"/>
      <c r="I718" s="66"/>
      <c r="J718" s="66"/>
      <c r="K718" s="66"/>
      <c r="L718" s="66"/>
      <c r="M718" s="66"/>
      <c r="N718" s="66"/>
    </row>
    <row r="719" spans="1:14" x14ac:dyDescent="0.2">
      <c r="A719" s="84"/>
      <c r="B719" s="84"/>
      <c r="C719" s="60"/>
      <c r="D719" s="66"/>
      <c r="E719" s="66"/>
      <c r="F719" s="66"/>
      <c r="G719" s="66"/>
      <c r="H719" s="66"/>
      <c r="I719" s="66"/>
      <c r="J719" s="66"/>
      <c r="K719" s="66"/>
      <c r="L719" s="66"/>
      <c r="M719" s="66"/>
      <c r="N719" s="66"/>
    </row>
    <row r="720" spans="1:14" x14ac:dyDescent="0.2">
      <c r="A720" s="84"/>
      <c r="B720" s="84"/>
      <c r="C720" s="60"/>
      <c r="D720" s="66"/>
      <c r="E720" s="66"/>
      <c r="F720" s="66"/>
      <c r="G720" s="66"/>
      <c r="H720" s="66"/>
      <c r="I720" s="66"/>
      <c r="J720" s="66"/>
      <c r="K720" s="66"/>
      <c r="L720" s="66"/>
      <c r="M720" s="66"/>
      <c r="N720" s="66"/>
    </row>
    <row r="721" spans="1:14" x14ac:dyDescent="0.2">
      <c r="A721" s="84"/>
      <c r="B721" s="84"/>
      <c r="C721" s="60"/>
      <c r="D721" s="66"/>
      <c r="E721" s="66"/>
      <c r="F721" s="66"/>
      <c r="G721" s="66"/>
      <c r="H721" s="66"/>
      <c r="I721" s="66"/>
      <c r="J721" s="66"/>
      <c r="K721" s="66"/>
      <c r="L721" s="66"/>
      <c r="M721" s="66"/>
      <c r="N721" s="66"/>
    </row>
    <row r="722" spans="1:14" x14ac:dyDescent="0.2">
      <c r="A722" s="84"/>
      <c r="B722" s="84"/>
      <c r="C722" s="60"/>
      <c r="D722" s="66"/>
      <c r="E722" s="66"/>
      <c r="F722" s="66"/>
      <c r="G722" s="66"/>
      <c r="H722" s="66"/>
      <c r="I722" s="66"/>
      <c r="J722" s="66"/>
      <c r="K722" s="66"/>
      <c r="L722" s="66"/>
      <c r="M722" s="66"/>
      <c r="N722" s="66"/>
    </row>
    <row r="723" spans="1:14" x14ac:dyDescent="0.2">
      <c r="A723" s="84"/>
      <c r="B723" s="84"/>
      <c r="C723" s="60"/>
      <c r="D723" s="66"/>
      <c r="E723" s="66"/>
      <c r="F723" s="66"/>
      <c r="G723" s="66"/>
      <c r="H723" s="66"/>
      <c r="I723" s="66"/>
      <c r="J723" s="66"/>
      <c r="K723" s="66"/>
      <c r="L723" s="66"/>
      <c r="M723" s="66"/>
      <c r="N723" s="66"/>
    </row>
    <row r="724" spans="1:14" x14ac:dyDescent="0.2">
      <c r="A724" s="84"/>
      <c r="B724" s="84"/>
      <c r="C724" s="60"/>
      <c r="D724" s="66"/>
      <c r="E724" s="66"/>
      <c r="F724" s="66"/>
      <c r="G724" s="66"/>
      <c r="H724" s="66"/>
      <c r="I724" s="66"/>
      <c r="J724" s="66"/>
      <c r="K724" s="66"/>
      <c r="L724" s="66"/>
      <c r="M724" s="66"/>
      <c r="N724" s="66"/>
    </row>
    <row r="725" spans="1:14" x14ac:dyDescent="0.2">
      <c r="A725" s="84"/>
      <c r="B725" s="84"/>
      <c r="C725" s="60"/>
      <c r="D725" s="66"/>
      <c r="E725" s="66"/>
      <c r="F725" s="66"/>
      <c r="G725" s="66"/>
      <c r="H725" s="66"/>
      <c r="I725" s="66"/>
      <c r="J725" s="66"/>
      <c r="K725" s="66"/>
      <c r="L725" s="66"/>
      <c r="M725" s="66"/>
      <c r="N725" s="66"/>
    </row>
    <row r="726" spans="1:14" x14ac:dyDescent="0.2">
      <c r="A726" s="84"/>
      <c r="B726" s="84"/>
      <c r="C726" s="60"/>
      <c r="D726" s="66"/>
      <c r="E726" s="66"/>
      <c r="F726" s="66"/>
      <c r="G726" s="66"/>
      <c r="H726" s="66"/>
      <c r="I726" s="66"/>
      <c r="J726" s="66"/>
      <c r="K726" s="66"/>
      <c r="L726" s="66"/>
      <c r="M726" s="66"/>
      <c r="N726" s="66"/>
    </row>
    <row r="727" spans="1:14" x14ac:dyDescent="0.2">
      <c r="A727" s="84"/>
      <c r="B727" s="84"/>
      <c r="C727" s="60"/>
      <c r="D727" s="66"/>
      <c r="E727" s="66"/>
      <c r="F727" s="66"/>
      <c r="G727" s="66"/>
      <c r="H727" s="66"/>
      <c r="I727" s="66"/>
      <c r="J727" s="66"/>
      <c r="K727" s="66"/>
      <c r="L727" s="66"/>
      <c r="M727" s="66"/>
      <c r="N727" s="66"/>
    </row>
    <row r="728" spans="1:14" x14ac:dyDescent="0.2">
      <c r="A728" s="84"/>
      <c r="B728" s="84"/>
      <c r="C728" s="60"/>
      <c r="D728" s="66"/>
      <c r="E728" s="66"/>
      <c r="F728" s="66"/>
      <c r="G728" s="66"/>
      <c r="H728" s="66"/>
      <c r="I728" s="66"/>
      <c r="J728" s="66"/>
      <c r="K728" s="66"/>
      <c r="L728" s="66"/>
      <c r="M728" s="66"/>
      <c r="N728" s="66"/>
    </row>
    <row r="729" spans="1:14" x14ac:dyDescent="0.2">
      <c r="A729" s="84"/>
      <c r="B729" s="84"/>
      <c r="C729" s="60"/>
      <c r="D729" s="66"/>
      <c r="E729" s="66"/>
      <c r="F729" s="66"/>
      <c r="G729" s="66"/>
      <c r="H729" s="66"/>
      <c r="I729" s="66"/>
      <c r="J729" s="66"/>
      <c r="K729" s="66"/>
      <c r="L729" s="66"/>
      <c r="M729" s="66"/>
      <c r="N729" s="66"/>
    </row>
    <row r="730" spans="1:14" x14ac:dyDescent="0.2">
      <c r="A730" s="84"/>
      <c r="B730" s="84"/>
      <c r="C730" s="60"/>
      <c r="D730" s="66"/>
      <c r="E730" s="66"/>
      <c r="F730" s="66"/>
      <c r="G730" s="66"/>
      <c r="H730" s="66"/>
      <c r="I730" s="66"/>
      <c r="J730" s="66"/>
      <c r="K730" s="66"/>
      <c r="L730" s="66"/>
      <c r="M730" s="66"/>
      <c r="N730" s="66"/>
    </row>
    <row r="731" spans="1:14" x14ac:dyDescent="0.2">
      <c r="A731" s="84"/>
      <c r="B731" s="84"/>
      <c r="C731" s="60"/>
      <c r="D731" s="66"/>
      <c r="E731" s="66"/>
      <c r="F731" s="66"/>
      <c r="G731" s="66"/>
      <c r="H731" s="66"/>
      <c r="I731" s="66"/>
      <c r="J731" s="66"/>
      <c r="K731" s="66"/>
      <c r="L731" s="66"/>
      <c r="M731" s="66"/>
      <c r="N731" s="66"/>
    </row>
    <row r="732" spans="1:14" x14ac:dyDescent="0.2">
      <c r="A732" s="84"/>
      <c r="B732" s="84"/>
      <c r="C732" s="60"/>
      <c r="D732" s="66"/>
      <c r="E732" s="66"/>
      <c r="F732" s="66"/>
      <c r="G732" s="66"/>
      <c r="H732" s="66"/>
      <c r="I732" s="66"/>
      <c r="J732" s="66"/>
      <c r="K732" s="66"/>
      <c r="L732" s="66"/>
      <c r="M732" s="66"/>
      <c r="N732" s="66"/>
    </row>
    <row r="733" spans="1:14" x14ac:dyDescent="0.2">
      <c r="A733" s="84"/>
      <c r="B733" s="84"/>
      <c r="C733" s="60"/>
      <c r="D733" s="66"/>
      <c r="E733" s="66"/>
      <c r="F733" s="66"/>
      <c r="G733" s="66"/>
      <c r="H733" s="66"/>
      <c r="I733" s="66"/>
      <c r="J733" s="66"/>
      <c r="K733" s="66"/>
      <c r="L733" s="66"/>
      <c r="M733" s="66"/>
      <c r="N733" s="66"/>
    </row>
    <row r="734" spans="1:14" x14ac:dyDescent="0.2">
      <c r="A734" s="84"/>
      <c r="B734" s="84"/>
      <c r="C734" s="60"/>
      <c r="D734" s="66"/>
      <c r="E734" s="66"/>
      <c r="F734" s="66"/>
      <c r="G734" s="66"/>
      <c r="H734" s="66"/>
      <c r="I734" s="66"/>
      <c r="J734" s="66"/>
      <c r="K734" s="66"/>
      <c r="L734" s="66"/>
      <c r="M734" s="66"/>
      <c r="N734" s="66"/>
    </row>
    <row r="735" spans="1:14" x14ac:dyDescent="0.2">
      <c r="A735" s="84"/>
      <c r="B735" s="84"/>
      <c r="C735" s="60"/>
      <c r="D735" s="66"/>
      <c r="E735" s="66"/>
      <c r="F735" s="66"/>
      <c r="G735" s="66"/>
      <c r="H735" s="66"/>
      <c r="I735" s="66"/>
      <c r="J735" s="66"/>
      <c r="K735" s="66"/>
      <c r="L735" s="66"/>
      <c r="M735" s="66"/>
      <c r="N735" s="66"/>
    </row>
    <row r="736" spans="1:14" x14ac:dyDescent="0.2">
      <c r="A736" s="84"/>
      <c r="B736" s="84"/>
      <c r="C736" s="60"/>
      <c r="D736" s="66"/>
      <c r="E736" s="66"/>
      <c r="F736" s="66"/>
      <c r="G736" s="66"/>
      <c r="H736" s="66"/>
      <c r="I736" s="66"/>
      <c r="J736" s="66"/>
      <c r="K736" s="66"/>
      <c r="L736" s="66"/>
      <c r="M736" s="66"/>
      <c r="N736" s="66"/>
    </row>
    <row r="737" spans="1:14" x14ac:dyDescent="0.2">
      <c r="A737" s="84"/>
      <c r="B737" s="84"/>
      <c r="C737" s="60"/>
      <c r="D737" s="66"/>
      <c r="E737" s="66"/>
      <c r="F737" s="66"/>
      <c r="G737" s="66"/>
      <c r="H737" s="66"/>
      <c r="I737" s="66"/>
      <c r="J737" s="66"/>
      <c r="K737" s="66"/>
      <c r="L737" s="66"/>
      <c r="M737" s="66"/>
      <c r="N737" s="66"/>
    </row>
    <row r="738" spans="1:14" x14ac:dyDescent="0.2">
      <c r="A738" s="84"/>
      <c r="B738" s="84"/>
      <c r="C738" s="60"/>
      <c r="D738" s="66"/>
      <c r="E738" s="66"/>
      <c r="F738" s="66"/>
      <c r="G738" s="66"/>
      <c r="H738" s="66"/>
      <c r="I738" s="66"/>
      <c r="J738" s="66"/>
      <c r="K738" s="66"/>
      <c r="L738" s="66"/>
      <c r="M738" s="66"/>
      <c r="N738" s="66"/>
    </row>
    <row r="739" spans="1:14" x14ac:dyDescent="0.2">
      <c r="A739" s="84"/>
      <c r="B739" s="84"/>
      <c r="C739" s="60"/>
      <c r="D739" s="66"/>
      <c r="E739" s="66"/>
      <c r="F739" s="66"/>
      <c r="G739" s="66"/>
      <c r="H739" s="66"/>
      <c r="I739" s="66"/>
      <c r="J739" s="66"/>
      <c r="K739" s="66"/>
      <c r="L739" s="66"/>
      <c r="M739" s="66"/>
      <c r="N739" s="66"/>
    </row>
    <row r="740" spans="1:14" x14ac:dyDescent="0.2">
      <c r="A740" s="84"/>
      <c r="B740" s="84"/>
      <c r="C740" s="60"/>
      <c r="D740" s="66"/>
      <c r="E740" s="66"/>
      <c r="F740" s="66"/>
      <c r="G740" s="66"/>
      <c r="H740" s="66"/>
      <c r="I740" s="66"/>
      <c r="J740" s="66"/>
      <c r="K740" s="66"/>
      <c r="L740" s="66"/>
      <c r="M740" s="66"/>
      <c r="N740" s="66"/>
    </row>
    <row r="741" spans="1:14" x14ac:dyDescent="0.2">
      <c r="A741" s="84"/>
      <c r="B741" s="84"/>
      <c r="C741" s="60"/>
      <c r="D741" s="66"/>
      <c r="E741" s="66"/>
      <c r="F741" s="66"/>
      <c r="G741" s="66"/>
      <c r="H741" s="66"/>
      <c r="I741" s="66"/>
      <c r="J741" s="66"/>
      <c r="K741" s="66"/>
      <c r="L741" s="66"/>
      <c r="M741" s="66"/>
      <c r="N741" s="66"/>
    </row>
    <row r="742" spans="1:14" x14ac:dyDescent="0.2">
      <c r="A742" s="84"/>
      <c r="B742" s="84"/>
      <c r="C742" s="60"/>
      <c r="D742" s="66"/>
      <c r="E742" s="66"/>
      <c r="F742" s="66"/>
      <c r="G742" s="66"/>
      <c r="H742" s="66"/>
      <c r="I742" s="66"/>
      <c r="J742" s="66"/>
      <c r="K742" s="66"/>
      <c r="L742" s="66"/>
      <c r="M742" s="66"/>
      <c r="N742" s="66"/>
    </row>
    <row r="743" spans="1:14" x14ac:dyDescent="0.2">
      <c r="A743" s="84"/>
      <c r="B743" s="84"/>
      <c r="C743" s="60"/>
      <c r="D743" s="66"/>
      <c r="E743" s="66"/>
      <c r="F743" s="66"/>
      <c r="G743" s="66"/>
      <c r="H743" s="66"/>
      <c r="I743" s="66"/>
      <c r="J743" s="66"/>
      <c r="K743" s="66"/>
      <c r="L743" s="66"/>
      <c r="M743" s="66"/>
      <c r="N743" s="66"/>
    </row>
    <row r="744" spans="1:14" x14ac:dyDescent="0.2">
      <c r="A744" s="84"/>
      <c r="B744" s="84"/>
      <c r="C744" s="60"/>
      <c r="D744" s="66"/>
      <c r="E744" s="66"/>
      <c r="F744" s="66"/>
      <c r="G744" s="66"/>
      <c r="H744" s="66"/>
      <c r="I744" s="66"/>
      <c r="J744" s="66"/>
      <c r="K744" s="66"/>
      <c r="L744" s="66"/>
      <c r="M744" s="66"/>
      <c r="N744" s="66"/>
    </row>
    <row r="745" spans="1:14" x14ac:dyDescent="0.2">
      <c r="A745" s="84"/>
      <c r="B745" s="84"/>
      <c r="C745" s="60"/>
      <c r="D745" s="66"/>
      <c r="E745" s="66"/>
      <c r="F745" s="66"/>
      <c r="G745" s="66"/>
      <c r="H745" s="66"/>
      <c r="I745" s="66"/>
      <c r="J745" s="66"/>
      <c r="K745" s="66"/>
      <c r="L745" s="66"/>
      <c r="M745" s="66"/>
      <c r="N745" s="66"/>
    </row>
    <row r="746" spans="1:14" x14ac:dyDescent="0.2">
      <c r="A746" s="84"/>
      <c r="B746" s="84"/>
      <c r="C746" s="60"/>
      <c r="D746" s="66"/>
      <c r="E746" s="66"/>
      <c r="F746" s="66"/>
      <c r="G746" s="66"/>
      <c r="H746" s="66"/>
      <c r="I746" s="66"/>
      <c r="J746" s="66"/>
      <c r="K746" s="66"/>
      <c r="L746" s="66"/>
      <c r="M746" s="66"/>
      <c r="N746" s="66"/>
    </row>
    <row r="747" spans="1:14" x14ac:dyDescent="0.2">
      <c r="A747" s="84"/>
      <c r="B747" s="84"/>
      <c r="C747" s="60"/>
      <c r="D747" s="66"/>
      <c r="E747" s="66"/>
      <c r="F747" s="66"/>
      <c r="G747" s="66"/>
      <c r="H747" s="66"/>
      <c r="I747" s="66"/>
      <c r="J747" s="66"/>
      <c r="K747" s="66"/>
      <c r="L747" s="66"/>
      <c r="M747" s="66"/>
      <c r="N747" s="66"/>
    </row>
    <row r="748" spans="1:14" x14ac:dyDescent="0.2">
      <c r="A748" s="84"/>
      <c r="B748" s="84"/>
      <c r="C748" s="60"/>
      <c r="D748" s="66"/>
      <c r="E748" s="66"/>
      <c r="F748" s="66"/>
      <c r="G748" s="66"/>
      <c r="H748" s="66"/>
      <c r="I748" s="66"/>
      <c r="J748" s="66"/>
      <c r="K748" s="66"/>
      <c r="L748" s="66"/>
      <c r="M748" s="66"/>
      <c r="N748" s="66"/>
    </row>
    <row r="749" spans="1:14" x14ac:dyDescent="0.2">
      <c r="A749" s="84"/>
      <c r="B749" s="84"/>
      <c r="C749" s="60"/>
      <c r="D749" s="66"/>
      <c r="E749" s="66"/>
      <c r="F749" s="66"/>
      <c r="G749" s="66"/>
      <c r="H749" s="66"/>
      <c r="I749" s="66"/>
      <c r="J749" s="66"/>
      <c r="K749" s="66"/>
      <c r="L749" s="66"/>
      <c r="M749" s="66"/>
      <c r="N749" s="66"/>
    </row>
    <row r="750" spans="1:14" x14ac:dyDescent="0.2">
      <c r="A750" s="84"/>
      <c r="B750" s="84"/>
      <c r="C750" s="60"/>
      <c r="D750" s="66"/>
      <c r="E750" s="66"/>
      <c r="F750" s="66"/>
      <c r="G750" s="66"/>
      <c r="H750" s="66"/>
      <c r="I750" s="66"/>
      <c r="J750" s="66"/>
      <c r="K750" s="66"/>
      <c r="L750" s="66"/>
      <c r="M750" s="66"/>
      <c r="N750" s="66"/>
    </row>
    <row r="751" spans="1:14" x14ac:dyDescent="0.2">
      <c r="A751" s="84"/>
      <c r="B751" s="84"/>
      <c r="C751" s="60"/>
      <c r="D751" s="66"/>
      <c r="E751" s="66"/>
      <c r="F751" s="66"/>
      <c r="G751" s="66"/>
      <c r="H751" s="66"/>
      <c r="I751" s="66"/>
      <c r="J751" s="66"/>
      <c r="K751" s="66"/>
      <c r="L751" s="66"/>
      <c r="M751" s="66"/>
      <c r="N751" s="66"/>
    </row>
    <row r="752" spans="1:14" x14ac:dyDescent="0.2">
      <c r="A752" s="84"/>
      <c r="B752" s="84"/>
      <c r="C752" s="60"/>
      <c r="D752" s="66"/>
      <c r="E752" s="66"/>
      <c r="F752" s="66"/>
      <c r="G752" s="66"/>
      <c r="H752" s="66"/>
      <c r="I752" s="66"/>
      <c r="J752" s="66"/>
      <c r="K752" s="66"/>
      <c r="L752" s="66"/>
      <c r="M752" s="66"/>
      <c r="N752" s="66"/>
    </row>
    <row r="753" spans="1:14" x14ac:dyDescent="0.2">
      <c r="A753" s="84"/>
      <c r="B753" s="84"/>
      <c r="C753" s="60"/>
      <c r="D753" s="66"/>
      <c r="E753" s="66"/>
      <c r="F753" s="66"/>
      <c r="G753" s="66"/>
      <c r="H753" s="66"/>
      <c r="I753" s="66"/>
      <c r="J753" s="66"/>
      <c r="K753" s="66"/>
      <c r="L753" s="66"/>
      <c r="M753" s="66"/>
      <c r="N753" s="66"/>
    </row>
    <row r="754" spans="1:14" x14ac:dyDescent="0.2">
      <c r="A754" s="84"/>
      <c r="B754" s="84"/>
      <c r="C754" s="60"/>
      <c r="D754" s="66"/>
      <c r="E754" s="66"/>
      <c r="F754" s="66"/>
      <c r="G754" s="66"/>
      <c r="H754" s="66"/>
      <c r="I754" s="66"/>
      <c r="J754" s="66"/>
      <c r="K754" s="66"/>
      <c r="L754" s="66"/>
      <c r="M754" s="66"/>
      <c r="N754" s="66"/>
    </row>
    <row r="755" spans="1:14" x14ac:dyDescent="0.2">
      <c r="A755" s="84"/>
      <c r="B755" s="84"/>
      <c r="C755" s="60"/>
      <c r="D755" s="66"/>
      <c r="E755" s="66"/>
      <c r="F755" s="66"/>
      <c r="G755" s="66"/>
      <c r="H755" s="66"/>
      <c r="I755" s="66"/>
      <c r="J755" s="66"/>
      <c r="K755" s="66"/>
      <c r="L755" s="66"/>
      <c r="M755" s="66"/>
      <c r="N755" s="66"/>
    </row>
    <row r="756" spans="1:14" x14ac:dyDescent="0.2">
      <c r="A756" s="84"/>
      <c r="B756" s="84"/>
      <c r="C756" s="60"/>
      <c r="D756" s="66"/>
      <c r="E756" s="66"/>
      <c r="F756" s="66"/>
      <c r="G756" s="66"/>
      <c r="H756" s="66"/>
      <c r="I756" s="66"/>
      <c r="J756" s="66"/>
      <c r="K756" s="66"/>
      <c r="L756" s="66"/>
      <c r="M756" s="66"/>
      <c r="N756" s="66"/>
    </row>
    <row r="757" spans="1:14" x14ac:dyDescent="0.2">
      <c r="A757" s="84"/>
      <c r="B757" s="84"/>
      <c r="C757" s="60"/>
      <c r="D757" s="66"/>
      <c r="E757" s="66"/>
      <c r="F757" s="66"/>
      <c r="G757" s="66"/>
      <c r="H757" s="66"/>
      <c r="I757" s="66"/>
      <c r="J757" s="66"/>
      <c r="K757" s="66"/>
      <c r="L757" s="66"/>
      <c r="M757" s="66"/>
      <c r="N757" s="66"/>
    </row>
    <row r="758" spans="1:14" x14ac:dyDescent="0.2">
      <c r="A758" s="84"/>
      <c r="B758" s="84"/>
      <c r="C758" s="60"/>
      <c r="D758" s="66"/>
      <c r="E758" s="66"/>
      <c r="F758" s="66"/>
      <c r="G758" s="66"/>
      <c r="H758" s="66"/>
      <c r="I758" s="66"/>
      <c r="J758" s="66"/>
      <c r="K758" s="66"/>
      <c r="L758" s="66"/>
      <c r="M758" s="66"/>
      <c r="N758" s="66"/>
    </row>
    <row r="759" spans="1:14" x14ac:dyDescent="0.2">
      <c r="A759" s="84"/>
      <c r="B759" s="84"/>
      <c r="C759" s="60"/>
      <c r="D759" s="66"/>
      <c r="E759" s="66"/>
      <c r="F759" s="66"/>
      <c r="G759" s="66"/>
      <c r="H759" s="66"/>
      <c r="I759" s="66"/>
      <c r="J759" s="66"/>
      <c r="K759" s="66"/>
      <c r="L759" s="66"/>
      <c r="M759" s="66"/>
      <c r="N759" s="66"/>
    </row>
    <row r="760" spans="1:14" x14ac:dyDescent="0.2">
      <c r="A760" s="84"/>
      <c r="B760" s="84"/>
      <c r="C760" s="60"/>
      <c r="D760" s="66"/>
      <c r="E760" s="66"/>
      <c r="F760" s="66"/>
      <c r="G760" s="66"/>
      <c r="H760" s="66"/>
      <c r="I760" s="66"/>
      <c r="J760" s="66"/>
      <c r="K760" s="66"/>
      <c r="L760" s="66"/>
      <c r="M760" s="66"/>
      <c r="N760" s="66"/>
    </row>
    <row r="761" spans="1:14" x14ac:dyDescent="0.2">
      <c r="A761" s="84"/>
      <c r="B761" s="84"/>
      <c r="C761" s="60"/>
      <c r="D761" s="66"/>
      <c r="E761" s="66"/>
      <c r="F761" s="66"/>
      <c r="G761" s="66"/>
      <c r="H761" s="66"/>
      <c r="I761" s="66"/>
      <c r="J761" s="66"/>
      <c r="K761" s="66"/>
      <c r="L761" s="66"/>
      <c r="M761" s="66"/>
      <c r="N761" s="66"/>
    </row>
    <row r="762" spans="1:14" x14ac:dyDescent="0.2">
      <c r="A762" s="84"/>
      <c r="B762" s="84"/>
      <c r="C762" s="60"/>
      <c r="D762" s="66"/>
      <c r="E762" s="66"/>
      <c r="F762" s="66"/>
      <c r="G762" s="66"/>
      <c r="H762" s="66"/>
      <c r="I762" s="66"/>
      <c r="J762" s="66"/>
      <c r="K762" s="66"/>
      <c r="L762" s="66"/>
      <c r="M762" s="66"/>
      <c r="N762" s="66"/>
    </row>
    <row r="763" spans="1:14" x14ac:dyDescent="0.2">
      <c r="A763" s="84"/>
      <c r="B763" s="84"/>
      <c r="C763" s="60"/>
      <c r="D763" s="66"/>
      <c r="E763" s="66"/>
      <c r="F763" s="66"/>
      <c r="G763" s="66"/>
      <c r="H763" s="66"/>
      <c r="I763" s="66"/>
      <c r="J763" s="66"/>
      <c r="K763" s="66"/>
      <c r="L763" s="66"/>
      <c r="M763" s="66"/>
      <c r="N763" s="66"/>
    </row>
    <row r="764" spans="1:14" x14ac:dyDescent="0.2">
      <c r="A764" s="84"/>
      <c r="B764" s="84"/>
      <c r="C764" s="60"/>
      <c r="D764" s="66"/>
      <c r="E764" s="66"/>
      <c r="F764" s="66"/>
      <c r="G764" s="66"/>
      <c r="H764" s="66"/>
      <c r="I764" s="66"/>
      <c r="J764" s="66"/>
      <c r="K764" s="66"/>
      <c r="L764" s="66"/>
      <c r="M764" s="66"/>
      <c r="N764" s="66"/>
    </row>
    <row r="765" spans="1:14" x14ac:dyDescent="0.2">
      <c r="A765" s="84"/>
      <c r="B765" s="84"/>
      <c r="C765" s="60"/>
      <c r="D765" s="66"/>
      <c r="E765" s="66"/>
      <c r="F765" s="66"/>
      <c r="G765" s="66"/>
      <c r="H765" s="66"/>
      <c r="I765" s="66"/>
      <c r="J765" s="66"/>
      <c r="K765" s="66"/>
      <c r="L765" s="66"/>
      <c r="M765" s="66"/>
      <c r="N765" s="66"/>
    </row>
    <row r="766" spans="1:14" x14ac:dyDescent="0.2">
      <c r="A766" s="84"/>
      <c r="B766" s="84"/>
      <c r="C766" s="60"/>
      <c r="D766" s="66"/>
      <c r="E766" s="66"/>
      <c r="F766" s="66"/>
      <c r="G766" s="66"/>
      <c r="H766" s="66"/>
      <c r="I766" s="66"/>
      <c r="J766" s="66"/>
      <c r="K766" s="66"/>
      <c r="L766" s="66"/>
      <c r="M766" s="66"/>
      <c r="N766" s="66"/>
    </row>
    <row r="767" spans="1:14" x14ac:dyDescent="0.2">
      <c r="A767" s="84"/>
      <c r="B767" s="84"/>
      <c r="C767" s="60"/>
      <c r="D767" s="66"/>
      <c r="E767" s="66"/>
      <c r="F767" s="66"/>
      <c r="G767" s="66"/>
      <c r="H767" s="66"/>
      <c r="I767" s="66"/>
      <c r="J767" s="66"/>
      <c r="K767" s="66"/>
      <c r="L767" s="66"/>
      <c r="M767" s="66"/>
      <c r="N767" s="66"/>
    </row>
    <row r="768" spans="1:14" x14ac:dyDescent="0.2">
      <c r="A768" s="84"/>
      <c r="B768" s="84"/>
      <c r="C768" s="60"/>
      <c r="D768" s="66"/>
      <c r="E768" s="66"/>
      <c r="F768" s="66"/>
      <c r="G768" s="66"/>
      <c r="H768" s="66"/>
      <c r="I768" s="66"/>
      <c r="J768" s="66"/>
      <c r="K768" s="66"/>
      <c r="L768" s="66"/>
      <c r="M768" s="66"/>
      <c r="N768" s="66"/>
    </row>
    <row r="769" spans="1:14" x14ac:dyDescent="0.2">
      <c r="A769" s="84"/>
      <c r="B769" s="84"/>
      <c r="C769" s="60"/>
      <c r="D769" s="66"/>
      <c r="E769" s="66"/>
      <c r="F769" s="66"/>
      <c r="G769" s="66"/>
      <c r="H769" s="66"/>
      <c r="I769" s="66"/>
      <c r="J769" s="66"/>
      <c r="K769" s="66"/>
      <c r="L769" s="66"/>
      <c r="M769" s="66"/>
      <c r="N769" s="66"/>
    </row>
    <row r="770" spans="1:14" x14ac:dyDescent="0.2">
      <c r="A770" s="84"/>
      <c r="B770" s="84"/>
      <c r="C770" s="60"/>
      <c r="D770" s="66"/>
      <c r="E770" s="66"/>
      <c r="F770" s="66"/>
      <c r="G770" s="66"/>
      <c r="H770" s="66"/>
      <c r="I770" s="66"/>
      <c r="J770" s="66"/>
      <c r="K770" s="66"/>
      <c r="L770" s="66"/>
      <c r="M770" s="66"/>
      <c r="N770" s="66"/>
    </row>
    <row r="771" spans="1:14" x14ac:dyDescent="0.2">
      <c r="A771" s="84"/>
      <c r="B771" s="84"/>
      <c r="C771" s="60"/>
      <c r="D771" s="66"/>
      <c r="E771" s="66"/>
      <c r="F771" s="66"/>
      <c r="G771" s="66"/>
      <c r="H771" s="66"/>
      <c r="I771" s="66"/>
      <c r="J771" s="66"/>
      <c r="K771" s="66"/>
      <c r="L771" s="66"/>
      <c r="M771" s="66"/>
      <c r="N771" s="66"/>
    </row>
    <row r="772" spans="1:14" x14ac:dyDescent="0.2">
      <c r="A772" s="84"/>
      <c r="B772" s="84"/>
      <c r="C772" s="60"/>
      <c r="D772" s="66"/>
      <c r="E772" s="66"/>
      <c r="F772" s="66"/>
      <c r="G772" s="66"/>
      <c r="H772" s="66"/>
      <c r="I772" s="66"/>
      <c r="J772" s="66"/>
      <c r="K772" s="66"/>
      <c r="L772" s="66"/>
      <c r="M772" s="66"/>
      <c r="N772" s="66"/>
    </row>
    <row r="773" spans="1:14" x14ac:dyDescent="0.2">
      <c r="A773" s="84"/>
      <c r="B773" s="84"/>
      <c r="C773" s="60"/>
      <c r="D773" s="66"/>
      <c r="E773" s="66"/>
      <c r="F773" s="66"/>
      <c r="G773" s="66"/>
      <c r="H773" s="66"/>
      <c r="I773" s="66"/>
      <c r="J773" s="66"/>
      <c r="K773" s="66"/>
      <c r="L773" s="66"/>
      <c r="M773" s="66"/>
      <c r="N773" s="66"/>
    </row>
    <row r="774" spans="1:14" x14ac:dyDescent="0.2">
      <c r="A774" s="84"/>
      <c r="B774" s="84"/>
      <c r="C774" s="60"/>
      <c r="D774" s="66"/>
      <c r="E774" s="66"/>
      <c r="F774" s="66"/>
      <c r="G774" s="66"/>
      <c r="H774" s="66"/>
      <c r="I774" s="66"/>
      <c r="J774" s="66"/>
      <c r="K774" s="66"/>
      <c r="L774" s="66"/>
      <c r="M774" s="66"/>
      <c r="N774" s="66"/>
    </row>
    <row r="775" spans="1:14" x14ac:dyDescent="0.2">
      <c r="A775" s="84"/>
      <c r="B775" s="84"/>
      <c r="C775" s="60"/>
      <c r="D775" s="66"/>
      <c r="E775" s="66"/>
      <c r="F775" s="66"/>
      <c r="G775" s="66"/>
      <c r="H775" s="66"/>
      <c r="I775" s="66"/>
      <c r="J775" s="66"/>
      <c r="K775" s="66"/>
      <c r="L775" s="66"/>
      <c r="M775" s="66"/>
      <c r="N775" s="66"/>
    </row>
    <row r="776" spans="1:14" x14ac:dyDescent="0.2">
      <c r="A776" s="84"/>
      <c r="B776" s="84"/>
      <c r="C776" s="60"/>
      <c r="D776" s="66"/>
      <c r="E776" s="66"/>
      <c r="F776" s="66"/>
      <c r="G776" s="66"/>
      <c r="H776" s="66"/>
      <c r="I776" s="66"/>
      <c r="J776" s="66"/>
      <c r="K776" s="66"/>
      <c r="L776" s="66"/>
      <c r="M776" s="66"/>
      <c r="N776" s="66"/>
    </row>
    <row r="777" spans="1:14" x14ac:dyDescent="0.2">
      <c r="A777" s="84"/>
      <c r="B777" s="84"/>
      <c r="C777" s="60"/>
      <c r="D777" s="66"/>
      <c r="E777" s="66"/>
      <c r="F777" s="66"/>
      <c r="G777" s="66"/>
      <c r="H777" s="66"/>
      <c r="I777" s="66"/>
      <c r="J777" s="66"/>
      <c r="K777" s="66"/>
      <c r="L777" s="66"/>
      <c r="M777" s="66"/>
      <c r="N777" s="66"/>
    </row>
    <row r="778" spans="1:14" x14ac:dyDescent="0.2">
      <c r="A778" s="84"/>
      <c r="B778" s="84"/>
      <c r="C778" s="60"/>
      <c r="D778" s="66"/>
      <c r="E778" s="66"/>
      <c r="F778" s="66"/>
      <c r="G778" s="66"/>
      <c r="H778" s="66"/>
      <c r="I778" s="66"/>
      <c r="J778" s="66"/>
      <c r="K778" s="66"/>
      <c r="L778" s="66"/>
      <c r="M778" s="66"/>
      <c r="N778" s="66"/>
    </row>
    <row r="779" spans="1:14" x14ac:dyDescent="0.2">
      <c r="A779" s="84"/>
      <c r="B779" s="84"/>
      <c r="C779" s="60"/>
      <c r="D779" s="66"/>
      <c r="E779" s="66"/>
      <c r="F779" s="66"/>
      <c r="G779" s="66"/>
      <c r="H779" s="66"/>
      <c r="I779" s="66"/>
      <c r="J779" s="66"/>
      <c r="K779" s="66"/>
      <c r="L779" s="66"/>
      <c r="M779" s="66"/>
      <c r="N779" s="66"/>
    </row>
    <row r="780" spans="1:14" x14ac:dyDescent="0.2">
      <c r="A780" s="84"/>
      <c r="B780" s="84"/>
      <c r="C780" s="60"/>
      <c r="D780" s="66"/>
      <c r="E780" s="66"/>
      <c r="F780" s="66"/>
      <c r="G780" s="66"/>
      <c r="H780" s="66"/>
      <c r="I780" s="66"/>
      <c r="J780" s="66"/>
      <c r="K780" s="66"/>
      <c r="L780" s="66"/>
      <c r="M780" s="66"/>
      <c r="N780" s="66"/>
    </row>
    <row r="781" spans="1:14" x14ac:dyDescent="0.2">
      <c r="A781" s="84"/>
      <c r="B781" s="84"/>
      <c r="C781" s="60"/>
      <c r="D781" s="66"/>
      <c r="E781" s="66"/>
      <c r="F781" s="66"/>
      <c r="G781" s="66"/>
      <c r="H781" s="66"/>
      <c r="I781" s="66"/>
      <c r="J781" s="66"/>
      <c r="K781" s="66"/>
      <c r="L781" s="66"/>
      <c r="M781" s="66"/>
      <c r="N781" s="66"/>
    </row>
    <row r="782" spans="1:14" x14ac:dyDescent="0.2">
      <c r="A782" s="84"/>
      <c r="B782" s="84"/>
      <c r="C782" s="60"/>
      <c r="D782" s="66"/>
      <c r="E782" s="66"/>
      <c r="F782" s="66"/>
      <c r="G782" s="66"/>
      <c r="H782" s="66"/>
      <c r="I782" s="66"/>
      <c r="J782" s="66"/>
      <c r="K782" s="66"/>
      <c r="L782" s="66"/>
      <c r="M782" s="66"/>
      <c r="N782" s="66"/>
    </row>
    <row r="783" spans="1:14" x14ac:dyDescent="0.2">
      <c r="A783" s="84"/>
      <c r="B783" s="84"/>
      <c r="C783" s="60"/>
      <c r="D783" s="66"/>
      <c r="E783" s="66"/>
      <c r="F783" s="66"/>
      <c r="G783" s="66"/>
      <c r="H783" s="66"/>
      <c r="I783" s="66"/>
      <c r="J783" s="66"/>
      <c r="K783" s="66"/>
      <c r="L783" s="66"/>
      <c r="M783" s="66"/>
      <c r="N783" s="66"/>
    </row>
    <row r="784" spans="1:14" x14ac:dyDescent="0.2">
      <c r="A784" s="84"/>
      <c r="B784" s="84"/>
      <c r="C784" s="60"/>
      <c r="D784" s="66"/>
      <c r="E784" s="66"/>
      <c r="F784" s="66"/>
      <c r="G784" s="66"/>
      <c r="H784" s="66"/>
      <c r="I784" s="66"/>
      <c r="J784" s="66"/>
      <c r="K784" s="66"/>
      <c r="L784" s="66"/>
      <c r="M784" s="66"/>
      <c r="N784" s="66"/>
    </row>
    <row r="785" spans="1:14" x14ac:dyDescent="0.2">
      <c r="A785" s="84"/>
      <c r="B785" s="84"/>
      <c r="C785" s="60"/>
      <c r="D785" s="66"/>
      <c r="E785" s="66"/>
      <c r="F785" s="66"/>
      <c r="G785" s="66"/>
      <c r="H785" s="66"/>
      <c r="I785" s="66"/>
      <c r="J785" s="66"/>
      <c r="K785" s="66"/>
      <c r="L785" s="66"/>
      <c r="M785" s="66"/>
      <c r="N785" s="66"/>
    </row>
    <row r="786" spans="1:14" x14ac:dyDescent="0.2">
      <c r="A786" s="84"/>
      <c r="B786" s="84"/>
      <c r="C786" s="60"/>
      <c r="D786" s="66"/>
      <c r="E786" s="66"/>
      <c r="F786" s="66"/>
      <c r="G786" s="66"/>
      <c r="H786" s="66"/>
      <c r="I786" s="66"/>
      <c r="J786" s="66"/>
      <c r="K786" s="66"/>
      <c r="L786" s="66"/>
      <c r="M786" s="66"/>
      <c r="N786" s="66"/>
    </row>
    <row r="787" spans="1:14" x14ac:dyDescent="0.2">
      <c r="A787" s="84"/>
      <c r="B787" s="84"/>
      <c r="C787" s="60"/>
      <c r="D787" s="66"/>
      <c r="E787" s="66"/>
      <c r="F787" s="66"/>
      <c r="G787" s="66"/>
      <c r="H787" s="66"/>
      <c r="I787" s="66"/>
      <c r="J787" s="66"/>
      <c r="K787" s="66"/>
      <c r="L787" s="66"/>
      <c r="M787" s="66"/>
      <c r="N787" s="66"/>
    </row>
    <row r="788" spans="1:14" x14ac:dyDescent="0.2">
      <c r="A788" s="84"/>
      <c r="B788" s="84"/>
      <c r="C788" s="60"/>
      <c r="D788" s="66"/>
      <c r="E788" s="66"/>
      <c r="F788" s="66"/>
      <c r="G788" s="66"/>
      <c r="H788" s="66"/>
      <c r="I788" s="66"/>
      <c r="J788" s="66"/>
      <c r="K788" s="66"/>
      <c r="L788" s="66"/>
      <c r="M788" s="66"/>
      <c r="N788" s="66"/>
    </row>
    <row r="789" spans="1:14" x14ac:dyDescent="0.2">
      <c r="A789" s="84"/>
      <c r="B789" s="84"/>
      <c r="C789" s="60"/>
      <c r="D789" s="66"/>
      <c r="E789" s="66"/>
      <c r="F789" s="66"/>
      <c r="G789" s="66"/>
      <c r="H789" s="66"/>
      <c r="I789" s="66"/>
      <c r="J789" s="66"/>
      <c r="K789" s="66"/>
      <c r="L789" s="66"/>
      <c r="M789" s="66"/>
      <c r="N789" s="66"/>
    </row>
    <row r="790" spans="1:14" x14ac:dyDescent="0.2">
      <c r="A790" s="84"/>
      <c r="B790" s="84"/>
      <c r="C790" s="60"/>
      <c r="D790" s="66"/>
      <c r="E790" s="66"/>
      <c r="F790" s="66"/>
      <c r="G790" s="66"/>
      <c r="H790" s="66"/>
      <c r="I790" s="66"/>
      <c r="J790" s="66"/>
      <c r="K790" s="66"/>
      <c r="L790" s="66"/>
      <c r="M790" s="66"/>
      <c r="N790" s="66"/>
    </row>
    <row r="791" spans="1:14" x14ac:dyDescent="0.2">
      <c r="A791" s="84"/>
      <c r="B791" s="84"/>
      <c r="C791" s="60"/>
      <c r="D791" s="66"/>
      <c r="E791" s="66"/>
      <c r="F791" s="66"/>
      <c r="G791" s="66"/>
      <c r="H791" s="66"/>
      <c r="I791" s="66"/>
      <c r="J791" s="66"/>
      <c r="K791" s="66"/>
      <c r="L791" s="66"/>
      <c r="M791" s="66"/>
      <c r="N791" s="66"/>
    </row>
    <row r="792" spans="1:14" x14ac:dyDescent="0.2">
      <c r="A792" s="84"/>
      <c r="B792" s="84"/>
      <c r="C792" s="60"/>
      <c r="D792" s="66"/>
      <c r="E792" s="66"/>
      <c r="F792" s="66"/>
      <c r="G792" s="66"/>
      <c r="H792" s="66"/>
      <c r="I792" s="66"/>
      <c r="J792" s="66"/>
      <c r="K792" s="66"/>
      <c r="L792" s="66"/>
      <c r="M792" s="66"/>
      <c r="N792" s="66"/>
    </row>
    <row r="793" spans="1:14" x14ac:dyDescent="0.2">
      <c r="A793" s="84"/>
      <c r="B793" s="84"/>
      <c r="C793" s="60"/>
      <c r="D793" s="66"/>
      <c r="E793" s="66"/>
      <c r="F793" s="66"/>
      <c r="G793" s="66"/>
      <c r="H793" s="66"/>
      <c r="I793" s="66"/>
      <c r="J793" s="66"/>
      <c r="K793" s="66"/>
      <c r="L793" s="66"/>
      <c r="M793" s="66"/>
      <c r="N793" s="66"/>
    </row>
    <row r="794" spans="1:14" x14ac:dyDescent="0.2">
      <c r="A794" s="84"/>
      <c r="B794" s="84"/>
      <c r="C794" s="60"/>
      <c r="D794" s="66"/>
      <c r="E794" s="66"/>
      <c r="F794" s="66"/>
      <c r="G794" s="66"/>
      <c r="H794" s="66"/>
      <c r="I794" s="66"/>
      <c r="J794" s="66"/>
      <c r="K794" s="66"/>
      <c r="L794" s="66"/>
      <c r="M794" s="66"/>
      <c r="N794" s="66"/>
    </row>
    <row r="795" spans="1:14" x14ac:dyDescent="0.2">
      <c r="A795" s="84"/>
      <c r="B795" s="84"/>
      <c r="C795" s="60"/>
      <c r="D795" s="66"/>
      <c r="E795" s="66"/>
      <c r="F795" s="66"/>
      <c r="G795" s="66"/>
      <c r="H795" s="66"/>
      <c r="I795" s="66"/>
      <c r="J795" s="66"/>
      <c r="K795" s="66"/>
      <c r="L795" s="66"/>
      <c r="M795" s="66"/>
      <c r="N795" s="66"/>
    </row>
    <row r="796" spans="1:14" x14ac:dyDescent="0.2">
      <c r="A796" s="84"/>
      <c r="B796" s="84"/>
      <c r="C796" s="60"/>
      <c r="D796" s="66"/>
      <c r="E796" s="66"/>
      <c r="F796" s="66"/>
      <c r="G796" s="66"/>
      <c r="H796" s="66"/>
      <c r="I796" s="66"/>
      <c r="J796" s="66"/>
      <c r="K796" s="66"/>
      <c r="L796" s="66"/>
      <c r="M796" s="66"/>
      <c r="N796" s="66"/>
    </row>
    <row r="797" spans="1:14" x14ac:dyDescent="0.2">
      <c r="A797" s="84"/>
      <c r="B797" s="84"/>
      <c r="C797" s="60"/>
      <c r="D797" s="66"/>
      <c r="E797" s="66"/>
      <c r="F797" s="66"/>
      <c r="G797" s="66"/>
      <c r="H797" s="66"/>
      <c r="I797" s="66"/>
      <c r="J797" s="66"/>
      <c r="K797" s="66"/>
      <c r="L797" s="66"/>
      <c r="M797" s="66"/>
      <c r="N797" s="66"/>
    </row>
    <row r="798" spans="1:14" x14ac:dyDescent="0.2">
      <c r="A798" s="84"/>
      <c r="B798" s="84"/>
      <c r="C798" s="60"/>
      <c r="D798" s="66"/>
      <c r="E798" s="66"/>
      <c r="F798" s="66"/>
      <c r="G798" s="66"/>
      <c r="H798" s="66"/>
      <c r="I798" s="66"/>
      <c r="J798" s="66"/>
      <c r="K798" s="66"/>
      <c r="L798" s="66"/>
      <c r="M798" s="66"/>
      <c r="N798" s="66"/>
    </row>
    <row r="799" spans="1:14" x14ac:dyDescent="0.2">
      <c r="A799" s="84"/>
      <c r="B799" s="84"/>
      <c r="C799" s="60"/>
      <c r="D799" s="66"/>
      <c r="E799" s="66"/>
      <c r="F799" s="66"/>
      <c r="G799" s="66"/>
      <c r="H799" s="66"/>
      <c r="I799" s="66"/>
      <c r="J799" s="66"/>
      <c r="K799" s="66"/>
      <c r="L799" s="66"/>
      <c r="M799" s="66"/>
      <c r="N799" s="66"/>
    </row>
    <row r="800" spans="1:14" x14ac:dyDescent="0.2">
      <c r="A800" s="84"/>
      <c r="B800" s="84"/>
      <c r="C800" s="60"/>
      <c r="D800" s="66"/>
      <c r="E800" s="66"/>
      <c r="F800" s="66"/>
      <c r="G800" s="66"/>
      <c r="H800" s="66"/>
      <c r="I800" s="66"/>
      <c r="J800" s="66"/>
      <c r="K800" s="66"/>
      <c r="L800" s="66"/>
      <c r="M800" s="66"/>
      <c r="N800" s="66"/>
    </row>
    <row r="801" spans="1:14" x14ac:dyDescent="0.2">
      <c r="A801" s="84"/>
      <c r="B801" s="84"/>
      <c r="C801" s="60"/>
      <c r="D801" s="66"/>
      <c r="E801" s="66"/>
      <c r="F801" s="66"/>
      <c r="G801" s="66"/>
      <c r="H801" s="66"/>
      <c r="I801" s="66"/>
      <c r="J801" s="66"/>
      <c r="K801" s="66"/>
      <c r="L801" s="66"/>
      <c r="M801" s="66"/>
      <c r="N801" s="66"/>
    </row>
    <row r="802" spans="1:14" x14ac:dyDescent="0.2">
      <c r="A802" s="84"/>
      <c r="B802" s="84"/>
      <c r="C802" s="60"/>
      <c r="D802" s="66"/>
      <c r="E802" s="66"/>
      <c r="F802" s="66"/>
      <c r="G802" s="66"/>
      <c r="H802" s="66"/>
      <c r="I802" s="66"/>
      <c r="J802" s="66"/>
      <c r="K802" s="66"/>
      <c r="L802" s="66"/>
      <c r="M802" s="66"/>
      <c r="N802" s="66"/>
    </row>
    <row r="803" spans="1:14" x14ac:dyDescent="0.2">
      <c r="A803" s="84"/>
      <c r="B803" s="84"/>
      <c r="C803" s="60"/>
      <c r="D803" s="66"/>
      <c r="E803" s="66"/>
      <c r="F803" s="66"/>
      <c r="G803" s="66"/>
      <c r="H803" s="66"/>
      <c r="I803" s="66"/>
      <c r="J803" s="66"/>
      <c r="K803" s="66"/>
      <c r="L803" s="66"/>
      <c r="M803" s="66"/>
      <c r="N803" s="66"/>
    </row>
    <row r="804" spans="1:14" x14ac:dyDescent="0.2">
      <c r="A804" s="84"/>
      <c r="B804" s="84"/>
      <c r="C804" s="60"/>
      <c r="D804" s="66"/>
      <c r="E804" s="66"/>
      <c r="F804" s="66"/>
      <c r="G804" s="66"/>
      <c r="H804" s="66"/>
      <c r="I804" s="66"/>
      <c r="J804" s="66"/>
      <c r="K804" s="66"/>
      <c r="L804" s="66"/>
      <c r="M804" s="66"/>
      <c r="N804" s="66"/>
    </row>
    <row r="805" spans="1:14" x14ac:dyDescent="0.2">
      <c r="A805" s="84"/>
      <c r="B805" s="84"/>
      <c r="C805" s="60"/>
      <c r="D805" s="66"/>
      <c r="E805" s="66"/>
      <c r="F805" s="66"/>
      <c r="G805" s="66"/>
      <c r="H805" s="66"/>
      <c r="I805" s="66"/>
      <c r="J805" s="66"/>
      <c r="K805" s="66"/>
      <c r="L805" s="66"/>
      <c r="M805" s="66"/>
      <c r="N805" s="66"/>
    </row>
    <row r="806" spans="1:14" x14ac:dyDescent="0.2">
      <c r="A806" s="84"/>
      <c r="B806" s="84"/>
      <c r="C806" s="60"/>
      <c r="D806" s="66"/>
      <c r="E806" s="66"/>
      <c r="F806" s="66"/>
      <c r="G806" s="66"/>
      <c r="H806" s="66"/>
      <c r="I806" s="66"/>
      <c r="J806" s="66"/>
      <c r="K806" s="66"/>
      <c r="L806" s="66"/>
      <c r="M806" s="66"/>
      <c r="N806" s="66"/>
    </row>
    <row r="807" spans="1:14" x14ac:dyDescent="0.2">
      <c r="A807" s="84"/>
      <c r="B807" s="84"/>
      <c r="C807" s="60"/>
      <c r="D807" s="66"/>
      <c r="E807" s="66"/>
      <c r="F807" s="66"/>
      <c r="G807" s="66"/>
      <c r="H807" s="66"/>
      <c r="I807" s="66"/>
      <c r="J807" s="66"/>
      <c r="K807" s="66"/>
      <c r="L807" s="66"/>
      <c r="M807" s="66"/>
      <c r="N807" s="66"/>
    </row>
    <row r="808" spans="1:14" x14ac:dyDescent="0.2">
      <c r="A808" s="84"/>
      <c r="B808" s="84"/>
      <c r="C808" s="60"/>
      <c r="D808" s="66"/>
      <c r="E808" s="66"/>
      <c r="F808" s="66"/>
      <c r="G808" s="66"/>
      <c r="H808" s="66"/>
      <c r="I808" s="66"/>
      <c r="J808" s="66"/>
      <c r="K808" s="66"/>
      <c r="L808" s="66"/>
      <c r="M808" s="66"/>
      <c r="N808" s="66"/>
    </row>
    <row r="809" spans="1:14" x14ac:dyDescent="0.2">
      <c r="A809" s="84"/>
      <c r="B809" s="84"/>
      <c r="C809" s="60"/>
      <c r="D809" s="66"/>
      <c r="E809" s="66"/>
      <c r="F809" s="66"/>
      <c r="G809" s="66"/>
      <c r="H809" s="66"/>
      <c r="I809" s="66"/>
      <c r="J809" s="66"/>
      <c r="K809" s="66"/>
      <c r="L809" s="66"/>
      <c r="M809" s="66"/>
      <c r="N809" s="66"/>
    </row>
    <row r="810" spans="1:14" x14ac:dyDescent="0.2">
      <c r="A810" s="84"/>
      <c r="B810" s="84"/>
      <c r="C810" s="60"/>
      <c r="D810" s="66"/>
      <c r="E810" s="66"/>
      <c r="F810" s="66"/>
      <c r="G810" s="66"/>
      <c r="H810" s="66"/>
      <c r="I810" s="66"/>
      <c r="J810" s="66"/>
      <c r="K810" s="66"/>
      <c r="L810" s="66"/>
      <c r="M810" s="66"/>
      <c r="N810" s="66"/>
    </row>
    <row r="811" spans="1:14" x14ac:dyDescent="0.2">
      <c r="A811" s="84"/>
      <c r="B811" s="84"/>
      <c r="C811" s="60"/>
      <c r="D811" s="66"/>
      <c r="E811" s="66"/>
      <c r="F811" s="66"/>
      <c r="G811" s="66"/>
      <c r="H811" s="66"/>
      <c r="I811" s="66"/>
      <c r="J811" s="66"/>
      <c r="K811" s="66"/>
      <c r="L811" s="66"/>
      <c r="M811" s="66"/>
      <c r="N811" s="66"/>
    </row>
    <row r="812" spans="1:14" x14ac:dyDescent="0.2">
      <c r="A812" s="84"/>
      <c r="B812" s="84"/>
      <c r="C812" s="60"/>
      <c r="D812" s="66"/>
      <c r="E812" s="66"/>
      <c r="F812" s="66"/>
      <c r="G812" s="66"/>
      <c r="H812" s="66"/>
      <c r="I812" s="66"/>
      <c r="J812" s="66"/>
      <c r="K812" s="66"/>
      <c r="L812" s="66"/>
      <c r="M812" s="66"/>
      <c r="N812" s="66"/>
    </row>
    <row r="813" spans="1:14" x14ac:dyDescent="0.2">
      <c r="A813" s="84"/>
      <c r="B813" s="84"/>
      <c r="C813" s="60"/>
      <c r="D813" s="66"/>
      <c r="E813" s="66"/>
      <c r="F813" s="66"/>
      <c r="G813" s="66"/>
      <c r="H813" s="66"/>
      <c r="I813" s="66"/>
      <c r="J813" s="66"/>
      <c r="K813" s="66"/>
      <c r="L813" s="66"/>
      <c r="M813" s="66"/>
      <c r="N813" s="66"/>
    </row>
    <row r="814" spans="1:14" x14ac:dyDescent="0.2">
      <c r="A814" s="84"/>
      <c r="B814" s="84"/>
      <c r="C814" s="60"/>
      <c r="D814" s="66"/>
      <c r="E814" s="66"/>
      <c r="F814" s="66"/>
      <c r="G814" s="66"/>
      <c r="H814" s="66"/>
      <c r="I814" s="66"/>
      <c r="J814" s="66"/>
      <c r="K814" s="66"/>
      <c r="L814" s="66"/>
      <c r="M814" s="66"/>
      <c r="N814" s="66"/>
    </row>
    <row r="815" spans="1:14" x14ac:dyDescent="0.2">
      <c r="A815" s="84"/>
      <c r="B815" s="84"/>
      <c r="C815" s="60"/>
      <c r="D815" s="66"/>
      <c r="E815" s="66"/>
      <c r="F815" s="66"/>
      <c r="G815" s="66"/>
      <c r="H815" s="66"/>
      <c r="I815" s="66"/>
      <c r="J815" s="66"/>
      <c r="K815" s="66"/>
      <c r="L815" s="66"/>
      <c r="M815" s="66"/>
      <c r="N815" s="66"/>
    </row>
    <row r="816" spans="1:14" x14ac:dyDescent="0.2">
      <c r="A816" s="84"/>
      <c r="B816" s="84"/>
      <c r="C816" s="60"/>
      <c r="D816" s="66"/>
      <c r="E816" s="66"/>
      <c r="F816" s="66"/>
      <c r="G816" s="66"/>
      <c r="H816" s="66"/>
      <c r="I816" s="66"/>
      <c r="J816" s="66"/>
      <c r="K816" s="66"/>
      <c r="L816" s="66"/>
      <c r="M816" s="66"/>
      <c r="N816" s="66"/>
    </row>
    <row r="817" spans="1:14" x14ac:dyDescent="0.2">
      <c r="A817" s="84"/>
      <c r="B817" s="84"/>
      <c r="C817" s="60"/>
      <c r="D817" s="66"/>
      <c r="E817" s="66"/>
      <c r="F817" s="66"/>
      <c r="G817" s="66"/>
      <c r="H817" s="66"/>
      <c r="I817" s="66"/>
      <c r="J817" s="66"/>
      <c r="K817" s="66"/>
      <c r="L817" s="66"/>
      <c r="M817" s="66"/>
      <c r="N817" s="66"/>
    </row>
    <row r="818" spans="1:14" x14ac:dyDescent="0.2">
      <c r="A818" s="84"/>
      <c r="B818" s="84"/>
      <c r="C818" s="60"/>
      <c r="D818" s="66"/>
      <c r="E818" s="66"/>
      <c r="F818" s="66"/>
      <c r="G818" s="66"/>
      <c r="H818" s="66"/>
      <c r="I818" s="66"/>
      <c r="J818" s="66"/>
      <c r="K818" s="66"/>
      <c r="L818" s="66"/>
      <c r="M818" s="66"/>
      <c r="N818" s="66"/>
    </row>
    <row r="819" spans="1:14" x14ac:dyDescent="0.2">
      <c r="A819" s="84"/>
      <c r="B819" s="84"/>
      <c r="C819" s="60"/>
      <c r="D819" s="66"/>
      <c r="E819" s="66"/>
      <c r="F819" s="66"/>
      <c r="G819" s="66"/>
      <c r="H819" s="66"/>
      <c r="I819" s="66"/>
      <c r="J819" s="66"/>
      <c r="K819" s="66"/>
      <c r="L819" s="66"/>
      <c r="M819" s="66"/>
      <c r="N819" s="66"/>
    </row>
    <row r="820" spans="1:14" x14ac:dyDescent="0.2">
      <c r="A820" s="84"/>
      <c r="B820" s="84"/>
      <c r="C820" s="60"/>
      <c r="D820" s="66"/>
      <c r="E820" s="66"/>
      <c r="F820" s="66"/>
      <c r="G820" s="66"/>
      <c r="H820" s="66"/>
      <c r="I820" s="66"/>
      <c r="J820" s="66"/>
      <c r="K820" s="66"/>
      <c r="L820" s="66"/>
      <c r="M820" s="66"/>
      <c r="N820" s="66"/>
    </row>
    <row r="821" spans="1:14" x14ac:dyDescent="0.2">
      <c r="A821" s="84"/>
      <c r="B821" s="84"/>
      <c r="C821" s="60"/>
      <c r="D821" s="66"/>
      <c r="E821" s="66"/>
      <c r="F821" s="66"/>
      <c r="G821" s="66"/>
      <c r="H821" s="66"/>
      <c r="I821" s="66"/>
      <c r="J821" s="66"/>
      <c r="K821" s="66"/>
      <c r="L821" s="66"/>
      <c r="M821" s="66"/>
      <c r="N821" s="66"/>
    </row>
    <row r="822" spans="1:14" x14ac:dyDescent="0.2">
      <c r="A822" s="84"/>
      <c r="B822" s="84"/>
      <c r="C822" s="60"/>
      <c r="D822" s="66"/>
      <c r="E822" s="66"/>
      <c r="F822" s="66"/>
      <c r="G822" s="66"/>
      <c r="H822" s="66"/>
      <c r="I822" s="66"/>
      <c r="J822" s="66"/>
      <c r="K822" s="66"/>
      <c r="L822" s="66"/>
      <c r="M822" s="66"/>
      <c r="N822" s="66"/>
    </row>
    <row r="823" spans="1:14" x14ac:dyDescent="0.2">
      <c r="A823" s="84"/>
      <c r="B823" s="84"/>
      <c r="C823" s="60"/>
      <c r="D823" s="66"/>
      <c r="E823" s="66"/>
      <c r="F823" s="66"/>
      <c r="G823" s="66"/>
      <c r="H823" s="66"/>
      <c r="I823" s="66"/>
      <c r="J823" s="66"/>
      <c r="K823" s="66"/>
      <c r="L823" s="66"/>
      <c r="M823" s="66"/>
      <c r="N823" s="66"/>
    </row>
    <row r="824" spans="1:14" x14ac:dyDescent="0.2">
      <c r="A824" s="84"/>
      <c r="B824" s="84"/>
      <c r="C824" s="60"/>
      <c r="D824" s="66"/>
      <c r="E824" s="66"/>
      <c r="F824" s="66"/>
      <c r="G824" s="66"/>
      <c r="H824" s="66"/>
      <c r="I824" s="66"/>
      <c r="J824" s="66"/>
      <c r="K824" s="66"/>
      <c r="L824" s="66"/>
      <c r="M824" s="66"/>
      <c r="N824" s="66"/>
    </row>
    <row r="825" spans="1:14" x14ac:dyDescent="0.2">
      <c r="A825" s="84"/>
      <c r="B825" s="84"/>
      <c r="C825" s="60"/>
      <c r="D825" s="66"/>
      <c r="E825" s="66"/>
      <c r="F825" s="66"/>
      <c r="G825" s="66"/>
      <c r="H825" s="66"/>
      <c r="I825" s="66"/>
      <c r="J825" s="66"/>
      <c r="K825" s="66"/>
      <c r="L825" s="66"/>
      <c r="M825" s="66"/>
      <c r="N825" s="66"/>
    </row>
    <row r="826" spans="1:14" x14ac:dyDescent="0.2">
      <c r="A826" s="84"/>
      <c r="B826" s="84"/>
      <c r="C826" s="60"/>
      <c r="D826" s="66"/>
      <c r="E826" s="66"/>
      <c r="F826" s="66"/>
      <c r="G826" s="66"/>
      <c r="H826" s="66"/>
      <c r="I826" s="66"/>
      <c r="J826" s="66"/>
      <c r="K826" s="66"/>
      <c r="L826" s="66"/>
      <c r="M826" s="66"/>
      <c r="N826" s="66"/>
    </row>
    <row r="827" spans="1:14" x14ac:dyDescent="0.2">
      <c r="A827" s="84"/>
      <c r="B827" s="84"/>
      <c r="C827" s="60"/>
      <c r="D827" s="66"/>
      <c r="E827" s="66"/>
      <c r="F827" s="66"/>
      <c r="G827" s="66"/>
      <c r="H827" s="66"/>
      <c r="I827" s="66"/>
      <c r="J827" s="66"/>
      <c r="K827" s="66"/>
      <c r="L827" s="66"/>
      <c r="M827" s="66"/>
      <c r="N827" s="66"/>
    </row>
    <row r="828" spans="1:14" x14ac:dyDescent="0.2">
      <c r="A828" s="84"/>
      <c r="B828" s="84"/>
      <c r="C828" s="60"/>
      <c r="D828" s="66"/>
      <c r="E828" s="66"/>
      <c r="F828" s="66"/>
      <c r="G828" s="66"/>
      <c r="H828" s="66"/>
      <c r="I828" s="66"/>
      <c r="J828" s="66"/>
      <c r="K828" s="66"/>
      <c r="L828" s="66"/>
      <c r="M828" s="66"/>
      <c r="N828" s="66"/>
    </row>
    <row r="829" spans="1:14" x14ac:dyDescent="0.2">
      <c r="A829" s="84"/>
      <c r="B829" s="84"/>
      <c r="C829" s="60"/>
      <c r="D829" s="66"/>
      <c r="E829" s="66"/>
      <c r="F829" s="66"/>
      <c r="G829" s="66"/>
      <c r="H829" s="66"/>
      <c r="I829" s="66"/>
      <c r="J829" s="66"/>
      <c r="K829" s="66"/>
      <c r="L829" s="66"/>
      <c r="M829" s="66"/>
      <c r="N829" s="66"/>
    </row>
    <row r="830" spans="1:14" x14ac:dyDescent="0.2">
      <c r="A830" s="84"/>
      <c r="B830" s="84"/>
      <c r="C830" s="60"/>
      <c r="D830" s="66"/>
      <c r="E830" s="66"/>
      <c r="F830" s="66"/>
      <c r="G830" s="66"/>
      <c r="H830" s="66"/>
      <c r="I830" s="66"/>
      <c r="J830" s="66"/>
      <c r="K830" s="66"/>
      <c r="L830" s="66"/>
      <c r="M830" s="66"/>
      <c r="N830" s="66"/>
    </row>
    <row r="831" spans="1:14" x14ac:dyDescent="0.2">
      <c r="A831" s="84"/>
      <c r="B831" s="84"/>
      <c r="C831" s="60"/>
      <c r="D831" s="66"/>
      <c r="E831" s="66"/>
      <c r="F831" s="66"/>
      <c r="G831" s="66"/>
      <c r="H831" s="66"/>
      <c r="I831" s="66"/>
      <c r="J831" s="66"/>
      <c r="K831" s="66"/>
      <c r="L831" s="66"/>
      <c r="M831" s="66"/>
      <c r="N831" s="66"/>
    </row>
    <row r="832" spans="1:14" x14ac:dyDescent="0.2">
      <c r="A832" s="84"/>
      <c r="B832" s="84"/>
      <c r="C832" s="60"/>
      <c r="D832" s="66"/>
      <c r="E832" s="66"/>
      <c r="F832" s="66"/>
      <c r="G832" s="66"/>
      <c r="H832" s="66"/>
      <c r="I832" s="66"/>
      <c r="J832" s="66"/>
      <c r="K832" s="66"/>
      <c r="L832" s="66"/>
      <c r="M832" s="66"/>
      <c r="N832" s="66"/>
    </row>
    <row r="833" spans="1:14" x14ac:dyDescent="0.2">
      <c r="A833" s="84"/>
      <c r="B833" s="84"/>
      <c r="C833" s="60"/>
      <c r="D833" s="66"/>
      <c r="E833" s="66"/>
      <c r="F833" s="66"/>
      <c r="G833" s="66"/>
      <c r="H833" s="66"/>
      <c r="I833" s="66"/>
      <c r="J833" s="66"/>
      <c r="K833" s="66"/>
      <c r="L833" s="66"/>
      <c r="M833" s="66"/>
      <c r="N833" s="66"/>
    </row>
    <row r="834" spans="1:14" x14ac:dyDescent="0.2">
      <c r="A834" s="84"/>
      <c r="B834" s="84"/>
      <c r="C834" s="60"/>
      <c r="D834" s="66"/>
      <c r="E834" s="66"/>
      <c r="F834" s="66"/>
      <c r="G834" s="66"/>
      <c r="H834" s="66"/>
      <c r="I834" s="66"/>
      <c r="J834" s="66"/>
      <c r="K834" s="66"/>
      <c r="L834" s="66"/>
      <c r="M834" s="66"/>
      <c r="N834" s="66"/>
    </row>
    <row r="835" spans="1:14" x14ac:dyDescent="0.2">
      <c r="A835" s="84"/>
      <c r="B835" s="84"/>
      <c r="C835" s="60"/>
      <c r="D835" s="66"/>
      <c r="E835" s="66"/>
      <c r="F835" s="66"/>
      <c r="G835" s="66"/>
      <c r="H835" s="66"/>
      <c r="I835" s="66"/>
      <c r="J835" s="66"/>
      <c r="K835" s="66"/>
      <c r="L835" s="66"/>
      <c r="M835" s="66"/>
      <c r="N835" s="66"/>
    </row>
    <row r="836" spans="1:14" x14ac:dyDescent="0.2">
      <c r="A836" s="84"/>
      <c r="B836" s="84"/>
      <c r="C836" s="60"/>
      <c r="D836" s="66"/>
      <c r="E836" s="66"/>
      <c r="F836" s="66"/>
      <c r="G836" s="66"/>
      <c r="H836" s="66"/>
      <c r="I836" s="66"/>
      <c r="J836" s="66"/>
      <c r="K836" s="66"/>
      <c r="L836" s="66"/>
      <c r="M836" s="66"/>
      <c r="N836" s="66"/>
    </row>
    <row r="837" spans="1:14" x14ac:dyDescent="0.2">
      <c r="A837" s="84"/>
      <c r="B837" s="84"/>
      <c r="C837" s="60"/>
      <c r="D837" s="66"/>
      <c r="E837" s="66"/>
      <c r="F837" s="66"/>
      <c r="G837" s="66"/>
      <c r="H837" s="66"/>
      <c r="I837" s="66"/>
      <c r="J837" s="66"/>
      <c r="K837" s="66"/>
      <c r="L837" s="66"/>
      <c r="M837" s="66"/>
      <c r="N837" s="66"/>
    </row>
    <row r="838" spans="1:14" x14ac:dyDescent="0.2">
      <c r="A838" s="84"/>
      <c r="B838" s="84"/>
      <c r="C838" s="60"/>
      <c r="D838" s="66"/>
      <c r="E838" s="66"/>
      <c r="F838" s="66"/>
      <c r="G838" s="66"/>
      <c r="H838" s="66"/>
      <c r="I838" s="66"/>
      <c r="J838" s="66"/>
      <c r="K838" s="66"/>
      <c r="L838" s="66"/>
      <c r="M838" s="66"/>
      <c r="N838" s="66"/>
    </row>
    <row r="839" spans="1:14" x14ac:dyDescent="0.2">
      <c r="A839" s="84"/>
      <c r="B839" s="84"/>
      <c r="C839" s="60"/>
      <c r="D839" s="66"/>
      <c r="E839" s="66"/>
      <c r="F839" s="66"/>
      <c r="G839" s="66"/>
      <c r="H839" s="66"/>
      <c r="I839" s="66"/>
      <c r="J839" s="66"/>
      <c r="K839" s="66"/>
      <c r="L839" s="66"/>
      <c r="M839" s="66"/>
      <c r="N839" s="66"/>
    </row>
    <row r="840" spans="1:14" x14ac:dyDescent="0.2">
      <c r="A840" s="84"/>
      <c r="B840" s="84"/>
      <c r="C840" s="60"/>
      <c r="D840" s="66"/>
      <c r="E840" s="66"/>
      <c r="F840" s="66"/>
      <c r="G840" s="66"/>
      <c r="H840" s="66"/>
      <c r="I840" s="66"/>
      <c r="J840" s="66"/>
      <c r="K840" s="66"/>
      <c r="L840" s="66"/>
      <c r="M840" s="66"/>
      <c r="N840" s="66"/>
    </row>
    <row r="841" spans="1:14" x14ac:dyDescent="0.2">
      <c r="A841" s="84"/>
      <c r="B841" s="84"/>
      <c r="C841" s="60"/>
      <c r="D841" s="66"/>
      <c r="E841" s="66"/>
      <c r="F841" s="66"/>
      <c r="G841" s="66"/>
      <c r="H841" s="66"/>
      <c r="I841" s="66"/>
      <c r="J841" s="66"/>
      <c r="K841" s="66"/>
      <c r="L841" s="66"/>
      <c r="M841" s="66"/>
      <c r="N841" s="66"/>
    </row>
    <row r="842" spans="1:14" x14ac:dyDescent="0.2">
      <c r="A842" s="84"/>
      <c r="B842" s="84"/>
      <c r="C842" s="60"/>
      <c r="D842" s="66"/>
      <c r="E842" s="66"/>
      <c r="F842" s="66"/>
      <c r="G842" s="66"/>
      <c r="H842" s="66"/>
      <c r="I842" s="66"/>
      <c r="J842" s="66"/>
      <c r="K842" s="66"/>
      <c r="L842" s="66"/>
      <c r="M842" s="66"/>
      <c r="N842" s="66"/>
    </row>
    <row r="843" spans="1:14" x14ac:dyDescent="0.2">
      <c r="A843" s="84"/>
      <c r="B843" s="84"/>
      <c r="C843" s="60"/>
      <c r="D843" s="66"/>
      <c r="E843" s="66"/>
      <c r="F843" s="66"/>
      <c r="G843" s="66"/>
      <c r="H843" s="66"/>
      <c r="I843" s="66"/>
      <c r="J843" s="66"/>
      <c r="K843" s="66"/>
      <c r="L843" s="66"/>
      <c r="M843" s="66"/>
      <c r="N843" s="66"/>
    </row>
    <row r="844" spans="1:14" x14ac:dyDescent="0.2">
      <c r="A844" s="84"/>
      <c r="B844" s="84"/>
      <c r="C844" s="60"/>
      <c r="D844" s="66"/>
      <c r="E844" s="66"/>
      <c r="F844" s="66"/>
      <c r="G844" s="66"/>
      <c r="H844" s="66"/>
      <c r="I844" s="66"/>
      <c r="J844" s="66"/>
      <c r="K844" s="66"/>
      <c r="L844" s="66"/>
      <c r="M844" s="66"/>
      <c r="N844" s="66"/>
    </row>
    <row r="845" spans="1:14" x14ac:dyDescent="0.2">
      <c r="A845" s="84"/>
      <c r="B845" s="84"/>
      <c r="C845" s="60"/>
      <c r="D845" s="66"/>
      <c r="E845" s="66"/>
      <c r="F845" s="66"/>
      <c r="G845" s="66"/>
      <c r="H845" s="66"/>
      <c r="I845" s="66"/>
      <c r="J845" s="66"/>
      <c r="K845" s="66"/>
      <c r="L845" s="66"/>
      <c r="M845" s="66"/>
      <c r="N845" s="66"/>
    </row>
    <row r="846" spans="1:14" x14ac:dyDescent="0.2">
      <c r="A846" s="84"/>
      <c r="B846" s="84"/>
      <c r="C846" s="60"/>
      <c r="D846" s="66"/>
      <c r="E846" s="66"/>
      <c r="F846" s="66"/>
      <c r="G846" s="66"/>
      <c r="H846" s="66"/>
      <c r="I846" s="66"/>
      <c r="J846" s="66"/>
      <c r="K846" s="66"/>
      <c r="L846" s="66"/>
      <c r="M846" s="66"/>
      <c r="N846" s="66"/>
    </row>
    <row r="847" spans="1:14" x14ac:dyDescent="0.2">
      <c r="A847" s="84"/>
      <c r="B847" s="84"/>
      <c r="C847" s="60"/>
      <c r="D847" s="66"/>
      <c r="E847" s="66"/>
      <c r="F847" s="66"/>
      <c r="G847" s="66"/>
      <c r="H847" s="66"/>
      <c r="I847" s="66"/>
      <c r="J847" s="66"/>
      <c r="K847" s="66"/>
      <c r="L847" s="66"/>
      <c r="M847" s="66"/>
      <c r="N847" s="66"/>
    </row>
    <row r="848" spans="1:14" x14ac:dyDescent="0.2">
      <c r="A848" s="84"/>
      <c r="B848" s="84"/>
      <c r="C848" s="60"/>
      <c r="D848" s="66"/>
      <c r="E848" s="66"/>
      <c r="F848" s="66"/>
      <c r="G848" s="66"/>
      <c r="H848" s="66"/>
      <c r="I848" s="66"/>
      <c r="J848" s="66"/>
      <c r="K848" s="66"/>
      <c r="L848" s="66"/>
      <c r="M848" s="66"/>
      <c r="N848" s="66"/>
    </row>
    <row r="849" spans="1:14" x14ac:dyDescent="0.2">
      <c r="A849" s="84"/>
      <c r="B849" s="84"/>
      <c r="C849" s="60"/>
      <c r="D849" s="66"/>
      <c r="E849" s="66"/>
      <c r="F849" s="66"/>
      <c r="G849" s="66"/>
      <c r="H849" s="66"/>
      <c r="I849" s="66"/>
      <c r="J849" s="66"/>
      <c r="K849" s="66"/>
      <c r="L849" s="66"/>
      <c r="M849" s="66"/>
      <c r="N849" s="66"/>
    </row>
    <row r="850" spans="1:14" x14ac:dyDescent="0.2">
      <c r="A850" s="84"/>
      <c r="B850" s="84"/>
      <c r="C850" s="60"/>
      <c r="D850" s="66"/>
      <c r="E850" s="66"/>
      <c r="F850" s="66"/>
      <c r="G850" s="66"/>
      <c r="H850" s="66"/>
      <c r="I850" s="66"/>
      <c r="J850" s="66"/>
      <c r="K850" s="66"/>
      <c r="L850" s="66"/>
      <c r="M850" s="66"/>
      <c r="N850" s="66"/>
    </row>
    <row r="851" spans="1:14" x14ac:dyDescent="0.2">
      <c r="A851" s="84"/>
      <c r="B851" s="84"/>
      <c r="C851" s="60"/>
      <c r="D851" s="66"/>
      <c r="E851" s="66"/>
      <c r="F851" s="66"/>
      <c r="G851" s="66"/>
      <c r="H851" s="66"/>
      <c r="I851" s="66"/>
      <c r="J851" s="66"/>
      <c r="K851" s="66"/>
      <c r="L851" s="66"/>
      <c r="M851" s="66"/>
      <c r="N851" s="66"/>
    </row>
    <row r="852" spans="1:14" x14ac:dyDescent="0.2">
      <c r="A852" s="84"/>
      <c r="B852" s="84"/>
      <c r="C852" s="60"/>
      <c r="D852" s="66"/>
      <c r="E852" s="66"/>
      <c r="F852" s="66"/>
      <c r="G852" s="66"/>
      <c r="H852" s="66"/>
      <c r="I852" s="66"/>
      <c r="J852" s="66"/>
      <c r="K852" s="66"/>
      <c r="L852" s="66"/>
      <c r="M852" s="66"/>
      <c r="N852" s="66"/>
    </row>
    <row r="853" spans="1:14" x14ac:dyDescent="0.2">
      <c r="A853" s="84"/>
      <c r="B853" s="84"/>
      <c r="C853" s="60"/>
      <c r="D853" s="66"/>
      <c r="E853" s="66"/>
      <c r="F853" s="66"/>
      <c r="G853" s="66"/>
      <c r="H853" s="66"/>
      <c r="I853" s="66"/>
      <c r="J853" s="66"/>
      <c r="K853" s="66"/>
      <c r="L853" s="66"/>
      <c r="M853" s="66"/>
      <c r="N853" s="66"/>
    </row>
    <row r="854" spans="1:14" x14ac:dyDescent="0.2">
      <c r="A854" s="84"/>
      <c r="B854" s="84"/>
      <c r="C854" s="60"/>
      <c r="D854" s="66"/>
      <c r="E854" s="66"/>
      <c r="F854" s="66"/>
      <c r="G854" s="66"/>
      <c r="H854" s="66"/>
      <c r="I854" s="66"/>
      <c r="J854" s="66"/>
      <c r="K854" s="66"/>
      <c r="L854" s="66"/>
      <c r="M854" s="66"/>
      <c r="N854" s="66"/>
    </row>
    <row r="855" spans="1:14" x14ac:dyDescent="0.2">
      <c r="A855" s="84"/>
      <c r="B855" s="84"/>
      <c r="C855" s="60"/>
      <c r="D855" s="66"/>
      <c r="E855" s="66"/>
      <c r="F855" s="66"/>
      <c r="G855" s="66"/>
      <c r="H855" s="66"/>
      <c r="I855" s="66"/>
      <c r="J855" s="66"/>
      <c r="K855" s="66"/>
      <c r="L855" s="66"/>
      <c r="M855" s="66"/>
      <c r="N855" s="66"/>
    </row>
    <row r="856" spans="1:14" x14ac:dyDescent="0.2">
      <c r="A856" s="84"/>
      <c r="B856" s="84"/>
      <c r="C856" s="60"/>
      <c r="D856" s="66"/>
      <c r="E856" s="66"/>
      <c r="F856" s="66"/>
      <c r="G856" s="66"/>
      <c r="H856" s="66"/>
      <c r="I856" s="66"/>
      <c r="J856" s="66"/>
      <c r="K856" s="66"/>
      <c r="L856" s="66"/>
      <c r="M856" s="66"/>
      <c r="N856" s="66"/>
    </row>
    <row r="857" spans="1:14" x14ac:dyDescent="0.2">
      <c r="A857" s="84"/>
      <c r="B857" s="84"/>
      <c r="C857" s="60"/>
      <c r="D857" s="66"/>
      <c r="E857" s="66"/>
      <c r="F857" s="66"/>
      <c r="G857" s="66"/>
      <c r="H857" s="66"/>
      <c r="I857" s="66"/>
      <c r="J857" s="66"/>
      <c r="K857" s="66"/>
      <c r="L857" s="66"/>
      <c r="M857" s="66"/>
      <c r="N857" s="66"/>
    </row>
    <row r="858" spans="1:14" x14ac:dyDescent="0.2">
      <c r="A858" s="84"/>
      <c r="B858" s="84"/>
      <c r="C858" s="60"/>
      <c r="D858" s="66"/>
      <c r="E858" s="66"/>
      <c r="F858" s="66"/>
      <c r="G858" s="66"/>
      <c r="H858" s="66"/>
      <c r="I858" s="66"/>
      <c r="J858" s="66"/>
      <c r="K858" s="66"/>
      <c r="L858" s="66"/>
      <c r="M858" s="66"/>
      <c r="N858" s="66"/>
    </row>
    <row r="859" spans="1:14" x14ac:dyDescent="0.2">
      <c r="A859" s="84"/>
      <c r="B859" s="84"/>
      <c r="C859" s="60"/>
      <c r="D859" s="66"/>
      <c r="E859" s="66"/>
      <c r="F859" s="66"/>
      <c r="G859" s="66"/>
      <c r="H859" s="66"/>
      <c r="I859" s="66"/>
      <c r="J859" s="66"/>
      <c r="K859" s="66"/>
      <c r="L859" s="66"/>
      <c r="M859" s="66"/>
      <c r="N859" s="66"/>
    </row>
    <row r="860" spans="1:14" x14ac:dyDescent="0.2">
      <c r="A860" s="84"/>
      <c r="B860" s="84"/>
      <c r="C860" s="60"/>
      <c r="D860" s="66"/>
      <c r="E860" s="66"/>
      <c r="F860" s="66"/>
      <c r="G860" s="66"/>
      <c r="H860" s="66"/>
      <c r="I860" s="66"/>
      <c r="J860" s="66"/>
      <c r="K860" s="66"/>
      <c r="L860" s="66"/>
      <c r="M860" s="66"/>
      <c r="N860" s="66"/>
    </row>
    <row r="861" spans="1:14" x14ac:dyDescent="0.2">
      <c r="A861" s="84"/>
      <c r="B861" s="84"/>
      <c r="C861" s="60"/>
      <c r="D861" s="66"/>
      <c r="E861" s="66"/>
      <c r="F861" s="66"/>
      <c r="G861" s="66"/>
      <c r="H861" s="66"/>
      <c r="I861" s="66"/>
      <c r="J861" s="66"/>
      <c r="K861" s="66"/>
      <c r="L861" s="66"/>
      <c r="M861" s="66"/>
      <c r="N861" s="66"/>
    </row>
    <row r="862" spans="1:14" x14ac:dyDescent="0.2">
      <c r="A862" s="84"/>
      <c r="B862" s="84"/>
      <c r="C862" s="60"/>
      <c r="D862" s="66"/>
      <c r="E862" s="66"/>
      <c r="F862" s="66"/>
      <c r="G862" s="66"/>
      <c r="H862" s="66"/>
      <c r="I862" s="66"/>
      <c r="J862" s="66"/>
      <c r="K862" s="66"/>
      <c r="L862" s="66"/>
      <c r="M862" s="66"/>
      <c r="N862" s="66"/>
    </row>
    <row r="863" spans="1:14" x14ac:dyDescent="0.2">
      <c r="A863" s="84"/>
      <c r="B863" s="84"/>
      <c r="C863" s="60"/>
      <c r="D863" s="66"/>
      <c r="E863" s="66"/>
      <c r="F863" s="66"/>
      <c r="G863" s="66"/>
      <c r="H863" s="66"/>
      <c r="I863" s="66"/>
      <c r="J863" s="66"/>
      <c r="K863" s="66"/>
      <c r="L863" s="66"/>
      <c r="M863" s="66"/>
      <c r="N863" s="66"/>
    </row>
    <row r="864" spans="1:14" x14ac:dyDescent="0.2">
      <c r="A864" s="84"/>
      <c r="B864" s="84"/>
      <c r="C864" s="60"/>
      <c r="D864" s="66"/>
      <c r="E864" s="66"/>
      <c r="F864" s="66"/>
      <c r="G864" s="66"/>
      <c r="H864" s="66"/>
      <c r="I864" s="66"/>
      <c r="J864" s="66"/>
      <c r="K864" s="66"/>
      <c r="L864" s="66"/>
      <c r="M864" s="66"/>
      <c r="N864" s="66"/>
    </row>
    <row r="865" spans="1:14" x14ac:dyDescent="0.2">
      <c r="A865" s="84"/>
      <c r="B865" s="84"/>
      <c r="C865" s="60"/>
      <c r="D865" s="66"/>
      <c r="E865" s="66"/>
      <c r="F865" s="66"/>
      <c r="G865" s="66"/>
      <c r="H865" s="66"/>
      <c r="I865" s="66"/>
      <c r="J865" s="66"/>
      <c r="K865" s="66"/>
      <c r="L865" s="66"/>
      <c r="M865" s="66"/>
      <c r="N865" s="66"/>
    </row>
    <row r="866" spans="1:14" x14ac:dyDescent="0.2">
      <c r="A866" s="84"/>
      <c r="B866" s="84"/>
      <c r="C866" s="60"/>
      <c r="D866" s="66"/>
      <c r="E866" s="66"/>
      <c r="F866" s="66"/>
      <c r="G866" s="66"/>
      <c r="H866" s="66"/>
      <c r="I866" s="66"/>
      <c r="J866" s="66"/>
      <c r="K866" s="66"/>
      <c r="L866" s="66"/>
      <c r="M866" s="66"/>
      <c r="N866" s="66"/>
    </row>
    <row r="867" spans="1:14" x14ac:dyDescent="0.2">
      <c r="A867" s="84"/>
      <c r="B867" s="84"/>
      <c r="C867" s="60"/>
      <c r="D867" s="66"/>
      <c r="E867" s="66"/>
      <c r="F867" s="66"/>
      <c r="G867" s="66"/>
      <c r="H867" s="66"/>
      <c r="I867" s="66"/>
      <c r="J867" s="66"/>
      <c r="K867" s="66"/>
      <c r="L867" s="66"/>
      <c r="M867" s="66"/>
      <c r="N867" s="66"/>
    </row>
    <row r="868" spans="1:14" x14ac:dyDescent="0.2">
      <c r="A868" s="84"/>
      <c r="B868" s="84"/>
      <c r="C868" s="60"/>
      <c r="D868" s="66"/>
      <c r="E868" s="66"/>
      <c r="F868" s="66"/>
      <c r="G868" s="66"/>
      <c r="H868" s="66"/>
      <c r="I868" s="66"/>
      <c r="J868" s="66"/>
      <c r="K868" s="66"/>
      <c r="L868" s="66"/>
      <c r="M868" s="66"/>
      <c r="N868" s="66"/>
    </row>
    <row r="869" spans="1:14" x14ac:dyDescent="0.2">
      <c r="A869" s="84"/>
      <c r="B869" s="84"/>
      <c r="C869" s="60"/>
      <c r="D869" s="66"/>
      <c r="E869" s="66"/>
      <c r="F869" s="66"/>
      <c r="G869" s="66"/>
      <c r="H869" s="66"/>
      <c r="I869" s="66"/>
      <c r="J869" s="66"/>
      <c r="K869" s="66"/>
      <c r="L869" s="66"/>
      <c r="M869" s="66"/>
      <c r="N869" s="66"/>
    </row>
    <row r="870" spans="1:14" x14ac:dyDescent="0.2">
      <c r="A870" s="84"/>
      <c r="B870" s="84"/>
      <c r="C870" s="60"/>
      <c r="D870" s="66"/>
      <c r="E870" s="66"/>
      <c r="F870" s="66"/>
      <c r="G870" s="66"/>
      <c r="H870" s="66"/>
      <c r="I870" s="66"/>
      <c r="J870" s="66"/>
      <c r="K870" s="66"/>
      <c r="L870" s="66"/>
      <c r="M870" s="66"/>
      <c r="N870" s="66"/>
    </row>
    <row r="871" spans="1:14" x14ac:dyDescent="0.2">
      <c r="A871" s="84"/>
      <c r="B871" s="84"/>
      <c r="C871" s="60"/>
      <c r="D871" s="66"/>
      <c r="E871" s="66"/>
      <c r="F871" s="66"/>
      <c r="G871" s="66"/>
      <c r="H871" s="66"/>
      <c r="I871" s="66"/>
      <c r="J871" s="66"/>
      <c r="K871" s="66"/>
      <c r="L871" s="66"/>
      <c r="M871" s="66"/>
      <c r="N871" s="66"/>
    </row>
    <row r="872" spans="1:14" x14ac:dyDescent="0.2">
      <c r="A872" s="84"/>
      <c r="B872" s="84"/>
      <c r="C872" s="60"/>
      <c r="D872" s="66"/>
      <c r="E872" s="66"/>
      <c r="F872" s="66"/>
      <c r="G872" s="66"/>
      <c r="H872" s="66"/>
      <c r="I872" s="66"/>
      <c r="J872" s="66"/>
      <c r="K872" s="66"/>
      <c r="L872" s="66"/>
      <c r="M872" s="66"/>
      <c r="N872" s="66"/>
    </row>
    <row r="873" spans="1:14" x14ac:dyDescent="0.2">
      <c r="A873" s="84"/>
      <c r="B873" s="84"/>
      <c r="C873" s="60"/>
      <c r="D873" s="66"/>
      <c r="E873" s="66"/>
      <c r="F873" s="66"/>
      <c r="G873" s="66"/>
      <c r="H873" s="66"/>
      <c r="I873" s="66"/>
      <c r="J873" s="66"/>
      <c r="K873" s="66"/>
      <c r="L873" s="66"/>
      <c r="M873" s="66"/>
      <c r="N873" s="66"/>
    </row>
    <row r="874" spans="1:14" x14ac:dyDescent="0.2">
      <c r="A874" s="84"/>
      <c r="B874" s="84"/>
      <c r="C874" s="60"/>
      <c r="D874" s="66"/>
      <c r="E874" s="66"/>
      <c r="F874" s="66"/>
      <c r="G874" s="66"/>
      <c r="H874" s="66"/>
      <c r="I874" s="66"/>
      <c r="J874" s="66"/>
      <c r="K874" s="66"/>
      <c r="L874" s="66"/>
      <c r="M874" s="66"/>
      <c r="N874" s="66"/>
    </row>
    <row r="875" spans="1:14" x14ac:dyDescent="0.2">
      <c r="A875" s="84"/>
      <c r="B875" s="84"/>
      <c r="C875" s="60"/>
      <c r="D875" s="66"/>
      <c r="E875" s="66"/>
      <c r="F875" s="66"/>
      <c r="G875" s="66"/>
      <c r="H875" s="66"/>
      <c r="I875" s="66"/>
      <c r="J875" s="66"/>
      <c r="K875" s="66"/>
      <c r="L875" s="66"/>
      <c r="M875" s="66"/>
      <c r="N875" s="66"/>
    </row>
    <row r="876" spans="1:14" x14ac:dyDescent="0.2">
      <c r="A876" s="84"/>
      <c r="B876" s="84"/>
      <c r="C876" s="60"/>
      <c r="D876" s="66"/>
      <c r="E876" s="66"/>
      <c r="F876" s="66"/>
      <c r="G876" s="66"/>
      <c r="H876" s="66"/>
      <c r="I876" s="66"/>
      <c r="J876" s="66"/>
      <c r="K876" s="66"/>
      <c r="L876" s="66"/>
      <c r="M876" s="66"/>
      <c r="N876" s="66"/>
    </row>
    <row r="877" spans="1:14" x14ac:dyDescent="0.2">
      <c r="A877" s="84"/>
      <c r="B877" s="84"/>
      <c r="C877" s="60"/>
      <c r="D877" s="66"/>
      <c r="E877" s="66"/>
      <c r="F877" s="66"/>
      <c r="G877" s="66"/>
      <c r="H877" s="66"/>
      <c r="I877" s="66"/>
      <c r="J877" s="66"/>
      <c r="K877" s="66"/>
      <c r="L877" s="66"/>
      <c r="M877" s="66"/>
      <c r="N877" s="66"/>
    </row>
    <row r="878" spans="1:14" x14ac:dyDescent="0.2">
      <c r="A878" s="84"/>
      <c r="B878" s="84"/>
      <c r="C878" s="60"/>
      <c r="D878" s="66"/>
      <c r="E878" s="66"/>
      <c r="F878" s="66"/>
      <c r="G878" s="66"/>
      <c r="H878" s="66"/>
      <c r="I878" s="66"/>
      <c r="J878" s="66"/>
      <c r="K878" s="66"/>
      <c r="L878" s="66"/>
      <c r="M878" s="66"/>
      <c r="N878" s="66"/>
    </row>
    <row r="879" spans="1:14" x14ac:dyDescent="0.2">
      <c r="A879" s="84"/>
      <c r="B879" s="84"/>
      <c r="C879" s="60"/>
      <c r="D879" s="66"/>
      <c r="E879" s="66"/>
      <c r="F879" s="66"/>
      <c r="G879" s="66"/>
      <c r="H879" s="66"/>
      <c r="I879" s="66"/>
      <c r="J879" s="66"/>
      <c r="K879" s="66"/>
      <c r="L879" s="66"/>
      <c r="M879" s="66"/>
      <c r="N879" s="66"/>
    </row>
    <row r="880" spans="1:14" x14ac:dyDescent="0.2">
      <c r="A880" s="84"/>
      <c r="B880" s="84"/>
      <c r="C880" s="60"/>
      <c r="D880" s="66"/>
      <c r="E880" s="66"/>
      <c r="F880" s="66"/>
      <c r="G880" s="66"/>
      <c r="H880" s="66"/>
      <c r="I880" s="66"/>
      <c r="J880" s="66"/>
      <c r="K880" s="66"/>
      <c r="L880" s="66"/>
      <c r="M880" s="66"/>
      <c r="N880" s="66"/>
    </row>
    <row r="881" spans="1:14" x14ac:dyDescent="0.2">
      <c r="A881" s="84"/>
      <c r="B881" s="84"/>
      <c r="C881" s="60"/>
      <c r="D881" s="66"/>
      <c r="E881" s="66"/>
      <c r="F881" s="66"/>
      <c r="G881" s="66"/>
      <c r="H881" s="66"/>
      <c r="I881" s="66"/>
      <c r="J881" s="66"/>
      <c r="K881" s="66"/>
      <c r="L881" s="66"/>
      <c r="M881" s="66"/>
      <c r="N881" s="66"/>
    </row>
    <row r="882" spans="1:14" x14ac:dyDescent="0.2">
      <c r="A882" s="84"/>
      <c r="B882" s="84"/>
      <c r="C882" s="60"/>
      <c r="D882" s="66"/>
      <c r="E882" s="66"/>
      <c r="F882" s="66"/>
      <c r="G882" s="66"/>
      <c r="H882" s="66"/>
      <c r="I882" s="66"/>
      <c r="J882" s="66"/>
      <c r="K882" s="66"/>
      <c r="L882" s="66"/>
      <c r="M882" s="66"/>
      <c r="N882" s="66"/>
    </row>
    <row r="883" spans="1:14" x14ac:dyDescent="0.2">
      <c r="A883" s="84"/>
      <c r="B883" s="84"/>
      <c r="C883" s="60"/>
      <c r="D883" s="66"/>
      <c r="E883" s="66"/>
      <c r="F883" s="66"/>
      <c r="G883" s="66"/>
      <c r="H883" s="66"/>
      <c r="I883" s="66"/>
      <c r="J883" s="66"/>
      <c r="K883" s="66"/>
      <c r="L883" s="66"/>
      <c r="M883" s="66"/>
      <c r="N883" s="66"/>
    </row>
    <row r="884" spans="1:14" x14ac:dyDescent="0.2">
      <c r="A884" s="84"/>
      <c r="B884" s="84"/>
      <c r="C884" s="60"/>
      <c r="D884" s="66"/>
      <c r="E884" s="66"/>
      <c r="F884" s="66"/>
      <c r="G884" s="66"/>
      <c r="H884" s="66"/>
      <c r="I884" s="66"/>
      <c r="J884" s="66"/>
      <c r="K884" s="66"/>
      <c r="L884" s="66"/>
      <c r="M884" s="66"/>
      <c r="N884" s="66"/>
    </row>
    <row r="885" spans="1:14" x14ac:dyDescent="0.2">
      <c r="A885" s="84"/>
      <c r="B885" s="84"/>
      <c r="C885" s="60"/>
      <c r="D885" s="66"/>
      <c r="E885" s="66"/>
      <c r="F885" s="66"/>
      <c r="G885" s="66"/>
      <c r="H885" s="66"/>
      <c r="I885" s="66"/>
      <c r="J885" s="66"/>
      <c r="K885" s="66"/>
      <c r="L885" s="66"/>
      <c r="M885" s="66"/>
      <c r="N885" s="66"/>
    </row>
    <row r="886" spans="1:14" x14ac:dyDescent="0.2">
      <c r="A886" s="84"/>
      <c r="B886" s="84"/>
      <c r="C886" s="60"/>
      <c r="D886" s="66"/>
      <c r="E886" s="66"/>
      <c r="F886" s="66"/>
      <c r="G886" s="66"/>
      <c r="H886" s="66"/>
      <c r="I886" s="66"/>
      <c r="J886" s="66"/>
      <c r="K886" s="66"/>
      <c r="L886" s="66"/>
      <c r="M886" s="66"/>
      <c r="N886" s="66"/>
    </row>
    <row r="887" spans="1:14" x14ac:dyDescent="0.2">
      <c r="A887" s="84"/>
      <c r="B887" s="84"/>
      <c r="C887" s="60"/>
      <c r="D887" s="66"/>
      <c r="E887" s="66"/>
      <c r="F887" s="66"/>
      <c r="G887" s="66"/>
      <c r="H887" s="66"/>
      <c r="I887" s="66"/>
      <c r="J887" s="66"/>
      <c r="K887" s="66"/>
      <c r="L887" s="66"/>
      <c r="M887" s="66"/>
      <c r="N887" s="66"/>
    </row>
    <row r="888" spans="1:14" x14ac:dyDescent="0.2">
      <c r="A888" s="84"/>
      <c r="B888" s="84"/>
      <c r="C888" s="60"/>
      <c r="D888" s="66"/>
      <c r="E888" s="66"/>
      <c r="F888" s="66"/>
      <c r="G888" s="66"/>
      <c r="H888" s="66"/>
      <c r="I888" s="66"/>
      <c r="J888" s="66"/>
      <c r="K888" s="66"/>
      <c r="L888" s="66"/>
      <c r="M888" s="66"/>
      <c r="N888" s="66"/>
    </row>
    <row r="889" spans="1:14" x14ac:dyDescent="0.2">
      <c r="A889" s="84"/>
      <c r="B889" s="84"/>
      <c r="C889" s="60"/>
      <c r="D889" s="66"/>
      <c r="E889" s="66"/>
      <c r="F889" s="66"/>
      <c r="G889" s="66"/>
      <c r="H889" s="66"/>
      <c r="I889" s="66"/>
      <c r="J889" s="66"/>
      <c r="K889" s="66"/>
      <c r="L889" s="66"/>
      <c r="M889" s="66"/>
      <c r="N889" s="66"/>
    </row>
    <row r="890" spans="1:14" x14ac:dyDescent="0.2">
      <c r="A890" s="84"/>
      <c r="B890" s="84"/>
      <c r="C890" s="60"/>
      <c r="D890" s="66"/>
      <c r="E890" s="66"/>
      <c r="F890" s="66"/>
      <c r="G890" s="66"/>
      <c r="H890" s="66"/>
      <c r="I890" s="66"/>
      <c r="J890" s="66"/>
      <c r="K890" s="66"/>
      <c r="L890" s="66"/>
      <c r="M890" s="66"/>
      <c r="N890" s="66"/>
    </row>
    <row r="891" spans="1:14" x14ac:dyDescent="0.2">
      <c r="A891" s="84"/>
      <c r="B891" s="84"/>
      <c r="C891" s="60"/>
      <c r="D891" s="66"/>
      <c r="E891" s="66"/>
      <c r="F891" s="66"/>
      <c r="G891" s="66"/>
      <c r="H891" s="66"/>
      <c r="I891" s="66"/>
      <c r="J891" s="66"/>
      <c r="K891" s="66"/>
      <c r="L891" s="66"/>
      <c r="M891" s="66"/>
      <c r="N891" s="66"/>
    </row>
    <row r="892" spans="1:14" x14ac:dyDescent="0.2">
      <c r="A892" s="84"/>
      <c r="B892" s="84"/>
      <c r="C892" s="60"/>
      <c r="D892" s="66"/>
      <c r="E892" s="66"/>
      <c r="F892" s="66"/>
      <c r="G892" s="66"/>
      <c r="H892" s="66"/>
      <c r="I892" s="66"/>
      <c r="J892" s="66"/>
      <c r="K892" s="66"/>
      <c r="L892" s="66"/>
      <c r="M892" s="66"/>
      <c r="N892" s="66"/>
    </row>
    <row r="893" spans="1:14" x14ac:dyDescent="0.2">
      <c r="A893" s="84"/>
      <c r="B893" s="84"/>
      <c r="C893" s="60"/>
      <c r="D893" s="66"/>
      <c r="E893" s="66"/>
      <c r="F893" s="66"/>
      <c r="G893" s="66"/>
      <c r="H893" s="66"/>
      <c r="I893" s="66"/>
      <c r="J893" s="66"/>
      <c r="K893" s="66"/>
      <c r="L893" s="66"/>
      <c r="M893" s="66"/>
      <c r="N893" s="66"/>
    </row>
    <row r="894" spans="1:14" x14ac:dyDescent="0.2">
      <c r="A894" s="84"/>
      <c r="B894" s="84"/>
      <c r="C894" s="60"/>
      <c r="D894" s="66"/>
      <c r="E894" s="66"/>
      <c r="F894" s="66"/>
      <c r="G894" s="66"/>
      <c r="H894" s="66"/>
      <c r="I894" s="66"/>
      <c r="J894" s="66"/>
      <c r="K894" s="66"/>
      <c r="L894" s="66"/>
      <c r="M894" s="66"/>
      <c r="N894" s="66"/>
    </row>
    <row r="895" spans="1:14" x14ac:dyDescent="0.2">
      <c r="A895" s="84"/>
      <c r="B895" s="84"/>
      <c r="C895" s="60"/>
      <c r="D895" s="66"/>
      <c r="E895" s="66"/>
      <c r="F895" s="66"/>
      <c r="G895" s="66"/>
      <c r="H895" s="66"/>
      <c r="I895" s="66"/>
      <c r="J895" s="66"/>
      <c r="K895" s="66"/>
      <c r="L895" s="66"/>
      <c r="M895" s="66"/>
      <c r="N895" s="66"/>
    </row>
    <row r="896" spans="1:14" x14ac:dyDescent="0.2">
      <c r="A896" s="84"/>
      <c r="B896" s="84"/>
      <c r="C896" s="60"/>
      <c r="D896" s="66"/>
      <c r="E896" s="66"/>
      <c r="F896" s="66"/>
      <c r="G896" s="66"/>
      <c r="H896" s="66"/>
      <c r="I896" s="66"/>
      <c r="J896" s="66"/>
      <c r="K896" s="66"/>
      <c r="L896" s="66"/>
      <c r="M896" s="66"/>
      <c r="N896" s="66"/>
    </row>
    <row r="897" spans="1:14" x14ac:dyDescent="0.2">
      <c r="A897" s="84"/>
      <c r="B897" s="84"/>
      <c r="C897" s="60"/>
      <c r="D897" s="66"/>
      <c r="E897" s="66"/>
      <c r="F897" s="66"/>
      <c r="G897" s="66"/>
      <c r="H897" s="66"/>
      <c r="I897" s="66"/>
      <c r="J897" s="66"/>
      <c r="K897" s="66"/>
      <c r="L897" s="66"/>
      <c r="M897" s="66"/>
      <c r="N897" s="66"/>
    </row>
    <row r="898" spans="1:14" x14ac:dyDescent="0.2">
      <c r="A898" s="84"/>
      <c r="B898" s="84"/>
      <c r="C898" s="60"/>
      <c r="D898" s="66"/>
      <c r="E898" s="66"/>
      <c r="F898" s="66"/>
      <c r="G898" s="66"/>
      <c r="H898" s="66"/>
      <c r="I898" s="66"/>
      <c r="J898" s="66"/>
      <c r="K898" s="66"/>
      <c r="L898" s="66"/>
      <c r="M898" s="66"/>
      <c r="N898" s="66"/>
    </row>
    <row r="899" spans="1:14" x14ac:dyDescent="0.2">
      <c r="A899" s="84"/>
      <c r="B899" s="84"/>
      <c r="C899" s="60"/>
      <c r="D899" s="66"/>
      <c r="E899" s="66"/>
      <c r="F899" s="66"/>
      <c r="G899" s="66"/>
      <c r="H899" s="66"/>
      <c r="I899" s="66"/>
      <c r="J899" s="66"/>
      <c r="K899" s="66"/>
      <c r="L899" s="66"/>
      <c r="M899" s="66"/>
      <c r="N899" s="66"/>
    </row>
    <row r="900" spans="1:14" x14ac:dyDescent="0.2">
      <c r="A900" s="84"/>
      <c r="B900" s="84"/>
      <c r="C900" s="60"/>
      <c r="D900" s="66"/>
      <c r="E900" s="66"/>
      <c r="F900" s="66"/>
      <c r="G900" s="66"/>
      <c r="H900" s="66"/>
      <c r="I900" s="66"/>
      <c r="J900" s="66"/>
      <c r="K900" s="66"/>
      <c r="L900" s="66"/>
      <c r="M900" s="66"/>
      <c r="N900" s="66"/>
    </row>
    <row r="901" spans="1:14" x14ac:dyDescent="0.2">
      <c r="A901" s="84"/>
      <c r="B901" s="84"/>
      <c r="C901" s="60"/>
      <c r="D901" s="66"/>
      <c r="E901" s="66"/>
      <c r="F901" s="66"/>
      <c r="G901" s="66"/>
      <c r="H901" s="66"/>
      <c r="I901" s="66"/>
      <c r="J901" s="66"/>
      <c r="K901" s="66"/>
      <c r="L901" s="66"/>
      <c r="M901" s="66"/>
      <c r="N901" s="66"/>
    </row>
    <row r="902" spans="1:14" x14ac:dyDescent="0.2">
      <c r="A902" s="84"/>
      <c r="B902" s="84"/>
      <c r="C902" s="60"/>
      <c r="D902" s="66"/>
      <c r="E902" s="66"/>
      <c r="F902" s="66"/>
      <c r="G902" s="66"/>
      <c r="H902" s="66"/>
      <c r="I902" s="66"/>
      <c r="J902" s="66"/>
      <c r="K902" s="66"/>
      <c r="L902" s="66"/>
      <c r="M902" s="66"/>
      <c r="N902" s="66"/>
    </row>
    <row r="903" spans="1:14" x14ac:dyDescent="0.2">
      <c r="A903" s="84"/>
      <c r="B903" s="84"/>
      <c r="C903" s="60"/>
      <c r="D903" s="66"/>
      <c r="E903" s="66"/>
      <c r="F903" s="66"/>
      <c r="G903" s="66"/>
      <c r="H903" s="66"/>
      <c r="I903" s="66"/>
      <c r="J903" s="66"/>
      <c r="K903" s="66"/>
      <c r="L903" s="66"/>
      <c r="M903" s="66"/>
      <c r="N903" s="66"/>
    </row>
    <row r="904" spans="1:14" x14ac:dyDescent="0.2">
      <c r="A904" s="84"/>
      <c r="B904" s="84"/>
      <c r="C904" s="60"/>
      <c r="D904" s="66"/>
      <c r="E904" s="66"/>
      <c r="F904" s="66"/>
      <c r="G904" s="66"/>
      <c r="H904" s="66"/>
      <c r="I904" s="66"/>
      <c r="J904" s="66"/>
      <c r="K904" s="66"/>
      <c r="L904" s="66"/>
      <c r="M904" s="66"/>
      <c r="N904" s="66"/>
    </row>
    <row r="905" spans="1:14" x14ac:dyDescent="0.2">
      <c r="A905" s="84"/>
      <c r="B905" s="84"/>
      <c r="C905" s="60"/>
      <c r="D905" s="66"/>
      <c r="E905" s="66"/>
      <c r="F905" s="66"/>
      <c r="G905" s="66"/>
      <c r="H905" s="66"/>
      <c r="I905" s="66"/>
      <c r="J905" s="66"/>
      <c r="K905" s="66"/>
      <c r="L905" s="66"/>
      <c r="M905" s="66"/>
      <c r="N905" s="66"/>
    </row>
    <row r="906" spans="1:14" x14ac:dyDescent="0.2">
      <c r="A906" s="84"/>
      <c r="B906" s="84"/>
      <c r="C906" s="60"/>
      <c r="D906" s="66"/>
      <c r="E906" s="66"/>
      <c r="F906" s="66"/>
      <c r="G906" s="66"/>
      <c r="H906" s="66"/>
      <c r="I906" s="66"/>
      <c r="J906" s="66"/>
      <c r="K906" s="66"/>
      <c r="L906" s="66"/>
      <c r="M906" s="66"/>
      <c r="N906" s="66"/>
    </row>
    <row r="907" spans="1:14" x14ac:dyDescent="0.2">
      <c r="A907" s="84"/>
      <c r="B907" s="84"/>
      <c r="C907" s="60"/>
      <c r="D907" s="66"/>
      <c r="E907" s="66"/>
      <c r="F907" s="66"/>
      <c r="G907" s="66"/>
      <c r="H907" s="66"/>
      <c r="I907" s="66"/>
      <c r="J907" s="66"/>
      <c r="K907" s="66"/>
      <c r="L907" s="66"/>
      <c r="M907" s="66"/>
      <c r="N907" s="66"/>
    </row>
    <row r="908" spans="1:14" x14ac:dyDescent="0.2">
      <c r="A908" s="84"/>
      <c r="B908" s="84"/>
      <c r="C908" s="60"/>
      <c r="D908" s="66"/>
      <c r="E908" s="66"/>
      <c r="F908" s="66"/>
      <c r="G908" s="66"/>
      <c r="H908" s="66"/>
      <c r="I908" s="66"/>
      <c r="J908" s="66"/>
      <c r="K908" s="66"/>
      <c r="L908" s="66"/>
      <c r="M908" s="66"/>
      <c r="N908" s="66"/>
    </row>
    <row r="909" spans="1:14" x14ac:dyDescent="0.2">
      <c r="A909" s="84"/>
      <c r="B909" s="84"/>
      <c r="C909" s="60"/>
      <c r="D909" s="66"/>
      <c r="E909" s="66"/>
      <c r="F909" s="66"/>
      <c r="G909" s="66"/>
      <c r="H909" s="66"/>
      <c r="I909" s="66"/>
      <c r="J909" s="66"/>
      <c r="K909" s="66"/>
      <c r="L909" s="66"/>
      <c r="M909" s="66"/>
      <c r="N909" s="66"/>
    </row>
    <row r="910" spans="1:14" x14ac:dyDescent="0.2">
      <c r="A910" s="84"/>
      <c r="B910" s="84"/>
      <c r="C910" s="60"/>
      <c r="D910" s="66"/>
      <c r="E910" s="66"/>
      <c r="F910" s="66"/>
      <c r="G910" s="66"/>
      <c r="H910" s="66"/>
      <c r="I910" s="66"/>
      <c r="J910" s="66"/>
      <c r="K910" s="66"/>
      <c r="L910" s="66"/>
      <c r="M910" s="66"/>
      <c r="N910" s="66"/>
    </row>
    <row r="911" spans="1:14" x14ac:dyDescent="0.2">
      <c r="A911" s="84"/>
      <c r="B911" s="84"/>
      <c r="C911" s="60"/>
      <c r="D911" s="66"/>
      <c r="E911" s="66"/>
      <c r="F911" s="66"/>
      <c r="G911" s="66"/>
      <c r="H911" s="66"/>
      <c r="I911" s="66"/>
      <c r="J911" s="66"/>
      <c r="K911" s="66"/>
      <c r="L911" s="66"/>
      <c r="M911" s="66"/>
      <c r="N911" s="66"/>
    </row>
    <row r="912" spans="1:14" x14ac:dyDescent="0.2">
      <c r="A912" s="84"/>
      <c r="B912" s="84"/>
      <c r="C912" s="60"/>
      <c r="D912" s="66"/>
      <c r="E912" s="66"/>
      <c r="F912" s="66"/>
      <c r="G912" s="66"/>
      <c r="H912" s="66"/>
      <c r="I912" s="66"/>
      <c r="J912" s="66"/>
      <c r="K912" s="66"/>
      <c r="L912" s="66"/>
      <c r="M912" s="66"/>
      <c r="N912" s="66"/>
    </row>
    <row r="913" spans="1:14" x14ac:dyDescent="0.2">
      <c r="A913" s="84"/>
      <c r="B913" s="84"/>
      <c r="C913" s="60"/>
      <c r="D913" s="66"/>
      <c r="E913" s="66"/>
      <c r="F913" s="66"/>
      <c r="G913" s="66"/>
      <c r="H913" s="66"/>
      <c r="I913" s="66"/>
      <c r="J913" s="66"/>
      <c r="K913" s="66"/>
      <c r="L913" s="66"/>
      <c r="M913" s="66"/>
      <c r="N913" s="66"/>
    </row>
    <row r="914" spans="1:14" x14ac:dyDescent="0.2">
      <c r="A914" s="84"/>
      <c r="B914" s="84"/>
      <c r="C914" s="60"/>
      <c r="D914" s="66"/>
      <c r="E914" s="66"/>
      <c r="F914" s="66"/>
      <c r="G914" s="66"/>
      <c r="H914" s="66"/>
      <c r="I914" s="66"/>
      <c r="J914" s="66"/>
      <c r="K914" s="66"/>
      <c r="L914" s="66"/>
      <c r="M914" s="66"/>
      <c r="N914" s="66"/>
    </row>
    <row r="915" spans="1:14" x14ac:dyDescent="0.2">
      <c r="A915" s="84"/>
      <c r="B915" s="84"/>
      <c r="C915" s="60"/>
      <c r="D915" s="66"/>
      <c r="E915" s="66"/>
      <c r="F915" s="66"/>
      <c r="G915" s="66"/>
      <c r="H915" s="66"/>
      <c r="I915" s="66"/>
      <c r="J915" s="66"/>
      <c r="K915" s="66"/>
      <c r="L915" s="66"/>
      <c r="M915" s="66"/>
      <c r="N915" s="66"/>
    </row>
    <row r="916" spans="1:14" x14ac:dyDescent="0.2">
      <c r="A916" s="84"/>
      <c r="B916" s="84"/>
      <c r="C916" s="60"/>
      <c r="D916" s="66"/>
      <c r="E916" s="66"/>
      <c r="F916" s="66"/>
      <c r="G916" s="66"/>
      <c r="H916" s="66"/>
      <c r="I916" s="66"/>
      <c r="J916" s="66"/>
      <c r="K916" s="66"/>
      <c r="L916" s="66"/>
      <c r="M916" s="66"/>
      <c r="N916" s="66"/>
    </row>
    <row r="917" spans="1:14" x14ac:dyDescent="0.2">
      <c r="A917" s="84"/>
      <c r="B917" s="84"/>
      <c r="C917" s="60"/>
      <c r="D917" s="66"/>
      <c r="E917" s="66"/>
      <c r="F917" s="66"/>
      <c r="G917" s="66"/>
      <c r="H917" s="66"/>
      <c r="I917" s="66"/>
      <c r="J917" s="66"/>
      <c r="K917" s="66"/>
      <c r="L917" s="66"/>
      <c r="M917" s="66"/>
      <c r="N917" s="66"/>
    </row>
    <row r="918" spans="1:14" x14ac:dyDescent="0.2">
      <c r="A918" s="84"/>
      <c r="B918" s="84"/>
      <c r="C918" s="60"/>
      <c r="D918" s="66"/>
      <c r="E918" s="66"/>
      <c r="F918" s="66"/>
      <c r="G918" s="66"/>
      <c r="H918" s="66"/>
      <c r="I918" s="66"/>
      <c r="J918" s="66"/>
      <c r="K918" s="66"/>
      <c r="L918" s="66"/>
      <c r="M918" s="66"/>
      <c r="N918" s="66"/>
    </row>
    <row r="919" spans="1:14" x14ac:dyDescent="0.2">
      <c r="A919" s="84"/>
      <c r="B919" s="84"/>
      <c r="C919" s="60"/>
      <c r="D919" s="66"/>
      <c r="E919" s="66"/>
      <c r="F919" s="66"/>
      <c r="G919" s="66"/>
      <c r="H919" s="66"/>
      <c r="I919" s="66"/>
      <c r="J919" s="66"/>
      <c r="K919" s="66"/>
      <c r="L919" s="66"/>
      <c r="M919" s="66"/>
      <c r="N919" s="66"/>
    </row>
    <row r="920" spans="1:14" x14ac:dyDescent="0.2">
      <c r="A920" s="84"/>
      <c r="B920" s="84"/>
      <c r="C920" s="60"/>
      <c r="D920" s="66"/>
      <c r="E920" s="66"/>
      <c r="F920" s="66"/>
      <c r="G920" s="66"/>
      <c r="H920" s="66"/>
      <c r="I920" s="66"/>
      <c r="J920" s="66"/>
      <c r="K920" s="66"/>
      <c r="L920" s="66"/>
      <c r="M920" s="66"/>
      <c r="N920" s="66"/>
    </row>
    <row r="921" spans="1:14" x14ac:dyDescent="0.2">
      <c r="A921" s="84"/>
      <c r="B921" s="84"/>
      <c r="C921" s="60"/>
      <c r="D921" s="66"/>
      <c r="E921" s="66"/>
      <c r="F921" s="66"/>
      <c r="G921" s="66"/>
      <c r="H921" s="66"/>
      <c r="I921" s="66"/>
      <c r="J921" s="66"/>
      <c r="K921" s="66"/>
      <c r="L921" s="66"/>
      <c r="M921" s="66"/>
      <c r="N921" s="66"/>
    </row>
    <row r="922" spans="1:14" x14ac:dyDescent="0.2">
      <c r="A922" s="84"/>
      <c r="B922" s="84"/>
      <c r="C922" s="60"/>
      <c r="D922" s="66"/>
      <c r="E922" s="66"/>
      <c r="F922" s="66"/>
      <c r="G922" s="66"/>
      <c r="H922" s="66"/>
      <c r="I922" s="66"/>
      <c r="J922" s="66"/>
      <c r="K922" s="66"/>
      <c r="L922" s="66"/>
      <c r="M922" s="66"/>
      <c r="N922" s="66"/>
    </row>
    <row r="923" spans="1:14" x14ac:dyDescent="0.2">
      <c r="A923" s="84"/>
      <c r="B923" s="84"/>
      <c r="C923" s="60"/>
      <c r="D923" s="66"/>
      <c r="E923" s="66"/>
      <c r="F923" s="66"/>
      <c r="G923" s="66"/>
      <c r="H923" s="66"/>
      <c r="I923" s="66"/>
      <c r="J923" s="66"/>
      <c r="K923" s="66"/>
      <c r="L923" s="66"/>
      <c r="M923" s="66"/>
      <c r="N923" s="66"/>
    </row>
    <row r="924" spans="1:14" x14ac:dyDescent="0.2">
      <c r="A924" s="84"/>
      <c r="B924" s="84"/>
      <c r="C924" s="60"/>
      <c r="D924" s="66"/>
      <c r="E924" s="66"/>
      <c r="F924" s="66"/>
      <c r="G924" s="66"/>
      <c r="H924" s="66"/>
      <c r="I924" s="66"/>
      <c r="J924" s="66"/>
      <c r="K924" s="66"/>
      <c r="L924" s="66"/>
      <c r="M924" s="66"/>
      <c r="N924" s="66"/>
    </row>
    <row r="925" spans="1:14" x14ac:dyDescent="0.2">
      <c r="A925" s="84"/>
      <c r="B925" s="84"/>
      <c r="C925" s="60"/>
      <c r="D925" s="66"/>
      <c r="E925" s="66"/>
      <c r="F925" s="66"/>
      <c r="G925" s="66"/>
      <c r="H925" s="66"/>
      <c r="I925" s="66"/>
      <c r="J925" s="66"/>
      <c r="K925" s="66"/>
      <c r="L925" s="66"/>
      <c r="M925" s="66"/>
      <c r="N925" s="66"/>
    </row>
    <row r="926" spans="1:14" x14ac:dyDescent="0.2">
      <c r="A926" s="84"/>
      <c r="B926" s="84"/>
      <c r="C926" s="60"/>
      <c r="D926" s="66"/>
      <c r="E926" s="66"/>
      <c r="F926" s="66"/>
      <c r="G926" s="66"/>
      <c r="H926" s="66"/>
      <c r="I926" s="66"/>
      <c r="J926" s="66"/>
      <c r="K926" s="66"/>
      <c r="L926" s="66"/>
      <c r="M926" s="66"/>
      <c r="N926" s="66"/>
    </row>
    <row r="927" spans="1:14" x14ac:dyDescent="0.2">
      <c r="A927" s="84"/>
      <c r="B927" s="84"/>
      <c r="C927" s="60"/>
      <c r="D927" s="66"/>
      <c r="E927" s="66"/>
      <c r="F927" s="66"/>
      <c r="G927" s="66"/>
      <c r="H927" s="66"/>
      <c r="I927" s="66"/>
      <c r="J927" s="66"/>
      <c r="K927" s="66"/>
      <c r="L927" s="66"/>
      <c r="M927" s="66"/>
      <c r="N927" s="66"/>
    </row>
    <row r="928" spans="1:14" x14ac:dyDescent="0.2">
      <c r="A928" s="84"/>
      <c r="B928" s="84"/>
      <c r="C928" s="60"/>
      <c r="D928" s="66"/>
      <c r="E928" s="66"/>
      <c r="F928" s="66"/>
      <c r="G928" s="66"/>
      <c r="H928" s="66"/>
      <c r="I928" s="66"/>
      <c r="J928" s="66"/>
      <c r="K928" s="66"/>
      <c r="L928" s="66"/>
      <c r="M928" s="66"/>
      <c r="N928" s="66"/>
    </row>
    <row r="929" spans="1:14" x14ac:dyDescent="0.2">
      <c r="A929" s="84"/>
      <c r="B929" s="84"/>
      <c r="C929" s="60"/>
      <c r="D929" s="66"/>
      <c r="E929" s="66"/>
      <c r="F929" s="66"/>
      <c r="G929" s="66"/>
      <c r="H929" s="66"/>
      <c r="I929" s="66"/>
      <c r="J929" s="66"/>
      <c r="K929" s="66"/>
      <c r="L929" s="66"/>
      <c r="M929" s="66"/>
      <c r="N929" s="66"/>
    </row>
    <row r="930" spans="1:14" x14ac:dyDescent="0.2">
      <c r="A930" s="84"/>
      <c r="B930" s="84"/>
      <c r="C930" s="60"/>
      <c r="D930" s="66"/>
      <c r="E930" s="66"/>
      <c r="F930" s="66"/>
      <c r="G930" s="66"/>
      <c r="H930" s="66"/>
      <c r="I930" s="66"/>
      <c r="J930" s="66"/>
      <c r="K930" s="66"/>
      <c r="L930" s="66"/>
      <c r="M930" s="66"/>
      <c r="N930" s="66"/>
    </row>
    <row r="931" spans="1:14" x14ac:dyDescent="0.2">
      <c r="A931" s="84"/>
      <c r="B931" s="84"/>
      <c r="C931" s="60"/>
      <c r="D931" s="66"/>
      <c r="E931" s="66"/>
      <c r="F931" s="66"/>
      <c r="G931" s="66"/>
      <c r="H931" s="66"/>
      <c r="I931" s="66"/>
      <c r="J931" s="66"/>
      <c r="K931" s="66"/>
      <c r="L931" s="66"/>
      <c r="M931" s="66"/>
      <c r="N931" s="66"/>
    </row>
    <row r="932" spans="1:14" x14ac:dyDescent="0.2">
      <c r="A932" s="84"/>
      <c r="B932" s="84"/>
      <c r="C932" s="60"/>
      <c r="D932" s="66"/>
      <c r="E932" s="66"/>
      <c r="F932" s="66"/>
      <c r="G932" s="66"/>
      <c r="H932" s="66"/>
      <c r="I932" s="66"/>
      <c r="J932" s="66"/>
      <c r="K932" s="66"/>
      <c r="L932" s="66"/>
      <c r="M932" s="66"/>
      <c r="N932" s="66"/>
    </row>
    <row r="933" spans="1:14" x14ac:dyDescent="0.2">
      <c r="A933" s="84"/>
      <c r="B933" s="84"/>
      <c r="C933" s="60"/>
      <c r="D933" s="66"/>
      <c r="E933" s="66"/>
      <c r="F933" s="66"/>
      <c r="G933" s="66"/>
      <c r="H933" s="66"/>
      <c r="I933" s="66"/>
      <c r="J933" s="66"/>
      <c r="K933" s="66"/>
      <c r="L933" s="66"/>
      <c r="M933" s="66"/>
      <c r="N933" s="66"/>
    </row>
    <row r="934" spans="1:14" x14ac:dyDescent="0.2">
      <c r="A934" s="84"/>
      <c r="B934" s="84"/>
      <c r="C934" s="60"/>
      <c r="D934" s="66"/>
      <c r="E934" s="66"/>
      <c r="F934" s="66"/>
      <c r="G934" s="66"/>
      <c r="H934" s="66"/>
      <c r="I934" s="66"/>
      <c r="J934" s="66"/>
      <c r="K934" s="66"/>
      <c r="L934" s="66"/>
      <c r="M934" s="66"/>
      <c r="N934" s="66"/>
    </row>
    <row r="935" spans="1:14" x14ac:dyDescent="0.2">
      <c r="A935" s="84"/>
      <c r="B935" s="84"/>
      <c r="C935" s="60"/>
      <c r="D935" s="66"/>
      <c r="E935" s="66"/>
      <c r="F935" s="66"/>
      <c r="G935" s="66"/>
      <c r="H935" s="66"/>
      <c r="I935" s="66"/>
      <c r="J935" s="66"/>
      <c r="K935" s="66"/>
      <c r="L935" s="66"/>
      <c r="M935" s="66"/>
      <c r="N935" s="66"/>
    </row>
    <row r="936" spans="1:14" x14ac:dyDescent="0.2">
      <c r="A936" s="84"/>
      <c r="B936" s="84"/>
      <c r="C936" s="60"/>
      <c r="D936" s="66"/>
      <c r="E936" s="66"/>
      <c r="F936" s="66"/>
      <c r="G936" s="66"/>
      <c r="H936" s="66"/>
      <c r="I936" s="66"/>
      <c r="J936" s="66"/>
      <c r="K936" s="66"/>
      <c r="L936" s="66"/>
      <c r="M936" s="66"/>
      <c r="N936" s="66"/>
    </row>
    <row r="937" spans="1:14" x14ac:dyDescent="0.2">
      <c r="A937" s="84"/>
      <c r="B937" s="84"/>
      <c r="C937" s="60"/>
      <c r="D937" s="66"/>
      <c r="E937" s="66"/>
      <c r="F937" s="66"/>
      <c r="G937" s="66"/>
      <c r="H937" s="66"/>
      <c r="I937" s="66"/>
      <c r="J937" s="66"/>
      <c r="K937" s="66"/>
      <c r="L937" s="66"/>
      <c r="M937" s="66"/>
      <c r="N937" s="66"/>
    </row>
    <row r="938" spans="1:14" x14ac:dyDescent="0.2">
      <c r="A938" s="84"/>
      <c r="B938" s="84"/>
      <c r="C938" s="60"/>
      <c r="D938" s="66"/>
      <c r="E938" s="66"/>
      <c r="F938" s="66"/>
      <c r="G938" s="66"/>
      <c r="H938" s="66"/>
      <c r="I938" s="66"/>
      <c r="J938" s="66"/>
      <c r="K938" s="66"/>
      <c r="L938" s="66"/>
      <c r="M938" s="66"/>
      <c r="N938" s="66"/>
    </row>
    <row r="939" spans="1:14" x14ac:dyDescent="0.2">
      <c r="A939" s="84"/>
      <c r="B939" s="84"/>
      <c r="C939" s="60"/>
      <c r="D939" s="66"/>
      <c r="E939" s="66"/>
      <c r="F939" s="66"/>
      <c r="G939" s="66"/>
      <c r="H939" s="66"/>
      <c r="I939" s="66"/>
      <c r="J939" s="66"/>
      <c r="K939" s="66"/>
      <c r="L939" s="66"/>
      <c r="M939" s="66"/>
      <c r="N939" s="66"/>
    </row>
    <row r="940" spans="1:14" x14ac:dyDescent="0.2">
      <c r="A940" s="84"/>
      <c r="B940" s="84"/>
      <c r="C940" s="60"/>
      <c r="D940" s="66"/>
      <c r="E940" s="66"/>
      <c r="F940" s="66"/>
      <c r="G940" s="66"/>
      <c r="H940" s="66"/>
      <c r="I940" s="66"/>
      <c r="J940" s="66"/>
      <c r="K940" s="66"/>
      <c r="L940" s="66"/>
      <c r="M940" s="66"/>
      <c r="N940" s="66"/>
    </row>
    <row r="941" spans="1:14" x14ac:dyDescent="0.2">
      <c r="A941" s="84"/>
      <c r="B941" s="84"/>
      <c r="C941" s="60"/>
      <c r="D941" s="66"/>
      <c r="E941" s="66"/>
      <c r="F941" s="66"/>
      <c r="G941" s="66"/>
      <c r="H941" s="66"/>
      <c r="I941" s="66"/>
      <c r="J941" s="66"/>
      <c r="K941" s="66"/>
      <c r="L941" s="66"/>
      <c r="M941" s="66"/>
      <c r="N941" s="66"/>
    </row>
    <row r="942" spans="1:14" x14ac:dyDescent="0.2">
      <c r="A942" s="84"/>
      <c r="B942" s="84"/>
      <c r="C942" s="60"/>
      <c r="D942" s="66"/>
      <c r="E942" s="66"/>
      <c r="F942" s="66"/>
      <c r="G942" s="66"/>
      <c r="H942" s="66"/>
      <c r="I942" s="66"/>
      <c r="J942" s="66"/>
      <c r="K942" s="66"/>
      <c r="L942" s="66"/>
      <c r="M942" s="66"/>
      <c r="N942" s="66"/>
    </row>
    <row r="943" spans="1:14" x14ac:dyDescent="0.2">
      <c r="A943" s="84"/>
      <c r="B943" s="84"/>
      <c r="C943" s="60"/>
      <c r="D943" s="66"/>
      <c r="E943" s="66"/>
      <c r="F943" s="66"/>
      <c r="G943" s="66"/>
      <c r="H943" s="66"/>
      <c r="I943" s="66"/>
      <c r="J943" s="66"/>
      <c r="K943" s="66"/>
      <c r="L943" s="66"/>
      <c r="M943" s="66"/>
      <c r="N943" s="66"/>
    </row>
    <row r="944" spans="1:14" x14ac:dyDescent="0.2">
      <c r="A944" s="84"/>
      <c r="B944" s="84"/>
      <c r="C944" s="60"/>
      <c r="D944" s="66"/>
      <c r="E944" s="66"/>
      <c r="F944" s="66"/>
      <c r="G944" s="66"/>
      <c r="H944" s="66"/>
      <c r="I944" s="66"/>
      <c r="J944" s="66"/>
      <c r="K944" s="66"/>
      <c r="L944" s="66"/>
      <c r="M944" s="66"/>
      <c r="N944" s="66"/>
    </row>
    <row r="945" spans="1:14" x14ac:dyDescent="0.2">
      <c r="A945" s="84"/>
      <c r="B945" s="84"/>
      <c r="C945" s="60"/>
      <c r="D945" s="66"/>
      <c r="E945" s="66"/>
      <c r="F945" s="66"/>
      <c r="G945" s="66"/>
      <c r="H945" s="66"/>
      <c r="I945" s="66"/>
      <c r="J945" s="66"/>
      <c r="K945" s="66"/>
      <c r="L945" s="66"/>
      <c r="M945" s="66"/>
      <c r="N945" s="66"/>
    </row>
    <row r="946" spans="1:14" x14ac:dyDescent="0.2">
      <c r="A946" s="84"/>
      <c r="B946" s="84"/>
      <c r="C946" s="60"/>
      <c r="D946" s="66"/>
      <c r="E946" s="66"/>
      <c r="F946" s="66"/>
      <c r="G946" s="66"/>
      <c r="H946" s="66"/>
      <c r="I946" s="66"/>
      <c r="J946" s="66"/>
      <c r="K946" s="66"/>
      <c r="L946" s="66"/>
      <c r="M946" s="66"/>
      <c r="N946" s="66"/>
    </row>
    <row r="947" spans="1:14" x14ac:dyDescent="0.2">
      <c r="A947" s="84"/>
      <c r="B947" s="84"/>
      <c r="C947" s="60"/>
      <c r="D947" s="66"/>
      <c r="E947" s="66"/>
      <c r="F947" s="66"/>
      <c r="G947" s="66"/>
      <c r="H947" s="66"/>
      <c r="I947" s="66"/>
      <c r="J947" s="66"/>
      <c r="K947" s="66"/>
      <c r="L947" s="66"/>
      <c r="M947" s="66"/>
      <c r="N947" s="66"/>
    </row>
    <row r="948" spans="1:14" x14ac:dyDescent="0.2">
      <c r="A948" s="84"/>
      <c r="B948" s="84"/>
      <c r="C948" s="60"/>
      <c r="D948" s="66"/>
      <c r="E948" s="66"/>
      <c r="F948" s="66"/>
      <c r="G948" s="66"/>
      <c r="H948" s="66"/>
      <c r="I948" s="66"/>
      <c r="J948" s="66"/>
      <c r="K948" s="66"/>
      <c r="L948" s="66"/>
      <c r="M948" s="66"/>
      <c r="N948" s="66"/>
    </row>
    <row r="949" spans="1:14" x14ac:dyDescent="0.2">
      <c r="A949" s="84"/>
      <c r="B949" s="84"/>
      <c r="C949" s="60"/>
      <c r="D949" s="66"/>
      <c r="E949" s="66"/>
      <c r="F949" s="66"/>
      <c r="G949" s="66"/>
      <c r="H949" s="66"/>
      <c r="I949" s="66"/>
      <c r="J949" s="66"/>
      <c r="K949" s="66"/>
      <c r="L949" s="66"/>
      <c r="M949" s="66"/>
      <c r="N949" s="66"/>
    </row>
    <row r="950" spans="1:14" x14ac:dyDescent="0.2">
      <c r="A950" s="84"/>
      <c r="B950" s="84"/>
      <c r="C950" s="60"/>
      <c r="D950" s="66"/>
      <c r="E950" s="66"/>
      <c r="F950" s="66"/>
      <c r="G950" s="66"/>
      <c r="H950" s="66"/>
      <c r="I950" s="66"/>
      <c r="J950" s="66"/>
      <c r="K950" s="66"/>
      <c r="L950" s="66"/>
      <c r="M950" s="66"/>
      <c r="N950" s="66"/>
    </row>
    <row r="951" spans="1:14" x14ac:dyDescent="0.2">
      <c r="A951" s="84"/>
      <c r="B951" s="84"/>
      <c r="C951" s="60"/>
      <c r="D951" s="66"/>
      <c r="E951" s="66"/>
      <c r="F951" s="66"/>
      <c r="G951" s="66"/>
      <c r="H951" s="66"/>
      <c r="I951" s="66"/>
      <c r="J951" s="66"/>
      <c r="K951" s="66"/>
      <c r="L951" s="66"/>
      <c r="M951" s="66"/>
      <c r="N951" s="66"/>
    </row>
    <row r="952" spans="1:14" x14ac:dyDescent="0.2">
      <c r="A952" s="84"/>
      <c r="B952" s="84"/>
      <c r="C952" s="60"/>
      <c r="D952" s="66"/>
      <c r="E952" s="66"/>
      <c r="F952" s="66"/>
      <c r="G952" s="66"/>
      <c r="H952" s="66"/>
      <c r="I952" s="66"/>
      <c r="J952" s="66"/>
      <c r="K952" s="66"/>
      <c r="L952" s="66"/>
      <c r="M952" s="66"/>
      <c r="N952" s="66"/>
    </row>
    <row r="953" spans="1:14" x14ac:dyDescent="0.2">
      <c r="A953" s="84"/>
      <c r="B953" s="84"/>
      <c r="C953" s="60"/>
      <c r="D953" s="66"/>
      <c r="E953" s="66"/>
      <c r="F953" s="66"/>
      <c r="G953" s="66"/>
      <c r="H953" s="66"/>
      <c r="I953" s="66"/>
      <c r="J953" s="66"/>
      <c r="K953" s="66"/>
      <c r="L953" s="66"/>
      <c r="M953" s="66"/>
      <c r="N953" s="66"/>
    </row>
    <row r="954" spans="1:14" x14ac:dyDescent="0.2">
      <c r="A954" s="84"/>
      <c r="B954" s="84"/>
      <c r="C954" s="60"/>
      <c r="D954" s="66"/>
      <c r="E954" s="66"/>
      <c r="F954" s="66"/>
      <c r="G954" s="66"/>
      <c r="H954" s="66"/>
      <c r="I954" s="66"/>
      <c r="J954" s="66"/>
      <c r="K954" s="66"/>
      <c r="L954" s="66"/>
      <c r="M954" s="66"/>
      <c r="N954" s="66"/>
    </row>
    <row r="955" spans="1:14" x14ac:dyDescent="0.2">
      <c r="A955" s="84"/>
      <c r="B955" s="84"/>
      <c r="C955" s="60"/>
      <c r="D955" s="66"/>
      <c r="E955" s="66"/>
      <c r="F955" s="66"/>
      <c r="G955" s="66"/>
      <c r="H955" s="66"/>
      <c r="I955" s="66"/>
      <c r="J955" s="66"/>
      <c r="K955" s="66"/>
      <c r="L955" s="66"/>
      <c r="M955" s="66"/>
      <c r="N955" s="66"/>
    </row>
    <row r="956" spans="1:14" x14ac:dyDescent="0.2">
      <c r="A956" s="84"/>
      <c r="B956" s="84"/>
      <c r="C956" s="60"/>
      <c r="D956" s="66"/>
      <c r="E956" s="66"/>
      <c r="F956" s="66"/>
      <c r="G956" s="66"/>
      <c r="H956" s="66"/>
      <c r="I956" s="66"/>
      <c r="J956" s="66"/>
      <c r="K956" s="66"/>
      <c r="L956" s="66"/>
      <c r="M956" s="66"/>
      <c r="N956" s="66"/>
    </row>
    <row r="957" spans="1:14" x14ac:dyDescent="0.2">
      <c r="A957" s="84"/>
      <c r="B957" s="84"/>
      <c r="C957" s="60"/>
      <c r="D957" s="66"/>
      <c r="E957" s="66"/>
      <c r="F957" s="66"/>
      <c r="G957" s="66"/>
      <c r="H957" s="66"/>
      <c r="I957" s="66"/>
      <c r="J957" s="66"/>
      <c r="K957" s="66"/>
      <c r="L957" s="66"/>
      <c r="M957" s="66"/>
      <c r="N957" s="66"/>
    </row>
    <row r="958" spans="1:14" x14ac:dyDescent="0.2">
      <c r="A958" s="84"/>
      <c r="B958" s="84"/>
      <c r="C958" s="60"/>
      <c r="D958" s="66"/>
      <c r="E958" s="66"/>
      <c r="F958" s="66"/>
      <c r="G958" s="66"/>
      <c r="H958" s="66"/>
      <c r="I958" s="66"/>
      <c r="J958" s="66"/>
      <c r="K958" s="66"/>
      <c r="L958" s="66"/>
      <c r="M958" s="66"/>
      <c r="N958" s="66"/>
    </row>
    <row r="959" spans="1:14" x14ac:dyDescent="0.2">
      <c r="A959" s="84"/>
      <c r="B959" s="84"/>
      <c r="C959" s="60"/>
      <c r="D959" s="66"/>
      <c r="E959" s="66"/>
      <c r="F959" s="66"/>
      <c r="G959" s="66"/>
      <c r="H959" s="66"/>
      <c r="I959" s="66"/>
      <c r="J959" s="66"/>
      <c r="K959" s="66"/>
      <c r="L959" s="66"/>
      <c r="M959" s="66"/>
      <c r="N959" s="66"/>
    </row>
    <row r="960" spans="1:14" x14ac:dyDescent="0.2">
      <c r="A960" s="84"/>
      <c r="B960" s="84"/>
      <c r="C960" s="60"/>
      <c r="D960" s="66"/>
      <c r="E960" s="66"/>
      <c r="F960" s="66"/>
      <c r="G960" s="66"/>
      <c r="H960" s="66"/>
      <c r="I960" s="66"/>
      <c r="J960" s="66"/>
      <c r="K960" s="66"/>
      <c r="L960" s="66"/>
      <c r="M960" s="66"/>
      <c r="N960" s="66"/>
    </row>
    <row r="961" spans="1:14" x14ac:dyDescent="0.2">
      <c r="A961" s="84"/>
      <c r="B961" s="84"/>
      <c r="C961" s="60"/>
      <c r="D961" s="66"/>
      <c r="E961" s="66"/>
      <c r="F961" s="66"/>
      <c r="G961" s="66"/>
      <c r="H961" s="66"/>
      <c r="I961" s="66"/>
      <c r="J961" s="66"/>
      <c r="K961" s="66"/>
      <c r="L961" s="66"/>
      <c r="M961" s="66"/>
      <c r="N961" s="66"/>
    </row>
    <row r="962" spans="1:14" x14ac:dyDescent="0.2">
      <c r="A962" s="84"/>
      <c r="B962" s="84"/>
      <c r="C962" s="60"/>
      <c r="D962" s="66"/>
      <c r="E962" s="66"/>
      <c r="F962" s="66"/>
      <c r="G962" s="66"/>
      <c r="H962" s="66"/>
      <c r="I962" s="66"/>
      <c r="J962" s="66"/>
      <c r="K962" s="66"/>
      <c r="L962" s="66"/>
      <c r="M962" s="66"/>
      <c r="N962" s="66"/>
    </row>
    <row r="963" spans="1:14" x14ac:dyDescent="0.2">
      <c r="A963" s="84"/>
      <c r="B963" s="84"/>
      <c r="C963" s="60"/>
      <c r="D963" s="66"/>
      <c r="E963" s="66"/>
      <c r="F963" s="66"/>
      <c r="G963" s="66"/>
      <c r="H963" s="66"/>
      <c r="I963" s="66"/>
      <c r="J963" s="66"/>
      <c r="K963" s="66"/>
      <c r="L963" s="66"/>
      <c r="M963" s="66"/>
      <c r="N963" s="66"/>
    </row>
    <row r="964" spans="1:14" x14ac:dyDescent="0.2">
      <c r="A964" s="84"/>
      <c r="B964" s="84"/>
      <c r="C964" s="60"/>
      <c r="D964" s="66"/>
      <c r="E964" s="66"/>
      <c r="F964" s="66"/>
      <c r="G964" s="66"/>
      <c r="H964" s="66"/>
      <c r="I964" s="66"/>
      <c r="J964" s="66"/>
      <c r="K964" s="66"/>
      <c r="L964" s="66"/>
      <c r="M964" s="66"/>
      <c r="N964" s="66"/>
    </row>
    <row r="965" spans="1:14" x14ac:dyDescent="0.2">
      <c r="A965" s="84"/>
      <c r="B965" s="84"/>
      <c r="C965" s="60"/>
      <c r="D965" s="66"/>
      <c r="E965" s="66"/>
      <c r="F965" s="66"/>
      <c r="G965" s="66"/>
      <c r="H965" s="66"/>
      <c r="I965" s="66"/>
      <c r="J965" s="66"/>
      <c r="K965" s="66"/>
      <c r="L965" s="66"/>
      <c r="M965" s="66"/>
      <c r="N965" s="66"/>
    </row>
    <row r="966" spans="1:14" x14ac:dyDescent="0.2">
      <c r="A966" s="84"/>
      <c r="B966" s="84"/>
      <c r="C966" s="60"/>
      <c r="D966" s="66"/>
      <c r="E966" s="66"/>
      <c r="F966" s="66"/>
      <c r="G966" s="66"/>
      <c r="H966" s="66"/>
      <c r="I966" s="66"/>
      <c r="J966" s="66"/>
      <c r="K966" s="66"/>
      <c r="L966" s="66"/>
      <c r="M966" s="66"/>
      <c r="N966" s="66"/>
    </row>
    <row r="967" spans="1:14" x14ac:dyDescent="0.2">
      <c r="A967" s="84"/>
      <c r="B967" s="84"/>
      <c r="C967" s="60"/>
      <c r="D967" s="66"/>
      <c r="E967" s="66"/>
      <c r="F967" s="66"/>
      <c r="G967" s="66"/>
      <c r="H967" s="66"/>
      <c r="I967" s="66"/>
      <c r="J967" s="66"/>
      <c r="K967" s="66"/>
      <c r="L967" s="66"/>
      <c r="M967" s="66"/>
      <c r="N967" s="66"/>
    </row>
    <row r="968" spans="1:14" x14ac:dyDescent="0.2">
      <c r="A968" s="84"/>
      <c r="B968" s="84"/>
      <c r="C968" s="60"/>
      <c r="D968" s="66"/>
      <c r="E968" s="66"/>
      <c r="F968" s="66"/>
      <c r="G968" s="66"/>
      <c r="H968" s="66"/>
      <c r="I968" s="66"/>
      <c r="J968" s="66"/>
      <c r="K968" s="66"/>
      <c r="L968" s="66"/>
      <c r="M968" s="66"/>
      <c r="N968" s="66"/>
    </row>
    <row r="969" spans="1:14" x14ac:dyDescent="0.2">
      <c r="A969" s="84"/>
      <c r="B969" s="84"/>
      <c r="C969" s="60"/>
      <c r="D969" s="66"/>
      <c r="E969" s="66"/>
      <c r="F969" s="66"/>
      <c r="G969" s="66"/>
      <c r="H969" s="66"/>
      <c r="I969" s="66"/>
      <c r="J969" s="66"/>
      <c r="K969" s="66"/>
      <c r="L969" s="66"/>
      <c r="M969" s="66"/>
      <c r="N969" s="66"/>
    </row>
    <row r="970" spans="1:14" x14ac:dyDescent="0.2">
      <c r="A970" s="84"/>
      <c r="B970" s="84"/>
      <c r="C970" s="60"/>
      <c r="D970" s="66"/>
      <c r="E970" s="66"/>
      <c r="F970" s="66"/>
      <c r="G970" s="66"/>
      <c r="H970" s="66"/>
      <c r="I970" s="66"/>
      <c r="J970" s="66"/>
      <c r="K970" s="66"/>
      <c r="L970" s="66"/>
      <c r="M970" s="66"/>
      <c r="N970" s="66"/>
    </row>
    <row r="971" spans="1:14" x14ac:dyDescent="0.2">
      <c r="A971" s="84"/>
      <c r="B971" s="84"/>
      <c r="C971" s="60"/>
      <c r="D971" s="66"/>
      <c r="E971" s="66"/>
      <c r="F971" s="66"/>
      <c r="G971" s="66"/>
      <c r="H971" s="66"/>
      <c r="I971" s="66"/>
      <c r="J971" s="66"/>
      <c r="K971" s="66"/>
      <c r="L971" s="66"/>
      <c r="M971" s="66"/>
      <c r="N971" s="66"/>
    </row>
    <row r="972" spans="1:14" x14ac:dyDescent="0.2">
      <c r="A972" s="84"/>
      <c r="B972" s="84"/>
      <c r="C972" s="60"/>
      <c r="D972" s="66"/>
      <c r="E972" s="66"/>
      <c r="F972" s="66"/>
      <c r="G972" s="66"/>
      <c r="H972" s="66"/>
      <c r="I972" s="66"/>
      <c r="J972" s="66"/>
      <c r="K972" s="66"/>
      <c r="L972" s="66"/>
      <c r="M972" s="66"/>
      <c r="N972" s="66"/>
    </row>
    <row r="973" spans="1:14" x14ac:dyDescent="0.2">
      <c r="A973" s="84"/>
      <c r="B973" s="84"/>
      <c r="C973" s="60"/>
      <c r="D973" s="66"/>
      <c r="E973" s="66"/>
      <c r="F973" s="66"/>
      <c r="G973" s="66"/>
      <c r="H973" s="66"/>
      <c r="I973" s="66"/>
      <c r="J973" s="66"/>
      <c r="K973" s="66"/>
      <c r="L973" s="66"/>
      <c r="M973" s="66"/>
      <c r="N973" s="66"/>
    </row>
    <row r="974" spans="1:14" x14ac:dyDescent="0.2">
      <c r="A974" s="84"/>
      <c r="B974" s="84"/>
      <c r="C974" s="60"/>
      <c r="D974" s="66"/>
      <c r="E974" s="66"/>
      <c r="F974" s="66"/>
      <c r="G974" s="66"/>
      <c r="H974" s="66"/>
      <c r="I974" s="66"/>
      <c r="J974" s="66"/>
      <c r="K974" s="66"/>
      <c r="L974" s="66"/>
      <c r="M974" s="66"/>
      <c r="N974" s="66"/>
    </row>
    <row r="975" spans="1:14" x14ac:dyDescent="0.2">
      <c r="A975" s="84"/>
      <c r="B975" s="84"/>
      <c r="C975" s="60"/>
      <c r="D975" s="66"/>
      <c r="E975" s="66"/>
      <c r="F975" s="66"/>
      <c r="G975" s="66"/>
      <c r="H975" s="66"/>
      <c r="I975" s="66"/>
      <c r="J975" s="66"/>
      <c r="K975" s="66"/>
      <c r="L975" s="66"/>
      <c r="M975" s="66"/>
      <c r="N975" s="66"/>
    </row>
    <row r="976" spans="1:14" x14ac:dyDescent="0.2">
      <c r="A976" s="84"/>
      <c r="B976" s="84"/>
      <c r="C976" s="60"/>
      <c r="D976" s="66"/>
      <c r="E976" s="66"/>
      <c r="F976" s="66"/>
      <c r="G976" s="66"/>
      <c r="H976" s="66"/>
      <c r="I976" s="66"/>
      <c r="J976" s="66"/>
      <c r="K976" s="66"/>
      <c r="L976" s="66"/>
      <c r="M976" s="66"/>
      <c r="N976" s="66"/>
    </row>
    <row r="977" spans="1:14" x14ac:dyDescent="0.2">
      <c r="A977" s="84"/>
      <c r="B977" s="84"/>
      <c r="C977" s="60"/>
      <c r="D977" s="66"/>
      <c r="E977" s="66"/>
      <c r="F977" s="66"/>
      <c r="G977" s="66"/>
      <c r="H977" s="66"/>
      <c r="I977" s="66"/>
      <c r="J977" s="66"/>
      <c r="K977" s="66"/>
      <c r="L977" s="66"/>
      <c r="M977" s="66"/>
      <c r="N977" s="66"/>
    </row>
    <row r="978" spans="1:14" x14ac:dyDescent="0.2">
      <c r="A978" s="84"/>
      <c r="B978" s="84"/>
      <c r="C978" s="60"/>
      <c r="D978" s="66"/>
      <c r="E978" s="66"/>
      <c r="F978" s="66"/>
      <c r="G978" s="66"/>
      <c r="H978" s="66"/>
      <c r="I978" s="66"/>
      <c r="J978" s="66"/>
      <c r="K978" s="66"/>
      <c r="L978" s="66"/>
      <c r="M978" s="66"/>
      <c r="N978" s="66"/>
    </row>
    <row r="979" spans="1:14" x14ac:dyDescent="0.2">
      <c r="A979" s="84"/>
      <c r="B979" s="84"/>
      <c r="C979" s="60"/>
      <c r="D979" s="66"/>
      <c r="E979" s="66"/>
      <c r="F979" s="66"/>
      <c r="G979" s="66"/>
      <c r="H979" s="66"/>
      <c r="I979" s="66"/>
      <c r="J979" s="66"/>
      <c r="K979" s="66"/>
      <c r="L979" s="66"/>
      <c r="M979" s="66"/>
      <c r="N979" s="66"/>
    </row>
    <row r="980" spans="1:14" x14ac:dyDescent="0.2">
      <c r="A980" s="84"/>
      <c r="B980" s="84"/>
      <c r="C980" s="60"/>
      <c r="D980" s="66"/>
      <c r="E980" s="66"/>
      <c r="F980" s="66"/>
      <c r="G980" s="66"/>
      <c r="H980" s="66"/>
      <c r="I980" s="66"/>
      <c r="J980" s="66"/>
      <c r="K980" s="66"/>
      <c r="L980" s="66"/>
      <c r="M980" s="66"/>
      <c r="N980" s="66"/>
    </row>
    <row r="981" spans="1:14" x14ac:dyDescent="0.2">
      <c r="A981" s="84"/>
      <c r="B981" s="84"/>
      <c r="C981" s="60"/>
      <c r="D981" s="66"/>
      <c r="E981" s="66"/>
      <c r="F981" s="66"/>
      <c r="G981" s="66"/>
      <c r="H981" s="66"/>
      <c r="I981" s="66"/>
      <c r="J981" s="66"/>
      <c r="K981" s="66"/>
      <c r="L981" s="66"/>
      <c r="M981" s="66"/>
      <c r="N981" s="66"/>
    </row>
    <row r="982" spans="1:14" x14ac:dyDescent="0.2">
      <c r="A982" s="84"/>
      <c r="B982" s="84"/>
      <c r="C982" s="60"/>
      <c r="D982" s="66"/>
      <c r="E982" s="66"/>
      <c r="F982" s="66"/>
      <c r="G982" s="66"/>
      <c r="H982" s="66"/>
      <c r="I982" s="66"/>
      <c r="J982" s="66"/>
      <c r="K982" s="66"/>
      <c r="L982" s="66"/>
      <c r="M982" s="66"/>
      <c r="N982" s="66"/>
    </row>
    <row r="983" spans="1:14" x14ac:dyDescent="0.2">
      <c r="A983" s="84"/>
      <c r="B983" s="84"/>
      <c r="C983" s="60"/>
      <c r="D983" s="66"/>
      <c r="E983" s="66"/>
      <c r="F983" s="66"/>
      <c r="G983" s="66"/>
      <c r="H983" s="66"/>
      <c r="I983" s="66"/>
      <c r="J983" s="66"/>
      <c r="K983" s="66"/>
      <c r="L983" s="66"/>
      <c r="M983" s="66"/>
      <c r="N983" s="66"/>
    </row>
    <row r="984" spans="1:14" x14ac:dyDescent="0.2">
      <c r="A984" s="84"/>
      <c r="B984" s="84"/>
      <c r="C984" s="60"/>
      <c r="D984" s="66"/>
      <c r="E984" s="66"/>
      <c r="F984" s="66"/>
      <c r="G984" s="66"/>
      <c r="H984" s="66"/>
      <c r="I984" s="66"/>
      <c r="J984" s="66"/>
      <c r="K984" s="66"/>
      <c r="L984" s="66"/>
      <c r="M984" s="66"/>
      <c r="N984" s="66"/>
    </row>
    <row r="985" spans="1:14" x14ac:dyDescent="0.2">
      <c r="A985" s="84"/>
      <c r="B985" s="84"/>
      <c r="C985" s="60"/>
      <c r="D985" s="66"/>
      <c r="E985" s="66"/>
      <c r="F985" s="66"/>
      <c r="G985" s="66"/>
      <c r="H985" s="66"/>
      <c r="I985" s="66"/>
      <c r="J985" s="66"/>
      <c r="K985" s="66"/>
      <c r="L985" s="66"/>
      <c r="M985" s="66"/>
      <c r="N985" s="66"/>
    </row>
    <row r="986" spans="1:14" x14ac:dyDescent="0.2">
      <c r="A986" s="84"/>
      <c r="B986" s="84"/>
      <c r="C986" s="60"/>
      <c r="D986" s="66"/>
      <c r="E986" s="66"/>
      <c r="F986" s="66"/>
      <c r="G986" s="66"/>
      <c r="H986" s="66"/>
      <c r="I986" s="66"/>
      <c r="J986" s="66"/>
      <c r="K986" s="66"/>
      <c r="L986" s="66"/>
      <c r="M986" s="66"/>
      <c r="N986" s="66"/>
    </row>
    <row r="987" spans="1:14" x14ac:dyDescent="0.2">
      <c r="A987" s="84"/>
      <c r="B987" s="84"/>
      <c r="C987" s="60"/>
      <c r="D987" s="66"/>
      <c r="E987" s="66"/>
      <c r="F987" s="66"/>
      <c r="G987" s="66"/>
      <c r="H987" s="66"/>
      <c r="I987" s="66"/>
      <c r="J987" s="66"/>
      <c r="K987" s="66"/>
      <c r="L987" s="66"/>
      <c r="M987" s="66"/>
      <c r="N987" s="66"/>
    </row>
    <row r="988" spans="1:14" x14ac:dyDescent="0.2">
      <c r="A988" s="84"/>
      <c r="B988" s="84"/>
      <c r="C988" s="60"/>
      <c r="D988" s="66"/>
      <c r="E988" s="66"/>
      <c r="F988" s="66"/>
      <c r="G988" s="66"/>
      <c r="H988" s="66"/>
      <c r="I988" s="66"/>
      <c r="J988" s="66"/>
      <c r="K988" s="66"/>
      <c r="L988" s="66"/>
      <c r="M988" s="66"/>
      <c r="N988" s="66"/>
    </row>
    <row r="989" spans="1:14" x14ac:dyDescent="0.2">
      <c r="A989" s="84"/>
      <c r="B989" s="84"/>
      <c r="C989" s="60"/>
      <c r="D989" s="66"/>
      <c r="E989" s="66"/>
      <c r="F989" s="66"/>
      <c r="G989" s="66"/>
      <c r="H989" s="66"/>
      <c r="I989" s="66"/>
      <c r="J989" s="66"/>
      <c r="K989" s="66"/>
      <c r="L989" s="66"/>
      <c r="M989" s="66"/>
      <c r="N989" s="66"/>
    </row>
    <row r="990" spans="1:14" x14ac:dyDescent="0.2">
      <c r="A990" s="84"/>
      <c r="B990" s="84"/>
      <c r="C990" s="60"/>
      <c r="D990" s="66"/>
      <c r="E990" s="66"/>
      <c r="F990" s="66"/>
      <c r="G990" s="66"/>
      <c r="H990" s="66"/>
      <c r="I990" s="66"/>
      <c r="J990" s="66"/>
      <c r="K990" s="66"/>
      <c r="L990" s="66"/>
      <c r="M990" s="66"/>
      <c r="N990" s="66"/>
    </row>
    <row r="991" spans="1:14" x14ac:dyDescent="0.2">
      <c r="A991" s="84"/>
      <c r="B991" s="84"/>
      <c r="C991" s="60"/>
      <c r="D991" s="66"/>
      <c r="E991" s="66"/>
      <c r="F991" s="66"/>
      <c r="G991" s="66"/>
      <c r="H991" s="66"/>
      <c r="I991" s="66"/>
      <c r="J991" s="66"/>
      <c r="K991" s="66"/>
      <c r="L991" s="66"/>
      <c r="M991" s="66"/>
      <c r="N991" s="66"/>
    </row>
    <row r="992" spans="1:14" x14ac:dyDescent="0.2">
      <c r="A992" s="84"/>
      <c r="B992" s="84"/>
      <c r="C992" s="60"/>
      <c r="D992" s="66"/>
      <c r="E992" s="66"/>
      <c r="F992" s="66"/>
      <c r="G992" s="66"/>
      <c r="H992" s="66"/>
      <c r="I992" s="66"/>
      <c r="J992" s="66"/>
      <c r="K992" s="66"/>
      <c r="L992" s="66"/>
      <c r="M992" s="66"/>
      <c r="N992" s="66"/>
    </row>
    <row r="993" spans="1:14" x14ac:dyDescent="0.2">
      <c r="A993" s="84"/>
      <c r="B993" s="84"/>
      <c r="C993" s="60"/>
      <c r="D993" s="66"/>
      <c r="E993" s="66"/>
      <c r="F993" s="66"/>
      <c r="G993" s="66"/>
      <c r="H993" s="66"/>
      <c r="I993" s="66"/>
      <c r="J993" s="66"/>
      <c r="K993" s="66"/>
      <c r="L993" s="66"/>
      <c r="M993" s="66"/>
      <c r="N993" s="66"/>
    </row>
    <row r="994" spans="1:14" x14ac:dyDescent="0.2">
      <c r="A994" s="84"/>
      <c r="B994" s="84"/>
      <c r="C994" s="60"/>
      <c r="D994" s="66"/>
      <c r="E994" s="66"/>
      <c r="F994" s="66"/>
      <c r="G994" s="66"/>
      <c r="H994" s="66"/>
      <c r="I994" s="66"/>
      <c r="J994" s="66"/>
      <c r="K994" s="66"/>
      <c r="L994" s="66"/>
      <c r="M994" s="66"/>
      <c r="N994" s="66"/>
    </row>
    <row r="995" spans="1:14" x14ac:dyDescent="0.2">
      <c r="A995" s="84"/>
      <c r="B995" s="84"/>
      <c r="C995" s="60"/>
      <c r="D995" s="66"/>
      <c r="E995" s="66"/>
      <c r="F995" s="66"/>
      <c r="G995" s="66"/>
      <c r="H995" s="66"/>
      <c r="I995" s="66"/>
      <c r="J995" s="66"/>
      <c r="K995" s="66"/>
      <c r="L995" s="66"/>
      <c r="M995" s="66"/>
      <c r="N995" s="66"/>
    </row>
    <row r="996" spans="1:14" x14ac:dyDescent="0.2">
      <c r="A996" s="84"/>
      <c r="B996" s="84"/>
      <c r="C996" s="60"/>
      <c r="D996" s="66"/>
      <c r="E996" s="66"/>
      <c r="F996" s="66"/>
      <c r="G996" s="66"/>
      <c r="H996" s="66"/>
      <c r="I996" s="66"/>
      <c r="J996" s="66"/>
      <c r="K996" s="66"/>
      <c r="L996" s="66"/>
      <c r="M996" s="66"/>
      <c r="N996" s="66"/>
    </row>
    <row r="997" spans="1:14" x14ac:dyDescent="0.2">
      <c r="A997" s="84"/>
      <c r="B997" s="84"/>
      <c r="C997" s="60"/>
      <c r="D997" s="66"/>
      <c r="E997" s="66"/>
      <c r="F997" s="66"/>
      <c r="G997" s="66"/>
      <c r="H997" s="66"/>
      <c r="I997" s="66"/>
      <c r="J997" s="66"/>
      <c r="K997" s="66"/>
      <c r="L997" s="66"/>
      <c r="M997" s="66"/>
      <c r="N997" s="66"/>
    </row>
    <row r="998" spans="1:14" x14ac:dyDescent="0.2">
      <c r="A998" s="84"/>
      <c r="B998" s="84"/>
      <c r="C998" s="60"/>
      <c r="D998" s="66"/>
      <c r="E998" s="66"/>
      <c r="F998" s="66"/>
      <c r="G998" s="66"/>
      <c r="H998" s="66"/>
      <c r="I998" s="66"/>
      <c r="J998" s="66"/>
      <c r="K998" s="66"/>
      <c r="L998" s="66"/>
      <c r="M998" s="66"/>
      <c r="N998" s="66"/>
    </row>
    <row r="999" spans="1:14" x14ac:dyDescent="0.2">
      <c r="A999" s="84"/>
      <c r="B999" s="84"/>
      <c r="C999" s="60"/>
      <c r="D999" s="66"/>
      <c r="E999" s="66"/>
      <c r="F999" s="66"/>
      <c r="G999" s="66"/>
      <c r="H999" s="66"/>
      <c r="I999" s="66"/>
      <c r="J999" s="66"/>
      <c r="K999" s="66"/>
      <c r="L999" s="66"/>
      <c r="M999" s="66"/>
      <c r="N999" s="66"/>
    </row>
    <row r="1000" spans="1:14" x14ac:dyDescent="0.2">
      <c r="A1000" s="84"/>
      <c r="B1000" s="84"/>
      <c r="C1000" s="60"/>
      <c r="D1000" s="66"/>
      <c r="E1000" s="66"/>
      <c r="F1000" s="66"/>
      <c r="G1000" s="66"/>
      <c r="H1000" s="66"/>
      <c r="I1000" s="66"/>
      <c r="J1000" s="66"/>
      <c r="K1000" s="66"/>
      <c r="L1000" s="66"/>
      <c r="M1000" s="66"/>
      <c r="N1000" s="66"/>
    </row>
    <row r="1001" spans="1:14" x14ac:dyDescent="0.2">
      <c r="A1001" s="84"/>
      <c r="B1001" s="84"/>
      <c r="C1001" s="60"/>
      <c r="D1001" s="66"/>
      <c r="E1001" s="66"/>
      <c r="F1001" s="66"/>
      <c r="G1001" s="66"/>
      <c r="H1001" s="66"/>
      <c r="I1001" s="66"/>
      <c r="J1001" s="66"/>
      <c r="K1001" s="66"/>
      <c r="L1001" s="66"/>
      <c r="M1001" s="66"/>
      <c r="N1001" s="66"/>
    </row>
    <row r="1002" spans="1:14" x14ac:dyDescent="0.2">
      <c r="A1002" s="84"/>
      <c r="B1002" s="84"/>
      <c r="C1002" s="60"/>
      <c r="D1002" s="66"/>
      <c r="E1002" s="66"/>
      <c r="F1002" s="66"/>
      <c r="G1002" s="66"/>
      <c r="H1002" s="66"/>
      <c r="I1002" s="66"/>
      <c r="J1002" s="66"/>
      <c r="K1002" s="66"/>
      <c r="L1002" s="66"/>
      <c r="M1002" s="66"/>
      <c r="N1002" s="66"/>
    </row>
    <row r="1003" spans="1:14" x14ac:dyDescent="0.2">
      <c r="A1003" s="84"/>
      <c r="B1003" s="84"/>
      <c r="C1003" s="60"/>
      <c r="D1003" s="66"/>
      <c r="E1003" s="66"/>
      <c r="F1003" s="66"/>
      <c r="G1003" s="66"/>
      <c r="H1003" s="66"/>
      <c r="I1003" s="66"/>
      <c r="J1003" s="66"/>
      <c r="K1003" s="66"/>
      <c r="L1003" s="66"/>
      <c r="M1003" s="66"/>
      <c r="N1003" s="66"/>
    </row>
    <row r="1004" spans="1:14" x14ac:dyDescent="0.2">
      <c r="A1004" s="84"/>
      <c r="B1004" s="84"/>
      <c r="C1004" s="60"/>
      <c r="D1004" s="66"/>
      <c r="E1004" s="66"/>
      <c r="F1004" s="66"/>
      <c r="G1004" s="66"/>
      <c r="H1004" s="66"/>
      <c r="I1004" s="66"/>
      <c r="J1004" s="66"/>
      <c r="K1004" s="66"/>
      <c r="L1004" s="66"/>
      <c r="M1004" s="66"/>
      <c r="N1004" s="66"/>
    </row>
    <row r="1005" spans="1:14" x14ac:dyDescent="0.2">
      <c r="A1005" s="84"/>
      <c r="B1005" s="84"/>
      <c r="C1005" s="60"/>
      <c r="D1005" s="66"/>
      <c r="E1005" s="66"/>
      <c r="F1005" s="66"/>
      <c r="G1005" s="66"/>
      <c r="H1005" s="66"/>
      <c r="I1005" s="66"/>
      <c r="J1005" s="66"/>
      <c r="K1005" s="66"/>
      <c r="L1005" s="66"/>
      <c r="M1005" s="66"/>
      <c r="N1005" s="66"/>
    </row>
    <row r="1006" spans="1:14" x14ac:dyDescent="0.2">
      <c r="A1006" s="84"/>
      <c r="B1006" s="84"/>
      <c r="C1006" s="60"/>
      <c r="D1006" s="66"/>
      <c r="E1006" s="66"/>
      <c r="F1006" s="66"/>
      <c r="G1006" s="66"/>
      <c r="H1006" s="66"/>
      <c r="I1006" s="66"/>
      <c r="J1006" s="66"/>
      <c r="K1006" s="66"/>
      <c r="L1006" s="66"/>
      <c r="M1006" s="66"/>
      <c r="N1006" s="66"/>
    </row>
    <row r="1007" spans="1:14" x14ac:dyDescent="0.2">
      <c r="A1007" s="84"/>
      <c r="B1007" s="84"/>
      <c r="C1007" s="60"/>
      <c r="D1007" s="66"/>
      <c r="E1007" s="66"/>
      <c r="F1007" s="66"/>
      <c r="G1007" s="66"/>
      <c r="H1007" s="66"/>
      <c r="I1007" s="66"/>
      <c r="J1007" s="66"/>
      <c r="K1007" s="66"/>
      <c r="L1007" s="66"/>
      <c r="M1007" s="66"/>
      <c r="N1007" s="66"/>
    </row>
    <row r="1008" spans="1:14" x14ac:dyDescent="0.2">
      <c r="A1008" s="84"/>
      <c r="B1008" s="84"/>
      <c r="C1008" s="60"/>
      <c r="D1008" s="66"/>
      <c r="E1008" s="66"/>
      <c r="F1008" s="66"/>
      <c r="G1008" s="66"/>
      <c r="H1008" s="66"/>
      <c r="I1008" s="66"/>
      <c r="J1008" s="66"/>
      <c r="K1008" s="66"/>
      <c r="L1008" s="66"/>
      <c r="M1008" s="66"/>
      <c r="N1008" s="66"/>
    </row>
    <row r="1009" spans="1:14" x14ac:dyDescent="0.2">
      <c r="A1009" s="84"/>
      <c r="B1009" s="84"/>
      <c r="C1009" s="60"/>
      <c r="D1009" s="66"/>
      <c r="E1009" s="66"/>
      <c r="F1009" s="66"/>
      <c r="G1009" s="66"/>
      <c r="H1009" s="66"/>
      <c r="I1009" s="66"/>
      <c r="J1009" s="66"/>
      <c r="K1009" s="66"/>
      <c r="L1009" s="66"/>
      <c r="M1009" s="66"/>
      <c r="N1009" s="66"/>
    </row>
    <row r="1010" spans="1:14" x14ac:dyDescent="0.2">
      <c r="A1010" s="84"/>
      <c r="B1010" s="84"/>
      <c r="C1010" s="60"/>
      <c r="D1010" s="66"/>
      <c r="E1010" s="66"/>
      <c r="F1010" s="66"/>
      <c r="G1010" s="66"/>
      <c r="H1010" s="66"/>
      <c r="I1010" s="66"/>
      <c r="J1010" s="66"/>
      <c r="K1010" s="66"/>
      <c r="L1010" s="66"/>
      <c r="M1010" s="66"/>
      <c r="N1010" s="66"/>
    </row>
    <row r="1011" spans="1:14" x14ac:dyDescent="0.2">
      <c r="A1011" s="84"/>
      <c r="B1011" s="84"/>
      <c r="C1011" s="60"/>
      <c r="D1011" s="66"/>
      <c r="E1011" s="66"/>
      <c r="F1011" s="66"/>
      <c r="G1011" s="66"/>
      <c r="H1011" s="66"/>
      <c r="I1011" s="66"/>
      <c r="J1011" s="66"/>
      <c r="K1011" s="66"/>
      <c r="L1011" s="66"/>
      <c r="M1011" s="66"/>
      <c r="N1011" s="66"/>
    </row>
    <row r="1012" spans="1:14" x14ac:dyDescent="0.2">
      <c r="A1012" s="84"/>
      <c r="B1012" s="84"/>
      <c r="C1012" s="60"/>
      <c r="D1012" s="66"/>
      <c r="E1012" s="66"/>
      <c r="F1012" s="66"/>
      <c r="G1012" s="66"/>
      <c r="H1012" s="66"/>
      <c r="I1012" s="66"/>
      <c r="J1012" s="66"/>
      <c r="K1012" s="66"/>
      <c r="L1012" s="66"/>
      <c r="M1012" s="66"/>
      <c r="N1012" s="66"/>
    </row>
    <row r="1013" spans="1:14" x14ac:dyDescent="0.2">
      <c r="A1013" s="84"/>
      <c r="B1013" s="84"/>
      <c r="C1013" s="60"/>
      <c r="D1013" s="66"/>
      <c r="E1013" s="66"/>
      <c r="F1013" s="66"/>
      <c r="G1013" s="66"/>
      <c r="H1013" s="66"/>
      <c r="I1013" s="66"/>
      <c r="J1013" s="66"/>
      <c r="K1013" s="66"/>
      <c r="L1013" s="66"/>
      <c r="M1013" s="66"/>
      <c r="N1013" s="66"/>
    </row>
    <row r="1014" spans="1:14" x14ac:dyDescent="0.2">
      <c r="A1014" s="84"/>
      <c r="B1014" s="84"/>
      <c r="C1014" s="60"/>
      <c r="D1014" s="66"/>
      <c r="E1014" s="66"/>
      <c r="F1014" s="66"/>
      <c r="G1014" s="66"/>
      <c r="H1014" s="66"/>
      <c r="I1014" s="66"/>
      <c r="J1014" s="66"/>
      <c r="K1014" s="66"/>
      <c r="L1014" s="66"/>
      <c r="M1014" s="66"/>
      <c r="N1014" s="66"/>
    </row>
    <row r="1015" spans="1:14" x14ac:dyDescent="0.2">
      <c r="A1015" s="84"/>
      <c r="B1015" s="84"/>
      <c r="C1015" s="60"/>
      <c r="D1015" s="66"/>
      <c r="E1015" s="66"/>
      <c r="F1015" s="66"/>
      <c r="G1015" s="66"/>
      <c r="H1015" s="66"/>
      <c r="I1015" s="66"/>
      <c r="J1015" s="66"/>
      <c r="K1015" s="66"/>
      <c r="L1015" s="66"/>
      <c r="M1015" s="66"/>
      <c r="N1015" s="66"/>
    </row>
    <row r="1016" spans="1:14" x14ac:dyDescent="0.2">
      <c r="A1016" s="84"/>
      <c r="B1016" s="84"/>
      <c r="C1016" s="60"/>
      <c r="D1016" s="66"/>
      <c r="E1016" s="66"/>
      <c r="F1016" s="66"/>
      <c r="G1016" s="66"/>
      <c r="H1016" s="66"/>
      <c r="I1016" s="66"/>
      <c r="J1016" s="66"/>
      <c r="K1016" s="66"/>
      <c r="L1016" s="66"/>
      <c r="M1016" s="66"/>
      <c r="N1016" s="66"/>
    </row>
    <row r="1017" spans="1:14" x14ac:dyDescent="0.2">
      <c r="A1017" s="84"/>
      <c r="B1017" s="84"/>
      <c r="C1017" s="60"/>
      <c r="D1017" s="66"/>
      <c r="E1017" s="66"/>
      <c r="F1017" s="66"/>
      <c r="G1017" s="66"/>
      <c r="H1017" s="66"/>
      <c r="I1017" s="66"/>
      <c r="J1017" s="66"/>
      <c r="K1017" s="66"/>
      <c r="L1017" s="66"/>
      <c r="M1017" s="66"/>
      <c r="N1017" s="66"/>
    </row>
    <row r="1018" spans="1:14" x14ac:dyDescent="0.2">
      <c r="A1018" s="84"/>
      <c r="B1018" s="84"/>
      <c r="C1018" s="60"/>
      <c r="D1018" s="66"/>
      <c r="E1018" s="66"/>
      <c r="F1018" s="66"/>
      <c r="G1018" s="66"/>
      <c r="H1018" s="66"/>
      <c r="I1018" s="66"/>
      <c r="J1018" s="66"/>
      <c r="K1018" s="66"/>
      <c r="L1018" s="66"/>
      <c r="M1018" s="66"/>
      <c r="N1018" s="66"/>
    </row>
    <row r="1019" spans="1:14" x14ac:dyDescent="0.2">
      <c r="A1019" s="84"/>
      <c r="B1019" s="84"/>
      <c r="C1019" s="60"/>
      <c r="D1019" s="66"/>
      <c r="E1019" s="66"/>
      <c r="F1019" s="66"/>
      <c r="G1019" s="66"/>
      <c r="H1019" s="66"/>
      <c r="I1019" s="66"/>
      <c r="J1019" s="66"/>
      <c r="K1019" s="66"/>
      <c r="L1019" s="66"/>
      <c r="M1019" s="66"/>
      <c r="N1019" s="66"/>
    </row>
    <row r="1020" spans="1:14" x14ac:dyDescent="0.2">
      <c r="A1020" s="84"/>
      <c r="B1020" s="84"/>
      <c r="C1020" s="60"/>
      <c r="D1020" s="66"/>
      <c r="E1020" s="66"/>
      <c r="F1020" s="66"/>
      <c r="G1020" s="66"/>
      <c r="H1020" s="66"/>
      <c r="I1020" s="66"/>
      <c r="J1020" s="66"/>
      <c r="K1020" s="66"/>
      <c r="L1020" s="66"/>
      <c r="M1020" s="66"/>
      <c r="N1020" s="66"/>
    </row>
    <row r="1021" spans="1:14" x14ac:dyDescent="0.2">
      <c r="A1021" s="84"/>
      <c r="B1021" s="84"/>
      <c r="C1021" s="60"/>
      <c r="D1021" s="66"/>
      <c r="E1021" s="66"/>
      <c r="F1021" s="66"/>
      <c r="G1021" s="66"/>
      <c r="H1021" s="66"/>
      <c r="I1021" s="66"/>
      <c r="J1021" s="66"/>
      <c r="K1021" s="66"/>
      <c r="L1021" s="66"/>
      <c r="M1021" s="66"/>
      <c r="N1021" s="66"/>
    </row>
    <row r="1022" spans="1:14" x14ac:dyDescent="0.2">
      <c r="A1022" s="84"/>
      <c r="B1022" s="84"/>
      <c r="C1022" s="60"/>
      <c r="D1022" s="66"/>
      <c r="E1022" s="66"/>
      <c r="F1022" s="66"/>
      <c r="G1022" s="66"/>
      <c r="H1022" s="66"/>
      <c r="I1022" s="66"/>
      <c r="J1022" s="66"/>
      <c r="K1022" s="66"/>
      <c r="L1022" s="66"/>
      <c r="M1022" s="66"/>
      <c r="N1022" s="66"/>
    </row>
    <row r="1023" spans="1:14" x14ac:dyDescent="0.2">
      <c r="A1023" s="84"/>
      <c r="B1023" s="84"/>
      <c r="C1023" s="60"/>
      <c r="D1023" s="66"/>
      <c r="E1023" s="66"/>
      <c r="F1023" s="66"/>
      <c r="G1023" s="66"/>
      <c r="H1023" s="66"/>
      <c r="I1023" s="66"/>
      <c r="J1023" s="66"/>
      <c r="K1023" s="66"/>
      <c r="L1023" s="66"/>
      <c r="M1023" s="66"/>
      <c r="N1023" s="66"/>
    </row>
    <row r="1024" spans="1:14" x14ac:dyDescent="0.2">
      <c r="A1024" s="84"/>
      <c r="B1024" s="84"/>
      <c r="C1024" s="60"/>
      <c r="D1024" s="66"/>
      <c r="E1024" s="66"/>
      <c r="F1024" s="66"/>
      <c r="G1024" s="66"/>
      <c r="H1024" s="66"/>
      <c r="I1024" s="66"/>
      <c r="J1024" s="66"/>
      <c r="K1024" s="66"/>
      <c r="L1024" s="66"/>
      <c r="M1024" s="66"/>
      <c r="N1024" s="66"/>
    </row>
    <row r="1025" spans="1:14" x14ac:dyDescent="0.2">
      <c r="A1025" s="84"/>
      <c r="B1025" s="84"/>
      <c r="C1025" s="60"/>
      <c r="D1025" s="66"/>
      <c r="E1025" s="66"/>
      <c r="F1025" s="66"/>
      <c r="G1025" s="66"/>
      <c r="H1025" s="66"/>
      <c r="I1025" s="66"/>
      <c r="J1025" s="66"/>
      <c r="K1025" s="66"/>
      <c r="L1025" s="66"/>
      <c r="M1025" s="66"/>
      <c r="N1025" s="66"/>
    </row>
    <row r="1026" spans="1:14" x14ac:dyDescent="0.2">
      <c r="A1026" s="84"/>
      <c r="B1026" s="84"/>
      <c r="C1026" s="60"/>
      <c r="D1026" s="66"/>
      <c r="E1026" s="66"/>
      <c r="F1026" s="66"/>
      <c r="G1026" s="66"/>
      <c r="H1026" s="66"/>
      <c r="I1026" s="66"/>
      <c r="J1026" s="66"/>
      <c r="K1026" s="66"/>
      <c r="L1026" s="66"/>
      <c r="M1026" s="66"/>
      <c r="N1026" s="66"/>
    </row>
    <row r="1027" spans="1:14" x14ac:dyDescent="0.2">
      <c r="A1027" s="84"/>
      <c r="B1027" s="84"/>
      <c r="C1027" s="60"/>
      <c r="D1027" s="66"/>
      <c r="E1027" s="66"/>
      <c r="F1027" s="66"/>
      <c r="G1027" s="66"/>
      <c r="H1027" s="66"/>
      <c r="I1027" s="66"/>
      <c r="J1027" s="66"/>
      <c r="K1027" s="66"/>
      <c r="L1027" s="66"/>
      <c r="M1027" s="66"/>
      <c r="N1027" s="66"/>
    </row>
    <row r="1028" spans="1:14" x14ac:dyDescent="0.2">
      <c r="A1028" s="84"/>
      <c r="B1028" s="84"/>
      <c r="C1028" s="60"/>
      <c r="D1028" s="66"/>
      <c r="E1028" s="66"/>
      <c r="F1028" s="66"/>
      <c r="G1028" s="66"/>
      <c r="H1028" s="66"/>
      <c r="I1028" s="66"/>
      <c r="J1028" s="66"/>
      <c r="K1028" s="66"/>
      <c r="L1028" s="66"/>
      <c r="M1028" s="66"/>
      <c r="N1028" s="66"/>
    </row>
    <row r="1029" spans="1:14" x14ac:dyDescent="0.2">
      <c r="A1029" s="84"/>
      <c r="B1029" s="84"/>
      <c r="C1029" s="60"/>
      <c r="D1029" s="66"/>
      <c r="E1029" s="66"/>
      <c r="F1029" s="66"/>
      <c r="G1029" s="66"/>
      <c r="H1029" s="66"/>
      <c r="I1029" s="66"/>
      <c r="J1029" s="66"/>
      <c r="K1029" s="66"/>
      <c r="L1029" s="66"/>
      <c r="M1029" s="66"/>
      <c r="N1029" s="66"/>
    </row>
    <row r="1030" spans="1:14" x14ac:dyDescent="0.2">
      <c r="A1030" s="84"/>
      <c r="B1030" s="84"/>
      <c r="C1030" s="60"/>
      <c r="D1030" s="66"/>
      <c r="E1030" s="66"/>
      <c r="F1030" s="66"/>
      <c r="G1030" s="66"/>
      <c r="H1030" s="66"/>
      <c r="I1030" s="66"/>
      <c r="J1030" s="66"/>
      <c r="K1030" s="66"/>
      <c r="L1030" s="66"/>
      <c r="M1030" s="66"/>
      <c r="N1030" s="66"/>
    </row>
    <row r="1031" spans="1:14" x14ac:dyDescent="0.2">
      <c r="A1031" s="84"/>
      <c r="B1031" s="84"/>
      <c r="C1031" s="60"/>
      <c r="D1031" s="66"/>
      <c r="E1031" s="66"/>
      <c r="F1031" s="66"/>
      <c r="G1031" s="66"/>
      <c r="H1031" s="66"/>
      <c r="I1031" s="66"/>
      <c r="J1031" s="66"/>
      <c r="K1031" s="66"/>
      <c r="L1031" s="66"/>
      <c r="M1031" s="66"/>
      <c r="N1031" s="66"/>
    </row>
    <row r="1032" spans="1:14" x14ac:dyDescent="0.2">
      <c r="A1032" s="84"/>
      <c r="B1032" s="84"/>
      <c r="C1032" s="60"/>
      <c r="D1032" s="66"/>
      <c r="E1032" s="66"/>
      <c r="F1032" s="66"/>
      <c r="G1032" s="66"/>
      <c r="H1032" s="66"/>
      <c r="I1032" s="66"/>
      <c r="J1032" s="66"/>
      <c r="K1032" s="66"/>
      <c r="L1032" s="66"/>
      <c r="M1032" s="66"/>
      <c r="N1032" s="66"/>
    </row>
    <row r="1033" spans="1:14" x14ac:dyDescent="0.2">
      <c r="A1033" s="84"/>
      <c r="B1033" s="84"/>
      <c r="C1033" s="60"/>
      <c r="D1033" s="66"/>
      <c r="E1033" s="66"/>
      <c r="F1033" s="66"/>
      <c r="G1033" s="66"/>
      <c r="H1033" s="66"/>
      <c r="I1033" s="66"/>
      <c r="J1033" s="66"/>
      <c r="K1033" s="66"/>
      <c r="L1033" s="66"/>
      <c r="M1033" s="66"/>
      <c r="N1033" s="66"/>
    </row>
    <row r="1034" spans="1:14" x14ac:dyDescent="0.2">
      <c r="A1034" s="84"/>
      <c r="B1034" s="84"/>
      <c r="C1034" s="60"/>
      <c r="D1034" s="66"/>
      <c r="E1034" s="66"/>
      <c r="F1034" s="66"/>
      <c r="G1034" s="66"/>
      <c r="H1034" s="66"/>
      <c r="I1034" s="66"/>
      <c r="J1034" s="66"/>
      <c r="K1034" s="66"/>
      <c r="L1034" s="66"/>
      <c r="M1034" s="66"/>
      <c r="N1034" s="66"/>
    </row>
    <row r="1035" spans="1:14" x14ac:dyDescent="0.2">
      <c r="A1035" s="84"/>
      <c r="B1035" s="84"/>
      <c r="C1035" s="60"/>
      <c r="D1035" s="66"/>
      <c r="E1035" s="66"/>
      <c r="F1035" s="66"/>
      <c r="G1035" s="66"/>
      <c r="H1035" s="66"/>
      <c r="I1035" s="66"/>
      <c r="J1035" s="66"/>
      <c r="K1035" s="66"/>
      <c r="L1035" s="66"/>
      <c r="M1035" s="66"/>
      <c r="N1035" s="66"/>
    </row>
    <row r="1036" spans="1:14" x14ac:dyDescent="0.2">
      <c r="A1036" s="84"/>
      <c r="B1036" s="84"/>
      <c r="C1036" s="60"/>
      <c r="D1036" s="66"/>
      <c r="E1036" s="66"/>
      <c r="F1036" s="66"/>
      <c r="G1036" s="66"/>
      <c r="H1036" s="66"/>
      <c r="I1036" s="66"/>
      <c r="J1036" s="66"/>
      <c r="K1036" s="66"/>
      <c r="L1036" s="66"/>
      <c r="M1036" s="66"/>
      <c r="N1036" s="66"/>
    </row>
    <row r="1037" spans="1:14" x14ac:dyDescent="0.2">
      <c r="A1037" s="84"/>
      <c r="B1037" s="84"/>
      <c r="C1037" s="60"/>
      <c r="D1037" s="66"/>
      <c r="E1037" s="66"/>
      <c r="F1037" s="66"/>
      <c r="G1037" s="66"/>
      <c r="H1037" s="66"/>
      <c r="I1037" s="66"/>
      <c r="J1037" s="66"/>
      <c r="K1037" s="66"/>
      <c r="L1037" s="66"/>
      <c r="M1037" s="66"/>
      <c r="N1037" s="66"/>
    </row>
    <row r="1038" spans="1:14" x14ac:dyDescent="0.2">
      <c r="A1038" s="84"/>
      <c r="B1038" s="84"/>
      <c r="C1038" s="60"/>
      <c r="D1038" s="66"/>
      <c r="E1038" s="66"/>
      <c r="F1038" s="66"/>
      <c r="G1038" s="66"/>
      <c r="H1038" s="66"/>
      <c r="I1038" s="66"/>
      <c r="J1038" s="66"/>
      <c r="K1038" s="66"/>
      <c r="L1038" s="66"/>
      <c r="M1038" s="66"/>
      <c r="N1038" s="66"/>
    </row>
    <row r="1039" spans="1:14" x14ac:dyDescent="0.2">
      <c r="A1039" s="84"/>
      <c r="B1039" s="84"/>
      <c r="C1039" s="60"/>
      <c r="D1039" s="66"/>
      <c r="E1039" s="66"/>
      <c r="F1039" s="66"/>
      <c r="G1039" s="66"/>
      <c r="H1039" s="66"/>
      <c r="I1039" s="66"/>
      <c r="J1039" s="66"/>
      <c r="K1039" s="66"/>
      <c r="L1039" s="66"/>
      <c r="M1039" s="66"/>
      <c r="N1039" s="66"/>
    </row>
    <row r="1040" spans="1:14" x14ac:dyDescent="0.2">
      <c r="A1040" s="84"/>
      <c r="B1040" s="84"/>
      <c r="C1040" s="60"/>
      <c r="D1040" s="66"/>
      <c r="E1040" s="66"/>
      <c r="F1040" s="66"/>
      <c r="G1040" s="66"/>
      <c r="H1040" s="66"/>
      <c r="I1040" s="66"/>
      <c r="J1040" s="66"/>
      <c r="K1040" s="66"/>
      <c r="L1040" s="66"/>
      <c r="M1040" s="66"/>
      <c r="N1040" s="66"/>
    </row>
    <row r="1041" spans="1:14" x14ac:dyDescent="0.2">
      <c r="A1041" s="84"/>
      <c r="B1041" s="84"/>
      <c r="C1041" s="60"/>
      <c r="D1041" s="66"/>
      <c r="E1041" s="66"/>
      <c r="F1041" s="66"/>
      <c r="G1041" s="66"/>
      <c r="H1041" s="66"/>
      <c r="I1041" s="66"/>
      <c r="J1041" s="66"/>
      <c r="K1041" s="66"/>
      <c r="L1041" s="66"/>
      <c r="M1041" s="66"/>
      <c r="N1041" s="66"/>
    </row>
    <row r="1042" spans="1:14" x14ac:dyDescent="0.2">
      <c r="A1042" s="84"/>
      <c r="B1042" s="84"/>
      <c r="C1042" s="60"/>
      <c r="D1042" s="66"/>
      <c r="E1042" s="66"/>
      <c r="F1042" s="66"/>
      <c r="G1042" s="66"/>
      <c r="H1042" s="66"/>
      <c r="I1042" s="66"/>
      <c r="J1042" s="66"/>
      <c r="K1042" s="66"/>
      <c r="L1042" s="66"/>
      <c r="M1042" s="66"/>
      <c r="N1042" s="66"/>
    </row>
    <row r="1043" spans="1:14" x14ac:dyDescent="0.2">
      <c r="A1043" s="84"/>
      <c r="B1043" s="84"/>
      <c r="C1043" s="60"/>
      <c r="D1043" s="66"/>
      <c r="E1043" s="66"/>
      <c r="F1043" s="66"/>
      <c r="G1043" s="66"/>
      <c r="H1043" s="66"/>
      <c r="I1043" s="66"/>
      <c r="J1043" s="66"/>
      <c r="K1043" s="66"/>
      <c r="L1043" s="66"/>
      <c r="M1043" s="66"/>
      <c r="N1043" s="66"/>
    </row>
    <row r="1044" spans="1:14" x14ac:dyDescent="0.2">
      <c r="A1044" s="84"/>
      <c r="B1044" s="84"/>
      <c r="C1044" s="60"/>
      <c r="D1044" s="66"/>
      <c r="E1044" s="66"/>
      <c r="F1044" s="66"/>
      <c r="G1044" s="66"/>
      <c r="H1044" s="66"/>
      <c r="I1044" s="66"/>
      <c r="J1044" s="66"/>
      <c r="K1044" s="66"/>
      <c r="L1044" s="66"/>
      <c r="M1044" s="66"/>
      <c r="N1044" s="66"/>
    </row>
    <row r="1045" spans="1:14" x14ac:dyDescent="0.2">
      <c r="A1045" s="84"/>
      <c r="B1045" s="84"/>
      <c r="C1045" s="60"/>
      <c r="D1045" s="66"/>
      <c r="E1045" s="66"/>
      <c r="F1045" s="66"/>
      <c r="G1045" s="66"/>
      <c r="H1045" s="66"/>
      <c r="I1045" s="66"/>
      <c r="J1045" s="66"/>
      <c r="K1045" s="66"/>
      <c r="L1045" s="66"/>
      <c r="M1045" s="66"/>
      <c r="N1045" s="66"/>
    </row>
    <row r="1046" spans="1:14" x14ac:dyDescent="0.2">
      <c r="A1046" s="84"/>
      <c r="B1046" s="84"/>
      <c r="C1046" s="60"/>
      <c r="D1046" s="66"/>
      <c r="E1046" s="66"/>
      <c r="F1046" s="66"/>
      <c r="G1046" s="66"/>
      <c r="H1046" s="66"/>
      <c r="I1046" s="66"/>
      <c r="J1046" s="66"/>
      <c r="K1046" s="66"/>
      <c r="L1046" s="66"/>
      <c r="M1046" s="66"/>
      <c r="N1046" s="66"/>
    </row>
    <row r="1047" spans="1:14" x14ac:dyDescent="0.2">
      <c r="A1047" s="84"/>
      <c r="B1047" s="84"/>
      <c r="C1047" s="60"/>
      <c r="D1047" s="66"/>
      <c r="E1047" s="66"/>
      <c r="F1047" s="66"/>
      <c r="G1047" s="66"/>
      <c r="H1047" s="66"/>
      <c r="I1047" s="66"/>
      <c r="J1047" s="66"/>
      <c r="K1047" s="66"/>
      <c r="L1047" s="66"/>
      <c r="M1047" s="66"/>
      <c r="N1047" s="66"/>
    </row>
    <row r="1048" spans="1:14" x14ac:dyDescent="0.2">
      <c r="A1048" s="84"/>
      <c r="B1048" s="84"/>
      <c r="C1048" s="60"/>
      <c r="D1048" s="66"/>
      <c r="E1048" s="66"/>
      <c r="F1048" s="66"/>
      <c r="G1048" s="66"/>
      <c r="H1048" s="66"/>
      <c r="I1048" s="66"/>
      <c r="J1048" s="66"/>
      <c r="K1048" s="66"/>
      <c r="L1048" s="66"/>
      <c r="M1048" s="66"/>
      <c r="N1048" s="66"/>
    </row>
    <row r="1049" spans="1:14" x14ac:dyDescent="0.2">
      <c r="A1049" s="84"/>
      <c r="B1049" s="84"/>
      <c r="C1049" s="60"/>
      <c r="D1049" s="66"/>
      <c r="E1049" s="66"/>
      <c r="F1049" s="66"/>
      <c r="G1049" s="66"/>
      <c r="H1049" s="66"/>
      <c r="I1049" s="66"/>
      <c r="J1049" s="66"/>
      <c r="K1049" s="66"/>
      <c r="L1049" s="66"/>
      <c r="M1049" s="66"/>
      <c r="N1049" s="66"/>
    </row>
    <row r="1050" spans="1:14" x14ac:dyDescent="0.2">
      <c r="A1050" s="84"/>
      <c r="B1050" s="84"/>
      <c r="C1050" s="60"/>
      <c r="D1050" s="66"/>
      <c r="E1050" s="66"/>
      <c r="F1050" s="66"/>
      <c r="G1050" s="66"/>
      <c r="H1050" s="66"/>
      <c r="I1050" s="66"/>
      <c r="J1050" s="66"/>
      <c r="K1050" s="66"/>
      <c r="L1050" s="66"/>
      <c r="M1050" s="66"/>
      <c r="N1050" s="66"/>
    </row>
    <row r="1051" spans="1:14" x14ac:dyDescent="0.2">
      <c r="A1051" s="84"/>
      <c r="B1051" s="84"/>
      <c r="C1051" s="60"/>
      <c r="D1051" s="66"/>
      <c r="E1051" s="66"/>
      <c r="F1051" s="66"/>
      <c r="G1051" s="66"/>
      <c r="H1051" s="66"/>
      <c r="I1051" s="66"/>
      <c r="J1051" s="66"/>
      <c r="K1051" s="66"/>
      <c r="L1051" s="66"/>
      <c r="M1051" s="66"/>
      <c r="N1051" s="66"/>
    </row>
    <row r="1052" spans="1:14" x14ac:dyDescent="0.2">
      <c r="A1052" s="84"/>
      <c r="B1052" s="84"/>
      <c r="C1052" s="60"/>
      <c r="D1052" s="66"/>
      <c r="E1052" s="66"/>
      <c r="F1052" s="66"/>
      <c r="G1052" s="66"/>
      <c r="H1052" s="66"/>
      <c r="I1052" s="66"/>
      <c r="J1052" s="66"/>
      <c r="K1052" s="66"/>
      <c r="L1052" s="66"/>
      <c r="M1052" s="66"/>
      <c r="N1052" s="66"/>
    </row>
    <row r="1053" spans="1:14" x14ac:dyDescent="0.2">
      <c r="A1053" s="84"/>
      <c r="B1053" s="84"/>
      <c r="C1053" s="60"/>
      <c r="D1053" s="66"/>
      <c r="E1053" s="66"/>
      <c r="F1053" s="66"/>
      <c r="G1053" s="66"/>
      <c r="H1053" s="66"/>
      <c r="I1053" s="66"/>
      <c r="J1053" s="66"/>
      <c r="K1053" s="66"/>
      <c r="L1053" s="66"/>
      <c r="M1053" s="66"/>
      <c r="N1053" s="66"/>
    </row>
    <row r="1054" spans="1:14" x14ac:dyDescent="0.2">
      <c r="A1054" s="84"/>
      <c r="B1054" s="84"/>
      <c r="C1054" s="60"/>
      <c r="D1054" s="66"/>
      <c r="E1054" s="66"/>
      <c r="F1054" s="66"/>
      <c r="G1054" s="66"/>
      <c r="H1054" s="66"/>
      <c r="I1054" s="66"/>
      <c r="J1054" s="66"/>
      <c r="K1054" s="66"/>
      <c r="L1054" s="66"/>
      <c r="M1054" s="66"/>
      <c r="N1054" s="66"/>
    </row>
    <row r="1055" spans="1:14" x14ac:dyDescent="0.2">
      <c r="A1055" s="84"/>
      <c r="B1055" s="84"/>
      <c r="C1055" s="60"/>
      <c r="D1055" s="66"/>
      <c r="E1055" s="66"/>
      <c r="F1055" s="66"/>
      <c r="G1055" s="66"/>
      <c r="H1055" s="66"/>
      <c r="I1055" s="66"/>
      <c r="J1055" s="66"/>
      <c r="K1055" s="66"/>
      <c r="L1055" s="66"/>
      <c r="M1055" s="66"/>
      <c r="N1055" s="66"/>
    </row>
    <row r="1056" spans="1:14" x14ac:dyDescent="0.2">
      <c r="A1056" s="84"/>
      <c r="B1056" s="84"/>
      <c r="C1056" s="60"/>
      <c r="D1056" s="66"/>
      <c r="E1056" s="66"/>
      <c r="F1056" s="66"/>
      <c r="G1056" s="66"/>
      <c r="H1056" s="66"/>
      <c r="I1056" s="66"/>
      <c r="J1056" s="66"/>
      <c r="K1056" s="66"/>
      <c r="L1056" s="66"/>
      <c r="M1056" s="66"/>
      <c r="N1056" s="66"/>
    </row>
    <row r="1057" spans="1:14" x14ac:dyDescent="0.2">
      <c r="A1057" s="84"/>
      <c r="B1057" s="84"/>
      <c r="C1057" s="60"/>
      <c r="D1057" s="66"/>
      <c r="E1057" s="66"/>
      <c r="F1057" s="66"/>
      <c r="G1057" s="66"/>
      <c r="H1057" s="66"/>
      <c r="I1057" s="66"/>
      <c r="J1057" s="66"/>
      <c r="K1057" s="66"/>
      <c r="L1057" s="66"/>
      <c r="M1057" s="66"/>
      <c r="N1057" s="66"/>
    </row>
    <row r="1058" spans="1:14" x14ac:dyDescent="0.2">
      <c r="A1058" s="84"/>
      <c r="B1058" s="84"/>
      <c r="C1058" s="60"/>
      <c r="D1058" s="66"/>
      <c r="E1058" s="66"/>
      <c r="F1058" s="66"/>
      <c r="G1058" s="66"/>
      <c r="H1058" s="66"/>
      <c r="I1058" s="66"/>
      <c r="J1058" s="66"/>
      <c r="K1058" s="66"/>
      <c r="L1058" s="66"/>
      <c r="M1058" s="66"/>
      <c r="N1058" s="66"/>
    </row>
    <row r="1059" spans="1:14" x14ac:dyDescent="0.2">
      <c r="A1059" s="84"/>
      <c r="B1059" s="84"/>
      <c r="C1059" s="60"/>
      <c r="D1059" s="66"/>
      <c r="E1059" s="66"/>
      <c r="F1059" s="66"/>
      <c r="G1059" s="66"/>
      <c r="H1059" s="66"/>
      <c r="I1059" s="66"/>
      <c r="J1059" s="66"/>
      <c r="K1059" s="66"/>
      <c r="L1059" s="66"/>
      <c r="M1059" s="66"/>
      <c r="N1059" s="66"/>
    </row>
    <row r="1060" spans="1:14" x14ac:dyDescent="0.2">
      <c r="A1060" s="84"/>
      <c r="B1060" s="84"/>
      <c r="C1060" s="60"/>
      <c r="D1060" s="66"/>
      <c r="E1060" s="66"/>
      <c r="F1060" s="66"/>
      <c r="G1060" s="66"/>
      <c r="H1060" s="66"/>
      <c r="I1060" s="66"/>
      <c r="J1060" s="66"/>
      <c r="K1060" s="66"/>
      <c r="L1060" s="66"/>
      <c r="M1060" s="66"/>
      <c r="N1060" s="66"/>
    </row>
    <row r="1061" spans="1:14" x14ac:dyDescent="0.2">
      <c r="A1061" s="84"/>
      <c r="B1061" s="84"/>
      <c r="C1061" s="60"/>
      <c r="D1061" s="66"/>
      <c r="E1061" s="66"/>
      <c r="F1061" s="66"/>
      <c r="G1061" s="66"/>
      <c r="H1061" s="66"/>
      <c r="I1061" s="66"/>
      <c r="J1061" s="66"/>
      <c r="K1061" s="66"/>
      <c r="L1061" s="66"/>
      <c r="M1061" s="66"/>
      <c r="N1061" s="66"/>
    </row>
    <row r="1062" spans="1:14" x14ac:dyDescent="0.2">
      <c r="A1062" s="84"/>
      <c r="B1062" s="84"/>
      <c r="C1062" s="60"/>
      <c r="D1062" s="66"/>
      <c r="E1062" s="66"/>
      <c r="F1062" s="66"/>
      <c r="G1062" s="66"/>
      <c r="H1062" s="66"/>
      <c r="I1062" s="66"/>
      <c r="J1062" s="66"/>
      <c r="K1062" s="66"/>
      <c r="L1062" s="66"/>
      <c r="M1062" s="66"/>
      <c r="N1062" s="66"/>
    </row>
    <row r="1063" spans="1:14" x14ac:dyDescent="0.2">
      <c r="A1063" s="84"/>
      <c r="B1063" s="84"/>
      <c r="C1063" s="60"/>
      <c r="D1063" s="66"/>
      <c r="E1063" s="66"/>
      <c r="F1063" s="66"/>
      <c r="G1063" s="66"/>
      <c r="H1063" s="66"/>
      <c r="I1063" s="66"/>
      <c r="J1063" s="66"/>
      <c r="K1063" s="66"/>
      <c r="L1063" s="66"/>
      <c r="M1063" s="66"/>
      <c r="N1063" s="66"/>
    </row>
    <row r="1064" spans="1:14" x14ac:dyDescent="0.2">
      <c r="A1064" s="84"/>
      <c r="B1064" s="84"/>
      <c r="C1064" s="60"/>
      <c r="D1064" s="66"/>
      <c r="E1064" s="66"/>
      <c r="F1064" s="66"/>
      <c r="G1064" s="66"/>
      <c r="H1064" s="66"/>
      <c r="I1064" s="66"/>
      <c r="J1064" s="66"/>
      <c r="K1064" s="66"/>
      <c r="L1064" s="66"/>
      <c r="M1064" s="66"/>
      <c r="N1064" s="66"/>
    </row>
    <row r="1065" spans="1:14" x14ac:dyDescent="0.2">
      <c r="A1065" s="84"/>
      <c r="B1065" s="84"/>
      <c r="C1065" s="60"/>
      <c r="D1065" s="66"/>
      <c r="E1065" s="66"/>
      <c r="F1065" s="66"/>
      <c r="G1065" s="66"/>
      <c r="H1065" s="66"/>
      <c r="I1065" s="66"/>
      <c r="J1065" s="66"/>
      <c r="K1065" s="66"/>
      <c r="L1065" s="66"/>
      <c r="M1065" s="66"/>
      <c r="N1065" s="66"/>
    </row>
    <row r="1066" spans="1:14" x14ac:dyDescent="0.2">
      <c r="A1066" s="84"/>
      <c r="B1066" s="84"/>
      <c r="C1066" s="60"/>
      <c r="D1066" s="66"/>
      <c r="E1066" s="66"/>
      <c r="F1066" s="66"/>
      <c r="G1066" s="66"/>
      <c r="H1066" s="66"/>
      <c r="I1066" s="66"/>
      <c r="J1066" s="66"/>
      <c r="K1066" s="66"/>
      <c r="L1066" s="66"/>
      <c r="M1066" s="66"/>
      <c r="N1066" s="66"/>
    </row>
    <row r="1067" spans="1:14" x14ac:dyDescent="0.2">
      <c r="A1067" s="84"/>
      <c r="B1067" s="84"/>
      <c r="C1067" s="60"/>
      <c r="D1067" s="66"/>
      <c r="E1067" s="66"/>
      <c r="F1067" s="66"/>
      <c r="G1067" s="66"/>
      <c r="H1067" s="66"/>
      <c r="I1067" s="66"/>
      <c r="J1067" s="66"/>
      <c r="K1067" s="66"/>
      <c r="L1067" s="66"/>
      <c r="M1067" s="66"/>
      <c r="N1067" s="66"/>
    </row>
    <row r="1068" spans="1:14" x14ac:dyDescent="0.2">
      <c r="A1068" s="84"/>
      <c r="B1068" s="84"/>
      <c r="C1068" s="60"/>
      <c r="D1068" s="66"/>
      <c r="E1068" s="66"/>
      <c r="F1068" s="66"/>
      <c r="G1068" s="66"/>
      <c r="H1068" s="66"/>
      <c r="I1068" s="66"/>
      <c r="J1068" s="66"/>
      <c r="K1068" s="66"/>
      <c r="L1068" s="66"/>
      <c r="M1068" s="66"/>
      <c r="N1068" s="66"/>
    </row>
    <row r="1069" spans="1:14" x14ac:dyDescent="0.2">
      <c r="A1069" s="84"/>
      <c r="B1069" s="84"/>
      <c r="C1069" s="60"/>
      <c r="D1069" s="66"/>
      <c r="E1069" s="66"/>
      <c r="F1069" s="66"/>
      <c r="G1069" s="66"/>
      <c r="H1069" s="66"/>
      <c r="I1069" s="66"/>
      <c r="J1069" s="66"/>
      <c r="K1069" s="66"/>
      <c r="L1069" s="66"/>
      <c r="M1069" s="66"/>
      <c r="N1069" s="66"/>
    </row>
    <row r="1070" spans="1:14" x14ac:dyDescent="0.2">
      <c r="A1070" s="84"/>
      <c r="B1070" s="84"/>
      <c r="C1070" s="60"/>
      <c r="D1070" s="66"/>
      <c r="E1070" s="66"/>
      <c r="F1070" s="66"/>
      <c r="G1070" s="66"/>
      <c r="H1070" s="66"/>
      <c r="I1070" s="66"/>
      <c r="J1070" s="66"/>
      <c r="K1070" s="66"/>
      <c r="L1070" s="66"/>
      <c r="M1070" s="66"/>
      <c r="N1070" s="66"/>
    </row>
    <row r="1071" spans="1:14" x14ac:dyDescent="0.2">
      <c r="A1071" s="84"/>
      <c r="B1071" s="84"/>
      <c r="C1071" s="60"/>
      <c r="D1071" s="66"/>
      <c r="E1071" s="66"/>
      <c r="F1071" s="66"/>
      <c r="G1071" s="66"/>
      <c r="H1071" s="66"/>
      <c r="I1071" s="66"/>
      <c r="J1071" s="66"/>
      <c r="K1071" s="66"/>
      <c r="L1071" s="66"/>
      <c r="M1071" s="66"/>
      <c r="N1071" s="66"/>
    </row>
    <row r="1072" spans="1:14" x14ac:dyDescent="0.2">
      <c r="A1072" s="84"/>
      <c r="B1072" s="84"/>
      <c r="C1072" s="60"/>
      <c r="D1072" s="66"/>
      <c r="E1072" s="66"/>
      <c r="F1072" s="66"/>
      <c r="G1072" s="66"/>
      <c r="H1072" s="66"/>
      <c r="I1072" s="66"/>
      <c r="J1072" s="66"/>
      <c r="K1072" s="66"/>
      <c r="L1072" s="66"/>
      <c r="M1072" s="66"/>
      <c r="N1072" s="66"/>
    </row>
    <row r="1073" spans="1:14" x14ac:dyDescent="0.2">
      <c r="A1073" s="84"/>
      <c r="B1073" s="84"/>
      <c r="C1073" s="60"/>
      <c r="D1073" s="66"/>
      <c r="E1073" s="66"/>
      <c r="F1073" s="66"/>
      <c r="G1073" s="66"/>
      <c r="H1073" s="66"/>
      <c r="I1073" s="66"/>
      <c r="J1073" s="66"/>
      <c r="K1073" s="66"/>
      <c r="L1073" s="66"/>
      <c r="M1073" s="66"/>
      <c r="N1073" s="66"/>
    </row>
    <row r="1074" spans="1:14" x14ac:dyDescent="0.2">
      <c r="A1074" s="84"/>
      <c r="B1074" s="84"/>
      <c r="C1074" s="60"/>
      <c r="D1074" s="66"/>
      <c r="E1074" s="66"/>
      <c r="F1074" s="66"/>
      <c r="G1074" s="66"/>
      <c r="H1074" s="66"/>
      <c r="I1074" s="66"/>
      <c r="J1074" s="66"/>
      <c r="K1074" s="66"/>
      <c r="L1074" s="66"/>
      <c r="M1074" s="66"/>
      <c r="N1074" s="66"/>
    </row>
    <row r="1075" spans="1:14" x14ac:dyDescent="0.2">
      <c r="A1075" s="84"/>
      <c r="B1075" s="84"/>
      <c r="C1075" s="60"/>
      <c r="D1075" s="66"/>
      <c r="E1075" s="66"/>
      <c r="F1075" s="66"/>
      <c r="G1075" s="66"/>
      <c r="H1075" s="66"/>
      <c r="I1075" s="66"/>
      <c r="J1075" s="66"/>
      <c r="K1075" s="66"/>
      <c r="L1075" s="66"/>
      <c r="M1075" s="66"/>
      <c r="N1075" s="66"/>
    </row>
    <row r="1076" spans="1:14" x14ac:dyDescent="0.2">
      <c r="A1076" s="84"/>
      <c r="B1076" s="84"/>
      <c r="C1076" s="60"/>
      <c r="D1076" s="66"/>
      <c r="E1076" s="66"/>
      <c r="F1076" s="66"/>
      <c r="G1076" s="66"/>
      <c r="H1076" s="66"/>
      <c r="I1076" s="66"/>
      <c r="J1076" s="66"/>
      <c r="K1076" s="66"/>
      <c r="L1076" s="66"/>
      <c r="M1076" s="66"/>
      <c r="N1076" s="66"/>
    </row>
    <row r="1077" spans="1:14" x14ac:dyDescent="0.2">
      <c r="A1077" s="84"/>
      <c r="B1077" s="84"/>
      <c r="C1077" s="60"/>
      <c r="D1077" s="66"/>
      <c r="E1077" s="66"/>
      <c r="F1077" s="66"/>
      <c r="G1077" s="66"/>
      <c r="H1077" s="66"/>
      <c r="I1077" s="66"/>
      <c r="J1077" s="66"/>
      <c r="K1077" s="66"/>
      <c r="L1077" s="66"/>
      <c r="M1077" s="66"/>
      <c r="N1077" s="66"/>
    </row>
    <row r="1078" spans="1:14" x14ac:dyDescent="0.2">
      <c r="A1078" s="84"/>
      <c r="B1078" s="84"/>
      <c r="C1078" s="60"/>
      <c r="D1078" s="66"/>
      <c r="E1078" s="66"/>
      <c r="F1078" s="66"/>
      <c r="G1078" s="66"/>
      <c r="H1078" s="66"/>
      <c r="I1078" s="66"/>
      <c r="J1078" s="66"/>
      <c r="K1078" s="66"/>
      <c r="L1078" s="66"/>
      <c r="M1078" s="66"/>
      <c r="N1078" s="66"/>
    </row>
    <row r="1079" spans="1:14" x14ac:dyDescent="0.2">
      <c r="A1079" s="84"/>
      <c r="B1079" s="84"/>
      <c r="C1079" s="60"/>
      <c r="D1079" s="66"/>
      <c r="E1079" s="66"/>
      <c r="F1079" s="66"/>
      <c r="G1079" s="66"/>
      <c r="H1079" s="66"/>
      <c r="I1079" s="66"/>
      <c r="J1079" s="66"/>
      <c r="K1079" s="66"/>
      <c r="L1079" s="66"/>
      <c r="M1079" s="66"/>
      <c r="N1079" s="66"/>
    </row>
    <row r="1080" spans="1:14" x14ac:dyDescent="0.2">
      <c r="A1080" s="84"/>
      <c r="B1080" s="84"/>
      <c r="C1080" s="60"/>
      <c r="D1080" s="66"/>
      <c r="E1080" s="66"/>
      <c r="F1080" s="66"/>
      <c r="G1080" s="66"/>
      <c r="H1080" s="66"/>
      <c r="I1080" s="66"/>
      <c r="J1080" s="66"/>
      <c r="K1080" s="66"/>
      <c r="L1080" s="66"/>
      <c r="M1080" s="66"/>
      <c r="N1080" s="66"/>
    </row>
    <row r="1081" spans="1:14" x14ac:dyDescent="0.2">
      <c r="A1081" s="84"/>
      <c r="B1081" s="84"/>
      <c r="C1081" s="60"/>
      <c r="D1081" s="66"/>
      <c r="E1081" s="66"/>
      <c r="F1081" s="66"/>
      <c r="G1081" s="66"/>
      <c r="H1081" s="66"/>
      <c r="I1081" s="66"/>
      <c r="J1081" s="66"/>
      <c r="K1081" s="66"/>
      <c r="L1081" s="66"/>
      <c r="M1081" s="66"/>
      <c r="N1081" s="66"/>
    </row>
    <row r="1082" spans="1:14" x14ac:dyDescent="0.2">
      <c r="A1082" s="84"/>
      <c r="B1082" s="84"/>
      <c r="C1082" s="60"/>
      <c r="D1082" s="66"/>
      <c r="E1082" s="66"/>
      <c r="F1082" s="66"/>
      <c r="G1082" s="66"/>
      <c r="H1082" s="66"/>
      <c r="I1082" s="66"/>
      <c r="J1082" s="66"/>
      <c r="K1082" s="66"/>
      <c r="L1082" s="66"/>
      <c r="M1082" s="66"/>
      <c r="N1082" s="66"/>
    </row>
    <row r="1083" spans="1:14" x14ac:dyDescent="0.2">
      <c r="A1083" s="84"/>
      <c r="B1083" s="84"/>
      <c r="C1083" s="60"/>
      <c r="D1083" s="66"/>
      <c r="E1083" s="66"/>
      <c r="F1083" s="66"/>
      <c r="G1083" s="66"/>
      <c r="H1083" s="66"/>
      <c r="I1083" s="66"/>
      <c r="J1083" s="66"/>
      <c r="K1083" s="66"/>
      <c r="L1083" s="66"/>
      <c r="M1083" s="66"/>
      <c r="N1083" s="66"/>
    </row>
    <row r="1084" spans="1:14" x14ac:dyDescent="0.2">
      <c r="A1084" s="84"/>
      <c r="B1084" s="84"/>
      <c r="C1084" s="60"/>
      <c r="D1084" s="66"/>
      <c r="E1084" s="66"/>
      <c r="F1084" s="66"/>
      <c r="G1084" s="66"/>
      <c r="H1084" s="66"/>
      <c r="I1084" s="66"/>
      <c r="J1084" s="66"/>
      <c r="K1084" s="66"/>
      <c r="L1084" s="66"/>
      <c r="M1084" s="66"/>
      <c r="N1084" s="66"/>
    </row>
    <row r="1085" spans="1:14" x14ac:dyDescent="0.2">
      <c r="A1085" s="84"/>
      <c r="B1085" s="84"/>
      <c r="C1085" s="60"/>
      <c r="D1085" s="66"/>
      <c r="E1085" s="66"/>
      <c r="F1085" s="66"/>
      <c r="G1085" s="66"/>
      <c r="H1085" s="66"/>
      <c r="I1085" s="66"/>
      <c r="J1085" s="66"/>
      <c r="K1085" s="66"/>
      <c r="L1085" s="66"/>
      <c r="M1085" s="66"/>
      <c r="N1085" s="66"/>
    </row>
    <row r="1086" spans="1:14" x14ac:dyDescent="0.2">
      <c r="A1086" s="84"/>
      <c r="B1086" s="84"/>
      <c r="C1086" s="60"/>
      <c r="D1086" s="66"/>
      <c r="E1086" s="66"/>
      <c r="F1086" s="66"/>
      <c r="G1086" s="66"/>
      <c r="H1086" s="66"/>
      <c r="I1086" s="66"/>
      <c r="J1086" s="66"/>
      <c r="K1086" s="66"/>
      <c r="L1086" s="66"/>
      <c r="M1086" s="66"/>
      <c r="N1086" s="66"/>
    </row>
    <row r="1087" spans="1:14" x14ac:dyDescent="0.2">
      <c r="A1087" s="84"/>
      <c r="B1087" s="84"/>
      <c r="C1087" s="60"/>
      <c r="D1087" s="66"/>
      <c r="E1087" s="66"/>
      <c r="F1087" s="66"/>
      <c r="G1087" s="66"/>
      <c r="H1087" s="66"/>
      <c r="I1087" s="66"/>
      <c r="J1087" s="66"/>
      <c r="K1087" s="66"/>
      <c r="L1087" s="66"/>
      <c r="M1087" s="66"/>
      <c r="N1087" s="66"/>
    </row>
    <row r="1088" spans="1:14" x14ac:dyDescent="0.2">
      <c r="A1088" s="84"/>
      <c r="B1088" s="84"/>
      <c r="C1088" s="60"/>
      <c r="D1088" s="66"/>
      <c r="E1088" s="66"/>
      <c r="F1088" s="66"/>
      <c r="G1088" s="66"/>
      <c r="H1088" s="66"/>
      <c r="I1088" s="66"/>
      <c r="J1088" s="66"/>
      <c r="K1088" s="66"/>
      <c r="L1088" s="66"/>
      <c r="M1088" s="66"/>
      <c r="N1088" s="66"/>
    </row>
    <row r="1089" spans="1:14" x14ac:dyDescent="0.2">
      <c r="A1089" s="84"/>
      <c r="B1089" s="84"/>
      <c r="C1089" s="60"/>
      <c r="D1089" s="66"/>
      <c r="E1089" s="66"/>
      <c r="F1089" s="66"/>
      <c r="G1089" s="66"/>
      <c r="H1089" s="66"/>
      <c r="I1089" s="66"/>
      <c r="J1089" s="66"/>
      <c r="K1089" s="66"/>
      <c r="L1089" s="66"/>
      <c r="M1089" s="66"/>
      <c r="N1089" s="66"/>
    </row>
    <row r="1090" spans="1:14" x14ac:dyDescent="0.2">
      <c r="A1090" s="84"/>
      <c r="B1090" s="84"/>
      <c r="C1090" s="60"/>
      <c r="D1090" s="66"/>
      <c r="E1090" s="66"/>
      <c r="F1090" s="66"/>
      <c r="G1090" s="66"/>
      <c r="H1090" s="66"/>
      <c r="I1090" s="66"/>
      <c r="J1090" s="66"/>
      <c r="K1090" s="66"/>
      <c r="L1090" s="66"/>
      <c r="M1090" s="66"/>
      <c r="N1090" s="66"/>
    </row>
    <row r="1091" spans="1:14" x14ac:dyDescent="0.2">
      <c r="A1091" s="84"/>
      <c r="B1091" s="84"/>
      <c r="C1091" s="60"/>
      <c r="D1091" s="66"/>
      <c r="E1091" s="66"/>
      <c r="F1091" s="66"/>
      <c r="G1091" s="66"/>
      <c r="H1091" s="66"/>
      <c r="I1091" s="66"/>
      <c r="J1091" s="66"/>
      <c r="K1091" s="66"/>
      <c r="L1091" s="66"/>
      <c r="M1091" s="66"/>
      <c r="N1091" s="66"/>
    </row>
    <row r="1092" spans="1:14" x14ac:dyDescent="0.2">
      <c r="A1092" s="84"/>
      <c r="B1092" s="84"/>
      <c r="C1092" s="60"/>
      <c r="D1092" s="66"/>
      <c r="E1092" s="66"/>
      <c r="F1092" s="66"/>
      <c r="G1092" s="66"/>
      <c r="H1092" s="66"/>
      <c r="I1092" s="66"/>
      <c r="J1092" s="66"/>
      <c r="K1092" s="66"/>
      <c r="L1092" s="66"/>
      <c r="M1092" s="66"/>
      <c r="N1092" s="66"/>
    </row>
    <row r="1093" spans="1:14" x14ac:dyDescent="0.2">
      <c r="A1093" s="84"/>
      <c r="B1093" s="84"/>
      <c r="C1093" s="60"/>
      <c r="D1093" s="66"/>
      <c r="E1093" s="66"/>
      <c r="F1093" s="66"/>
      <c r="G1093" s="66"/>
      <c r="H1093" s="66"/>
      <c r="I1093" s="66"/>
      <c r="J1093" s="66"/>
      <c r="K1093" s="66"/>
      <c r="L1093" s="66"/>
      <c r="M1093" s="66"/>
      <c r="N1093" s="66"/>
    </row>
    <row r="1094" spans="1:14" x14ac:dyDescent="0.2">
      <c r="A1094" s="84"/>
      <c r="B1094" s="84"/>
      <c r="C1094" s="60"/>
      <c r="D1094" s="66"/>
      <c r="E1094" s="66"/>
      <c r="F1094" s="66"/>
      <c r="G1094" s="66"/>
      <c r="H1094" s="66"/>
      <c r="I1094" s="66"/>
      <c r="J1094" s="66"/>
      <c r="K1094" s="66"/>
      <c r="L1094" s="66"/>
      <c r="M1094" s="66"/>
      <c r="N1094" s="66"/>
    </row>
    <row r="1095" spans="1:14" x14ac:dyDescent="0.2">
      <c r="A1095" s="84"/>
      <c r="B1095" s="84"/>
      <c r="C1095" s="60"/>
      <c r="D1095" s="66"/>
      <c r="E1095" s="66"/>
      <c r="F1095" s="66"/>
      <c r="G1095" s="66"/>
      <c r="H1095" s="66"/>
      <c r="I1095" s="66"/>
      <c r="J1095" s="66"/>
      <c r="K1095" s="66"/>
      <c r="L1095" s="66"/>
      <c r="M1095" s="66"/>
      <c r="N1095" s="66"/>
    </row>
    <row r="1096" spans="1:14" x14ac:dyDescent="0.2">
      <c r="A1096" s="84"/>
      <c r="B1096" s="84"/>
      <c r="C1096" s="60"/>
      <c r="D1096" s="66"/>
      <c r="E1096" s="66"/>
      <c r="F1096" s="66"/>
      <c r="G1096" s="66"/>
      <c r="H1096" s="66"/>
      <c r="I1096" s="66"/>
      <c r="J1096" s="66"/>
      <c r="K1096" s="66"/>
      <c r="L1096" s="66"/>
      <c r="M1096" s="66"/>
      <c r="N1096" s="66"/>
    </row>
    <row r="1097" spans="1:14" x14ac:dyDescent="0.2">
      <c r="A1097" s="84"/>
      <c r="B1097" s="84"/>
      <c r="C1097" s="60"/>
      <c r="D1097" s="66"/>
      <c r="E1097" s="66"/>
      <c r="F1097" s="66"/>
      <c r="G1097" s="66"/>
      <c r="H1097" s="66"/>
      <c r="I1097" s="66"/>
      <c r="J1097" s="66"/>
      <c r="K1097" s="66"/>
      <c r="L1097" s="66"/>
      <c r="M1097" s="66"/>
      <c r="N1097" s="66"/>
    </row>
    <row r="1098" spans="1:14" x14ac:dyDescent="0.2">
      <c r="A1098" s="84"/>
      <c r="B1098" s="84"/>
      <c r="C1098" s="60"/>
      <c r="D1098" s="66"/>
      <c r="E1098" s="66"/>
      <c r="F1098" s="66"/>
      <c r="G1098" s="66"/>
      <c r="H1098" s="66"/>
      <c r="I1098" s="66"/>
      <c r="J1098" s="66"/>
      <c r="K1098" s="66"/>
      <c r="L1098" s="66"/>
      <c r="M1098" s="66"/>
      <c r="N1098" s="66"/>
    </row>
    <row r="1099" spans="1:14" x14ac:dyDescent="0.2">
      <c r="A1099" s="84"/>
      <c r="B1099" s="84"/>
      <c r="C1099" s="60"/>
      <c r="D1099" s="66"/>
      <c r="E1099" s="66"/>
      <c r="F1099" s="66"/>
      <c r="G1099" s="66"/>
      <c r="H1099" s="66"/>
      <c r="I1099" s="66"/>
      <c r="J1099" s="66"/>
      <c r="K1099" s="66"/>
      <c r="L1099" s="66"/>
      <c r="M1099" s="66"/>
      <c r="N1099" s="66"/>
    </row>
    <row r="1100" spans="1:14" x14ac:dyDescent="0.2">
      <c r="A1100" s="84"/>
      <c r="B1100" s="84"/>
      <c r="C1100" s="60"/>
      <c r="D1100" s="66"/>
      <c r="E1100" s="66"/>
      <c r="F1100" s="66"/>
      <c r="G1100" s="66"/>
      <c r="H1100" s="66"/>
      <c r="I1100" s="66"/>
      <c r="J1100" s="66"/>
      <c r="K1100" s="66"/>
      <c r="L1100" s="66"/>
      <c r="M1100" s="66"/>
      <c r="N1100" s="66"/>
    </row>
    <row r="1101" spans="1:14" x14ac:dyDescent="0.2">
      <c r="A1101" s="84"/>
      <c r="B1101" s="84"/>
      <c r="C1101" s="60"/>
      <c r="D1101" s="66"/>
      <c r="E1101" s="66"/>
      <c r="F1101" s="66"/>
      <c r="G1101" s="66"/>
      <c r="H1101" s="66"/>
      <c r="I1101" s="66"/>
      <c r="J1101" s="66"/>
      <c r="K1101" s="66"/>
      <c r="L1101" s="66"/>
      <c r="M1101" s="66"/>
      <c r="N1101" s="66"/>
    </row>
    <row r="1102" spans="1:14" x14ac:dyDescent="0.2">
      <c r="A1102" s="84"/>
      <c r="B1102" s="84"/>
      <c r="C1102" s="60"/>
      <c r="D1102" s="66"/>
      <c r="E1102" s="66"/>
      <c r="F1102" s="66"/>
      <c r="G1102" s="66"/>
      <c r="H1102" s="66"/>
      <c r="I1102" s="66"/>
      <c r="J1102" s="66"/>
      <c r="K1102" s="66"/>
      <c r="L1102" s="66"/>
      <c r="M1102" s="66"/>
      <c r="N1102" s="66"/>
    </row>
    <row r="1103" spans="1:14" x14ac:dyDescent="0.2">
      <c r="A1103" s="84"/>
      <c r="B1103" s="84"/>
      <c r="C1103" s="60"/>
      <c r="D1103" s="66"/>
      <c r="E1103" s="66"/>
      <c r="F1103" s="66"/>
      <c r="G1103" s="66"/>
      <c r="H1103" s="66"/>
      <c r="I1103" s="66"/>
      <c r="J1103" s="66"/>
      <c r="K1103" s="66"/>
      <c r="L1103" s="66"/>
      <c r="M1103" s="66"/>
      <c r="N1103" s="66"/>
    </row>
    <row r="1104" spans="1:14" x14ac:dyDescent="0.2">
      <c r="A1104" s="84"/>
      <c r="B1104" s="84"/>
      <c r="C1104" s="60"/>
      <c r="D1104" s="66"/>
      <c r="E1104" s="66"/>
      <c r="F1104" s="66"/>
      <c r="G1104" s="66"/>
      <c r="H1104" s="66"/>
      <c r="I1104" s="66"/>
      <c r="J1104" s="66"/>
      <c r="K1104" s="66"/>
      <c r="L1104" s="66"/>
      <c r="M1104" s="66"/>
      <c r="N1104" s="66"/>
    </row>
    <row r="1105" spans="1:14" x14ac:dyDescent="0.2">
      <c r="A1105" s="84"/>
      <c r="B1105" s="84"/>
      <c r="C1105" s="60"/>
      <c r="D1105" s="66"/>
      <c r="E1105" s="66"/>
      <c r="F1105" s="66"/>
      <c r="G1105" s="66"/>
      <c r="H1105" s="66"/>
      <c r="I1105" s="66"/>
      <c r="J1105" s="66"/>
      <c r="K1105" s="66"/>
      <c r="L1105" s="66"/>
      <c r="M1105" s="66"/>
      <c r="N1105" s="66"/>
    </row>
    <row r="1106" spans="1:14" x14ac:dyDescent="0.2">
      <c r="A1106" s="84"/>
      <c r="B1106" s="84"/>
      <c r="C1106" s="60"/>
      <c r="D1106" s="66"/>
      <c r="E1106" s="66"/>
      <c r="F1106" s="66"/>
      <c r="G1106" s="66"/>
      <c r="H1106" s="66"/>
      <c r="I1106" s="66"/>
      <c r="J1106" s="66"/>
      <c r="K1106" s="66"/>
      <c r="L1106" s="66"/>
      <c r="M1106" s="66"/>
      <c r="N1106" s="66"/>
    </row>
    <row r="1107" spans="1:14" x14ac:dyDescent="0.2">
      <c r="A1107" s="84"/>
      <c r="B1107" s="84"/>
      <c r="C1107" s="60"/>
      <c r="D1107" s="66"/>
      <c r="E1107" s="66"/>
      <c r="F1107" s="66"/>
      <c r="G1107" s="66"/>
      <c r="H1107" s="66"/>
      <c r="I1107" s="66"/>
      <c r="J1107" s="66"/>
      <c r="K1107" s="66"/>
      <c r="L1107" s="66"/>
      <c r="M1107" s="66"/>
      <c r="N1107" s="66"/>
    </row>
    <row r="1108" spans="1:14" x14ac:dyDescent="0.2">
      <c r="A1108" s="84"/>
      <c r="B1108" s="84"/>
      <c r="C1108" s="60"/>
      <c r="D1108" s="66"/>
      <c r="E1108" s="66"/>
      <c r="F1108" s="66"/>
      <c r="G1108" s="66"/>
      <c r="H1108" s="66"/>
      <c r="I1108" s="66"/>
      <c r="J1108" s="66"/>
      <c r="K1108" s="66"/>
      <c r="L1108" s="66"/>
      <c r="M1108" s="66"/>
      <c r="N1108" s="66"/>
    </row>
    <row r="1109" spans="1:14" x14ac:dyDescent="0.2">
      <c r="A1109" s="84"/>
      <c r="B1109" s="84"/>
      <c r="C1109" s="60"/>
      <c r="D1109" s="66"/>
      <c r="E1109" s="66"/>
      <c r="F1109" s="66"/>
      <c r="G1109" s="66"/>
      <c r="H1109" s="66"/>
      <c r="I1109" s="66"/>
      <c r="J1109" s="66"/>
      <c r="K1109" s="66"/>
      <c r="L1109" s="66"/>
      <c r="M1109" s="66"/>
      <c r="N1109" s="66"/>
    </row>
    <row r="1110" spans="1:14" x14ac:dyDescent="0.2">
      <c r="A1110" s="84"/>
      <c r="B1110" s="84"/>
      <c r="C1110" s="60"/>
      <c r="D1110" s="66"/>
      <c r="E1110" s="66"/>
      <c r="F1110" s="66"/>
      <c r="G1110" s="66"/>
      <c r="H1110" s="66"/>
      <c r="I1110" s="66"/>
      <c r="J1110" s="66"/>
      <c r="K1110" s="66"/>
      <c r="L1110" s="66"/>
      <c r="M1110" s="66"/>
      <c r="N1110" s="66"/>
    </row>
    <row r="1111" spans="1:14" x14ac:dyDescent="0.2">
      <c r="A1111" s="84"/>
      <c r="B1111" s="84"/>
      <c r="C1111" s="60"/>
      <c r="D1111" s="66"/>
      <c r="E1111" s="66"/>
      <c r="F1111" s="66"/>
      <c r="G1111" s="66"/>
      <c r="H1111" s="66"/>
      <c r="I1111" s="66"/>
      <c r="J1111" s="66"/>
      <c r="K1111" s="66"/>
      <c r="L1111" s="66"/>
      <c r="M1111" s="66"/>
      <c r="N1111" s="66"/>
    </row>
    <row r="1112" spans="1:14" x14ac:dyDescent="0.2">
      <c r="A1112" s="84"/>
      <c r="B1112" s="84"/>
      <c r="C1112" s="60"/>
      <c r="D1112" s="66"/>
      <c r="E1112" s="66"/>
      <c r="F1112" s="66"/>
      <c r="G1112" s="66"/>
      <c r="H1112" s="66"/>
      <c r="I1112" s="66"/>
      <c r="J1112" s="66"/>
      <c r="K1112" s="66"/>
      <c r="L1112" s="66"/>
      <c r="M1112" s="66"/>
      <c r="N1112" s="66"/>
    </row>
    <row r="1113" spans="1:14" x14ac:dyDescent="0.2">
      <c r="A1113" s="84"/>
      <c r="B1113" s="84"/>
      <c r="C1113" s="60"/>
      <c r="D1113" s="66"/>
      <c r="E1113" s="66"/>
      <c r="F1113" s="66"/>
      <c r="G1113" s="66"/>
      <c r="H1113" s="66"/>
      <c r="I1113" s="66"/>
      <c r="J1113" s="66"/>
      <c r="K1113" s="66"/>
      <c r="L1113" s="66"/>
      <c r="M1113" s="66"/>
      <c r="N1113" s="66"/>
    </row>
    <row r="1114" spans="1:14" x14ac:dyDescent="0.2">
      <c r="A1114" s="84"/>
      <c r="B1114" s="84"/>
      <c r="C1114" s="60"/>
      <c r="D1114" s="66"/>
      <c r="E1114" s="66"/>
      <c r="F1114" s="66"/>
      <c r="G1114" s="66"/>
      <c r="H1114" s="66"/>
      <c r="I1114" s="66"/>
      <c r="J1114" s="66"/>
      <c r="K1114" s="66"/>
      <c r="L1114" s="66"/>
      <c r="M1114" s="66"/>
      <c r="N1114" s="66"/>
    </row>
    <row r="1115" spans="1:14" x14ac:dyDescent="0.2">
      <c r="A1115" s="84"/>
      <c r="B1115" s="84"/>
      <c r="C1115" s="60"/>
      <c r="D1115" s="66"/>
      <c r="E1115" s="66"/>
      <c r="F1115" s="66"/>
      <c r="G1115" s="66"/>
      <c r="H1115" s="66"/>
      <c r="I1115" s="66"/>
      <c r="J1115" s="66"/>
      <c r="K1115" s="66"/>
      <c r="L1115" s="66"/>
      <c r="M1115" s="66"/>
      <c r="N1115" s="66"/>
    </row>
    <row r="1116" spans="1:14" x14ac:dyDescent="0.2">
      <c r="A1116" s="84"/>
      <c r="B1116" s="84"/>
      <c r="C1116" s="60"/>
      <c r="D1116" s="66"/>
      <c r="E1116" s="66"/>
      <c r="F1116" s="66"/>
      <c r="G1116" s="66"/>
      <c r="H1116" s="66"/>
      <c r="I1116" s="66"/>
      <c r="J1116" s="66"/>
      <c r="K1116" s="66"/>
      <c r="L1116" s="66"/>
      <c r="M1116" s="66"/>
      <c r="N1116" s="66"/>
    </row>
    <row r="1117" spans="1:14" x14ac:dyDescent="0.2">
      <c r="A1117" s="84"/>
      <c r="B1117" s="84"/>
      <c r="C1117" s="60"/>
      <c r="D1117" s="66"/>
      <c r="E1117" s="66"/>
      <c r="F1117" s="66"/>
      <c r="G1117" s="66"/>
      <c r="H1117" s="66"/>
      <c r="I1117" s="66"/>
      <c r="J1117" s="66"/>
      <c r="K1117" s="66"/>
      <c r="L1117" s="66"/>
      <c r="M1117" s="66"/>
      <c r="N1117" s="66"/>
    </row>
    <row r="1118" spans="1:14" x14ac:dyDescent="0.2">
      <c r="A1118" s="84"/>
      <c r="B1118" s="84"/>
      <c r="C1118" s="60"/>
      <c r="D1118" s="66"/>
      <c r="E1118" s="66"/>
      <c r="F1118" s="66"/>
      <c r="G1118" s="66"/>
      <c r="H1118" s="66"/>
      <c r="I1118" s="66"/>
      <c r="J1118" s="66"/>
      <c r="K1118" s="66"/>
      <c r="L1118" s="66"/>
      <c r="M1118" s="66"/>
      <c r="N1118" s="66"/>
    </row>
    <row r="1119" spans="1:14" x14ac:dyDescent="0.2">
      <c r="A1119" s="84"/>
      <c r="B1119" s="84"/>
      <c r="C1119" s="60"/>
      <c r="D1119" s="66"/>
      <c r="E1119" s="66"/>
      <c r="F1119" s="66"/>
      <c r="G1119" s="66"/>
      <c r="H1119" s="66"/>
      <c r="I1119" s="66"/>
      <c r="J1119" s="66"/>
      <c r="K1119" s="66"/>
      <c r="L1119" s="66"/>
      <c r="M1119" s="66"/>
      <c r="N1119" s="66"/>
    </row>
    <row r="1120" spans="1:14" x14ac:dyDescent="0.2">
      <c r="A1120" s="84"/>
      <c r="B1120" s="84"/>
      <c r="C1120" s="60"/>
      <c r="D1120" s="66"/>
      <c r="E1120" s="66"/>
      <c r="F1120" s="66"/>
      <c r="G1120" s="66"/>
      <c r="H1120" s="66"/>
      <c r="I1120" s="66"/>
      <c r="J1120" s="66"/>
      <c r="K1120" s="66"/>
      <c r="L1120" s="66"/>
      <c r="M1120" s="66"/>
      <c r="N1120" s="66"/>
    </row>
    <row r="1121" spans="1:14" x14ac:dyDescent="0.2">
      <c r="A1121" s="84"/>
      <c r="B1121" s="84"/>
      <c r="C1121" s="60"/>
      <c r="D1121" s="66"/>
      <c r="E1121" s="66"/>
      <c r="F1121" s="66"/>
      <c r="G1121" s="66"/>
      <c r="H1121" s="66"/>
      <c r="I1121" s="66"/>
      <c r="J1121" s="66"/>
      <c r="K1121" s="66"/>
      <c r="L1121" s="66"/>
      <c r="M1121" s="66"/>
      <c r="N1121" s="66"/>
    </row>
    <row r="1122" spans="1:14" x14ac:dyDescent="0.2">
      <c r="A1122" s="84"/>
      <c r="B1122" s="84"/>
      <c r="C1122" s="60"/>
      <c r="D1122" s="66"/>
      <c r="E1122" s="66"/>
      <c r="F1122" s="66"/>
      <c r="G1122" s="66"/>
      <c r="H1122" s="66"/>
      <c r="I1122" s="66"/>
      <c r="J1122" s="66"/>
      <c r="K1122" s="66"/>
      <c r="L1122" s="66"/>
      <c r="M1122" s="66"/>
      <c r="N1122" s="66"/>
    </row>
    <row r="1123" spans="1:14" x14ac:dyDescent="0.2">
      <c r="A1123" s="84"/>
      <c r="B1123" s="84"/>
      <c r="C1123" s="60"/>
      <c r="D1123" s="66"/>
      <c r="E1123" s="66"/>
      <c r="F1123" s="66"/>
      <c r="G1123" s="66"/>
      <c r="H1123" s="66"/>
      <c r="I1123" s="66"/>
      <c r="J1123" s="66"/>
      <c r="K1123" s="66"/>
      <c r="L1123" s="66"/>
      <c r="M1123" s="66"/>
      <c r="N1123" s="66"/>
    </row>
    <row r="1124" spans="1:14" x14ac:dyDescent="0.2">
      <c r="A1124" s="84"/>
      <c r="B1124" s="84"/>
      <c r="C1124" s="60"/>
      <c r="D1124" s="66"/>
      <c r="E1124" s="66"/>
      <c r="F1124" s="66"/>
      <c r="G1124" s="66"/>
      <c r="H1124" s="66"/>
      <c r="I1124" s="66"/>
      <c r="J1124" s="66"/>
      <c r="K1124" s="66"/>
      <c r="L1124" s="66"/>
      <c r="M1124" s="66"/>
      <c r="N1124" s="66"/>
    </row>
    <row r="1125" spans="1:14" x14ac:dyDescent="0.2">
      <c r="A1125" s="84"/>
      <c r="B1125" s="84"/>
      <c r="C1125" s="60"/>
      <c r="D1125" s="66"/>
      <c r="E1125" s="66"/>
      <c r="F1125" s="66"/>
      <c r="G1125" s="66"/>
      <c r="H1125" s="66"/>
      <c r="I1125" s="66"/>
      <c r="J1125" s="66"/>
      <c r="K1125" s="66"/>
      <c r="L1125" s="66"/>
      <c r="M1125" s="66"/>
      <c r="N1125" s="66"/>
    </row>
    <row r="1126" spans="1:14" x14ac:dyDescent="0.2">
      <c r="A1126" s="84"/>
      <c r="B1126" s="84"/>
      <c r="C1126" s="60"/>
      <c r="D1126" s="66"/>
      <c r="E1126" s="66"/>
      <c r="F1126" s="66"/>
      <c r="G1126" s="66"/>
      <c r="H1126" s="66"/>
      <c r="I1126" s="66"/>
      <c r="J1126" s="66"/>
      <c r="K1126" s="66"/>
      <c r="L1126" s="66"/>
      <c r="M1126" s="66"/>
      <c r="N1126" s="66"/>
    </row>
    <row r="1127" spans="1:14" x14ac:dyDescent="0.2">
      <c r="A1127" s="84"/>
      <c r="B1127" s="84"/>
      <c r="C1127" s="60"/>
      <c r="D1127" s="66"/>
      <c r="E1127" s="66"/>
      <c r="F1127" s="66"/>
      <c r="G1127" s="66"/>
      <c r="H1127" s="66"/>
      <c r="I1127" s="66"/>
      <c r="J1127" s="66"/>
      <c r="K1127" s="66"/>
      <c r="L1127" s="66"/>
      <c r="M1127" s="66"/>
      <c r="N1127" s="66"/>
    </row>
    <row r="1128" spans="1:14" x14ac:dyDescent="0.2">
      <c r="A1128" s="84"/>
      <c r="B1128" s="84"/>
      <c r="C1128" s="60"/>
      <c r="D1128" s="66"/>
      <c r="E1128" s="66"/>
      <c r="F1128" s="66"/>
      <c r="G1128" s="66"/>
      <c r="H1128" s="66"/>
      <c r="I1128" s="66"/>
      <c r="J1128" s="66"/>
      <c r="K1128" s="66"/>
      <c r="L1128" s="66"/>
      <c r="M1128" s="66"/>
      <c r="N1128" s="66"/>
    </row>
    <row r="1129" spans="1:14" x14ac:dyDescent="0.2">
      <c r="A1129" s="84"/>
      <c r="B1129" s="84"/>
      <c r="C1129" s="60"/>
      <c r="D1129" s="66"/>
      <c r="E1129" s="66"/>
      <c r="F1129" s="66"/>
      <c r="G1129" s="66"/>
      <c r="H1129" s="66"/>
      <c r="I1129" s="66"/>
      <c r="J1129" s="66"/>
      <c r="K1129" s="66"/>
      <c r="L1129" s="66"/>
      <c r="M1129" s="66"/>
      <c r="N1129" s="66"/>
    </row>
    <row r="1130" spans="1:14" x14ac:dyDescent="0.2">
      <c r="A1130" s="84"/>
      <c r="B1130" s="84"/>
      <c r="C1130" s="60"/>
      <c r="D1130" s="66"/>
      <c r="E1130" s="66"/>
      <c r="F1130" s="66"/>
      <c r="G1130" s="66"/>
      <c r="H1130" s="66"/>
      <c r="I1130" s="66"/>
      <c r="J1130" s="66"/>
      <c r="K1130" s="66"/>
      <c r="L1130" s="66"/>
      <c r="M1130" s="66"/>
      <c r="N1130" s="66"/>
    </row>
    <row r="1131" spans="1:14" x14ac:dyDescent="0.2">
      <c r="A1131" s="84"/>
      <c r="B1131" s="84"/>
      <c r="C1131" s="60"/>
      <c r="D1131" s="66"/>
      <c r="E1131" s="66"/>
      <c r="F1131" s="66"/>
      <c r="G1131" s="66"/>
      <c r="H1131" s="66"/>
      <c r="I1131" s="66"/>
      <c r="J1131" s="66"/>
      <c r="K1131" s="66"/>
      <c r="L1131" s="66"/>
      <c r="M1131" s="66"/>
      <c r="N1131" s="66"/>
    </row>
    <row r="1132" spans="1:14" x14ac:dyDescent="0.2">
      <c r="A1132" s="84"/>
      <c r="B1132" s="84"/>
      <c r="C1132" s="60"/>
      <c r="D1132" s="66"/>
      <c r="E1132" s="66"/>
      <c r="F1132" s="66"/>
      <c r="G1132" s="66"/>
      <c r="H1132" s="66"/>
      <c r="I1132" s="66"/>
      <c r="J1132" s="66"/>
      <c r="K1132" s="66"/>
      <c r="L1132" s="66"/>
      <c r="M1132" s="66"/>
      <c r="N1132" s="66"/>
    </row>
    <row r="1133" spans="1:14" x14ac:dyDescent="0.2">
      <c r="A1133" s="84"/>
      <c r="B1133" s="84"/>
      <c r="C1133" s="60"/>
      <c r="D1133" s="66"/>
      <c r="E1133" s="66"/>
      <c r="F1133" s="66"/>
      <c r="G1133" s="66"/>
      <c r="H1133" s="66"/>
      <c r="I1133" s="66"/>
      <c r="J1133" s="66"/>
      <c r="K1133" s="66"/>
      <c r="L1133" s="66"/>
      <c r="M1133" s="66"/>
      <c r="N1133" s="66"/>
    </row>
    <row r="1134" spans="1:14" x14ac:dyDescent="0.2">
      <c r="A1134" s="84"/>
      <c r="B1134" s="84"/>
      <c r="C1134" s="60"/>
      <c r="D1134" s="66"/>
      <c r="E1134" s="66"/>
      <c r="F1134" s="66"/>
      <c r="G1134" s="66"/>
      <c r="H1134" s="66"/>
      <c r="I1134" s="66"/>
      <c r="J1134" s="66"/>
      <c r="K1134" s="66"/>
      <c r="L1134" s="66"/>
      <c r="M1134" s="66"/>
      <c r="N1134" s="66"/>
    </row>
    <row r="1135" spans="1:14" x14ac:dyDescent="0.2">
      <c r="A1135" s="84"/>
      <c r="B1135" s="84"/>
      <c r="C1135" s="60"/>
      <c r="D1135" s="66"/>
      <c r="E1135" s="66"/>
      <c r="F1135" s="66"/>
      <c r="G1135" s="66"/>
      <c r="H1135" s="66"/>
      <c r="I1135" s="66"/>
      <c r="J1135" s="66"/>
      <c r="K1135" s="66"/>
      <c r="L1135" s="66"/>
      <c r="M1135" s="66"/>
      <c r="N1135" s="66"/>
    </row>
    <row r="1136" spans="1:14" x14ac:dyDescent="0.2">
      <c r="A1136" s="84"/>
      <c r="B1136" s="84"/>
      <c r="C1136" s="60"/>
      <c r="D1136" s="66"/>
      <c r="E1136" s="66"/>
      <c r="F1136" s="66"/>
      <c r="G1136" s="66"/>
      <c r="H1136" s="66"/>
      <c r="I1136" s="66"/>
      <c r="J1136" s="66"/>
      <c r="K1136" s="66"/>
      <c r="L1136" s="66"/>
      <c r="M1136" s="66"/>
      <c r="N1136" s="66"/>
    </row>
    <row r="1137" spans="1:14" x14ac:dyDescent="0.2">
      <c r="A1137" s="84"/>
      <c r="B1137" s="84"/>
      <c r="C1137" s="60"/>
      <c r="D1137" s="66"/>
      <c r="E1137" s="66"/>
      <c r="F1137" s="66"/>
      <c r="G1137" s="66"/>
      <c r="H1137" s="66"/>
      <c r="I1137" s="66"/>
      <c r="J1137" s="66"/>
      <c r="K1137" s="66"/>
      <c r="L1137" s="66"/>
      <c r="M1137" s="66"/>
      <c r="N1137" s="66"/>
    </row>
    <row r="1138" spans="1:14" x14ac:dyDescent="0.2">
      <c r="A1138" s="84"/>
      <c r="B1138" s="84"/>
      <c r="C1138" s="60"/>
      <c r="D1138" s="66"/>
      <c r="E1138" s="66"/>
      <c r="F1138" s="66"/>
      <c r="G1138" s="66"/>
      <c r="H1138" s="66"/>
      <c r="I1138" s="66"/>
      <c r="J1138" s="66"/>
      <c r="K1138" s="66"/>
      <c r="L1138" s="66"/>
      <c r="M1138" s="66"/>
      <c r="N1138" s="66"/>
    </row>
    <row r="1139" spans="1:14" x14ac:dyDescent="0.2">
      <c r="A1139" s="84"/>
      <c r="B1139" s="84"/>
      <c r="C1139" s="60"/>
      <c r="D1139" s="66"/>
      <c r="E1139" s="66"/>
      <c r="F1139" s="66"/>
      <c r="G1139" s="66"/>
      <c r="H1139" s="66"/>
      <c r="I1139" s="66"/>
      <c r="J1139" s="66"/>
      <c r="K1139" s="66"/>
      <c r="L1139" s="66"/>
      <c r="M1139" s="66"/>
      <c r="N1139" s="66"/>
    </row>
    <row r="1140" spans="1:14" x14ac:dyDescent="0.2">
      <c r="A1140" s="84"/>
      <c r="B1140" s="84"/>
      <c r="C1140" s="60"/>
      <c r="D1140" s="66"/>
      <c r="E1140" s="66"/>
      <c r="F1140" s="66"/>
      <c r="G1140" s="66"/>
      <c r="H1140" s="66"/>
      <c r="I1140" s="66"/>
      <c r="J1140" s="66"/>
      <c r="K1140" s="66"/>
      <c r="L1140" s="66"/>
      <c r="M1140" s="66"/>
      <c r="N1140" s="66"/>
    </row>
    <row r="1141" spans="1:14" x14ac:dyDescent="0.2">
      <c r="A1141" s="84"/>
      <c r="B1141" s="84"/>
      <c r="C1141" s="60"/>
      <c r="D1141" s="66"/>
      <c r="E1141" s="66"/>
      <c r="F1141" s="66"/>
      <c r="G1141" s="66"/>
      <c r="H1141" s="66"/>
      <c r="I1141" s="66"/>
      <c r="J1141" s="66"/>
      <c r="K1141" s="66"/>
      <c r="L1141" s="66"/>
      <c r="M1141" s="66"/>
      <c r="N1141" s="66"/>
    </row>
    <row r="1142" spans="1:14" x14ac:dyDescent="0.2">
      <c r="A1142" s="84"/>
      <c r="B1142" s="84"/>
      <c r="C1142" s="60"/>
      <c r="D1142" s="66"/>
      <c r="E1142" s="66"/>
      <c r="F1142" s="66"/>
      <c r="G1142" s="66"/>
      <c r="H1142" s="66"/>
      <c r="I1142" s="66"/>
      <c r="J1142" s="66"/>
      <c r="K1142" s="66"/>
      <c r="L1142" s="66"/>
      <c r="M1142" s="66"/>
      <c r="N1142" s="66"/>
    </row>
    <row r="1143" spans="1:14" x14ac:dyDescent="0.2">
      <c r="A1143" s="84"/>
      <c r="B1143" s="84"/>
      <c r="C1143" s="60"/>
      <c r="D1143" s="66"/>
      <c r="E1143" s="66"/>
      <c r="F1143" s="66"/>
      <c r="G1143" s="66"/>
      <c r="H1143" s="66"/>
      <c r="I1143" s="66"/>
      <c r="J1143" s="66"/>
      <c r="K1143" s="66"/>
      <c r="L1143" s="66"/>
      <c r="M1143" s="66"/>
      <c r="N1143" s="66"/>
    </row>
    <row r="1144" spans="1:14" x14ac:dyDescent="0.2">
      <c r="A1144" s="84"/>
      <c r="B1144" s="84"/>
      <c r="C1144" s="60"/>
      <c r="D1144" s="66"/>
      <c r="E1144" s="66"/>
      <c r="F1144" s="66"/>
      <c r="G1144" s="66"/>
      <c r="H1144" s="66"/>
      <c r="I1144" s="66"/>
      <c r="J1144" s="66"/>
      <c r="K1144" s="66"/>
      <c r="L1144" s="66"/>
      <c r="M1144" s="66"/>
      <c r="N1144" s="66"/>
    </row>
    <row r="1145" spans="1:14" x14ac:dyDescent="0.2">
      <c r="A1145" s="84"/>
      <c r="B1145" s="84"/>
      <c r="C1145" s="60"/>
      <c r="D1145" s="66"/>
      <c r="E1145" s="66"/>
      <c r="F1145" s="66"/>
      <c r="G1145" s="66"/>
      <c r="H1145" s="66"/>
      <c r="I1145" s="66"/>
      <c r="J1145" s="66"/>
      <c r="K1145" s="66"/>
      <c r="L1145" s="66"/>
      <c r="M1145" s="66"/>
      <c r="N1145" s="66"/>
    </row>
    <row r="1146" spans="1:14" x14ac:dyDescent="0.2">
      <c r="A1146" s="84"/>
      <c r="B1146" s="84"/>
      <c r="C1146" s="60"/>
      <c r="D1146" s="66"/>
      <c r="E1146" s="66"/>
      <c r="F1146" s="66"/>
      <c r="G1146" s="66"/>
      <c r="H1146" s="66"/>
      <c r="I1146" s="66"/>
      <c r="J1146" s="66"/>
      <c r="K1146" s="66"/>
      <c r="L1146" s="66"/>
      <c r="M1146" s="66"/>
      <c r="N1146" s="66"/>
    </row>
    <row r="1147" spans="1:14" x14ac:dyDescent="0.2">
      <c r="A1147" s="84"/>
      <c r="B1147" s="84"/>
      <c r="C1147" s="60"/>
      <c r="D1147" s="66"/>
      <c r="E1147" s="66"/>
      <c r="F1147" s="66"/>
      <c r="G1147" s="66"/>
      <c r="H1147" s="66"/>
      <c r="I1147" s="66"/>
      <c r="J1147" s="66"/>
      <c r="K1147" s="66"/>
      <c r="L1147" s="66"/>
      <c r="M1147" s="66"/>
      <c r="N1147" s="66"/>
    </row>
    <row r="1148" spans="1:14" x14ac:dyDescent="0.2">
      <c r="A1148" s="84"/>
      <c r="B1148" s="84"/>
      <c r="C1148" s="60"/>
      <c r="D1148" s="66"/>
      <c r="E1148" s="66"/>
      <c r="F1148" s="66"/>
      <c r="G1148" s="66"/>
      <c r="H1148" s="66"/>
      <c r="I1148" s="66"/>
      <c r="J1148" s="66"/>
      <c r="K1148" s="66"/>
      <c r="L1148" s="66"/>
      <c r="M1148" s="66"/>
      <c r="N1148" s="66"/>
    </row>
    <row r="1149" spans="1:14" x14ac:dyDescent="0.2">
      <c r="A1149" s="84"/>
      <c r="B1149" s="84"/>
      <c r="C1149" s="60"/>
      <c r="D1149" s="66"/>
      <c r="E1149" s="66"/>
      <c r="F1149" s="66"/>
      <c r="G1149" s="66"/>
      <c r="H1149" s="66"/>
      <c r="I1149" s="66"/>
      <c r="J1149" s="66"/>
      <c r="K1149" s="66"/>
      <c r="L1149" s="66"/>
      <c r="M1149" s="66"/>
      <c r="N1149" s="66"/>
    </row>
    <row r="1150" spans="1:14" x14ac:dyDescent="0.2">
      <c r="A1150" s="84"/>
      <c r="B1150" s="84"/>
      <c r="C1150" s="60"/>
      <c r="D1150" s="66"/>
      <c r="E1150" s="66"/>
      <c r="F1150" s="66"/>
      <c r="G1150" s="66"/>
      <c r="H1150" s="66"/>
      <c r="I1150" s="66"/>
      <c r="J1150" s="66"/>
      <c r="K1150" s="66"/>
      <c r="L1150" s="66"/>
      <c r="M1150" s="66"/>
      <c r="N1150" s="66"/>
    </row>
    <row r="1151" spans="1:14" x14ac:dyDescent="0.2">
      <c r="A1151" s="84"/>
      <c r="B1151" s="84"/>
      <c r="C1151" s="60"/>
      <c r="D1151" s="66"/>
      <c r="E1151" s="66"/>
      <c r="F1151" s="66"/>
      <c r="G1151" s="66"/>
      <c r="H1151" s="66"/>
      <c r="I1151" s="66"/>
      <c r="J1151" s="66"/>
      <c r="K1151" s="66"/>
      <c r="L1151" s="66"/>
      <c r="M1151" s="66"/>
      <c r="N1151" s="66"/>
    </row>
    <row r="1152" spans="1:14" x14ac:dyDescent="0.2">
      <c r="A1152" s="84"/>
      <c r="B1152" s="84"/>
      <c r="C1152" s="60"/>
      <c r="D1152" s="66"/>
      <c r="E1152" s="66"/>
      <c r="F1152" s="66"/>
      <c r="G1152" s="66"/>
      <c r="H1152" s="66"/>
      <c r="I1152" s="66"/>
      <c r="J1152" s="66"/>
      <c r="K1152" s="66"/>
      <c r="L1152" s="66"/>
      <c r="M1152" s="66"/>
      <c r="N1152" s="66"/>
    </row>
    <row r="1153" spans="1:14" x14ac:dyDescent="0.2">
      <c r="A1153" s="84"/>
      <c r="B1153" s="84"/>
      <c r="C1153" s="60"/>
      <c r="D1153" s="66"/>
      <c r="E1153" s="66"/>
      <c r="F1153" s="66"/>
      <c r="G1153" s="66"/>
      <c r="H1153" s="66"/>
      <c r="I1153" s="66"/>
      <c r="J1153" s="66"/>
      <c r="K1153" s="66"/>
      <c r="L1153" s="66"/>
      <c r="M1153" s="66"/>
      <c r="N1153" s="66"/>
    </row>
    <row r="1154" spans="1:14" x14ac:dyDescent="0.2">
      <c r="A1154" s="84"/>
      <c r="B1154" s="84"/>
      <c r="C1154" s="60"/>
      <c r="D1154" s="66"/>
      <c r="E1154" s="66"/>
      <c r="F1154" s="66"/>
      <c r="G1154" s="66"/>
      <c r="H1154" s="66"/>
      <c r="I1154" s="66"/>
      <c r="J1154" s="66"/>
      <c r="K1154" s="66"/>
      <c r="L1154" s="66"/>
      <c r="M1154" s="66"/>
      <c r="N1154" s="66"/>
    </row>
    <row r="1155" spans="1:14" x14ac:dyDescent="0.2">
      <c r="A1155" s="84"/>
      <c r="B1155" s="84"/>
      <c r="C1155" s="60"/>
      <c r="D1155" s="66"/>
      <c r="E1155" s="66"/>
      <c r="F1155" s="66"/>
      <c r="G1155" s="66"/>
      <c r="H1155" s="66"/>
      <c r="I1155" s="66"/>
      <c r="J1155" s="66"/>
      <c r="K1155" s="66"/>
      <c r="L1155" s="66"/>
      <c r="M1155" s="66"/>
      <c r="N1155" s="66"/>
    </row>
    <row r="1156" spans="1:14" x14ac:dyDescent="0.2">
      <c r="A1156" s="84"/>
      <c r="B1156" s="84"/>
      <c r="C1156" s="60"/>
      <c r="D1156" s="66"/>
      <c r="E1156" s="66"/>
      <c r="F1156" s="66"/>
      <c r="G1156" s="66"/>
      <c r="H1156" s="66"/>
      <c r="I1156" s="66"/>
      <c r="J1156" s="66"/>
      <c r="K1156" s="66"/>
      <c r="L1156" s="66"/>
      <c r="M1156" s="66"/>
      <c r="N1156" s="66"/>
    </row>
    <row r="1157" spans="1:14" x14ac:dyDescent="0.2">
      <c r="A1157" s="84"/>
      <c r="B1157" s="84"/>
      <c r="C1157" s="60"/>
      <c r="D1157" s="66"/>
      <c r="E1157" s="66"/>
      <c r="F1157" s="66"/>
      <c r="G1157" s="66"/>
      <c r="H1157" s="66"/>
      <c r="I1157" s="66"/>
      <c r="J1157" s="66"/>
      <c r="K1157" s="66"/>
      <c r="L1157" s="66"/>
      <c r="M1157" s="66"/>
      <c r="N1157" s="66"/>
    </row>
    <row r="1158" spans="1:14" x14ac:dyDescent="0.2">
      <c r="A1158" s="84"/>
      <c r="B1158" s="84"/>
      <c r="C1158" s="60"/>
      <c r="D1158" s="66"/>
      <c r="E1158" s="66"/>
      <c r="F1158" s="66"/>
      <c r="G1158" s="66"/>
      <c r="H1158" s="66"/>
      <c r="I1158" s="66"/>
      <c r="J1158" s="66"/>
      <c r="K1158" s="66"/>
      <c r="L1158" s="66"/>
      <c r="M1158" s="66"/>
      <c r="N1158" s="66"/>
    </row>
    <row r="1159" spans="1:14" x14ac:dyDescent="0.2">
      <c r="A1159" s="84"/>
      <c r="B1159" s="84"/>
      <c r="C1159" s="60"/>
      <c r="D1159" s="66"/>
      <c r="E1159" s="66"/>
      <c r="F1159" s="66"/>
      <c r="G1159" s="66"/>
      <c r="H1159" s="66"/>
      <c r="I1159" s="66"/>
      <c r="J1159" s="66"/>
      <c r="K1159" s="66"/>
      <c r="L1159" s="66"/>
      <c r="M1159" s="66"/>
      <c r="N1159" s="66"/>
    </row>
    <row r="1160" spans="1:14" x14ac:dyDescent="0.2">
      <c r="A1160" s="84"/>
      <c r="B1160" s="84"/>
      <c r="C1160" s="60"/>
      <c r="D1160" s="66"/>
      <c r="E1160" s="66"/>
      <c r="F1160" s="66"/>
      <c r="G1160" s="66"/>
      <c r="H1160" s="66"/>
      <c r="I1160" s="66"/>
      <c r="J1160" s="66"/>
      <c r="K1160" s="66"/>
      <c r="L1160" s="66"/>
      <c r="M1160" s="66"/>
      <c r="N1160" s="66"/>
    </row>
    <row r="1161" spans="1:14" x14ac:dyDescent="0.2">
      <c r="A1161" s="84"/>
      <c r="B1161" s="84"/>
      <c r="C1161" s="60"/>
      <c r="D1161" s="66"/>
      <c r="E1161" s="66"/>
      <c r="F1161" s="66"/>
      <c r="G1161" s="66"/>
      <c r="H1161" s="66"/>
      <c r="I1161" s="66"/>
      <c r="J1161" s="66"/>
      <c r="K1161" s="66"/>
      <c r="L1161" s="66"/>
      <c r="M1161" s="66"/>
      <c r="N1161" s="66"/>
    </row>
    <row r="1162" spans="1:14" x14ac:dyDescent="0.2">
      <c r="A1162" s="84"/>
      <c r="B1162" s="84"/>
      <c r="C1162" s="60"/>
      <c r="D1162" s="66"/>
      <c r="E1162" s="66"/>
      <c r="F1162" s="66"/>
      <c r="G1162" s="66"/>
      <c r="H1162" s="66"/>
      <c r="I1162" s="66"/>
      <c r="J1162" s="66"/>
      <c r="K1162" s="66"/>
      <c r="L1162" s="66"/>
      <c r="M1162" s="66"/>
      <c r="N1162" s="66"/>
    </row>
    <row r="1163" spans="1:14" x14ac:dyDescent="0.2">
      <c r="A1163" s="84"/>
      <c r="B1163" s="84"/>
      <c r="C1163" s="60"/>
      <c r="D1163" s="66"/>
      <c r="E1163" s="66"/>
      <c r="F1163" s="66"/>
      <c r="G1163" s="66"/>
      <c r="H1163" s="66"/>
      <c r="I1163" s="66"/>
      <c r="J1163" s="66"/>
      <c r="K1163" s="66"/>
      <c r="L1163" s="66"/>
      <c r="M1163" s="66"/>
      <c r="N1163" s="66"/>
    </row>
    <row r="1164" spans="1:14" x14ac:dyDescent="0.2">
      <c r="A1164" s="84"/>
      <c r="B1164" s="84"/>
      <c r="C1164" s="60"/>
      <c r="D1164" s="66"/>
      <c r="E1164" s="66"/>
      <c r="F1164" s="66"/>
      <c r="G1164" s="66"/>
      <c r="H1164" s="66"/>
      <c r="I1164" s="66"/>
      <c r="J1164" s="66"/>
      <c r="K1164" s="66"/>
      <c r="L1164" s="66"/>
      <c r="M1164" s="66"/>
      <c r="N1164" s="66"/>
    </row>
    <row r="1165" spans="1:14" x14ac:dyDescent="0.2">
      <c r="A1165" s="84"/>
      <c r="B1165" s="84"/>
      <c r="C1165" s="60"/>
      <c r="D1165" s="66"/>
      <c r="E1165" s="66"/>
      <c r="F1165" s="66"/>
      <c r="G1165" s="66"/>
      <c r="H1165" s="66"/>
      <c r="I1165" s="66"/>
      <c r="J1165" s="66"/>
      <c r="K1165" s="66"/>
      <c r="L1165" s="66"/>
      <c r="M1165" s="66"/>
      <c r="N1165" s="66"/>
    </row>
    <row r="1166" spans="1:14" x14ac:dyDescent="0.2">
      <c r="A1166" s="84"/>
      <c r="B1166" s="84"/>
      <c r="C1166" s="60"/>
      <c r="D1166" s="66"/>
      <c r="E1166" s="66"/>
      <c r="F1166" s="66"/>
      <c r="G1166" s="66"/>
      <c r="H1166" s="66"/>
      <c r="I1166" s="66"/>
      <c r="J1166" s="66"/>
      <c r="K1166" s="66"/>
      <c r="L1166" s="66"/>
      <c r="M1166" s="66"/>
      <c r="N1166" s="66"/>
    </row>
    <row r="1167" spans="1:14" x14ac:dyDescent="0.2">
      <c r="A1167" s="84"/>
      <c r="B1167" s="84"/>
      <c r="C1167" s="60"/>
      <c r="D1167" s="66"/>
      <c r="E1167" s="66"/>
      <c r="F1167" s="66"/>
      <c r="G1167" s="66"/>
      <c r="H1167" s="66"/>
      <c r="I1167" s="66"/>
      <c r="J1167" s="66"/>
      <c r="K1167" s="66"/>
      <c r="L1167" s="66"/>
      <c r="M1167" s="66"/>
      <c r="N1167" s="66"/>
    </row>
    <row r="1168" spans="1:14" x14ac:dyDescent="0.2">
      <c r="A1168" s="84"/>
      <c r="B1168" s="84"/>
      <c r="C1168" s="60"/>
      <c r="D1168" s="66"/>
      <c r="E1168" s="66"/>
      <c r="F1168" s="66"/>
      <c r="G1168" s="66"/>
      <c r="H1168" s="66"/>
      <c r="I1168" s="66"/>
      <c r="J1168" s="66"/>
      <c r="K1168" s="66"/>
      <c r="L1168" s="66"/>
      <c r="M1168" s="66"/>
      <c r="N1168" s="66"/>
    </row>
    <row r="1169" spans="1:14" x14ac:dyDescent="0.2">
      <c r="A1169" s="84"/>
      <c r="B1169" s="84"/>
      <c r="C1169" s="60"/>
      <c r="D1169" s="66"/>
      <c r="E1169" s="66"/>
      <c r="F1169" s="66"/>
      <c r="G1169" s="66"/>
      <c r="H1169" s="66"/>
      <c r="I1169" s="66"/>
      <c r="J1169" s="66"/>
      <c r="K1169" s="66"/>
      <c r="L1169" s="66"/>
      <c r="M1169" s="66"/>
      <c r="N1169" s="66"/>
    </row>
    <row r="1170" spans="1:14" x14ac:dyDescent="0.2">
      <c r="A1170" s="84"/>
      <c r="B1170" s="84"/>
      <c r="C1170" s="60"/>
      <c r="D1170" s="66"/>
      <c r="E1170" s="66"/>
      <c r="F1170" s="66"/>
      <c r="G1170" s="66"/>
      <c r="H1170" s="66"/>
      <c r="I1170" s="66"/>
      <c r="J1170" s="66"/>
      <c r="K1170" s="66"/>
      <c r="L1170" s="66"/>
      <c r="M1170" s="66"/>
      <c r="N1170" s="66"/>
    </row>
    <row r="1171" spans="1:14" x14ac:dyDescent="0.2">
      <c r="A1171" s="84"/>
      <c r="B1171" s="84"/>
      <c r="C1171" s="60"/>
      <c r="D1171" s="66"/>
      <c r="E1171" s="66"/>
      <c r="F1171" s="66"/>
      <c r="G1171" s="66"/>
      <c r="H1171" s="66"/>
      <c r="I1171" s="66"/>
      <c r="J1171" s="66"/>
      <c r="K1171" s="66"/>
      <c r="L1171" s="66"/>
      <c r="M1171" s="66"/>
      <c r="N1171" s="66"/>
    </row>
    <row r="1172" spans="1:14" x14ac:dyDescent="0.2">
      <c r="A1172" s="84"/>
      <c r="B1172" s="84"/>
      <c r="C1172" s="60"/>
      <c r="D1172" s="66"/>
      <c r="E1172" s="66"/>
      <c r="F1172" s="66"/>
      <c r="G1172" s="66"/>
      <c r="H1172" s="66"/>
      <c r="I1172" s="66"/>
      <c r="J1172" s="66"/>
      <c r="K1172" s="66"/>
      <c r="L1172" s="66"/>
      <c r="M1172" s="66"/>
      <c r="N1172" s="66"/>
    </row>
    <row r="1173" spans="1:14" x14ac:dyDescent="0.2">
      <c r="A1173" s="84"/>
      <c r="B1173" s="84"/>
      <c r="C1173" s="60"/>
      <c r="D1173" s="66"/>
      <c r="E1173" s="66"/>
      <c r="F1173" s="66"/>
      <c r="G1173" s="66"/>
      <c r="H1173" s="66"/>
      <c r="I1173" s="66"/>
      <c r="J1173" s="66"/>
      <c r="K1173" s="66"/>
      <c r="L1173" s="66"/>
      <c r="M1173" s="66"/>
      <c r="N1173" s="66"/>
    </row>
    <row r="1174" spans="1:14" x14ac:dyDescent="0.2">
      <c r="A1174" s="84"/>
      <c r="B1174" s="84"/>
      <c r="C1174" s="60"/>
      <c r="D1174" s="66"/>
      <c r="E1174" s="66"/>
      <c r="F1174" s="66"/>
      <c r="G1174" s="66"/>
      <c r="H1174" s="66"/>
      <c r="I1174" s="66"/>
      <c r="J1174" s="66"/>
      <c r="K1174" s="66"/>
      <c r="L1174" s="66"/>
      <c r="M1174" s="66"/>
      <c r="N1174" s="66"/>
    </row>
    <row r="1175" spans="1:14" x14ac:dyDescent="0.2">
      <c r="A1175" s="84"/>
      <c r="B1175" s="84"/>
      <c r="C1175" s="60"/>
      <c r="D1175" s="66"/>
      <c r="E1175" s="66"/>
      <c r="F1175" s="66"/>
      <c r="G1175" s="66"/>
      <c r="H1175" s="66"/>
      <c r="I1175" s="66"/>
      <c r="J1175" s="66"/>
      <c r="K1175" s="66"/>
      <c r="L1175" s="66"/>
      <c r="M1175" s="66"/>
      <c r="N1175" s="66"/>
    </row>
    <row r="1176" spans="1:14" x14ac:dyDescent="0.2">
      <c r="A1176" s="84"/>
      <c r="B1176" s="84"/>
      <c r="C1176" s="60"/>
      <c r="D1176" s="66"/>
      <c r="E1176" s="66"/>
      <c r="F1176" s="66"/>
      <c r="G1176" s="66"/>
      <c r="H1176" s="66"/>
      <c r="I1176" s="66"/>
      <c r="J1176" s="66"/>
      <c r="K1176" s="66"/>
      <c r="L1176" s="66"/>
      <c r="M1176" s="66"/>
      <c r="N1176" s="66"/>
    </row>
    <row r="1177" spans="1:14" x14ac:dyDescent="0.2">
      <c r="A1177" s="84"/>
      <c r="B1177" s="84"/>
      <c r="C1177" s="60"/>
      <c r="D1177" s="66"/>
      <c r="E1177" s="66"/>
      <c r="F1177" s="66"/>
      <c r="G1177" s="66"/>
      <c r="H1177" s="66"/>
      <c r="I1177" s="66"/>
      <c r="J1177" s="66"/>
      <c r="K1177" s="66"/>
      <c r="L1177" s="66"/>
      <c r="M1177" s="66"/>
      <c r="N1177" s="66"/>
    </row>
    <row r="1178" spans="1:14" x14ac:dyDescent="0.2">
      <c r="A1178" s="84"/>
      <c r="B1178" s="84"/>
      <c r="C1178" s="60"/>
      <c r="D1178" s="66"/>
      <c r="E1178" s="66"/>
      <c r="F1178" s="66"/>
      <c r="G1178" s="66"/>
      <c r="H1178" s="66"/>
      <c r="I1178" s="66"/>
      <c r="J1178" s="66"/>
      <c r="K1178" s="66"/>
      <c r="L1178" s="66"/>
      <c r="M1178" s="66"/>
      <c r="N1178" s="66"/>
    </row>
    <row r="1179" spans="1:14" x14ac:dyDescent="0.2">
      <c r="A1179" s="84"/>
      <c r="B1179" s="84"/>
      <c r="C1179" s="60"/>
      <c r="D1179" s="66"/>
      <c r="E1179" s="66"/>
      <c r="F1179" s="66"/>
      <c r="G1179" s="66"/>
      <c r="H1179" s="66"/>
      <c r="I1179" s="66"/>
      <c r="J1179" s="66"/>
      <c r="K1179" s="66"/>
      <c r="L1179" s="66"/>
      <c r="M1179" s="66"/>
      <c r="N1179" s="66"/>
    </row>
    <row r="1180" spans="1:14" x14ac:dyDescent="0.2">
      <c r="A1180" s="84"/>
      <c r="B1180" s="84"/>
      <c r="C1180" s="60"/>
      <c r="D1180" s="66"/>
      <c r="E1180" s="66"/>
      <c r="F1180" s="66"/>
      <c r="G1180" s="66"/>
      <c r="H1180" s="66"/>
      <c r="I1180" s="66"/>
      <c r="J1180" s="66"/>
      <c r="K1180" s="66"/>
      <c r="L1180" s="66"/>
      <c r="M1180" s="66"/>
      <c r="N1180" s="66"/>
    </row>
    <row r="1181" spans="1:14" x14ac:dyDescent="0.2">
      <c r="A1181" s="84"/>
      <c r="B1181" s="84"/>
      <c r="C1181" s="60"/>
      <c r="D1181" s="66"/>
      <c r="E1181" s="66"/>
      <c r="F1181" s="66"/>
      <c r="G1181" s="66"/>
      <c r="H1181" s="66"/>
      <c r="I1181" s="66"/>
      <c r="J1181" s="66"/>
      <c r="K1181" s="66"/>
      <c r="L1181" s="66"/>
      <c r="M1181" s="66"/>
      <c r="N1181" s="66"/>
    </row>
    <row r="1182" spans="1:14" x14ac:dyDescent="0.2">
      <c r="A1182" s="84"/>
      <c r="B1182" s="84"/>
      <c r="C1182" s="60"/>
      <c r="D1182" s="66"/>
      <c r="E1182" s="66"/>
      <c r="F1182" s="66"/>
      <c r="G1182" s="66"/>
      <c r="H1182" s="66"/>
      <c r="I1182" s="66"/>
      <c r="J1182" s="66"/>
      <c r="K1182" s="66"/>
      <c r="L1182" s="66"/>
      <c r="M1182" s="66"/>
      <c r="N1182" s="66"/>
    </row>
    <row r="1183" spans="1:14" x14ac:dyDescent="0.2">
      <c r="A1183" s="84"/>
      <c r="B1183" s="84"/>
      <c r="C1183" s="60"/>
      <c r="D1183" s="66"/>
      <c r="E1183" s="66"/>
      <c r="F1183" s="66"/>
      <c r="G1183" s="66"/>
      <c r="H1183" s="66"/>
      <c r="I1183" s="66"/>
      <c r="J1183" s="66"/>
      <c r="K1183" s="66"/>
      <c r="L1183" s="66"/>
      <c r="M1183" s="66"/>
      <c r="N1183" s="66"/>
    </row>
    <row r="1184" spans="1:14" x14ac:dyDescent="0.2">
      <c r="A1184" s="84"/>
      <c r="B1184" s="84"/>
      <c r="C1184" s="60"/>
      <c r="D1184" s="66"/>
      <c r="E1184" s="66"/>
      <c r="F1184" s="66"/>
      <c r="G1184" s="66"/>
      <c r="H1184" s="66"/>
      <c r="I1184" s="66"/>
      <c r="J1184" s="66"/>
      <c r="K1184" s="66"/>
      <c r="L1184" s="66"/>
      <c r="M1184" s="66"/>
      <c r="N1184" s="66"/>
    </row>
    <row r="1185" spans="1:14" x14ac:dyDescent="0.2">
      <c r="A1185" s="84"/>
      <c r="B1185" s="84"/>
      <c r="C1185" s="60"/>
      <c r="D1185" s="66"/>
      <c r="E1185" s="66"/>
      <c r="F1185" s="66"/>
      <c r="G1185" s="66"/>
      <c r="H1185" s="66"/>
      <c r="I1185" s="66"/>
      <c r="J1185" s="66"/>
      <c r="K1185" s="66"/>
      <c r="L1185" s="66"/>
      <c r="M1185" s="66"/>
      <c r="N1185" s="66"/>
    </row>
    <row r="1186" spans="1:14" x14ac:dyDescent="0.2">
      <c r="A1186" s="84"/>
      <c r="B1186" s="84"/>
      <c r="C1186" s="60"/>
      <c r="D1186" s="66"/>
      <c r="E1186" s="66"/>
      <c r="F1186" s="66"/>
      <c r="G1186" s="66"/>
      <c r="H1186" s="66"/>
      <c r="I1186" s="66"/>
      <c r="J1186" s="66"/>
      <c r="K1186" s="66"/>
      <c r="L1186" s="66"/>
      <c r="M1186" s="66"/>
      <c r="N1186" s="66"/>
    </row>
    <row r="1187" spans="1:14" x14ac:dyDescent="0.2">
      <c r="A1187" s="84"/>
      <c r="B1187" s="84"/>
      <c r="C1187" s="60"/>
      <c r="D1187" s="66"/>
      <c r="E1187" s="66"/>
      <c r="F1187" s="66"/>
      <c r="G1187" s="66"/>
      <c r="H1187" s="66"/>
      <c r="I1187" s="66"/>
      <c r="J1187" s="66"/>
      <c r="K1187" s="66"/>
      <c r="L1187" s="66"/>
      <c r="M1187" s="66"/>
      <c r="N1187" s="66"/>
    </row>
    <row r="1188" spans="1:14" x14ac:dyDescent="0.2">
      <c r="A1188" s="84"/>
      <c r="B1188" s="84"/>
      <c r="C1188" s="60"/>
      <c r="D1188" s="66"/>
      <c r="E1188" s="66"/>
      <c r="F1188" s="66"/>
      <c r="G1188" s="66"/>
      <c r="H1188" s="66"/>
      <c r="I1188" s="66"/>
      <c r="J1188" s="66"/>
      <c r="K1188" s="66"/>
      <c r="L1188" s="66"/>
      <c r="M1188" s="66"/>
      <c r="N1188" s="66"/>
    </row>
    <row r="1189" spans="1:14" x14ac:dyDescent="0.2">
      <c r="A1189" s="84"/>
      <c r="B1189" s="84"/>
      <c r="C1189" s="60"/>
      <c r="D1189" s="66"/>
      <c r="E1189" s="66"/>
      <c r="F1189" s="66"/>
      <c r="G1189" s="66"/>
      <c r="H1189" s="66"/>
      <c r="I1189" s="66"/>
      <c r="J1189" s="66"/>
      <c r="K1189" s="66"/>
      <c r="L1189" s="66"/>
      <c r="M1189" s="66"/>
      <c r="N1189" s="66"/>
    </row>
    <row r="1190" spans="1:14" x14ac:dyDescent="0.2">
      <c r="A1190" s="84"/>
      <c r="B1190" s="84"/>
      <c r="C1190" s="60"/>
      <c r="D1190" s="66"/>
      <c r="E1190" s="66"/>
      <c r="F1190" s="66"/>
      <c r="G1190" s="66"/>
      <c r="H1190" s="66"/>
      <c r="I1190" s="66"/>
      <c r="J1190" s="66"/>
      <c r="K1190" s="66"/>
      <c r="L1190" s="66"/>
      <c r="M1190" s="66"/>
      <c r="N1190" s="66"/>
    </row>
    <row r="1191" spans="1:14" x14ac:dyDescent="0.2">
      <c r="A1191" s="84"/>
      <c r="B1191" s="84"/>
      <c r="C1191" s="60"/>
      <c r="D1191" s="66"/>
      <c r="E1191" s="66"/>
      <c r="F1191" s="66"/>
      <c r="G1191" s="66"/>
      <c r="H1191" s="66"/>
      <c r="I1191" s="66"/>
      <c r="J1191" s="66"/>
      <c r="K1191" s="66"/>
      <c r="L1191" s="66"/>
      <c r="M1191" s="66"/>
      <c r="N1191" s="66"/>
    </row>
    <row r="1192" spans="1:14" x14ac:dyDescent="0.2">
      <c r="A1192" s="84"/>
      <c r="B1192" s="84"/>
      <c r="C1192" s="60"/>
      <c r="D1192" s="66"/>
      <c r="E1192" s="66"/>
      <c r="F1192" s="66"/>
      <c r="G1192" s="66"/>
      <c r="H1192" s="66"/>
      <c r="I1192" s="66"/>
      <c r="J1192" s="66"/>
      <c r="K1192" s="66"/>
      <c r="L1192" s="66"/>
      <c r="M1192" s="66"/>
      <c r="N1192" s="66"/>
    </row>
    <row r="1193" spans="1:14" x14ac:dyDescent="0.2">
      <c r="A1193" s="84"/>
      <c r="B1193" s="84"/>
      <c r="C1193" s="60"/>
      <c r="D1193" s="66"/>
      <c r="E1193" s="66"/>
      <c r="F1193" s="66"/>
      <c r="G1193" s="66"/>
      <c r="H1193" s="66"/>
      <c r="I1193" s="66"/>
      <c r="J1193" s="66"/>
      <c r="K1193" s="66"/>
      <c r="L1193" s="66"/>
      <c r="M1193" s="66"/>
      <c r="N1193" s="66"/>
    </row>
    <row r="1194" spans="1:14" x14ac:dyDescent="0.2">
      <c r="A1194" s="84"/>
      <c r="B1194" s="84"/>
      <c r="C1194" s="60"/>
      <c r="D1194" s="66"/>
      <c r="E1194" s="66"/>
      <c r="F1194" s="66"/>
      <c r="G1194" s="66"/>
      <c r="H1194" s="66"/>
      <c r="I1194" s="66"/>
      <c r="J1194" s="66"/>
      <c r="K1194" s="66"/>
      <c r="L1194" s="66"/>
      <c r="M1194" s="66"/>
      <c r="N1194" s="66"/>
    </row>
    <row r="1195" spans="1:14" x14ac:dyDescent="0.2">
      <c r="A1195" s="84"/>
      <c r="B1195" s="84"/>
      <c r="C1195" s="60"/>
      <c r="D1195" s="66"/>
      <c r="E1195" s="66"/>
      <c r="F1195" s="66"/>
      <c r="G1195" s="66"/>
      <c r="H1195" s="66"/>
      <c r="I1195" s="66"/>
      <c r="J1195" s="66"/>
      <c r="K1195" s="66"/>
      <c r="L1195" s="66"/>
      <c r="M1195" s="66"/>
      <c r="N1195" s="66"/>
    </row>
    <row r="1196" spans="1:14" x14ac:dyDescent="0.2">
      <c r="A1196" s="84"/>
      <c r="B1196" s="84"/>
      <c r="C1196" s="60"/>
      <c r="D1196" s="66"/>
      <c r="E1196" s="66"/>
      <c r="F1196" s="66"/>
      <c r="G1196" s="66"/>
      <c r="H1196" s="66"/>
      <c r="I1196" s="66"/>
      <c r="J1196" s="66"/>
      <c r="K1196" s="66"/>
      <c r="L1196" s="66"/>
      <c r="M1196" s="66"/>
      <c r="N1196" s="66"/>
    </row>
    <row r="1197" spans="1:14" x14ac:dyDescent="0.2">
      <c r="A1197" s="84"/>
      <c r="B1197" s="84"/>
      <c r="C1197" s="60"/>
      <c r="D1197" s="66"/>
      <c r="E1197" s="66"/>
      <c r="F1197" s="66"/>
      <c r="G1197" s="66"/>
      <c r="H1197" s="66"/>
      <c r="I1197" s="66"/>
      <c r="J1197" s="66"/>
      <c r="K1197" s="66"/>
      <c r="L1197" s="66"/>
      <c r="M1197" s="66"/>
      <c r="N1197" s="66"/>
    </row>
    <row r="1198" spans="1:14" x14ac:dyDescent="0.2">
      <c r="A1198" s="84"/>
      <c r="B1198" s="84"/>
      <c r="C1198" s="60"/>
      <c r="D1198" s="66"/>
      <c r="E1198" s="66"/>
      <c r="F1198" s="66"/>
      <c r="G1198" s="66"/>
      <c r="H1198" s="66"/>
      <c r="I1198" s="66"/>
      <c r="J1198" s="66"/>
      <c r="K1198" s="66"/>
      <c r="L1198" s="66"/>
      <c r="M1198" s="66"/>
      <c r="N1198" s="66"/>
    </row>
    <row r="1199" spans="1:14" x14ac:dyDescent="0.2">
      <c r="A1199" s="84"/>
      <c r="B1199" s="84"/>
      <c r="C1199" s="60"/>
      <c r="D1199" s="66"/>
      <c r="E1199" s="66"/>
      <c r="F1199" s="66"/>
      <c r="G1199" s="66"/>
      <c r="H1199" s="66"/>
      <c r="I1199" s="66"/>
      <c r="J1199" s="66"/>
      <c r="K1199" s="66"/>
      <c r="L1199" s="66"/>
      <c r="M1199" s="66"/>
      <c r="N1199" s="66"/>
    </row>
    <row r="1200" spans="1:14" x14ac:dyDescent="0.2">
      <c r="A1200" s="84"/>
      <c r="B1200" s="84"/>
      <c r="C1200" s="60"/>
      <c r="D1200" s="66"/>
      <c r="E1200" s="66"/>
      <c r="F1200" s="66"/>
      <c r="G1200" s="66"/>
      <c r="H1200" s="66"/>
      <c r="I1200" s="66"/>
      <c r="J1200" s="66"/>
      <c r="K1200" s="66"/>
      <c r="L1200" s="66"/>
      <c r="M1200" s="66"/>
      <c r="N1200" s="66"/>
    </row>
    <row r="1201" spans="1:14" x14ac:dyDescent="0.2">
      <c r="A1201" s="84"/>
      <c r="B1201" s="84"/>
      <c r="C1201" s="60"/>
      <c r="D1201" s="66"/>
      <c r="E1201" s="66"/>
      <c r="F1201" s="66"/>
      <c r="G1201" s="66"/>
      <c r="H1201" s="66"/>
      <c r="I1201" s="66"/>
      <c r="J1201" s="66"/>
      <c r="K1201" s="66"/>
      <c r="L1201" s="66"/>
      <c r="M1201" s="66"/>
      <c r="N1201" s="66"/>
    </row>
    <row r="1202" spans="1:14" x14ac:dyDescent="0.2">
      <c r="A1202" s="84"/>
      <c r="B1202" s="84"/>
      <c r="C1202" s="60"/>
      <c r="D1202" s="66"/>
      <c r="E1202" s="66"/>
      <c r="F1202" s="66"/>
      <c r="G1202" s="66"/>
      <c r="H1202" s="66"/>
      <c r="I1202" s="66"/>
      <c r="J1202" s="66"/>
      <c r="K1202" s="66"/>
      <c r="L1202" s="66"/>
      <c r="M1202" s="66"/>
      <c r="N1202" s="66"/>
    </row>
    <row r="1203" spans="1:14" x14ac:dyDescent="0.2">
      <c r="A1203" s="84"/>
      <c r="B1203" s="84"/>
      <c r="C1203" s="60"/>
      <c r="D1203" s="66"/>
      <c r="E1203" s="66"/>
      <c r="F1203" s="66"/>
      <c r="G1203" s="66"/>
      <c r="H1203" s="66"/>
      <c r="I1203" s="66"/>
      <c r="J1203" s="66"/>
      <c r="K1203" s="66"/>
      <c r="L1203" s="66"/>
      <c r="M1203" s="66"/>
      <c r="N1203" s="66"/>
    </row>
    <row r="1204" spans="1:14" x14ac:dyDescent="0.2">
      <c r="A1204" s="84"/>
      <c r="B1204" s="84"/>
      <c r="C1204" s="60"/>
      <c r="D1204" s="66"/>
      <c r="E1204" s="66"/>
      <c r="F1204" s="66"/>
      <c r="G1204" s="66"/>
      <c r="H1204" s="66"/>
      <c r="I1204" s="66"/>
      <c r="J1204" s="66"/>
      <c r="K1204" s="66"/>
      <c r="L1204" s="66"/>
      <c r="M1204" s="66"/>
      <c r="N1204" s="66"/>
    </row>
    <row r="1205" spans="1:14" x14ac:dyDescent="0.2">
      <c r="A1205" s="84"/>
      <c r="B1205" s="84"/>
      <c r="C1205" s="60"/>
      <c r="D1205" s="66"/>
      <c r="E1205" s="66"/>
      <c r="F1205" s="66"/>
      <c r="G1205" s="66"/>
      <c r="H1205" s="66"/>
      <c r="I1205" s="66"/>
      <c r="J1205" s="66"/>
      <c r="K1205" s="66"/>
      <c r="L1205" s="66"/>
      <c r="M1205" s="66"/>
      <c r="N1205" s="66"/>
    </row>
    <row r="1206" spans="1:14" x14ac:dyDescent="0.2">
      <c r="A1206" s="84"/>
      <c r="B1206" s="84"/>
      <c r="C1206" s="60"/>
      <c r="D1206" s="66"/>
      <c r="E1206" s="66"/>
      <c r="F1206" s="66"/>
      <c r="G1206" s="66"/>
      <c r="H1206" s="66"/>
      <c r="I1206" s="66"/>
      <c r="J1206" s="66"/>
      <c r="K1206" s="66"/>
      <c r="L1206" s="66"/>
      <c r="M1206" s="66"/>
      <c r="N1206" s="66"/>
    </row>
    <row r="1207" spans="1:14" x14ac:dyDescent="0.2">
      <c r="A1207" s="84"/>
      <c r="B1207" s="84"/>
      <c r="C1207" s="60"/>
      <c r="D1207" s="66"/>
      <c r="E1207" s="66"/>
      <c r="F1207" s="66"/>
      <c r="G1207" s="66"/>
      <c r="H1207" s="66"/>
      <c r="I1207" s="66"/>
      <c r="J1207" s="66"/>
      <c r="K1207" s="66"/>
      <c r="L1207" s="66"/>
      <c r="M1207" s="66"/>
      <c r="N1207" s="66"/>
    </row>
    <row r="1208" spans="1:14" x14ac:dyDescent="0.2">
      <c r="A1208" s="84"/>
      <c r="B1208" s="84"/>
      <c r="C1208" s="60"/>
      <c r="D1208" s="66"/>
      <c r="E1208" s="66"/>
      <c r="F1208" s="66"/>
      <c r="G1208" s="66"/>
      <c r="H1208" s="66"/>
      <c r="I1208" s="66"/>
      <c r="J1208" s="66"/>
      <c r="K1208" s="66"/>
      <c r="L1208" s="66"/>
      <c r="M1208" s="66"/>
      <c r="N1208" s="66"/>
    </row>
    <row r="1209" spans="1:14" x14ac:dyDescent="0.2">
      <c r="A1209" s="84"/>
      <c r="B1209" s="84"/>
      <c r="C1209" s="60"/>
      <c r="D1209" s="66"/>
      <c r="E1209" s="66"/>
      <c r="F1209" s="66"/>
      <c r="G1209" s="66"/>
      <c r="H1209" s="66"/>
      <c r="I1209" s="66"/>
      <c r="J1209" s="66"/>
      <c r="K1209" s="66"/>
      <c r="L1209" s="66"/>
      <c r="M1209" s="66"/>
      <c r="N1209" s="66"/>
    </row>
    <row r="1210" spans="1:14" x14ac:dyDescent="0.2">
      <c r="A1210" s="84"/>
      <c r="B1210" s="84"/>
      <c r="C1210" s="60"/>
      <c r="D1210" s="66"/>
      <c r="E1210" s="66"/>
      <c r="F1210" s="66"/>
      <c r="G1210" s="66"/>
      <c r="H1210" s="66"/>
      <c r="I1210" s="66"/>
      <c r="J1210" s="66"/>
      <c r="K1210" s="66"/>
      <c r="L1210" s="66"/>
      <c r="M1210" s="66"/>
      <c r="N1210" s="66"/>
    </row>
    <row r="1211" spans="1:14" x14ac:dyDescent="0.2">
      <c r="A1211" s="84"/>
      <c r="B1211" s="84"/>
      <c r="C1211" s="60"/>
      <c r="D1211" s="66"/>
      <c r="E1211" s="66"/>
      <c r="F1211" s="66"/>
      <c r="G1211" s="66"/>
      <c r="H1211" s="66"/>
      <c r="I1211" s="66"/>
      <c r="J1211" s="66"/>
      <c r="K1211" s="66"/>
      <c r="L1211" s="66"/>
      <c r="M1211" s="66"/>
      <c r="N1211" s="66"/>
    </row>
    <row r="1212" spans="1:14" x14ac:dyDescent="0.2">
      <c r="A1212" s="84"/>
      <c r="B1212" s="84"/>
      <c r="C1212" s="60"/>
      <c r="D1212" s="66"/>
      <c r="E1212" s="66"/>
      <c r="F1212" s="66"/>
      <c r="G1212" s="66"/>
      <c r="H1212" s="66"/>
      <c r="I1212" s="66"/>
      <c r="J1212" s="66"/>
      <c r="K1212" s="66"/>
      <c r="L1212" s="66"/>
      <c r="M1212" s="66"/>
      <c r="N1212" s="66"/>
    </row>
    <row r="1213" spans="1:14" x14ac:dyDescent="0.2">
      <c r="A1213" s="84"/>
      <c r="B1213" s="84"/>
      <c r="C1213" s="60"/>
      <c r="D1213" s="66"/>
      <c r="E1213" s="66"/>
      <c r="F1213" s="66"/>
      <c r="G1213" s="66"/>
      <c r="H1213" s="66"/>
      <c r="I1213" s="66"/>
      <c r="J1213" s="66"/>
      <c r="K1213" s="66"/>
      <c r="L1213" s="66"/>
      <c r="M1213" s="66"/>
      <c r="N1213" s="66"/>
    </row>
    <row r="1214" spans="1:14" x14ac:dyDescent="0.2">
      <c r="A1214" s="84"/>
      <c r="B1214" s="84"/>
      <c r="C1214" s="60"/>
      <c r="D1214" s="66"/>
      <c r="E1214" s="66"/>
      <c r="F1214" s="66"/>
      <c r="G1214" s="66"/>
      <c r="H1214" s="66"/>
      <c r="I1214" s="66"/>
      <c r="J1214" s="66"/>
      <c r="K1214" s="66"/>
      <c r="L1214" s="66"/>
      <c r="M1214" s="66"/>
      <c r="N1214" s="66"/>
    </row>
    <row r="1215" spans="1:14" x14ac:dyDescent="0.2">
      <c r="A1215" s="84"/>
      <c r="B1215" s="84"/>
      <c r="C1215" s="60"/>
      <c r="D1215" s="66"/>
      <c r="E1215" s="66"/>
      <c r="F1215" s="66"/>
      <c r="G1215" s="66"/>
      <c r="H1215" s="66"/>
      <c r="I1215" s="66"/>
      <c r="J1215" s="66"/>
      <c r="K1215" s="66"/>
      <c r="L1215" s="66"/>
      <c r="M1215" s="66"/>
      <c r="N1215" s="66"/>
    </row>
    <row r="1216" spans="1:14" x14ac:dyDescent="0.2">
      <c r="A1216" s="84"/>
      <c r="B1216" s="84"/>
      <c r="C1216" s="60"/>
      <c r="D1216" s="66"/>
      <c r="E1216" s="66"/>
      <c r="F1216" s="66"/>
      <c r="G1216" s="66"/>
      <c r="H1216" s="66"/>
      <c r="I1216" s="66"/>
      <c r="J1216" s="66"/>
      <c r="K1216" s="66"/>
      <c r="L1216" s="66"/>
      <c r="M1216" s="66"/>
      <c r="N1216" s="66"/>
    </row>
    <row r="1217" spans="1:14" x14ac:dyDescent="0.2">
      <c r="A1217" s="84"/>
      <c r="B1217" s="84"/>
      <c r="C1217" s="60"/>
      <c r="D1217" s="66"/>
      <c r="E1217" s="66"/>
      <c r="F1217" s="66"/>
      <c r="G1217" s="66"/>
      <c r="H1217" s="66"/>
      <c r="I1217" s="66"/>
      <c r="J1217" s="66"/>
      <c r="K1217" s="66"/>
      <c r="L1217" s="66"/>
      <c r="M1217" s="66"/>
      <c r="N1217" s="66"/>
    </row>
    <row r="1218" spans="1:14" x14ac:dyDescent="0.2">
      <c r="A1218" s="84"/>
      <c r="B1218" s="84"/>
      <c r="C1218" s="60"/>
      <c r="D1218" s="66"/>
      <c r="E1218" s="66"/>
      <c r="F1218" s="66"/>
      <c r="G1218" s="66"/>
      <c r="H1218" s="66"/>
      <c r="I1218" s="66"/>
      <c r="J1218" s="66"/>
      <c r="K1218" s="66"/>
      <c r="L1218" s="66"/>
      <c r="M1218" s="66"/>
      <c r="N1218" s="66"/>
    </row>
    <row r="1219" spans="1:14" x14ac:dyDescent="0.2">
      <c r="A1219" s="84"/>
      <c r="B1219" s="84"/>
      <c r="C1219" s="60"/>
      <c r="D1219" s="66"/>
      <c r="E1219" s="66"/>
      <c r="F1219" s="66"/>
      <c r="G1219" s="66"/>
      <c r="H1219" s="66"/>
      <c r="I1219" s="66"/>
      <c r="J1219" s="66"/>
      <c r="K1219" s="66"/>
      <c r="L1219" s="66"/>
      <c r="M1219" s="66"/>
      <c r="N1219" s="66"/>
    </row>
    <row r="1220" spans="1:14" x14ac:dyDescent="0.2">
      <c r="A1220" s="84"/>
      <c r="B1220" s="84"/>
      <c r="C1220" s="60"/>
      <c r="D1220" s="66"/>
      <c r="E1220" s="66"/>
      <c r="F1220" s="66"/>
      <c r="G1220" s="66"/>
      <c r="H1220" s="66"/>
      <c r="I1220" s="66"/>
      <c r="J1220" s="66"/>
      <c r="K1220" s="66"/>
      <c r="L1220" s="66"/>
      <c r="M1220" s="66"/>
      <c r="N1220" s="66"/>
    </row>
    <row r="1221" spans="1:14" x14ac:dyDescent="0.2">
      <c r="A1221" s="84"/>
      <c r="B1221" s="84"/>
      <c r="C1221" s="60"/>
      <c r="D1221" s="66"/>
      <c r="E1221" s="66"/>
      <c r="F1221" s="66"/>
      <c r="G1221" s="66"/>
      <c r="H1221" s="66"/>
      <c r="I1221" s="66"/>
      <c r="J1221" s="66"/>
      <c r="K1221" s="66"/>
      <c r="L1221" s="66"/>
      <c r="M1221" s="66"/>
      <c r="N1221" s="66"/>
    </row>
    <row r="1222" spans="1:14" x14ac:dyDescent="0.2">
      <c r="A1222" s="84"/>
      <c r="B1222" s="84"/>
      <c r="C1222" s="60"/>
      <c r="D1222" s="66"/>
      <c r="E1222" s="66"/>
      <c r="F1222" s="66"/>
      <c r="G1222" s="66"/>
      <c r="H1222" s="66"/>
      <c r="I1222" s="66"/>
      <c r="J1222" s="66"/>
      <c r="K1222" s="66"/>
      <c r="L1222" s="66"/>
      <c r="M1222" s="66"/>
      <c r="N1222" s="66"/>
    </row>
    <row r="1223" spans="1:14" x14ac:dyDescent="0.2">
      <c r="A1223" s="84"/>
      <c r="B1223" s="84"/>
      <c r="C1223" s="60"/>
      <c r="D1223" s="66"/>
      <c r="E1223" s="66"/>
      <c r="F1223" s="66"/>
      <c r="G1223" s="66"/>
      <c r="H1223" s="66"/>
      <c r="I1223" s="66"/>
      <c r="J1223" s="66"/>
      <c r="K1223" s="66"/>
      <c r="L1223" s="66"/>
      <c r="M1223" s="66"/>
      <c r="N1223" s="66"/>
    </row>
    <row r="1224" spans="1:14" x14ac:dyDescent="0.2">
      <c r="A1224" s="84"/>
      <c r="B1224" s="84"/>
      <c r="C1224" s="60"/>
      <c r="D1224" s="66"/>
      <c r="E1224" s="66"/>
      <c r="F1224" s="66"/>
      <c r="G1224" s="66"/>
      <c r="H1224" s="66"/>
      <c r="I1224" s="66"/>
      <c r="J1224" s="66"/>
      <c r="K1224" s="66"/>
      <c r="L1224" s="66"/>
      <c r="M1224" s="66"/>
      <c r="N1224" s="66"/>
    </row>
    <row r="1225" spans="1:14" x14ac:dyDescent="0.2">
      <c r="A1225" s="84"/>
      <c r="B1225" s="84"/>
      <c r="C1225" s="60"/>
      <c r="D1225" s="66"/>
      <c r="E1225" s="66"/>
      <c r="F1225" s="66"/>
      <c r="G1225" s="66"/>
      <c r="H1225" s="66"/>
      <c r="I1225" s="66"/>
      <c r="J1225" s="66"/>
      <c r="K1225" s="66"/>
      <c r="L1225" s="66"/>
      <c r="M1225" s="66"/>
      <c r="N1225" s="66"/>
    </row>
  </sheetData>
  <pageMargins left="0.25" right="0.25" top="0.75" bottom="0.75" header="0.3" footer="0.3"/>
  <pageSetup scale="79" fitToHeight="0" orientation="landscape" r:id="rId1"/>
  <headerFooter>
    <oddFooter>&amp;LRev &amp;D&amp;C&amp;P</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1249"/>
  <sheetViews>
    <sheetView topLeftCell="A230" workbookViewId="0">
      <selection sqref="A1:N255"/>
    </sheetView>
  </sheetViews>
  <sheetFormatPr defaultColWidth="9" defaultRowHeight="12.75" x14ac:dyDescent="0.2"/>
  <cols>
    <col min="1" max="1" width="29.875" style="59" customWidth="1"/>
    <col min="2" max="2" width="9.5" style="60" customWidth="1"/>
    <col min="3" max="4" width="9" style="84" customWidth="1"/>
    <col min="5" max="16384" width="9" style="84"/>
  </cols>
  <sheetData>
    <row r="1" spans="1:15" s="58" customFormat="1" ht="13.5" thickBot="1" x14ac:dyDescent="0.25">
      <c r="A1" s="67" t="str">
        <f>CMS!A1</f>
        <v>Northwest Youth Services Budget - 2018 - APPROVED BY BOARD NOV 30, 2017</v>
      </c>
      <c r="B1" s="79"/>
      <c r="C1" s="67"/>
      <c r="D1" s="67"/>
      <c r="E1" s="67"/>
      <c r="F1" s="67"/>
      <c r="G1" s="67"/>
      <c r="H1" s="67"/>
      <c r="I1" s="67"/>
      <c r="J1" s="67"/>
      <c r="K1" s="67"/>
      <c r="L1" s="67"/>
      <c r="M1" s="67"/>
      <c r="N1" s="67"/>
    </row>
    <row r="2" spans="1:15" s="58" customFormat="1" x14ac:dyDescent="0.2">
      <c r="A2" s="80"/>
      <c r="B2" s="81"/>
    </row>
    <row r="3" spans="1:15" s="58" customFormat="1" x14ac:dyDescent="0.2">
      <c r="A3" s="81" t="s">
        <v>236</v>
      </c>
      <c r="B3" s="81"/>
      <c r="C3" s="213"/>
    </row>
    <row r="5" spans="1:15" s="70" customFormat="1" ht="13.5" thickBot="1" x14ac:dyDescent="0.25">
      <c r="A5" s="82" t="s">
        <v>143</v>
      </c>
      <c r="B5" s="83" t="s">
        <v>144</v>
      </c>
      <c r="C5" s="83" t="str">
        <f>CMS!C5</f>
        <v>January</v>
      </c>
      <c r="D5" s="83" t="str">
        <f>CMS!D5</f>
        <v>February</v>
      </c>
      <c r="E5" s="83" t="str">
        <f>CMS!E5</f>
        <v>March</v>
      </c>
      <c r="F5" s="83" t="str">
        <f>CMS!F5</f>
        <v>April</v>
      </c>
      <c r="G5" s="83" t="str">
        <f>CMS!G5</f>
        <v>May</v>
      </c>
      <c r="H5" s="83" t="str">
        <f>CMS!H5</f>
        <v>June</v>
      </c>
      <c r="I5" s="83" t="str">
        <f>CMS!I5</f>
        <v>July</v>
      </c>
      <c r="J5" s="83" t="str">
        <f>CMS!J5</f>
        <v>August</v>
      </c>
      <c r="K5" s="83" t="str">
        <f>CMS!K5</f>
        <v>September</v>
      </c>
      <c r="L5" s="83" t="str">
        <f>CMS!L5</f>
        <v>October</v>
      </c>
      <c r="M5" s="83" t="str">
        <f>CMS!M5</f>
        <v>November</v>
      </c>
      <c r="N5" s="83" t="str">
        <f>CMS!N5</f>
        <v>December</v>
      </c>
    </row>
    <row r="6" spans="1:15" s="70" customFormat="1" x14ac:dyDescent="0.2">
      <c r="A6" s="28"/>
      <c r="B6" s="86"/>
      <c r="C6" s="86"/>
      <c r="D6" s="26"/>
      <c r="E6" s="26"/>
      <c r="F6" s="26"/>
      <c r="G6" s="26"/>
      <c r="H6" s="26"/>
      <c r="I6" s="26"/>
      <c r="J6" s="26"/>
      <c r="K6" s="26"/>
      <c r="L6" s="26"/>
      <c r="M6" s="26"/>
      <c r="N6" s="26"/>
    </row>
    <row r="7" spans="1:15" s="70" customFormat="1" x14ac:dyDescent="0.2">
      <c r="A7" s="58" t="s">
        <v>14</v>
      </c>
      <c r="B7" s="60"/>
      <c r="C7" s="60"/>
      <c r="D7" s="94"/>
      <c r="E7" s="94"/>
      <c r="F7" s="94"/>
      <c r="G7" s="94"/>
      <c r="H7" s="94"/>
      <c r="I7" s="94"/>
      <c r="J7" s="94"/>
      <c r="K7" s="94"/>
      <c r="L7" s="94"/>
      <c r="M7" s="94"/>
      <c r="N7" s="94"/>
    </row>
    <row r="8" spans="1:15" x14ac:dyDescent="0.2">
      <c r="A8" s="61" t="s">
        <v>335</v>
      </c>
      <c r="B8" s="63">
        <f>SUM(C8:N8)</f>
        <v>36000</v>
      </c>
      <c r="C8" s="62">
        <f>SUM(36000/12)</f>
        <v>3000</v>
      </c>
      <c r="D8" s="62">
        <f t="shared" ref="D8:N8" si="0">SUM(36000/12)</f>
        <v>3000</v>
      </c>
      <c r="E8" s="62">
        <f t="shared" si="0"/>
        <v>3000</v>
      </c>
      <c r="F8" s="62">
        <f t="shared" si="0"/>
        <v>3000</v>
      </c>
      <c r="G8" s="62">
        <f t="shared" si="0"/>
        <v>3000</v>
      </c>
      <c r="H8" s="62">
        <f t="shared" si="0"/>
        <v>3000</v>
      </c>
      <c r="I8" s="62">
        <f t="shared" si="0"/>
        <v>3000</v>
      </c>
      <c r="J8" s="62">
        <f t="shared" si="0"/>
        <v>3000</v>
      </c>
      <c r="K8" s="62">
        <f t="shared" si="0"/>
        <v>3000</v>
      </c>
      <c r="L8" s="62">
        <f t="shared" si="0"/>
        <v>3000</v>
      </c>
      <c r="M8" s="62">
        <f t="shared" si="0"/>
        <v>3000</v>
      </c>
      <c r="N8" s="62">
        <f t="shared" si="0"/>
        <v>3000</v>
      </c>
    </row>
    <row r="9" spans="1:15" x14ac:dyDescent="0.2">
      <c r="A9" s="61" t="s">
        <v>336</v>
      </c>
      <c r="B9" s="63">
        <f>SUM(C9:N9)</f>
        <v>199999.99999999997</v>
      </c>
      <c r="C9" s="62">
        <f>SUM(200000/12)</f>
        <v>16666.666666666668</v>
      </c>
      <c r="D9" s="62">
        <f t="shared" ref="D9:N9" si="1">SUM(200000/12)</f>
        <v>16666.666666666668</v>
      </c>
      <c r="E9" s="62">
        <f t="shared" si="1"/>
        <v>16666.666666666668</v>
      </c>
      <c r="F9" s="62">
        <f t="shared" si="1"/>
        <v>16666.666666666668</v>
      </c>
      <c r="G9" s="62">
        <f t="shared" si="1"/>
        <v>16666.666666666668</v>
      </c>
      <c r="H9" s="62">
        <f t="shared" si="1"/>
        <v>16666.666666666668</v>
      </c>
      <c r="I9" s="62">
        <f t="shared" si="1"/>
        <v>16666.666666666668</v>
      </c>
      <c r="J9" s="62">
        <f t="shared" si="1"/>
        <v>16666.666666666668</v>
      </c>
      <c r="K9" s="62">
        <f t="shared" si="1"/>
        <v>16666.666666666668</v>
      </c>
      <c r="L9" s="62">
        <f t="shared" si="1"/>
        <v>16666.666666666668</v>
      </c>
      <c r="M9" s="62">
        <f t="shared" si="1"/>
        <v>16666.666666666668</v>
      </c>
      <c r="N9" s="62">
        <f t="shared" si="1"/>
        <v>16666.666666666668</v>
      </c>
      <c r="O9" s="140"/>
    </row>
    <row r="10" spans="1:15" x14ac:dyDescent="0.2">
      <c r="A10" s="90" t="s">
        <v>570</v>
      </c>
      <c r="B10" s="63">
        <f>SUM(C10:N10)</f>
        <v>115512</v>
      </c>
      <c r="C10" s="62">
        <f>SUM(173268/18)</f>
        <v>9626</v>
      </c>
      <c r="D10" s="62">
        <f t="shared" ref="D10:N10" si="2">SUM(173268/18)</f>
        <v>9626</v>
      </c>
      <c r="E10" s="62">
        <f t="shared" si="2"/>
        <v>9626</v>
      </c>
      <c r="F10" s="62">
        <f t="shared" si="2"/>
        <v>9626</v>
      </c>
      <c r="G10" s="62">
        <f t="shared" si="2"/>
        <v>9626</v>
      </c>
      <c r="H10" s="62">
        <f t="shared" si="2"/>
        <v>9626</v>
      </c>
      <c r="I10" s="62">
        <f t="shared" si="2"/>
        <v>9626</v>
      </c>
      <c r="J10" s="62">
        <f t="shared" si="2"/>
        <v>9626</v>
      </c>
      <c r="K10" s="62">
        <f t="shared" si="2"/>
        <v>9626</v>
      </c>
      <c r="L10" s="62">
        <f t="shared" si="2"/>
        <v>9626</v>
      </c>
      <c r="M10" s="62">
        <f t="shared" si="2"/>
        <v>9626</v>
      </c>
      <c r="N10" s="62">
        <f t="shared" si="2"/>
        <v>9626</v>
      </c>
    </row>
    <row r="11" spans="1:15" hidden="1" x14ac:dyDescent="0.2">
      <c r="A11" s="61" t="s">
        <v>145</v>
      </c>
      <c r="B11" s="63">
        <f>SUM(C11:N11)</f>
        <v>0</v>
      </c>
      <c r="C11" s="62"/>
      <c r="D11" s="62"/>
      <c r="E11" s="62"/>
      <c r="F11" s="62"/>
      <c r="G11" s="62"/>
      <c r="H11" s="62"/>
      <c r="I11" s="62"/>
      <c r="J11" s="62"/>
      <c r="K11" s="62"/>
      <c r="L11" s="62"/>
      <c r="M11" s="62"/>
      <c r="N11" s="62"/>
    </row>
    <row r="12" spans="1:15" hidden="1" x14ac:dyDescent="0.2">
      <c r="A12" s="61" t="s">
        <v>145</v>
      </c>
      <c r="B12" s="63">
        <f t="shared" ref="B12:B45" si="3">SUM(C12:N12)</f>
        <v>0</v>
      </c>
      <c r="C12" s="63"/>
      <c r="D12" s="62"/>
      <c r="E12" s="62"/>
      <c r="F12" s="62"/>
      <c r="G12" s="62"/>
      <c r="H12" s="62"/>
      <c r="I12" s="62"/>
      <c r="J12" s="62"/>
      <c r="K12" s="62"/>
      <c r="L12" s="62"/>
      <c r="M12" s="62"/>
      <c r="N12" s="62"/>
    </row>
    <row r="13" spans="1:15" hidden="1" x14ac:dyDescent="0.2">
      <c r="A13" s="61" t="s">
        <v>145</v>
      </c>
      <c r="B13" s="63">
        <f t="shared" si="3"/>
        <v>0</v>
      </c>
      <c r="C13" s="63"/>
      <c r="D13" s="62"/>
      <c r="E13" s="62"/>
      <c r="F13" s="62"/>
      <c r="G13" s="62"/>
      <c r="H13" s="62"/>
      <c r="I13" s="62"/>
      <c r="J13" s="93"/>
      <c r="K13" s="93"/>
      <c r="L13" s="93"/>
      <c r="M13" s="93"/>
      <c r="N13" s="93"/>
    </row>
    <row r="14" spans="1:15" hidden="1" x14ac:dyDescent="0.2">
      <c r="A14" s="61" t="s">
        <v>145</v>
      </c>
      <c r="B14" s="63">
        <f t="shared" si="3"/>
        <v>0</v>
      </c>
      <c r="C14" s="63"/>
      <c r="D14" s="62"/>
      <c r="E14" s="62"/>
      <c r="F14" s="62"/>
      <c r="G14" s="62"/>
      <c r="H14" s="62"/>
      <c r="I14" s="62"/>
      <c r="J14" s="93"/>
      <c r="K14" s="93"/>
      <c r="L14" s="93"/>
      <c r="M14" s="93"/>
      <c r="N14" s="93"/>
    </row>
    <row r="15" spans="1:15" hidden="1" x14ac:dyDescent="0.2">
      <c r="A15" s="61" t="s">
        <v>145</v>
      </c>
      <c r="B15" s="63">
        <f t="shared" si="3"/>
        <v>0</v>
      </c>
      <c r="C15" s="63"/>
      <c r="D15" s="62"/>
      <c r="E15" s="62"/>
      <c r="F15" s="62"/>
      <c r="G15" s="62"/>
      <c r="H15" s="62"/>
      <c r="I15" s="62"/>
      <c r="J15" s="62"/>
      <c r="K15" s="62"/>
      <c r="L15" s="62"/>
      <c r="M15" s="62"/>
      <c r="N15" s="62"/>
    </row>
    <row r="16" spans="1:15" hidden="1" x14ac:dyDescent="0.2">
      <c r="A16" s="61" t="s">
        <v>145</v>
      </c>
      <c r="B16" s="63">
        <f t="shared" si="3"/>
        <v>0</v>
      </c>
      <c r="C16" s="63"/>
      <c r="D16" s="62"/>
      <c r="E16" s="62"/>
      <c r="F16" s="62"/>
      <c r="G16" s="62"/>
      <c r="H16" s="62"/>
      <c r="I16" s="62"/>
      <c r="J16" s="62"/>
      <c r="K16" s="62"/>
      <c r="L16" s="62"/>
      <c r="M16" s="62"/>
      <c r="N16" s="62"/>
    </row>
    <row r="17" spans="1:15" hidden="1" x14ac:dyDescent="0.2">
      <c r="A17" s="61" t="s">
        <v>145</v>
      </c>
      <c r="B17" s="63">
        <f t="shared" si="3"/>
        <v>0</v>
      </c>
      <c r="C17" s="63"/>
      <c r="D17" s="62"/>
      <c r="E17" s="62"/>
      <c r="F17" s="62"/>
      <c r="G17" s="62"/>
      <c r="H17" s="62"/>
      <c r="I17" s="62"/>
      <c r="J17" s="62"/>
      <c r="K17" s="62"/>
      <c r="L17" s="62"/>
      <c r="M17" s="62"/>
      <c r="N17" s="62"/>
    </row>
    <row r="18" spans="1:15" hidden="1" x14ac:dyDescent="0.2">
      <c r="A18" s="61" t="s">
        <v>145</v>
      </c>
      <c r="B18" s="63">
        <f t="shared" si="3"/>
        <v>0</v>
      </c>
      <c r="C18" s="63"/>
      <c r="D18" s="62"/>
      <c r="E18" s="62"/>
      <c r="F18" s="62"/>
      <c r="G18" s="62"/>
      <c r="H18" s="62"/>
      <c r="I18" s="62"/>
      <c r="J18" s="62"/>
      <c r="K18" s="62"/>
      <c r="L18" s="62"/>
      <c r="M18" s="62"/>
      <c r="N18" s="62"/>
    </row>
    <row r="19" spans="1:15" hidden="1" x14ac:dyDescent="0.2">
      <c r="A19" s="61" t="s">
        <v>145</v>
      </c>
      <c r="B19" s="63">
        <f t="shared" si="3"/>
        <v>0</v>
      </c>
      <c r="C19" s="63"/>
      <c r="D19" s="62"/>
      <c r="E19" s="62"/>
      <c r="F19" s="62"/>
      <c r="G19" s="62"/>
      <c r="H19" s="62"/>
      <c r="I19" s="62"/>
      <c r="J19" s="62"/>
      <c r="K19" s="62"/>
      <c r="L19" s="62"/>
      <c r="M19" s="62"/>
      <c r="N19" s="62"/>
    </row>
    <row r="20" spans="1:15" hidden="1" x14ac:dyDescent="0.2">
      <c r="A20" s="61" t="s">
        <v>145</v>
      </c>
      <c r="B20" s="63">
        <f t="shared" si="3"/>
        <v>0</v>
      </c>
      <c r="C20" s="63"/>
      <c r="D20" s="62"/>
      <c r="E20" s="62"/>
      <c r="F20" s="62"/>
      <c r="G20" s="62"/>
      <c r="H20" s="62"/>
      <c r="I20" s="62"/>
      <c r="J20" s="62"/>
      <c r="K20" s="62"/>
      <c r="L20" s="62"/>
      <c r="M20" s="62"/>
      <c r="N20" s="62"/>
    </row>
    <row r="21" spans="1:15" hidden="1" x14ac:dyDescent="0.2">
      <c r="A21" s="61" t="s">
        <v>145</v>
      </c>
      <c r="B21" s="63">
        <f t="shared" si="3"/>
        <v>0</v>
      </c>
      <c r="C21" s="63"/>
      <c r="D21" s="62"/>
      <c r="E21" s="62"/>
      <c r="F21" s="62"/>
      <c r="G21" s="62"/>
      <c r="H21" s="62"/>
      <c r="I21" s="62"/>
      <c r="J21" s="62"/>
      <c r="K21" s="62"/>
      <c r="L21" s="62"/>
      <c r="M21" s="62"/>
      <c r="N21" s="62"/>
    </row>
    <row r="22" spans="1:15" hidden="1" x14ac:dyDescent="0.2">
      <c r="A22" s="61" t="s">
        <v>145</v>
      </c>
      <c r="B22" s="63">
        <f t="shared" si="3"/>
        <v>0</v>
      </c>
      <c r="C22" s="63"/>
      <c r="D22" s="62"/>
      <c r="E22" s="62"/>
      <c r="F22" s="62"/>
      <c r="G22" s="62"/>
      <c r="H22" s="62"/>
      <c r="I22" s="62"/>
      <c r="J22" s="62"/>
      <c r="K22" s="62"/>
      <c r="L22" s="62"/>
      <c r="M22" s="62"/>
      <c r="N22" s="62"/>
    </row>
    <row r="23" spans="1:15" x14ac:dyDescent="0.2">
      <c r="A23" s="61" t="s">
        <v>337</v>
      </c>
      <c r="B23" s="63">
        <f t="shared" si="3"/>
        <v>10000</v>
      </c>
      <c r="C23" s="63"/>
      <c r="D23" s="62"/>
      <c r="E23" s="62"/>
      <c r="F23" s="62"/>
      <c r="G23" s="62"/>
      <c r="H23" s="62">
        <v>10000</v>
      </c>
      <c r="I23" s="62"/>
      <c r="J23" s="62"/>
      <c r="K23" s="62"/>
      <c r="L23" s="62"/>
      <c r="M23" s="62"/>
      <c r="N23" s="62"/>
      <c r="O23" s="368"/>
    </row>
    <row r="24" spans="1:15" x14ac:dyDescent="0.2">
      <c r="A24" s="61" t="s">
        <v>338</v>
      </c>
      <c r="B24" s="63">
        <f t="shared" si="3"/>
        <v>20000</v>
      </c>
      <c r="C24" s="63"/>
      <c r="D24" s="62"/>
      <c r="E24" s="62"/>
      <c r="F24" s="62"/>
      <c r="G24" s="62"/>
      <c r="H24" s="62">
        <v>20000</v>
      </c>
      <c r="I24" s="62"/>
      <c r="J24" s="62"/>
      <c r="K24" s="62"/>
      <c r="L24" s="62"/>
      <c r="M24" s="62"/>
      <c r="N24" s="62"/>
      <c r="O24" s="368"/>
    </row>
    <row r="25" spans="1:15" x14ac:dyDescent="0.2">
      <c r="A25" s="90" t="s">
        <v>146</v>
      </c>
      <c r="B25" s="63">
        <f t="shared" si="3"/>
        <v>0</v>
      </c>
      <c r="C25" s="63"/>
      <c r="D25" s="62"/>
      <c r="E25" s="62"/>
      <c r="F25" s="62"/>
      <c r="G25" s="62"/>
      <c r="H25" s="62"/>
      <c r="I25" s="62"/>
      <c r="J25" s="62"/>
      <c r="K25" s="62"/>
      <c r="L25" s="93"/>
      <c r="M25" s="93"/>
      <c r="N25" s="93"/>
    </row>
    <row r="26" spans="1:15" x14ac:dyDescent="0.2">
      <c r="A26" s="61" t="s">
        <v>339</v>
      </c>
      <c r="B26" s="63">
        <f t="shared" si="3"/>
        <v>45000</v>
      </c>
      <c r="C26" s="62">
        <f>SUM(45000/12)</f>
        <v>3750</v>
      </c>
      <c r="D26" s="62">
        <f t="shared" ref="D26:N26" si="4">SUM(45000/12)</f>
        <v>3750</v>
      </c>
      <c r="E26" s="62">
        <f t="shared" si="4"/>
        <v>3750</v>
      </c>
      <c r="F26" s="62">
        <f t="shared" si="4"/>
        <v>3750</v>
      </c>
      <c r="G26" s="62">
        <f t="shared" si="4"/>
        <v>3750</v>
      </c>
      <c r="H26" s="62">
        <f t="shared" si="4"/>
        <v>3750</v>
      </c>
      <c r="I26" s="62">
        <f t="shared" si="4"/>
        <v>3750</v>
      </c>
      <c r="J26" s="62">
        <f t="shared" si="4"/>
        <v>3750</v>
      </c>
      <c r="K26" s="62">
        <f t="shared" si="4"/>
        <v>3750</v>
      </c>
      <c r="L26" s="62">
        <f t="shared" si="4"/>
        <v>3750</v>
      </c>
      <c r="M26" s="62">
        <f t="shared" si="4"/>
        <v>3750</v>
      </c>
      <c r="N26" s="62">
        <f t="shared" si="4"/>
        <v>3750</v>
      </c>
    </row>
    <row r="27" spans="1:15" hidden="1" x14ac:dyDescent="0.2">
      <c r="A27" s="61" t="s">
        <v>146</v>
      </c>
      <c r="B27" s="63">
        <f t="shared" si="3"/>
        <v>0</v>
      </c>
      <c r="C27" s="63"/>
      <c r="D27" s="62"/>
      <c r="E27" s="62"/>
      <c r="F27" s="62"/>
      <c r="G27" s="62"/>
      <c r="H27" s="62"/>
      <c r="I27" s="62"/>
      <c r="J27" s="62"/>
      <c r="K27" s="62"/>
      <c r="L27" s="62"/>
      <c r="M27" s="62"/>
      <c r="N27" s="62"/>
    </row>
    <row r="28" spans="1:15" hidden="1" x14ac:dyDescent="0.2">
      <c r="A28" s="61" t="s">
        <v>146</v>
      </c>
      <c r="B28" s="63">
        <f t="shared" si="3"/>
        <v>0</v>
      </c>
      <c r="C28" s="63"/>
      <c r="D28" s="62"/>
      <c r="E28" s="62"/>
      <c r="F28" s="62"/>
      <c r="G28" s="62"/>
      <c r="H28" s="62"/>
      <c r="I28" s="62"/>
      <c r="J28" s="62"/>
      <c r="K28" s="62"/>
      <c r="L28" s="62"/>
      <c r="M28" s="62"/>
      <c r="N28" s="62"/>
    </row>
    <row r="29" spans="1:15" hidden="1" x14ac:dyDescent="0.2">
      <c r="A29" s="61" t="s">
        <v>146</v>
      </c>
      <c r="B29" s="63">
        <f t="shared" si="3"/>
        <v>0</v>
      </c>
      <c r="C29" s="63"/>
      <c r="D29" s="62"/>
      <c r="E29" s="62"/>
      <c r="F29" s="62"/>
      <c r="G29" s="62"/>
      <c r="H29" s="62"/>
      <c r="I29" s="62"/>
      <c r="J29" s="62"/>
      <c r="K29" s="62"/>
      <c r="L29" s="62"/>
      <c r="M29" s="62"/>
      <c r="N29" s="62"/>
    </row>
    <row r="30" spans="1:15" hidden="1" x14ac:dyDescent="0.2">
      <c r="A30" s="61" t="s">
        <v>146</v>
      </c>
      <c r="B30" s="63">
        <f t="shared" si="3"/>
        <v>0</v>
      </c>
      <c r="C30" s="63"/>
      <c r="D30" s="62"/>
      <c r="E30" s="62"/>
      <c r="F30" s="62"/>
      <c r="G30" s="62"/>
      <c r="H30" s="62"/>
      <c r="I30" s="62"/>
      <c r="J30" s="62"/>
      <c r="K30" s="62"/>
      <c r="L30" s="62"/>
      <c r="M30" s="62"/>
      <c r="N30" s="62"/>
    </row>
    <row r="31" spans="1:15" hidden="1" x14ac:dyDescent="0.2">
      <c r="A31" s="61" t="s">
        <v>146</v>
      </c>
      <c r="B31" s="63">
        <f t="shared" si="3"/>
        <v>0</v>
      </c>
      <c r="C31" s="63"/>
      <c r="D31" s="62"/>
      <c r="E31" s="62"/>
      <c r="F31" s="62"/>
      <c r="G31" s="62"/>
      <c r="H31" s="62"/>
      <c r="I31" s="62"/>
      <c r="J31" s="62"/>
      <c r="K31" s="62"/>
      <c r="L31" s="62"/>
      <c r="M31" s="62"/>
      <c r="N31" s="62"/>
    </row>
    <row r="32" spans="1:15" hidden="1" x14ac:dyDescent="0.2">
      <c r="A32" s="61" t="s">
        <v>146</v>
      </c>
      <c r="B32" s="63">
        <f t="shared" si="3"/>
        <v>0</v>
      </c>
      <c r="C32" s="63"/>
      <c r="D32" s="62"/>
      <c r="E32" s="62"/>
      <c r="F32" s="62"/>
      <c r="G32" s="62"/>
      <c r="H32" s="62"/>
      <c r="I32" s="62"/>
      <c r="J32" s="62"/>
      <c r="K32" s="62"/>
      <c r="L32" s="62"/>
      <c r="M32" s="62"/>
      <c r="N32" s="62"/>
    </row>
    <row r="33" spans="1:14" hidden="1" x14ac:dyDescent="0.2">
      <c r="A33" s="61" t="s">
        <v>146</v>
      </c>
      <c r="B33" s="63">
        <f t="shared" si="3"/>
        <v>0</v>
      </c>
      <c r="C33" s="63"/>
      <c r="D33" s="62"/>
      <c r="E33" s="62"/>
      <c r="F33" s="62"/>
      <c r="G33" s="62"/>
      <c r="H33" s="62"/>
      <c r="I33" s="62"/>
      <c r="J33" s="62"/>
      <c r="K33" s="62"/>
      <c r="L33" s="62"/>
      <c r="M33" s="62"/>
      <c r="N33" s="62"/>
    </row>
    <row r="34" spans="1:14" hidden="1" x14ac:dyDescent="0.2">
      <c r="A34" s="61" t="s">
        <v>146</v>
      </c>
      <c r="B34" s="63">
        <f t="shared" si="3"/>
        <v>0</v>
      </c>
      <c r="C34" s="63"/>
      <c r="D34" s="62"/>
      <c r="E34" s="62"/>
      <c r="F34" s="62"/>
      <c r="G34" s="62"/>
      <c r="H34" s="62"/>
      <c r="I34" s="62"/>
      <c r="J34" s="62"/>
      <c r="K34" s="62"/>
      <c r="L34" s="62"/>
      <c r="M34" s="62"/>
      <c r="N34" s="62"/>
    </row>
    <row r="35" spans="1:14" hidden="1" x14ac:dyDescent="0.2">
      <c r="A35" s="61" t="s">
        <v>146</v>
      </c>
      <c r="B35" s="63">
        <f t="shared" si="3"/>
        <v>0</v>
      </c>
      <c r="C35" s="63"/>
      <c r="D35" s="62"/>
      <c r="E35" s="62"/>
      <c r="F35" s="62"/>
      <c r="G35" s="62"/>
      <c r="H35" s="62"/>
      <c r="I35" s="62"/>
      <c r="J35" s="62"/>
      <c r="K35" s="62"/>
      <c r="L35" s="62"/>
      <c r="M35" s="62"/>
      <c r="N35" s="62"/>
    </row>
    <row r="36" spans="1:14" hidden="1" x14ac:dyDescent="0.2">
      <c r="A36" s="61" t="s">
        <v>146</v>
      </c>
      <c r="B36" s="63">
        <f t="shared" si="3"/>
        <v>0</v>
      </c>
      <c r="C36" s="63"/>
      <c r="D36" s="62"/>
      <c r="E36" s="62"/>
      <c r="F36" s="62"/>
      <c r="G36" s="62"/>
      <c r="H36" s="62"/>
      <c r="I36" s="62"/>
      <c r="J36" s="62"/>
      <c r="K36" s="62"/>
      <c r="L36" s="62"/>
      <c r="M36" s="62"/>
      <c r="N36" s="62"/>
    </row>
    <row r="37" spans="1:14" hidden="1" x14ac:dyDescent="0.2">
      <c r="A37" s="61" t="s">
        <v>146</v>
      </c>
      <c r="B37" s="63">
        <f t="shared" si="3"/>
        <v>0</v>
      </c>
      <c r="C37" s="63"/>
      <c r="D37" s="62"/>
      <c r="E37" s="62"/>
      <c r="F37" s="62"/>
      <c r="G37" s="62"/>
      <c r="H37" s="62"/>
      <c r="I37" s="62"/>
      <c r="J37" s="62"/>
      <c r="K37" s="62"/>
      <c r="L37" s="62"/>
      <c r="M37" s="62"/>
      <c r="N37" s="62"/>
    </row>
    <row r="38" spans="1:14" hidden="1" x14ac:dyDescent="0.2">
      <c r="A38" s="61" t="s">
        <v>146</v>
      </c>
      <c r="B38" s="63">
        <f t="shared" si="3"/>
        <v>0</v>
      </c>
      <c r="C38" s="62"/>
      <c r="D38" s="62"/>
      <c r="E38" s="62"/>
      <c r="F38" s="62"/>
      <c r="G38" s="62"/>
      <c r="H38" s="62"/>
      <c r="I38" s="62"/>
      <c r="J38" s="62"/>
      <c r="K38" s="62"/>
      <c r="L38" s="62"/>
      <c r="M38" s="62"/>
      <c r="N38" s="62"/>
    </row>
    <row r="39" spans="1:14" x14ac:dyDescent="0.2">
      <c r="A39" s="61" t="s">
        <v>16</v>
      </c>
      <c r="B39" s="63">
        <f t="shared" si="3"/>
        <v>0</v>
      </c>
      <c r="C39" s="63"/>
      <c r="D39" s="62"/>
      <c r="E39" s="62"/>
      <c r="F39" s="62"/>
      <c r="G39" s="62"/>
      <c r="H39" s="62"/>
      <c r="I39" s="62"/>
      <c r="J39" s="62"/>
      <c r="K39" s="62"/>
      <c r="L39" s="62"/>
      <c r="M39" s="62"/>
      <c r="N39" s="62"/>
    </row>
    <row r="40" spans="1:14" x14ac:dyDescent="0.2">
      <c r="A40" s="61" t="s">
        <v>17</v>
      </c>
      <c r="B40" s="63">
        <f t="shared" si="3"/>
        <v>0</v>
      </c>
      <c r="C40" s="63"/>
      <c r="D40" s="62"/>
      <c r="E40" s="62"/>
      <c r="F40" s="62"/>
      <c r="G40" s="62"/>
      <c r="H40" s="62"/>
      <c r="I40" s="62"/>
      <c r="J40" s="62"/>
      <c r="K40" s="62"/>
      <c r="L40" s="62"/>
      <c r="M40" s="62"/>
      <c r="N40" s="62"/>
    </row>
    <row r="41" spans="1:14" x14ac:dyDescent="0.2">
      <c r="A41" s="61" t="s">
        <v>147</v>
      </c>
      <c r="B41" s="63">
        <f t="shared" si="3"/>
        <v>2640</v>
      </c>
      <c r="C41" s="62">
        <v>220</v>
      </c>
      <c r="D41" s="62">
        <v>220</v>
      </c>
      <c r="E41" s="62">
        <v>220</v>
      </c>
      <c r="F41" s="62">
        <v>220</v>
      </c>
      <c r="G41" s="62">
        <v>220</v>
      </c>
      <c r="H41" s="62">
        <v>220</v>
      </c>
      <c r="I41" s="62">
        <v>220</v>
      </c>
      <c r="J41" s="62">
        <v>220</v>
      </c>
      <c r="K41" s="62">
        <v>220</v>
      </c>
      <c r="L41" s="62">
        <v>220</v>
      </c>
      <c r="M41" s="62">
        <v>220</v>
      </c>
      <c r="N41" s="62">
        <v>220</v>
      </c>
    </row>
    <row r="42" spans="1:14" x14ac:dyDescent="0.2">
      <c r="A42" s="61" t="s">
        <v>148</v>
      </c>
      <c r="B42" s="63">
        <f t="shared" si="3"/>
        <v>16200</v>
      </c>
      <c r="C42" s="62">
        <f>SUM(10800/8)</f>
        <v>1350</v>
      </c>
      <c r="D42" s="62">
        <f t="shared" ref="D42:N42" si="5">SUM(10800/8)</f>
        <v>1350</v>
      </c>
      <c r="E42" s="62">
        <f t="shared" si="5"/>
        <v>1350</v>
      </c>
      <c r="F42" s="62">
        <f t="shared" si="5"/>
        <v>1350</v>
      </c>
      <c r="G42" s="62">
        <f t="shared" si="5"/>
        <v>1350</v>
      </c>
      <c r="H42" s="62">
        <f t="shared" si="5"/>
        <v>1350</v>
      </c>
      <c r="I42" s="62">
        <f t="shared" si="5"/>
        <v>1350</v>
      </c>
      <c r="J42" s="62">
        <f t="shared" si="5"/>
        <v>1350</v>
      </c>
      <c r="K42" s="62">
        <f t="shared" si="5"/>
        <v>1350</v>
      </c>
      <c r="L42" s="62">
        <f t="shared" si="5"/>
        <v>1350</v>
      </c>
      <c r="M42" s="62">
        <f t="shared" si="5"/>
        <v>1350</v>
      </c>
      <c r="N42" s="62">
        <f t="shared" si="5"/>
        <v>1350</v>
      </c>
    </row>
    <row r="43" spans="1:14" x14ac:dyDescent="0.2">
      <c r="A43" s="61" t="s">
        <v>149</v>
      </c>
      <c r="B43" s="63">
        <f t="shared" si="3"/>
        <v>0</v>
      </c>
      <c r="C43" s="62"/>
      <c r="D43" s="62"/>
      <c r="E43" s="62"/>
      <c r="F43" s="62"/>
      <c r="G43" s="62"/>
      <c r="H43" s="62"/>
      <c r="I43" s="62"/>
      <c r="J43" s="62"/>
      <c r="K43" s="62"/>
      <c r="L43" s="62"/>
      <c r="M43" s="62"/>
      <c r="N43" s="62"/>
    </row>
    <row r="44" spans="1:14" x14ac:dyDescent="0.2">
      <c r="A44" s="61" t="s">
        <v>150</v>
      </c>
      <c r="B44" s="63">
        <f t="shared" si="3"/>
        <v>0</v>
      </c>
      <c r="C44" s="63"/>
      <c r="D44" s="62"/>
      <c r="E44" s="62"/>
      <c r="F44" s="62"/>
      <c r="G44" s="62"/>
      <c r="H44" s="62"/>
      <c r="I44" s="62"/>
      <c r="J44" s="62"/>
      <c r="K44" s="62"/>
      <c r="L44" s="62"/>
      <c r="M44" s="62"/>
      <c r="N44" s="62"/>
    </row>
    <row r="45" spans="1:14" ht="13.5" thickBot="1" x14ac:dyDescent="0.25">
      <c r="A45" s="61" t="s">
        <v>326</v>
      </c>
      <c r="B45" s="63">
        <f t="shared" si="3"/>
        <v>0</v>
      </c>
      <c r="C45" s="62"/>
      <c r="D45" s="62"/>
      <c r="E45" s="62"/>
      <c r="F45" s="62"/>
      <c r="G45" s="62"/>
      <c r="H45" s="62"/>
      <c r="I45" s="62"/>
      <c r="J45" s="62"/>
      <c r="K45" s="62"/>
      <c r="L45" s="62"/>
      <c r="M45" s="62"/>
      <c r="N45" s="62"/>
    </row>
    <row r="46" spans="1:14" x14ac:dyDescent="0.2">
      <c r="A46" s="64" t="s">
        <v>151</v>
      </c>
      <c r="B46" s="65">
        <f t="shared" ref="B46:N46" si="6">SUM(B8:B45)</f>
        <v>445352</v>
      </c>
      <c r="C46" s="65">
        <f t="shared" si="6"/>
        <v>34612.666666666672</v>
      </c>
      <c r="D46" s="65">
        <f t="shared" si="6"/>
        <v>34612.666666666672</v>
      </c>
      <c r="E46" s="65">
        <f t="shared" si="6"/>
        <v>34612.666666666672</v>
      </c>
      <c r="F46" s="65">
        <f t="shared" si="6"/>
        <v>34612.666666666672</v>
      </c>
      <c r="G46" s="65">
        <f t="shared" si="6"/>
        <v>34612.666666666672</v>
      </c>
      <c r="H46" s="65">
        <f t="shared" si="6"/>
        <v>64612.666666666672</v>
      </c>
      <c r="I46" s="65">
        <f t="shared" si="6"/>
        <v>34612.666666666672</v>
      </c>
      <c r="J46" s="65">
        <f t="shared" si="6"/>
        <v>34612.666666666672</v>
      </c>
      <c r="K46" s="65">
        <f t="shared" si="6"/>
        <v>34612.666666666672</v>
      </c>
      <c r="L46" s="65">
        <f t="shared" si="6"/>
        <v>34612.666666666672</v>
      </c>
      <c r="M46" s="65">
        <f t="shared" si="6"/>
        <v>34612.666666666672</v>
      </c>
      <c r="N46" s="65">
        <f t="shared" si="6"/>
        <v>34612.666666666672</v>
      </c>
    </row>
    <row r="47" spans="1:14" x14ac:dyDescent="0.2">
      <c r="C47" s="60"/>
      <c r="D47" s="66"/>
      <c r="E47" s="66"/>
      <c r="F47" s="66"/>
      <c r="G47" s="66"/>
      <c r="H47" s="66"/>
      <c r="I47" s="66"/>
      <c r="J47" s="66"/>
      <c r="K47" s="66"/>
      <c r="L47" s="66"/>
      <c r="M47" s="66"/>
      <c r="N47" s="66"/>
    </row>
    <row r="48" spans="1:14" x14ac:dyDescent="0.2">
      <c r="A48" s="58"/>
      <c r="C48" s="60"/>
      <c r="D48" s="100"/>
      <c r="E48" s="100"/>
      <c r="F48" s="100"/>
      <c r="G48" s="100"/>
      <c r="H48" s="100"/>
      <c r="I48" s="100"/>
      <c r="J48" s="100"/>
      <c r="K48" s="100"/>
      <c r="L48" s="100"/>
      <c r="M48" s="100"/>
      <c r="N48" s="100"/>
    </row>
    <row r="49" spans="1:15" x14ac:dyDescent="0.2">
      <c r="A49" s="58" t="s">
        <v>152</v>
      </c>
      <c r="B49" s="85"/>
      <c r="C49" s="85"/>
      <c r="D49" s="85"/>
      <c r="E49" s="85"/>
      <c r="F49" s="85"/>
      <c r="G49" s="85"/>
      <c r="H49" s="85"/>
      <c r="I49" s="85"/>
      <c r="J49" s="85"/>
      <c r="K49" s="85"/>
      <c r="L49" s="85"/>
      <c r="M49" s="85"/>
      <c r="N49" s="85"/>
    </row>
    <row r="50" spans="1:15" x14ac:dyDescent="0.2">
      <c r="A50" s="61" t="s">
        <v>153</v>
      </c>
      <c r="B50" s="63">
        <f>SUM(C50:N50)</f>
        <v>159099.5784</v>
      </c>
      <c r="C50" s="62">
        <f>SUM(C252)</f>
        <v>13715.048199999999</v>
      </c>
      <c r="D50" s="62">
        <f t="shared" ref="D50:N52" si="7">SUM(D252)</f>
        <v>13715.048199999999</v>
      </c>
      <c r="E50" s="62">
        <f t="shared" si="7"/>
        <v>13715.048199999999</v>
      </c>
      <c r="F50" s="62">
        <f t="shared" si="7"/>
        <v>13715.048199999999</v>
      </c>
      <c r="G50" s="62">
        <f t="shared" si="7"/>
        <v>13029.923199999999</v>
      </c>
      <c r="H50" s="62">
        <f t="shared" si="7"/>
        <v>13029.923199999999</v>
      </c>
      <c r="I50" s="62">
        <f t="shared" si="7"/>
        <v>13029.923199999999</v>
      </c>
      <c r="J50" s="62">
        <f t="shared" si="7"/>
        <v>13029.923199999999</v>
      </c>
      <c r="K50" s="62">
        <f t="shared" si="7"/>
        <v>13029.923199999999</v>
      </c>
      <c r="L50" s="62">
        <f t="shared" si="7"/>
        <v>13029.923199999999</v>
      </c>
      <c r="M50" s="62">
        <f t="shared" si="7"/>
        <v>13029.923199999999</v>
      </c>
      <c r="N50" s="62">
        <f t="shared" si="7"/>
        <v>13029.923199999999</v>
      </c>
    </row>
    <row r="51" spans="1:15" x14ac:dyDescent="0.2">
      <c r="A51" s="61" t="s">
        <v>22</v>
      </c>
      <c r="B51" s="63">
        <f>SUM(C51:N51)</f>
        <v>13721.809553999999</v>
      </c>
      <c r="C51" s="62">
        <f>SUM(C253)</f>
        <v>1183.4236545000001</v>
      </c>
      <c r="D51" s="62">
        <f t="shared" si="7"/>
        <v>1183.4236545000001</v>
      </c>
      <c r="E51" s="62">
        <f t="shared" si="7"/>
        <v>1183.4236545000001</v>
      </c>
      <c r="F51" s="62">
        <f t="shared" si="7"/>
        <v>1183.4236545000001</v>
      </c>
      <c r="G51" s="62">
        <f t="shared" si="7"/>
        <v>1123.514367</v>
      </c>
      <c r="H51" s="62">
        <f t="shared" si="7"/>
        <v>1123.514367</v>
      </c>
      <c r="I51" s="62">
        <f t="shared" si="7"/>
        <v>1123.514367</v>
      </c>
      <c r="J51" s="62">
        <f t="shared" si="7"/>
        <v>1123.514367</v>
      </c>
      <c r="K51" s="62">
        <f t="shared" si="7"/>
        <v>1123.514367</v>
      </c>
      <c r="L51" s="62">
        <f t="shared" si="7"/>
        <v>1123.514367</v>
      </c>
      <c r="M51" s="62">
        <f t="shared" si="7"/>
        <v>1123.514367</v>
      </c>
      <c r="N51" s="62">
        <f t="shared" si="7"/>
        <v>1123.514367</v>
      </c>
    </row>
    <row r="52" spans="1:15" s="101" customFormat="1" ht="13.5" thickBot="1" x14ac:dyDescent="0.25">
      <c r="A52" s="90" t="s">
        <v>23</v>
      </c>
      <c r="B52" s="63">
        <f>SUM(C52:N52)</f>
        <v>21346.209492827591</v>
      </c>
      <c r="C52" s="62">
        <f>SUM(C254)</f>
        <v>2074.5532910689658</v>
      </c>
      <c r="D52" s="62">
        <f t="shared" si="7"/>
        <v>2074.5532910689658</v>
      </c>
      <c r="E52" s="62">
        <f t="shared" si="7"/>
        <v>2074.5532910689658</v>
      </c>
      <c r="F52" s="62">
        <f t="shared" si="7"/>
        <v>2074.5532910689658</v>
      </c>
      <c r="G52" s="62">
        <f t="shared" si="7"/>
        <v>1630.9995410689658</v>
      </c>
      <c r="H52" s="62">
        <f t="shared" si="7"/>
        <v>1630.9995410689658</v>
      </c>
      <c r="I52" s="62">
        <f t="shared" si="7"/>
        <v>1630.9995410689658</v>
      </c>
      <c r="J52" s="62">
        <f t="shared" si="7"/>
        <v>1630.9995410689658</v>
      </c>
      <c r="K52" s="62">
        <f t="shared" si="7"/>
        <v>1630.9995410689658</v>
      </c>
      <c r="L52" s="62">
        <f t="shared" si="7"/>
        <v>1630.9995410689658</v>
      </c>
      <c r="M52" s="62">
        <f t="shared" si="7"/>
        <v>1630.9995410689658</v>
      </c>
      <c r="N52" s="62">
        <f t="shared" si="7"/>
        <v>1630.9995410689658</v>
      </c>
    </row>
    <row r="53" spans="1:15" x14ac:dyDescent="0.2">
      <c r="A53" s="64" t="s">
        <v>154</v>
      </c>
      <c r="B53" s="65">
        <f>SUM(B50:B52)</f>
        <v>194167.5974468276</v>
      </c>
      <c r="C53" s="65">
        <f>SUM(C50:C52)</f>
        <v>16973.025145568965</v>
      </c>
      <c r="D53" s="65">
        <f t="shared" ref="D53:N53" si="8">SUM(D50:D52)</f>
        <v>16973.025145568965</v>
      </c>
      <c r="E53" s="65">
        <f t="shared" si="8"/>
        <v>16973.025145568965</v>
      </c>
      <c r="F53" s="65">
        <f t="shared" si="8"/>
        <v>16973.025145568965</v>
      </c>
      <c r="G53" s="65">
        <f t="shared" si="8"/>
        <v>15784.437108068965</v>
      </c>
      <c r="H53" s="65">
        <f t="shared" si="8"/>
        <v>15784.437108068965</v>
      </c>
      <c r="I53" s="65">
        <f t="shared" si="8"/>
        <v>15784.437108068965</v>
      </c>
      <c r="J53" s="65">
        <f t="shared" si="8"/>
        <v>15784.437108068965</v>
      </c>
      <c r="K53" s="65">
        <f t="shared" si="8"/>
        <v>15784.437108068965</v>
      </c>
      <c r="L53" s="65">
        <f t="shared" si="8"/>
        <v>15784.437108068965</v>
      </c>
      <c r="M53" s="65">
        <f t="shared" si="8"/>
        <v>15784.437108068965</v>
      </c>
      <c r="N53" s="65">
        <f t="shared" si="8"/>
        <v>15784.437108068965</v>
      </c>
      <c r="O53" s="140"/>
    </row>
    <row r="54" spans="1:15" x14ac:dyDescent="0.2">
      <c r="C54" s="60"/>
      <c r="D54" s="66"/>
      <c r="E54" s="66"/>
      <c r="F54" s="66"/>
      <c r="G54" s="66"/>
      <c r="H54" s="66"/>
      <c r="I54" s="66"/>
      <c r="J54" s="66"/>
      <c r="K54" s="66"/>
      <c r="L54" s="66"/>
      <c r="M54" s="66"/>
      <c r="N54" s="66"/>
    </row>
    <row r="55" spans="1:15" x14ac:dyDescent="0.2">
      <c r="C55" s="60"/>
      <c r="D55" s="66"/>
      <c r="E55" s="66"/>
      <c r="F55" s="66"/>
      <c r="G55" s="66"/>
      <c r="H55" s="66"/>
      <c r="I55" s="66"/>
      <c r="J55" s="66"/>
      <c r="K55" s="66"/>
      <c r="L55" s="66"/>
      <c r="M55" s="66"/>
      <c r="N55" s="66"/>
    </row>
    <row r="56" spans="1:15" x14ac:dyDescent="0.2">
      <c r="A56" s="58" t="s">
        <v>155</v>
      </c>
      <c r="C56" s="60"/>
      <c r="D56" s="66"/>
      <c r="E56" s="66"/>
      <c r="F56" s="66"/>
      <c r="G56" s="66"/>
      <c r="H56" s="66"/>
      <c r="I56" s="66"/>
      <c r="J56" s="66"/>
      <c r="K56" s="66"/>
      <c r="L56" s="66"/>
      <c r="M56" s="66"/>
      <c r="N56" s="66"/>
    </row>
    <row r="57" spans="1:15" x14ac:dyDescent="0.2">
      <c r="A57" s="61" t="str">
        <f>CMS!A57</f>
        <v>Training</v>
      </c>
      <c r="B57" s="63">
        <f>SUM(C57:N57)</f>
        <v>2400</v>
      </c>
      <c r="C57" s="62">
        <f>SUM(1800/12)</f>
        <v>150</v>
      </c>
      <c r="D57" s="62">
        <f t="shared" ref="D57:N57" si="9">SUM(1800/12)</f>
        <v>150</v>
      </c>
      <c r="E57" s="62">
        <f t="shared" si="9"/>
        <v>150</v>
      </c>
      <c r="F57" s="62">
        <f t="shared" si="9"/>
        <v>150</v>
      </c>
      <c r="G57" s="62">
        <f t="shared" si="9"/>
        <v>150</v>
      </c>
      <c r="H57" s="62">
        <f t="shared" si="9"/>
        <v>150</v>
      </c>
      <c r="I57" s="62">
        <f t="shared" si="9"/>
        <v>150</v>
      </c>
      <c r="J57" s="62">
        <f t="shared" si="9"/>
        <v>150</v>
      </c>
      <c r="K57" s="62">
        <f>SUM(1800/12)+600</f>
        <v>750</v>
      </c>
      <c r="L57" s="62">
        <f t="shared" si="9"/>
        <v>150</v>
      </c>
      <c r="M57" s="62">
        <f t="shared" si="9"/>
        <v>150</v>
      </c>
      <c r="N57" s="62">
        <f t="shared" si="9"/>
        <v>150</v>
      </c>
    </row>
    <row r="58" spans="1:15" x14ac:dyDescent="0.2">
      <c r="A58" s="61" t="str">
        <f>CMS!A58</f>
        <v>Travel</v>
      </c>
      <c r="B58" s="419">
        <f>SUM(C58:N58)</f>
        <v>3180</v>
      </c>
      <c r="C58" s="62">
        <v>265</v>
      </c>
      <c r="D58" s="62">
        <v>265</v>
      </c>
      <c r="E58" s="62">
        <v>265</v>
      </c>
      <c r="F58" s="62">
        <v>265</v>
      </c>
      <c r="G58" s="62">
        <v>265</v>
      </c>
      <c r="H58" s="62">
        <v>265</v>
      </c>
      <c r="I58" s="62">
        <v>265</v>
      </c>
      <c r="J58" s="62">
        <v>265</v>
      </c>
      <c r="K58" s="62">
        <v>265</v>
      </c>
      <c r="L58" s="62">
        <v>265</v>
      </c>
      <c r="M58" s="62">
        <v>265</v>
      </c>
      <c r="N58" s="62">
        <v>265</v>
      </c>
    </row>
    <row r="59" spans="1:15" x14ac:dyDescent="0.2">
      <c r="A59" s="61" t="str">
        <f>CMS!A59</f>
        <v>Recognition</v>
      </c>
      <c r="B59" s="63">
        <f>SUM(C59:N59)</f>
        <v>0</v>
      </c>
      <c r="C59" s="62"/>
      <c r="D59" s="62"/>
      <c r="E59" s="62"/>
      <c r="F59" s="62"/>
      <c r="G59" s="62"/>
      <c r="H59" s="62"/>
      <c r="I59" s="62"/>
      <c r="J59" s="62"/>
      <c r="K59" s="62"/>
      <c r="L59" s="62"/>
      <c r="M59" s="62"/>
      <c r="N59" s="62"/>
    </row>
    <row r="60" spans="1:15" x14ac:dyDescent="0.2">
      <c r="A60" s="61" t="str">
        <f>CMS!A60</f>
        <v>Communications</v>
      </c>
      <c r="B60" s="63">
        <f t="shared" ref="B60:B82" si="10">SUM(C60:N60)</f>
        <v>3240</v>
      </c>
      <c r="C60" s="62">
        <v>270</v>
      </c>
      <c r="D60" s="62">
        <v>270</v>
      </c>
      <c r="E60" s="62">
        <v>270</v>
      </c>
      <c r="F60" s="62">
        <v>270</v>
      </c>
      <c r="G60" s="62">
        <v>270</v>
      </c>
      <c r="H60" s="62">
        <v>270</v>
      </c>
      <c r="I60" s="62">
        <v>270</v>
      </c>
      <c r="J60" s="62">
        <v>270</v>
      </c>
      <c r="K60" s="62">
        <v>270</v>
      </c>
      <c r="L60" s="62">
        <v>270</v>
      </c>
      <c r="M60" s="62">
        <v>270</v>
      </c>
      <c r="N60" s="62">
        <v>270</v>
      </c>
    </row>
    <row r="61" spans="1:15" x14ac:dyDescent="0.2">
      <c r="A61" s="61" t="str">
        <f>CMS!A61</f>
        <v>Dues &amp; Subscriptions</v>
      </c>
      <c r="B61" s="63">
        <f t="shared" si="10"/>
        <v>435</v>
      </c>
      <c r="C61" s="62"/>
      <c r="D61" s="62"/>
      <c r="E61" s="62"/>
      <c r="F61" s="62"/>
      <c r="G61" s="62">
        <v>50</v>
      </c>
      <c r="H61" s="62"/>
      <c r="I61" s="62"/>
      <c r="J61" s="62"/>
      <c r="K61" s="62"/>
      <c r="L61" s="62">
        <v>385</v>
      </c>
      <c r="M61" s="62"/>
      <c r="N61" s="62"/>
    </row>
    <row r="62" spans="1:15" x14ac:dyDescent="0.2">
      <c r="A62" s="61" t="str">
        <f>CMS!A62</f>
        <v>Liability Insurance</v>
      </c>
      <c r="B62" s="63">
        <f t="shared" si="10"/>
        <v>2675.5399657939083</v>
      </c>
      <c r="C62" s="62">
        <f>SUM('Data Links'!$B$5/'All Employees'!$I$65)/12*C102</f>
        <v>233.37909026886993</v>
      </c>
      <c r="D62" s="62">
        <f>SUM('Data Links'!$B$5/'All Employees'!$I$65)/12*D102</f>
        <v>233.37909026886993</v>
      </c>
      <c r="E62" s="62">
        <f>SUM('Data Links'!$B$5/'All Employees'!$I$65)/12*E102</f>
        <v>233.37909026886993</v>
      </c>
      <c r="F62" s="62">
        <f>SUM('Data Links'!$B$5/'All Employees'!$I$65)/12*F102</f>
        <v>233.37909026886993</v>
      </c>
      <c r="G62" s="62">
        <f>SUM('Data Links'!$B$5/'All Employees'!$I$65)/12*G102</f>
        <v>217.75295058980356</v>
      </c>
      <c r="H62" s="62">
        <f>SUM('Data Links'!$B$5/'All Employees'!$I$65)/12*H102</f>
        <v>217.75295058980356</v>
      </c>
      <c r="I62" s="62">
        <f>SUM('Data Links'!$B$5/'All Employees'!$I$65)/12*I102</f>
        <v>217.75295058980356</v>
      </c>
      <c r="J62" s="62">
        <f>SUM('Data Links'!$B$5/'All Employees'!$I$65)/12*J102</f>
        <v>217.75295058980356</v>
      </c>
      <c r="K62" s="62">
        <f>SUM('Data Links'!$B$5/'All Employees'!$I$65)/12*K102</f>
        <v>217.75295058980356</v>
      </c>
      <c r="L62" s="62">
        <f>SUM('Data Links'!$B$5/'All Employees'!$I$65)/12*L102</f>
        <v>217.75295058980356</v>
      </c>
      <c r="M62" s="62">
        <f>SUM('Data Links'!$B$5/'All Employees'!$I$65)/12*M102</f>
        <v>217.75295058980356</v>
      </c>
      <c r="N62" s="62">
        <f>SUM('Data Links'!$B$5/'All Employees'!$I$65)/12*N102</f>
        <v>217.75295058980356</v>
      </c>
    </row>
    <row r="63" spans="1:15" x14ac:dyDescent="0.2">
      <c r="A63" s="61" t="str">
        <f>CMS!A63</f>
        <v>Professional Services</v>
      </c>
      <c r="B63" s="63">
        <f t="shared" si="10"/>
        <v>240</v>
      </c>
      <c r="C63" s="62">
        <v>20</v>
      </c>
      <c r="D63" s="62">
        <v>20</v>
      </c>
      <c r="E63" s="62">
        <v>20</v>
      </c>
      <c r="F63" s="62">
        <v>20</v>
      </c>
      <c r="G63" s="62">
        <v>20</v>
      </c>
      <c r="H63" s="62">
        <v>20</v>
      </c>
      <c r="I63" s="62">
        <v>20</v>
      </c>
      <c r="J63" s="62">
        <v>20</v>
      </c>
      <c r="K63" s="62">
        <v>20</v>
      </c>
      <c r="L63" s="62">
        <v>20</v>
      </c>
      <c r="M63" s="62">
        <v>20</v>
      </c>
      <c r="N63" s="62">
        <v>20</v>
      </c>
    </row>
    <row r="64" spans="1:15" x14ac:dyDescent="0.2">
      <c r="A64" s="61" t="str">
        <f>CMS!A64</f>
        <v>Legal Fees</v>
      </c>
      <c r="B64" s="63">
        <f t="shared" si="10"/>
        <v>600</v>
      </c>
      <c r="C64" s="62">
        <v>50</v>
      </c>
      <c r="D64" s="62">
        <v>50</v>
      </c>
      <c r="E64" s="62">
        <v>50</v>
      </c>
      <c r="F64" s="62">
        <v>50</v>
      </c>
      <c r="G64" s="62">
        <v>50</v>
      </c>
      <c r="H64" s="62">
        <v>50</v>
      </c>
      <c r="I64" s="62">
        <v>50</v>
      </c>
      <c r="J64" s="62">
        <v>50</v>
      </c>
      <c r="K64" s="62">
        <v>50</v>
      </c>
      <c r="L64" s="62">
        <v>50</v>
      </c>
      <c r="M64" s="62">
        <v>50</v>
      </c>
      <c r="N64" s="62">
        <v>50</v>
      </c>
    </row>
    <row r="65" spans="1:14" x14ac:dyDescent="0.2">
      <c r="A65" s="61" t="str">
        <f>CMS!A65</f>
        <v>Technical Services</v>
      </c>
      <c r="B65" s="63">
        <f t="shared" si="10"/>
        <v>0</v>
      </c>
      <c r="C65" s="62"/>
      <c r="D65" s="62"/>
      <c r="E65" s="62"/>
      <c r="F65" s="62"/>
      <c r="G65" s="62"/>
      <c r="H65" s="62"/>
      <c r="I65" s="62"/>
      <c r="J65" s="62"/>
      <c r="K65" s="62"/>
      <c r="L65" s="62"/>
      <c r="M65" s="62"/>
      <c r="N65" s="62"/>
    </row>
    <row r="66" spans="1:14" x14ac:dyDescent="0.2">
      <c r="A66" s="61" t="str">
        <f>CMS!A66</f>
        <v>Taxes/Licenses &amp; Permits</v>
      </c>
      <c r="B66" s="63">
        <f t="shared" si="10"/>
        <v>0</v>
      </c>
      <c r="C66" s="62"/>
      <c r="D66" s="62"/>
      <c r="E66" s="62"/>
      <c r="F66" s="62"/>
      <c r="G66" s="62"/>
      <c r="H66" s="62"/>
      <c r="I66" s="62"/>
      <c r="J66" s="62"/>
      <c r="K66" s="62"/>
      <c r="L66" s="62"/>
      <c r="M66" s="62"/>
      <c r="N66" s="62"/>
    </row>
    <row r="67" spans="1:14" x14ac:dyDescent="0.2">
      <c r="A67" s="61" t="str">
        <f>CMS!A67</f>
        <v>Small Tools &amp; Equip</v>
      </c>
      <c r="B67" s="419">
        <f t="shared" si="10"/>
        <v>3000</v>
      </c>
      <c r="C67" s="62">
        <f>SUM(3000/12)</f>
        <v>250</v>
      </c>
      <c r="D67" s="62">
        <f t="shared" ref="D67:N67" si="11">SUM(3000/12)</f>
        <v>250</v>
      </c>
      <c r="E67" s="62">
        <f t="shared" si="11"/>
        <v>250</v>
      </c>
      <c r="F67" s="62">
        <f t="shared" si="11"/>
        <v>250</v>
      </c>
      <c r="G67" s="62">
        <f t="shared" si="11"/>
        <v>250</v>
      </c>
      <c r="H67" s="62">
        <f t="shared" si="11"/>
        <v>250</v>
      </c>
      <c r="I67" s="62">
        <f t="shared" si="11"/>
        <v>250</v>
      </c>
      <c r="J67" s="62">
        <f t="shared" si="11"/>
        <v>250</v>
      </c>
      <c r="K67" s="62">
        <f t="shared" si="11"/>
        <v>250</v>
      </c>
      <c r="L67" s="62">
        <f t="shared" si="11"/>
        <v>250</v>
      </c>
      <c r="M67" s="62">
        <f t="shared" si="11"/>
        <v>250</v>
      </c>
      <c r="N67" s="62">
        <f t="shared" si="11"/>
        <v>250</v>
      </c>
    </row>
    <row r="68" spans="1:14" x14ac:dyDescent="0.2">
      <c r="A68" s="61" t="str">
        <f>CMS!A68</f>
        <v>Office Supplies</v>
      </c>
      <c r="B68" s="63">
        <f t="shared" si="10"/>
        <v>1200</v>
      </c>
      <c r="C68" s="62">
        <v>100</v>
      </c>
      <c r="D68" s="62">
        <v>100</v>
      </c>
      <c r="E68" s="62">
        <v>100</v>
      </c>
      <c r="F68" s="62">
        <v>100</v>
      </c>
      <c r="G68" s="62">
        <v>100</v>
      </c>
      <c r="H68" s="62">
        <v>100</v>
      </c>
      <c r="I68" s="62">
        <v>100</v>
      </c>
      <c r="J68" s="62">
        <v>100</v>
      </c>
      <c r="K68" s="62">
        <v>100</v>
      </c>
      <c r="L68" s="62">
        <v>100</v>
      </c>
      <c r="M68" s="62">
        <v>100</v>
      </c>
      <c r="N68" s="62">
        <v>100</v>
      </c>
    </row>
    <row r="69" spans="1:14" x14ac:dyDescent="0.2">
      <c r="A69" s="61" t="s">
        <v>171</v>
      </c>
      <c r="B69" s="63">
        <f t="shared" si="10"/>
        <v>8400</v>
      </c>
      <c r="C69" s="62">
        <v>700</v>
      </c>
      <c r="D69" s="62">
        <v>700</v>
      </c>
      <c r="E69" s="62">
        <v>700</v>
      </c>
      <c r="F69" s="62">
        <v>700</v>
      </c>
      <c r="G69" s="62">
        <v>700</v>
      </c>
      <c r="H69" s="62">
        <v>700</v>
      </c>
      <c r="I69" s="62">
        <v>700</v>
      </c>
      <c r="J69" s="62">
        <v>700</v>
      </c>
      <c r="K69" s="62">
        <v>700</v>
      </c>
      <c r="L69" s="62">
        <v>700</v>
      </c>
      <c r="M69" s="62">
        <v>700</v>
      </c>
      <c r="N69" s="62">
        <v>700</v>
      </c>
    </row>
    <row r="70" spans="1:14" x14ac:dyDescent="0.2">
      <c r="A70" s="61" t="str">
        <f>CMS!A70</f>
        <v>Advertising</v>
      </c>
      <c r="B70" s="63">
        <f t="shared" si="10"/>
        <v>0</v>
      </c>
      <c r="C70" s="62"/>
      <c r="D70" s="62"/>
      <c r="E70" s="62"/>
      <c r="F70" s="62"/>
      <c r="G70" s="62"/>
      <c r="H70" s="62"/>
      <c r="I70" s="62"/>
      <c r="J70" s="62"/>
      <c r="K70" s="62"/>
      <c r="L70" s="62"/>
      <c r="M70" s="62"/>
      <c r="N70" s="62"/>
    </row>
    <row r="71" spans="1:14" x14ac:dyDescent="0.2">
      <c r="A71" s="61" t="str">
        <f>CMS!A71</f>
        <v>Repairs &amp; Maintenance</v>
      </c>
      <c r="B71" s="63">
        <f t="shared" si="10"/>
        <v>7875</v>
      </c>
      <c r="C71" s="62">
        <f>SUM(4.5*250+4.5*1500)/12</f>
        <v>656.25</v>
      </c>
      <c r="D71" s="62">
        <f t="shared" ref="D71:N71" si="12">SUM(4.5*250+4.5*1500)/12</f>
        <v>656.25</v>
      </c>
      <c r="E71" s="62">
        <f t="shared" si="12"/>
        <v>656.25</v>
      </c>
      <c r="F71" s="62">
        <f t="shared" si="12"/>
        <v>656.25</v>
      </c>
      <c r="G71" s="62">
        <f t="shared" si="12"/>
        <v>656.25</v>
      </c>
      <c r="H71" s="62">
        <f t="shared" si="12"/>
        <v>656.25</v>
      </c>
      <c r="I71" s="62">
        <f t="shared" si="12"/>
        <v>656.25</v>
      </c>
      <c r="J71" s="62">
        <f t="shared" si="12"/>
        <v>656.25</v>
      </c>
      <c r="K71" s="62">
        <f t="shared" si="12"/>
        <v>656.25</v>
      </c>
      <c r="L71" s="62">
        <f t="shared" si="12"/>
        <v>656.25</v>
      </c>
      <c r="M71" s="62">
        <f t="shared" si="12"/>
        <v>656.25</v>
      </c>
      <c r="N71" s="62">
        <f t="shared" si="12"/>
        <v>656.25</v>
      </c>
    </row>
    <row r="72" spans="1:14" x14ac:dyDescent="0.2">
      <c r="A72" s="61" t="str">
        <f>CMS!A72</f>
        <v>Client Expense</v>
      </c>
      <c r="B72" s="63">
        <f t="shared" si="10"/>
        <v>0</v>
      </c>
      <c r="C72" s="62"/>
      <c r="D72" s="62"/>
      <c r="E72" s="62"/>
      <c r="F72" s="62"/>
      <c r="G72" s="62"/>
      <c r="H72" s="62"/>
      <c r="I72" s="62"/>
      <c r="J72" s="62"/>
      <c r="K72" s="62"/>
      <c r="L72" s="62"/>
      <c r="M72" s="62"/>
      <c r="N72" s="62"/>
    </row>
    <row r="73" spans="1:14" x14ac:dyDescent="0.2">
      <c r="A73" s="61" t="str">
        <f>CMS!A73</f>
        <v>Printing</v>
      </c>
      <c r="B73" s="63">
        <f t="shared" si="10"/>
        <v>0</v>
      </c>
      <c r="C73" s="62"/>
      <c r="D73" s="62"/>
      <c r="E73" s="62"/>
      <c r="F73" s="62"/>
      <c r="G73" s="62"/>
      <c r="H73" s="62"/>
      <c r="I73" s="62"/>
      <c r="J73" s="62"/>
      <c r="K73" s="62"/>
      <c r="L73" s="62"/>
      <c r="M73" s="62"/>
      <c r="N73" s="62"/>
    </row>
    <row r="74" spans="1:14" x14ac:dyDescent="0.2">
      <c r="A74" s="61" t="str">
        <f>CMS!A74</f>
        <v>Postage</v>
      </c>
      <c r="B74" s="63">
        <f t="shared" si="10"/>
        <v>180</v>
      </c>
      <c r="C74" s="62">
        <v>15</v>
      </c>
      <c r="D74" s="62">
        <v>15</v>
      </c>
      <c r="E74" s="62">
        <v>15</v>
      </c>
      <c r="F74" s="62">
        <v>15</v>
      </c>
      <c r="G74" s="62">
        <v>15</v>
      </c>
      <c r="H74" s="62">
        <v>15</v>
      </c>
      <c r="I74" s="62">
        <v>15</v>
      </c>
      <c r="J74" s="62">
        <v>15</v>
      </c>
      <c r="K74" s="62">
        <v>15</v>
      </c>
      <c r="L74" s="62">
        <v>15</v>
      </c>
      <c r="M74" s="62">
        <v>15</v>
      </c>
      <c r="N74" s="62">
        <v>15</v>
      </c>
    </row>
    <row r="75" spans="1:14" ht="13.5" customHeight="1" x14ac:dyDescent="0.2">
      <c r="A75" s="61" t="str">
        <f>CMS!A75</f>
        <v>Rent/Lease Expense</v>
      </c>
      <c r="B75" s="63">
        <f t="shared" si="10"/>
        <v>110199.99999999999</v>
      </c>
      <c r="C75" s="62">
        <f>SUM(110200/12)</f>
        <v>9183.3333333333339</v>
      </c>
      <c r="D75" s="62">
        <f t="shared" ref="D75:N75" si="13">SUM(110200/12)</f>
        <v>9183.3333333333339</v>
      </c>
      <c r="E75" s="62">
        <f t="shared" si="13"/>
        <v>9183.3333333333339</v>
      </c>
      <c r="F75" s="62">
        <f t="shared" si="13"/>
        <v>9183.3333333333339</v>
      </c>
      <c r="G75" s="62">
        <f t="shared" si="13"/>
        <v>9183.3333333333339</v>
      </c>
      <c r="H75" s="62">
        <f t="shared" si="13"/>
        <v>9183.3333333333339</v>
      </c>
      <c r="I75" s="62">
        <f t="shared" si="13"/>
        <v>9183.3333333333339</v>
      </c>
      <c r="J75" s="62">
        <f t="shared" si="13"/>
        <v>9183.3333333333339</v>
      </c>
      <c r="K75" s="62">
        <f t="shared" si="13"/>
        <v>9183.3333333333339</v>
      </c>
      <c r="L75" s="62">
        <f t="shared" si="13"/>
        <v>9183.3333333333339</v>
      </c>
      <c r="M75" s="62">
        <f t="shared" si="13"/>
        <v>9183.3333333333339</v>
      </c>
      <c r="N75" s="62">
        <f t="shared" si="13"/>
        <v>9183.3333333333339</v>
      </c>
    </row>
    <row r="76" spans="1:14" x14ac:dyDescent="0.2">
      <c r="A76" s="61" t="str">
        <f>CMS!A76</f>
        <v>Utilities</v>
      </c>
      <c r="B76" s="63">
        <f t="shared" si="10"/>
        <v>7524</v>
      </c>
      <c r="C76" s="62">
        <v>627</v>
      </c>
      <c r="D76" s="62">
        <v>627</v>
      </c>
      <c r="E76" s="62">
        <v>627</v>
      </c>
      <c r="F76" s="62">
        <v>627</v>
      </c>
      <c r="G76" s="62">
        <v>627</v>
      </c>
      <c r="H76" s="62">
        <v>627</v>
      </c>
      <c r="I76" s="62">
        <v>627</v>
      </c>
      <c r="J76" s="62">
        <v>627</v>
      </c>
      <c r="K76" s="62">
        <v>627</v>
      </c>
      <c r="L76" s="62">
        <v>627</v>
      </c>
      <c r="M76" s="62">
        <v>627</v>
      </c>
      <c r="N76" s="62">
        <v>627</v>
      </c>
    </row>
    <row r="77" spans="1:14" x14ac:dyDescent="0.2">
      <c r="A77" s="61" t="str">
        <f>CMS!A77</f>
        <v>Bank Fees/Late Fees</v>
      </c>
      <c r="B77" s="63">
        <f t="shared" si="10"/>
        <v>0</v>
      </c>
      <c r="C77" s="62"/>
      <c r="D77" s="62"/>
      <c r="E77" s="62"/>
      <c r="F77" s="62"/>
      <c r="G77" s="62"/>
      <c r="H77" s="62"/>
      <c r="I77" s="62"/>
      <c r="J77" s="62"/>
      <c r="K77" s="62"/>
      <c r="L77" s="62"/>
      <c r="M77" s="62"/>
      <c r="N77" s="62"/>
    </row>
    <row r="78" spans="1:14" x14ac:dyDescent="0.2">
      <c r="A78" s="61" t="str">
        <f>CMS!A78</f>
        <v>Bad Debt Expense</v>
      </c>
      <c r="B78" s="63">
        <f t="shared" si="10"/>
        <v>0</v>
      </c>
      <c r="C78" s="62"/>
      <c r="D78" s="62"/>
      <c r="E78" s="62"/>
      <c r="F78" s="62"/>
      <c r="G78" s="62"/>
      <c r="H78" s="62"/>
      <c r="I78" s="62"/>
      <c r="J78" s="62"/>
      <c r="K78" s="62"/>
      <c r="L78" s="62"/>
      <c r="M78" s="62"/>
      <c r="N78" s="62"/>
    </row>
    <row r="79" spans="1:14" x14ac:dyDescent="0.2">
      <c r="A79" s="61" t="str">
        <f>CMS!A79</f>
        <v>Interest Expense</v>
      </c>
      <c r="B79" s="63">
        <f t="shared" si="10"/>
        <v>0</v>
      </c>
      <c r="C79" s="62"/>
      <c r="D79" s="62"/>
      <c r="E79" s="62"/>
      <c r="F79" s="62"/>
      <c r="G79" s="62"/>
      <c r="H79" s="62"/>
      <c r="I79" s="62"/>
      <c r="J79" s="62"/>
      <c r="K79" s="62"/>
      <c r="L79" s="62"/>
      <c r="M79" s="62"/>
      <c r="N79" s="62"/>
    </row>
    <row r="80" spans="1:14" x14ac:dyDescent="0.2">
      <c r="A80" s="61" t="str">
        <f>CMS!A80</f>
        <v>Meeting Expense</v>
      </c>
      <c r="B80" s="63">
        <f t="shared" si="10"/>
        <v>0</v>
      </c>
      <c r="C80" s="62"/>
      <c r="D80" s="62"/>
      <c r="E80" s="62"/>
      <c r="F80" s="62"/>
      <c r="G80" s="62"/>
      <c r="H80" s="62"/>
      <c r="I80" s="62"/>
      <c r="J80" s="62"/>
      <c r="K80" s="62"/>
      <c r="L80" s="62"/>
      <c r="M80" s="62"/>
      <c r="N80" s="62"/>
    </row>
    <row r="81" spans="1:15" x14ac:dyDescent="0.2">
      <c r="A81" s="61" t="s">
        <v>272</v>
      </c>
      <c r="B81" s="63">
        <f t="shared" si="10"/>
        <v>0</v>
      </c>
      <c r="C81" s="62">
        <f>SUM(C45)</f>
        <v>0</v>
      </c>
      <c r="D81" s="62">
        <f t="shared" ref="D81:N81" si="14">SUM(D45)</f>
        <v>0</v>
      </c>
      <c r="E81" s="62">
        <f t="shared" si="14"/>
        <v>0</v>
      </c>
      <c r="F81" s="62">
        <f t="shared" si="14"/>
        <v>0</v>
      </c>
      <c r="G81" s="62">
        <f t="shared" si="14"/>
        <v>0</v>
      </c>
      <c r="H81" s="62">
        <f t="shared" si="14"/>
        <v>0</v>
      </c>
      <c r="I81" s="62">
        <f t="shared" si="14"/>
        <v>0</v>
      </c>
      <c r="J81" s="62">
        <f t="shared" si="14"/>
        <v>0</v>
      </c>
      <c r="K81" s="62">
        <f t="shared" si="14"/>
        <v>0</v>
      </c>
      <c r="L81" s="62">
        <f t="shared" si="14"/>
        <v>0</v>
      </c>
      <c r="M81" s="62">
        <f t="shared" si="14"/>
        <v>0</v>
      </c>
      <c r="N81" s="62">
        <f t="shared" si="14"/>
        <v>0</v>
      </c>
    </row>
    <row r="82" spans="1:15" s="101" customFormat="1" ht="13.5" thickBot="1" x14ac:dyDescent="0.25">
      <c r="A82" s="61" t="str">
        <f>CMS!A82</f>
        <v>Misc Expense</v>
      </c>
      <c r="B82" s="63">
        <f t="shared" si="10"/>
        <v>0</v>
      </c>
      <c r="C82" s="62"/>
      <c r="D82" s="62"/>
      <c r="E82" s="62"/>
      <c r="F82" s="62"/>
      <c r="G82" s="62"/>
      <c r="H82" s="62"/>
      <c r="I82" s="62"/>
      <c r="J82" s="62"/>
      <c r="K82" s="62"/>
      <c r="L82" s="62"/>
      <c r="M82" s="62"/>
      <c r="N82" s="62"/>
    </row>
    <row r="83" spans="1:15" x14ac:dyDescent="0.2">
      <c r="A83" s="64" t="s">
        <v>24</v>
      </c>
      <c r="B83" s="65">
        <f>SUM(B57:B82)</f>
        <v>151149.5399657939</v>
      </c>
      <c r="C83" s="65">
        <f t="shared" ref="C83:N83" si="15">SUM(C57:C82)</f>
        <v>12519.962423602203</v>
      </c>
      <c r="D83" s="65">
        <f t="shared" si="15"/>
        <v>12519.962423602203</v>
      </c>
      <c r="E83" s="65">
        <f t="shared" si="15"/>
        <v>12519.962423602203</v>
      </c>
      <c r="F83" s="65">
        <f t="shared" si="15"/>
        <v>12519.962423602203</v>
      </c>
      <c r="G83" s="65">
        <f t="shared" si="15"/>
        <v>12554.336283923138</v>
      </c>
      <c r="H83" s="65">
        <f t="shared" si="15"/>
        <v>12504.336283923138</v>
      </c>
      <c r="I83" s="65">
        <f t="shared" si="15"/>
        <v>12504.336283923138</v>
      </c>
      <c r="J83" s="65">
        <f t="shared" si="15"/>
        <v>12504.336283923138</v>
      </c>
      <c r="K83" s="65">
        <f t="shared" si="15"/>
        <v>13104.336283923138</v>
      </c>
      <c r="L83" s="65">
        <f t="shared" si="15"/>
        <v>12889.336283923138</v>
      </c>
      <c r="M83" s="65">
        <f t="shared" si="15"/>
        <v>12504.336283923138</v>
      </c>
      <c r="N83" s="65">
        <f t="shared" si="15"/>
        <v>12504.336283923138</v>
      </c>
    </row>
    <row r="84" spans="1:15" x14ac:dyDescent="0.2">
      <c r="C84" s="60"/>
      <c r="D84" s="66"/>
      <c r="E84" s="66"/>
      <c r="F84" s="66"/>
      <c r="G84" s="66"/>
      <c r="H84" s="66"/>
      <c r="I84" s="66"/>
      <c r="J84" s="66"/>
      <c r="K84" s="66"/>
      <c r="L84" s="66"/>
      <c r="M84" s="66"/>
      <c r="N84" s="66"/>
    </row>
    <row r="85" spans="1:15" x14ac:dyDescent="0.2">
      <c r="C85" s="60"/>
      <c r="D85" s="66"/>
      <c r="E85" s="66"/>
      <c r="F85" s="66"/>
      <c r="G85" s="66"/>
      <c r="H85" s="66"/>
      <c r="I85" s="66"/>
      <c r="J85" s="66"/>
      <c r="K85" s="66"/>
      <c r="L85" s="66"/>
      <c r="M85" s="66"/>
      <c r="N85" s="66"/>
    </row>
    <row r="86" spans="1:15" x14ac:dyDescent="0.2">
      <c r="A86" s="58" t="s">
        <v>25</v>
      </c>
      <c r="C86" s="60"/>
      <c r="D86" s="66"/>
      <c r="E86" s="66"/>
      <c r="F86" s="66"/>
      <c r="G86" s="66"/>
      <c r="H86" s="66"/>
      <c r="I86" s="66"/>
      <c r="J86" s="66"/>
      <c r="K86" s="66"/>
      <c r="L86" s="66"/>
      <c r="M86" s="66"/>
      <c r="N86" s="66"/>
    </row>
    <row r="87" spans="1:15" x14ac:dyDescent="0.2">
      <c r="A87" s="61" t="s">
        <v>329</v>
      </c>
      <c r="B87" s="63">
        <f>SUM(C87:N87)</f>
        <v>-15324.173083075697</v>
      </c>
      <c r="C87" s="62">
        <f>SUM('CMS &amp; Fundraising Allocations'!B54)</f>
        <v>-2165.2158758712849</v>
      </c>
      <c r="D87" s="62">
        <f>SUM('CMS &amp; Fundraising Allocations'!C54)</f>
        <v>-3732.5175644873925</v>
      </c>
      <c r="E87" s="62">
        <f>SUM('CMS &amp; Fundraising Allocations'!D54)</f>
        <v>-5592.3413799328609</v>
      </c>
      <c r="F87" s="62">
        <f>SUM('CMS &amp; Fundraising Allocations'!E54)</f>
        <v>-3736.6030690520488</v>
      </c>
      <c r="G87" s="62">
        <f>SUM('CMS &amp; Fundraising Allocations'!F54)</f>
        <v>-3310.9696795297737</v>
      </c>
      <c r="H87" s="62">
        <f>SUM('CMS &amp; Fundraising Allocations'!G54)</f>
        <v>-3959.0973892783441</v>
      </c>
      <c r="I87" s="62">
        <f>SUM('CMS &amp; Fundraising Allocations'!H54)</f>
        <v>-909.53310285660405</v>
      </c>
      <c r="J87" s="62">
        <f>SUM('CMS &amp; Fundraising Allocations'!I54)</f>
        <v>-3339.654643598928</v>
      </c>
      <c r="K87" s="62">
        <f>SUM('CMS &amp; Fundraising Allocations'!J54)</f>
        <v>-3417.2279351347811</v>
      </c>
      <c r="L87" s="62">
        <f>SUM('CMS &amp; Fundraising Allocations'!K54)</f>
        <v>-3014.6854493271117</v>
      </c>
      <c r="M87" s="62">
        <f>SUM('CMS &amp; Fundraising Allocations'!L54)</f>
        <v>2923.1021129878668</v>
      </c>
      <c r="N87" s="62">
        <f>SUM('CMS &amp; Fundraising Allocations'!M54)</f>
        <v>14930.57089300557</v>
      </c>
      <c r="O87" s="140">
        <f>SUM(C87:N88)</f>
        <v>-20045.464673718503</v>
      </c>
    </row>
    <row r="88" spans="1:15" x14ac:dyDescent="0.2">
      <c r="A88" s="61" t="s">
        <v>330</v>
      </c>
      <c r="B88" s="63">
        <f>SUM(C88:N88)</f>
        <v>-4721.291590642807</v>
      </c>
      <c r="C88" s="62">
        <f>SUM(-'1020 N State Allocations'!B54)</f>
        <v>-425.48653161713565</v>
      </c>
      <c r="D88" s="62">
        <f>SUM(-'1020 N State Allocations'!C54)</f>
        <v>-425.48653161713565</v>
      </c>
      <c r="E88" s="62">
        <f>SUM(-'1020 N State Allocations'!D54)</f>
        <v>-425.48653161713565</v>
      </c>
      <c r="F88" s="62">
        <f>SUM(-'1020 N State Allocations'!E54)</f>
        <v>-426.86767729153524</v>
      </c>
      <c r="G88" s="62">
        <f>SUM(-'1020 N State Allocations'!F54)</f>
        <v>-395.08019423081186</v>
      </c>
      <c r="H88" s="62">
        <f>SUM(-'1020 N State Allocations'!G54)</f>
        <v>-385.52183695506926</v>
      </c>
      <c r="I88" s="62">
        <f>SUM(-'1020 N State Allocations'!H54)</f>
        <v>-374.91982734095944</v>
      </c>
      <c r="J88" s="62">
        <f>SUM(-'1020 N State Allocations'!I54)</f>
        <v>-374.91982734095944</v>
      </c>
      <c r="K88" s="62">
        <f>SUM(-'1020 N State Allocations'!J54)</f>
        <v>-371.45799325971331</v>
      </c>
      <c r="L88" s="62">
        <f>SUM(-'1020 N State Allocations'!K54)</f>
        <v>-371.45799325971331</v>
      </c>
      <c r="M88" s="62">
        <f>SUM(-'1020 N State Allocations'!L54)</f>
        <v>-372.30332305631896</v>
      </c>
      <c r="N88" s="62">
        <f>SUM(-'1020 N State Allocations'!M54)</f>
        <v>-372.30332305631896</v>
      </c>
    </row>
    <row r="89" spans="1:15" ht="13.5" thickBot="1" x14ac:dyDescent="0.25">
      <c r="A89" s="61"/>
      <c r="B89" s="63">
        <f>SUM(C89:N89)</f>
        <v>0</v>
      </c>
      <c r="C89" s="63"/>
      <c r="D89" s="62"/>
      <c r="E89" s="62"/>
      <c r="F89" s="62"/>
      <c r="G89" s="62"/>
      <c r="H89" s="62"/>
      <c r="I89" s="62"/>
      <c r="J89" s="62"/>
      <c r="K89" s="62"/>
      <c r="L89" s="62"/>
      <c r="M89" s="62"/>
      <c r="N89" s="62"/>
    </row>
    <row r="90" spans="1:15" x14ac:dyDescent="0.2">
      <c r="A90" s="64" t="s">
        <v>26</v>
      </c>
      <c r="B90" s="65">
        <f t="shared" ref="B90:N90" si="16">SUM(B87:B89)</f>
        <v>-20045.464673718503</v>
      </c>
      <c r="C90" s="65">
        <f t="shared" si="16"/>
        <v>-2590.7024074884207</v>
      </c>
      <c r="D90" s="65">
        <f t="shared" si="16"/>
        <v>-4158.0040961045279</v>
      </c>
      <c r="E90" s="65">
        <f t="shared" si="16"/>
        <v>-6017.8279115499963</v>
      </c>
      <c r="F90" s="65">
        <f t="shared" si="16"/>
        <v>-4163.4707463435843</v>
      </c>
      <c r="G90" s="65">
        <f t="shared" si="16"/>
        <v>-3706.0498737605853</v>
      </c>
      <c r="H90" s="65">
        <f t="shared" si="16"/>
        <v>-4344.6192262334134</v>
      </c>
      <c r="I90" s="65">
        <f t="shared" si="16"/>
        <v>-1284.4529301975635</v>
      </c>
      <c r="J90" s="65">
        <f t="shared" si="16"/>
        <v>-3714.5744709398873</v>
      </c>
      <c r="K90" s="65">
        <f t="shared" si="16"/>
        <v>-3788.6859283944946</v>
      </c>
      <c r="L90" s="65">
        <f t="shared" si="16"/>
        <v>-3386.1434425868251</v>
      </c>
      <c r="M90" s="65">
        <f t="shared" si="16"/>
        <v>2550.7987899315476</v>
      </c>
      <c r="N90" s="65">
        <f t="shared" si="16"/>
        <v>14558.26756994925</v>
      </c>
    </row>
    <row r="91" spans="1:15" x14ac:dyDescent="0.2">
      <c r="C91" s="60"/>
      <c r="D91" s="66"/>
      <c r="E91" s="66"/>
      <c r="F91" s="66"/>
      <c r="G91" s="66"/>
      <c r="H91" s="66"/>
      <c r="I91" s="66"/>
      <c r="J91" s="66"/>
      <c r="K91" s="66"/>
      <c r="L91" s="66"/>
      <c r="M91" s="66"/>
      <c r="N91" s="66"/>
    </row>
    <row r="92" spans="1:15" x14ac:dyDescent="0.2">
      <c r="A92" s="265" t="s">
        <v>405</v>
      </c>
      <c r="B92" s="266"/>
      <c r="C92" s="266">
        <f>SUM(C46-C53-C83-C90)</f>
        <v>7710.381504983925</v>
      </c>
      <c r="D92" s="266">
        <f t="shared" ref="D92:N92" si="17">SUM(D46-D53-D83-D90)</f>
        <v>9277.6831936000308</v>
      </c>
      <c r="E92" s="266">
        <f t="shared" si="17"/>
        <v>11137.507009045501</v>
      </c>
      <c r="F92" s="266">
        <f t="shared" si="17"/>
        <v>9283.1498438390881</v>
      </c>
      <c r="G92" s="266">
        <f t="shared" si="17"/>
        <v>9979.9431484351517</v>
      </c>
      <c r="H92" s="266">
        <f t="shared" si="17"/>
        <v>40668.512500907986</v>
      </c>
      <c r="I92" s="266">
        <f t="shared" si="17"/>
        <v>7608.3462048721303</v>
      </c>
      <c r="J92" s="266">
        <f t="shared" si="17"/>
        <v>10038.467745614455</v>
      </c>
      <c r="K92" s="266">
        <f t="shared" si="17"/>
        <v>9512.5792030690609</v>
      </c>
      <c r="L92" s="266">
        <f t="shared" si="17"/>
        <v>9325.0367172613915</v>
      </c>
      <c r="M92" s="266">
        <f t="shared" si="17"/>
        <v>3773.0944847430192</v>
      </c>
      <c r="N92" s="267">
        <f t="shared" si="17"/>
        <v>-8234.3742952746834</v>
      </c>
    </row>
    <row r="93" spans="1:15" x14ac:dyDescent="0.2">
      <c r="C93" s="60"/>
      <c r="D93" s="66"/>
      <c r="E93" s="66"/>
      <c r="F93" s="66"/>
      <c r="G93" s="66"/>
      <c r="H93" s="66"/>
      <c r="I93" s="66"/>
      <c r="J93" s="66"/>
      <c r="K93" s="66"/>
      <c r="L93" s="66"/>
      <c r="M93" s="66"/>
      <c r="N93" s="66"/>
    </row>
    <row r="94" spans="1:15" x14ac:dyDescent="0.2">
      <c r="B94" s="86" t="str">
        <f>B5</f>
        <v>Total</v>
      </c>
      <c r="C94" s="86"/>
      <c r="D94" s="66"/>
      <c r="E94" s="66"/>
      <c r="F94" s="66"/>
      <c r="G94" s="66"/>
      <c r="H94" s="66"/>
      <c r="I94" s="66"/>
      <c r="J94" s="66"/>
      <c r="K94" s="66"/>
      <c r="L94" s="66"/>
      <c r="M94" s="66"/>
      <c r="N94" s="66"/>
    </row>
    <row r="95" spans="1:15" x14ac:dyDescent="0.2">
      <c r="A95" s="58" t="s">
        <v>31</v>
      </c>
      <c r="B95" s="60">
        <f>SUM(B46)</f>
        <v>445352</v>
      </c>
      <c r="C95" s="81"/>
      <c r="D95" s="66"/>
      <c r="E95" s="66"/>
      <c r="F95" s="66"/>
      <c r="G95" s="66"/>
      <c r="H95" s="66"/>
      <c r="I95" s="66"/>
      <c r="J95" s="66"/>
      <c r="K95" s="66"/>
      <c r="L95" s="66"/>
      <c r="M95" s="66"/>
      <c r="N95" s="66"/>
    </row>
    <row r="96" spans="1:15" x14ac:dyDescent="0.2">
      <c r="A96" s="58" t="s">
        <v>32</v>
      </c>
      <c r="B96" s="60">
        <f>-B53</f>
        <v>-194167.5974468276</v>
      </c>
      <c r="C96" s="81"/>
      <c r="D96" s="66"/>
      <c r="E96" s="66"/>
      <c r="F96" s="66"/>
      <c r="G96" s="66"/>
      <c r="H96" s="66"/>
      <c r="I96" s="66"/>
      <c r="J96" s="66"/>
      <c r="K96" s="66"/>
      <c r="L96" s="66"/>
      <c r="M96" s="66"/>
      <c r="N96" s="66"/>
    </row>
    <row r="97" spans="1:14" x14ac:dyDescent="0.2">
      <c r="A97" s="58" t="s">
        <v>33</v>
      </c>
      <c r="B97" s="60">
        <f>SUM(-B83)</f>
        <v>-151149.5399657939</v>
      </c>
      <c r="C97" s="81"/>
      <c r="D97" s="66"/>
      <c r="E97" s="66"/>
      <c r="F97" s="66"/>
      <c r="G97" s="66"/>
      <c r="H97" s="66"/>
      <c r="I97" s="66"/>
      <c r="J97" s="66"/>
      <c r="K97" s="66"/>
      <c r="L97" s="66"/>
      <c r="M97" s="66"/>
      <c r="N97" s="66"/>
    </row>
    <row r="98" spans="1:14" x14ac:dyDescent="0.2">
      <c r="A98" s="58" t="s">
        <v>182</v>
      </c>
      <c r="B98" s="60">
        <f>SUM(B90)</f>
        <v>-20045.464673718503</v>
      </c>
      <c r="C98" s="130"/>
      <c r="D98" s="66"/>
      <c r="E98" s="66"/>
      <c r="F98" s="66"/>
      <c r="G98" s="66"/>
      <c r="H98" s="66"/>
      <c r="I98" s="66"/>
      <c r="J98" s="66"/>
      <c r="K98" s="66"/>
      <c r="L98" s="66"/>
      <c r="M98" s="66"/>
      <c r="N98" s="66"/>
    </row>
    <row r="99" spans="1:14" x14ac:dyDescent="0.2">
      <c r="A99" s="87" t="s">
        <v>35</v>
      </c>
      <c r="B99" s="88">
        <f>SUM(B95:B98)</f>
        <v>79989.39791366001</v>
      </c>
      <c r="C99" s="130"/>
      <c r="D99" s="66"/>
      <c r="E99" s="73"/>
      <c r="F99" s="66"/>
      <c r="G99" s="81"/>
      <c r="H99" s="81"/>
      <c r="I99" s="66"/>
      <c r="J99" s="66"/>
      <c r="K99" s="66"/>
      <c r="L99" s="66"/>
      <c r="M99" s="66"/>
      <c r="N99" s="66"/>
    </row>
    <row r="100" spans="1:14" x14ac:dyDescent="0.2">
      <c r="C100" s="81"/>
      <c r="D100" s="66"/>
      <c r="E100" s="212"/>
      <c r="F100" s="212"/>
      <c r="G100" s="367"/>
      <c r="H100" s="212"/>
      <c r="I100" s="212"/>
      <c r="J100" s="66"/>
      <c r="K100" s="66"/>
      <c r="L100" s="66"/>
      <c r="M100" s="66"/>
      <c r="N100" s="66"/>
    </row>
    <row r="101" spans="1:14" x14ac:dyDescent="0.2">
      <c r="C101" s="60"/>
      <c r="D101" s="66"/>
      <c r="E101" s="66"/>
      <c r="F101" s="66"/>
      <c r="G101" s="66"/>
      <c r="H101" s="66"/>
      <c r="I101" s="66"/>
      <c r="J101" s="66"/>
      <c r="K101" s="66"/>
      <c r="L101" s="66"/>
      <c r="M101" s="66"/>
      <c r="N101" s="66"/>
    </row>
    <row r="102" spans="1:14" x14ac:dyDescent="0.2">
      <c r="A102" s="58"/>
      <c r="B102" s="60" t="s">
        <v>183</v>
      </c>
      <c r="C102" s="75">
        <f>SUM(C108+C121+C134+C147+C160+C173+C186+C199+C212+C225+C238)</f>
        <v>3.7337931034482756</v>
      </c>
      <c r="D102" s="75">
        <f t="shared" ref="D102:N102" si="18">SUM(D108+D121+D134+D147+D160+D173+D186+D199+D212+D225+D238)</f>
        <v>3.7337931034482756</v>
      </c>
      <c r="E102" s="75">
        <f t="shared" si="18"/>
        <v>3.7337931034482756</v>
      </c>
      <c r="F102" s="75">
        <f t="shared" si="18"/>
        <v>3.7337931034482756</v>
      </c>
      <c r="G102" s="75">
        <f t="shared" si="18"/>
        <v>3.4837931034482756</v>
      </c>
      <c r="H102" s="75">
        <f t="shared" si="18"/>
        <v>3.4837931034482756</v>
      </c>
      <c r="I102" s="75">
        <f t="shared" si="18"/>
        <v>3.4837931034482756</v>
      </c>
      <c r="J102" s="75">
        <f t="shared" si="18"/>
        <v>3.4837931034482756</v>
      </c>
      <c r="K102" s="75">
        <f t="shared" si="18"/>
        <v>3.4837931034482756</v>
      </c>
      <c r="L102" s="75">
        <f t="shared" si="18"/>
        <v>3.4837931034482756</v>
      </c>
      <c r="M102" s="75">
        <f t="shared" si="18"/>
        <v>3.4837931034482756</v>
      </c>
      <c r="N102" s="75">
        <f t="shared" si="18"/>
        <v>3.4837931034482756</v>
      </c>
    </row>
    <row r="103" spans="1:14" x14ac:dyDescent="0.2">
      <c r="A103" s="58"/>
      <c r="C103" s="73"/>
      <c r="D103" s="66"/>
      <c r="E103" s="66"/>
      <c r="F103" s="66"/>
      <c r="G103" s="66"/>
      <c r="H103" s="66"/>
      <c r="I103" s="66"/>
      <c r="J103" s="66"/>
      <c r="K103" s="66"/>
      <c r="L103" s="66"/>
      <c r="M103" s="66"/>
    </row>
    <row r="104" spans="1:14" x14ac:dyDescent="0.2">
      <c r="A104" s="116" t="s">
        <v>184</v>
      </c>
      <c r="B104" s="92"/>
      <c r="C104" s="25"/>
      <c r="D104" s="91"/>
      <c r="E104" s="91"/>
      <c r="F104" s="91"/>
      <c r="G104" s="91"/>
      <c r="H104" s="91"/>
      <c r="I104" s="91"/>
      <c r="J104" s="91"/>
      <c r="K104" s="91"/>
      <c r="L104" s="91"/>
      <c r="M104" s="91"/>
      <c r="N104" s="27"/>
    </row>
    <row r="105" spans="1:14" x14ac:dyDescent="0.2">
      <c r="C105" s="89" t="str">
        <f t="shared" ref="C105:N105" si="19">C5</f>
        <v>January</v>
      </c>
      <c r="D105" s="89" t="str">
        <f t="shared" si="19"/>
        <v>February</v>
      </c>
      <c r="E105" s="89" t="str">
        <f t="shared" si="19"/>
        <v>March</v>
      </c>
      <c r="F105" s="89" t="str">
        <f t="shared" si="19"/>
        <v>April</v>
      </c>
      <c r="G105" s="89" t="str">
        <f t="shared" si="19"/>
        <v>May</v>
      </c>
      <c r="H105" s="89" t="str">
        <f t="shared" si="19"/>
        <v>June</v>
      </c>
      <c r="I105" s="89" t="str">
        <f t="shared" si="19"/>
        <v>July</v>
      </c>
      <c r="J105" s="89" t="str">
        <f t="shared" si="19"/>
        <v>August</v>
      </c>
      <c r="K105" s="89" t="str">
        <f t="shared" si="19"/>
        <v>September</v>
      </c>
      <c r="L105" s="89" t="str">
        <f t="shared" si="19"/>
        <v>October</v>
      </c>
      <c r="M105" s="89" t="str">
        <f t="shared" si="19"/>
        <v>November</v>
      </c>
      <c r="N105" s="89" t="str">
        <f t="shared" si="19"/>
        <v>December</v>
      </c>
    </row>
    <row r="106" spans="1:14" x14ac:dyDescent="0.2">
      <c r="C106" s="72">
        <v>31</v>
      </c>
      <c r="D106" s="72">
        <v>31</v>
      </c>
      <c r="E106" s="72">
        <v>30</v>
      </c>
      <c r="F106" s="72">
        <v>31</v>
      </c>
      <c r="G106" s="72">
        <v>30</v>
      </c>
      <c r="H106" s="72">
        <v>31</v>
      </c>
      <c r="I106" s="72">
        <v>31</v>
      </c>
      <c r="J106" s="72">
        <v>28</v>
      </c>
      <c r="K106" s="72">
        <v>31</v>
      </c>
      <c r="L106" s="72">
        <v>30</v>
      </c>
      <c r="M106" s="72">
        <v>31</v>
      </c>
      <c r="N106" s="71">
        <v>30</v>
      </c>
    </row>
    <row r="107" spans="1:14" x14ac:dyDescent="0.2">
      <c r="B107" s="89" t="s">
        <v>185</v>
      </c>
      <c r="C107" s="78">
        <v>1</v>
      </c>
      <c r="D107" s="78">
        <v>0</v>
      </c>
      <c r="E107" s="78">
        <v>1</v>
      </c>
      <c r="F107" s="78">
        <f>F94</f>
        <v>0</v>
      </c>
      <c r="G107" s="78">
        <v>2</v>
      </c>
      <c r="H107" s="78">
        <f>H94</f>
        <v>0</v>
      </c>
      <c r="I107" s="78">
        <v>2</v>
      </c>
      <c r="J107" s="78">
        <v>1</v>
      </c>
      <c r="K107" s="78">
        <v>0</v>
      </c>
      <c r="L107" s="78">
        <v>0</v>
      </c>
      <c r="M107" s="78">
        <v>1</v>
      </c>
      <c r="N107" s="78">
        <f>N94</f>
        <v>0</v>
      </c>
    </row>
    <row r="108" spans="1:14" x14ac:dyDescent="0.2">
      <c r="B108" s="89" t="s">
        <v>44</v>
      </c>
      <c r="C108" s="49">
        <v>0.55000000000000004</v>
      </c>
      <c r="D108" s="49">
        <v>0.55000000000000004</v>
      </c>
      <c r="E108" s="49">
        <v>0.55000000000000004</v>
      </c>
      <c r="F108" s="49">
        <v>0.55000000000000004</v>
      </c>
      <c r="G108" s="49">
        <v>0.55000000000000004</v>
      </c>
      <c r="H108" s="49">
        <v>0.55000000000000004</v>
      </c>
      <c r="I108" s="49">
        <v>0.55000000000000004</v>
      </c>
      <c r="J108" s="49">
        <v>0.55000000000000004</v>
      </c>
      <c r="K108" s="49">
        <v>0.55000000000000004</v>
      </c>
      <c r="L108" s="49">
        <v>0.55000000000000004</v>
      </c>
      <c r="M108" s="49">
        <v>0.55000000000000004</v>
      </c>
      <c r="N108" s="49">
        <v>0.55000000000000004</v>
      </c>
    </row>
    <row r="109" spans="1:14" x14ac:dyDescent="0.2">
      <c r="B109" s="89" t="s">
        <v>186</v>
      </c>
      <c r="C109" s="53">
        <f>SUM(174*C108)</f>
        <v>95.7</v>
      </c>
      <c r="D109" s="53">
        <f t="shared" ref="D109:N109" si="20">SUM(174*D108)</f>
        <v>95.7</v>
      </c>
      <c r="E109" s="53">
        <f t="shared" si="20"/>
        <v>95.7</v>
      </c>
      <c r="F109" s="53">
        <f t="shared" si="20"/>
        <v>95.7</v>
      </c>
      <c r="G109" s="53">
        <f t="shared" si="20"/>
        <v>95.7</v>
      </c>
      <c r="H109" s="53">
        <f t="shared" si="20"/>
        <v>95.7</v>
      </c>
      <c r="I109" s="53">
        <f t="shared" si="20"/>
        <v>95.7</v>
      </c>
      <c r="J109" s="53">
        <f t="shared" si="20"/>
        <v>95.7</v>
      </c>
      <c r="K109" s="53">
        <f t="shared" si="20"/>
        <v>95.7</v>
      </c>
      <c r="L109" s="53">
        <f t="shared" si="20"/>
        <v>95.7</v>
      </c>
      <c r="M109" s="53">
        <f t="shared" si="20"/>
        <v>95.7</v>
      </c>
      <c r="N109" s="53">
        <f t="shared" si="20"/>
        <v>95.7</v>
      </c>
    </row>
    <row r="110" spans="1:14" x14ac:dyDescent="0.2">
      <c r="A110" s="59" t="s">
        <v>543</v>
      </c>
      <c r="B110" s="78" t="s">
        <v>544</v>
      </c>
      <c r="C110" s="66">
        <f>SUM(C109*$B$111)</f>
        <v>1626.9</v>
      </c>
      <c r="D110" s="66">
        <f t="shared" ref="D110:N110" si="21">SUM(D109*$B$111)</f>
        <v>1626.9</v>
      </c>
      <c r="E110" s="66">
        <f t="shared" si="21"/>
        <v>1626.9</v>
      </c>
      <c r="F110" s="66">
        <f t="shared" si="21"/>
        <v>1626.9</v>
      </c>
      <c r="G110" s="66">
        <f t="shared" si="21"/>
        <v>1626.9</v>
      </c>
      <c r="H110" s="66">
        <f t="shared" si="21"/>
        <v>1626.9</v>
      </c>
      <c r="I110" s="66">
        <f t="shared" si="21"/>
        <v>1626.9</v>
      </c>
      <c r="J110" s="66">
        <f t="shared" si="21"/>
        <v>1626.9</v>
      </c>
      <c r="K110" s="66">
        <f t="shared" si="21"/>
        <v>1626.9</v>
      </c>
      <c r="L110" s="66">
        <f t="shared" si="21"/>
        <v>1626.9</v>
      </c>
      <c r="M110" s="66">
        <f t="shared" si="21"/>
        <v>1626.9</v>
      </c>
      <c r="N110" s="66">
        <f t="shared" si="21"/>
        <v>1626.9</v>
      </c>
    </row>
    <row r="111" spans="1:14" x14ac:dyDescent="0.2">
      <c r="A111" s="59" t="s">
        <v>188</v>
      </c>
      <c r="B111" s="74">
        <v>17</v>
      </c>
      <c r="C111" s="66">
        <f>SUM(C110)*'Data Links'!$B$15</f>
        <v>124.45785000000001</v>
      </c>
      <c r="D111" s="66">
        <f>SUM(D110)*'Data Links'!$B$15</f>
        <v>124.45785000000001</v>
      </c>
      <c r="E111" s="66">
        <f>SUM(E110)*'Data Links'!$B$15</f>
        <v>124.45785000000001</v>
      </c>
      <c r="F111" s="66">
        <f>SUM(F110)*'Data Links'!$B$15</f>
        <v>124.45785000000001</v>
      </c>
      <c r="G111" s="66">
        <f>SUM(G110)*'Data Links'!$B$15</f>
        <v>124.45785000000001</v>
      </c>
      <c r="H111" s="66">
        <f>SUM(H110)*'Data Links'!$B$15</f>
        <v>124.45785000000001</v>
      </c>
      <c r="I111" s="66">
        <f>SUM(I110)*'Data Links'!$B$15</f>
        <v>124.45785000000001</v>
      </c>
      <c r="J111" s="66">
        <f>SUM(J110)*'Data Links'!$B$15</f>
        <v>124.45785000000001</v>
      </c>
      <c r="K111" s="66">
        <f>SUM(K110)*'Data Links'!$B$15</f>
        <v>124.45785000000001</v>
      </c>
      <c r="L111" s="66">
        <f>SUM(L110)*'Data Links'!$B$15</f>
        <v>124.45785000000001</v>
      </c>
      <c r="M111" s="66">
        <f>SUM(M110)*'Data Links'!$B$15</f>
        <v>124.45785000000001</v>
      </c>
      <c r="N111" s="66">
        <f>SUM(N110)*'Data Links'!$B$15</f>
        <v>124.45785000000001</v>
      </c>
    </row>
    <row r="112" spans="1:14" x14ac:dyDescent="0.2">
      <c r="A112" s="59" t="s">
        <v>189</v>
      </c>
      <c r="B112" s="74">
        <v>15.95</v>
      </c>
      <c r="C112" s="66">
        <f>SUM(C110*'Data Links'!$B$13)</f>
        <v>9.7614000000000001</v>
      </c>
      <c r="D112" s="66">
        <f>SUM(D110*'Data Links'!$B$13)</f>
        <v>9.7614000000000001</v>
      </c>
      <c r="E112" s="66">
        <f>SUM(E110*'Data Links'!$B$13)</f>
        <v>9.7614000000000001</v>
      </c>
      <c r="F112" s="66">
        <f>SUM(F110*'Data Links'!$B$13)</f>
        <v>9.7614000000000001</v>
      </c>
      <c r="G112" s="66">
        <f>SUM(G110*'Data Links'!$B$13)</f>
        <v>9.7614000000000001</v>
      </c>
      <c r="H112" s="66">
        <f>SUM(H110*'Data Links'!$B$13)</f>
        <v>9.7614000000000001</v>
      </c>
      <c r="I112" s="66">
        <f>SUM(I110*'Data Links'!$B$13)</f>
        <v>9.7614000000000001</v>
      </c>
      <c r="J112" s="66">
        <f>SUM(J110*'Data Links'!$B$13)</f>
        <v>9.7614000000000001</v>
      </c>
      <c r="K112" s="66">
        <f>SUM(K110*'Data Links'!$B$13)</f>
        <v>9.7614000000000001</v>
      </c>
      <c r="L112" s="66">
        <f>SUM(L110*'Data Links'!$B$13)</f>
        <v>9.7614000000000001</v>
      </c>
      <c r="M112" s="66">
        <f>SUM(M110*'Data Links'!$B$13)</f>
        <v>9.7614000000000001</v>
      </c>
      <c r="N112" s="66">
        <f>SUM(N110*'Data Links'!$B$13)</f>
        <v>9.7614000000000001</v>
      </c>
    </row>
    <row r="113" spans="1:14" x14ac:dyDescent="0.2">
      <c r="A113" s="59" t="s">
        <v>190</v>
      </c>
      <c r="C113" s="66">
        <f>SUM(C109*'Data Links'!$B$8)</f>
        <v>7.4502450000000007</v>
      </c>
      <c r="D113" s="66">
        <f>SUM(D109*'Data Links'!$B$8)</f>
        <v>7.4502450000000007</v>
      </c>
      <c r="E113" s="66">
        <f>SUM(E109*'Data Links'!$B$8)</f>
        <v>7.4502450000000007</v>
      </c>
      <c r="F113" s="66">
        <f>SUM(F109*'Data Links'!$B$8)</f>
        <v>7.4502450000000007</v>
      </c>
      <c r="G113" s="66">
        <f>SUM(G109*'Data Links'!$B$8)</f>
        <v>7.4502450000000007</v>
      </c>
      <c r="H113" s="66">
        <f>SUM(H109*'Data Links'!$B$8)</f>
        <v>7.4502450000000007</v>
      </c>
      <c r="I113" s="66">
        <f>SUM(I109*'Data Links'!$B$8)</f>
        <v>7.4502450000000007</v>
      </c>
      <c r="J113" s="66">
        <f>SUM(J109*'Data Links'!$B$8)</f>
        <v>7.4502450000000007</v>
      </c>
      <c r="K113" s="66">
        <f>SUM(K109*'Data Links'!$B$8)</f>
        <v>7.4502450000000007</v>
      </c>
      <c r="L113" s="66">
        <f>SUM(L109*'Data Links'!$B$8)</f>
        <v>7.4502450000000007</v>
      </c>
      <c r="M113" s="66">
        <f>SUM(M109*'Data Links'!$B$8)</f>
        <v>7.4502450000000007</v>
      </c>
      <c r="N113" s="66">
        <f>SUM(N109*'Data Links'!$B$8)</f>
        <v>7.4502450000000007</v>
      </c>
    </row>
    <row r="114" spans="1:14" x14ac:dyDescent="0.2">
      <c r="A114" s="59" t="s">
        <v>191</v>
      </c>
      <c r="C114" s="66">
        <f>SUM('All Employees'!$P$58)*C108</f>
        <v>218.13429000000002</v>
      </c>
      <c r="D114" s="66">
        <f>SUM('All Employees'!$P$58)*D108</f>
        <v>218.13429000000002</v>
      </c>
      <c r="E114" s="66">
        <f>SUM('All Employees'!$P$58)*E108</f>
        <v>218.13429000000002</v>
      </c>
      <c r="F114" s="66">
        <f>SUM('All Employees'!$P$58)*F108</f>
        <v>218.13429000000002</v>
      </c>
      <c r="G114" s="66">
        <f>SUM('All Employees'!$P$58)*G108</f>
        <v>218.13429000000002</v>
      </c>
      <c r="H114" s="66">
        <f>SUM('All Employees'!$P$58)*H108</f>
        <v>218.13429000000002</v>
      </c>
      <c r="I114" s="66">
        <f>SUM('All Employees'!$P$58)*I108</f>
        <v>218.13429000000002</v>
      </c>
      <c r="J114" s="66">
        <f>SUM('All Employees'!$P$58)*J108</f>
        <v>218.13429000000002</v>
      </c>
      <c r="K114" s="66">
        <f>SUM('All Employees'!$P$58)*K108</f>
        <v>218.13429000000002</v>
      </c>
      <c r="L114" s="66">
        <f>SUM('All Employees'!$P$58)*L108</f>
        <v>218.13429000000002</v>
      </c>
      <c r="M114" s="66">
        <f>SUM('All Employees'!$P$58)*M108</f>
        <v>218.13429000000002</v>
      </c>
      <c r="N114" s="66">
        <f>SUM('All Employees'!$P$58)*N108</f>
        <v>218.13429000000002</v>
      </c>
    </row>
    <row r="115" spans="1:14" x14ac:dyDescent="0.2">
      <c r="A115" s="59" t="s">
        <v>192</v>
      </c>
      <c r="C115" s="66">
        <f>SUM(C110*'Data Links'!$B$17)</f>
        <v>48.807000000000002</v>
      </c>
      <c r="D115" s="66">
        <f>SUM(D110*'Data Links'!$B$17)</f>
        <v>48.807000000000002</v>
      </c>
      <c r="E115" s="66">
        <f>SUM(E110*'Data Links'!$B$17)</f>
        <v>48.807000000000002</v>
      </c>
      <c r="F115" s="66">
        <f>SUM(F110*'Data Links'!$B$17)</f>
        <v>48.807000000000002</v>
      </c>
      <c r="G115" s="66">
        <f>SUM(G110*'Data Links'!$B$17)</f>
        <v>48.807000000000002</v>
      </c>
      <c r="H115" s="66">
        <f>SUM(H110*'Data Links'!$B$17)</f>
        <v>48.807000000000002</v>
      </c>
      <c r="I115" s="66">
        <f>SUM(I110*'Data Links'!$B$17)</f>
        <v>48.807000000000002</v>
      </c>
      <c r="J115" s="66">
        <f>SUM(J110*'Data Links'!$B$17)</f>
        <v>48.807000000000002</v>
      </c>
      <c r="K115" s="66">
        <f>SUM(K110*'Data Links'!$B$17)</f>
        <v>48.807000000000002</v>
      </c>
      <c r="L115" s="66">
        <f>SUM(L110*'Data Links'!$B$17)</f>
        <v>48.807000000000002</v>
      </c>
      <c r="M115" s="66">
        <f>SUM(M110*'Data Links'!$B$17)</f>
        <v>48.807000000000002</v>
      </c>
      <c r="N115" s="66">
        <f>SUM(N110*'Data Links'!$B$17)</f>
        <v>48.807000000000002</v>
      </c>
    </row>
    <row r="116" spans="1:14" s="58" customFormat="1" x14ac:dyDescent="0.2">
      <c r="A116" s="58" t="s">
        <v>144</v>
      </c>
      <c r="B116" s="60"/>
      <c r="C116" s="60">
        <f t="shared" ref="C116" si="22">SUM(C110:C115)</f>
        <v>2035.5107850000002</v>
      </c>
      <c r="D116" s="60">
        <f t="shared" ref="D116:N116" si="23">SUM(D110:D115)</f>
        <v>2035.5107850000002</v>
      </c>
      <c r="E116" s="60">
        <f t="shared" si="23"/>
        <v>2035.5107850000002</v>
      </c>
      <c r="F116" s="60">
        <f t="shared" si="23"/>
        <v>2035.5107850000002</v>
      </c>
      <c r="G116" s="60">
        <f t="shared" si="23"/>
        <v>2035.5107850000002</v>
      </c>
      <c r="H116" s="60">
        <f t="shared" si="23"/>
        <v>2035.5107850000002</v>
      </c>
      <c r="I116" s="60">
        <f t="shared" si="23"/>
        <v>2035.5107850000002</v>
      </c>
      <c r="J116" s="60">
        <f t="shared" si="23"/>
        <v>2035.5107850000002</v>
      </c>
      <c r="K116" s="60">
        <f t="shared" si="23"/>
        <v>2035.5107850000002</v>
      </c>
      <c r="L116" s="60">
        <f t="shared" si="23"/>
        <v>2035.5107850000002</v>
      </c>
      <c r="M116" s="60">
        <f t="shared" si="23"/>
        <v>2035.5107850000002</v>
      </c>
      <c r="N116" s="60">
        <f t="shared" si="23"/>
        <v>2035.5107850000002</v>
      </c>
    </row>
    <row r="117" spans="1:14" x14ac:dyDescent="0.2">
      <c r="C117" s="60"/>
      <c r="D117" s="66"/>
      <c r="E117" s="66"/>
      <c r="F117" s="66"/>
      <c r="G117" s="66"/>
      <c r="H117" s="66"/>
      <c r="I117" s="66"/>
      <c r="J117" s="66"/>
      <c r="K117" s="66"/>
      <c r="L117" s="66"/>
      <c r="M117" s="66"/>
      <c r="N117" s="66"/>
    </row>
    <row r="118" spans="1:14" x14ac:dyDescent="0.2">
      <c r="C118" s="89" t="str">
        <f>C105</f>
        <v>January</v>
      </c>
      <c r="D118" s="89" t="str">
        <f t="shared" ref="D118:N120" si="24">D105</f>
        <v>February</v>
      </c>
      <c r="E118" s="89" t="str">
        <f t="shared" si="24"/>
        <v>March</v>
      </c>
      <c r="F118" s="89" t="str">
        <f t="shared" si="24"/>
        <v>April</v>
      </c>
      <c r="G118" s="89" t="str">
        <f t="shared" si="24"/>
        <v>May</v>
      </c>
      <c r="H118" s="89" t="str">
        <f t="shared" si="24"/>
        <v>June</v>
      </c>
      <c r="I118" s="89" t="str">
        <f t="shared" si="24"/>
        <v>July</v>
      </c>
      <c r="J118" s="89" t="str">
        <f t="shared" si="24"/>
        <v>August</v>
      </c>
      <c r="K118" s="89" t="str">
        <f t="shared" si="24"/>
        <v>September</v>
      </c>
      <c r="L118" s="89" t="str">
        <f t="shared" si="24"/>
        <v>October</v>
      </c>
      <c r="M118" s="89" t="str">
        <f t="shared" si="24"/>
        <v>November</v>
      </c>
      <c r="N118" s="89" t="str">
        <f t="shared" si="24"/>
        <v>December</v>
      </c>
    </row>
    <row r="119" spans="1:14" x14ac:dyDescent="0.2">
      <c r="C119" s="72">
        <v>31</v>
      </c>
      <c r="D119" s="72">
        <v>31</v>
      </c>
      <c r="E119" s="72">
        <v>30</v>
      </c>
      <c r="F119" s="72">
        <v>31</v>
      </c>
      <c r="G119" s="72">
        <v>30</v>
      </c>
      <c r="H119" s="72">
        <v>31</v>
      </c>
      <c r="I119" s="72">
        <v>31</v>
      </c>
      <c r="J119" s="72">
        <v>28</v>
      </c>
      <c r="K119" s="72">
        <v>31</v>
      </c>
      <c r="L119" s="72">
        <v>30</v>
      </c>
      <c r="M119" s="72">
        <v>31</v>
      </c>
      <c r="N119" s="71">
        <v>30</v>
      </c>
    </row>
    <row r="120" spans="1:14" x14ac:dyDescent="0.2">
      <c r="B120" s="89" t="s">
        <v>185</v>
      </c>
      <c r="C120" s="53">
        <f>C107</f>
        <v>1</v>
      </c>
      <c r="D120" s="53">
        <f t="shared" si="24"/>
        <v>0</v>
      </c>
      <c r="E120" s="53">
        <f t="shared" si="24"/>
        <v>1</v>
      </c>
      <c r="F120" s="53">
        <f t="shared" si="24"/>
        <v>0</v>
      </c>
      <c r="G120" s="53">
        <f t="shared" si="24"/>
        <v>2</v>
      </c>
      <c r="H120" s="53">
        <f t="shared" si="24"/>
        <v>0</v>
      </c>
      <c r="I120" s="53">
        <f t="shared" si="24"/>
        <v>2</v>
      </c>
      <c r="J120" s="53">
        <f t="shared" si="24"/>
        <v>1</v>
      </c>
      <c r="K120" s="53">
        <f t="shared" si="24"/>
        <v>0</v>
      </c>
      <c r="L120" s="53">
        <f t="shared" si="24"/>
        <v>0</v>
      </c>
      <c r="M120" s="53">
        <f t="shared" si="24"/>
        <v>1</v>
      </c>
      <c r="N120" s="53">
        <f t="shared" si="24"/>
        <v>0</v>
      </c>
    </row>
    <row r="121" spans="1:14" x14ac:dyDescent="0.2">
      <c r="B121" s="89" t="s">
        <v>44</v>
      </c>
      <c r="C121" s="49">
        <v>0.24</v>
      </c>
      <c r="D121" s="49">
        <v>0.24</v>
      </c>
      <c r="E121" s="49">
        <v>0.24</v>
      </c>
      <c r="F121" s="49">
        <v>0.24</v>
      </c>
      <c r="G121" s="49">
        <v>0.24</v>
      </c>
      <c r="H121" s="49">
        <v>0.24</v>
      </c>
      <c r="I121" s="49">
        <v>0.24</v>
      </c>
      <c r="J121" s="49">
        <v>0.24</v>
      </c>
      <c r="K121" s="49">
        <v>0.24</v>
      </c>
      <c r="L121" s="49">
        <v>0.24</v>
      </c>
      <c r="M121" s="49">
        <v>0.24</v>
      </c>
      <c r="N121" s="49">
        <v>0.24</v>
      </c>
    </row>
    <row r="122" spans="1:14" x14ac:dyDescent="0.2">
      <c r="B122" s="89" t="s">
        <v>186</v>
      </c>
      <c r="C122" s="260">
        <f>SUM(174*C121)</f>
        <v>41.76</v>
      </c>
      <c r="D122" s="260">
        <f t="shared" ref="D122:N122" si="25">SUM(174*D121)</f>
        <v>41.76</v>
      </c>
      <c r="E122" s="260">
        <f t="shared" si="25"/>
        <v>41.76</v>
      </c>
      <c r="F122" s="260">
        <f t="shared" si="25"/>
        <v>41.76</v>
      </c>
      <c r="G122" s="260">
        <f t="shared" si="25"/>
        <v>41.76</v>
      </c>
      <c r="H122" s="260">
        <f t="shared" si="25"/>
        <v>41.76</v>
      </c>
      <c r="I122" s="260">
        <f t="shared" si="25"/>
        <v>41.76</v>
      </c>
      <c r="J122" s="260">
        <f t="shared" si="25"/>
        <v>41.76</v>
      </c>
      <c r="K122" s="260">
        <f t="shared" si="25"/>
        <v>41.76</v>
      </c>
      <c r="L122" s="260">
        <f t="shared" si="25"/>
        <v>41.76</v>
      </c>
      <c r="M122" s="260">
        <f t="shared" si="25"/>
        <v>41.76</v>
      </c>
      <c r="N122" s="260">
        <f t="shared" si="25"/>
        <v>41.76</v>
      </c>
    </row>
    <row r="123" spans="1:14" x14ac:dyDescent="0.2">
      <c r="A123" s="59" t="s">
        <v>275</v>
      </c>
      <c r="B123" s="78" t="s">
        <v>256</v>
      </c>
      <c r="C123" s="66">
        <f>SUM(C122*$B$111)</f>
        <v>709.92</v>
      </c>
      <c r="D123" s="66">
        <f t="shared" ref="D123:N123" si="26">SUM(D122*$B$111)</f>
        <v>709.92</v>
      </c>
      <c r="E123" s="66">
        <f t="shared" si="26"/>
        <v>709.92</v>
      </c>
      <c r="F123" s="66">
        <f t="shared" si="26"/>
        <v>709.92</v>
      </c>
      <c r="G123" s="66">
        <f t="shared" si="26"/>
        <v>709.92</v>
      </c>
      <c r="H123" s="66">
        <f t="shared" si="26"/>
        <v>709.92</v>
      </c>
      <c r="I123" s="66">
        <f t="shared" si="26"/>
        <v>709.92</v>
      </c>
      <c r="J123" s="66">
        <f t="shared" si="26"/>
        <v>709.92</v>
      </c>
      <c r="K123" s="66">
        <f t="shared" si="26"/>
        <v>709.92</v>
      </c>
      <c r="L123" s="66">
        <f t="shared" si="26"/>
        <v>709.92</v>
      </c>
      <c r="M123" s="66">
        <f t="shared" si="26"/>
        <v>709.92</v>
      </c>
      <c r="N123" s="66">
        <f t="shared" si="26"/>
        <v>709.92</v>
      </c>
    </row>
    <row r="124" spans="1:14" x14ac:dyDescent="0.2">
      <c r="A124" s="59" t="s">
        <v>188</v>
      </c>
      <c r="B124" s="74">
        <v>16.5</v>
      </c>
      <c r="C124" s="66">
        <f>SUM(C123)*'Data Links'!$B$15</f>
        <v>54.308879999999995</v>
      </c>
      <c r="D124" s="66">
        <f>SUM(D123)*'Data Links'!$B$15</f>
        <v>54.308879999999995</v>
      </c>
      <c r="E124" s="66">
        <f>SUM(E123)*'Data Links'!$B$15</f>
        <v>54.308879999999995</v>
      </c>
      <c r="F124" s="66">
        <f>SUM(F123)*'Data Links'!$B$15</f>
        <v>54.308879999999995</v>
      </c>
      <c r="G124" s="66">
        <f>SUM(G123)*'Data Links'!$B$15</f>
        <v>54.308879999999995</v>
      </c>
      <c r="H124" s="66">
        <f>SUM(H123)*'Data Links'!$B$15</f>
        <v>54.308879999999995</v>
      </c>
      <c r="I124" s="66">
        <f>SUM(I123)*'Data Links'!$B$15</f>
        <v>54.308879999999995</v>
      </c>
      <c r="J124" s="66">
        <f>SUM(J123)*'Data Links'!$B$15</f>
        <v>54.308879999999995</v>
      </c>
      <c r="K124" s="66">
        <f>SUM(K123)*'Data Links'!$B$15</f>
        <v>54.308879999999995</v>
      </c>
      <c r="L124" s="66">
        <f>SUM(L123)*'Data Links'!$B$15</f>
        <v>54.308879999999995</v>
      </c>
      <c r="M124" s="66">
        <f>SUM(M123)*'Data Links'!$B$15</f>
        <v>54.308879999999995</v>
      </c>
      <c r="N124" s="66">
        <f>SUM(N123)*'Data Links'!$B$15</f>
        <v>54.308879999999995</v>
      </c>
    </row>
    <row r="125" spans="1:14" x14ac:dyDescent="0.2">
      <c r="A125" s="59" t="s">
        <v>189</v>
      </c>
      <c r="B125" s="74">
        <v>15.3</v>
      </c>
      <c r="C125" s="66">
        <f>SUM(C123*'Data Links'!$B$13)</f>
        <v>4.2595200000000002</v>
      </c>
      <c r="D125" s="66">
        <f>SUM(D123*'Data Links'!$B$13)</f>
        <v>4.2595200000000002</v>
      </c>
      <c r="E125" s="66">
        <f>SUM(E123*'Data Links'!$B$13)</f>
        <v>4.2595200000000002</v>
      </c>
      <c r="F125" s="66">
        <f>SUM(F123*'Data Links'!$B$13)</f>
        <v>4.2595200000000002</v>
      </c>
      <c r="G125" s="66">
        <f>SUM(G123*'Data Links'!$B$13)</f>
        <v>4.2595200000000002</v>
      </c>
      <c r="H125" s="66">
        <f>SUM(H123*'Data Links'!$B$13)</f>
        <v>4.2595200000000002</v>
      </c>
      <c r="I125" s="66">
        <f>SUM(I123*'Data Links'!$B$13)</f>
        <v>4.2595200000000002</v>
      </c>
      <c r="J125" s="66">
        <f>SUM(J123*'Data Links'!$B$13)</f>
        <v>4.2595200000000002</v>
      </c>
      <c r="K125" s="66">
        <f>SUM(K123*'Data Links'!$B$13)</f>
        <v>4.2595200000000002</v>
      </c>
      <c r="L125" s="66">
        <f>SUM(L123*'Data Links'!$B$13)</f>
        <v>4.2595200000000002</v>
      </c>
      <c r="M125" s="66">
        <f>SUM(M123*'Data Links'!$B$13)</f>
        <v>4.2595200000000002</v>
      </c>
      <c r="N125" s="66">
        <f>SUM(N123*'Data Links'!$B$13)</f>
        <v>4.2595200000000002</v>
      </c>
    </row>
    <row r="126" spans="1:14" x14ac:dyDescent="0.2">
      <c r="A126" s="59" t="s">
        <v>190</v>
      </c>
      <c r="C126" s="66">
        <f>SUM(C122*'Data Links'!$B$8)</f>
        <v>3.2510159999999999</v>
      </c>
      <c r="D126" s="66">
        <f>SUM(D122*'Data Links'!$B$8)</f>
        <v>3.2510159999999999</v>
      </c>
      <c r="E126" s="66">
        <f>SUM(E122*'Data Links'!$B$8)</f>
        <v>3.2510159999999999</v>
      </c>
      <c r="F126" s="66">
        <f>SUM(F122*'Data Links'!$B$8)</f>
        <v>3.2510159999999999</v>
      </c>
      <c r="G126" s="66">
        <f>SUM(G122*'Data Links'!$B$8)</f>
        <v>3.2510159999999999</v>
      </c>
      <c r="H126" s="66">
        <f>SUM(H122*'Data Links'!$B$8)</f>
        <v>3.2510159999999999</v>
      </c>
      <c r="I126" s="66">
        <f>SUM(I122*'Data Links'!$B$8)</f>
        <v>3.2510159999999999</v>
      </c>
      <c r="J126" s="66">
        <f>SUM(J122*'Data Links'!$B$8)</f>
        <v>3.2510159999999999</v>
      </c>
      <c r="K126" s="66">
        <f>SUM(K122*'Data Links'!$B$8)</f>
        <v>3.2510159999999999</v>
      </c>
      <c r="L126" s="66">
        <f>SUM(L122*'Data Links'!$B$8)</f>
        <v>3.2510159999999999</v>
      </c>
      <c r="M126" s="66">
        <f>SUM(M122*'Data Links'!$B$8)</f>
        <v>3.2510159999999999</v>
      </c>
      <c r="N126" s="66">
        <f>SUM(N122*'Data Links'!$B$8)</f>
        <v>3.2510159999999999</v>
      </c>
    </row>
    <row r="127" spans="1:14" x14ac:dyDescent="0.2">
      <c r="A127" s="59" t="s">
        <v>191</v>
      </c>
      <c r="C127" s="66">
        <f>SUM('All Employees'!$P$63)*0.32</f>
        <v>0</v>
      </c>
      <c r="D127" s="66">
        <f>SUM('All Employees'!$P$63)*0.32</f>
        <v>0</v>
      </c>
      <c r="E127" s="66">
        <f>SUM('All Employees'!$P$63)*0.32</f>
        <v>0</v>
      </c>
      <c r="F127" s="66">
        <f>SUM('All Employees'!$P$63)*0.32</f>
        <v>0</v>
      </c>
      <c r="G127" s="66">
        <f>SUM('All Employees'!$P$63)*0.32</f>
        <v>0</v>
      </c>
      <c r="H127" s="66">
        <f>SUM('All Employees'!$P$63)*0.32</f>
        <v>0</v>
      </c>
      <c r="I127" s="66">
        <f>SUM('All Employees'!$P$63)*0.32</f>
        <v>0</v>
      </c>
      <c r="J127" s="66">
        <f>SUM('All Employees'!$P$63)*0.32</f>
        <v>0</v>
      </c>
      <c r="K127" s="66">
        <f>SUM('All Employees'!$P$63)*0.32</f>
        <v>0</v>
      </c>
      <c r="L127" s="66">
        <f>SUM('All Employees'!$P$63)*0.32</f>
        <v>0</v>
      </c>
      <c r="M127" s="66">
        <f>SUM('All Employees'!$P$63)*0.32</f>
        <v>0</v>
      </c>
      <c r="N127" s="66">
        <f>SUM('All Employees'!$P$63)*0.32</f>
        <v>0</v>
      </c>
    </row>
    <row r="128" spans="1:14" x14ac:dyDescent="0.2">
      <c r="A128" s="59" t="s">
        <v>192</v>
      </c>
      <c r="C128" s="66">
        <f>SUM(C123*'Data Links'!$B$17)</f>
        <v>21.297599999999999</v>
      </c>
      <c r="D128" s="66">
        <f>SUM(D123*'Data Links'!$B$17)</f>
        <v>21.297599999999999</v>
      </c>
      <c r="E128" s="66">
        <f>SUM(E123*'Data Links'!$B$17)</f>
        <v>21.297599999999999</v>
      </c>
      <c r="F128" s="66">
        <f>SUM(F123*'Data Links'!$B$17)</f>
        <v>21.297599999999999</v>
      </c>
      <c r="G128" s="66">
        <f>SUM(G123*'Data Links'!$B$17)</f>
        <v>21.297599999999999</v>
      </c>
      <c r="H128" s="66">
        <f>SUM(H123*'Data Links'!$B$17)</f>
        <v>21.297599999999999</v>
      </c>
      <c r="I128" s="66">
        <f>SUM(I123*'Data Links'!$B$17)</f>
        <v>21.297599999999999</v>
      </c>
      <c r="J128" s="66">
        <f>SUM(J123*'Data Links'!$B$17)</f>
        <v>21.297599999999999</v>
      </c>
      <c r="K128" s="66">
        <f>SUM(K123*'Data Links'!$B$17)</f>
        <v>21.297599999999999</v>
      </c>
      <c r="L128" s="66">
        <f>SUM(L123*'Data Links'!$B$17)</f>
        <v>21.297599999999999</v>
      </c>
      <c r="M128" s="66">
        <f>SUM(M123*'Data Links'!$B$17)</f>
        <v>21.297599999999999</v>
      </c>
      <c r="N128" s="66">
        <f>SUM(N123*'Data Links'!$B$17)</f>
        <v>21.297599999999999</v>
      </c>
    </row>
    <row r="129" spans="1:14" s="58" customFormat="1" x14ac:dyDescent="0.2">
      <c r="A129" s="58" t="s">
        <v>144</v>
      </c>
      <c r="B129" s="60"/>
      <c r="C129" s="60">
        <f t="shared" ref="C129:N129" si="27">SUM(C123:C128)</f>
        <v>793.03701599999999</v>
      </c>
      <c r="D129" s="60">
        <f t="shared" si="27"/>
        <v>793.03701599999999</v>
      </c>
      <c r="E129" s="60">
        <f t="shared" si="27"/>
        <v>793.03701599999999</v>
      </c>
      <c r="F129" s="60">
        <f t="shared" si="27"/>
        <v>793.03701599999999</v>
      </c>
      <c r="G129" s="60">
        <f t="shared" si="27"/>
        <v>793.03701599999999</v>
      </c>
      <c r="H129" s="60">
        <f t="shared" si="27"/>
        <v>793.03701599999999</v>
      </c>
      <c r="I129" s="60">
        <f t="shared" si="27"/>
        <v>793.03701599999999</v>
      </c>
      <c r="J129" s="60">
        <f t="shared" si="27"/>
        <v>793.03701599999999</v>
      </c>
      <c r="K129" s="60">
        <f t="shared" si="27"/>
        <v>793.03701599999999</v>
      </c>
      <c r="L129" s="60">
        <f t="shared" si="27"/>
        <v>793.03701599999999</v>
      </c>
      <c r="M129" s="60">
        <f t="shared" si="27"/>
        <v>793.03701599999999</v>
      </c>
      <c r="N129" s="60">
        <f t="shared" si="27"/>
        <v>793.03701599999999</v>
      </c>
    </row>
    <row r="130" spans="1:14" x14ac:dyDescent="0.2">
      <c r="C130" s="60"/>
      <c r="D130" s="66"/>
      <c r="E130" s="66"/>
      <c r="F130" s="66"/>
      <c r="G130" s="66"/>
      <c r="H130" s="66"/>
      <c r="I130" s="66"/>
      <c r="J130" s="66"/>
      <c r="K130" s="66"/>
      <c r="L130" s="66"/>
      <c r="M130" s="66"/>
      <c r="N130" s="66"/>
    </row>
    <row r="131" spans="1:14" x14ac:dyDescent="0.2">
      <c r="C131" s="89" t="str">
        <f>C118</f>
        <v>January</v>
      </c>
      <c r="D131" s="89" t="str">
        <f t="shared" ref="D131:N131" si="28">D118</f>
        <v>February</v>
      </c>
      <c r="E131" s="89" t="str">
        <f t="shared" si="28"/>
        <v>March</v>
      </c>
      <c r="F131" s="89" t="str">
        <f t="shared" si="28"/>
        <v>April</v>
      </c>
      <c r="G131" s="89" t="str">
        <f t="shared" si="28"/>
        <v>May</v>
      </c>
      <c r="H131" s="89" t="str">
        <f t="shared" si="28"/>
        <v>June</v>
      </c>
      <c r="I131" s="89" t="str">
        <f t="shared" si="28"/>
        <v>July</v>
      </c>
      <c r="J131" s="89" t="str">
        <f t="shared" si="28"/>
        <v>August</v>
      </c>
      <c r="K131" s="89" t="str">
        <f t="shared" si="28"/>
        <v>September</v>
      </c>
      <c r="L131" s="89" t="str">
        <f t="shared" si="28"/>
        <v>October</v>
      </c>
      <c r="M131" s="89" t="str">
        <f t="shared" si="28"/>
        <v>November</v>
      </c>
      <c r="N131" s="89" t="str">
        <f t="shared" si="28"/>
        <v>December</v>
      </c>
    </row>
    <row r="132" spans="1:14" x14ac:dyDescent="0.2">
      <c r="C132" s="72">
        <v>31</v>
      </c>
      <c r="D132" s="72">
        <v>31</v>
      </c>
      <c r="E132" s="72">
        <v>30</v>
      </c>
      <c r="F132" s="72">
        <v>31</v>
      </c>
      <c r="G132" s="72">
        <v>30</v>
      </c>
      <c r="H132" s="72">
        <v>31</v>
      </c>
      <c r="I132" s="72">
        <v>31</v>
      </c>
      <c r="J132" s="72">
        <v>28</v>
      </c>
      <c r="K132" s="72">
        <v>31</v>
      </c>
      <c r="L132" s="72">
        <v>30</v>
      </c>
      <c r="M132" s="72">
        <v>31</v>
      </c>
      <c r="N132" s="71">
        <v>30</v>
      </c>
    </row>
    <row r="133" spans="1:14" x14ac:dyDescent="0.2">
      <c r="B133" s="89" t="s">
        <v>185</v>
      </c>
      <c r="C133" s="53">
        <f>C120</f>
        <v>1</v>
      </c>
      <c r="D133" s="78">
        <f t="shared" ref="D133:N133" si="29">D120</f>
        <v>0</v>
      </c>
      <c r="E133" s="78">
        <f t="shared" si="29"/>
        <v>1</v>
      </c>
      <c r="F133" s="78">
        <f t="shared" si="29"/>
        <v>0</v>
      </c>
      <c r="G133" s="78">
        <f t="shared" si="29"/>
        <v>2</v>
      </c>
      <c r="H133" s="78">
        <f t="shared" si="29"/>
        <v>0</v>
      </c>
      <c r="I133" s="78">
        <f t="shared" si="29"/>
        <v>2</v>
      </c>
      <c r="J133" s="78">
        <f t="shared" si="29"/>
        <v>1</v>
      </c>
      <c r="K133" s="78">
        <f t="shared" si="29"/>
        <v>0</v>
      </c>
      <c r="L133" s="78">
        <f t="shared" si="29"/>
        <v>0</v>
      </c>
      <c r="M133" s="78">
        <f t="shared" si="29"/>
        <v>1</v>
      </c>
      <c r="N133" s="78">
        <f t="shared" si="29"/>
        <v>0</v>
      </c>
    </row>
    <row r="134" spans="1:14" x14ac:dyDescent="0.2">
      <c r="B134" s="89" t="s">
        <v>44</v>
      </c>
      <c r="C134" s="49">
        <v>0.55000000000000004</v>
      </c>
      <c r="D134" s="49">
        <v>0.55000000000000004</v>
      </c>
      <c r="E134" s="49">
        <v>0.55000000000000004</v>
      </c>
      <c r="F134" s="49">
        <v>0.55000000000000004</v>
      </c>
      <c r="G134" s="49">
        <v>0.55000000000000004</v>
      </c>
      <c r="H134" s="49">
        <v>0.55000000000000004</v>
      </c>
      <c r="I134" s="49">
        <v>0.55000000000000004</v>
      </c>
      <c r="J134" s="49">
        <v>0.55000000000000004</v>
      </c>
      <c r="K134" s="49">
        <v>0.55000000000000004</v>
      </c>
      <c r="L134" s="49">
        <v>0.55000000000000004</v>
      </c>
      <c r="M134" s="49">
        <v>0.55000000000000004</v>
      </c>
      <c r="N134" s="49">
        <v>0.55000000000000004</v>
      </c>
    </row>
    <row r="135" spans="1:14" x14ac:dyDescent="0.2">
      <c r="B135" s="89" t="s">
        <v>186</v>
      </c>
      <c r="C135" s="53">
        <f>SUM(174*C134)</f>
        <v>95.7</v>
      </c>
      <c r="D135" s="53">
        <f t="shared" ref="D135:N135" si="30">SUM(174*D134)</f>
        <v>95.7</v>
      </c>
      <c r="E135" s="53">
        <f t="shared" si="30"/>
        <v>95.7</v>
      </c>
      <c r="F135" s="53">
        <f t="shared" si="30"/>
        <v>95.7</v>
      </c>
      <c r="G135" s="53">
        <f t="shared" si="30"/>
        <v>95.7</v>
      </c>
      <c r="H135" s="53">
        <f t="shared" si="30"/>
        <v>95.7</v>
      </c>
      <c r="I135" s="53">
        <f t="shared" si="30"/>
        <v>95.7</v>
      </c>
      <c r="J135" s="53">
        <f t="shared" si="30"/>
        <v>95.7</v>
      </c>
      <c r="K135" s="53">
        <f t="shared" si="30"/>
        <v>95.7</v>
      </c>
      <c r="L135" s="53">
        <f t="shared" si="30"/>
        <v>95.7</v>
      </c>
      <c r="M135" s="53">
        <f t="shared" si="30"/>
        <v>95.7</v>
      </c>
      <c r="N135" s="53">
        <f t="shared" si="30"/>
        <v>95.7</v>
      </c>
    </row>
    <row r="136" spans="1:14" x14ac:dyDescent="0.2">
      <c r="A136" s="59" t="s">
        <v>340</v>
      </c>
      <c r="B136" s="78" t="s">
        <v>341</v>
      </c>
      <c r="C136" s="66">
        <f>SUM(C135*$B$137)</f>
        <v>2228.8530000000001</v>
      </c>
      <c r="D136" s="66">
        <f t="shared" ref="D136:N136" si="31">SUM(D135*$B$137)</f>
        <v>2228.8530000000001</v>
      </c>
      <c r="E136" s="66">
        <f t="shared" si="31"/>
        <v>2228.8530000000001</v>
      </c>
      <c r="F136" s="66">
        <f t="shared" si="31"/>
        <v>2228.8530000000001</v>
      </c>
      <c r="G136" s="66">
        <f t="shared" si="31"/>
        <v>2228.8530000000001</v>
      </c>
      <c r="H136" s="66">
        <f t="shared" si="31"/>
        <v>2228.8530000000001</v>
      </c>
      <c r="I136" s="66">
        <f t="shared" si="31"/>
        <v>2228.8530000000001</v>
      </c>
      <c r="J136" s="66">
        <f t="shared" si="31"/>
        <v>2228.8530000000001</v>
      </c>
      <c r="K136" s="66">
        <f t="shared" si="31"/>
        <v>2228.8530000000001</v>
      </c>
      <c r="L136" s="66">
        <f t="shared" si="31"/>
        <v>2228.8530000000001</v>
      </c>
      <c r="M136" s="66">
        <f t="shared" si="31"/>
        <v>2228.8530000000001</v>
      </c>
      <c r="N136" s="66">
        <f t="shared" si="31"/>
        <v>2228.8530000000001</v>
      </c>
    </row>
    <row r="137" spans="1:14" x14ac:dyDescent="0.2">
      <c r="A137" s="59" t="s">
        <v>188</v>
      </c>
      <c r="B137" s="74">
        <v>23.29</v>
      </c>
      <c r="C137" s="66">
        <f>SUM(C136)*'Data Links'!$B$15</f>
        <v>170.50725449999999</v>
      </c>
      <c r="D137" s="66">
        <f>SUM(D136)*'Data Links'!$B$15</f>
        <v>170.50725449999999</v>
      </c>
      <c r="E137" s="66">
        <f>SUM(E136)*'Data Links'!$B$15</f>
        <v>170.50725449999999</v>
      </c>
      <c r="F137" s="66">
        <f>SUM(F136)*'Data Links'!$B$15</f>
        <v>170.50725449999999</v>
      </c>
      <c r="G137" s="66">
        <f>SUM(G136)*'Data Links'!$B$15</f>
        <v>170.50725449999999</v>
      </c>
      <c r="H137" s="66">
        <f>SUM(H136)*'Data Links'!$B$15</f>
        <v>170.50725449999999</v>
      </c>
      <c r="I137" s="66">
        <f>SUM(I136)*'Data Links'!$B$15</f>
        <v>170.50725449999999</v>
      </c>
      <c r="J137" s="66">
        <f>SUM(J136)*'Data Links'!$B$15</f>
        <v>170.50725449999999</v>
      </c>
      <c r="K137" s="66">
        <f>SUM(K136)*'Data Links'!$B$15</f>
        <v>170.50725449999999</v>
      </c>
      <c r="L137" s="66">
        <f>SUM(L136)*'Data Links'!$B$15</f>
        <v>170.50725449999999</v>
      </c>
      <c r="M137" s="66">
        <f>SUM(M136)*'Data Links'!$B$15</f>
        <v>170.50725449999999</v>
      </c>
      <c r="N137" s="66">
        <f>SUM(N136)*'Data Links'!$B$15</f>
        <v>170.50725449999999</v>
      </c>
    </row>
    <row r="138" spans="1:14" x14ac:dyDescent="0.2">
      <c r="A138" s="59" t="s">
        <v>189</v>
      </c>
      <c r="C138" s="66">
        <f>SUM(C136*'Data Links'!$B$13)</f>
        <v>13.373118</v>
      </c>
      <c r="D138" s="66">
        <f>SUM(D136*'Data Links'!$B$13)</f>
        <v>13.373118</v>
      </c>
      <c r="E138" s="66">
        <f>SUM(E136*'Data Links'!$B$13)</f>
        <v>13.373118</v>
      </c>
      <c r="F138" s="66">
        <f>SUM(F136*'Data Links'!$B$13)</f>
        <v>13.373118</v>
      </c>
      <c r="G138" s="66">
        <f>SUM(G136*'Data Links'!$B$13)</f>
        <v>13.373118</v>
      </c>
      <c r="H138" s="66">
        <f>SUM(H136*'Data Links'!$B$13)</f>
        <v>13.373118</v>
      </c>
      <c r="I138" s="66">
        <f>SUM(I136*'Data Links'!$B$13)</f>
        <v>13.373118</v>
      </c>
      <c r="J138" s="66">
        <f>SUM(J136*'Data Links'!$B$13)</f>
        <v>13.373118</v>
      </c>
      <c r="K138" s="66">
        <f>SUM(K136*'Data Links'!$B$13)</f>
        <v>13.373118</v>
      </c>
      <c r="L138" s="66">
        <f>SUM(L136*'Data Links'!$B$13)</f>
        <v>13.373118</v>
      </c>
      <c r="M138" s="66">
        <f>SUM(M136*'Data Links'!$B$13)</f>
        <v>13.373118</v>
      </c>
      <c r="N138" s="66">
        <f>SUM(N136*'Data Links'!$B$13)</f>
        <v>13.373118</v>
      </c>
    </row>
    <row r="139" spans="1:14" x14ac:dyDescent="0.2">
      <c r="A139" s="59" t="s">
        <v>190</v>
      </c>
      <c r="C139" s="66">
        <f>SUM(C135*'Data Links'!$B$8)</f>
        <v>7.4502450000000007</v>
      </c>
      <c r="D139" s="66">
        <f>SUM(D135*'Data Links'!$B$8)</f>
        <v>7.4502450000000007</v>
      </c>
      <c r="E139" s="66">
        <f>SUM(E135*'Data Links'!$B$8)</f>
        <v>7.4502450000000007</v>
      </c>
      <c r="F139" s="66">
        <f>SUM(F135*'Data Links'!$B$8)</f>
        <v>7.4502450000000007</v>
      </c>
      <c r="G139" s="66">
        <f>SUM(G135*'Data Links'!$B$8)</f>
        <v>7.4502450000000007</v>
      </c>
      <c r="H139" s="66">
        <f>SUM(H135*'Data Links'!$B$8)</f>
        <v>7.4502450000000007</v>
      </c>
      <c r="I139" s="66">
        <f>SUM(I135*'Data Links'!$B$8)</f>
        <v>7.4502450000000007</v>
      </c>
      <c r="J139" s="66">
        <f>SUM(J135*'Data Links'!$B$8)</f>
        <v>7.4502450000000007</v>
      </c>
      <c r="K139" s="66">
        <f>SUM(K135*'Data Links'!$B$8)</f>
        <v>7.4502450000000007</v>
      </c>
      <c r="L139" s="66">
        <f>SUM(L135*'Data Links'!$B$8)</f>
        <v>7.4502450000000007</v>
      </c>
      <c r="M139" s="66">
        <f>SUM(M135*'Data Links'!$B$8)</f>
        <v>7.4502450000000007</v>
      </c>
      <c r="N139" s="66">
        <f>SUM(N135*'Data Links'!$B$8)</f>
        <v>7.4502450000000007</v>
      </c>
    </row>
    <row r="140" spans="1:14" x14ac:dyDescent="0.2">
      <c r="A140" s="59" t="s">
        <v>191</v>
      </c>
      <c r="C140" s="66">
        <f>SUM('All Employees'!$P$61)*C134</f>
        <v>218.13429000000002</v>
      </c>
      <c r="D140" s="66">
        <f>SUM('All Employees'!$P$61)*D134</f>
        <v>218.13429000000002</v>
      </c>
      <c r="E140" s="66">
        <f>SUM('All Employees'!$P$61)*E134</f>
        <v>218.13429000000002</v>
      </c>
      <c r="F140" s="66">
        <f>SUM('All Employees'!$P$61)*F134</f>
        <v>218.13429000000002</v>
      </c>
      <c r="G140" s="66">
        <f>SUM('All Employees'!$P$61)*G134</f>
        <v>218.13429000000002</v>
      </c>
      <c r="H140" s="66">
        <f>SUM('All Employees'!$P$61)*H134</f>
        <v>218.13429000000002</v>
      </c>
      <c r="I140" s="66">
        <f>SUM('All Employees'!$P$61)*I134</f>
        <v>218.13429000000002</v>
      </c>
      <c r="J140" s="66">
        <f>SUM('All Employees'!$P$61)*J134</f>
        <v>218.13429000000002</v>
      </c>
      <c r="K140" s="66">
        <f>SUM('All Employees'!$P$61)*K134</f>
        <v>218.13429000000002</v>
      </c>
      <c r="L140" s="66">
        <f>SUM('All Employees'!$P$61)*L134</f>
        <v>218.13429000000002</v>
      </c>
      <c r="M140" s="66">
        <f>SUM('All Employees'!$P$61)*M134</f>
        <v>218.13429000000002</v>
      </c>
      <c r="N140" s="66">
        <f>SUM('All Employees'!$P$61)*N134</f>
        <v>218.13429000000002</v>
      </c>
    </row>
    <row r="141" spans="1:14" x14ac:dyDescent="0.2">
      <c r="A141" s="59" t="s">
        <v>192</v>
      </c>
      <c r="C141" s="66">
        <f>SUM(C136*'Data Links'!$B$17)</f>
        <v>66.865589999999997</v>
      </c>
      <c r="D141" s="66">
        <f>SUM(D136*'Data Links'!$B$17)</f>
        <v>66.865589999999997</v>
      </c>
      <c r="E141" s="66">
        <f>SUM(E136*'Data Links'!$B$17)</f>
        <v>66.865589999999997</v>
      </c>
      <c r="F141" s="66">
        <f>SUM(F136*'Data Links'!$B$17)</f>
        <v>66.865589999999997</v>
      </c>
      <c r="G141" s="66">
        <f>SUM(G136*'Data Links'!$B$17)</f>
        <v>66.865589999999997</v>
      </c>
      <c r="H141" s="66">
        <f>SUM(H136*'Data Links'!$B$17)</f>
        <v>66.865589999999997</v>
      </c>
      <c r="I141" s="66">
        <f>SUM(I136*'Data Links'!$B$17)</f>
        <v>66.865589999999997</v>
      </c>
      <c r="J141" s="66">
        <f>SUM(J136*'Data Links'!$B$17)</f>
        <v>66.865589999999997</v>
      </c>
      <c r="K141" s="66">
        <f>SUM(K136*'Data Links'!$B$17)</f>
        <v>66.865589999999997</v>
      </c>
      <c r="L141" s="66">
        <f>SUM(L136*'Data Links'!$B$17)</f>
        <v>66.865589999999997</v>
      </c>
      <c r="M141" s="66">
        <f>SUM(M136*'Data Links'!$B$17)</f>
        <v>66.865589999999997</v>
      </c>
      <c r="N141" s="66">
        <f>SUM(N136*'Data Links'!$B$17)</f>
        <v>66.865589999999997</v>
      </c>
    </row>
    <row r="142" spans="1:14" s="58" customFormat="1" x14ac:dyDescent="0.2">
      <c r="A142" s="58" t="s">
        <v>144</v>
      </c>
      <c r="B142" s="60"/>
      <c r="C142" s="60">
        <f t="shared" ref="C142:N142" si="32">SUM(C136:C141)</f>
        <v>2705.1834974999997</v>
      </c>
      <c r="D142" s="60">
        <f t="shared" si="32"/>
        <v>2705.1834974999997</v>
      </c>
      <c r="E142" s="60">
        <f t="shared" si="32"/>
        <v>2705.1834974999997</v>
      </c>
      <c r="F142" s="60">
        <f t="shared" si="32"/>
        <v>2705.1834974999997</v>
      </c>
      <c r="G142" s="60">
        <f t="shared" si="32"/>
        <v>2705.1834974999997</v>
      </c>
      <c r="H142" s="60">
        <f t="shared" si="32"/>
        <v>2705.1834974999997</v>
      </c>
      <c r="I142" s="60">
        <f t="shared" si="32"/>
        <v>2705.1834974999997</v>
      </c>
      <c r="J142" s="60">
        <f t="shared" si="32"/>
        <v>2705.1834974999997</v>
      </c>
      <c r="K142" s="60">
        <f t="shared" si="32"/>
        <v>2705.1834974999997</v>
      </c>
      <c r="L142" s="60">
        <f t="shared" si="32"/>
        <v>2705.1834974999997</v>
      </c>
      <c r="M142" s="60">
        <f t="shared" si="32"/>
        <v>2705.1834974999997</v>
      </c>
      <c r="N142" s="60">
        <f t="shared" si="32"/>
        <v>2705.1834974999997</v>
      </c>
    </row>
    <row r="143" spans="1:14" x14ac:dyDescent="0.2">
      <c r="C143" s="60"/>
      <c r="D143" s="66"/>
      <c r="E143" s="66"/>
      <c r="F143" s="66"/>
      <c r="G143" s="66"/>
      <c r="H143" s="66"/>
      <c r="I143" s="66"/>
      <c r="J143" s="66"/>
      <c r="K143" s="66"/>
      <c r="L143" s="66"/>
      <c r="M143" s="66"/>
      <c r="N143" s="66"/>
    </row>
    <row r="144" spans="1:14" x14ac:dyDescent="0.2">
      <c r="C144" s="89" t="str">
        <f>C131</f>
        <v>January</v>
      </c>
      <c r="D144" s="89" t="str">
        <f t="shared" ref="D144:N144" si="33">D131</f>
        <v>February</v>
      </c>
      <c r="E144" s="89" t="str">
        <f t="shared" si="33"/>
        <v>March</v>
      </c>
      <c r="F144" s="89" t="str">
        <f t="shared" si="33"/>
        <v>April</v>
      </c>
      <c r="G144" s="89" t="str">
        <f t="shared" si="33"/>
        <v>May</v>
      </c>
      <c r="H144" s="89" t="str">
        <f t="shared" si="33"/>
        <v>June</v>
      </c>
      <c r="I144" s="89" t="str">
        <f t="shared" si="33"/>
        <v>July</v>
      </c>
      <c r="J144" s="89" t="str">
        <f t="shared" si="33"/>
        <v>August</v>
      </c>
      <c r="K144" s="89" t="str">
        <f t="shared" si="33"/>
        <v>September</v>
      </c>
      <c r="L144" s="89" t="str">
        <f t="shared" si="33"/>
        <v>October</v>
      </c>
      <c r="M144" s="89" t="str">
        <f t="shared" si="33"/>
        <v>November</v>
      </c>
      <c r="N144" s="89" t="str">
        <f t="shared" si="33"/>
        <v>December</v>
      </c>
    </row>
    <row r="145" spans="1:14" x14ac:dyDescent="0.2">
      <c r="C145" s="72">
        <v>31</v>
      </c>
      <c r="D145" s="72">
        <v>31</v>
      </c>
      <c r="E145" s="72">
        <v>30</v>
      </c>
      <c r="F145" s="72">
        <v>31</v>
      </c>
      <c r="G145" s="72">
        <v>30</v>
      </c>
      <c r="H145" s="72">
        <v>31</v>
      </c>
      <c r="I145" s="72">
        <v>31</v>
      </c>
      <c r="J145" s="72">
        <v>28</v>
      </c>
      <c r="K145" s="72">
        <v>31</v>
      </c>
      <c r="L145" s="72">
        <v>30</v>
      </c>
      <c r="M145" s="72">
        <v>31</v>
      </c>
      <c r="N145" s="71">
        <v>30</v>
      </c>
    </row>
    <row r="146" spans="1:14" x14ac:dyDescent="0.2">
      <c r="B146" s="89" t="s">
        <v>185</v>
      </c>
      <c r="C146" s="78">
        <f t="shared" ref="C146:N146" si="34">C133</f>
        <v>1</v>
      </c>
      <c r="D146" s="78">
        <f t="shared" si="34"/>
        <v>0</v>
      </c>
      <c r="E146" s="78">
        <f t="shared" si="34"/>
        <v>1</v>
      </c>
      <c r="F146" s="78">
        <f t="shared" si="34"/>
        <v>0</v>
      </c>
      <c r="G146" s="78">
        <f t="shared" si="34"/>
        <v>2</v>
      </c>
      <c r="H146" s="78">
        <f t="shared" si="34"/>
        <v>0</v>
      </c>
      <c r="I146" s="78">
        <f t="shared" si="34"/>
        <v>2</v>
      </c>
      <c r="J146" s="78">
        <f t="shared" si="34"/>
        <v>1</v>
      </c>
      <c r="K146" s="78">
        <f t="shared" si="34"/>
        <v>0</v>
      </c>
      <c r="L146" s="78">
        <f t="shared" si="34"/>
        <v>0</v>
      </c>
      <c r="M146" s="78">
        <f t="shared" si="34"/>
        <v>1</v>
      </c>
      <c r="N146" s="78">
        <f t="shared" si="34"/>
        <v>0</v>
      </c>
    </row>
    <row r="147" spans="1:14" x14ac:dyDescent="0.2">
      <c r="B147" s="89" t="s">
        <v>44</v>
      </c>
      <c r="C147" s="49">
        <v>0.55000000000000004</v>
      </c>
      <c r="D147" s="49">
        <v>0.55000000000000004</v>
      </c>
      <c r="E147" s="49">
        <v>0.55000000000000004</v>
      </c>
      <c r="F147" s="49">
        <v>0.55000000000000004</v>
      </c>
      <c r="G147" s="49">
        <v>0.55000000000000004</v>
      </c>
      <c r="H147" s="49">
        <v>0.55000000000000004</v>
      </c>
      <c r="I147" s="49">
        <v>0.55000000000000004</v>
      </c>
      <c r="J147" s="49">
        <v>0.55000000000000004</v>
      </c>
      <c r="K147" s="49">
        <v>0.55000000000000004</v>
      </c>
      <c r="L147" s="49">
        <v>0.55000000000000004</v>
      </c>
      <c r="M147" s="49">
        <v>0.55000000000000004</v>
      </c>
      <c r="N147" s="49">
        <v>0.55000000000000004</v>
      </c>
    </row>
    <row r="148" spans="1:14" x14ac:dyDescent="0.2">
      <c r="B148" s="78" t="s">
        <v>186</v>
      </c>
      <c r="C148" s="260">
        <f>SUM(174*C147)</f>
        <v>95.7</v>
      </c>
      <c r="D148" s="260">
        <f t="shared" ref="D148:N148" si="35">SUM(174*D147)</f>
        <v>95.7</v>
      </c>
      <c r="E148" s="260">
        <f t="shared" si="35"/>
        <v>95.7</v>
      </c>
      <c r="F148" s="260">
        <f t="shared" si="35"/>
        <v>95.7</v>
      </c>
      <c r="G148" s="260">
        <f t="shared" si="35"/>
        <v>95.7</v>
      </c>
      <c r="H148" s="260">
        <f t="shared" si="35"/>
        <v>95.7</v>
      </c>
      <c r="I148" s="260">
        <f t="shared" si="35"/>
        <v>95.7</v>
      </c>
      <c r="J148" s="260">
        <f t="shared" si="35"/>
        <v>95.7</v>
      </c>
      <c r="K148" s="260">
        <f t="shared" si="35"/>
        <v>95.7</v>
      </c>
      <c r="L148" s="260">
        <f t="shared" si="35"/>
        <v>95.7</v>
      </c>
      <c r="M148" s="260">
        <f t="shared" si="35"/>
        <v>95.7</v>
      </c>
      <c r="N148" s="260">
        <f t="shared" si="35"/>
        <v>95.7</v>
      </c>
    </row>
    <row r="149" spans="1:14" x14ac:dyDescent="0.2">
      <c r="A149" s="59" t="s">
        <v>342</v>
      </c>
      <c r="B149" s="78" t="s">
        <v>274</v>
      </c>
      <c r="C149" s="66">
        <f>SUM(C148*$B$150)</f>
        <v>1914</v>
      </c>
      <c r="D149" s="66">
        <f t="shared" ref="D149:N149" si="36">SUM(D148*$B$150)</f>
        <v>1914</v>
      </c>
      <c r="E149" s="66">
        <f t="shared" si="36"/>
        <v>1914</v>
      </c>
      <c r="F149" s="66">
        <f t="shared" si="36"/>
        <v>1914</v>
      </c>
      <c r="G149" s="66">
        <f t="shared" si="36"/>
        <v>1914</v>
      </c>
      <c r="H149" s="66">
        <f t="shared" si="36"/>
        <v>1914</v>
      </c>
      <c r="I149" s="66">
        <f t="shared" si="36"/>
        <v>1914</v>
      </c>
      <c r="J149" s="66">
        <f t="shared" si="36"/>
        <v>1914</v>
      </c>
      <c r="K149" s="66">
        <f t="shared" si="36"/>
        <v>1914</v>
      </c>
      <c r="L149" s="66">
        <f t="shared" si="36"/>
        <v>1914</v>
      </c>
      <c r="M149" s="66">
        <f t="shared" si="36"/>
        <v>1914</v>
      </c>
      <c r="N149" s="66">
        <f t="shared" si="36"/>
        <v>1914</v>
      </c>
    </row>
    <row r="150" spans="1:14" x14ac:dyDescent="0.2">
      <c r="A150" s="59" t="s">
        <v>188</v>
      </c>
      <c r="B150" s="74">
        <v>20</v>
      </c>
      <c r="C150" s="66">
        <f>SUM(C149)*'Data Links'!$B$15</f>
        <v>146.42099999999999</v>
      </c>
      <c r="D150" s="66">
        <f>SUM(D149)*'Data Links'!$B$15</f>
        <v>146.42099999999999</v>
      </c>
      <c r="E150" s="66">
        <f>SUM(E149)*'Data Links'!$B$15</f>
        <v>146.42099999999999</v>
      </c>
      <c r="F150" s="66">
        <f>SUM(F149)*'Data Links'!$B$15</f>
        <v>146.42099999999999</v>
      </c>
      <c r="G150" s="66">
        <f>SUM(G149)*'Data Links'!$B$15</f>
        <v>146.42099999999999</v>
      </c>
      <c r="H150" s="66">
        <f>SUM(H149)*'Data Links'!$B$15</f>
        <v>146.42099999999999</v>
      </c>
      <c r="I150" s="66">
        <f>SUM(I149)*'Data Links'!$B$15</f>
        <v>146.42099999999999</v>
      </c>
      <c r="J150" s="66">
        <f>SUM(J149)*'Data Links'!$B$15</f>
        <v>146.42099999999999</v>
      </c>
      <c r="K150" s="66">
        <f>SUM(K149)*'Data Links'!$B$15</f>
        <v>146.42099999999999</v>
      </c>
      <c r="L150" s="66">
        <f>SUM(L149)*'Data Links'!$B$15</f>
        <v>146.42099999999999</v>
      </c>
      <c r="M150" s="66">
        <f>SUM(M149)*'Data Links'!$B$15</f>
        <v>146.42099999999999</v>
      </c>
      <c r="N150" s="66">
        <f>SUM(N149)*'Data Links'!$B$15</f>
        <v>146.42099999999999</v>
      </c>
    </row>
    <row r="151" spans="1:14" x14ac:dyDescent="0.2">
      <c r="A151" s="59" t="s">
        <v>189</v>
      </c>
      <c r="B151" s="74">
        <v>18.61</v>
      </c>
      <c r="C151" s="66">
        <f>SUM(C149*'Data Links'!$B$13)</f>
        <v>11.484</v>
      </c>
      <c r="D151" s="66">
        <f>SUM(D149*'Data Links'!$B$13)</f>
        <v>11.484</v>
      </c>
      <c r="E151" s="66">
        <f>SUM(E149*'Data Links'!$B$13)</f>
        <v>11.484</v>
      </c>
      <c r="F151" s="66">
        <f>SUM(F149*'Data Links'!$B$13)</f>
        <v>11.484</v>
      </c>
      <c r="G151" s="66">
        <f>SUM(G149*'Data Links'!$B$13)</f>
        <v>11.484</v>
      </c>
      <c r="H151" s="66">
        <f>SUM(H149*'Data Links'!$B$13)</f>
        <v>11.484</v>
      </c>
      <c r="I151" s="66">
        <f>SUM(I149*'Data Links'!$B$13)</f>
        <v>11.484</v>
      </c>
      <c r="J151" s="66">
        <f>SUM(J149*'Data Links'!$B$13)</f>
        <v>11.484</v>
      </c>
      <c r="K151" s="66">
        <f>SUM(K149*'Data Links'!$B$13)</f>
        <v>11.484</v>
      </c>
      <c r="L151" s="66">
        <f>SUM(L149*'Data Links'!$B$13)</f>
        <v>11.484</v>
      </c>
      <c r="M151" s="66">
        <f>SUM(M149*'Data Links'!$B$13)</f>
        <v>11.484</v>
      </c>
      <c r="N151" s="66">
        <f>SUM(N149*'Data Links'!$B$13)</f>
        <v>11.484</v>
      </c>
    </row>
    <row r="152" spans="1:14" x14ac:dyDescent="0.2">
      <c r="A152" s="59" t="s">
        <v>190</v>
      </c>
      <c r="C152" s="66">
        <f>SUM(C148*'Data Links'!$B$8)</f>
        <v>7.4502450000000007</v>
      </c>
      <c r="D152" s="66">
        <f>SUM(D148*'Data Links'!$B$8)</f>
        <v>7.4502450000000007</v>
      </c>
      <c r="E152" s="66">
        <f>SUM(E148*'Data Links'!$B$8)</f>
        <v>7.4502450000000007</v>
      </c>
      <c r="F152" s="66">
        <f>SUM(F148*'Data Links'!$B$8)</f>
        <v>7.4502450000000007</v>
      </c>
      <c r="G152" s="66">
        <f>SUM(G148*'Data Links'!$B$8)</f>
        <v>7.4502450000000007</v>
      </c>
      <c r="H152" s="66">
        <f>SUM(H148*'Data Links'!$B$8)</f>
        <v>7.4502450000000007</v>
      </c>
      <c r="I152" s="66">
        <f>SUM(I148*'Data Links'!$B$8)</f>
        <v>7.4502450000000007</v>
      </c>
      <c r="J152" s="66">
        <f>SUM(J148*'Data Links'!$B$8)</f>
        <v>7.4502450000000007</v>
      </c>
      <c r="K152" s="66">
        <f>SUM(K148*'Data Links'!$B$8)</f>
        <v>7.4502450000000007</v>
      </c>
      <c r="L152" s="66">
        <f>SUM(L148*'Data Links'!$B$8)</f>
        <v>7.4502450000000007</v>
      </c>
      <c r="M152" s="66">
        <f>SUM(M148*'Data Links'!$B$8)</f>
        <v>7.4502450000000007</v>
      </c>
      <c r="N152" s="66">
        <f>SUM(N148*'Data Links'!$B$8)</f>
        <v>7.4502450000000007</v>
      </c>
    </row>
    <row r="153" spans="1:14" x14ac:dyDescent="0.2">
      <c r="A153" s="59" t="s">
        <v>191</v>
      </c>
      <c r="C153" s="66">
        <f>SUM('All Employees'!$P$62)*C147</f>
        <v>218.13429000000002</v>
      </c>
      <c r="D153" s="66">
        <f>SUM('All Employees'!$P$62)*D147</f>
        <v>218.13429000000002</v>
      </c>
      <c r="E153" s="66">
        <f>SUM('All Employees'!$P$62)*E147</f>
        <v>218.13429000000002</v>
      </c>
      <c r="F153" s="66">
        <f>SUM('All Employees'!$P$62)*F147</f>
        <v>218.13429000000002</v>
      </c>
      <c r="G153" s="66">
        <f>SUM('All Employees'!$P$62)*G147</f>
        <v>218.13429000000002</v>
      </c>
      <c r="H153" s="66">
        <f>SUM('All Employees'!$P$62)*H147</f>
        <v>218.13429000000002</v>
      </c>
      <c r="I153" s="66">
        <f>SUM('All Employees'!$P$62)*I147</f>
        <v>218.13429000000002</v>
      </c>
      <c r="J153" s="66">
        <f>SUM('All Employees'!$P$62)*J147</f>
        <v>218.13429000000002</v>
      </c>
      <c r="K153" s="66">
        <f>SUM('All Employees'!$P$62)*K147</f>
        <v>218.13429000000002</v>
      </c>
      <c r="L153" s="66">
        <f>SUM('All Employees'!$P$62)*L147</f>
        <v>218.13429000000002</v>
      </c>
      <c r="M153" s="66">
        <f>SUM('All Employees'!$P$62)*M147</f>
        <v>218.13429000000002</v>
      </c>
      <c r="N153" s="66">
        <f>SUM('All Employees'!$P$62)*N147</f>
        <v>218.13429000000002</v>
      </c>
    </row>
    <row r="154" spans="1:14" x14ac:dyDescent="0.2">
      <c r="A154" s="59" t="s">
        <v>192</v>
      </c>
      <c r="C154" s="66">
        <f>SUM(C149*'Data Links'!$B$17)</f>
        <v>57.419999999999995</v>
      </c>
      <c r="D154" s="66">
        <f>SUM(D149*'Data Links'!$B$17)</f>
        <v>57.419999999999995</v>
      </c>
      <c r="E154" s="66">
        <f>SUM(E149*'Data Links'!$B$17)</f>
        <v>57.419999999999995</v>
      </c>
      <c r="F154" s="66">
        <f>SUM(F149*'Data Links'!$B$17)</f>
        <v>57.419999999999995</v>
      </c>
      <c r="G154" s="66">
        <f>SUM(G149*'Data Links'!$B$17)</f>
        <v>57.419999999999995</v>
      </c>
      <c r="H154" s="66">
        <f>SUM(H149*'Data Links'!$B$17)</f>
        <v>57.419999999999995</v>
      </c>
      <c r="I154" s="66">
        <f>SUM(I149*'Data Links'!$B$17)</f>
        <v>57.419999999999995</v>
      </c>
      <c r="J154" s="66">
        <f>SUM(J149*'Data Links'!$B$17)</f>
        <v>57.419999999999995</v>
      </c>
      <c r="K154" s="66">
        <f>SUM(K149*'Data Links'!$B$17)</f>
        <v>57.419999999999995</v>
      </c>
      <c r="L154" s="66">
        <f>SUM(L149*'Data Links'!$B$17)</f>
        <v>57.419999999999995</v>
      </c>
      <c r="M154" s="66">
        <f>SUM(M149*'Data Links'!$B$17)</f>
        <v>57.419999999999995</v>
      </c>
      <c r="N154" s="66">
        <f>SUM(N149*'Data Links'!$B$17)</f>
        <v>57.419999999999995</v>
      </c>
    </row>
    <row r="155" spans="1:14" s="58" customFormat="1" x14ac:dyDescent="0.2">
      <c r="A155" s="58" t="s">
        <v>144</v>
      </c>
      <c r="B155" s="60"/>
      <c r="C155" s="60">
        <f t="shared" ref="C155:N155" si="37">SUM(C149:C154)</f>
        <v>2354.9095349999998</v>
      </c>
      <c r="D155" s="60">
        <f t="shared" si="37"/>
        <v>2354.9095349999998</v>
      </c>
      <c r="E155" s="60">
        <f t="shared" si="37"/>
        <v>2354.9095349999998</v>
      </c>
      <c r="F155" s="60">
        <f t="shared" si="37"/>
        <v>2354.9095349999998</v>
      </c>
      <c r="G155" s="60">
        <f t="shared" si="37"/>
        <v>2354.9095349999998</v>
      </c>
      <c r="H155" s="60">
        <f t="shared" si="37"/>
        <v>2354.9095349999998</v>
      </c>
      <c r="I155" s="60">
        <f t="shared" si="37"/>
        <v>2354.9095349999998</v>
      </c>
      <c r="J155" s="60">
        <f t="shared" si="37"/>
        <v>2354.9095349999998</v>
      </c>
      <c r="K155" s="60">
        <f t="shared" si="37"/>
        <v>2354.9095349999998</v>
      </c>
      <c r="L155" s="60">
        <f t="shared" si="37"/>
        <v>2354.9095349999998</v>
      </c>
      <c r="M155" s="60">
        <f t="shared" si="37"/>
        <v>2354.9095349999998</v>
      </c>
      <c r="N155" s="60">
        <f t="shared" si="37"/>
        <v>2354.9095349999998</v>
      </c>
    </row>
    <row r="156" spans="1:14" x14ac:dyDescent="0.2">
      <c r="C156" s="60"/>
      <c r="D156" s="66"/>
      <c r="E156" s="66"/>
      <c r="F156" s="66"/>
      <c r="G156" s="66"/>
      <c r="H156" s="66"/>
      <c r="I156" s="66"/>
      <c r="J156" s="66"/>
      <c r="K156" s="66"/>
      <c r="L156" s="66"/>
      <c r="M156" s="66"/>
      <c r="N156" s="66"/>
    </row>
    <row r="157" spans="1:14" x14ac:dyDescent="0.2">
      <c r="C157" s="89" t="str">
        <f>C144</f>
        <v>January</v>
      </c>
      <c r="D157" s="89" t="str">
        <f t="shared" ref="D157:N157" si="38">D144</f>
        <v>February</v>
      </c>
      <c r="E157" s="89" t="str">
        <f t="shared" si="38"/>
        <v>March</v>
      </c>
      <c r="F157" s="89" t="str">
        <f t="shared" si="38"/>
        <v>April</v>
      </c>
      <c r="G157" s="89" t="str">
        <f t="shared" si="38"/>
        <v>May</v>
      </c>
      <c r="H157" s="89" t="str">
        <f t="shared" si="38"/>
        <v>June</v>
      </c>
      <c r="I157" s="89" t="str">
        <f t="shared" si="38"/>
        <v>July</v>
      </c>
      <c r="J157" s="89" t="str">
        <f t="shared" si="38"/>
        <v>August</v>
      </c>
      <c r="K157" s="89" t="str">
        <f t="shared" si="38"/>
        <v>September</v>
      </c>
      <c r="L157" s="89" t="str">
        <f t="shared" si="38"/>
        <v>October</v>
      </c>
      <c r="M157" s="89" t="str">
        <f t="shared" si="38"/>
        <v>November</v>
      </c>
      <c r="N157" s="89" t="str">
        <f t="shared" si="38"/>
        <v>December</v>
      </c>
    </row>
    <row r="158" spans="1:14" x14ac:dyDescent="0.2">
      <c r="C158" s="72">
        <v>31</v>
      </c>
      <c r="D158" s="72">
        <v>31</v>
      </c>
      <c r="E158" s="72">
        <v>30</v>
      </c>
      <c r="F158" s="72">
        <v>31</v>
      </c>
      <c r="G158" s="72">
        <v>30</v>
      </c>
      <c r="H158" s="72">
        <v>31</v>
      </c>
      <c r="I158" s="72">
        <v>31</v>
      </c>
      <c r="J158" s="72">
        <v>28</v>
      </c>
      <c r="K158" s="72">
        <v>31</v>
      </c>
      <c r="L158" s="72">
        <v>30</v>
      </c>
      <c r="M158" s="72">
        <v>31</v>
      </c>
      <c r="N158" s="71">
        <v>30</v>
      </c>
    </row>
    <row r="159" spans="1:14" x14ac:dyDescent="0.2">
      <c r="B159" s="89" t="s">
        <v>185</v>
      </c>
      <c r="C159" s="78">
        <f t="shared" ref="C159:N159" si="39">C146</f>
        <v>1</v>
      </c>
      <c r="D159" s="78">
        <f t="shared" si="39"/>
        <v>0</v>
      </c>
      <c r="E159" s="78">
        <f t="shared" si="39"/>
        <v>1</v>
      </c>
      <c r="F159" s="78">
        <f t="shared" si="39"/>
        <v>0</v>
      </c>
      <c r="G159" s="78">
        <f t="shared" si="39"/>
        <v>2</v>
      </c>
      <c r="H159" s="78">
        <f t="shared" si="39"/>
        <v>0</v>
      </c>
      <c r="I159" s="78">
        <f t="shared" si="39"/>
        <v>2</v>
      </c>
      <c r="J159" s="78">
        <f t="shared" si="39"/>
        <v>1</v>
      </c>
      <c r="K159" s="78">
        <f t="shared" si="39"/>
        <v>0</v>
      </c>
      <c r="L159" s="78">
        <f t="shared" si="39"/>
        <v>0</v>
      </c>
      <c r="M159" s="78">
        <f t="shared" si="39"/>
        <v>1</v>
      </c>
      <c r="N159" s="78">
        <f t="shared" si="39"/>
        <v>0</v>
      </c>
    </row>
    <row r="160" spans="1:14" x14ac:dyDescent="0.2">
      <c r="B160" s="89" t="s">
        <v>44</v>
      </c>
      <c r="C160" s="49">
        <v>0.54749999999999999</v>
      </c>
      <c r="D160" s="49">
        <v>0.54749999999999999</v>
      </c>
      <c r="E160" s="49">
        <v>0.54749999999999999</v>
      </c>
      <c r="F160" s="49">
        <v>0.54749999999999999</v>
      </c>
      <c r="G160" s="49">
        <v>0.54749999999999999</v>
      </c>
      <c r="H160" s="49">
        <v>0.54749999999999999</v>
      </c>
      <c r="I160" s="49">
        <v>0.54749999999999999</v>
      </c>
      <c r="J160" s="49">
        <v>0.54749999999999999</v>
      </c>
      <c r="K160" s="49">
        <v>0.54749999999999999</v>
      </c>
      <c r="L160" s="49">
        <v>0.54749999999999999</v>
      </c>
      <c r="M160" s="49">
        <v>0.54749999999999999</v>
      </c>
      <c r="N160" s="49">
        <v>0.54749999999999999</v>
      </c>
    </row>
    <row r="161" spans="1:14" x14ac:dyDescent="0.2">
      <c r="B161" s="78" t="s">
        <v>186</v>
      </c>
      <c r="C161" s="260">
        <f>SUM(174*C160)</f>
        <v>95.265000000000001</v>
      </c>
      <c r="D161" s="260">
        <f t="shared" ref="D161:N161" si="40">SUM(174*D160)</f>
        <v>95.265000000000001</v>
      </c>
      <c r="E161" s="260">
        <f t="shared" si="40"/>
        <v>95.265000000000001</v>
      </c>
      <c r="F161" s="260">
        <f t="shared" si="40"/>
        <v>95.265000000000001</v>
      </c>
      <c r="G161" s="260">
        <f t="shared" si="40"/>
        <v>95.265000000000001</v>
      </c>
      <c r="H161" s="260">
        <f t="shared" si="40"/>
        <v>95.265000000000001</v>
      </c>
      <c r="I161" s="260">
        <f t="shared" si="40"/>
        <v>95.265000000000001</v>
      </c>
      <c r="J161" s="260">
        <f t="shared" si="40"/>
        <v>95.265000000000001</v>
      </c>
      <c r="K161" s="260">
        <f t="shared" si="40"/>
        <v>95.265000000000001</v>
      </c>
      <c r="L161" s="260">
        <f t="shared" si="40"/>
        <v>95.265000000000001</v>
      </c>
      <c r="M161" s="260">
        <f t="shared" si="40"/>
        <v>95.265000000000001</v>
      </c>
      <c r="N161" s="260">
        <f t="shared" si="40"/>
        <v>95.265000000000001</v>
      </c>
    </row>
    <row r="162" spans="1:14" x14ac:dyDescent="0.2">
      <c r="A162" s="59" t="s">
        <v>343</v>
      </c>
      <c r="B162" s="78" t="s">
        <v>344</v>
      </c>
      <c r="C162" s="66">
        <f>SUM(C161*$B$163)</f>
        <v>1714.77</v>
      </c>
      <c r="D162" s="66">
        <f t="shared" ref="D162:N162" si="41">SUM(D161*$B$163)</f>
        <v>1714.77</v>
      </c>
      <c r="E162" s="66">
        <f t="shared" si="41"/>
        <v>1714.77</v>
      </c>
      <c r="F162" s="66">
        <f t="shared" si="41"/>
        <v>1714.77</v>
      </c>
      <c r="G162" s="66">
        <f t="shared" si="41"/>
        <v>1714.77</v>
      </c>
      <c r="H162" s="66">
        <f t="shared" si="41"/>
        <v>1714.77</v>
      </c>
      <c r="I162" s="66">
        <f t="shared" si="41"/>
        <v>1714.77</v>
      </c>
      <c r="J162" s="66">
        <f t="shared" si="41"/>
        <v>1714.77</v>
      </c>
      <c r="K162" s="66">
        <f t="shared" si="41"/>
        <v>1714.77</v>
      </c>
      <c r="L162" s="66">
        <f t="shared" si="41"/>
        <v>1714.77</v>
      </c>
      <c r="M162" s="66">
        <f t="shared" si="41"/>
        <v>1714.77</v>
      </c>
      <c r="N162" s="66">
        <f t="shared" si="41"/>
        <v>1714.77</v>
      </c>
    </row>
    <row r="163" spans="1:14" x14ac:dyDescent="0.2">
      <c r="A163" s="59" t="s">
        <v>188</v>
      </c>
      <c r="B163" s="74">
        <v>18</v>
      </c>
      <c r="C163" s="66">
        <f>SUM(C162)*'Data Links'!$B$15</f>
        <v>131.17990499999999</v>
      </c>
      <c r="D163" s="66">
        <f>SUM(D162)*'Data Links'!$B$15</f>
        <v>131.17990499999999</v>
      </c>
      <c r="E163" s="66">
        <f>SUM(E162)*'Data Links'!$B$15</f>
        <v>131.17990499999999</v>
      </c>
      <c r="F163" s="66">
        <f>SUM(F162)*'Data Links'!$B$15</f>
        <v>131.17990499999999</v>
      </c>
      <c r="G163" s="66">
        <f>SUM(G162)*'Data Links'!$B$15</f>
        <v>131.17990499999999</v>
      </c>
      <c r="H163" s="66">
        <f>SUM(H162)*'Data Links'!$B$15</f>
        <v>131.17990499999999</v>
      </c>
      <c r="I163" s="66">
        <f>SUM(I162)*'Data Links'!$B$15</f>
        <v>131.17990499999999</v>
      </c>
      <c r="J163" s="66">
        <f>SUM(J162)*'Data Links'!$B$15</f>
        <v>131.17990499999999</v>
      </c>
      <c r="K163" s="66">
        <f>SUM(K162)*'Data Links'!$B$15</f>
        <v>131.17990499999999</v>
      </c>
      <c r="L163" s="66">
        <f>SUM(L162)*'Data Links'!$B$15</f>
        <v>131.17990499999999</v>
      </c>
      <c r="M163" s="66">
        <f>SUM(M162)*'Data Links'!$B$15</f>
        <v>131.17990499999999</v>
      </c>
      <c r="N163" s="66">
        <f>SUM(N162)*'Data Links'!$B$15</f>
        <v>131.17990499999999</v>
      </c>
    </row>
    <row r="164" spans="1:14" x14ac:dyDescent="0.2">
      <c r="A164" s="59" t="s">
        <v>189</v>
      </c>
      <c r="B164" s="74">
        <v>16.84</v>
      </c>
      <c r="C164" s="66">
        <f>SUM(C162*'Data Links'!$B$13)</f>
        <v>10.28862</v>
      </c>
      <c r="D164" s="66">
        <f>SUM(D162*'Data Links'!$B$13)</f>
        <v>10.28862</v>
      </c>
      <c r="E164" s="66">
        <f>SUM(E162*'Data Links'!$B$13)</f>
        <v>10.28862</v>
      </c>
      <c r="F164" s="66">
        <f>SUM(F162*'Data Links'!$B$13)</f>
        <v>10.28862</v>
      </c>
      <c r="G164" s="66">
        <f>SUM(G162*'Data Links'!$B$13)</f>
        <v>10.28862</v>
      </c>
      <c r="H164" s="66">
        <f>SUM(H162*'Data Links'!$B$13)</f>
        <v>10.28862</v>
      </c>
      <c r="I164" s="66">
        <f>SUM(I162*'Data Links'!$B$13)</f>
        <v>10.28862</v>
      </c>
      <c r="J164" s="66">
        <f>SUM(J162*'Data Links'!$B$13)</f>
        <v>10.28862</v>
      </c>
      <c r="K164" s="66">
        <f>SUM(K162*'Data Links'!$B$13)</f>
        <v>10.28862</v>
      </c>
      <c r="L164" s="66">
        <f>SUM(L162*'Data Links'!$B$13)</f>
        <v>10.28862</v>
      </c>
      <c r="M164" s="66">
        <f>SUM(M162*'Data Links'!$B$13)</f>
        <v>10.28862</v>
      </c>
      <c r="N164" s="66">
        <f>SUM(N162*'Data Links'!$B$13)</f>
        <v>10.28862</v>
      </c>
    </row>
    <row r="165" spans="1:14" x14ac:dyDescent="0.2">
      <c r="A165" s="59" t="s">
        <v>190</v>
      </c>
      <c r="C165" s="66">
        <f>SUM(C161*'Data Links'!$B$8)</f>
        <v>7.4163802500000005</v>
      </c>
      <c r="D165" s="66">
        <f>SUM(D161*'Data Links'!$B$8)</f>
        <v>7.4163802500000005</v>
      </c>
      <c r="E165" s="66">
        <f>SUM(E161*'Data Links'!$B$8)</f>
        <v>7.4163802500000005</v>
      </c>
      <c r="F165" s="66">
        <f>SUM(F161*'Data Links'!$B$8)</f>
        <v>7.4163802500000005</v>
      </c>
      <c r="G165" s="66">
        <f>SUM(G161*'Data Links'!$B$8)</f>
        <v>7.4163802500000005</v>
      </c>
      <c r="H165" s="66">
        <f>SUM(H161*'Data Links'!$B$8)</f>
        <v>7.4163802500000005</v>
      </c>
      <c r="I165" s="66">
        <f>SUM(I161*'Data Links'!$B$8)</f>
        <v>7.4163802500000005</v>
      </c>
      <c r="J165" s="66">
        <f>SUM(J161*'Data Links'!$B$8)</f>
        <v>7.4163802500000005</v>
      </c>
      <c r="K165" s="66">
        <f>SUM(K161*'Data Links'!$B$8)</f>
        <v>7.4163802500000005</v>
      </c>
      <c r="L165" s="66">
        <f>SUM(L161*'Data Links'!$B$8)</f>
        <v>7.4163802500000005</v>
      </c>
      <c r="M165" s="66">
        <f>SUM(M161*'Data Links'!$B$8)</f>
        <v>7.4163802500000005</v>
      </c>
      <c r="N165" s="66">
        <f>SUM(N161*'Data Links'!$B$8)</f>
        <v>7.4163802500000005</v>
      </c>
    </row>
    <row r="166" spans="1:14" x14ac:dyDescent="0.2">
      <c r="A166" s="59" t="s">
        <v>191</v>
      </c>
      <c r="C166" s="66">
        <f>SUM('All Employees'!$P$59)*C160</f>
        <v>217.14277049999998</v>
      </c>
      <c r="D166" s="66">
        <f>SUM('All Employees'!$P$59)*D160</f>
        <v>217.14277049999998</v>
      </c>
      <c r="E166" s="66">
        <f>SUM('All Employees'!$P$59)*E160</f>
        <v>217.14277049999998</v>
      </c>
      <c r="F166" s="66">
        <f>SUM('All Employees'!$P$59)*F160</f>
        <v>217.14277049999998</v>
      </c>
      <c r="G166" s="66">
        <f>SUM('All Employees'!$P$59)*G160</f>
        <v>217.14277049999998</v>
      </c>
      <c r="H166" s="66">
        <f>SUM('All Employees'!$P$59)*H160</f>
        <v>217.14277049999998</v>
      </c>
      <c r="I166" s="66">
        <f>SUM('All Employees'!$P$59)*I160</f>
        <v>217.14277049999998</v>
      </c>
      <c r="J166" s="66">
        <f>SUM('All Employees'!$P$59)*J160</f>
        <v>217.14277049999998</v>
      </c>
      <c r="K166" s="66">
        <f>SUM('All Employees'!$P$59)*K160</f>
        <v>217.14277049999998</v>
      </c>
      <c r="L166" s="66">
        <f>SUM('All Employees'!$P$59)*L160</f>
        <v>217.14277049999998</v>
      </c>
      <c r="M166" s="66">
        <f>SUM('All Employees'!$P$59)*M160</f>
        <v>217.14277049999998</v>
      </c>
      <c r="N166" s="66">
        <f>SUM('All Employees'!$P$59)*N160</f>
        <v>217.14277049999998</v>
      </c>
    </row>
    <row r="167" spans="1:14" x14ac:dyDescent="0.2">
      <c r="A167" s="59" t="s">
        <v>192</v>
      </c>
      <c r="C167" s="66">
        <f>SUM(C162*'Data Links'!$B$17)</f>
        <v>51.443099999999994</v>
      </c>
      <c r="D167" s="66">
        <f>SUM(D162*'Data Links'!$B$17)</f>
        <v>51.443099999999994</v>
      </c>
      <c r="E167" s="66">
        <f>SUM(E162*'Data Links'!$B$17)</f>
        <v>51.443099999999994</v>
      </c>
      <c r="F167" s="66">
        <f>SUM(F162*'Data Links'!$B$17)</f>
        <v>51.443099999999994</v>
      </c>
      <c r="G167" s="66">
        <f>SUM(G162*'Data Links'!$B$17)</f>
        <v>51.443099999999994</v>
      </c>
      <c r="H167" s="66">
        <f>SUM(H162*'Data Links'!$B$17)</f>
        <v>51.443099999999994</v>
      </c>
      <c r="I167" s="66">
        <f>SUM(I162*'Data Links'!$B$17)</f>
        <v>51.443099999999994</v>
      </c>
      <c r="J167" s="66">
        <f>SUM(J162*'Data Links'!$B$17)</f>
        <v>51.443099999999994</v>
      </c>
      <c r="K167" s="66">
        <f>SUM(K162*'Data Links'!$B$17)</f>
        <v>51.443099999999994</v>
      </c>
      <c r="L167" s="66">
        <f>SUM(L162*'Data Links'!$B$17)</f>
        <v>51.443099999999994</v>
      </c>
      <c r="M167" s="66">
        <f>SUM(M162*'Data Links'!$B$17)</f>
        <v>51.443099999999994</v>
      </c>
      <c r="N167" s="66">
        <f>SUM(N162*'Data Links'!$B$17)</f>
        <v>51.443099999999994</v>
      </c>
    </row>
    <row r="168" spans="1:14" s="58" customFormat="1" x14ac:dyDescent="0.2">
      <c r="A168" s="58" t="s">
        <v>144</v>
      </c>
      <c r="B168" s="60"/>
      <c r="C168" s="60">
        <f t="shared" ref="C168:N168" si="42">SUM(C162:C167)</f>
        <v>2132.24077575</v>
      </c>
      <c r="D168" s="60">
        <f t="shared" si="42"/>
        <v>2132.24077575</v>
      </c>
      <c r="E168" s="60">
        <f t="shared" si="42"/>
        <v>2132.24077575</v>
      </c>
      <c r="F168" s="60">
        <f t="shared" si="42"/>
        <v>2132.24077575</v>
      </c>
      <c r="G168" s="60">
        <f t="shared" si="42"/>
        <v>2132.24077575</v>
      </c>
      <c r="H168" s="60">
        <f t="shared" si="42"/>
        <v>2132.24077575</v>
      </c>
      <c r="I168" s="60">
        <f t="shared" si="42"/>
        <v>2132.24077575</v>
      </c>
      <c r="J168" s="60">
        <f t="shared" si="42"/>
        <v>2132.24077575</v>
      </c>
      <c r="K168" s="60">
        <f t="shared" si="42"/>
        <v>2132.24077575</v>
      </c>
      <c r="L168" s="60">
        <f t="shared" si="42"/>
        <v>2132.24077575</v>
      </c>
      <c r="M168" s="60">
        <f t="shared" si="42"/>
        <v>2132.24077575</v>
      </c>
      <c r="N168" s="60">
        <f t="shared" si="42"/>
        <v>2132.24077575</v>
      </c>
    </row>
    <row r="169" spans="1:14" x14ac:dyDescent="0.2">
      <c r="C169" s="60"/>
      <c r="D169" s="66"/>
      <c r="E169" s="66"/>
      <c r="F169" s="66"/>
      <c r="G169" s="66"/>
      <c r="H169" s="66"/>
      <c r="I169" s="66"/>
      <c r="J169" s="66"/>
      <c r="K169" s="66"/>
      <c r="L169" s="66"/>
      <c r="M169" s="66"/>
      <c r="N169" s="66"/>
    </row>
    <row r="170" spans="1:14" x14ac:dyDescent="0.2">
      <c r="C170" s="89" t="str">
        <f>C157</f>
        <v>January</v>
      </c>
      <c r="D170" s="89" t="str">
        <f t="shared" ref="D170:N170" si="43">D157</f>
        <v>February</v>
      </c>
      <c r="E170" s="89" t="str">
        <f t="shared" si="43"/>
        <v>March</v>
      </c>
      <c r="F170" s="89" t="str">
        <f t="shared" si="43"/>
        <v>April</v>
      </c>
      <c r="G170" s="89" t="str">
        <f t="shared" si="43"/>
        <v>May</v>
      </c>
      <c r="H170" s="89" t="str">
        <f t="shared" si="43"/>
        <v>June</v>
      </c>
      <c r="I170" s="89" t="str">
        <f t="shared" si="43"/>
        <v>July</v>
      </c>
      <c r="J170" s="89" t="str">
        <f t="shared" si="43"/>
        <v>August</v>
      </c>
      <c r="K170" s="89" t="str">
        <f t="shared" si="43"/>
        <v>September</v>
      </c>
      <c r="L170" s="89" t="str">
        <f t="shared" si="43"/>
        <v>October</v>
      </c>
      <c r="M170" s="89" t="str">
        <f t="shared" si="43"/>
        <v>November</v>
      </c>
      <c r="N170" s="89" t="str">
        <f t="shared" si="43"/>
        <v>December</v>
      </c>
    </row>
    <row r="171" spans="1:14" x14ac:dyDescent="0.2">
      <c r="C171" s="72">
        <v>31</v>
      </c>
      <c r="D171" s="72">
        <v>31</v>
      </c>
      <c r="E171" s="72">
        <v>30</v>
      </c>
      <c r="F171" s="72">
        <v>31</v>
      </c>
      <c r="G171" s="72">
        <v>30</v>
      </c>
      <c r="H171" s="72">
        <v>31</v>
      </c>
      <c r="I171" s="72">
        <v>31</v>
      </c>
      <c r="J171" s="72">
        <v>28</v>
      </c>
      <c r="K171" s="72">
        <v>31</v>
      </c>
      <c r="L171" s="72">
        <v>30</v>
      </c>
      <c r="M171" s="72">
        <v>31</v>
      </c>
      <c r="N171" s="71">
        <v>30</v>
      </c>
    </row>
    <row r="172" spans="1:14" x14ac:dyDescent="0.2">
      <c r="B172" s="89" t="s">
        <v>185</v>
      </c>
      <c r="C172" s="78">
        <f t="shared" ref="C172:N172" si="44">C159</f>
        <v>1</v>
      </c>
      <c r="D172" s="78">
        <f t="shared" si="44"/>
        <v>0</v>
      </c>
      <c r="E172" s="78">
        <f t="shared" si="44"/>
        <v>1</v>
      </c>
      <c r="F172" s="78">
        <f t="shared" si="44"/>
        <v>0</v>
      </c>
      <c r="G172" s="78">
        <f t="shared" si="44"/>
        <v>2</v>
      </c>
      <c r="H172" s="78">
        <f t="shared" si="44"/>
        <v>0</v>
      </c>
      <c r="I172" s="78">
        <f t="shared" si="44"/>
        <v>2</v>
      </c>
      <c r="J172" s="78">
        <f t="shared" si="44"/>
        <v>1</v>
      </c>
      <c r="K172" s="78">
        <f t="shared" si="44"/>
        <v>0</v>
      </c>
      <c r="L172" s="78">
        <f t="shared" si="44"/>
        <v>0</v>
      </c>
      <c r="M172" s="78">
        <f t="shared" si="44"/>
        <v>1</v>
      </c>
      <c r="N172" s="78">
        <f t="shared" si="44"/>
        <v>0</v>
      </c>
    </row>
    <row r="173" spans="1:14" x14ac:dyDescent="0.2">
      <c r="B173" s="89" t="s">
        <v>44</v>
      </c>
      <c r="C173" s="49">
        <v>0.54749999999999999</v>
      </c>
      <c r="D173" s="49">
        <v>0.54749999999999999</v>
      </c>
      <c r="E173" s="49">
        <v>0.54749999999999999</v>
      </c>
      <c r="F173" s="49">
        <v>0.54749999999999999</v>
      </c>
      <c r="G173" s="49">
        <v>0.54749999999999999</v>
      </c>
      <c r="H173" s="49">
        <v>0.54749999999999999</v>
      </c>
      <c r="I173" s="49">
        <v>0.54749999999999999</v>
      </c>
      <c r="J173" s="49">
        <v>0.54749999999999999</v>
      </c>
      <c r="K173" s="49">
        <v>0.54749999999999999</v>
      </c>
      <c r="L173" s="49">
        <v>0.54749999999999999</v>
      </c>
      <c r="M173" s="49">
        <v>0.54749999999999999</v>
      </c>
      <c r="N173" s="49">
        <v>0.54749999999999999</v>
      </c>
    </row>
    <row r="174" spans="1:14" x14ac:dyDescent="0.2">
      <c r="B174" s="89" t="s">
        <v>186</v>
      </c>
      <c r="C174" s="260">
        <f>SUM(174*C173)</f>
        <v>95.265000000000001</v>
      </c>
      <c r="D174" s="260">
        <f t="shared" ref="D174:N174" si="45">SUM(174*D173)</f>
        <v>95.265000000000001</v>
      </c>
      <c r="E174" s="260">
        <f t="shared" si="45"/>
        <v>95.265000000000001</v>
      </c>
      <c r="F174" s="260">
        <f t="shared" si="45"/>
        <v>95.265000000000001</v>
      </c>
      <c r="G174" s="260">
        <f t="shared" si="45"/>
        <v>95.265000000000001</v>
      </c>
      <c r="H174" s="260">
        <f t="shared" si="45"/>
        <v>95.265000000000001</v>
      </c>
      <c r="I174" s="260">
        <f t="shared" si="45"/>
        <v>95.265000000000001</v>
      </c>
      <c r="J174" s="260">
        <f t="shared" si="45"/>
        <v>95.265000000000001</v>
      </c>
      <c r="K174" s="260">
        <f t="shared" si="45"/>
        <v>95.265000000000001</v>
      </c>
      <c r="L174" s="260">
        <f t="shared" si="45"/>
        <v>95.265000000000001</v>
      </c>
      <c r="M174" s="260">
        <f t="shared" si="45"/>
        <v>95.265000000000001</v>
      </c>
      <c r="N174" s="260">
        <f t="shared" si="45"/>
        <v>95.265000000000001</v>
      </c>
    </row>
    <row r="175" spans="1:14" x14ac:dyDescent="0.2">
      <c r="A175" s="59" t="s">
        <v>345</v>
      </c>
      <c r="B175" s="78" t="s">
        <v>346</v>
      </c>
      <c r="C175" s="66">
        <f>SUM(C174*$B$176)</f>
        <v>1905.3</v>
      </c>
      <c r="D175" s="66">
        <f t="shared" ref="D175:N175" si="46">SUM(D174*$B$176)</f>
        <v>1905.3</v>
      </c>
      <c r="E175" s="66">
        <f t="shared" si="46"/>
        <v>1905.3</v>
      </c>
      <c r="F175" s="66">
        <f t="shared" si="46"/>
        <v>1905.3</v>
      </c>
      <c r="G175" s="66">
        <f t="shared" si="46"/>
        <v>1905.3</v>
      </c>
      <c r="H175" s="66">
        <f t="shared" si="46"/>
        <v>1905.3</v>
      </c>
      <c r="I175" s="66">
        <f t="shared" si="46"/>
        <v>1905.3</v>
      </c>
      <c r="J175" s="66">
        <f t="shared" si="46"/>
        <v>1905.3</v>
      </c>
      <c r="K175" s="66">
        <f t="shared" si="46"/>
        <v>1905.3</v>
      </c>
      <c r="L175" s="66">
        <f t="shared" si="46"/>
        <v>1905.3</v>
      </c>
      <c r="M175" s="66">
        <f t="shared" si="46"/>
        <v>1905.3</v>
      </c>
      <c r="N175" s="66">
        <f t="shared" si="46"/>
        <v>1905.3</v>
      </c>
    </row>
    <row r="176" spans="1:14" x14ac:dyDescent="0.2">
      <c r="A176" s="59" t="s">
        <v>188</v>
      </c>
      <c r="B176" s="74">
        <v>20</v>
      </c>
      <c r="C176" s="66">
        <f>SUM(C175)*'Data Links'!$B$15</f>
        <v>145.75545</v>
      </c>
      <c r="D176" s="66">
        <f>SUM(D175)*'Data Links'!$B$15</f>
        <v>145.75545</v>
      </c>
      <c r="E176" s="66">
        <f>SUM(E175)*'Data Links'!$B$15</f>
        <v>145.75545</v>
      </c>
      <c r="F176" s="66">
        <f>SUM(F175)*'Data Links'!$B$15</f>
        <v>145.75545</v>
      </c>
      <c r="G176" s="66">
        <f>SUM(G175)*'Data Links'!$B$15</f>
        <v>145.75545</v>
      </c>
      <c r="H176" s="66">
        <f>SUM(H175)*'Data Links'!$B$15</f>
        <v>145.75545</v>
      </c>
      <c r="I176" s="66">
        <f>SUM(I175)*'Data Links'!$B$15</f>
        <v>145.75545</v>
      </c>
      <c r="J176" s="66">
        <f>SUM(J175)*'Data Links'!$B$15</f>
        <v>145.75545</v>
      </c>
      <c r="K176" s="66">
        <f>SUM(K175)*'Data Links'!$B$15</f>
        <v>145.75545</v>
      </c>
      <c r="L176" s="66">
        <f>SUM(L175)*'Data Links'!$B$15</f>
        <v>145.75545</v>
      </c>
      <c r="M176" s="66">
        <f>SUM(M175)*'Data Links'!$B$15</f>
        <v>145.75545</v>
      </c>
      <c r="N176" s="66">
        <f>SUM(N175)*'Data Links'!$B$15</f>
        <v>145.75545</v>
      </c>
    </row>
    <row r="177" spans="1:14" x14ac:dyDescent="0.2">
      <c r="A177" s="59" t="s">
        <v>189</v>
      </c>
      <c r="B177" s="74">
        <v>18.61</v>
      </c>
      <c r="C177" s="66">
        <f>SUM(C175*'Data Links'!$B$13)</f>
        <v>11.431800000000001</v>
      </c>
      <c r="D177" s="66">
        <f>SUM(D175*'Data Links'!$B$13)</f>
        <v>11.431800000000001</v>
      </c>
      <c r="E177" s="66">
        <f>SUM(E175*'Data Links'!$B$13)</f>
        <v>11.431800000000001</v>
      </c>
      <c r="F177" s="66">
        <f>SUM(F175*'Data Links'!$B$13)</f>
        <v>11.431800000000001</v>
      </c>
      <c r="G177" s="66">
        <f>SUM(G175*'Data Links'!$B$13)</f>
        <v>11.431800000000001</v>
      </c>
      <c r="H177" s="66">
        <f>SUM(H175*'Data Links'!$B$13)</f>
        <v>11.431800000000001</v>
      </c>
      <c r="I177" s="66">
        <f>SUM(I175*'Data Links'!$B$13)</f>
        <v>11.431800000000001</v>
      </c>
      <c r="J177" s="66">
        <f>SUM(J175*'Data Links'!$B$13)</f>
        <v>11.431800000000001</v>
      </c>
      <c r="K177" s="66">
        <f>SUM(K175*'Data Links'!$B$13)</f>
        <v>11.431800000000001</v>
      </c>
      <c r="L177" s="66">
        <f>SUM(L175*'Data Links'!$B$13)</f>
        <v>11.431800000000001</v>
      </c>
      <c r="M177" s="66">
        <f>SUM(M175*'Data Links'!$B$13)</f>
        <v>11.431800000000001</v>
      </c>
      <c r="N177" s="66">
        <f>SUM(N175*'Data Links'!$B$13)</f>
        <v>11.431800000000001</v>
      </c>
    </row>
    <row r="178" spans="1:14" x14ac:dyDescent="0.2">
      <c r="A178" s="59" t="s">
        <v>190</v>
      </c>
      <c r="C178" s="66">
        <f>SUM(C174*'Data Links'!$B$8)</f>
        <v>7.4163802500000005</v>
      </c>
      <c r="D178" s="66">
        <f>SUM(D174*'Data Links'!$B$8)</f>
        <v>7.4163802500000005</v>
      </c>
      <c r="E178" s="66">
        <f>SUM(E174*'Data Links'!$B$8)</f>
        <v>7.4163802500000005</v>
      </c>
      <c r="F178" s="66">
        <f>SUM(F174*'Data Links'!$B$8)</f>
        <v>7.4163802500000005</v>
      </c>
      <c r="G178" s="66">
        <f>SUM(G174*'Data Links'!$B$8)</f>
        <v>7.4163802500000005</v>
      </c>
      <c r="H178" s="66">
        <f>SUM(H174*'Data Links'!$B$8)</f>
        <v>7.4163802500000005</v>
      </c>
      <c r="I178" s="66">
        <f>SUM(I174*'Data Links'!$B$8)</f>
        <v>7.4163802500000005</v>
      </c>
      <c r="J178" s="66">
        <f>SUM(J174*'Data Links'!$B$8)</f>
        <v>7.4163802500000005</v>
      </c>
      <c r="K178" s="66">
        <f>SUM(K174*'Data Links'!$B$8)</f>
        <v>7.4163802500000005</v>
      </c>
      <c r="L178" s="66">
        <f>SUM(L174*'Data Links'!$B$8)</f>
        <v>7.4163802500000005</v>
      </c>
      <c r="M178" s="66">
        <f>SUM(M174*'Data Links'!$B$8)</f>
        <v>7.4163802500000005</v>
      </c>
      <c r="N178" s="66">
        <f>SUM(N174*'Data Links'!$B$8)</f>
        <v>7.4163802500000005</v>
      </c>
    </row>
    <row r="179" spans="1:14" x14ac:dyDescent="0.2">
      <c r="A179" s="59" t="s">
        <v>191</v>
      </c>
      <c r="C179" s="66">
        <f>SUM('All Employees'!$P$60)*C173</f>
        <v>217.14277049999998</v>
      </c>
      <c r="D179" s="66">
        <f>SUM('All Employees'!$P$60)*D173</f>
        <v>217.14277049999998</v>
      </c>
      <c r="E179" s="66">
        <f>SUM('All Employees'!$P$60)*E173</f>
        <v>217.14277049999998</v>
      </c>
      <c r="F179" s="66">
        <f>SUM('All Employees'!$P$60)*F173</f>
        <v>217.14277049999998</v>
      </c>
      <c r="G179" s="66">
        <f>SUM('All Employees'!$P$60)*G173</f>
        <v>217.14277049999998</v>
      </c>
      <c r="H179" s="66">
        <f>SUM('All Employees'!$P$60)*H173</f>
        <v>217.14277049999998</v>
      </c>
      <c r="I179" s="66">
        <f>SUM('All Employees'!$P$60)*I173</f>
        <v>217.14277049999998</v>
      </c>
      <c r="J179" s="66">
        <f>SUM('All Employees'!$P$60)*J173</f>
        <v>217.14277049999998</v>
      </c>
      <c r="K179" s="66">
        <f>SUM('All Employees'!$P$60)*K173</f>
        <v>217.14277049999998</v>
      </c>
      <c r="L179" s="66">
        <f>SUM('All Employees'!$P$60)*L173</f>
        <v>217.14277049999998</v>
      </c>
      <c r="M179" s="66">
        <f>SUM('All Employees'!$P$60)*M173</f>
        <v>217.14277049999998</v>
      </c>
      <c r="N179" s="66">
        <f>SUM('All Employees'!$P$60)*N173</f>
        <v>217.14277049999998</v>
      </c>
    </row>
    <row r="180" spans="1:14" x14ac:dyDescent="0.2">
      <c r="A180" s="59" t="s">
        <v>192</v>
      </c>
      <c r="C180" s="66">
        <f>SUM(C175*'Data Links'!$B$17)</f>
        <v>57.158999999999999</v>
      </c>
      <c r="D180" s="66">
        <f>SUM(D175*'Data Links'!$B$17)</f>
        <v>57.158999999999999</v>
      </c>
      <c r="E180" s="66">
        <f>SUM(E175*'Data Links'!$B$17)</f>
        <v>57.158999999999999</v>
      </c>
      <c r="F180" s="66">
        <f>SUM(F175*'Data Links'!$B$17)</f>
        <v>57.158999999999999</v>
      </c>
      <c r="G180" s="66">
        <f>SUM(G175*'Data Links'!$B$17)</f>
        <v>57.158999999999999</v>
      </c>
      <c r="H180" s="66">
        <f>SUM(H175*'Data Links'!$B$17)</f>
        <v>57.158999999999999</v>
      </c>
      <c r="I180" s="66">
        <f>SUM(I175*'Data Links'!$B$17)</f>
        <v>57.158999999999999</v>
      </c>
      <c r="J180" s="66">
        <f>SUM(J175*'Data Links'!$B$17)</f>
        <v>57.158999999999999</v>
      </c>
      <c r="K180" s="66">
        <f>SUM(K175*'Data Links'!$B$17)</f>
        <v>57.158999999999999</v>
      </c>
      <c r="L180" s="66">
        <f>SUM(L175*'Data Links'!$B$17)</f>
        <v>57.158999999999999</v>
      </c>
      <c r="M180" s="66">
        <f>SUM(M175*'Data Links'!$B$17)</f>
        <v>57.158999999999999</v>
      </c>
      <c r="N180" s="66">
        <f>SUM(N175*'Data Links'!$B$17)</f>
        <v>57.158999999999999</v>
      </c>
    </row>
    <row r="181" spans="1:14" s="58" customFormat="1" x14ac:dyDescent="0.2">
      <c r="A181" s="58" t="s">
        <v>144</v>
      </c>
      <c r="B181" s="60"/>
      <c r="C181" s="60">
        <f t="shared" ref="C181:N181" si="47">SUM(C175:C180)</f>
        <v>2344.2054007500001</v>
      </c>
      <c r="D181" s="60">
        <f t="shared" si="47"/>
        <v>2344.2054007500001</v>
      </c>
      <c r="E181" s="60">
        <f t="shared" si="47"/>
        <v>2344.2054007500001</v>
      </c>
      <c r="F181" s="60">
        <f t="shared" si="47"/>
        <v>2344.2054007500001</v>
      </c>
      <c r="G181" s="60">
        <f t="shared" si="47"/>
        <v>2344.2054007500001</v>
      </c>
      <c r="H181" s="60">
        <f t="shared" si="47"/>
        <v>2344.2054007500001</v>
      </c>
      <c r="I181" s="60">
        <f t="shared" si="47"/>
        <v>2344.2054007500001</v>
      </c>
      <c r="J181" s="60">
        <f t="shared" si="47"/>
        <v>2344.2054007500001</v>
      </c>
      <c r="K181" s="60">
        <f t="shared" si="47"/>
        <v>2344.2054007500001</v>
      </c>
      <c r="L181" s="60">
        <f t="shared" si="47"/>
        <v>2344.2054007500001</v>
      </c>
      <c r="M181" s="60">
        <f t="shared" si="47"/>
        <v>2344.2054007500001</v>
      </c>
      <c r="N181" s="60">
        <f t="shared" si="47"/>
        <v>2344.2054007500001</v>
      </c>
    </row>
    <row r="182" spans="1:14" x14ac:dyDescent="0.2">
      <c r="C182" s="60"/>
      <c r="D182" s="66"/>
      <c r="E182" s="66"/>
      <c r="F182" s="66"/>
      <c r="G182" s="66"/>
      <c r="H182" s="66"/>
      <c r="I182" s="66"/>
      <c r="J182" s="66"/>
      <c r="K182" s="66"/>
      <c r="L182" s="66"/>
      <c r="M182" s="66"/>
      <c r="N182" s="66"/>
    </row>
    <row r="183" spans="1:14" x14ac:dyDescent="0.2">
      <c r="C183" s="89" t="str">
        <f>C170</f>
        <v>January</v>
      </c>
      <c r="D183" s="89" t="str">
        <f t="shared" ref="D183:N183" si="48">D170</f>
        <v>February</v>
      </c>
      <c r="E183" s="89" t="str">
        <f t="shared" si="48"/>
        <v>March</v>
      </c>
      <c r="F183" s="89" t="str">
        <f t="shared" si="48"/>
        <v>April</v>
      </c>
      <c r="G183" s="89" t="str">
        <f t="shared" si="48"/>
        <v>May</v>
      </c>
      <c r="H183" s="89" t="str">
        <f t="shared" si="48"/>
        <v>June</v>
      </c>
      <c r="I183" s="89" t="str">
        <f t="shared" si="48"/>
        <v>July</v>
      </c>
      <c r="J183" s="89" t="str">
        <f t="shared" si="48"/>
        <v>August</v>
      </c>
      <c r="K183" s="89" t="str">
        <f t="shared" si="48"/>
        <v>September</v>
      </c>
      <c r="L183" s="89" t="str">
        <f t="shared" si="48"/>
        <v>October</v>
      </c>
      <c r="M183" s="89" t="str">
        <f t="shared" si="48"/>
        <v>November</v>
      </c>
      <c r="N183" s="89" t="str">
        <f t="shared" si="48"/>
        <v>December</v>
      </c>
    </row>
    <row r="184" spans="1:14" x14ac:dyDescent="0.2">
      <c r="C184" s="72">
        <v>31</v>
      </c>
      <c r="D184" s="72">
        <v>31</v>
      </c>
      <c r="E184" s="72">
        <v>30</v>
      </c>
      <c r="F184" s="72">
        <v>31</v>
      </c>
      <c r="G184" s="72">
        <v>30</v>
      </c>
      <c r="H184" s="72">
        <v>31</v>
      </c>
      <c r="I184" s="72">
        <v>31</v>
      </c>
      <c r="J184" s="72">
        <v>28</v>
      </c>
      <c r="K184" s="72">
        <v>31</v>
      </c>
      <c r="L184" s="72">
        <v>30</v>
      </c>
      <c r="M184" s="72">
        <v>31</v>
      </c>
      <c r="N184" s="71">
        <v>30</v>
      </c>
    </row>
    <row r="185" spans="1:14" x14ac:dyDescent="0.2">
      <c r="B185" s="89" t="s">
        <v>185</v>
      </c>
      <c r="C185" s="78">
        <f t="shared" ref="C185:N185" si="49">C172</f>
        <v>1</v>
      </c>
      <c r="D185" s="78">
        <f t="shared" si="49"/>
        <v>0</v>
      </c>
      <c r="E185" s="78">
        <f t="shared" si="49"/>
        <v>1</v>
      </c>
      <c r="F185" s="78">
        <f t="shared" si="49"/>
        <v>0</v>
      </c>
      <c r="G185" s="78">
        <f t="shared" si="49"/>
        <v>2</v>
      </c>
      <c r="H185" s="78">
        <f t="shared" si="49"/>
        <v>0</v>
      </c>
      <c r="I185" s="78">
        <f t="shared" si="49"/>
        <v>2</v>
      </c>
      <c r="J185" s="78">
        <f t="shared" si="49"/>
        <v>1</v>
      </c>
      <c r="K185" s="78">
        <f t="shared" si="49"/>
        <v>0</v>
      </c>
      <c r="L185" s="78">
        <f t="shared" si="49"/>
        <v>0</v>
      </c>
      <c r="M185" s="78">
        <f t="shared" si="49"/>
        <v>1</v>
      </c>
      <c r="N185" s="78">
        <f t="shared" si="49"/>
        <v>0</v>
      </c>
    </row>
    <row r="186" spans="1:14" x14ac:dyDescent="0.2">
      <c r="B186" s="89" t="s">
        <v>44</v>
      </c>
      <c r="C186" s="49">
        <f>C212</f>
        <v>0.14499999999999996</v>
      </c>
      <c r="D186" s="49">
        <f t="shared" ref="D186:N186" si="50">D212</f>
        <v>0.14499999999999996</v>
      </c>
      <c r="E186" s="49">
        <f t="shared" si="50"/>
        <v>0.14499999999999996</v>
      </c>
      <c r="F186" s="49">
        <f t="shared" si="50"/>
        <v>0.14499999999999996</v>
      </c>
      <c r="G186" s="49">
        <f t="shared" si="50"/>
        <v>0.14499999999999996</v>
      </c>
      <c r="H186" s="49">
        <f t="shared" si="50"/>
        <v>0.14499999999999996</v>
      </c>
      <c r="I186" s="49">
        <f t="shared" si="50"/>
        <v>0.14499999999999996</v>
      </c>
      <c r="J186" s="49">
        <f t="shared" si="50"/>
        <v>0.14499999999999996</v>
      </c>
      <c r="K186" s="49">
        <f t="shared" si="50"/>
        <v>0.14499999999999996</v>
      </c>
      <c r="L186" s="49">
        <f t="shared" si="50"/>
        <v>0.14499999999999996</v>
      </c>
      <c r="M186" s="49">
        <f t="shared" si="50"/>
        <v>0.14499999999999996</v>
      </c>
      <c r="N186" s="49">
        <f t="shared" si="50"/>
        <v>0.14499999999999996</v>
      </c>
    </row>
    <row r="187" spans="1:14" x14ac:dyDescent="0.2">
      <c r="B187" s="89" t="s">
        <v>186</v>
      </c>
      <c r="C187" s="260">
        <f>SUM(174*C186)</f>
        <v>25.229999999999993</v>
      </c>
      <c r="D187" s="260">
        <f t="shared" ref="D187:N187" si="51">SUM(174*D186)</f>
        <v>25.229999999999993</v>
      </c>
      <c r="E187" s="260">
        <f t="shared" si="51"/>
        <v>25.229999999999993</v>
      </c>
      <c r="F187" s="260">
        <f t="shared" si="51"/>
        <v>25.229999999999993</v>
      </c>
      <c r="G187" s="260">
        <f t="shared" si="51"/>
        <v>25.229999999999993</v>
      </c>
      <c r="H187" s="260">
        <f t="shared" si="51"/>
        <v>25.229999999999993</v>
      </c>
      <c r="I187" s="260">
        <f t="shared" si="51"/>
        <v>25.229999999999993</v>
      </c>
      <c r="J187" s="260">
        <f t="shared" si="51"/>
        <v>25.229999999999993</v>
      </c>
      <c r="K187" s="260">
        <f t="shared" si="51"/>
        <v>25.229999999999993</v>
      </c>
      <c r="L187" s="260">
        <f t="shared" si="51"/>
        <v>25.229999999999993</v>
      </c>
      <c r="M187" s="260">
        <f t="shared" si="51"/>
        <v>25.229999999999993</v>
      </c>
      <c r="N187" s="260">
        <f t="shared" si="51"/>
        <v>25.229999999999993</v>
      </c>
    </row>
    <row r="188" spans="1:14" x14ac:dyDescent="0.2">
      <c r="A188" s="59" t="s">
        <v>557</v>
      </c>
      <c r="B188" s="78" t="s">
        <v>187</v>
      </c>
      <c r="C188" s="66">
        <f>SUM(C187*$B$189)</f>
        <v>463.22279999999984</v>
      </c>
      <c r="D188" s="66">
        <f t="shared" ref="D188:N188" si="52">SUM(D187*$B$189)</f>
        <v>463.22279999999984</v>
      </c>
      <c r="E188" s="66">
        <f t="shared" si="52"/>
        <v>463.22279999999984</v>
      </c>
      <c r="F188" s="66">
        <f t="shared" si="52"/>
        <v>463.22279999999984</v>
      </c>
      <c r="G188" s="66">
        <f t="shared" si="52"/>
        <v>463.22279999999984</v>
      </c>
      <c r="H188" s="66">
        <f t="shared" si="52"/>
        <v>463.22279999999984</v>
      </c>
      <c r="I188" s="66">
        <f t="shared" si="52"/>
        <v>463.22279999999984</v>
      </c>
      <c r="J188" s="66">
        <f t="shared" si="52"/>
        <v>463.22279999999984</v>
      </c>
      <c r="K188" s="66">
        <f t="shared" si="52"/>
        <v>463.22279999999984</v>
      </c>
      <c r="L188" s="66">
        <f t="shared" si="52"/>
        <v>463.22279999999984</v>
      </c>
      <c r="M188" s="66">
        <f t="shared" si="52"/>
        <v>463.22279999999984</v>
      </c>
      <c r="N188" s="66">
        <f t="shared" si="52"/>
        <v>463.22279999999984</v>
      </c>
    </row>
    <row r="189" spans="1:14" x14ac:dyDescent="0.2">
      <c r="A189" s="59" t="s">
        <v>188</v>
      </c>
      <c r="B189" s="74">
        <v>18.36</v>
      </c>
      <c r="C189" s="66">
        <f>SUM(C188)*'Data Links'!$B$15</f>
        <v>35.436544199999986</v>
      </c>
      <c r="D189" s="66">
        <f>SUM(D188)*'Data Links'!$B$15</f>
        <v>35.436544199999986</v>
      </c>
      <c r="E189" s="66">
        <f>SUM(E188)*'Data Links'!$B$15</f>
        <v>35.436544199999986</v>
      </c>
      <c r="F189" s="66">
        <f>SUM(F188)*'Data Links'!$B$15</f>
        <v>35.436544199999986</v>
      </c>
      <c r="G189" s="66">
        <f>SUM(G188)*'Data Links'!$B$15</f>
        <v>35.436544199999986</v>
      </c>
      <c r="H189" s="66">
        <f>SUM(H188)*'Data Links'!$B$15</f>
        <v>35.436544199999986</v>
      </c>
      <c r="I189" s="66">
        <f>SUM(I188)*'Data Links'!$B$15</f>
        <v>35.436544199999986</v>
      </c>
      <c r="J189" s="66">
        <f>SUM(J188)*'Data Links'!$B$15</f>
        <v>35.436544199999986</v>
      </c>
      <c r="K189" s="66">
        <f>SUM(K188)*'Data Links'!$B$15</f>
        <v>35.436544199999986</v>
      </c>
      <c r="L189" s="66">
        <f>SUM(L188)*'Data Links'!$B$15</f>
        <v>35.436544199999986</v>
      </c>
      <c r="M189" s="66">
        <f>SUM(M188)*'Data Links'!$B$15</f>
        <v>35.436544199999986</v>
      </c>
      <c r="N189" s="66">
        <f>SUM(N188)*'Data Links'!$B$15</f>
        <v>35.436544199999986</v>
      </c>
    </row>
    <row r="190" spans="1:14" x14ac:dyDescent="0.2">
      <c r="A190" s="59" t="s">
        <v>189</v>
      </c>
      <c r="C190" s="66">
        <f>SUM(C188*'Data Links'!$B$13)</f>
        <v>2.7793367999999989</v>
      </c>
      <c r="D190" s="66">
        <f>SUM(D188*'Data Links'!$B$13)</f>
        <v>2.7793367999999989</v>
      </c>
      <c r="E190" s="66">
        <f>SUM(E188*'Data Links'!$B$13)</f>
        <v>2.7793367999999989</v>
      </c>
      <c r="F190" s="66">
        <f>SUM(F188*'Data Links'!$B$13)</f>
        <v>2.7793367999999989</v>
      </c>
      <c r="G190" s="66">
        <f>SUM(G188*'Data Links'!$B$13)</f>
        <v>2.7793367999999989</v>
      </c>
      <c r="H190" s="66">
        <f>SUM(H188*'Data Links'!$B$13)</f>
        <v>2.7793367999999989</v>
      </c>
      <c r="I190" s="66">
        <f>SUM(I188*'Data Links'!$B$13)</f>
        <v>2.7793367999999989</v>
      </c>
      <c r="J190" s="66">
        <f>SUM(J188*'Data Links'!$B$13)</f>
        <v>2.7793367999999989</v>
      </c>
      <c r="K190" s="66">
        <f>SUM(K188*'Data Links'!$B$13)</f>
        <v>2.7793367999999989</v>
      </c>
      <c r="L190" s="66">
        <f>SUM(L188*'Data Links'!$B$13)</f>
        <v>2.7793367999999989</v>
      </c>
      <c r="M190" s="66">
        <f>SUM(M188*'Data Links'!$B$13)</f>
        <v>2.7793367999999989</v>
      </c>
      <c r="N190" s="66">
        <f>SUM(N188*'Data Links'!$B$13)</f>
        <v>2.7793367999999989</v>
      </c>
    </row>
    <row r="191" spans="1:14" x14ac:dyDescent="0.2">
      <c r="A191" s="59" t="s">
        <v>190</v>
      </c>
      <c r="C191" s="66">
        <f>SUM(C187*'Data Links'!$B$8)</f>
        <v>1.9641554999999995</v>
      </c>
      <c r="D191" s="66">
        <f>SUM(D187*'Data Links'!$B$8)</f>
        <v>1.9641554999999995</v>
      </c>
      <c r="E191" s="66">
        <f>SUM(E187*'Data Links'!$B$8)</f>
        <v>1.9641554999999995</v>
      </c>
      <c r="F191" s="66">
        <f>SUM(F187*'Data Links'!$B$8)</f>
        <v>1.9641554999999995</v>
      </c>
      <c r="G191" s="66">
        <f>SUM(G187*'Data Links'!$B$8)</f>
        <v>1.9641554999999995</v>
      </c>
      <c r="H191" s="66">
        <f>SUM(H187*'Data Links'!$B$8)</f>
        <v>1.9641554999999995</v>
      </c>
      <c r="I191" s="66">
        <f>SUM(I187*'Data Links'!$B$8)</f>
        <v>1.9641554999999995</v>
      </c>
      <c r="J191" s="66">
        <f>SUM(J187*'Data Links'!$B$8)</f>
        <v>1.9641554999999995</v>
      </c>
      <c r="K191" s="66">
        <f>SUM(K187*'Data Links'!$B$8)</f>
        <v>1.9641554999999995</v>
      </c>
      <c r="L191" s="66">
        <f>SUM(L187*'Data Links'!$B$8)</f>
        <v>1.9641554999999995</v>
      </c>
      <c r="M191" s="66">
        <f>SUM(M187*'Data Links'!$B$8)</f>
        <v>1.9641554999999995</v>
      </c>
      <c r="N191" s="66">
        <f>SUM(N187*'Data Links'!$B$8)</f>
        <v>1.9641554999999995</v>
      </c>
    </row>
    <row r="192" spans="1:14" x14ac:dyDescent="0.2">
      <c r="A192" s="59" t="s">
        <v>191</v>
      </c>
      <c r="C192" s="66">
        <f>SUM('All Employees'!$P$51)*'WH - TL'!C186</f>
        <v>61.769999999999982</v>
      </c>
      <c r="D192" s="66">
        <f>SUM('All Employees'!$P$51)*'WH - TL'!D186</f>
        <v>61.769999999999982</v>
      </c>
      <c r="E192" s="66">
        <f>SUM('All Employees'!$P$51)*'WH - TL'!E186</f>
        <v>61.769999999999982</v>
      </c>
      <c r="F192" s="66">
        <f>SUM('All Employees'!$P$51)*'WH - TL'!F186</f>
        <v>61.769999999999982</v>
      </c>
      <c r="G192" s="66">
        <f>SUM('All Employees'!$P$51)*'WH - TL'!G186</f>
        <v>61.769999999999982</v>
      </c>
      <c r="H192" s="66">
        <f>SUM('All Employees'!$P$51)*'WH - TL'!H186</f>
        <v>61.769999999999982</v>
      </c>
      <c r="I192" s="66">
        <f>SUM('All Employees'!$P$51)*'WH - TL'!I186</f>
        <v>61.769999999999982</v>
      </c>
      <c r="J192" s="66">
        <f>SUM('All Employees'!$P$51)*'WH - TL'!J186</f>
        <v>61.769999999999982</v>
      </c>
      <c r="K192" s="66">
        <f>SUM('All Employees'!$P$51)*'WH - TL'!K186</f>
        <v>61.769999999999982</v>
      </c>
      <c r="L192" s="66">
        <f>SUM('All Employees'!$P$51)*'WH - TL'!L186</f>
        <v>61.769999999999982</v>
      </c>
      <c r="M192" s="66">
        <f>SUM('All Employees'!$P$51)*'WH - TL'!M186</f>
        <v>61.769999999999982</v>
      </c>
      <c r="N192" s="66">
        <f>SUM('All Employees'!$P$51)*'WH - TL'!N186</f>
        <v>61.769999999999982</v>
      </c>
    </row>
    <row r="193" spans="1:14" x14ac:dyDescent="0.2">
      <c r="A193" s="59" t="s">
        <v>192</v>
      </c>
      <c r="C193" s="66"/>
      <c r="D193" s="66"/>
      <c r="E193" s="66"/>
      <c r="F193" s="66"/>
      <c r="G193" s="66"/>
      <c r="H193" s="66"/>
      <c r="I193" s="66"/>
      <c r="J193" s="66"/>
      <c r="K193" s="66"/>
      <c r="L193" s="66"/>
      <c r="M193" s="66"/>
      <c r="N193" s="66"/>
    </row>
    <row r="194" spans="1:14" s="58" customFormat="1" x14ac:dyDescent="0.2">
      <c r="A194" s="58" t="s">
        <v>144</v>
      </c>
      <c r="B194" s="60"/>
      <c r="C194" s="60">
        <f t="shared" ref="C194:N194" si="53">SUM(C188:C193)</f>
        <v>565.1728364999999</v>
      </c>
      <c r="D194" s="60">
        <f t="shared" si="53"/>
        <v>565.1728364999999</v>
      </c>
      <c r="E194" s="60">
        <f t="shared" si="53"/>
        <v>565.1728364999999</v>
      </c>
      <c r="F194" s="60">
        <f t="shared" si="53"/>
        <v>565.1728364999999</v>
      </c>
      <c r="G194" s="60">
        <f t="shared" si="53"/>
        <v>565.1728364999999</v>
      </c>
      <c r="H194" s="60">
        <f t="shared" si="53"/>
        <v>565.1728364999999</v>
      </c>
      <c r="I194" s="60">
        <f t="shared" si="53"/>
        <v>565.1728364999999</v>
      </c>
      <c r="J194" s="60">
        <f t="shared" si="53"/>
        <v>565.1728364999999</v>
      </c>
      <c r="K194" s="60">
        <f t="shared" si="53"/>
        <v>565.1728364999999</v>
      </c>
      <c r="L194" s="60">
        <f t="shared" si="53"/>
        <v>565.1728364999999</v>
      </c>
      <c r="M194" s="60">
        <f t="shared" si="53"/>
        <v>565.1728364999999</v>
      </c>
      <c r="N194" s="60">
        <f t="shared" si="53"/>
        <v>565.1728364999999</v>
      </c>
    </row>
    <row r="195" spans="1:14" x14ac:dyDescent="0.2">
      <c r="C195" s="60"/>
      <c r="D195" s="66"/>
      <c r="E195" s="66"/>
      <c r="F195" s="66"/>
      <c r="G195" s="66"/>
      <c r="H195" s="66"/>
      <c r="I195" s="66"/>
      <c r="J195" s="66"/>
      <c r="K195" s="66"/>
      <c r="L195" s="66"/>
      <c r="M195" s="66"/>
      <c r="N195" s="66"/>
    </row>
    <row r="196" spans="1:14" x14ac:dyDescent="0.2">
      <c r="C196" s="89" t="str">
        <f>C183</f>
        <v>January</v>
      </c>
      <c r="D196" s="89" t="str">
        <f t="shared" ref="D196:M196" si="54">D183</f>
        <v>February</v>
      </c>
      <c r="E196" s="89" t="str">
        <f t="shared" si="54"/>
        <v>March</v>
      </c>
      <c r="F196" s="89" t="str">
        <f t="shared" si="54"/>
        <v>April</v>
      </c>
      <c r="G196" s="89" t="str">
        <f t="shared" si="54"/>
        <v>May</v>
      </c>
      <c r="H196" s="89" t="str">
        <f t="shared" si="54"/>
        <v>June</v>
      </c>
      <c r="I196" s="89" t="str">
        <f t="shared" si="54"/>
        <v>July</v>
      </c>
      <c r="J196" s="89" t="str">
        <f t="shared" si="54"/>
        <v>August</v>
      </c>
      <c r="K196" s="89" t="str">
        <f t="shared" si="54"/>
        <v>September</v>
      </c>
      <c r="L196" s="89" t="str">
        <f t="shared" si="54"/>
        <v>October</v>
      </c>
      <c r="M196" s="89" t="str">
        <f t="shared" si="54"/>
        <v>November</v>
      </c>
      <c r="N196" s="89" t="str">
        <f>N183</f>
        <v>December</v>
      </c>
    </row>
    <row r="197" spans="1:14" x14ac:dyDescent="0.2">
      <c r="C197" s="72">
        <v>31</v>
      </c>
      <c r="D197" s="72">
        <v>31</v>
      </c>
      <c r="E197" s="72">
        <v>30</v>
      </c>
      <c r="F197" s="72">
        <v>31</v>
      </c>
      <c r="G197" s="72">
        <v>30</v>
      </c>
      <c r="H197" s="72">
        <v>31</v>
      </c>
      <c r="I197" s="72">
        <v>31</v>
      </c>
      <c r="J197" s="72">
        <v>28</v>
      </c>
      <c r="K197" s="72">
        <v>31</v>
      </c>
      <c r="L197" s="72">
        <v>30</v>
      </c>
      <c r="M197" s="72">
        <v>31</v>
      </c>
      <c r="N197" s="71">
        <v>30</v>
      </c>
    </row>
    <row r="198" spans="1:14" x14ac:dyDescent="0.2">
      <c r="B198" s="89" t="s">
        <v>185</v>
      </c>
      <c r="C198" s="78">
        <f t="shared" ref="C198:N198" si="55">C185</f>
        <v>1</v>
      </c>
      <c r="D198" s="78">
        <f t="shared" si="55"/>
        <v>0</v>
      </c>
      <c r="E198" s="78">
        <f t="shared" si="55"/>
        <v>1</v>
      </c>
      <c r="F198" s="78">
        <f t="shared" si="55"/>
        <v>0</v>
      </c>
      <c r="G198" s="78">
        <f t="shared" si="55"/>
        <v>2</v>
      </c>
      <c r="H198" s="78">
        <f t="shared" si="55"/>
        <v>0</v>
      </c>
      <c r="I198" s="78">
        <f t="shared" si="55"/>
        <v>2</v>
      </c>
      <c r="J198" s="78">
        <f t="shared" si="55"/>
        <v>1</v>
      </c>
      <c r="K198" s="78">
        <f t="shared" si="55"/>
        <v>0</v>
      </c>
      <c r="L198" s="78">
        <f t="shared" si="55"/>
        <v>0</v>
      </c>
      <c r="M198" s="78">
        <f t="shared" si="55"/>
        <v>1</v>
      </c>
      <c r="N198" s="78">
        <f t="shared" si="55"/>
        <v>0</v>
      </c>
    </row>
    <row r="199" spans="1:14" x14ac:dyDescent="0.2">
      <c r="B199" s="89" t="s">
        <v>44</v>
      </c>
      <c r="C199" s="49">
        <f>SUM('Program Support Allocations'!$C$30)</f>
        <v>0.20879310344827584</v>
      </c>
      <c r="D199" s="49">
        <f>SUM('Program Support Allocations'!$C$30)</f>
        <v>0.20879310344827584</v>
      </c>
      <c r="E199" s="49">
        <f>SUM('Program Support Allocations'!$C$30)</f>
        <v>0.20879310344827584</v>
      </c>
      <c r="F199" s="49">
        <f>SUM('Program Support Allocations'!$C$30)</f>
        <v>0.20879310344827584</v>
      </c>
      <c r="G199" s="49">
        <f>SUM('Program Support Allocations'!$C$30)</f>
        <v>0.20879310344827584</v>
      </c>
      <c r="H199" s="49">
        <f>SUM('Program Support Allocations'!$C$30)</f>
        <v>0.20879310344827584</v>
      </c>
      <c r="I199" s="49">
        <f>SUM('Program Support Allocations'!$C$30)</f>
        <v>0.20879310344827584</v>
      </c>
      <c r="J199" s="49">
        <f>SUM('Program Support Allocations'!$C$30)</f>
        <v>0.20879310344827584</v>
      </c>
      <c r="K199" s="49">
        <f>SUM('Program Support Allocations'!$C$30)</f>
        <v>0.20879310344827584</v>
      </c>
      <c r="L199" s="49">
        <f>SUM('Program Support Allocations'!$C$30)</f>
        <v>0.20879310344827584</v>
      </c>
      <c r="M199" s="49">
        <f>SUM('Program Support Allocations'!$C$30)</f>
        <v>0.20879310344827584</v>
      </c>
      <c r="N199" s="49">
        <f>SUM('Program Support Allocations'!$C$30)</f>
        <v>0.20879310344827584</v>
      </c>
    </row>
    <row r="200" spans="1:14" x14ac:dyDescent="0.2">
      <c r="B200" s="89" t="s">
        <v>186</v>
      </c>
      <c r="C200" s="260">
        <f>SUM(174*C199)</f>
        <v>36.33</v>
      </c>
      <c r="D200" s="260">
        <f t="shared" ref="D200:N200" si="56">SUM(174*D199)</f>
        <v>36.33</v>
      </c>
      <c r="E200" s="260">
        <f t="shared" si="56"/>
        <v>36.33</v>
      </c>
      <c r="F200" s="260">
        <f t="shared" si="56"/>
        <v>36.33</v>
      </c>
      <c r="G200" s="260">
        <f t="shared" si="56"/>
        <v>36.33</v>
      </c>
      <c r="H200" s="260">
        <f t="shared" si="56"/>
        <v>36.33</v>
      </c>
      <c r="I200" s="260">
        <f t="shared" si="56"/>
        <v>36.33</v>
      </c>
      <c r="J200" s="260">
        <f t="shared" si="56"/>
        <v>36.33</v>
      </c>
      <c r="K200" s="260">
        <f t="shared" si="56"/>
        <v>36.33</v>
      </c>
      <c r="L200" s="260">
        <f t="shared" si="56"/>
        <v>36.33</v>
      </c>
      <c r="M200" s="260">
        <f t="shared" si="56"/>
        <v>36.33</v>
      </c>
      <c r="N200" s="260">
        <f t="shared" si="56"/>
        <v>36.33</v>
      </c>
    </row>
    <row r="201" spans="1:14" x14ac:dyDescent="0.2">
      <c r="A201" s="59" t="s">
        <v>623</v>
      </c>
      <c r="B201" s="78" t="s">
        <v>187</v>
      </c>
      <c r="C201" s="66">
        <f>SUM(C200*$B$202)</f>
        <v>1036.4948999999999</v>
      </c>
      <c r="D201" s="66">
        <f t="shared" ref="D201:N201" si="57">SUM(D200*$B$202)</f>
        <v>1036.4948999999999</v>
      </c>
      <c r="E201" s="66">
        <f t="shared" si="57"/>
        <v>1036.4948999999999</v>
      </c>
      <c r="F201" s="66">
        <f t="shared" si="57"/>
        <v>1036.4948999999999</v>
      </c>
      <c r="G201" s="66">
        <f t="shared" si="57"/>
        <v>1036.4948999999999</v>
      </c>
      <c r="H201" s="66">
        <f t="shared" si="57"/>
        <v>1036.4948999999999</v>
      </c>
      <c r="I201" s="66">
        <f t="shared" si="57"/>
        <v>1036.4948999999999</v>
      </c>
      <c r="J201" s="66">
        <f t="shared" si="57"/>
        <v>1036.4948999999999</v>
      </c>
      <c r="K201" s="66">
        <f t="shared" si="57"/>
        <v>1036.4948999999999</v>
      </c>
      <c r="L201" s="66">
        <f t="shared" si="57"/>
        <v>1036.4948999999999</v>
      </c>
      <c r="M201" s="66">
        <f t="shared" si="57"/>
        <v>1036.4948999999999</v>
      </c>
      <c r="N201" s="66">
        <f t="shared" si="57"/>
        <v>1036.4948999999999</v>
      </c>
    </row>
    <row r="202" spans="1:14" x14ac:dyDescent="0.2">
      <c r="A202" s="59" t="s">
        <v>188</v>
      </c>
      <c r="B202" s="74">
        <v>28.53</v>
      </c>
      <c r="C202" s="66">
        <f>SUM(C201)*'Data Links'!$B$15</f>
        <v>79.291859849999994</v>
      </c>
      <c r="D202" s="66">
        <f>SUM(D201)*'Data Links'!$B$15</f>
        <v>79.291859849999994</v>
      </c>
      <c r="E202" s="66">
        <f>SUM(E201)*'Data Links'!$B$15</f>
        <v>79.291859849999994</v>
      </c>
      <c r="F202" s="66">
        <f>SUM(F201)*'Data Links'!$B$15</f>
        <v>79.291859849999994</v>
      </c>
      <c r="G202" s="66">
        <f>SUM(G201)*'Data Links'!$B$15</f>
        <v>79.291859849999994</v>
      </c>
      <c r="H202" s="66">
        <f>SUM(H201)*'Data Links'!$B$15</f>
        <v>79.291859849999994</v>
      </c>
      <c r="I202" s="66">
        <f>SUM(I201)*'Data Links'!$B$15</f>
        <v>79.291859849999994</v>
      </c>
      <c r="J202" s="66">
        <f>SUM(J201)*'Data Links'!$B$15</f>
        <v>79.291859849999994</v>
      </c>
      <c r="K202" s="66">
        <f>SUM(K201)*'Data Links'!$B$15</f>
        <v>79.291859849999994</v>
      </c>
      <c r="L202" s="66">
        <f>SUM(L201)*'Data Links'!$B$15</f>
        <v>79.291859849999994</v>
      </c>
      <c r="M202" s="66">
        <f>SUM(M201)*'Data Links'!$B$15</f>
        <v>79.291859849999994</v>
      </c>
      <c r="N202" s="66">
        <f>SUM(N201)*'Data Links'!$B$15</f>
        <v>79.291859849999994</v>
      </c>
    </row>
    <row r="203" spans="1:14" x14ac:dyDescent="0.2">
      <c r="A203" s="59" t="s">
        <v>189</v>
      </c>
      <c r="C203" s="66">
        <f>SUM(C201*'Data Links'!$B$13)</f>
        <v>6.2189693999999998</v>
      </c>
      <c r="D203" s="66">
        <f>SUM(D201*'Data Links'!$B$13)</f>
        <v>6.2189693999999998</v>
      </c>
      <c r="E203" s="66">
        <f>SUM(E201*'Data Links'!$B$13)</f>
        <v>6.2189693999999998</v>
      </c>
      <c r="F203" s="66">
        <f>SUM(F201*'Data Links'!$B$13)</f>
        <v>6.2189693999999998</v>
      </c>
      <c r="G203" s="66">
        <f>SUM(G201*'Data Links'!$B$13)</f>
        <v>6.2189693999999998</v>
      </c>
      <c r="H203" s="66">
        <f>SUM(H201*'Data Links'!$B$13)</f>
        <v>6.2189693999999998</v>
      </c>
      <c r="I203" s="66">
        <f>SUM(I201*'Data Links'!$B$13)</f>
        <v>6.2189693999999998</v>
      </c>
      <c r="J203" s="66">
        <f>SUM(J201*'Data Links'!$B$13)</f>
        <v>6.2189693999999998</v>
      </c>
      <c r="K203" s="66">
        <f>SUM(K201*'Data Links'!$B$13)</f>
        <v>6.2189693999999998</v>
      </c>
      <c r="L203" s="66">
        <f>SUM(L201*'Data Links'!$B$13)</f>
        <v>6.2189693999999998</v>
      </c>
      <c r="M203" s="66">
        <f>SUM(M201*'Data Links'!$B$13)</f>
        <v>6.2189693999999998</v>
      </c>
      <c r="N203" s="66">
        <f>SUM(N201*'Data Links'!$B$13)</f>
        <v>6.2189693999999998</v>
      </c>
    </row>
    <row r="204" spans="1:14" x14ac:dyDescent="0.2">
      <c r="A204" s="59" t="s">
        <v>190</v>
      </c>
      <c r="C204" s="66">
        <f>SUM(C200*'Data Links'!$B$8)</f>
        <v>2.8282905</v>
      </c>
      <c r="D204" s="66">
        <f>SUM(D200*'Data Links'!$B$8)</f>
        <v>2.8282905</v>
      </c>
      <c r="E204" s="66">
        <f>SUM(E200*'Data Links'!$B$8)</f>
        <v>2.8282905</v>
      </c>
      <c r="F204" s="66">
        <f>SUM(F200*'Data Links'!$B$8)</f>
        <v>2.8282905</v>
      </c>
      <c r="G204" s="66">
        <f>SUM(G200*'Data Links'!$B$8)</f>
        <v>2.8282905</v>
      </c>
      <c r="H204" s="66">
        <f>SUM(H200*'Data Links'!$B$8)</f>
        <v>2.8282905</v>
      </c>
      <c r="I204" s="66">
        <f>SUM(I200*'Data Links'!$B$8)</f>
        <v>2.8282905</v>
      </c>
      <c r="J204" s="66">
        <f>SUM(J200*'Data Links'!$B$8)</f>
        <v>2.8282905</v>
      </c>
      <c r="K204" s="66">
        <f>SUM(K200*'Data Links'!$B$8)</f>
        <v>2.8282905</v>
      </c>
      <c r="L204" s="66">
        <f>SUM(L200*'Data Links'!$B$8)</f>
        <v>2.8282905</v>
      </c>
      <c r="M204" s="66">
        <f>SUM(M200*'Data Links'!$B$8)</f>
        <v>2.8282905</v>
      </c>
      <c r="N204" s="66">
        <f>SUM(N200*'Data Links'!$B$8)</f>
        <v>2.8282905</v>
      </c>
    </row>
    <row r="205" spans="1:14" x14ac:dyDescent="0.2">
      <c r="A205" s="59" t="s">
        <v>191</v>
      </c>
      <c r="C205" s="66">
        <f>SUM('All Employees'!$P$51)*'WH - TL'!C199</f>
        <v>88.945862068965511</v>
      </c>
      <c r="D205" s="66">
        <f>SUM('All Employees'!$P$51)*'WH - TL'!D199</f>
        <v>88.945862068965511</v>
      </c>
      <c r="E205" s="66">
        <f>SUM('All Employees'!$P$51)*'WH - TL'!E199</f>
        <v>88.945862068965511</v>
      </c>
      <c r="F205" s="66">
        <f>SUM('All Employees'!$P$51)*'WH - TL'!F199</f>
        <v>88.945862068965511</v>
      </c>
      <c r="G205" s="66">
        <f>SUM('All Employees'!$P$51)*'WH - TL'!G199</f>
        <v>88.945862068965511</v>
      </c>
      <c r="H205" s="66">
        <f>SUM('All Employees'!$P$51)*'WH - TL'!H199</f>
        <v>88.945862068965511</v>
      </c>
      <c r="I205" s="66">
        <f>SUM('All Employees'!$P$51)*'WH - TL'!I199</f>
        <v>88.945862068965511</v>
      </c>
      <c r="J205" s="66">
        <f>SUM('All Employees'!$P$51)*'WH - TL'!J199</f>
        <v>88.945862068965511</v>
      </c>
      <c r="K205" s="66">
        <f>SUM('All Employees'!$P$51)*'WH - TL'!K199</f>
        <v>88.945862068965511</v>
      </c>
      <c r="L205" s="66">
        <f>SUM('All Employees'!$P$51)*'WH - TL'!L199</f>
        <v>88.945862068965511</v>
      </c>
      <c r="M205" s="66">
        <f>SUM('All Employees'!$P$51)*'WH - TL'!M199</f>
        <v>88.945862068965511</v>
      </c>
      <c r="N205" s="66">
        <f>SUM('All Employees'!$P$51)*'WH - TL'!N199</f>
        <v>88.945862068965511</v>
      </c>
    </row>
    <row r="206" spans="1:14" x14ac:dyDescent="0.2">
      <c r="A206" s="59" t="s">
        <v>192</v>
      </c>
      <c r="C206" s="66">
        <f>SUM(C201*'Data Links'!$B$17)</f>
        <v>31.094846999999998</v>
      </c>
      <c r="D206" s="66">
        <f>SUM(D201*'Data Links'!$B$17)</f>
        <v>31.094846999999998</v>
      </c>
      <c r="E206" s="66">
        <f>SUM(E201*'Data Links'!$B$17)</f>
        <v>31.094846999999998</v>
      </c>
      <c r="F206" s="66">
        <f>SUM(F201*'Data Links'!$B$17)</f>
        <v>31.094846999999998</v>
      </c>
      <c r="G206" s="66">
        <f>SUM(G201*'Data Links'!$B$17)</f>
        <v>31.094846999999998</v>
      </c>
      <c r="H206" s="66">
        <f>SUM(H201*'Data Links'!$B$17)</f>
        <v>31.094846999999998</v>
      </c>
      <c r="I206" s="66">
        <f>SUM(I201*'Data Links'!$B$17)</f>
        <v>31.094846999999998</v>
      </c>
      <c r="J206" s="66">
        <f>SUM(J201*'Data Links'!$B$17)</f>
        <v>31.094846999999998</v>
      </c>
      <c r="K206" s="66">
        <f>SUM(K201*'Data Links'!$B$17)</f>
        <v>31.094846999999998</v>
      </c>
      <c r="L206" s="66">
        <f>SUM(L201*'Data Links'!$B$17)</f>
        <v>31.094846999999998</v>
      </c>
      <c r="M206" s="66">
        <f>SUM(M201*'Data Links'!$B$17)</f>
        <v>31.094846999999998</v>
      </c>
      <c r="N206" s="66">
        <f>SUM(N201*'Data Links'!$B$17)</f>
        <v>31.094846999999998</v>
      </c>
    </row>
    <row r="207" spans="1:14" s="58" customFormat="1" x14ac:dyDescent="0.2">
      <c r="A207" s="58" t="s">
        <v>144</v>
      </c>
      <c r="B207" s="60"/>
      <c r="C207" s="60">
        <f t="shared" ref="C207:N207" si="58">SUM(C201:C206)</f>
        <v>1244.8747288189657</v>
      </c>
      <c r="D207" s="60">
        <f t="shared" si="58"/>
        <v>1244.8747288189657</v>
      </c>
      <c r="E207" s="60">
        <f t="shared" si="58"/>
        <v>1244.8747288189657</v>
      </c>
      <c r="F207" s="60">
        <f t="shared" si="58"/>
        <v>1244.8747288189657</v>
      </c>
      <c r="G207" s="60">
        <f t="shared" si="58"/>
        <v>1244.8747288189657</v>
      </c>
      <c r="H207" s="60">
        <f t="shared" si="58"/>
        <v>1244.8747288189657</v>
      </c>
      <c r="I207" s="60">
        <f t="shared" si="58"/>
        <v>1244.8747288189657</v>
      </c>
      <c r="J207" s="60">
        <f t="shared" si="58"/>
        <v>1244.8747288189657</v>
      </c>
      <c r="K207" s="60">
        <f t="shared" si="58"/>
        <v>1244.8747288189657</v>
      </c>
      <c r="L207" s="60">
        <f t="shared" si="58"/>
        <v>1244.8747288189657</v>
      </c>
      <c r="M207" s="60">
        <f t="shared" si="58"/>
        <v>1244.8747288189657</v>
      </c>
      <c r="N207" s="60">
        <f t="shared" si="58"/>
        <v>1244.8747288189657</v>
      </c>
    </row>
    <row r="208" spans="1:14" x14ac:dyDescent="0.2">
      <c r="C208" s="60"/>
      <c r="D208" s="66"/>
      <c r="E208" s="66"/>
      <c r="F208" s="66"/>
      <c r="G208" s="66"/>
      <c r="H208" s="66"/>
      <c r="I208" s="66"/>
      <c r="J208" s="66"/>
      <c r="K208" s="66"/>
      <c r="L208" s="66"/>
      <c r="M208" s="66"/>
      <c r="N208" s="66"/>
    </row>
    <row r="209" spans="1:14" x14ac:dyDescent="0.2">
      <c r="C209" s="89" t="str">
        <f>C196</f>
        <v>January</v>
      </c>
      <c r="D209" s="89" t="str">
        <f t="shared" ref="D209:M209" si="59">D196</f>
        <v>February</v>
      </c>
      <c r="E209" s="89" t="str">
        <f t="shared" si="59"/>
        <v>March</v>
      </c>
      <c r="F209" s="89" t="str">
        <f t="shared" si="59"/>
        <v>April</v>
      </c>
      <c r="G209" s="89" t="str">
        <f t="shared" si="59"/>
        <v>May</v>
      </c>
      <c r="H209" s="89" t="str">
        <f t="shared" si="59"/>
        <v>June</v>
      </c>
      <c r="I209" s="89" t="str">
        <f t="shared" si="59"/>
        <v>July</v>
      </c>
      <c r="J209" s="89" t="str">
        <f t="shared" si="59"/>
        <v>August</v>
      </c>
      <c r="K209" s="89" t="str">
        <f t="shared" si="59"/>
        <v>September</v>
      </c>
      <c r="L209" s="89" t="str">
        <f t="shared" si="59"/>
        <v>October</v>
      </c>
      <c r="M209" s="89" t="str">
        <f t="shared" si="59"/>
        <v>November</v>
      </c>
      <c r="N209" s="89" t="str">
        <f>N196</f>
        <v>December</v>
      </c>
    </row>
    <row r="210" spans="1:14" x14ac:dyDescent="0.2">
      <c r="C210" s="72">
        <v>31</v>
      </c>
      <c r="D210" s="72">
        <v>31</v>
      </c>
      <c r="E210" s="72">
        <v>30</v>
      </c>
      <c r="F210" s="72">
        <v>31</v>
      </c>
      <c r="G210" s="72">
        <v>30</v>
      </c>
      <c r="H210" s="72">
        <v>31</v>
      </c>
      <c r="I210" s="72">
        <v>31</v>
      </c>
      <c r="J210" s="72">
        <v>28</v>
      </c>
      <c r="K210" s="72">
        <v>31</v>
      </c>
      <c r="L210" s="72">
        <v>30</v>
      </c>
      <c r="M210" s="72">
        <v>31</v>
      </c>
      <c r="N210" s="71">
        <v>30</v>
      </c>
    </row>
    <row r="211" spans="1:14" x14ac:dyDescent="0.2">
      <c r="B211" s="89" t="s">
        <v>185</v>
      </c>
      <c r="C211" s="78">
        <f t="shared" ref="C211:N211" si="60">C198</f>
        <v>1</v>
      </c>
      <c r="D211" s="78">
        <f t="shared" si="60"/>
        <v>0</v>
      </c>
      <c r="E211" s="78">
        <f t="shared" si="60"/>
        <v>1</v>
      </c>
      <c r="F211" s="78">
        <f t="shared" si="60"/>
        <v>0</v>
      </c>
      <c r="G211" s="78">
        <f t="shared" si="60"/>
        <v>2</v>
      </c>
      <c r="H211" s="78">
        <f t="shared" si="60"/>
        <v>0</v>
      </c>
      <c r="I211" s="78">
        <f t="shared" si="60"/>
        <v>2</v>
      </c>
      <c r="J211" s="78">
        <f t="shared" si="60"/>
        <v>1</v>
      </c>
      <c r="K211" s="78">
        <f t="shared" si="60"/>
        <v>0</v>
      </c>
      <c r="L211" s="78">
        <f t="shared" si="60"/>
        <v>0</v>
      </c>
      <c r="M211" s="78">
        <f t="shared" si="60"/>
        <v>1</v>
      </c>
      <c r="N211" s="78">
        <f t="shared" si="60"/>
        <v>0</v>
      </c>
    </row>
    <row r="212" spans="1:14" x14ac:dyDescent="0.2">
      <c r="B212" s="89" t="s">
        <v>44</v>
      </c>
      <c r="C212" s="49">
        <f>SUM('Program Support Allocations'!$C$6+'Program Support Allocations'!$C$4)</f>
        <v>0.14499999999999996</v>
      </c>
      <c r="D212" s="49">
        <f>SUM('Program Support Allocations'!$C$6+'Program Support Allocations'!$C$4)</f>
        <v>0.14499999999999996</v>
      </c>
      <c r="E212" s="49">
        <f>SUM('Program Support Allocations'!$C$6+'Program Support Allocations'!$C$4)</f>
        <v>0.14499999999999996</v>
      </c>
      <c r="F212" s="49">
        <f>SUM('Program Support Allocations'!$C$6+'Program Support Allocations'!$C$4)</f>
        <v>0.14499999999999996</v>
      </c>
      <c r="G212" s="49">
        <f>SUM('Program Support Allocations'!$C$6+'Program Support Allocations'!$C$4)</f>
        <v>0.14499999999999996</v>
      </c>
      <c r="H212" s="49">
        <f>SUM('Program Support Allocations'!$C$6+'Program Support Allocations'!$C$4)</f>
        <v>0.14499999999999996</v>
      </c>
      <c r="I212" s="49">
        <f>SUM('Program Support Allocations'!$C$6+'Program Support Allocations'!$C$4)</f>
        <v>0.14499999999999996</v>
      </c>
      <c r="J212" s="49">
        <f>SUM('Program Support Allocations'!$C$6+'Program Support Allocations'!$C$4)</f>
        <v>0.14499999999999996</v>
      </c>
      <c r="K212" s="49">
        <f>SUM('Program Support Allocations'!$C$6+'Program Support Allocations'!$C$4)</f>
        <v>0.14499999999999996</v>
      </c>
      <c r="L212" s="49">
        <f>SUM('Program Support Allocations'!$C$6+'Program Support Allocations'!$C$4)</f>
        <v>0.14499999999999996</v>
      </c>
      <c r="M212" s="49">
        <f>SUM('Program Support Allocations'!$C$6+'Program Support Allocations'!$C$4)</f>
        <v>0.14499999999999996</v>
      </c>
      <c r="N212" s="49">
        <f>SUM('Program Support Allocations'!$C$6+'Program Support Allocations'!$C$4)</f>
        <v>0.14499999999999996</v>
      </c>
    </row>
    <row r="213" spans="1:14" x14ac:dyDescent="0.2">
      <c r="B213" s="89" t="s">
        <v>186</v>
      </c>
      <c r="C213" s="260">
        <f>SUM(174*C212)</f>
        <v>25.229999999999993</v>
      </c>
      <c r="D213" s="260">
        <f t="shared" ref="D213:N213" si="61">SUM(174*D212)</f>
        <v>25.229999999999993</v>
      </c>
      <c r="E213" s="260">
        <f t="shared" si="61"/>
        <v>25.229999999999993</v>
      </c>
      <c r="F213" s="260">
        <f t="shared" si="61"/>
        <v>25.229999999999993</v>
      </c>
      <c r="G213" s="260">
        <f t="shared" si="61"/>
        <v>25.229999999999993</v>
      </c>
      <c r="H213" s="260">
        <f t="shared" si="61"/>
        <v>25.229999999999993</v>
      </c>
      <c r="I213" s="260">
        <f t="shared" si="61"/>
        <v>25.229999999999993</v>
      </c>
      <c r="J213" s="260">
        <f t="shared" si="61"/>
        <v>25.229999999999993</v>
      </c>
      <c r="K213" s="260">
        <f t="shared" si="61"/>
        <v>25.229999999999993</v>
      </c>
      <c r="L213" s="260">
        <f t="shared" si="61"/>
        <v>25.229999999999993</v>
      </c>
      <c r="M213" s="260">
        <f t="shared" si="61"/>
        <v>25.229999999999993</v>
      </c>
      <c r="N213" s="260">
        <f t="shared" si="61"/>
        <v>25.229999999999993</v>
      </c>
    </row>
    <row r="214" spans="1:14" x14ac:dyDescent="0.2">
      <c r="A214" s="59" t="s">
        <v>349</v>
      </c>
      <c r="B214" s="78" t="s">
        <v>348</v>
      </c>
      <c r="C214" s="66">
        <f>SUM(C213*$B$215)</f>
        <v>397.37249999999989</v>
      </c>
      <c r="D214" s="66">
        <f t="shared" ref="D214:N214" si="62">SUM(D213*$B$215)</f>
        <v>397.37249999999989</v>
      </c>
      <c r="E214" s="66">
        <f t="shared" si="62"/>
        <v>397.37249999999989</v>
      </c>
      <c r="F214" s="66">
        <f t="shared" si="62"/>
        <v>397.37249999999989</v>
      </c>
      <c r="G214" s="66">
        <f t="shared" si="62"/>
        <v>397.37249999999989</v>
      </c>
      <c r="H214" s="66">
        <f t="shared" si="62"/>
        <v>397.37249999999989</v>
      </c>
      <c r="I214" s="66">
        <f t="shared" si="62"/>
        <v>397.37249999999989</v>
      </c>
      <c r="J214" s="66">
        <f t="shared" si="62"/>
        <v>397.37249999999989</v>
      </c>
      <c r="K214" s="66">
        <f t="shared" si="62"/>
        <v>397.37249999999989</v>
      </c>
      <c r="L214" s="66">
        <f t="shared" si="62"/>
        <v>397.37249999999989</v>
      </c>
      <c r="M214" s="66">
        <f t="shared" si="62"/>
        <v>397.37249999999989</v>
      </c>
      <c r="N214" s="66">
        <f t="shared" si="62"/>
        <v>397.37249999999989</v>
      </c>
    </row>
    <row r="215" spans="1:14" x14ac:dyDescent="0.2">
      <c r="A215" s="59" t="s">
        <v>188</v>
      </c>
      <c r="B215" s="74">
        <v>15.75</v>
      </c>
      <c r="C215" s="66">
        <f>SUM(C214)*'Data Links'!$B$15</f>
        <v>30.398996249999993</v>
      </c>
      <c r="D215" s="66">
        <f>SUM(D214)*'Data Links'!$B$15</f>
        <v>30.398996249999993</v>
      </c>
      <c r="E215" s="66">
        <f>SUM(E214)*'Data Links'!$B$15</f>
        <v>30.398996249999993</v>
      </c>
      <c r="F215" s="66">
        <f>SUM(F214)*'Data Links'!$B$15</f>
        <v>30.398996249999993</v>
      </c>
      <c r="G215" s="66">
        <f>SUM(G214)*'Data Links'!$B$15</f>
        <v>30.398996249999993</v>
      </c>
      <c r="H215" s="66">
        <f>SUM(H214)*'Data Links'!$B$15</f>
        <v>30.398996249999993</v>
      </c>
      <c r="I215" s="66">
        <f>SUM(I214)*'Data Links'!$B$15</f>
        <v>30.398996249999993</v>
      </c>
      <c r="J215" s="66">
        <f>SUM(J214)*'Data Links'!$B$15</f>
        <v>30.398996249999993</v>
      </c>
      <c r="K215" s="66">
        <f>SUM(K214)*'Data Links'!$B$15</f>
        <v>30.398996249999993</v>
      </c>
      <c r="L215" s="66">
        <f>SUM(L214)*'Data Links'!$B$15</f>
        <v>30.398996249999993</v>
      </c>
      <c r="M215" s="66">
        <f>SUM(M214)*'Data Links'!$B$15</f>
        <v>30.398996249999993</v>
      </c>
      <c r="N215" s="66">
        <f>SUM(N214)*'Data Links'!$B$15</f>
        <v>30.398996249999993</v>
      </c>
    </row>
    <row r="216" spans="1:14" x14ac:dyDescent="0.2">
      <c r="A216" s="59" t="s">
        <v>189</v>
      </c>
      <c r="B216" s="74">
        <v>14.66</v>
      </c>
      <c r="C216" s="66">
        <f>SUM(C214*'Data Links'!$B$13)</f>
        <v>2.3842349999999994</v>
      </c>
      <c r="D216" s="66">
        <f>SUM(D214*'Data Links'!$B$13)</f>
        <v>2.3842349999999994</v>
      </c>
      <c r="E216" s="66">
        <f>SUM(E214*'Data Links'!$B$13)</f>
        <v>2.3842349999999994</v>
      </c>
      <c r="F216" s="66">
        <f>SUM(F214*'Data Links'!$B$13)</f>
        <v>2.3842349999999994</v>
      </c>
      <c r="G216" s="66">
        <f>SUM(G214*'Data Links'!$B$13)</f>
        <v>2.3842349999999994</v>
      </c>
      <c r="H216" s="66">
        <f>SUM(H214*'Data Links'!$B$13)</f>
        <v>2.3842349999999994</v>
      </c>
      <c r="I216" s="66">
        <f>SUM(I214*'Data Links'!$B$13)</f>
        <v>2.3842349999999994</v>
      </c>
      <c r="J216" s="66">
        <f>SUM(J214*'Data Links'!$B$13)</f>
        <v>2.3842349999999994</v>
      </c>
      <c r="K216" s="66">
        <f>SUM(K214*'Data Links'!$B$13)</f>
        <v>2.3842349999999994</v>
      </c>
      <c r="L216" s="66">
        <f>SUM(L214*'Data Links'!$B$13)</f>
        <v>2.3842349999999994</v>
      </c>
      <c r="M216" s="66">
        <f>SUM(M214*'Data Links'!$B$13)</f>
        <v>2.3842349999999994</v>
      </c>
      <c r="N216" s="66">
        <f>SUM(N214*'Data Links'!$B$13)</f>
        <v>2.3842349999999994</v>
      </c>
    </row>
    <row r="217" spans="1:14" x14ac:dyDescent="0.2">
      <c r="A217" s="59" t="s">
        <v>190</v>
      </c>
      <c r="C217" s="66">
        <f>SUM(C213*'Data Links'!$B$8)</f>
        <v>1.9641554999999995</v>
      </c>
      <c r="D217" s="66">
        <f>SUM(D213*'Data Links'!$B$8)</f>
        <v>1.9641554999999995</v>
      </c>
      <c r="E217" s="66">
        <f>SUM(E213*'Data Links'!$B$8)</f>
        <v>1.9641554999999995</v>
      </c>
      <c r="F217" s="66">
        <f>SUM(F213*'Data Links'!$B$8)</f>
        <v>1.9641554999999995</v>
      </c>
      <c r="G217" s="66">
        <f>SUM(G213*'Data Links'!$B$8)</f>
        <v>1.9641554999999995</v>
      </c>
      <c r="H217" s="66">
        <f>SUM(H213*'Data Links'!$B$8)</f>
        <v>1.9641554999999995</v>
      </c>
      <c r="I217" s="66">
        <f>SUM(I213*'Data Links'!$B$8)</f>
        <v>1.9641554999999995</v>
      </c>
      <c r="J217" s="66">
        <f>SUM(J213*'Data Links'!$B$8)</f>
        <v>1.9641554999999995</v>
      </c>
      <c r="K217" s="66">
        <f>SUM(K213*'Data Links'!$B$8)</f>
        <v>1.9641554999999995</v>
      </c>
      <c r="L217" s="66">
        <f>SUM(L213*'Data Links'!$B$8)</f>
        <v>1.9641554999999995</v>
      </c>
      <c r="M217" s="66">
        <f>SUM(M213*'Data Links'!$B$8)</f>
        <v>1.9641554999999995</v>
      </c>
      <c r="N217" s="66">
        <f>SUM(N213*'Data Links'!$B$8)</f>
        <v>1.9641554999999995</v>
      </c>
    </row>
    <row r="218" spans="1:14" x14ac:dyDescent="0.2">
      <c r="A218" s="59" t="s">
        <v>191</v>
      </c>
      <c r="C218" s="66">
        <f>SUM('All Employees'!$P$47)*C212</f>
        <v>57.508130999999985</v>
      </c>
      <c r="D218" s="66">
        <f>SUM('All Employees'!$P$47)*D212</f>
        <v>57.508130999999985</v>
      </c>
      <c r="E218" s="66">
        <f>SUM('All Employees'!$P$47)*E212</f>
        <v>57.508130999999985</v>
      </c>
      <c r="F218" s="66">
        <f>SUM('All Employees'!$P$47)*F212</f>
        <v>57.508130999999985</v>
      </c>
      <c r="G218" s="66">
        <f>SUM('All Employees'!$P$47)*G212</f>
        <v>57.508130999999985</v>
      </c>
      <c r="H218" s="66">
        <f>SUM('All Employees'!$P$47)*H212</f>
        <v>57.508130999999985</v>
      </c>
      <c r="I218" s="66">
        <f>SUM('All Employees'!$P$47)*I212</f>
        <v>57.508130999999985</v>
      </c>
      <c r="J218" s="66">
        <f>SUM('All Employees'!$P$47)*J212</f>
        <v>57.508130999999985</v>
      </c>
      <c r="K218" s="66">
        <f>SUM('All Employees'!$P$47)*K212</f>
        <v>57.508130999999985</v>
      </c>
      <c r="L218" s="66">
        <f>SUM('All Employees'!$P$47)*L212</f>
        <v>57.508130999999985</v>
      </c>
      <c r="M218" s="66">
        <f>SUM('All Employees'!$P$47)*M212</f>
        <v>57.508130999999985</v>
      </c>
      <c r="N218" s="66">
        <f>SUM('All Employees'!$P$47)*N212</f>
        <v>57.508130999999985</v>
      </c>
    </row>
    <row r="219" spans="1:14" x14ac:dyDescent="0.2">
      <c r="A219" s="59" t="s">
        <v>192</v>
      </c>
      <c r="C219" s="66"/>
      <c r="D219" s="66"/>
      <c r="E219" s="66"/>
      <c r="F219" s="66"/>
      <c r="G219" s="66"/>
      <c r="H219" s="66"/>
      <c r="I219" s="66"/>
      <c r="J219" s="66"/>
      <c r="K219" s="66"/>
      <c r="L219" s="66"/>
      <c r="M219" s="66"/>
      <c r="N219" s="66"/>
    </row>
    <row r="220" spans="1:14" s="58" customFormat="1" x14ac:dyDescent="0.2">
      <c r="A220" s="58" t="s">
        <v>144</v>
      </c>
      <c r="B220" s="60"/>
      <c r="C220" s="60">
        <f t="shared" ref="C220:N220" si="63">SUM(C214:C219)</f>
        <v>489.62801774999986</v>
      </c>
      <c r="D220" s="60">
        <f t="shared" si="63"/>
        <v>489.62801774999986</v>
      </c>
      <c r="E220" s="60">
        <f t="shared" si="63"/>
        <v>489.62801774999986</v>
      </c>
      <c r="F220" s="60">
        <f t="shared" si="63"/>
        <v>489.62801774999986</v>
      </c>
      <c r="G220" s="60">
        <f t="shared" si="63"/>
        <v>489.62801774999986</v>
      </c>
      <c r="H220" s="60">
        <f t="shared" si="63"/>
        <v>489.62801774999986</v>
      </c>
      <c r="I220" s="60">
        <f t="shared" si="63"/>
        <v>489.62801774999986</v>
      </c>
      <c r="J220" s="60">
        <f t="shared" si="63"/>
        <v>489.62801774999986</v>
      </c>
      <c r="K220" s="60">
        <f t="shared" si="63"/>
        <v>489.62801774999986</v>
      </c>
      <c r="L220" s="60">
        <f t="shared" si="63"/>
        <v>489.62801774999986</v>
      </c>
      <c r="M220" s="60">
        <f t="shared" si="63"/>
        <v>489.62801774999986</v>
      </c>
      <c r="N220" s="60">
        <f t="shared" si="63"/>
        <v>489.62801774999986</v>
      </c>
    </row>
    <row r="221" spans="1:14" x14ac:dyDescent="0.2">
      <c r="C221" s="60"/>
      <c r="D221" s="66"/>
      <c r="E221" s="66"/>
      <c r="F221" s="66"/>
      <c r="G221" s="66"/>
      <c r="H221" s="66"/>
      <c r="I221" s="66"/>
      <c r="J221" s="66"/>
      <c r="K221" s="66"/>
      <c r="L221" s="66"/>
      <c r="M221" s="66"/>
      <c r="N221" s="66"/>
    </row>
    <row r="222" spans="1:14" x14ac:dyDescent="0.2">
      <c r="C222" s="89" t="str">
        <f>C209</f>
        <v>January</v>
      </c>
      <c r="D222" s="89" t="str">
        <f t="shared" ref="D222:M222" si="64">D209</f>
        <v>February</v>
      </c>
      <c r="E222" s="89" t="str">
        <f t="shared" si="64"/>
        <v>March</v>
      </c>
      <c r="F222" s="89" t="str">
        <f t="shared" si="64"/>
        <v>April</v>
      </c>
      <c r="G222" s="89" t="str">
        <f t="shared" si="64"/>
        <v>May</v>
      </c>
      <c r="H222" s="89" t="str">
        <f t="shared" si="64"/>
        <v>June</v>
      </c>
      <c r="I222" s="89" t="str">
        <f t="shared" si="64"/>
        <v>July</v>
      </c>
      <c r="J222" s="89" t="str">
        <f t="shared" si="64"/>
        <v>August</v>
      </c>
      <c r="K222" s="89" t="str">
        <f t="shared" si="64"/>
        <v>September</v>
      </c>
      <c r="L222" s="89" t="str">
        <f t="shared" si="64"/>
        <v>October</v>
      </c>
      <c r="M222" s="89" t="str">
        <f t="shared" si="64"/>
        <v>November</v>
      </c>
      <c r="N222" s="89" t="str">
        <f>N209</f>
        <v>December</v>
      </c>
    </row>
    <row r="223" spans="1:14" x14ac:dyDescent="0.2">
      <c r="C223" s="72">
        <v>31</v>
      </c>
      <c r="D223" s="72">
        <v>31</v>
      </c>
      <c r="E223" s="72">
        <v>30</v>
      </c>
      <c r="F223" s="72">
        <v>31</v>
      </c>
      <c r="G223" s="72">
        <v>30</v>
      </c>
      <c r="H223" s="72">
        <v>31</v>
      </c>
      <c r="I223" s="72">
        <v>31</v>
      </c>
      <c r="J223" s="72">
        <v>28</v>
      </c>
      <c r="K223" s="72">
        <v>31</v>
      </c>
      <c r="L223" s="72">
        <v>30</v>
      </c>
      <c r="M223" s="72">
        <v>31</v>
      </c>
      <c r="N223" s="71">
        <v>30</v>
      </c>
    </row>
    <row r="224" spans="1:14" x14ac:dyDescent="0.2">
      <c r="B224" s="89" t="s">
        <v>44</v>
      </c>
      <c r="C224" s="78">
        <f t="shared" ref="C224:N224" si="65">C211</f>
        <v>1</v>
      </c>
      <c r="D224" s="78">
        <f t="shared" si="65"/>
        <v>0</v>
      </c>
      <c r="E224" s="78">
        <f t="shared" si="65"/>
        <v>1</v>
      </c>
      <c r="F224" s="78">
        <f t="shared" si="65"/>
        <v>0</v>
      </c>
      <c r="G224" s="78">
        <f t="shared" si="65"/>
        <v>2</v>
      </c>
      <c r="H224" s="78">
        <f t="shared" si="65"/>
        <v>0</v>
      </c>
      <c r="I224" s="78">
        <f t="shared" si="65"/>
        <v>2</v>
      </c>
      <c r="J224" s="78">
        <f t="shared" si="65"/>
        <v>1</v>
      </c>
      <c r="K224" s="78">
        <f t="shared" si="65"/>
        <v>0</v>
      </c>
      <c r="L224" s="78">
        <f t="shared" si="65"/>
        <v>0</v>
      </c>
      <c r="M224" s="78">
        <f t="shared" si="65"/>
        <v>1</v>
      </c>
      <c r="N224" s="78">
        <f t="shared" si="65"/>
        <v>0</v>
      </c>
    </row>
    <row r="225" spans="1:14" x14ac:dyDescent="0.2">
      <c r="B225" s="89" t="s">
        <v>186</v>
      </c>
      <c r="C225" s="49">
        <v>0.25</v>
      </c>
      <c r="D225" s="49">
        <v>0.25</v>
      </c>
      <c r="E225" s="49">
        <v>0.25</v>
      </c>
      <c r="F225" s="49">
        <v>0.25</v>
      </c>
      <c r="G225" s="49"/>
      <c r="H225" s="49"/>
      <c r="I225" s="49"/>
      <c r="J225" s="49"/>
      <c r="K225" s="49"/>
      <c r="L225" s="49"/>
      <c r="M225" s="49"/>
      <c r="N225" s="49"/>
    </row>
    <row r="226" spans="1:14" x14ac:dyDescent="0.2">
      <c r="A226" s="59" t="s">
        <v>358</v>
      </c>
      <c r="B226" s="78" t="s">
        <v>359</v>
      </c>
      <c r="C226" s="53">
        <f>SUM(174*C225)</f>
        <v>43.5</v>
      </c>
      <c r="D226" s="53">
        <f t="shared" ref="D226:N226" si="66">SUM(174*D225)</f>
        <v>43.5</v>
      </c>
      <c r="E226" s="53">
        <f t="shared" si="66"/>
        <v>43.5</v>
      </c>
      <c r="F226" s="53">
        <f t="shared" si="66"/>
        <v>43.5</v>
      </c>
      <c r="G226" s="53">
        <f t="shared" si="66"/>
        <v>0</v>
      </c>
      <c r="H226" s="53">
        <f t="shared" si="66"/>
        <v>0</v>
      </c>
      <c r="I226" s="53">
        <f t="shared" si="66"/>
        <v>0</v>
      </c>
      <c r="J226" s="53">
        <f t="shared" si="66"/>
        <v>0</v>
      </c>
      <c r="K226" s="53">
        <f t="shared" si="66"/>
        <v>0</v>
      </c>
      <c r="L226" s="53">
        <f t="shared" si="66"/>
        <v>0</v>
      </c>
      <c r="M226" s="53">
        <f t="shared" si="66"/>
        <v>0</v>
      </c>
      <c r="N226" s="53">
        <f t="shared" si="66"/>
        <v>0</v>
      </c>
    </row>
    <row r="227" spans="1:14" x14ac:dyDescent="0.2">
      <c r="A227" s="59" t="s">
        <v>188</v>
      </c>
      <c r="B227" s="74">
        <v>15.75</v>
      </c>
      <c r="C227" s="66">
        <f>SUM(C226*$B$227)</f>
        <v>685.125</v>
      </c>
      <c r="D227" s="66">
        <f t="shared" ref="D227:F227" si="67">SUM(D226*$B$227)</f>
        <v>685.125</v>
      </c>
      <c r="E227" s="66">
        <f t="shared" si="67"/>
        <v>685.125</v>
      </c>
      <c r="F227" s="66">
        <f t="shared" si="67"/>
        <v>685.125</v>
      </c>
      <c r="G227" s="66">
        <f t="shared" ref="G227:N227" si="68">SUM(G226*$B$228)</f>
        <v>0</v>
      </c>
      <c r="H227" s="66">
        <f t="shared" si="68"/>
        <v>0</v>
      </c>
      <c r="I227" s="66">
        <f t="shared" si="68"/>
        <v>0</v>
      </c>
      <c r="J227" s="66">
        <f t="shared" si="68"/>
        <v>0</v>
      </c>
      <c r="K227" s="66">
        <f t="shared" si="68"/>
        <v>0</v>
      </c>
      <c r="L227" s="66">
        <f t="shared" si="68"/>
        <v>0</v>
      </c>
      <c r="M227" s="66">
        <f t="shared" si="68"/>
        <v>0</v>
      </c>
      <c r="N227" s="66">
        <f t="shared" si="68"/>
        <v>0</v>
      </c>
    </row>
    <row r="228" spans="1:14" x14ac:dyDescent="0.2">
      <c r="A228" s="59" t="s">
        <v>189</v>
      </c>
      <c r="B228" s="74">
        <v>13.77</v>
      </c>
      <c r="C228" s="66">
        <f>SUM(C227)*'Data Links'!$B$15</f>
        <v>52.412062499999998</v>
      </c>
      <c r="D228" s="66">
        <f>SUM(D227)*'Data Links'!$B$15</f>
        <v>52.412062499999998</v>
      </c>
      <c r="E228" s="66">
        <f>SUM(E227)*'Data Links'!$B$15</f>
        <v>52.412062499999998</v>
      </c>
      <c r="F228" s="66">
        <f>SUM(F227)*'Data Links'!$B$15</f>
        <v>52.412062499999998</v>
      </c>
      <c r="G228" s="66">
        <f>SUM(G227)*'Data Links'!$B$15</f>
        <v>0</v>
      </c>
      <c r="H228" s="66">
        <f>SUM(H227)*'Data Links'!$B$15</f>
        <v>0</v>
      </c>
      <c r="I228" s="66">
        <f>SUM(I227)*'Data Links'!$B$15</f>
        <v>0</v>
      </c>
      <c r="J228" s="66">
        <f>SUM(J227)*'Data Links'!$B$15</f>
        <v>0</v>
      </c>
      <c r="K228" s="66">
        <f>SUM(K227)*'Data Links'!$B$15</f>
        <v>0</v>
      </c>
      <c r="L228" s="66">
        <f>SUM(L227)*'Data Links'!$B$15</f>
        <v>0</v>
      </c>
      <c r="M228" s="66">
        <f>SUM(M227)*'Data Links'!$B$15</f>
        <v>0</v>
      </c>
      <c r="N228" s="66">
        <f>SUM(N227)*'Data Links'!$B$15</f>
        <v>0</v>
      </c>
    </row>
    <row r="229" spans="1:14" x14ac:dyDescent="0.2">
      <c r="A229" s="59" t="s">
        <v>189</v>
      </c>
      <c r="C229" s="66">
        <f>SUM(C227*'Data Links'!$B$13)</f>
        <v>4.1107500000000003</v>
      </c>
      <c r="D229" s="66">
        <f>SUM(D227*'Data Links'!$B$13)</f>
        <v>4.1107500000000003</v>
      </c>
      <c r="E229" s="66">
        <f>SUM(E227*'Data Links'!$B$13)</f>
        <v>4.1107500000000003</v>
      </c>
      <c r="F229" s="66">
        <f>SUM(F227*'Data Links'!$B$13)</f>
        <v>4.1107500000000003</v>
      </c>
      <c r="G229" s="66">
        <f>SUM(G227*'Data Links'!$B$13)</f>
        <v>0</v>
      </c>
      <c r="H229" s="66">
        <f>SUM(H227*'Data Links'!$B$13)</f>
        <v>0</v>
      </c>
      <c r="I229" s="66">
        <f>SUM(I227*'Data Links'!$B$13)</f>
        <v>0</v>
      </c>
      <c r="J229" s="66">
        <f>SUM(J227*'Data Links'!$B$13)</f>
        <v>0</v>
      </c>
      <c r="K229" s="66">
        <f>SUM(K227*'Data Links'!$B$13)</f>
        <v>0</v>
      </c>
      <c r="L229" s="66">
        <f>SUM(L227*'Data Links'!$B$13)</f>
        <v>0</v>
      </c>
      <c r="M229" s="66">
        <f>SUM(M227*'Data Links'!$B$13)</f>
        <v>0</v>
      </c>
      <c r="N229" s="66">
        <f>SUM(N227*'Data Links'!$B$13)</f>
        <v>0</v>
      </c>
    </row>
    <row r="230" spans="1:14" x14ac:dyDescent="0.2">
      <c r="A230" s="59" t="s">
        <v>190</v>
      </c>
      <c r="C230" s="66">
        <f>SUM(C226*'Data Links'!$B$8)</f>
        <v>3.3864749999999999</v>
      </c>
      <c r="D230" s="66">
        <f>SUM(D226*'Data Links'!$B$8)</f>
        <v>3.3864749999999999</v>
      </c>
      <c r="E230" s="66">
        <f>SUM(E226*'Data Links'!$B$8)</f>
        <v>3.3864749999999999</v>
      </c>
      <c r="F230" s="66">
        <f>SUM(F226*'Data Links'!$B$8)</f>
        <v>3.3864749999999999</v>
      </c>
      <c r="G230" s="66">
        <f>SUM(G226*'Data Links'!$B$8)</f>
        <v>0</v>
      </c>
      <c r="H230" s="66">
        <f>SUM(H226*'Data Links'!$B$8)</f>
        <v>0</v>
      </c>
      <c r="I230" s="66">
        <f>SUM(I226*'Data Links'!$B$8)</f>
        <v>0</v>
      </c>
      <c r="J230" s="66">
        <f>SUM(J226*'Data Links'!$B$8)</f>
        <v>0</v>
      </c>
      <c r="K230" s="66">
        <f>SUM(K226*'Data Links'!$B$8)</f>
        <v>0</v>
      </c>
      <c r="L230" s="66">
        <f>SUM(L226*'Data Links'!$B$8)</f>
        <v>0</v>
      </c>
      <c r="M230" s="66">
        <f>SUM(M226*'Data Links'!$B$8)</f>
        <v>0</v>
      </c>
      <c r="N230" s="66">
        <f>SUM(N226*'Data Links'!$B$8)</f>
        <v>0</v>
      </c>
    </row>
    <row r="231" spans="1:14" x14ac:dyDescent="0.2">
      <c r="A231" s="59" t="s">
        <v>191</v>
      </c>
      <c r="C231" s="66">
        <v>423</v>
      </c>
      <c r="D231" s="66">
        <v>423</v>
      </c>
      <c r="E231" s="66">
        <v>423</v>
      </c>
      <c r="F231" s="66">
        <v>423</v>
      </c>
      <c r="G231" s="66"/>
      <c r="H231" s="66"/>
      <c r="I231" s="66"/>
      <c r="J231" s="66"/>
      <c r="K231" s="66"/>
      <c r="L231" s="66"/>
      <c r="M231" s="66"/>
      <c r="N231" s="66"/>
    </row>
    <row r="232" spans="1:14" x14ac:dyDescent="0.2">
      <c r="A232" s="59" t="s">
        <v>192</v>
      </c>
      <c r="C232" s="66">
        <f>SUM(C227*'Data Links'!$B$17)</f>
        <v>20.553750000000001</v>
      </c>
      <c r="D232" s="66">
        <f>SUM(D227*'Data Links'!$B$17)</f>
        <v>20.553750000000001</v>
      </c>
      <c r="E232" s="66">
        <f>SUM(E227*'Data Links'!$B$17)</f>
        <v>20.553750000000001</v>
      </c>
      <c r="F232" s="66">
        <f>SUM(F227*'Data Links'!$B$17)</f>
        <v>20.553750000000001</v>
      </c>
      <c r="G232" s="66">
        <f>SUM(G227*'Data Links'!$B$17)</f>
        <v>0</v>
      </c>
      <c r="H232" s="66">
        <f>SUM(H227*'Data Links'!$B$17)</f>
        <v>0</v>
      </c>
      <c r="I232" s="66">
        <f>SUM(I227*'Data Links'!$B$17)</f>
        <v>0</v>
      </c>
      <c r="J232" s="66">
        <f>SUM(J227*'Data Links'!$B$17)</f>
        <v>0</v>
      </c>
      <c r="K232" s="66">
        <f>SUM(K227*'Data Links'!$B$17)</f>
        <v>0</v>
      </c>
      <c r="L232" s="66">
        <f>SUM(L227*'Data Links'!$B$17)</f>
        <v>0</v>
      </c>
      <c r="M232" s="66">
        <f>SUM(M227*'Data Links'!$B$17)</f>
        <v>0</v>
      </c>
      <c r="N232" s="66">
        <f>SUM(N227*'Data Links'!$B$17)</f>
        <v>0</v>
      </c>
    </row>
    <row r="233" spans="1:14" x14ac:dyDescent="0.2">
      <c r="A233" s="58" t="s">
        <v>144</v>
      </c>
      <c r="C233" s="60">
        <f t="shared" ref="C233:N233" si="69">SUM(C227:C232)</f>
        <v>1188.5880375000002</v>
      </c>
      <c r="D233" s="60">
        <f t="shared" si="69"/>
        <v>1188.5880375000002</v>
      </c>
      <c r="E233" s="60">
        <f t="shared" si="69"/>
        <v>1188.5880375000002</v>
      </c>
      <c r="F233" s="60">
        <f t="shared" si="69"/>
        <v>1188.5880375000002</v>
      </c>
      <c r="G233" s="60">
        <f t="shared" si="69"/>
        <v>0</v>
      </c>
      <c r="H233" s="60">
        <f t="shared" si="69"/>
        <v>0</v>
      </c>
      <c r="I233" s="60">
        <f t="shared" si="69"/>
        <v>0</v>
      </c>
      <c r="J233" s="60">
        <f t="shared" si="69"/>
        <v>0</v>
      </c>
      <c r="K233" s="60">
        <f t="shared" si="69"/>
        <v>0</v>
      </c>
      <c r="L233" s="60">
        <f t="shared" si="69"/>
        <v>0</v>
      </c>
      <c r="M233" s="60">
        <f t="shared" si="69"/>
        <v>0</v>
      </c>
      <c r="N233" s="60">
        <f t="shared" si="69"/>
        <v>0</v>
      </c>
    </row>
    <row r="234" spans="1:14" x14ac:dyDescent="0.2">
      <c r="C234" s="60"/>
      <c r="D234" s="66"/>
      <c r="E234" s="66"/>
      <c r="F234" s="66"/>
      <c r="G234" s="66"/>
      <c r="H234" s="66"/>
      <c r="I234" s="66"/>
      <c r="J234" s="66"/>
      <c r="K234" s="66"/>
      <c r="L234" s="66"/>
      <c r="M234" s="66"/>
      <c r="N234" s="66"/>
    </row>
    <row r="235" spans="1:14" x14ac:dyDescent="0.2">
      <c r="C235" s="89" t="str">
        <f>C222</f>
        <v>January</v>
      </c>
      <c r="D235" s="89" t="str">
        <f t="shared" ref="D235:M235" si="70">D222</f>
        <v>February</v>
      </c>
      <c r="E235" s="89" t="str">
        <f t="shared" si="70"/>
        <v>March</v>
      </c>
      <c r="F235" s="89" t="str">
        <f t="shared" si="70"/>
        <v>April</v>
      </c>
      <c r="G235" s="89" t="str">
        <f t="shared" si="70"/>
        <v>May</v>
      </c>
      <c r="H235" s="89" t="str">
        <f t="shared" si="70"/>
        <v>June</v>
      </c>
      <c r="I235" s="89" t="str">
        <f t="shared" si="70"/>
        <v>July</v>
      </c>
      <c r="J235" s="89" t="str">
        <f t="shared" si="70"/>
        <v>August</v>
      </c>
      <c r="K235" s="89" t="str">
        <f t="shared" si="70"/>
        <v>September</v>
      </c>
      <c r="L235" s="89" t="str">
        <f t="shared" si="70"/>
        <v>October</v>
      </c>
      <c r="M235" s="89" t="str">
        <f t="shared" si="70"/>
        <v>November</v>
      </c>
      <c r="N235" s="89" t="str">
        <f>N222</f>
        <v>December</v>
      </c>
    </row>
    <row r="236" spans="1:14" x14ac:dyDescent="0.2">
      <c r="C236" s="72">
        <v>31</v>
      </c>
      <c r="D236" s="72">
        <v>31</v>
      </c>
      <c r="E236" s="72">
        <v>30</v>
      </c>
      <c r="F236" s="72">
        <v>31</v>
      </c>
      <c r="G236" s="72">
        <v>30</v>
      </c>
      <c r="H236" s="72">
        <v>31</v>
      </c>
      <c r="I236" s="72">
        <v>31</v>
      </c>
      <c r="J236" s="72">
        <v>28</v>
      </c>
      <c r="K236" s="72">
        <v>31</v>
      </c>
      <c r="L236" s="72">
        <v>30</v>
      </c>
      <c r="M236" s="72">
        <v>31</v>
      </c>
      <c r="N236" s="71">
        <v>30</v>
      </c>
    </row>
    <row r="237" spans="1:14" x14ac:dyDescent="0.2">
      <c r="B237" s="89" t="s">
        <v>185</v>
      </c>
      <c r="C237" s="78">
        <f t="shared" ref="C237:N237" si="71">C224</f>
        <v>1</v>
      </c>
      <c r="D237" s="78">
        <f t="shared" si="71"/>
        <v>0</v>
      </c>
      <c r="E237" s="78">
        <f t="shared" si="71"/>
        <v>1</v>
      </c>
      <c r="F237" s="78">
        <f t="shared" si="71"/>
        <v>0</v>
      </c>
      <c r="G237" s="78">
        <f t="shared" si="71"/>
        <v>2</v>
      </c>
      <c r="H237" s="78">
        <f t="shared" si="71"/>
        <v>0</v>
      </c>
      <c r="I237" s="78">
        <f t="shared" si="71"/>
        <v>2</v>
      </c>
      <c r="J237" s="78">
        <f t="shared" si="71"/>
        <v>1</v>
      </c>
      <c r="K237" s="78">
        <f t="shared" si="71"/>
        <v>0</v>
      </c>
      <c r="L237" s="78">
        <f t="shared" si="71"/>
        <v>0</v>
      </c>
      <c r="M237" s="78">
        <f t="shared" si="71"/>
        <v>1</v>
      </c>
      <c r="N237" s="78">
        <f t="shared" si="71"/>
        <v>0</v>
      </c>
    </row>
    <row r="238" spans="1:14" x14ac:dyDescent="0.2">
      <c r="B238" s="89" t="s">
        <v>44</v>
      </c>
      <c r="C238" s="49"/>
      <c r="D238" s="49"/>
      <c r="E238" s="49"/>
      <c r="F238" s="49"/>
      <c r="G238" s="49"/>
      <c r="H238" s="49"/>
      <c r="I238" s="49"/>
      <c r="J238" s="49"/>
      <c r="K238" s="49"/>
      <c r="L238" s="49"/>
      <c r="M238" s="49"/>
      <c r="N238" s="49"/>
    </row>
    <row r="239" spans="1:14" x14ac:dyDescent="0.2">
      <c r="B239" s="89" t="s">
        <v>186</v>
      </c>
      <c r="C239" s="53">
        <f>SUM(174*0.1)</f>
        <v>17.400000000000002</v>
      </c>
      <c r="D239" s="53">
        <f t="shared" ref="D239:N239" si="72">SUM(174*0.1)</f>
        <v>17.400000000000002</v>
      </c>
      <c r="E239" s="53">
        <f t="shared" si="72"/>
        <v>17.400000000000002</v>
      </c>
      <c r="F239" s="53">
        <f t="shared" si="72"/>
        <v>17.400000000000002</v>
      </c>
      <c r="G239" s="53">
        <f t="shared" si="72"/>
        <v>17.400000000000002</v>
      </c>
      <c r="H239" s="53">
        <f t="shared" si="72"/>
        <v>17.400000000000002</v>
      </c>
      <c r="I239" s="53">
        <f t="shared" si="72"/>
        <v>17.400000000000002</v>
      </c>
      <c r="J239" s="53">
        <f t="shared" si="72"/>
        <v>17.400000000000002</v>
      </c>
      <c r="K239" s="53">
        <f t="shared" si="72"/>
        <v>17.400000000000002</v>
      </c>
      <c r="L239" s="53">
        <f t="shared" si="72"/>
        <v>17.400000000000002</v>
      </c>
      <c r="M239" s="53">
        <f t="shared" si="72"/>
        <v>17.400000000000002</v>
      </c>
      <c r="N239" s="53">
        <f t="shared" si="72"/>
        <v>17.400000000000002</v>
      </c>
    </row>
    <row r="240" spans="1:14" x14ac:dyDescent="0.2">
      <c r="A240" s="59" t="s">
        <v>552</v>
      </c>
      <c r="B240" s="78" t="s">
        <v>187</v>
      </c>
      <c r="C240" s="66">
        <v>1033.0899999999999</v>
      </c>
      <c r="D240" s="66">
        <v>1033.0899999999999</v>
      </c>
      <c r="E240" s="66">
        <v>1033.0899999999999</v>
      </c>
      <c r="F240" s="66">
        <v>1033.0899999999999</v>
      </c>
      <c r="G240" s="66">
        <v>1033.0899999999999</v>
      </c>
      <c r="H240" s="66">
        <v>1033.0899999999999</v>
      </c>
      <c r="I240" s="66">
        <v>1033.0899999999999</v>
      </c>
      <c r="J240" s="66">
        <v>1033.0899999999999</v>
      </c>
      <c r="K240" s="66">
        <v>1033.0899999999999</v>
      </c>
      <c r="L240" s="66">
        <v>1033.0899999999999</v>
      </c>
      <c r="M240" s="66">
        <v>1033.0899999999999</v>
      </c>
      <c r="N240" s="66">
        <v>1033.0899999999999</v>
      </c>
    </row>
    <row r="241" spans="1:14" x14ac:dyDescent="0.2">
      <c r="A241" s="59" t="s">
        <v>188</v>
      </c>
      <c r="B241" s="74" t="s">
        <v>370</v>
      </c>
      <c r="C241" s="66">
        <f>SUM(C240)*'Data Links'!$B$15</f>
        <v>79.031384999999986</v>
      </c>
      <c r="D241" s="66">
        <f>SUM(D240)*'Data Links'!$B$15</f>
        <v>79.031384999999986</v>
      </c>
      <c r="E241" s="66">
        <f>SUM(E240)*'Data Links'!$B$15</f>
        <v>79.031384999999986</v>
      </c>
      <c r="F241" s="66">
        <f>SUM(F240)*'Data Links'!$B$15</f>
        <v>79.031384999999986</v>
      </c>
      <c r="G241" s="66">
        <f>SUM(G240)*'Data Links'!$B$15</f>
        <v>79.031384999999986</v>
      </c>
      <c r="H241" s="66">
        <f>SUM(H240)*'Data Links'!$B$15</f>
        <v>79.031384999999986</v>
      </c>
      <c r="I241" s="66">
        <f>SUM(I240)*'Data Links'!$B$15</f>
        <v>79.031384999999986</v>
      </c>
      <c r="J241" s="66">
        <f>SUM(J240)*'Data Links'!$B$15</f>
        <v>79.031384999999986</v>
      </c>
      <c r="K241" s="66">
        <f>SUM(K240)*'Data Links'!$B$15</f>
        <v>79.031384999999986</v>
      </c>
      <c r="L241" s="66">
        <f>SUM(L240)*'Data Links'!$B$15</f>
        <v>79.031384999999986</v>
      </c>
      <c r="M241" s="66">
        <f>SUM(M240)*'Data Links'!$B$15</f>
        <v>79.031384999999986</v>
      </c>
      <c r="N241" s="66">
        <f>SUM(N240)*'Data Links'!$B$15</f>
        <v>79.031384999999986</v>
      </c>
    </row>
    <row r="242" spans="1:14" x14ac:dyDescent="0.2">
      <c r="A242" s="59" t="s">
        <v>189</v>
      </c>
      <c r="C242" s="66">
        <f>SUM(C240*'Data Links'!$B$13)</f>
        <v>6.1985399999999995</v>
      </c>
      <c r="D242" s="66">
        <f>SUM(D240*'Data Links'!$B$13)</f>
        <v>6.1985399999999995</v>
      </c>
      <c r="E242" s="66">
        <f>SUM(E240*'Data Links'!$B$13)</f>
        <v>6.1985399999999995</v>
      </c>
      <c r="F242" s="66">
        <f>SUM(F240*'Data Links'!$B$13)</f>
        <v>6.1985399999999995</v>
      </c>
      <c r="G242" s="66">
        <f>SUM(G240*'Data Links'!$B$13)</f>
        <v>6.1985399999999995</v>
      </c>
      <c r="H242" s="66">
        <f>SUM(H240*'Data Links'!$B$13)</f>
        <v>6.1985399999999995</v>
      </c>
      <c r="I242" s="66">
        <f>SUM(I240*'Data Links'!$B$13)</f>
        <v>6.1985399999999995</v>
      </c>
      <c r="J242" s="66">
        <f>SUM(J240*'Data Links'!$B$13)</f>
        <v>6.1985399999999995</v>
      </c>
      <c r="K242" s="66">
        <f>SUM(K240*'Data Links'!$B$13)</f>
        <v>6.1985399999999995</v>
      </c>
      <c r="L242" s="66">
        <f>SUM(L240*'Data Links'!$B$13)</f>
        <v>6.1985399999999995</v>
      </c>
      <c r="M242" s="66">
        <f>SUM(M240*'Data Links'!$B$13)</f>
        <v>6.1985399999999995</v>
      </c>
      <c r="N242" s="66">
        <f>SUM(N240*'Data Links'!$B$13)</f>
        <v>6.1985399999999995</v>
      </c>
    </row>
    <row r="243" spans="1:14" x14ac:dyDescent="0.2">
      <c r="A243" s="59" t="s">
        <v>190</v>
      </c>
      <c r="C243" s="66">
        <f>SUM(C239*'Data Links'!$B$8)</f>
        <v>1.3545900000000002</v>
      </c>
      <c r="D243" s="66">
        <f>SUM(D239*'Data Links'!$B$8)</f>
        <v>1.3545900000000002</v>
      </c>
      <c r="E243" s="66">
        <f>SUM(E239*'Data Links'!$B$8)</f>
        <v>1.3545900000000002</v>
      </c>
      <c r="F243" s="66">
        <f>SUM(F239*'Data Links'!$B$8)</f>
        <v>1.3545900000000002</v>
      </c>
      <c r="G243" s="66">
        <f>SUM(G239*'Data Links'!$B$8)</f>
        <v>1.3545900000000002</v>
      </c>
      <c r="H243" s="66">
        <f>SUM(H239*'Data Links'!$B$8)</f>
        <v>1.3545900000000002</v>
      </c>
      <c r="I243" s="66">
        <f>SUM(I239*'Data Links'!$B$8)</f>
        <v>1.3545900000000002</v>
      </c>
      <c r="J243" s="66">
        <f>SUM(J239*'Data Links'!$B$8)</f>
        <v>1.3545900000000002</v>
      </c>
      <c r="K243" s="66">
        <f>SUM(K239*'Data Links'!$B$8)</f>
        <v>1.3545900000000002</v>
      </c>
      <c r="L243" s="66">
        <f>SUM(L239*'Data Links'!$B$8)</f>
        <v>1.3545900000000002</v>
      </c>
      <c r="M243" s="66">
        <f>SUM(M239*'Data Links'!$B$8)</f>
        <v>1.3545900000000002</v>
      </c>
      <c r="N243" s="66">
        <f>SUM(N239*'Data Links'!$B$8)</f>
        <v>1.3545900000000002</v>
      </c>
    </row>
    <row r="244" spans="1:14" x14ac:dyDescent="0.2">
      <c r="A244" s="59" t="s">
        <v>191</v>
      </c>
      <c r="C244" s="66">
        <f>SUM(C238*'Data Links'!$B$26)</f>
        <v>0</v>
      </c>
      <c r="D244" s="66">
        <f>SUM(D238*'Data Links'!$B$26)</f>
        <v>0</v>
      </c>
      <c r="E244" s="66">
        <f>SUM(E238*'Data Links'!$B$26)</f>
        <v>0</v>
      </c>
      <c r="F244" s="66">
        <f>SUM(F238*'Data Links'!$B$26)</f>
        <v>0</v>
      </c>
      <c r="G244" s="66">
        <f>SUM(G238*'Data Links'!$B$26)</f>
        <v>0</v>
      </c>
      <c r="H244" s="66">
        <f>SUM(H238*'Data Links'!$B$26)</f>
        <v>0</v>
      </c>
      <c r="I244" s="66">
        <f>SUM(I238*'Data Links'!$B$26)</f>
        <v>0</v>
      </c>
      <c r="J244" s="66">
        <f>SUM(J238*'Data Links'!$B$26)</f>
        <v>0</v>
      </c>
      <c r="K244" s="66">
        <f>SUM(K238*'Data Links'!$B$26)</f>
        <v>0</v>
      </c>
      <c r="L244" s="66">
        <f>SUM(L238*'Data Links'!$B$26)</f>
        <v>0</v>
      </c>
      <c r="M244" s="66">
        <f>SUM(M238*'Data Links'!$B$26)</f>
        <v>0</v>
      </c>
      <c r="N244" s="66">
        <f>SUM(N238*'Data Links'!$B$26)</f>
        <v>0</v>
      </c>
    </row>
    <row r="245" spans="1:14" x14ac:dyDescent="0.2">
      <c r="A245" s="59" t="s">
        <v>192</v>
      </c>
      <c r="C245" s="66"/>
      <c r="D245" s="66"/>
      <c r="E245" s="66"/>
      <c r="F245" s="66"/>
      <c r="G245" s="66"/>
      <c r="H245" s="66"/>
      <c r="I245" s="66"/>
      <c r="J245" s="66"/>
      <c r="K245" s="66"/>
      <c r="L245" s="66"/>
      <c r="M245" s="66"/>
      <c r="N245" s="66"/>
    </row>
    <row r="246" spans="1:14" x14ac:dyDescent="0.2">
      <c r="A246" s="58" t="s">
        <v>144</v>
      </c>
      <c r="C246" s="60">
        <f t="shared" ref="C246:N246" si="73">SUM(C240:C245)</f>
        <v>1119.6745149999999</v>
      </c>
      <c r="D246" s="60">
        <f t="shared" si="73"/>
        <v>1119.6745149999999</v>
      </c>
      <c r="E246" s="60">
        <f t="shared" si="73"/>
        <v>1119.6745149999999</v>
      </c>
      <c r="F246" s="60">
        <f t="shared" si="73"/>
        <v>1119.6745149999999</v>
      </c>
      <c r="G246" s="60">
        <f t="shared" si="73"/>
        <v>1119.6745149999999</v>
      </c>
      <c r="H246" s="60">
        <f t="shared" si="73"/>
        <v>1119.6745149999999</v>
      </c>
      <c r="I246" s="60">
        <f t="shared" si="73"/>
        <v>1119.6745149999999</v>
      </c>
      <c r="J246" s="60">
        <f t="shared" si="73"/>
        <v>1119.6745149999999</v>
      </c>
      <c r="K246" s="60">
        <f t="shared" si="73"/>
        <v>1119.6745149999999</v>
      </c>
      <c r="L246" s="60">
        <f t="shared" si="73"/>
        <v>1119.6745149999999</v>
      </c>
      <c r="M246" s="60">
        <f t="shared" si="73"/>
        <v>1119.6745149999999</v>
      </c>
      <c r="N246" s="60">
        <f t="shared" si="73"/>
        <v>1119.6745149999999</v>
      </c>
    </row>
    <row r="247" spans="1:14" x14ac:dyDescent="0.2">
      <c r="C247" s="60"/>
      <c r="D247" s="66"/>
      <c r="E247" s="66"/>
      <c r="F247" s="66"/>
      <c r="G247" s="66"/>
      <c r="H247" s="66"/>
      <c r="I247" s="66"/>
      <c r="J247" s="66"/>
      <c r="K247" s="66"/>
      <c r="L247" s="66"/>
      <c r="M247" s="66"/>
      <c r="N247" s="66"/>
    </row>
    <row r="248" spans="1:14" x14ac:dyDescent="0.2">
      <c r="C248" s="60"/>
      <c r="D248" s="66"/>
      <c r="E248" s="66"/>
      <c r="F248" s="66"/>
      <c r="G248" s="66"/>
      <c r="H248" s="66"/>
      <c r="I248" s="66"/>
      <c r="J248" s="66"/>
      <c r="K248" s="66"/>
      <c r="L248" s="66"/>
      <c r="M248" s="66"/>
      <c r="N248" s="66"/>
    </row>
    <row r="249" spans="1:14" x14ac:dyDescent="0.2">
      <c r="C249" s="60"/>
      <c r="D249" s="66"/>
      <c r="E249" s="66"/>
      <c r="F249" s="66"/>
      <c r="G249" s="66"/>
      <c r="H249" s="66"/>
      <c r="I249" s="66"/>
      <c r="J249" s="66"/>
      <c r="K249" s="66"/>
      <c r="L249" s="66"/>
      <c r="M249" s="66"/>
      <c r="N249" s="66"/>
    </row>
    <row r="250" spans="1:14" x14ac:dyDescent="0.2">
      <c r="C250" s="60"/>
      <c r="D250" s="66"/>
      <c r="E250" s="66"/>
      <c r="F250" s="66"/>
      <c r="G250" s="66"/>
      <c r="H250" s="66"/>
      <c r="I250" s="66"/>
      <c r="J250" s="66"/>
      <c r="K250" s="66"/>
      <c r="L250" s="66"/>
      <c r="M250" s="66"/>
      <c r="N250" s="66"/>
    </row>
    <row r="251" spans="1:14" x14ac:dyDescent="0.2">
      <c r="A251" s="58" t="s">
        <v>194</v>
      </c>
      <c r="C251" s="60"/>
      <c r="D251" s="66"/>
      <c r="E251" s="66"/>
      <c r="F251" s="66"/>
      <c r="G251" s="66"/>
      <c r="H251" s="66"/>
      <c r="I251" s="66"/>
      <c r="J251" s="66"/>
      <c r="K251" s="66"/>
      <c r="L251" s="66"/>
      <c r="M251" s="66"/>
      <c r="N251" s="66"/>
    </row>
    <row r="252" spans="1:14" x14ac:dyDescent="0.2">
      <c r="A252" s="59" t="s">
        <v>195</v>
      </c>
      <c r="C252" s="66">
        <f>SUM(C110+C123+C136+C149+C162+C175+C188+C201+C214+C227+C240)</f>
        <v>13715.048199999999</v>
      </c>
      <c r="D252" s="66">
        <f t="shared" ref="D252:N252" si="74">SUM(D110+D123+D136+D149+D162+D175+D188+D201+D214+D227+D240)</f>
        <v>13715.048199999999</v>
      </c>
      <c r="E252" s="66">
        <f t="shared" si="74"/>
        <v>13715.048199999999</v>
      </c>
      <c r="F252" s="66">
        <f t="shared" si="74"/>
        <v>13715.048199999999</v>
      </c>
      <c r="G252" s="66">
        <f t="shared" si="74"/>
        <v>13029.923199999999</v>
      </c>
      <c r="H252" s="66">
        <f t="shared" si="74"/>
        <v>13029.923199999999</v>
      </c>
      <c r="I252" s="66">
        <f t="shared" si="74"/>
        <v>13029.923199999999</v>
      </c>
      <c r="J252" s="66">
        <f t="shared" si="74"/>
        <v>13029.923199999999</v>
      </c>
      <c r="K252" s="66">
        <f t="shared" si="74"/>
        <v>13029.923199999999</v>
      </c>
      <c r="L252" s="66">
        <f t="shared" si="74"/>
        <v>13029.923199999999</v>
      </c>
      <c r="M252" s="66">
        <f t="shared" si="74"/>
        <v>13029.923199999999</v>
      </c>
      <c r="N252" s="66">
        <f t="shared" si="74"/>
        <v>13029.923199999999</v>
      </c>
    </row>
    <row r="253" spans="1:14" x14ac:dyDescent="0.2">
      <c r="A253" s="59" t="s">
        <v>22</v>
      </c>
      <c r="C253" s="66">
        <f>SUM(C111+C112+C113+C124+C125+C126+C137+C138+C139+C150+C151+C152+C163+C164+C165+C176+C177+C178+C189+C190+C191+C202+C203+C204+C215+C216+C217+C228+C229+C230+C241+C242+C243)</f>
        <v>1183.4236545000001</v>
      </c>
      <c r="D253" s="66">
        <f t="shared" ref="D253:N253" si="75">SUM(D111+D112+D113+D124+D125+D126+D137+D138+D139+D150+D151+D152+D163+D164+D165+D176+D177+D178+D189+D190+D191+D202+D203+D204+D215+D216+D217+D228+D229+D230+D241+D242+D243)</f>
        <v>1183.4236545000001</v>
      </c>
      <c r="E253" s="66">
        <f t="shared" si="75"/>
        <v>1183.4236545000001</v>
      </c>
      <c r="F253" s="66">
        <f t="shared" si="75"/>
        <v>1183.4236545000001</v>
      </c>
      <c r="G253" s="66">
        <f t="shared" si="75"/>
        <v>1123.514367</v>
      </c>
      <c r="H253" s="66">
        <f t="shared" si="75"/>
        <v>1123.514367</v>
      </c>
      <c r="I253" s="66">
        <f t="shared" si="75"/>
        <v>1123.514367</v>
      </c>
      <c r="J253" s="66">
        <f t="shared" si="75"/>
        <v>1123.514367</v>
      </c>
      <c r="K253" s="66">
        <f t="shared" si="75"/>
        <v>1123.514367</v>
      </c>
      <c r="L253" s="66">
        <f t="shared" si="75"/>
        <v>1123.514367</v>
      </c>
      <c r="M253" s="66">
        <f t="shared" si="75"/>
        <v>1123.514367</v>
      </c>
      <c r="N253" s="66">
        <f t="shared" si="75"/>
        <v>1123.514367</v>
      </c>
    </row>
    <row r="254" spans="1:14" x14ac:dyDescent="0.2">
      <c r="A254" s="59" t="s">
        <v>23</v>
      </c>
      <c r="C254" s="66">
        <f>SUM(C114+C115+C127+C128+C140+C141+C153+C154+C167+C166+C179+C180+C192+C193+C205+C206+C218+C219+C231+C232+C244+C245)</f>
        <v>2074.5532910689658</v>
      </c>
      <c r="D254" s="66">
        <f t="shared" ref="D254:N254" si="76">SUM(D114+D115+D127+D128+D140+D141+D153+D154+D167+D166+D179+D180+D192+D193+D205+D206+D218+D219+D231+D232+D244+D245)</f>
        <v>2074.5532910689658</v>
      </c>
      <c r="E254" s="66">
        <f t="shared" si="76"/>
        <v>2074.5532910689658</v>
      </c>
      <c r="F254" s="66">
        <f t="shared" si="76"/>
        <v>2074.5532910689658</v>
      </c>
      <c r="G254" s="66">
        <f t="shared" si="76"/>
        <v>1630.9995410689658</v>
      </c>
      <c r="H254" s="66">
        <f t="shared" si="76"/>
        <v>1630.9995410689658</v>
      </c>
      <c r="I254" s="66">
        <f t="shared" si="76"/>
        <v>1630.9995410689658</v>
      </c>
      <c r="J254" s="66">
        <f t="shared" si="76"/>
        <v>1630.9995410689658</v>
      </c>
      <c r="K254" s="66">
        <f t="shared" si="76"/>
        <v>1630.9995410689658</v>
      </c>
      <c r="L254" s="66">
        <f t="shared" si="76"/>
        <v>1630.9995410689658</v>
      </c>
      <c r="M254" s="66">
        <f t="shared" si="76"/>
        <v>1630.9995410689658</v>
      </c>
      <c r="N254" s="66">
        <f t="shared" si="76"/>
        <v>1630.9995410689658</v>
      </c>
    </row>
    <row r="255" spans="1:14" s="58" customFormat="1" x14ac:dyDescent="0.2">
      <c r="A255" s="58" t="s">
        <v>196</v>
      </c>
      <c r="B255" s="60"/>
      <c r="C255" s="60">
        <f>SUM(C252:C254)</f>
        <v>16973.025145568965</v>
      </c>
      <c r="D255" s="60">
        <f t="shared" ref="D255:N255" si="77">SUM(D252:D254)</f>
        <v>16973.025145568965</v>
      </c>
      <c r="E255" s="60">
        <f t="shared" si="77"/>
        <v>16973.025145568965</v>
      </c>
      <c r="F255" s="60">
        <f t="shared" si="77"/>
        <v>16973.025145568965</v>
      </c>
      <c r="G255" s="60">
        <f t="shared" si="77"/>
        <v>15784.437108068965</v>
      </c>
      <c r="H255" s="60">
        <f t="shared" si="77"/>
        <v>15784.437108068965</v>
      </c>
      <c r="I255" s="60">
        <f t="shared" si="77"/>
        <v>15784.437108068965</v>
      </c>
      <c r="J255" s="60">
        <f t="shared" si="77"/>
        <v>15784.437108068965</v>
      </c>
      <c r="K255" s="60">
        <f t="shared" si="77"/>
        <v>15784.437108068965</v>
      </c>
      <c r="L255" s="60">
        <f t="shared" si="77"/>
        <v>15784.437108068965</v>
      </c>
      <c r="M255" s="60">
        <f t="shared" si="77"/>
        <v>15784.437108068965</v>
      </c>
      <c r="N255" s="60">
        <f t="shared" si="77"/>
        <v>15784.437108068965</v>
      </c>
    </row>
    <row r="256" spans="1:14" x14ac:dyDescent="0.2">
      <c r="C256" s="60"/>
      <c r="D256" s="66"/>
      <c r="E256" s="66"/>
      <c r="F256" s="66"/>
      <c r="G256" s="66"/>
      <c r="H256" s="66"/>
      <c r="I256" s="66"/>
      <c r="J256" s="66"/>
      <c r="K256" s="66"/>
      <c r="L256" s="66"/>
      <c r="M256" s="66"/>
      <c r="N256" s="66"/>
    </row>
    <row r="257" spans="1:14" x14ac:dyDescent="0.2">
      <c r="C257" s="60"/>
      <c r="D257" s="66"/>
      <c r="E257" s="66"/>
      <c r="F257" s="66"/>
      <c r="G257" s="66"/>
      <c r="H257" s="66"/>
      <c r="I257" s="66"/>
      <c r="J257" s="66"/>
      <c r="K257" s="66"/>
      <c r="L257" s="66"/>
      <c r="M257" s="66"/>
      <c r="N257" s="66"/>
    </row>
    <row r="258" spans="1:14" x14ac:dyDescent="0.2">
      <c r="C258" s="60"/>
      <c r="D258" s="66"/>
      <c r="E258" s="66"/>
      <c r="F258" s="66"/>
      <c r="G258" s="66"/>
      <c r="H258" s="66"/>
      <c r="I258" s="66"/>
      <c r="J258" s="66"/>
      <c r="K258" s="66"/>
      <c r="L258" s="66"/>
      <c r="M258" s="66"/>
      <c r="N258" s="66"/>
    </row>
    <row r="259" spans="1:14" x14ac:dyDescent="0.2">
      <c r="C259" s="60"/>
      <c r="D259" s="66"/>
      <c r="E259" s="66"/>
      <c r="F259" s="66"/>
      <c r="G259" s="66"/>
      <c r="H259" s="66"/>
      <c r="I259" s="66"/>
      <c r="J259" s="66"/>
      <c r="K259" s="66"/>
      <c r="L259" s="66"/>
      <c r="M259" s="66"/>
      <c r="N259" s="66"/>
    </row>
    <row r="260" spans="1:14" x14ac:dyDescent="0.2">
      <c r="A260" s="84"/>
      <c r="B260" s="84"/>
      <c r="C260" s="60"/>
      <c r="D260" s="66"/>
      <c r="E260" s="66"/>
      <c r="F260" s="66"/>
      <c r="G260" s="66"/>
      <c r="H260" s="66"/>
      <c r="I260" s="66"/>
      <c r="J260" s="66"/>
      <c r="K260" s="66"/>
      <c r="L260" s="66"/>
      <c r="M260" s="66"/>
      <c r="N260" s="66"/>
    </row>
    <row r="261" spans="1:14" x14ac:dyDescent="0.2">
      <c r="A261" s="84"/>
      <c r="B261" s="84"/>
      <c r="C261" s="60"/>
      <c r="D261" s="66"/>
      <c r="E261" s="66"/>
      <c r="F261" s="66"/>
      <c r="G261" s="66"/>
      <c r="H261" s="66"/>
      <c r="I261" s="66"/>
      <c r="J261" s="66"/>
      <c r="K261" s="66"/>
      <c r="L261" s="66"/>
      <c r="M261" s="66"/>
      <c r="N261" s="66"/>
    </row>
    <row r="262" spans="1:14" x14ac:dyDescent="0.2">
      <c r="A262" s="84"/>
      <c r="B262" s="84"/>
      <c r="C262" s="60"/>
      <c r="D262" s="66"/>
      <c r="E262" s="66"/>
      <c r="F262" s="66"/>
      <c r="G262" s="66"/>
      <c r="H262" s="66"/>
      <c r="I262" s="66"/>
      <c r="J262" s="66"/>
      <c r="K262" s="66"/>
      <c r="L262" s="66"/>
      <c r="M262" s="66"/>
      <c r="N262" s="66"/>
    </row>
    <row r="263" spans="1:14" x14ac:dyDescent="0.2">
      <c r="A263" s="84"/>
      <c r="B263" s="84"/>
      <c r="C263" s="60"/>
      <c r="D263" s="66"/>
      <c r="E263" s="66"/>
      <c r="F263" s="66"/>
      <c r="G263" s="73"/>
      <c r="H263" s="66"/>
      <c r="I263" s="66"/>
      <c r="J263" s="66"/>
      <c r="K263" s="66"/>
      <c r="L263" s="66"/>
      <c r="M263" s="66"/>
      <c r="N263" s="66"/>
    </row>
    <row r="264" spans="1:14" x14ac:dyDescent="0.2">
      <c r="A264" s="84"/>
      <c r="B264" s="84"/>
      <c r="C264" s="60"/>
      <c r="D264" s="66"/>
      <c r="E264" s="66"/>
      <c r="F264" s="66"/>
      <c r="G264" s="66"/>
      <c r="H264" s="66"/>
      <c r="I264" s="66"/>
      <c r="J264" s="66"/>
      <c r="K264" s="66"/>
      <c r="L264" s="66"/>
      <c r="M264" s="66"/>
      <c r="N264" s="66"/>
    </row>
    <row r="265" spans="1:14" x14ac:dyDescent="0.2">
      <c r="A265" s="84"/>
      <c r="B265" s="84"/>
      <c r="C265" s="60"/>
      <c r="D265" s="66"/>
      <c r="E265" s="66"/>
      <c r="F265" s="66"/>
      <c r="G265" s="66"/>
      <c r="H265" s="66"/>
      <c r="I265" s="66"/>
      <c r="J265" s="66"/>
      <c r="K265" s="66"/>
      <c r="L265" s="66"/>
      <c r="M265" s="66"/>
      <c r="N265" s="66"/>
    </row>
    <row r="266" spans="1:14" x14ac:dyDescent="0.2">
      <c r="A266" s="84"/>
      <c r="B266" s="84"/>
      <c r="C266" s="60"/>
      <c r="D266" s="66"/>
      <c r="E266" s="66"/>
      <c r="F266" s="66"/>
      <c r="G266" s="66"/>
      <c r="H266" s="66"/>
      <c r="I266" s="66"/>
      <c r="J266" s="66"/>
      <c r="K266" s="66"/>
      <c r="L266" s="66"/>
      <c r="M266" s="66"/>
      <c r="N266" s="66"/>
    </row>
    <row r="267" spans="1:14" x14ac:dyDescent="0.2">
      <c r="A267" s="84"/>
      <c r="B267" s="84"/>
      <c r="C267" s="60"/>
      <c r="D267" s="66"/>
      <c r="E267" s="66"/>
      <c r="F267" s="66"/>
      <c r="G267" s="66"/>
      <c r="H267" s="66"/>
      <c r="I267" s="66"/>
      <c r="J267" s="66"/>
      <c r="K267" s="66"/>
      <c r="L267" s="66"/>
      <c r="M267" s="66"/>
      <c r="N267" s="66"/>
    </row>
    <row r="268" spans="1:14" x14ac:dyDescent="0.2">
      <c r="A268" s="84"/>
      <c r="B268" s="84"/>
      <c r="C268" s="60"/>
      <c r="D268" s="66"/>
      <c r="E268" s="66"/>
      <c r="F268" s="66"/>
      <c r="G268" s="66"/>
      <c r="H268" s="66"/>
      <c r="I268" s="66"/>
      <c r="J268" s="66"/>
      <c r="K268" s="66"/>
      <c r="L268" s="66"/>
      <c r="M268" s="66"/>
      <c r="N268" s="66"/>
    </row>
    <row r="269" spans="1:14" x14ac:dyDescent="0.2">
      <c r="A269" s="84"/>
      <c r="B269" s="84"/>
      <c r="C269" s="60"/>
      <c r="D269" s="66"/>
      <c r="E269" s="66"/>
      <c r="F269" s="66"/>
      <c r="G269" s="66"/>
      <c r="H269" s="66"/>
      <c r="I269" s="66"/>
      <c r="J269" s="66"/>
      <c r="K269" s="66"/>
      <c r="L269" s="66"/>
      <c r="M269" s="66"/>
      <c r="N269" s="66"/>
    </row>
    <row r="270" spans="1:14" x14ac:dyDescent="0.2">
      <c r="A270" s="84"/>
      <c r="B270" s="84"/>
      <c r="C270" s="60"/>
      <c r="D270" s="66"/>
      <c r="E270" s="66"/>
      <c r="F270" s="66"/>
      <c r="G270" s="66"/>
      <c r="H270" s="66"/>
      <c r="I270" s="66"/>
      <c r="J270" s="66"/>
      <c r="K270" s="66"/>
      <c r="L270" s="66"/>
      <c r="M270" s="66"/>
      <c r="N270" s="66"/>
    </row>
    <row r="271" spans="1:14" x14ac:dyDescent="0.2">
      <c r="A271" s="84"/>
      <c r="B271" s="84"/>
      <c r="C271" s="60"/>
      <c r="D271" s="66"/>
      <c r="E271" s="66"/>
      <c r="F271" s="66"/>
      <c r="G271" s="66"/>
      <c r="H271" s="66"/>
      <c r="I271" s="66"/>
      <c r="J271" s="66"/>
      <c r="K271" s="66"/>
      <c r="L271" s="66"/>
      <c r="M271" s="66"/>
      <c r="N271" s="66"/>
    </row>
    <row r="272" spans="1:14" x14ac:dyDescent="0.2">
      <c r="A272" s="84"/>
      <c r="B272" s="84"/>
      <c r="C272" s="60"/>
      <c r="D272" s="66"/>
      <c r="E272" s="66"/>
      <c r="F272" s="66"/>
      <c r="G272" s="66"/>
      <c r="H272" s="66"/>
      <c r="I272" s="66"/>
      <c r="J272" s="66"/>
      <c r="K272" s="66"/>
      <c r="L272" s="66"/>
      <c r="M272" s="66"/>
      <c r="N272" s="66"/>
    </row>
    <row r="273" spans="1:14" x14ac:dyDescent="0.2">
      <c r="A273" s="84"/>
      <c r="B273" s="84"/>
      <c r="C273" s="60"/>
      <c r="D273" s="66"/>
      <c r="E273" s="66"/>
      <c r="F273" s="66"/>
      <c r="G273" s="66"/>
      <c r="H273" s="66"/>
      <c r="I273" s="66"/>
      <c r="J273" s="66"/>
      <c r="K273" s="66"/>
      <c r="L273" s="66"/>
      <c r="M273" s="66"/>
      <c r="N273" s="66"/>
    </row>
    <row r="274" spans="1:14" x14ac:dyDescent="0.2">
      <c r="A274" s="84"/>
      <c r="B274" s="84"/>
      <c r="C274" s="60"/>
      <c r="D274" s="66"/>
      <c r="E274" s="66"/>
      <c r="F274" s="66"/>
      <c r="G274" s="66"/>
      <c r="H274" s="66"/>
      <c r="I274" s="66"/>
      <c r="J274" s="66"/>
      <c r="K274" s="66"/>
      <c r="L274" s="66"/>
      <c r="M274" s="66"/>
      <c r="N274" s="66"/>
    </row>
    <row r="275" spans="1:14" x14ac:dyDescent="0.2">
      <c r="A275" s="84"/>
      <c r="B275" s="84"/>
      <c r="C275" s="60"/>
      <c r="D275" s="66"/>
      <c r="E275" s="66"/>
      <c r="F275" s="66"/>
      <c r="G275" s="66"/>
      <c r="H275" s="66"/>
      <c r="I275" s="66"/>
      <c r="J275" s="66"/>
      <c r="K275" s="66"/>
      <c r="L275" s="66"/>
      <c r="M275" s="66"/>
      <c r="N275" s="66"/>
    </row>
    <row r="276" spans="1:14" x14ac:dyDescent="0.2">
      <c r="A276" s="84"/>
      <c r="B276" s="84"/>
      <c r="C276" s="60"/>
      <c r="D276" s="66"/>
      <c r="E276" s="66"/>
      <c r="F276" s="66"/>
      <c r="G276" s="66"/>
      <c r="H276" s="66"/>
      <c r="I276" s="66"/>
      <c r="J276" s="66"/>
      <c r="K276" s="66"/>
      <c r="L276" s="66"/>
      <c r="M276" s="66"/>
      <c r="N276" s="66"/>
    </row>
    <row r="277" spans="1:14" x14ac:dyDescent="0.2">
      <c r="A277" s="84"/>
      <c r="B277" s="84"/>
      <c r="C277" s="60"/>
      <c r="D277" s="66"/>
      <c r="E277" s="66"/>
      <c r="F277" s="66"/>
      <c r="G277" s="66"/>
      <c r="H277" s="66"/>
      <c r="I277" s="66"/>
      <c r="J277" s="66"/>
      <c r="K277" s="66"/>
      <c r="L277" s="66"/>
      <c r="M277" s="66"/>
      <c r="N277" s="66"/>
    </row>
    <row r="278" spans="1:14" x14ac:dyDescent="0.2">
      <c r="A278" s="84"/>
      <c r="B278" s="84"/>
      <c r="C278" s="60"/>
      <c r="D278" s="66"/>
      <c r="E278" s="66"/>
      <c r="F278" s="66"/>
      <c r="G278" s="66"/>
      <c r="H278" s="66"/>
      <c r="I278" s="66"/>
      <c r="J278" s="66"/>
      <c r="K278" s="66"/>
      <c r="L278" s="66"/>
      <c r="M278" s="66"/>
      <c r="N278" s="66"/>
    </row>
    <row r="279" spans="1:14" x14ac:dyDescent="0.2">
      <c r="A279" s="84"/>
      <c r="B279" s="84"/>
      <c r="C279" s="60"/>
      <c r="D279" s="66"/>
      <c r="E279" s="66"/>
      <c r="F279" s="66"/>
      <c r="G279" s="66"/>
      <c r="H279" s="66"/>
      <c r="I279" s="66"/>
      <c r="J279" s="66"/>
      <c r="K279" s="66"/>
      <c r="L279" s="66"/>
      <c r="M279" s="66"/>
      <c r="N279" s="66"/>
    </row>
    <row r="280" spans="1:14" x14ac:dyDescent="0.2">
      <c r="A280" s="84"/>
      <c r="B280" s="84"/>
      <c r="C280" s="60"/>
      <c r="D280" s="66"/>
      <c r="E280" s="66"/>
      <c r="F280" s="66"/>
      <c r="G280" s="66"/>
      <c r="H280" s="66"/>
      <c r="I280" s="66"/>
      <c r="J280" s="66"/>
      <c r="K280" s="66"/>
      <c r="L280" s="66"/>
      <c r="M280" s="66"/>
      <c r="N280" s="66"/>
    </row>
    <row r="281" spans="1:14" x14ac:dyDescent="0.2">
      <c r="A281" s="84"/>
      <c r="B281" s="84"/>
      <c r="C281" s="60"/>
      <c r="D281" s="66"/>
      <c r="E281" s="66"/>
      <c r="F281" s="66"/>
      <c r="G281" s="66"/>
      <c r="H281" s="66"/>
      <c r="I281" s="66"/>
      <c r="J281" s="66"/>
      <c r="K281" s="66"/>
      <c r="L281" s="66"/>
      <c r="M281" s="66"/>
      <c r="N281" s="66"/>
    </row>
    <row r="282" spans="1:14" x14ac:dyDescent="0.2">
      <c r="A282" s="84"/>
      <c r="B282" s="84"/>
      <c r="C282" s="60"/>
      <c r="D282" s="66"/>
      <c r="E282" s="66"/>
      <c r="F282" s="66"/>
      <c r="G282" s="66"/>
      <c r="H282" s="66"/>
      <c r="I282" s="66"/>
      <c r="J282" s="66"/>
      <c r="K282" s="66"/>
      <c r="L282" s="66"/>
      <c r="M282" s="66"/>
      <c r="N282" s="66"/>
    </row>
    <row r="283" spans="1:14" x14ac:dyDescent="0.2">
      <c r="A283" s="84"/>
      <c r="B283" s="84"/>
      <c r="C283" s="60"/>
      <c r="D283" s="66"/>
      <c r="E283" s="66"/>
      <c r="F283" s="66"/>
      <c r="G283" s="66"/>
      <c r="H283" s="66"/>
      <c r="I283" s="66"/>
      <c r="J283" s="66"/>
      <c r="K283" s="66"/>
      <c r="L283" s="66"/>
      <c r="M283" s="66"/>
      <c r="N283" s="66"/>
    </row>
    <row r="284" spans="1:14" x14ac:dyDescent="0.2">
      <c r="A284" s="84"/>
      <c r="B284" s="84"/>
      <c r="C284" s="60"/>
      <c r="D284" s="66"/>
      <c r="E284" s="66"/>
      <c r="F284" s="66"/>
      <c r="G284" s="66"/>
      <c r="H284" s="66"/>
      <c r="I284" s="66"/>
      <c r="J284" s="66"/>
      <c r="K284" s="66"/>
      <c r="L284" s="66"/>
      <c r="M284" s="66"/>
      <c r="N284" s="66"/>
    </row>
    <row r="285" spans="1:14" x14ac:dyDescent="0.2">
      <c r="A285" s="84"/>
      <c r="B285" s="84"/>
      <c r="C285" s="60"/>
      <c r="D285" s="66"/>
      <c r="E285" s="66"/>
      <c r="F285" s="66"/>
      <c r="G285" s="66"/>
      <c r="H285" s="66"/>
      <c r="I285" s="66"/>
      <c r="J285" s="66"/>
      <c r="K285" s="66"/>
      <c r="L285" s="66"/>
      <c r="M285" s="66"/>
      <c r="N285" s="66"/>
    </row>
    <row r="286" spans="1:14" x14ac:dyDescent="0.2">
      <c r="A286" s="84"/>
      <c r="B286" s="84"/>
      <c r="C286" s="60"/>
      <c r="D286" s="66"/>
      <c r="E286" s="66"/>
      <c r="F286" s="66"/>
      <c r="G286" s="66"/>
      <c r="H286" s="66"/>
      <c r="I286" s="66"/>
      <c r="J286" s="66"/>
      <c r="K286" s="66"/>
      <c r="L286" s="66"/>
      <c r="M286" s="66"/>
      <c r="N286" s="66"/>
    </row>
    <row r="287" spans="1:14" x14ac:dyDescent="0.2">
      <c r="A287" s="84"/>
      <c r="B287" s="84"/>
      <c r="C287" s="60"/>
      <c r="D287" s="66"/>
      <c r="E287" s="66"/>
      <c r="F287" s="66"/>
      <c r="G287" s="66"/>
      <c r="H287" s="66"/>
      <c r="I287" s="66"/>
      <c r="J287" s="66"/>
      <c r="K287" s="66"/>
      <c r="L287" s="66"/>
      <c r="M287" s="66"/>
      <c r="N287" s="66"/>
    </row>
    <row r="288" spans="1:14" x14ac:dyDescent="0.2">
      <c r="A288" s="84"/>
      <c r="B288" s="84"/>
      <c r="C288" s="60"/>
      <c r="D288" s="66"/>
      <c r="E288" s="66"/>
      <c r="F288" s="66"/>
      <c r="G288" s="66"/>
      <c r="H288" s="66"/>
      <c r="I288" s="66"/>
      <c r="J288" s="66"/>
      <c r="K288" s="66"/>
      <c r="L288" s="66"/>
      <c r="M288" s="66"/>
      <c r="N288" s="66"/>
    </row>
    <row r="289" spans="1:14" x14ac:dyDescent="0.2">
      <c r="A289" s="84"/>
      <c r="B289" s="84"/>
      <c r="C289" s="60"/>
      <c r="D289" s="66"/>
      <c r="E289" s="66"/>
      <c r="F289" s="66"/>
      <c r="G289" s="66"/>
      <c r="H289" s="66"/>
      <c r="I289" s="66"/>
      <c r="J289" s="66"/>
      <c r="K289" s="66"/>
      <c r="L289" s="66"/>
      <c r="M289" s="66"/>
      <c r="N289" s="66"/>
    </row>
    <row r="290" spans="1:14" x14ac:dyDescent="0.2">
      <c r="A290" s="84"/>
      <c r="B290" s="84"/>
      <c r="C290" s="60"/>
      <c r="D290" s="66"/>
      <c r="E290" s="66"/>
      <c r="F290" s="66"/>
      <c r="G290" s="66"/>
      <c r="H290" s="66"/>
      <c r="I290" s="66"/>
      <c r="J290" s="66"/>
      <c r="K290" s="66"/>
      <c r="L290" s="66"/>
      <c r="M290" s="66"/>
      <c r="N290" s="66"/>
    </row>
    <row r="291" spans="1:14" x14ac:dyDescent="0.2">
      <c r="A291" s="84"/>
      <c r="B291" s="84"/>
      <c r="C291" s="60"/>
      <c r="D291" s="66"/>
      <c r="E291" s="66"/>
      <c r="F291" s="66"/>
      <c r="G291" s="66"/>
      <c r="H291" s="66"/>
      <c r="I291" s="66"/>
      <c r="J291" s="66"/>
      <c r="K291" s="66"/>
      <c r="L291" s="66"/>
      <c r="M291" s="66"/>
      <c r="N291" s="66"/>
    </row>
    <row r="292" spans="1:14" x14ac:dyDescent="0.2">
      <c r="A292" s="84"/>
      <c r="B292" s="84"/>
      <c r="C292" s="60"/>
      <c r="D292" s="66"/>
      <c r="E292" s="66"/>
      <c r="F292" s="66"/>
      <c r="G292" s="66"/>
      <c r="H292" s="66"/>
      <c r="I292" s="66"/>
      <c r="J292" s="66"/>
      <c r="K292" s="66"/>
      <c r="L292" s="66"/>
      <c r="M292" s="66"/>
      <c r="N292" s="66"/>
    </row>
    <row r="293" spans="1:14" x14ac:dyDescent="0.2">
      <c r="A293" s="84"/>
      <c r="B293" s="84"/>
      <c r="C293" s="60"/>
      <c r="D293" s="66"/>
      <c r="E293" s="66"/>
      <c r="F293" s="66"/>
      <c r="G293" s="66"/>
      <c r="H293" s="66"/>
      <c r="I293" s="66"/>
      <c r="J293" s="66"/>
      <c r="K293" s="66"/>
      <c r="L293" s="66"/>
      <c r="M293" s="66"/>
      <c r="N293" s="66"/>
    </row>
    <row r="294" spans="1:14" x14ac:dyDescent="0.2">
      <c r="A294" s="84"/>
      <c r="B294" s="84"/>
      <c r="C294" s="60"/>
      <c r="D294" s="66"/>
      <c r="E294" s="66"/>
      <c r="F294" s="66"/>
      <c r="G294" s="66"/>
      <c r="H294" s="66"/>
      <c r="I294" s="66"/>
      <c r="J294" s="66"/>
      <c r="K294" s="66"/>
      <c r="L294" s="66"/>
      <c r="M294" s="66"/>
      <c r="N294" s="66"/>
    </row>
    <row r="295" spans="1:14" x14ac:dyDescent="0.2">
      <c r="A295" s="84"/>
      <c r="B295" s="84"/>
      <c r="C295" s="60"/>
      <c r="D295" s="66"/>
      <c r="E295" s="66"/>
      <c r="F295" s="66"/>
      <c r="G295" s="66"/>
      <c r="H295" s="66"/>
      <c r="I295" s="66"/>
      <c r="J295" s="66"/>
      <c r="K295" s="66"/>
      <c r="L295" s="66"/>
      <c r="M295" s="66"/>
      <c r="N295" s="66"/>
    </row>
    <row r="296" spans="1:14" x14ac:dyDescent="0.2">
      <c r="A296" s="84"/>
      <c r="B296" s="84"/>
      <c r="C296" s="60"/>
      <c r="D296" s="66"/>
      <c r="E296" s="66"/>
      <c r="F296" s="66"/>
      <c r="G296" s="66"/>
      <c r="H296" s="66"/>
      <c r="I296" s="66"/>
      <c r="J296" s="66"/>
      <c r="K296" s="66"/>
      <c r="L296" s="66"/>
      <c r="M296" s="66"/>
      <c r="N296" s="66"/>
    </row>
    <row r="297" spans="1:14" x14ac:dyDescent="0.2">
      <c r="A297" s="84"/>
      <c r="B297" s="84"/>
      <c r="C297" s="60"/>
      <c r="D297" s="66"/>
      <c r="E297" s="66"/>
      <c r="F297" s="66"/>
      <c r="G297" s="66"/>
      <c r="H297" s="66"/>
      <c r="I297" s="66"/>
      <c r="J297" s="66"/>
      <c r="K297" s="66"/>
      <c r="L297" s="66"/>
      <c r="M297" s="66"/>
      <c r="N297" s="66"/>
    </row>
    <row r="298" spans="1:14" x14ac:dyDescent="0.2">
      <c r="A298" s="84"/>
      <c r="B298" s="84"/>
      <c r="C298" s="60"/>
      <c r="D298" s="66"/>
      <c r="E298" s="66"/>
      <c r="F298" s="66"/>
      <c r="G298" s="66"/>
      <c r="H298" s="66"/>
      <c r="I298" s="66"/>
      <c r="J298" s="66"/>
      <c r="K298" s="66"/>
      <c r="L298" s="66"/>
      <c r="M298" s="66"/>
      <c r="N298" s="66"/>
    </row>
    <row r="299" spans="1:14" x14ac:dyDescent="0.2">
      <c r="A299" s="84"/>
      <c r="B299" s="84"/>
      <c r="C299" s="60"/>
      <c r="D299" s="66"/>
      <c r="E299" s="66"/>
      <c r="F299" s="66"/>
      <c r="G299" s="66"/>
      <c r="H299" s="66"/>
      <c r="I299" s="66"/>
      <c r="J299" s="66"/>
      <c r="K299" s="66"/>
      <c r="L299" s="66"/>
      <c r="M299" s="66"/>
      <c r="N299" s="66"/>
    </row>
    <row r="300" spans="1:14" x14ac:dyDescent="0.2">
      <c r="A300" s="84"/>
      <c r="B300" s="84"/>
      <c r="C300" s="60"/>
      <c r="D300" s="66"/>
      <c r="E300" s="66"/>
      <c r="F300" s="66"/>
      <c r="G300" s="66"/>
      <c r="H300" s="66"/>
      <c r="I300" s="66"/>
      <c r="J300" s="66"/>
      <c r="K300" s="66"/>
      <c r="L300" s="66"/>
      <c r="M300" s="66"/>
      <c r="N300" s="66"/>
    </row>
    <row r="301" spans="1:14" x14ac:dyDescent="0.2">
      <c r="A301" s="84"/>
      <c r="B301" s="84"/>
      <c r="C301" s="60"/>
      <c r="D301" s="66"/>
      <c r="E301" s="66"/>
      <c r="F301" s="66"/>
      <c r="G301" s="66"/>
      <c r="H301" s="66"/>
      <c r="I301" s="66"/>
      <c r="J301" s="66"/>
      <c r="K301" s="66"/>
      <c r="L301" s="66"/>
      <c r="M301" s="66"/>
      <c r="N301" s="66"/>
    </row>
    <row r="302" spans="1:14" x14ac:dyDescent="0.2">
      <c r="A302" s="84"/>
      <c r="B302" s="84"/>
      <c r="C302" s="60"/>
      <c r="D302" s="66"/>
      <c r="E302" s="66"/>
      <c r="F302" s="66"/>
      <c r="G302" s="66"/>
      <c r="H302" s="66"/>
      <c r="I302" s="66"/>
      <c r="J302" s="66"/>
      <c r="K302" s="66"/>
      <c r="L302" s="66"/>
      <c r="M302" s="66"/>
      <c r="N302" s="66"/>
    </row>
    <row r="303" spans="1:14" x14ac:dyDescent="0.2">
      <c r="A303" s="84"/>
      <c r="B303" s="84"/>
      <c r="C303" s="60"/>
      <c r="D303" s="66"/>
      <c r="E303" s="66"/>
      <c r="F303" s="66"/>
      <c r="G303" s="66"/>
      <c r="H303" s="66"/>
      <c r="I303" s="66"/>
      <c r="J303" s="66"/>
      <c r="K303" s="66"/>
      <c r="L303" s="66"/>
      <c r="M303" s="66"/>
      <c r="N303" s="66"/>
    </row>
    <row r="304" spans="1:14" x14ac:dyDescent="0.2">
      <c r="A304" s="84"/>
      <c r="B304" s="84"/>
      <c r="C304" s="60"/>
      <c r="D304" s="66"/>
      <c r="E304" s="66"/>
      <c r="F304" s="66"/>
      <c r="G304" s="66"/>
      <c r="H304" s="66"/>
      <c r="I304" s="66"/>
      <c r="J304" s="66"/>
      <c r="K304" s="66"/>
      <c r="L304" s="66"/>
      <c r="M304" s="66"/>
      <c r="N304" s="66"/>
    </row>
    <row r="305" spans="1:14" x14ac:dyDescent="0.2">
      <c r="A305" s="84"/>
      <c r="B305" s="84"/>
      <c r="C305" s="60"/>
      <c r="D305" s="66"/>
      <c r="E305" s="66"/>
      <c r="F305" s="66"/>
      <c r="G305" s="66"/>
      <c r="H305" s="66"/>
      <c r="I305" s="66"/>
      <c r="J305" s="66"/>
      <c r="K305" s="66"/>
      <c r="L305" s="66"/>
      <c r="M305" s="66"/>
      <c r="N305" s="66"/>
    </row>
    <row r="306" spans="1:14" x14ac:dyDescent="0.2">
      <c r="A306" s="84"/>
      <c r="B306" s="84"/>
      <c r="C306" s="60"/>
      <c r="D306" s="66"/>
      <c r="E306" s="66"/>
      <c r="F306" s="66"/>
      <c r="G306" s="66"/>
      <c r="H306" s="66"/>
      <c r="I306" s="66"/>
      <c r="J306" s="66"/>
      <c r="K306" s="66"/>
      <c r="L306" s="66"/>
      <c r="M306" s="66"/>
      <c r="N306" s="66"/>
    </row>
    <row r="307" spans="1:14" x14ac:dyDescent="0.2">
      <c r="A307" s="84"/>
      <c r="B307" s="84"/>
      <c r="C307" s="60"/>
      <c r="D307" s="66"/>
      <c r="E307" s="66"/>
      <c r="F307" s="66"/>
      <c r="G307" s="66"/>
      <c r="H307" s="66"/>
      <c r="I307" s="66"/>
      <c r="J307" s="66"/>
      <c r="K307" s="66"/>
      <c r="L307" s="66"/>
      <c r="M307" s="66"/>
      <c r="N307" s="66"/>
    </row>
    <row r="308" spans="1:14" x14ac:dyDescent="0.2">
      <c r="A308" s="84"/>
      <c r="B308" s="84"/>
      <c r="C308" s="60"/>
      <c r="D308" s="66"/>
      <c r="E308" s="66"/>
      <c r="F308" s="66"/>
      <c r="G308" s="66"/>
      <c r="H308" s="66"/>
      <c r="I308" s="66"/>
      <c r="J308" s="66"/>
      <c r="K308" s="66"/>
      <c r="L308" s="66"/>
      <c r="M308" s="66"/>
      <c r="N308" s="66"/>
    </row>
    <row r="309" spans="1:14" x14ac:dyDescent="0.2">
      <c r="A309" s="84"/>
      <c r="B309" s="84"/>
      <c r="C309" s="60"/>
      <c r="D309" s="66"/>
      <c r="E309" s="66"/>
      <c r="F309" s="66"/>
      <c r="G309" s="66"/>
      <c r="H309" s="66"/>
      <c r="I309" s="66"/>
      <c r="J309" s="66"/>
      <c r="K309" s="66"/>
      <c r="L309" s="66"/>
      <c r="M309" s="66"/>
      <c r="N309" s="66"/>
    </row>
    <row r="310" spans="1:14" x14ac:dyDescent="0.2">
      <c r="A310" s="84"/>
      <c r="B310" s="84"/>
      <c r="C310" s="60"/>
      <c r="D310" s="66"/>
      <c r="E310" s="66"/>
      <c r="F310" s="66"/>
      <c r="G310" s="66"/>
      <c r="H310" s="66"/>
      <c r="I310" s="66"/>
      <c r="J310" s="66"/>
      <c r="K310" s="66"/>
      <c r="L310" s="66"/>
      <c r="M310" s="66"/>
      <c r="N310" s="66"/>
    </row>
    <row r="311" spans="1:14" x14ac:dyDescent="0.2">
      <c r="A311" s="84"/>
      <c r="B311" s="84"/>
      <c r="C311" s="60"/>
      <c r="D311" s="66"/>
      <c r="E311" s="66"/>
      <c r="F311" s="66"/>
      <c r="G311" s="66"/>
      <c r="H311" s="66"/>
      <c r="I311" s="66"/>
      <c r="J311" s="66"/>
      <c r="K311" s="66"/>
      <c r="L311" s="66"/>
      <c r="M311" s="66"/>
      <c r="N311" s="66"/>
    </row>
    <row r="312" spans="1:14" x14ac:dyDescent="0.2">
      <c r="A312" s="84"/>
      <c r="B312" s="84"/>
      <c r="C312" s="60"/>
      <c r="D312" s="66"/>
      <c r="E312" s="66"/>
      <c r="F312" s="66"/>
      <c r="G312" s="66"/>
      <c r="H312" s="66"/>
      <c r="I312" s="66"/>
      <c r="J312" s="66"/>
      <c r="K312" s="66"/>
      <c r="L312" s="66"/>
      <c r="M312" s="66"/>
      <c r="N312" s="66"/>
    </row>
    <row r="313" spans="1:14" x14ac:dyDescent="0.2">
      <c r="A313" s="84"/>
      <c r="B313" s="84"/>
      <c r="C313" s="60"/>
      <c r="D313" s="66"/>
      <c r="E313" s="66"/>
      <c r="F313" s="66"/>
      <c r="G313" s="66"/>
      <c r="H313" s="66"/>
      <c r="I313" s="66"/>
      <c r="J313" s="66"/>
      <c r="K313" s="66"/>
      <c r="L313" s="66"/>
      <c r="M313" s="66"/>
      <c r="N313" s="66"/>
    </row>
    <row r="314" spans="1:14" x14ac:dyDescent="0.2">
      <c r="A314" s="84"/>
      <c r="B314" s="84"/>
      <c r="C314" s="60"/>
      <c r="D314" s="66"/>
      <c r="E314" s="66"/>
      <c r="F314" s="66"/>
      <c r="G314" s="66"/>
      <c r="H314" s="66"/>
      <c r="I314" s="66"/>
      <c r="J314" s="66"/>
      <c r="K314" s="66"/>
      <c r="L314" s="66"/>
      <c r="M314" s="66"/>
      <c r="N314" s="66"/>
    </row>
    <row r="315" spans="1:14" x14ac:dyDescent="0.2">
      <c r="A315" s="84"/>
      <c r="B315" s="84"/>
      <c r="C315" s="60"/>
      <c r="D315" s="66"/>
      <c r="E315" s="66"/>
      <c r="F315" s="66"/>
      <c r="G315" s="66"/>
      <c r="H315" s="66"/>
      <c r="I315" s="66"/>
      <c r="J315" s="66"/>
      <c r="K315" s="66"/>
      <c r="L315" s="66"/>
      <c r="M315" s="66"/>
      <c r="N315" s="66"/>
    </row>
    <row r="316" spans="1:14" x14ac:dyDescent="0.2">
      <c r="A316" s="84"/>
      <c r="B316" s="84"/>
      <c r="C316" s="60"/>
      <c r="D316" s="66"/>
      <c r="E316" s="66"/>
      <c r="F316" s="66"/>
      <c r="G316" s="66"/>
      <c r="H316" s="66"/>
      <c r="I316" s="66"/>
      <c r="J316" s="66"/>
      <c r="K316" s="66"/>
      <c r="L316" s="66"/>
      <c r="M316" s="66"/>
      <c r="N316" s="66"/>
    </row>
    <row r="317" spans="1:14" x14ac:dyDescent="0.2">
      <c r="A317" s="84"/>
      <c r="B317" s="84"/>
      <c r="C317" s="60"/>
      <c r="D317" s="66"/>
      <c r="E317" s="66"/>
      <c r="F317" s="66"/>
      <c r="G317" s="66"/>
      <c r="H317" s="66"/>
      <c r="I317" s="66"/>
      <c r="J317" s="66"/>
      <c r="K317" s="66"/>
      <c r="L317" s="66"/>
      <c r="M317" s="66"/>
      <c r="N317" s="66"/>
    </row>
    <row r="318" spans="1:14" x14ac:dyDescent="0.2">
      <c r="A318" s="84"/>
      <c r="B318" s="84"/>
      <c r="C318" s="60"/>
      <c r="D318" s="66"/>
      <c r="E318" s="66"/>
      <c r="F318" s="66"/>
      <c r="G318" s="66"/>
      <c r="H318" s="66"/>
      <c r="I318" s="66"/>
      <c r="J318" s="66"/>
      <c r="K318" s="66"/>
      <c r="L318" s="66"/>
      <c r="M318" s="66"/>
      <c r="N318" s="66"/>
    </row>
    <row r="319" spans="1:14" x14ac:dyDescent="0.2">
      <c r="A319" s="84"/>
      <c r="B319" s="84"/>
      <c r="C319" s="60"/>
      <c r="D319" s="66"/>
      <c r="E319" s="66"/>
      <c r="F319" s="66"/>
      <c r="G319" s="66"/>
      <c r="H319" s="66"/>
      <c r="I319" s="66"/>
      <c r="J319" s="66"/>
      <c r="K319" s="66"/>
      <c r="L319" s="66"/>
      <c r="M319" s="66"/>
      <c r="N319" s="66"/>
    </row>
    <row r="320" spans="1:14" x14ac:dyDescent="0.2">
      <c r="A320" s="84"/>
      <c r="B320" s="84"/>
      <c r="C320" s="60"/>
      <c r="D320" s="66"/>
      <c r="E320" s="66"/>
      <c r="F320" s="66"/>
      <c r="G320" s="66"/>
      <c r="H320" s="66"/>
      <c r="I320" s="66"/>
      <c r="J320" s="66"/>
      <c r="K320" s="66"/>
      <c r="L320" s="66"/>
      <c r="M320" s="66"/>
      <c r="N320" s="66"/>
    </row>
    <row r="321" spans="1:14" x14ac:dyDescent="0.2">
      <c r="A321" s="84"/>
      <c r="B321" s="84"/>
      <c r="C321" s="60"/>
      <c r="D321" s="66"/>
      <c r="E321" s="66"/>
      <c r="F321" s="66"/>
      <c r="G321" s="66"/>
      <c r="H321" s="66"/>
      <c r="I321" s="66"/>
      <c r="J321" s="66"/>
      <c r="K321" s="66"/>
      <c r="L321" s="66"/>
      <c r="M321" s="66"/>
      <c r="N321" s="66"/>
    </row>
    <row r="322" spans="1:14" x14ac:dyDescent="0.2">
      <c r="A322" s="84"/>
      <c r="B322" s="84"/>
      <c r="C322" s="60"/>
      <c r="D322" s="66"/>
      <c r="E322" s="66"/>
      <c r="F322" s="66"/>
      <c r="G322" s="66"/>
      <c r="H322" s="66"/>
      <c r="I322" s="66"/>
      <c r="J322" s="66"/>
      <c r="K322" s="66"/>
      <c r="L322" s="66"/>
      <c r="M322" s="66"/>
      <c r="N322" s="66"/>
    </row>
    <row r="323" spans="1:14" x14ac:dyDescent="0.2">
      <c r="A323" s="84"/>
      <c r="B323" s="84"/>
      <c r="C323" s="60"/>
      <c r="D323" s="66"/>
      <c r="E323" s="66"/>
      <c r="F323" s="66"/>
      <c r="G323" s="66"/>
      <c r="H323" s="66"/>
      <c r="I323" s="66"/>
      <c r="J323" s="66"/>
      <c r="K323" s="66"/>
      <c r="L323" s="66"/>
      <c r="M323" s="66"/>
      <c r="N323" s="66"/>
    </row>
    <row r="324" spans="1:14" x14ac:dyDescent="0.2">
      <c r="A324" s="84"/>
      <c r="B324" s="84"/>
      <c r="C324" s="60"/>
      <c r="D324" s="66"/>
      <c r="E324" s="66"/>
      <c r="F324" s="66"/>
      <c r="G324" s="66"/>
      <c r="H324" s="66"/>
      <c r="I324" s="66"/>
      <c r="J324" s="66"/>
      <c r="K324" s="66"/>
      <c r="L324" s="66"/>
      <c r="M324" s="66"/>
      <c r="N324" s="66"/>
    </row>
    <row r="325" spans="1:14" x14ac:dyDescent="0.2">
      <c r="A325" s="84"/>
      <c r="B325" s="84"/>
      <c r="C325" s="60"/>
      <c r="D325" s="66"/>
      <c r="E325" s="66"/>
      <c r="F325" s="66"/>
      <c r="G325" s="66"/>
      <c r="H325" s="66"/>
      <c r="I325" s="66"/>
      <c r="J325" s="66"/>
      <c r="K325" s="66"/>
      <c r="L325" s="66"/>
      <c r="M325" s="66"/>
      <c r="N325" s="66"/>
    </row>
    <row r="326" spans="1:14" x14ac:dyDescent="0.2">
      <c r="A326" s="84"/>
      <c r="B326" s="84"/>
      <c r="C326" s="60"/>
      <c r="D326" s="66"/>
      <c r="E326" s="66"/>
      <c r="F326" s="66"/>
      <c r="G326" s="66"/>
      <c r="H326" s="66"/>
      <c r="I326" s="66"/>
      <c r="J326" s="66"/>
      <c r="K326" s="66"/>
      <c r="L326" s="66"/>
      <c r="M326" s="66"/>
      <c r="N326" s="66"/>
    </row>
    <row r="327" spans="1:14" x14ac:dyDescent="0.2">
      <c r="A327" s="84"/>
      <c r="B327" s="84"/>
      <c r="C327" s="60"/>
      <c r="D327" s="66"/>
      <c r="E327" s="66"/>
      <c r="F327" s="66"/>
      <c r="G327" s="66"/>
      <c r="H327" s="66"/>
      <c r="I327" s="66"/>
      <c r="J327" s="66"/>
      <c r="K327" s="66"/>
      <c r="L327" s="66"/>
      <c r="M327" s="66"/>
      <c r="N327" s="66"/>
    </row>
    <row r="328" spans="1:14" x14ac:dyDescent="0.2">
      <c r="A328" s="84"/>
      <c r="B328" s="84"/>
      <c r="C328" s="60"/>
      <c r="D328" s="66"/>
      <c r="E328" s="66"/>
      <c r="F328" s="66"/>
      <c r="G328" s="66"/>
      <c r="H328" s="66"/>
      <c r="I328" s="66"/>
      <c r="J328" s="66"/>
      <c r="K328" s="66"/>
      <c r="L328" s="66"/>
      <c r="M328" s="66"/>
      <c r="N328" s="66"/>
    </row>
    <row r="329" spans="1:14" x14ac:dyDescent="0.2">
      <c r="A329" s="84"/>
      <c r="B329" s="84"/>
      <c r="C329" s="60"/>
      <c r="D329" s="66"/>
      <c r="E329" s="66"/>
      <c r="F329" s="66"/>
      <c r="G329" s="66"/>
      <c r="H329" s="66"/>
      <c r="I329" s="66"/>
      <c r="J329" s="66"/>
      <c r="K329" s="66"/>
      <c r="L329" s="66"/>
      <c r="M329" s="66"/>
      <c r="N329" s="66"/>
    </row>
    <row r="330" spans="1:14" x14ac:dyDescent="0.2">
      <c r="A330" s="84"/>
      <c r="B330" s="84"/>
      <c r="C330" s="60"/>
      <c r="D330" s="66"/>
      <c r="E330" s="66"/>
      <c r="F330" s="66"/>
      <c r="G330" s="66"/>
      <c r="H330" s="66"/>
      <c r="I330" s="66"/>
      <c r="J330" s="66"/>
      <c r="K330" s="66"/>
      <c r="L330" s="66"/>
      <c r="M330" s="66"/>
      <c r="N330" s="66"/>
    </row>
    <row r="331" spans="1:14" x14ac:dyDescent="0.2">
      <c r="A331" s="84"/>
      <c r="B331" s="84"/>
      <c r="C331" s="60"/>
      <c r="D331" s="66"/>
      <c r="E331" s="66"/>
      <c r="F331" s="66"/>
      <c r="G331" s="66"/>
      <c r="H331" s="66"/>
      <c r="I331" s="66"/>
      <c r="J331" s="66"/>
      <c r="K331" s="66"/>
      <c r="L331" s="66"/>
      <c r="M331" s="66"/>
      <c r="N331" s="66"/>
    </row>
    <row r="332" spans="1:14" x14ac:dyDescent="0.2">
      <c r="A332" s="84"/>
      <c r="B332" s="84"/>
      <c r="C332" s="60"/>
      <c r="D332" s="66"/>
      <c r="E332" s="66"/>
      <c r="F332" s="66"/>
      <c r="G332" s="66"/>
      <c r="H332" s="66"/>
      <c r="I332" s="66"/>
      <c r="J332" s="66"/>
      <c r="K332" s="66"/>
      <c r="L332" s="66"/>
      <c r="M332" s="66"/>
      <c r="N332" s="66"/>
    </row>
    <row r="333" spans="1:14" x14ac:dyDescent="0.2">
      <c r="A333" s="84"/>
      <c r="B333" s="84"/>
      <c r="C333" s="60"/>
      <c r="D333" s="66"/>
      <c r="E333" s="66"/>
      <c r="F333" s="66"/>
      <c r="G333" s="66"/>
      <c r="H333" s="66"/>
      <c r="I333" s="66"/>
      <c r="J333" s="66"/>
      <c r="K333" s="66"/>
      <c r="L333" s="66"/>
      <c r="M333" s="66"/>
      <c r="N333" s="66"/>
    </row>
    <row r="334" spans="1:14" x14ac:dyDescent="0.2">
      <c r="A334" s="84"/>
      <c r="B334" s="84"/>
      <c r="C334" s="60"/>
      <c r="D334" s="66"/>
      <c r="E334" s="66"/>
      <c r="F334" s="66"/>
      <c r="G334" s="66"/>
      <c r="H334" s="66"/>
      <c r="I334" s="66"/>
      <c r="J334" s="66"/>
      <c r="K334" s="66"/>
      <c r="L334" s="66"/>
      <c r="M334" s="66"/>
      <c r="N334" s="66"/>
    </row>
    <row r="335" spans="1:14" x14ac:dyDescent="0.2">
      <c r="A335" s="84"/>
      <c r="B335" s="84"/>
      <c r="C335" s="60"/>
      <c r="D335" s="66"/>
      <c r="E335" s="66"/>
      <c r="F335" s="66"/>
      <c r="G335" s="66"/>
      <c r="H335" s="66"/>
      <c r="I335" s="66"/>
      <c r="J335" s="66"/>
      <c r="K335" s="66"/>
      <c r="L335" s="66"/>
      <c r="M335" s="66"/>
      <c r="N335" s="66"/>
    </row>
    <row r="336" spans="1:14" x14ac:dyDescent="0.2">
      <c r="A336" s="84"/>
      <c r="B336" s="84"/>
      <c r="C336" s="60"/>
      <c r="D336" s="66"/>
      <c r="E336" s="66"/>
      <c r="F336" s="66"/>
      <c r="G336" s="66"/>
      <c r="H336" s="66"/>
      <c r="I336" s="66"/>
      <c r="J336" s="66"/>
      <c r="K336" s="66"/>
      <c r="L336" s="66"/>
      <c r="M336" s="66"/>
      <c r="N336" s="66"/>
    </row>
    <row r="337" spans="1:14" x14ac:dyDescent="0.2">
      <c r="A337" s="84"/>
      <c r="B337" s="84"/>
      <c r="C337" s="60"/>
      <c r="D337" s="66"/>
      <c r="E337" s="66"/>
      <c r="F337" s="66"/>
      <c r="G337" s="66"/>
      <c r="H337" s="66"/>
      <c r="I337" s="66"/>
      <c r="J337" s="66"/>
      <c r="K337" s="66"/>
      <c r="L337" s="66"/>
      <c r="M337" s="66"/>
      <c r="N337" s="66"/>
    </row>
    <row r="338" spans="1:14" x14ac:dyDescent="0.2">
      <c r="A338" s="84"/>
      <c r="B338" s="84"/>
      <c r="C338" s="60"/>
      <c r="D338" s="66"/>
      <c r="E338" s="66"/>
      <c r="F338" s="66"/>
      <c r="G338" s="66"/>
      <c r="H338" s="66"/>
      <c r="I338" s="66"/>
      <c r="J338" s="66"/>
      <c r="K338" s="66"/>
      <c r="L338" s="66"/>
      <c r="M338" s="66"/>
      <c r="N338" s="66"/>
    </row>
    <row r="339" spans="1:14" x14ac:dyDescent="0.2">
      <c r="A339" s="84"/>
      <c r="B339" s="84"/>
      <c r="C339" s="60"/>
      <c r="D339" s="66"/>
      <c r="E339" s="66"/>
      <c r="F339" s="66"/>
      <c r="G339" s="66"/>
      <c r="H339" s="66"/>
      <c r="I339" s="66"/>
      <c r="J339" s="66"/>
      <c r="K339" s="66"/>
      <c r="L339" s="66"/>
      <c r="M339" s="66"/>
      <c r="N339" s="66"/>
    </row>
    <row r="340" spans="1:14" x14ac:dyDescent="0.2">
      <c r="A340" s="84"/>
      <c r="B340" s="84"/>
      <c r="C340" s="60"/>
      <c r="D340" s="66"/>
      <c r="E340" s="66"/>
      <c r="F340" s="66"/>
      <c r="G340" s="66"/>
      <c r="H340" s="66"/>
      <c r="I340" s="66"/>
      <c r="J340" s="66"/>
      <c r="K340" s="66"/>
      <c r="L340" s="66"/>
      <c r="M340" s="66"/>
      <c r="N340" s="66"/>
    </row>
    <row r="341" spans="1:14" x14ac:dyDescent="0.2">
      <c r="A341" s="84"/>
      <c r="B341" s="84"/>
      <c r="C341" s="60"/>
      <c r="D341" s="66"/>
      <c r="E341" s="66"/>
      <c r="F341" s="66"/>
      <c r="G341" s="66"/>
      <c r="H341" s="66"/>
      <c r="I341" s="66"/>
      <c r="J341" s="66"/>
      <c r="K341" s="66"/>
      <c r="L341" s="66"/>
      <c r="M341" s="66"/>
      <c r="N341" s="66"/>
    </row>
    <row r="342" spans="1:14" x14ac:dyDescent="0.2">
      <c r="A342" s="84"/>
      <c r="B342" s="84"/>
      <c r="C342" s="60"/>
      <c r="D342" s="66"/>
      <c r="E342" s="66"/>
      <c r="F342" s="66"/>
      <c r="G342" s="66"/>
      <c r="H342" s="66"/>
      <c r="I342" s="66"/>
      <c r="J342" s="66"/>
      <c r="K342" s="66"/>
      <c r="L342" s="66"/>
      <c r="M342" s="66"/>
      <c r="N342" s="66"/>
    </row>
    <row r="343" spans="1:14" x14ac:dyDescent="0.2">
      <c r="A343" s="84"/>
      <c r="B343" s="84"/>
      <c r="C343" s="60"/>
      <c r="D343" s="66"/>
      <c r="E343" s="66"/>
      <c r="F343" s="66"/>
      <c r="G343" s="66"/>
      <c r="H343" s="66"/>
      <c r="I343" s="66"/>
      <c r="J343" s="66"/>
      <c r="K343" s="66"/>
      <c r="L343" s="66"/>
      <c r="M343" s="66"/>
      <c r="N343" s="66"/>
    </row>
    <row r="344" spans="1:14" x14ac:dyDescent="0.2">
      <c r="A344" s="84"/>
      <c r="B344" s="84"/>
      <c r="C344" s="60"/>
      <c r="D344" s="66"/>
      <c r="E344" s="66"/>
      <c r="F344" s="66"/>
      <c r="G344" s="66"/>
      <c r="H344" s="66"/>
      <c r="I344" s="66"/>
      <c r="J344" s="66"/>
      <c r="K344" s="66"/>
      <c r="L344" s="66"/>
      <c r="M344" s="66"/>
      <c r="N344" s="66"/>
    </row>
    <row r="345" spans="1:14" x14ac:dyDescent="0.2">
      <c r="A345" s="84"/>
      <c r="B345" s="84"/>
      <c r="C345" s="60"/>
      <c r="D345" s="66"/>
      <c r="E345" s="66"/>
      <c r="F345" s="66"/>
      <c r="G345" s="66"/>
      <c r="H345" s="66"/>
      <c r="I345" s="66"/>
      <c r="J345" s="66"/>
      <c r="K345" s="66"/>
      <c r="L345" s="66"/>
      <c r="M345" s="66"/>
      <c r="N345" s="66"/>
    </row>
    <row r="346" spans="1:14" x14ac:dyDescent="0.2">
      <c r="A346" s="84"/>
      <c r="B346" s="84"/>
      <c r="C346" s="60"/>
      <c r="D346" s="66"/>
      <c r="E346" s="66"/>
      <c r="F346" s="66"/>
      <c r="G346" s="66"/>
      <c r="H346" s="66"/>
      <c r="I346" s="66"/>
      <c r="J346" s="66"/>
      <c r="K346" s="66"/>
      <c r="L346" s="66"/>
      <c r="M346" s="66"/>
      <c r="N346" s="66"/>
    </row>
    <row r="347" spans="1:14" x14ac:dyDescent="0.2">
      <c r="A347" s="84"/>
      <c r="B347" s="84"/>
      <c r="C347" s="60"/>
      <c r="D347" s="66"/>
      <c r="E347" s="66"/>
      <c r="F347" s="66"/>
      <c r="G347" s="66"/>
      <c r="H347" s="66"/>
      <c r="I347" s="66"/>
      <c r="J347" s="66"/>
      <c r="K347" s="66"/>
      <c r="L347" s="66"/>
      <c r="M347" s="66"/>
      <c r="N347" s="66"/>
    </row>
    <row r="348" spans="1:14" x14ac:dyDescent="0.2">
      <c r="A348" s="84"/>
      <c r="B348" s="84"/>
      <c r="C348" s="60"/>
      <c r="D348" s="66"/>
      <c r="E348" s="66"/>
      <c r="F348" s="66"/>
      <c r="G348" s="66"/>
      <c r="H348" s="66"/>
      <c r="I348" s="66"/>
      <c r="J348" s="66"/>
      <c r="K348" s="66"/>
      <c r="L348" s="66"/>
      <c r="M348" s="66"/>
      <c r="N348" s="66"/>
    </row>
    <row r="349" spans="1:14" x14ac:dyDescent="0.2">
      <c r="A349" s="84"/>
      <c r="B349" s="84"/>
      <c r="C349" s="60"/>
      <c r="D349" s="66"/>
      <c r="E349" s="66"/>
      <c r="F349" s="66"/>
      <c r="G349" s="66"/>
      <c r="H349" s="66"/>
      <c r="I349" s="66"/>
      <c r="J349" s="66"/>
      <c r="K349" s="66"/>
      <c r="L349" s="66"/>
      <c r="M349" s="66"/>
      <c r="N349" s="66"/>
    </row>
    <row r="350" spans="1:14" x14ac:dyDescent="0.2">
      <c r="A350" s="84"/>
      <c r="B350" s="84"/>
      <c r="C350" s="60"/>
      <c r="D350" s="66"/>
      <c r="E350" s="66"/>
      <c r="F350" s="66"/>
      <c r="G350" s="66"/>
      <c r="H350" s="66"/>
      <c r="I350" s="66"/>
      <c r="J350" s="66"/>
      <c r="K350" s="66"/>
      <c r="L350" s="66"/>
      <c r="M350" s="66"/>
      <c r="N350" s="66"/>
    </row>
    <row r="351" spans="1:14" x14ac:dyDescent="0.2">
      <c r="A351" s="84"/>
      <c r="B351" s="84"/>
      <c r="C351" s="60"/>
      <c r="D351" s="66"/>
      <c r="E351" s="66"/>
      <c r="F351" s="66"/>
      <c r="G351" s="66"/>
      <c r="H351" s="66"/>
      <c r="I351" s="66"/>
      <c r="J351" s="66"/>
      <c r="K351" s="66"/>
      <c r="L351" s="66"/>
      <c r="M351" s="66"/>
      <c r="N351" s="66"/>
    </row>
    <row r="352" spans="1:14" x14ac:dyDescent="0.2">
      <c r="A352" s="84"/>
      <c r="B352" s="84"/>
      <c r="C352" s="60"/>
      <c r="D352" s="66"/>
      <c r="E352" s="66"/>
      <c r="F352" s="66"/>
      <c r="G352" s="66"/>
      <c r="H352" s="66"/>
      <c r="I352" s="66"/>
      <c r="J352" s="66"/>
      <c r="K352" s="66"/>
      <c r="L352" s="66"/>
      <c r="M352" s="66"/>
      <c r="N352" s="66"/>
    </row>
    <row r="353" spans="1:14" x14ac:dyDescent="0.2">
      <c r="A353" s="84"/>
      <c r="B353" s="84"/>
      <c r="C353" s="60"/>
      <c r="D353" s="66"/>
      <c r="E353" s="66"/>
      <c r="F353" s="66"/>
      <c r="G353" s="66"/>
      <c r="H353" s="66"/>
      <c r="I353" s="66"/>
      <c r="J353" s="66"/>
      <c r="K353" s="66"/>
      <c r="L353" s="66"/>
      <c r="M353" s="66"/>
      <c r="N353" s="66"/>
    </row>
    <row r="354" spans="1:14" x14ac:dyDescent="0.2">
      <c r="A354" s="84"/>
      <c r="B354" s="84"/>
      <c r="C354" s="60"/>
      <c r="D354" s="66"/>
      <c r="E354" s="66"/>
      <c r="F354" s="66"/>
      <c r="G354" s="66"/>
      <c r="H354" s="66"/>
      <c r="I354" s="66"/>
      <c r="J354" s="66"/>
      <c r="K354" s="66"/>
      <c r="L354" s="66"/>
      <c r="M354" s="66"/>
      <c r="N354" s="66"/>
    </row>
    <row r="355" spans="1:14" x14ac:dyDescent="0.2">
      <c r="A355" s="84"/>
      <c r="B355" s="84"/>
      <c r="C355" s="60"/>
      <c r="D355" s="66"/>
      <c r="E355" s="66"/>
      <c r="F355" s="66"/>
      <c r="G355" s="66"/>
      <c r="H355" s="66"/>
      <c r="I355" s="66"/>
      <c r="J355" s="66"/>
      <c r="K355" s="66"/>
      <c r="L355" s="66"/>
      <c r="M355" s="66"/>
      <c r="N355" s="66"/>
    </row>
    <row r="356" spans="1:14" x14ac:dyDescent="0.2">
      <c r="A356" s="84"/>
      <c r="B356" s="84"/>
      <c r="C356" s="60"/>
      <c r="D356" s="66"/>
      <c r="E356" s="66"/>
      <c r="F356" s="66"/>
      <c r="G356" s="66"/>
      <c r="H356" s="66"/>
      <c r="I356" s="66"/>
      <c r="J356" s="66"/>
      <c r="K356" s="66"/>
      <c r="L356" s="66"/>
      <c r="M356" s="66"/>
      <c r="N356" s="66"/>
    </row>
    <row r="357" spans="1:14" x14ac:dyDescent="0.2">
      <c r="A357" s="84"/>
      <c r="B357" s="84"/>
      <c r="C357" s="60"/>
      <c r="D357" s="66"/>
      <c r="E357" s="66"/>
      <c r="F357" s="66"/>
      <c r="G357" s="66"/>
      <c r="H357" s="66"/>
      <c r="I357" s="66"/>
      <c r="J357" s="66"/>
      <c r="K357" s="66"/>
      <c r="L357" s="66"/>
      <c r="M357" s="66"/>
      <c r="N357" s="66"/>
    </row>
    <row r="358" spans="1:14" x14ac:dyDescent="0.2">
      <c r="A358" s="84"/>
      <c r="B358" s="84"/>
      <c r="C358" s="60"/>
      <c r="D358" s="66"/>
      <c r="E358" s="66"/>
      <c r="F358" s="66"/>
      <c r="G358" s="66"/>
      <c r="H358" s="66"/>
      <c r="I358" s="66"/>
      <c r="J358" s="66"/>
      <c r="K358" s="66"/>
      <c r="L358" s="66"/>
      <c r="M358" s="66"/>
      <c r="N358" s="66"/>
    </row>
    <row r="359" spans="1:14" x14ac:dyDescent="0.2">
      <c r="A359" s="84"/>
      <c r="B359" s="84"/>
      <c r="C359" s="60"/>
      <c r="D359" s="66"/>
      <c r="E359" s="66"/>
      <c r="F359" s="66"/>
      <c r="G359" s="66"/>
      <c r="H359" s="66"/>
      <c r="I359" s="66"/>
      <c r="J359" s="66"/>
      <c r="K359" s="66"/>
      <c r="L359" s="66"/>
      <c r="M359" s="66"/>
      <c r="N359" s="66"/>
    </row>
    <row r="360" spans="1:14" x14ac:dyDescent="0.2">
      <c r="A360" s="84"/>
      <c r="B360" s="84"/>
      <c r="C360" s="60"/>
      <c r="D360" s="66"/>
      <c r="E360" s="66"/>
      <c r="F360" s="66"/>
      <c r="G360" s="66"/>
      <c r="H360" s="66"/>
      <c r="I360" s="66"/>
      <c r="J360" s="66"/>
      <c r="K360" s="66"/>
      <c r="L360" s="66"/>
      <c r="M360" s="66"/>
      <c r="N360" s="66"/>
    </row>
    <row r="361" spans="1:14" x14ac:dyDescent="0.2">
      <c r="A361" s="84"/>
      <c r="B361" s="84"/>
      <c r="C361" s="60"/>
      <c r="D361" s="66"/>
      <c r="E361" s="66"/>
      <c r="F361" s="66"/>
      <c r="G361" s="66"/>
      <c r="H361" s="66"/>
      <c r="I361" s="66"/>
      <c r="J361" s="66"/>
      <c r="K361" s="66"/>
      <c r="L361" s="66"/>
      <c r="M361" s="66"/>
      <c r="N361" s="66"/>
    </row>
    <row r="362" spans="1:14" x14ac:dyDescent="0.2">
      <c r="A362" s="84"/>
      <c r="B362" s="84"/>
      <c r="C362" s="60"/>
      <c r="D362" s="66"/>
      <c r="E362" s="66"/>
      <c r="F362" s="66"/>
      <c r="G362" s="66"/>
      <c r="H362" s="66"/>
      <c r="I362" s="66"/>
      <c r="J362" s="66"/>
      <c r="K362" s="66"/>
      <c r="L362" s="66"/>
      <c r="M362" s="66"/>
      <c r="N362" s="66"/>
    </row>
    <row r="363" spans="1:14" x14ac:dyDescent="0.2">
      <c r="A363" s="84"/>
      <c r="B363" s="84"/>
      <c r="C363" s="60"/>
      <c r="D363" s="66"/>
      <c r="E363" s="66"/>
      <c r="F363" s="66"/>
      <c r="G363" s="66"/>
      <c r="H363" s="66"/>
      <c r="I363" s="66"/>
      <c r="J363" s="66"/>
      <c r="K363" s="66"/>
      <c r="L363" s="66"/>
      <c r="M363" s="66"/>
      <c r="N363" s="66"/>
    </row>
    <row r="364" spans="1:14" x14ac:dyDescent="0.2">
      <c r="A364" s="84"/>
      <c r="B364" s="84"/>
      <c r="C364" s="60"/>
      <c r="D364" s="66"/>
      <c r="E364" s="66"/>
      <c r="F364" s="66"/>
      <c r="G364" s="66"/>
      <c r="H364" s="66"/>
      <c r="I364" s="66"/>
      <c r="J364" s="66"/>
      <c r="K364" s="66"/>
      <c r="L364" s="66"/>
      <c r="M364" s="66"/>
      <c r="N364" s="66"/>
    </row>
    <row r="365" spans="1:14" x14ac:dyDescent="0.2">
      <c r="A365" s="84"/>
      <c r="B365" s="84"/>
      <c r="C365" s="60"/>
      <c r="D365" s="66"/>
      <c r="E365" s="66"/>
      <c r="F365" s="66"/>
      <c r="G365" s="66"/>
      <c r="H365" s="66"/>
      <c r="I365" s="66"/>
      <c r="J365" s="66"/>
      <c r="K365" s="66"/>
      <c r="L365" s="66"/>
      <c r="M365" s="66"/>
      <c r="N365" s="66"/>
    </row>
    <row r="366" spans="1:14" x14ac:dyDescent="0.2">
      <c r="A366" s="84"/>
      <c r="B366" s="84"/>
      <c r="C366" s="60"/>
      <c r="D366" s="66"/>
      <c r="E366" s="66"/>
      <c r="F366" s="66"/>
      <c r="G366" s="66"/>
      <c r="H366" s="66"/>
      <c r="I366" s="66"/>
      <c r="J366" s="66"/>
      <c r="K366" s="66"/>
      <c r="L366" s="66"/>
      <c r="M366" s="66"/>
      <c r="N366" s="66"/>
    </row>
    <row r="367" spans="1:14" x14ac:dyDescent="0.2">
      <c r="A367" s="84"/>
      <c r="B367" s="84"/>
      <c r="C367" s="60"/>
      <c r="D367" s="66"/>
      <c r="E367" s="66"/>
      <c r="F367" s="66"/>
      <c r="G367" s="66"/>
      <c r="H367" s="66"/>
      <c r="I367" s="66"/>
      <c r="J367" s="66"/>
      <c r="K367" s="66"/>
      <c r="L367" s="66"/>
      <c r="M367" s="66"/>
      <c r="N367" s="66"/>
    </row>
    <row r="368" spans="1:14" x14ac:dyDescent="0.2">
      <c r="A368" s="84"/>
      <c r="B368" s="84"/>
      <c r="C368" s="60"/>
      <c r="D368" s="66"/>
      <c r="E368" s="66"/>
      <c r="F368" s="66"/>
      <c r="G368" s="66"/>
      <c r="H368" s="66"/>
      <c r="I368" s="66"/>
      <c r="J368" s="66"/>
      <c r="K368" s="66"/>
      <c r="L368" s="66"/>
      <c r="M368" s="66"/>
      <c r="N368" s="66"/>
    </row>
    <row r="369" spans="1:14" x14ac:dyDescent="0.2">
      <c r="A369" s="84"/>
      <c r="B369" s="84"/>
      <c r="C369" s="60"/>
      <c r="D369" s="66"/>
      <c r="E369" s="66"/>
      <c r="F369" s="66"/>
      <c r="G369" s="66"/>
      <c r="H369" s="66"/>
      <c r="I369" s="66"/>
      <c r="J369" s="66"/>
      <c r="K369" s="66"/>
      <c r="L369" s="66"/>
      <c r="M369" s="66"/>
      <c r="N369" s="66"/>
    </row>
    <row r="370" spans="1:14" x14ac:dyDescent="0.2">
      <c r="A370" s="84"/>
      <c r="B370" s="84"/>
      <c r="C370" s="60"/>
      <c r="D370" s="66"/>
      <c r="E370" s="66"/>
      <c r="F370" s="66"/>
      <c r="G370" s="66"/>
      <c r="H370" s="66"/>
      <c r="I370" s="66"/>
      <c r="J370" s="66"/>
      <c r="K370" s="66"/>
      <c r="L370" s="66"/>
      <c r="M370" s="66"/>
      <c r="N370" s="66"/>
    </row>
    <row r="371" spans="1:14" x14ac:dyDescent="0.2">
      <c r="A371" s="84"/>
      <c r="B371" s="84"/>
      <c r="C371" s="60"/>
      <c r="D371" s="66"/>
      <c r="E371" s="66"/>
      <c r="F371" s="66"/>
      <c r="G371" s="66"/>
      <c r="H371" s="66"/>
      <c r="I371" s="66"/>
      <c r="J371" s="66"/>
      <c r="K371" s="66"/>
      <c r="L371" s="66"/>
      <c r="M371" s="66"/>
      <c r="N371" s="66"/>
    </row>
    <row r="372" spans="1:14" x14ac:dyDescent="0.2">
      <c r="A372" s="84"/>
      <c r="B372" s="84"/>
      <c r="C372" s="60"/>
      <c r="D372" s="66"/>
      <c r="E372" s="66"/>
      <c r="F372" s="66"/>
      <c r="G372" s="66"/>
      <c r="H372" s="66"/>
      <c r="I372" s="66"/>
      <c r="J372" s="66"/>
      <c r="K372" s="66"/>
      <c r="L372" s="66"/>
      <c r="M372" s="66"/>
      <c r="N372" s="66"/>
    </row>
    <row r="373" spans="1:14" x14ac:dyDescent="0.2">
      <c r="A373" s="84"/>
      <c r="B373" s="84"/>
      <c r="C373" s="60"/>
      <c r="D373" s="66"/>
      <c r="E373" s="66"/>
      <c r="F373" s="66"/>
      <c r="G373" s="66"/>
      <c r="H373" s="66"/>
      <c r="I373" s="66"/>
      <c r="J373" s="66"/>
      <c r="K373" s="66"/>
      <c r="L373" s="66"/>
      <c r="M373" s="66"/>
      <c r="N373" s="66"/>
    </row>
    <row r="374" spans="1:14" x14ac:dyDescent="0.2">
      <c r="A374" s="84"/>
      <c r="B374" s="84"/>
      <c r="C374" s="60"/>
      <c r="D374" s="66"/>
      <c r="E374" s="66"/>
      <c r="F374" s="66"/>
      <c r="G374" s="66"/>
      <c r="H374" s="66"/>
      <c r="I374" s="66"/>
      <c r="J374" s="66"/>
      <c r="K374" s="66"/>
      <c r="L374" s="66"/>
      <c r="M374" s="66"/>
      <c r="N374" s="66"/>
    </row>
    <row r="375" spans="1:14" x14ac:dyDescent="0.2">
      <c r="A375" s="84"/>
      <c r="B375" s="84"/>
      <c r="C375" s="60"/>
      <c r="D375" s="66"/>
      <c r="E375" s="66"/>
      <c r="F375" s="66"/>
      <c r="G375" s="66"/>
      <c r="H375" s="66"/>
      <c r="I375" s="66"/>
      <c r="J375" s="66"/>
      <c r="K375" s="66"/>
      <c r="L375" s="66"/>
      <c r="M375" s="66"/>
      <c r="N375" s="66"/>
    </row>
    <row r="376" spans="1:14" x14ac:dyDescent="0.2">
      <c r="A376" s="84"/>
      <c r="B376" s="84"/>
      <c r="C376" s="60"/>
      <c r="D376" s="66"/>
      <c r="E376" s="66"/>
      <c r="F376" s="66"/>
      <c r="G376" s="66"/>
      <c r="H376" s="66"/>
      <c r="I376" s="66"/>
      <c r="J376" s="66"/>
      <c r="K376" s="66"/>
      <c r="L376" s="66"/>
      <c r="M376" s="66"/>
      <c r="N376" s="66"/>
    </row>
    <row r="377" spans="1:14" x14ac:dyDescent="0.2">
      <c r="A377" s="84"/>
      <c r="B377" s="84"/>
      <c r="C377" s="60"/>
      <c r="D377" s="66"/>
      <c r="E377" s="66"/>
      <c r="F377" s="66"/>
      <c r="G377" s="66"/>
      <c r="H377" s="66"/>
      <c r="I377" s="66"/>
      <c r="J377" s="66"/>
      <c r="K377" s="66"/>
      <c r="L377" s="66"/>
      <c r="M377" s="66"/>
      <c r="N377" s="66"/>
    </row>
    <row r="378" spans="1:14" x14ac:dyDescent="0.2">
      <c r="A378" s="84"/>
      <c r="B378" s="84"/>
      <c r="C378" s="60"/>
      <c r="D378" s="66"/>
      <c r="E378" s="66"/>
      <c r="F378" s="66"/>
      <c r="G378" s="66"/>
      <c r="H378" s="66"/>
      <c r="I378" s="66"/>
      <c r="J378" s="66"/>
      <c r="K378" s="66"/>
      <c r="L378" s="66"/>
      <c r="M378" s="66"/>
      <c r="N378" s="66"/>
    </row>
    <row r="379" spans="1:14" x14ac:dyDescent="0.2">
      <c r="A379" s="84"/>
      <c r="B379" s="84"/>
      <c r="C379" s="60"/>
      <c r="D379" s="66"/>
      <c r="E379" s="66"/>
      <c r="F379" s="66"/>
      <c r="G379" s="66"/>
      <c r="H379" s="66"/>
      <c r="I379" s="66"/>
      <c r="J379" s="66"/>
      <c r="K379" s="66"/>
      <c r="L379" s="66"/>
      <c r="M379" s="66"/>
      <c r="N379" s="66"/>
    </row>
    <row r="380" spans="1:14" x14ac:dyDescent="0.2">
      <c r="A380" s="84"/>
      <c r="B380" s="84"/>
      <c r="C380" s="60"/>
      <c r="D380" s="66"/>
      <c r="E380" s="66"/>
      <c r="F380" s="66"/>
      <c r="G380" s="66"/>
      <c r="H380" s="66"/>
      <c r="I380" s="66"/>
      <c r="J380" s="66"/>
      <c r="K380" s="66"/>
      <c r="L380" s="66"/>
      <c r="M380" s="66"/>
      <c r="N380" s="66"/>
    </row>
    <row r="381" spans="1:14" x14ac:dyDescent="0.2">
      <c r="A381" s="84"/>
      <c r="B381" s="84"/>
      <c r="C381" s="60"/>
      <c r="D381" s="66"/>
      <c r="E381" s="66"/>
      <c r="F381" s="66"/>
      <c r="G381" s="66"/>
      <c r="H381" s="66"/>
      <c r="I381" s="66"/>
      <c r="J381" s="66"/>
      <c r="K381" s="66"/>
      <c r="L381" s="66"/>
      <c r="M381" s="66"/>
      <c r="N381" s="66"/>
    </row>
    <row r="382" spans="1:14" x14ac:dyDescent="0.2">
      <c r="A382" s="84"/>
      <c r="B382" s="84"/>
      <c r="C382" s="60"/>
      <c r="D382" s="66"/>
      <c r="E382" s="66"/>
      <c r="F382" s="66"/>
      <c r="G382" s="66"/>
      <c r="H382" s="66"/>
      <c r="I382" s="66"/>
      <c r="J382" s="66"/>
      <c r="K382" s="66"/>
      <c r="L382" s="66"/>
      <c r="M382" s="66"/>
      <c r="N382" s="66"/>
    </row>
    <row r="383" spans="1:14" x14ac:dyDescent="0.2">
      <c r="A383" s="84"/>
      <c r="B383" s="84"/>
      <c r="C383" s="60"/>
      <c r="D383" s="66"/>
      <c r="E383" s="66"/>
      <c r="F383" s="66"/>
      <c r="G383" s="66"/>
      <c r="H383" s="66"/>
      <c r="I383" s="66"/>
      <c r="J383" s="66"/>
      <c r="K383" s="66"/>
      <c r="L383" s="66"/>
      <c r="M383" s="66"/>
      <c r="N383" s="66"/>
    </row>
    <row r="384" spans="1:14" x14ac:dyDescent="0.2">
      <c r="A384" s="84"/>
      <c r="B384" s="84"/>
      <c r="C384" s="60"/>
      <c r="D384" s="66"/>
      <c r="E384" s="66"/>
      <c r="F384" s="66"/>
      <c r="G384" s="66"/>
      <c r="H384" s="66"/>
      <c r="I384" s="66"/>
      <c r="J384" s="66"/>
      <c r="K384" s="66"/>
      <c r="L384" s="66"/>
      <c r="M384" s="66"/>
      <c r="N384" s="66"/>
    </row>
    <row r="385" spans="1:14" x14ac:dyDescent="0.2">
      <c r="A385" s="84"/>
      <c r="B385" s="84"/>
      <c r="C385" s="60"/>
      <c r="D385" s="66"/>
      <c r="E385" s="66"/>
      <c r="F385" s="66"/>
      <c r="G385" s="66"/>
      <c r="H385" s="66"/>
      <c r="I385" s="66"/>
      <c r="J385" s="66"/>
      <c r="K385" s="66"/>
      <c r="L385" s="66"/>
      <c r="M385" s="66"/>
      <c r="N385" s="66"/>
    </row>
    <row r="386" spans="1:14" x14ac:dyDescent="0.2">
      <c r="A386" s="84"/>
      <c r="B386" s="84"/>
      <c r="C386" s="60"/>
      <c r="D386" s="66"/>
      <c r="E386" s="66"/>
      <c r="F386" s="66"/>
      <c r="G386" s="66"/>
      <c r="H386" s="66"/>
      <c r="I386" s="66"/>
      <c r="J386" s="66"/>
      <c r="K386" s="66"/>
      <c r="L386" s="66"/>
      <c r="M386" s="66"/>
      <c r="N386" s="66"/>
    </row>
    <row r="387" spans="1:14" x14ac:dyDescent="0.2">
      <c r="A387" s="84"/>
      <c r="B387" s="84"/>
      <c r="C387" s="60"/>
      <c r="D387" s="66"/>
      <c r="E387" s="66"/>
      <c r="F387" s="66"/>
      <c r="G387" s="66"/>
      <c r="H387" s="66"/>
      <c r="I387" s="66"/>
      <c r="J387" s="66"/>
      <c r="K387" s="66"/>
      <c r="L387" s="66"/>
      <c r="M387" s="66"/>
      <c r="N387" s="66"/>
    </row>
    <row r="388" spans="1:14" x14ac:dyDescent="0.2">
      <c r="A388" s="84"/>
      <c r="B388" s="84"/>
      <c r="C388" s="60"/>
      <c r="D388" s="66"/>
      <c r="E388" s="66"/>
      <c r="F388" s="66"/>
      <c r="G388" s="66"/>
      <c r="H388" s="66"/>
      <c r="I388" s="66"/>
      <c r="J388" s="66"/>
      <c r="K388" s="66"/>
      <c r="L388" s="66"/>
      <c r="M388" s="66"/>
      <c r="N388" s="66"/>
    </row>
    <row r="389" spans="1:14" x14ac:dyDescent="0.2">
      <c r="A389" s="84"/>
      <c r="B389" s="84"/>
      <c r="C389" s="60"/>
      <c r="D389" s="66"/>
      <c r="E389" s="66"/>
      <c r="F389" s="66"/>
      <c r="G389" s="66"/>
      <c r="H389" s="66"/>
      <c r="I389" s="66"/>
      <c r="J389" s="66"/>
      <c r="K389" s="66"/>
      <c r="L389" s="66"/>
      <c r="M389" s="66"/>
      <c r="N389" s="66"/>
    </row>
    <row r="390" spans="1:14" x14ac:dyDescent="0.2">
      <c r="A390" s="84"/>
      <c r="B390" s="84"/>
      <c r="C390" s="60"/>
      <c r="D390" s="66"/>
      <c r="E390" s="66"/>
      <c r="F390" s="66"/>
      <c r="G390" s="66"/>
      <c r="H390" s="66"/>
      <c r="I390" s="66"/>
      <c r="J390" s="66"/>
      <c r="K390" s="66"/>
      <c r="L390" s="66"/>
      <c r="M390" s="66"/>
      <c r="N390" s="66"/>
    </row>
    <row r="391" spans="1:14" x14ac:dyDescent="0.2">
      <c r="A391" s="84"/>
      <c r="B391" s="84"/>
      <c r="C391" s="60"/>
      <c r="D391" s="66"/>
      <c r="E391" s="66"/>
      <c r="F391" s="66"/>
      <c r="G391" s="66"/>
      <c r="H391" s="66"/>
      <c r="I391" s="66"/>
      <c r="J391" s="66"/>
      <c r="K391" s="66"/>
      <c r="L391" s="66"/>
      <c r="M391" s="66"/>
      <c r="N391" s="66"/>
    </row>
    <row r="392" spans="1:14" x14ac:dyDescent="0.2">
      <c r="A392" s="84"/>
      <c r="B392" s="84"/>
      <c r="C392" s="60"/>
      <c r="D392" s="66"/>
      <c r="E392" s="66"/>
      <c r="F392" s="66"/>
      <c r="G392" s="66"/>
      <c r="H392" s="66"/>
      <c r="I392" s="66"/>
      <c r="J392" s="66"/>
      <c r="K392" s="66"/>
      <c r="L392" s="66"/>
      <c r="M392" s="66"/>
      <c r="N392" s="66"/>
    </row>
    <row r="393" spans="1:14" x14ac:dyDescent="0.2">
      <c r="A393" s="84"/>
      <c r="B393" s="84"/>
      <c r="C393" s="60"/>
      <c r="D393" s="66"/>
      <c r="E393" s="66"/>
      <c r="F393" s="66"/>
      <c r="G393" s="66"/>
      <c r="H393" s="66"/>
      <c r="I393" s="66"/>
      <c r="J393" s="66"/>
      <c r="K393" s="66"/>
      <c r="L393" s="66"/>
      <c r="M393" s="66"/>
      <c r="N393" s="66"/>
    </row>
    <row r="394" spans="1:14" x14ac:dyDescent="0.2">
      <c r="A394" s="84"/>
      <c r="B394" s="84"/>
      <c r="C394" s="60"/>
      <c r="D394" s="66"/>
      <c r="E394" s="66"/>
      <c r="F394" s="66"/>
      <c r="G394" s="66"/>
      <c r="H394" s="66"/>
      <c r="I394" s="66"/>
      <c r="J394" s="66"/>
      <c r="K394" s="66"/>
      <c r="L394" s="66"/>
      <c r="M394" s="66"/>
      <c r="N394" s="66"/>
    </row>
    <row r="395" spans="1:14" x14ac:dyDescent="0.2">
      <c r="A395" s="84"/>
      <c r="B395" s="84"/>
      <c r="C395" s="60"/>
      <c r="D395" s="66"/>
      <c r="E395" s="66"/>
      <c r="F395" s="66"/>
      <c r="G395" s="66"/>
      <c r="H395" s="66"/>
      <c r="I395" s="66"/>
      <c r="J395" s="66"/>
      <c r="K395" s="66"/>
      <c r="L395" s="66"/>
      <c r="M395" s="66"/>
      <c r="N395" s="66"/>
    </row>
    <row r="396" spans="1:14" x14ac:dyDescent="0.2">
      <c r="A396" s="84"/>
      <c r="B396" s="84"/>
      <c r="C396" s="60"/>
      <c r="D396" s="66"/>
      <c r="E396" s="66"/>
      <c r="F396" s="66"/>
      <c r="G396" s="66"/>
      <c r="H396" s="66"/>
      <c r="I396" s="66"/>
      <c r="J396" s="66"/>
      <c r="K396" s="66"/>
      <c r="L396" s="66"/>
      <c r="M396" s="66"/>
      <c r="N396" s="66"/>
    </row>
    <row r="397" spans="1:14" x14ac:dyDescent="0.2">
      <c r="A397" s="84"/>
      <c r="B397" s="84"/>
      <c r="C397" s="60"/>
      <c r="D397" s="66"/>
      <c r="E397" s="66"/>
      <c r="F397" s="66"/>
      <c r="G397" s="66"/>
      <c r="H397" s="66"/>
      <c r="I397" s="66"/>
      <c r="J397" s="66"/>
      <c r="K397" s="66"/>
      <c r="L397" s="66"/>
      <c r="M397" s="66"/>
      <c r="N397" s="66"/>
    </row>
    <row r="398" spans="1:14" x14ac:dyDescent="0.2">
      <c r="A398" s="84"/>
      <c r="B398" s="84"/>
      <c r="C398" s="60"/>
      <c r="D398" s="66"/>
      <c r="E398" s="66"/>
      <c r="F398" s="66"/>
      <c r="G398" s="66"/>
      <c r="H398" s="66"/>
      <c r="I398" s="66"/>
      <c r="J398" s="66"/>
      <c r="K398" s="66"/>
      <c r="L398" s="66"/>
      <c r="M398" s="66"/>
      <c r="N398" s="66"/>
    </row>
    <row r="399" spans="1:14" x14ac:dyDescent="0.2">
      <c r="A399" s="84"/>
      <c r="B399" s="84"/>
      <c r="C399" s="60"/>
      <c r="D399" s="66"/>
      <c r="E399" s="66"/>
      <c r="F399" s="66"/>
      <c r="G399" s="66"/>
      <c r="H399" s="66"/>
      <c r="I399" s="66"/>
      <c r="J399" s="66"/>
      <c r="K399" s="66"/>
      <c r="L399" s="66"/>
      <c r="M399" s="66"/>
      <c r="N399" s="66"/>
    </row>
    <row r="400" spans="1:14" x14ac:dyDescent="0.2">
      <c r="A400" s="84"/>
      <c r="B400" s="84"/>
      <c r="C400" s="60"/>
      <c r="D400" s="66"/>
      <c r="E400" s="66"/>
      <c r="F400" s="66"/>
      <c r="G400" s="66"/>
      <c r="H400" s="66"/>
      <c r="I400" s="66"/>
      <c r="J400" s="66"/>
      <c r="K400" s="66"/>
      <c r="L400" s="66"/>
      <c r="M400" s="66"/>
      <c r="N400" s="66"/>
    </row>
    <row r="401" spans="1:14" x14ac:dyDescent="0.2">
      <c r="A401" s="84"/>
      <c r="B401" s="84"/>
      <c r="C401" s="60"/>
      <c r="D401" s="66"/>
      <c r="E401" s="66"/>
      <c r="F401" s="66"/>
      <c r="G401" s="66"/>
      <c r="H401" s="66"/>
      <c r="I401" s="66"/>
      <c r="J401" s="66"/>
      <c r="K401" s="66"/>
      <c r="L401" s="66"/>
      <c r="M401" s="66"/>
      <c r="N401" s="66"/>
    </row>
    <row r="402" spans="1:14" x14ac:dyDescent="0.2">
      <c r="A402" s="84"/>
      <c r="B402" s="84"/>
      <c r="C402" s="60"/>
      <c r="D402" s="66"/>
      <c r="E402" s="66"/>
      <c r="F402" s="66"/>
      <c r="G402" s="66"/>
      <c r="H402" s="66"/>
      <c r="I402" s="66"/>
      <c r="J402" s="66"/>
      <c r="K402" s="66"/>
      <c r="L402" s="66"/>
      <c r="M402" s="66"/>
      <c r="N402" s="66"/>
    </row>
    <row r="403" spans="1:14" x14ac:dyDescent="0.2">
      <c r="A403" s="84"/>
      <c r="B403" s="84"/>
      <c r="C403" s="60"/>
      <c r="D403" s="66"/>
      <c r="E403" s="66"/>
      <c r="F403" s="66"/>
      <c r="G403" s="66"/>
      <c r="H403" s="66"/>
      <c r="I403" s="66"/>
      <c r="J403" s="66"/>
      <c r="K403" s="66"/>
      <c r="L403" s="66"/>
      <c r="M403" s="66"/>
      <c r="N403" s="66"/>
    </row>
    <row r="404" spans="1:14" x14ac:dyDescent="0.2">
      <c r="A404" s="84"/>
      <c r="B404" s="84"/>
      <c r="C404" s="60"/>
      <c r="D404" s="66"/>
      <c r="E404" s="66"/>
      <c r="F404" s="66"/>
      <c r="G404" s="66"/>
      <c r="H404" s="66"/>
      <c r="I404" s="66"/>
      <c r="J404" s="66"/>
      <c r="K404" s="66"/>
      <c r="L404" s="66"/>
      <c r="M404" s="66"/>
      <c r="N404" s="66"/>
    </row>
    <row r="405" spans="1:14" x14ac:dyDescent="0.2">
      <c r="A405" s="84"/>
      <c r="B405" s="84"/>
      <c r="C405" s="60"/>
      <c r="D405" s="66"/>
      <c r="E405" s="66"/>
      <c r="F405" s="66"/>
      <c r="G405" s="66"/>
      <c r="H405" s="66"/>
      <c r="I405" s="66"/>
      <c r="J405" s="66"/>
      <c r="K405" s="66"/>
      <c r="L405" s="66"/>
      <c r="M405" s="66"/>
      <c r="N405" s="66"/>
    </row>
    <row r="406" spans="1:14" x14ac:dyDescent="0.2">
      <c r="A406" s="84"/>
      <c r="B406" s="84"/>
      <c r="C406" s="60"/>
      <c r="D406" s="66"/>
      <c r="E406" s="66"/>
      <c r="F406" s="66"/>
      <c r="G406" s="66"/>
      <c r="H406" s="66"/>
      <c r="I406" s="66"/>
      <c r="J406" s="66"/>
      <c r="K406" s="66"/>
      <c r="L406" s="66"/>
      <c r="M406" s="66"/>
      <c r="N406" s="66"/>
    </row>
    <row r="407" spans="1:14" x14ac:dyDescent="0.2">
      <c r="A407" s="84"/>
      <c r="B407" s="84"/>
      <c r="C407" s="60"/>
      <c r="D407" s="66"/>
      <c r="E407" s="66"/>
      <c r="F407" s="66"/>
      <c r="G407" s="66"/>
      <c r="H407" s="66"/>
      <c r="I407" s="66"/>
      <c r="J407" s="66"/>
      <c r="K407" s="66"/>
      <c r="L407" s="66"/>
      <c r="M407" s="66"/>
      <c r="N407" s="66"/>
    </row>
    <row r="408" spans="1:14" x14ac:dyDescent="0.2">
      <c r="A408" s="84"/>
      <c r="B408" s="84"/>
      <c r="C408" s="60"/>
      <c r="D408" s="66"/>
      <c r="E408" s="66"/>
      <c r="F408" s="66"/>
      <c r="G408" s="66"/>
      <c r="H408" s="66"/>
      <c r="I408" s="66"/>
      <c r="J408" s="66"/>
      <c r="K408" s="66"/>
      <c r="L408" s="66"/>
      <c r="M408" s="66"/>
      <c r="N408" s="66"/>
    </row>
    <row r="409" spans="1:14" x14ac:dyDescent="0.2">
      <c r="A409" s="84"/>
      <c r="B409" s="84"/>
      <c r="C409" s="60"/>
      <c r="D409" s="66"/>
      <c r="E409" s="66"/>
      <c r="F409" s="66"/>
      <c r="G409" s="66"/>
      <c r="H409" s="66"/>
      <c r="I409" s="66"/>
      <c r="J409" s="66"/>
      <c r="K409" s="66"/>
      <c r="L409" s="66"/>
      <c r="M409" s="66"/>
      <c r="N409" s="66"/>
    </row>
    <row r="410" spans="1:14" x14ac:dyDescent="0.2">
      <c r="A410" s="84"/>
      <c r="B410" s="84"/>
      <c r="C410" s="60"/>
      <c r="D410" s="66"/>
      <c r="E410" s="66"/>
      <c r="F410" s="66"/>
      <c r="G410" s="66"/>
      <c r="H410" s="66"/>
      <c r="I410" s="66"/>
      <c r="J410" s="66"/>
      <c r="K410" s="66"/>
      <c r="L410" s="66"/>
      <c r="M410" s="66"/>
      <c r="N410" s="66"/>
    </row>
    <row r="411" spans="1:14" x14ac:dyDescent="0.2">
      <c r="A411" s="84"/>
      <c r="B411" s="84"/>
      <c r="C411" s="60"/>
      <c r="D411" s="66"/>
      <c r="E411" s="66"/>
      <c r="F411" s="66"/>
      <c r="G411" s="66"/>
      <c r="H411" s="66"/>
      <c r="I411" s="66"/>
      <c r="J411" s="66"/>
      <c r="K411" s="66"/>
      <c r="L411" s="66"/>
      <c r="M411" s="66"/>
      <c r="N411" s="66"/>
    </row>
    <row r="412" spans="1:14" x14ac:dyDescent="0.2">
      <c r="A412" s="84"/>
      <c r="B412" s="84"/>
      <c r="C412" s="60"/>
      <c r="D412" s="66"/>
      <c r="E412" s="66"/>
      <c r="F412" s="66"/>
      <c r="G412" s="66"/>
      <c r="H412" s="66"/>
      <c r="I412" s="66"/>
      <c r="J412" s="66"/>
      <c r="K412" s="66"/>
      <c r="L412" s="66"/>
      <c r="M412" s="66"/>
      <c r="N412" s="66"/>
    </row>
    <row r="413" spans="1:14" x14ac:dyDescent="0.2">
      <c r="A413" s="84"/>
      <c r="B413" s="84"/>
      <c r="C413" s="60"/>
      <c r="D413" s="66"/>
      <c r="E413" s="66"/>
      <c r="F413" s="66"/>
      <c r="G413" s="66"/>
      <c r="H413" s="66"/>
      <c r="I413" s="66"/>
      <c r="J413" s="66"/>
      <c r="K413" s="66"/>
      <c r="L413" s="66"/>
      <c r="M413" s="66"/>
      <c r="N413" s="66"/>
    </row>
    <row r="414" spans="1:14" x14ac:dyDescent="0.2">
      <c r="A414" s="84"/>
      <c r="B414" s="84"/>
      <c r="C414" s="60"/>
      <c r="D414" s="66"/>
      <c r="E414" s="66"/>
      <c r="F414" s="66"/>
      <c r="G414" s="66"/>
      <c r="H414" s="66"/>
      <c r="I414" s="66"/>
      <c r="J414" s="66"/>
      <c r="K414" s="66"/>
      <c r="L414" s="66"/>
      <c r="M414" s="66"/>
      <c r="N414" s="66"/>
    </row>
    <row r="415" spans="1:14" x14ac:dyDescent="0.2">
      <c r="A415" s="84"/>
      <c r="B415" s="84"/>
      <c r="C415" s="60"/>
      <c r="D415" s="66"/>
      <c r="E415" s="66"/>
      <c r="F415" s="66"/>
      <c r="G415" s="66"/>
      <c r="H415" s="66"/>
      <c r="I415" s="66"/>
      <c r="J415" s="66"/>
      <c r="K415" s="66"/>
      <c r="L415" s="66"/>
      <c r="M415" s="66"/>
      <c r="N415" s="66"/>
    </row>
    <row r="416" spans="1:14" x14ac:dyDescent="0.2">
      <c r="A416" s="84"/>
      <c r="B416" s="84"/>
      <c r="C416" s="60"/>
      <c r="D416" s="66"/>
      <c r="E416" s="66"/>
      <c r="F416" s="66"/>
      <c r="G416" s="66"/>
      <c r="H416" s="66"/>
      <c r="I416" s="66"/>
      <c r="J416" s="66"/>
      <c r="K416" s="66"/>
      <c r="L416" s="66"/>
      <c r="M416" s="66"/>
      <c r="N416" s="66"/>
    </row>
    <row r="417" spans="1:14" x14ac:dyDescent="0.2">
      <c r="A417" s="84"/>
      <c r="B417" s="84"/>
      <c r="C417" s="60"/>
      <c r="D417" s="66"/>
      <c r="E417" s="66"/>
      <c r="F417" s="66"/>
      <c r="G417" s="66"/>
      <c r="H417" s="66"/>
      <c r="I417" s="66"/>
      <c r="J417" s="66"/>
      <c r="K417" s="66"/>
      <c r="L417" s="66"/>
      <c r="M417" s="66"/>
      <c r="N417" s="66"/>
    </row>
    <row r="418" spans="1:14" x14ac:dyDescent="0.2">
      <c r="A418" s="84"/>
      <c r="B418" s="84"/>
      <c r="C418" s="60"/>
      <c r="D418" s="66"/>
      <c r="E418" s="66"/>
      <c r="F418" s="66"/>
      <c r="G418" s="66"/>
      <c r="H418" s="66"/>
      <c r="I418" s="66"/>
      <c r="J418" s="66"/>
      <c r="K418" s="66"/>
      <c r="L418" s="66"/>
      <c r="M418" s="66"/>
      <c r="N418" s="66"/>
    </row>
    <row r="419" spans="1:14" x14ac:dyDescent="0.2">
      <c r="A419" s="84"/>
      <c r="B419" s="84"/>
      <c r="C419" s="60"/>
      <c r="D419" s="66"/>
      <c r="E419" s="66"/>
      <c r="F419" s="66"/>
      <c r="G419" s="66"/>
      <c r="H419" s="66"/>
      <c r="I419" s="66"/>
      <c r="J419" s="66"/>
      <c r="K419" s="66"/>
      <c r="L419" s="66"/>
      <c r="M419" s="66"/>
      <c r="N419" s="66"/>
    </row>
    <row r="420" spans="1:14" x14ac:dyDescent="0.2">
      <c r="A420" s="84"/>
      <c r="B420" s="84"/>
      <c r="C420" s="60"/>
      <c r="D420" s="66"/>
      <c r="E420" s="66"/>
      <c r="F420" s="66"/>
      <c r="G420" s="66"/>
      <c r="H420" s="66"/>
      <c r="I420" s="66"/>
      <c r="J420" s="66"/>
      <c r="K420" s="66"/>
      <c r="L420" s="66"/>
      <c r="M420" s="66"/>
      <c r="N420" s="66"/>
    </row>
    <row r="421" spans="1:14" x14ac:dyDescent="0.2">
      <c r="A421" s="84"/>
      <c r="B421" s="84"/>
      <c r="C421" s="60"/>
      <c r="D421" s="66"/>
      <c r="E421" s="66"/>
      <c r="F421" s="66"/>
      <c r="G421" s="66"/>
      <c r="H421" s="66"/>
      <c r="I421" s="66"/>
      <c r="J421" s="66"/>
      <c r="K421" s="66"/>
      <c r="L421" s="66"/>
      <c r="M421" s="66"/>
      <c r="N421" s="66"/>
    </row>
    <row r="422" spans="1:14" x14ac:dyDescent="0.2">
      <c r="A422" s="84"/>
      <c r="B422" s="84"/>
      <c r="C422" s="60"/>
      <c r="D422" s="66"/>
      <c r="E422" s="66"/>
      <c r="F422" s="66"/>
      <c r="G422" s="66"/>
      <c r="H422" s="66"/>
      <c r="I422" s="66"/>
      <c r="J422" s="66"/>
      <c r="K422" s="66"/>
      <c r="L422" s="66"/>
      <c r="M422" s="66"/>
      <c r="N422" s="66"/>
    </row>
    <row r="423" spans="1:14" x14ac:dyDescent="0.2">
      <c r="A423" s="84"/>
      <c r="B423" s="84"/>
      <c r="C423" s="60"/>
      <c r="D423" s="66"/>
      <c r="E423" s="66"/>
      <c r="F423" s="66"/>
      <c r="G423" s="66"/>
      <c r="H423" s="66"/>
      <c r="I423" s="66"/>
      <c r="J423" s="66"/>
      <c r="K423" s="66"/>
      <c r="L423" s="66"/>
      <c r="M423" s="66"/>
      <c r="N423" s="66"/>
    </row>
    <row r="424" spans="1:14" x14ac:dyDescent="0.2">
      <c r="A424" s="84"/>
      <c r="B424" s="84"/>
      <c r="C424" s="60"/>
      <c r="D424" s="66"/>
      <c r="E424" s="66"/>
      <c r="F424" s="66"/>
      <c r="G424" s="66"/>
      <c r="H424" s="66"/>
      <c r="I424" s="66"/>
      <c r="J424" s="66"/>
      <c r="K424" s="66"/>
      <c r="L424" s="66"/>
      <c r="M424" s="66"/>
      <c r="N424" s="66"/>
    </row>
    <row r="425" spans="1:14" x14ac:dyDescent="0.2">
      <c r="A425" s="84"/>
      <c r="B425" s="84"/>
      <c r="C425" s="60"/>
      <c r="D425" s="66"/>
      <c r="E425" s="66"/>
      <c r="F425" s="66"/>
      <c r="G425" s="66"/>
      <c r="H425" s="66"/>
      <c r="I425" s="66"/>
      <c r="J425" s="66"/>
      <c r="K425" s="66"/>
      <c r="L425" s="66"/>
      <c r="M425" s="66"/>
      <c r="N425" s="66"/>
    </row>
    <row r="426" spans="1:14" x14ac:dyDescent="0.2">
      <c r="A426" s="84"/>
      <c r="B426" s="84"/>
      <c r="C426" s="60"/>
      <c r="D426" s="66"/>
      <c r="E426" s="66"/>
      <c r="F426" s="66"/>
      <c r="G426" s="66"/>
      <c r="H426" s="66"/>
      <c r="I426" s="66"/>
      <c r="J426" s="66"/>
      <c r="K426" s="66"/>
      <c r="L426" s="66"/>
      <c r="M426" s="66"/>
      <c r="N426" s="66"/>
    </row>
    <row r="427" spans="1:14" x14ac:dyDescent="0.2">
      <c r="A427" s="84"/>
      <c r="B427" s="84"/>
      <c r="C427" s="60"/>
      <c r="D427" s="66"/>
      <c r="E427" s="66"/>
      <c r="F427" s="66"/>
      <c r="G427" s="66"/>
      <c r="H427" s="66"/>
      <c r="I427" s="66"/>
      <c r="J427" s="66"/>
      <c r="K427" s="66"/>
      <c r="L427" s="66"/>
      <c r="M427" s="66"/>
      <c r="N427" s="66"/>
    </row>
    <row r="428" spans="1:14" x14ac:dyDescent="0.2">
      <c r="A428" s="84"/>
      <c r="B428" s="84"/>
      <c r="C428" s="60"/>
      <c r="D428" s="66"/>
      <c r="E428" s="66"/>
      <c r="F428" s="66"/>
      <c r="G428" s="66"/>
      <c r="H428" s="66"/>
      <c r="I428" s="66"/>
      <c r="J428" s="66"/>
      <c r="K428" s="66"/>
      <c r="L428" s="66"/>
      <c r="M428" s="66"/>
      <c r="N428" s="66"/>
    </row>
    <row r="429" spans="1:14" x14ac:dyDescent="0.2">
      <c r="A429" s="84"/>
      <c r="B429" s="84"/>
      <c r="C429" s="60"/>
      <c r="D429" s="66"/>
      <c r="E429" s="66"/>
      <c r="F429" s="66"/>
      <c r="G429" s="66"/>
      <c r="H429" s="66"/>
      <c r="I429" s="66"/>
      <c r="J429" s="66"/>
      <c r="K429" s="66"/>
      <c r="L429" s="66"/>
      <c r="M429" s="66"/>
      <c r="N429" s="66"/>
    </row>
    <row r="430" spans="1:14" x14ac:dyDescent="0.2">
      <c r="A430" s="84"/>
      <c r="B430" s="84"/>
      <c r="C430" s="60"/>
      <c r="D430" s="66"/>
      <c r="E430" s="66"/>
      <c r="F430" s="66"/>
      <c r="G430" s="66"/>
      <c r="H430" s="66"/>
      <c r="I430" s="66"/>
      <c r="J430" s="66"/>
      <c r="K430" s="66"/>
      <c r="L430" s="66"/>
      <c r="M430" s="66"/>
      <c r="N430" s="66"/>
    </row>
    <row r="431" spans="1:14" x14ac:dyDescent="0.2">
      <c r="A431" s="84"/>
      <c r="B431" s="84"/>
      <c r="C431" s="60"/>
      <c r="D431" s="66"/>
      <c r="E431" s="66"/>
      <c r="F431" s="66"/>
      <c r="G431" s="66"/>
      <c r="H431" s="66"/>
      <c r="I431" s="66"/>
      <c r="J431" s="66"/>
      <c r="K431" s="66"/>
      <c r="L431" s="66"/>
      <c r="M431" s="66"/>
      <c r="N431" s="66"/>
    </row>
    <row r="432" spans="1:14" x14ac:dyDescent="0.2">
      <c r="A432" s="84"/>
      <c r="B432" s="84"/>
      <c r="C432" s="60"/>
      <c r="D432" s="66"/>
      <c r="E432" s="66"/>
      <c r="F432" s="66"/>
      <c r="G432" s="66"/>
      <c r="H432" s="66"/>
      <c r="I432" s="66"/>
      <c r="J432" s="66"/>
      <c r="K432" s="66"/>
      <c r="L432" s="66"/>
      <c r="M432" s="66"/>
      <c r="N432" s="66"/>
    </row>
    <row r="433" spans="1:14" x14ac:dyDescent="0.2">
      <c r="A433" s="84"/>
      <c r="B433" s="84"/>
      <c r="C433" s="60"/>
      <c r="D433" s="66"/>
      <c r="E433" s="66"/>
      <c r="F433" s="66"/>
      <c r="G433" s="66"/>
      <c r="H433" s="66"/>
      <c r="I433" s="66"/>
      <c r="J433" s="66"/>
      <c r="K433" s="66"/>
      <c r="L433" s="66"/>
      <c r="M433" s="66"/>
      <c r="N433" s="66"/>
    </row>
    <row r="434" spans="1:14" x14ac:dyDescent="0.2">
      <c r="A434" s="84"/>
      <c r="B434" s="84"/>
      <c r="C434" s="60"/>
      <c r="D434" s="66"/>
      <c r="E434" s="66"/>
      <c r="F434" s="66"/>
      <c r="G434" s="66"/>
      <c r="H434" s="66"/>
      <c r="I434" s="66"/>
      <c r="J434" s="66"/>
      <c r="K434" s="66"/>
      <c r="L434" s="66"/>
      <c r="M434" s="66"/>
      <c r="N434" s="66"/>
    </row>
    <row r="435" spans="1:14" x14ac:dyDescent="0.2">
      <c r="A435" s="84"/>
      <c r="B435" s="84"/>
      <c r="C435" s="60"/>
      <c r="D435" s="66"/>
      <c r="E435" s="66"/>
      <c r="F435" s="66"/>
      <c r="G435" s="66"/>
      <c r="H435" s="66"/>
      <c r="I435" s="66"/>
      <c r="J435" s="66"/>
      <c r="K435" s="66"/>
      <c r="L435" s="66"/>
      <c r="M435" s="66"/>
      <c r="N435" s="66"/>
    </row>
    <row r="436" spans="1:14" x14ac:dyDescent="0.2">
      <c r="A436" s="84"/>
      <c r="B436" s="84"/>
      <c r="C436" s="60"/>
      <c r="D436" s="66"/>
      <c r="E436" s="66"/>
      <c r="F436" s="66"/>
      <c r="G436" s="66"/>
      <c r="H436" s="66"/>
      <c r="I436" s="66"/>
      <c r="J436" s="66"/>
      <c r="K436" s="66"/>
      <c r="L436" s="66"/>
      <c r="M436" s="66"/>
      <c r="N436" s="66"/>
    </row>
    <row r="437" spans="1:14" x14ac:dyDescent="0.2">
      <c r="A437" s="84"/>
      <c r="B437" s="84"/>
      <c r="C437" s="60"/>
      <c r="D437" s="66"/>
      <c r="E437" s="66"/>
      <c r="F437" s="66"/>
      <c r="G437" s="66"/>
      <c r="H437" s="66"/>
      <c r="I437" s="66"/>
      <c r="J437" s="66"/>
      <c r="K437" s="66"/>
      <c r="L437" s="66"/>
      <c r="M437" s="66"/>
      <c r="N437" s="66"/>
    </row>
    <row r="438" spans="1:14" x14ac:dyDescent="0.2">
      <c r="A438" s="84"/>
      <c r="B438" s="84"/>
      <c r="C438" s="60"/>
      <c r="D438" s="66"/>
      <c r="E438" s="66"/>
      <c r="F438" s="66"/>
      <c r="G438" s="66"/>
      <c r="H438" s="66"/>
      <c r="I438" s="66"/>
      <c r="J438" s="66"/>
      <c r="K438" s="66"/>
      <c r="L438" s="66"/>
      <c r="M438" s="66"/>
      <c r="N438" s="66"/>
    </row>
    <row r="439" spans="1:14" x14ac:dyDescent="0.2">
      <c r="A439" s="84"/>
      <c r="B439" s="84"/>
      <c r="C439" s="60"/>
      <c r="D439" s="66"/>
      <c r="E439" s="66"/>
      <c r="F439" s="66"/>
      <c r="G439" s="66"/>
      <c r="H439" s="66"/>
      <c r="I439" s="66"/>
      <c r="J439" s="66"/>
      <c r="K439" s="66"/>
      <c r="L439" s="66"/>
      <c r="M439" s="66"/>
      <c r="N439" s="66"/>
    </row>
    <row r="440" spans="1:14" x14ac:dyDescent="0.2">
      <c r="A440" s="84"/>
      <c r="B440" s="84"/>
      <c r="C440" s="60"/>
      <c r="D440" s="66"/>
      <c r="E440" s="66"/>
      <c r="F440" s="66"/>
      <c r="G440" s="66"/>
      <c r="H440" s="66"/>
      <c r="I440" s="66"/>
      <c r="J440" s="66"/>
      <c r="K440" s="66"/>
      <c r="L440" s="66"/>
      <c r="M440" s="66"/>
      <c r="N440" s="66"/>
    </row>
    <row r="441" spans="1:14" x14ac:dyDescent="0.2">
      <c r="A441" s="84"/>
      <c r="B441" s="84"/>
      <c r="C441" s="60"/>
      <c r="D441" s="66"/>
      <c r="E441" s="66"/>
      <c r="F441" s="66"/>
      <c r="G441" s="66"/>
      <c r="H441" s="66"/>
      <c r="I441" s="66"/>
      <c r="J441" s="66"/>
      <c r="K441" s="66"/>
      <c r="L441" s="66"/>
      <c r="M441" s="66"/>
      <c r="N441" s="66"/>
    </row>
    <row r="442" spans="1:14" x14ac:dyDescent="0.2">
      <c r="A442" s="84"/>
      <c r="B442" s="84"/>
      <c r="C442" s="60"/>
      <c r="D442" s="66"/>
      <c r="E442" s="66"/>
      <c r="F442" s="66"/>
      <c r="G442" s="66"/>
      <c r="H442" s="66"/>
      <c r="I442" s="66"/>
      <c r="J442" s="66"/>
      <c r="K442" s="66"/>
      <c r="L442" s="66"/>
      <c r="M442" s="66"/>
      <c r="N442" s="66"/>
    </row>
    <row r="443" spans="1:14" x14ac:dyDescent="0.2">
      <c r="A443" s="84"/>
      <c r="B443" s="84"/>
      <c r="C443" s="60"/>
      <c r="D443" s="66"/>
      <c r="E443" s="66"/>
      <c r="F443" s="66"/>
      <c r="G443" s="66"/>
      <c r="H443" s="66"/>
      <c r="I443" s="66"/>
      <c r="J443" s="66"/>
      <c r="K443" s="66"/>
      <c r="L443" s="66"/>
      <c r="M443" s="66"/>
      <c r="N443" s="66"/>
    </row>
    <row r="444" spans="1:14" x14ac:dyDescent="0.2">
      <c r="A444" s="84"/>
      <c r="B444" s="84"/>
      <c r="C444" s="60"/>
      <c r="D444" s="66"/>
      <c r="E444" s="66"/>
      <c r="F444" s="66"/>
      <c r="G444" s="66"/>
      <c r="H444" s="66"/>
      <c r="I444" s="66"/>
      <c r="J444" s="66"/>
      <c r="K444" s="66"/>
      <c r="L444" s="66"/>
      <c r="M444" s="66"/>
      <c r="N444" s="66"/>
    </row>
    <row r="445" spans="1:14" x14ac:dyDescent="0.2">
      <c r="A445" s="84"/>
      <c r="B445" s="84"/>
      <c r="C445" s="60"/>
      <c r="D445" s="66"/>
      <c r="E445" s="66"/>
      <c r="F445" s="66"/>
      <c r="G445" s="66"/>
      <c r="H445" s="66"/>
      <c r="I445" s="66"/>
      <c r="J445" s="66"/>
      <c r="K445" s="66"/>
      <c r="L445" s="66"/>
      <c r="M445" s="66"/>
      <c r="N445" s="66"/>
    </row>
    <row r="446" spans="1:14" x14ac:dyDescent="0.2">
      <c r="A446" s="84"/>
      <c r="B446" s="84"/>
      <c r="C446" s="60"/>
      <c r="D446" s="66"/>
      <c r="E446" s="66"/>
      <c r="F446" s="66"/>
      <c r="G446" s="66"/>
      <c r="H446" s="66"/>
      <c r="I446" s="66"/>
      <c r="J446" s="66"/>
      <c r="K446" s="66"/>
      <c r="L446" s="66"/>
      <c r="M446" s="66"/>
      <c r="N446" s="66"/>
    </row>
    <row r="447" spans="1:14" x14ac:dyDescent="0.2">
      <c r="A447" s="84"/>
      <c r="B447" s="84"/>
      <c r="C447" s="60"/>
      <c r="D447" s="66"/>
      <c r="E447" s="66"/>
      <c r="F447" s="66"/>
      <c r="G447" s="66"/>
      <c r="H447" s="66"/>
      <c r="I447" s="66"/>
      <c r="J447" s="66"/>
      <c r="K447" s="66"/>
      <c r="L447" s="66"/>
      <c r="M447" s="66"/>
      <c r="N447" s="66"/>
    </row>
    <row r="448" spans="1:14" x14ac:dyDescent="0.2">
      <c r="A448" s="84"/>
      <c r="B448" s="84"/>
      <c r="C448" s="60"/>
      <c r="D448" s="66"/>
      <c r="E448" s="66"/>
      <c r="F448" s="66"/>
      <c r="G448" s="66"/>
      <c r="H448" s="66"/>
      <c r="I448" s="66"/>
      <c r="J448" s="66"/>
      <c r="K448" s="66"/>
      <c r="L448" s="66"/>
      <c r="M448" s="66"/>
      <c r="N448" s="66"/>
    </row>
    <row r="449" spans="1:14" x14ac:dyDescent="0.2">
      <c r="A449" s="84"/>
      <c r="B449" s="84"/>
      <c r="C449" s="60"/>
      <c r="D449" s="66"/>
      <c r="E449" s="66"/>
      <c r="F449" s="66"/>
      <c r="G449" s="66"/>
      <c r="H449" s="66"/>
      <c r="I449" s="66"/>
      <c r="J449" s="66"/>
      <c r="K449" s="66"/>
      <c r="L449" s="66"/>
      <c r="M449" s="66"/>
      <c r="N449" s="66"/>
    </row>
    <row r="450" spans="1:14" x14ac:dyDescent="0.2">
      <c r="A450" s="84"/>
      <c r="B450" s="84"/>
      <c r="C450" s="60"/>
      <c r="D450" s="66"/>
      <c r="E450" s="66"/>
      <c r="F450" s="66"/>
      <c r="G450" s="66"/>
      <c r="H450" s="66"/>
      <c r="I450" s="66"/>
      <c r="J450" s="66"/>
      <c r="K450" s="66"/>
      <c r="L450" s="66"/>
      <c r="M450" s="66"/>
      <c r="N450" s="66"/>
    </row>
    <row r="451" spans="1:14" x14ac:dyDescent="0.2">
      <c r="A451" s="84"/>
      <c r="B451" s="84"/>
      <c r="C451" s="60"/>
      <c r="D451" s="66"/>
      <c r="E451" s="66"/>
      <c r="F451" s="66"/>
      <c r="G451" s="66"/>
      <c r="H451" s="66"/>
      <c r="I451" s="66"/>
      <c r="J451" s="66"/>
      <c r="K451" s="66"/>
      <c r="L451" s="66"/>
      <c r="M451" s="66"/>
      <c r="N451" s="66"/>
    </row>
    <row r="452" spans="1:14" x14ac:dyDescent="0.2">
      <c r="A452" s="84"/>
      <c r="B452" s="84"/>
      <c r="C452" s="60"/>
      <c r="D452" s="66"/>
      <c r="E452" s="66"/>
      <c r="F452" s="66"/>
      <c r="G452" s="66"/>
      <c r="H452" s="66"/>
      <c r="I452" s="66"/>
      <c r="J452" s="66"/>
      <c r="K452" s="66"/>
      <c r="L452" s="66"/>
      <c r="M452" s="66"/>
      <c r="N452" s="66"/>
    </row>
    <row r="453" spans="1:14" x14ac:dyDescent="0.2">
      <c r="A453" s="84"/>
      <c r="B453" s="84"/>
      <c r="C453" s="60"/>
      <c r="D453" s="66"/>
      <c r="E453" s="66"/>
      <c r="F453" s="66"/>
      <c r="G453" s="66"/>
      <c r="H453" s="66"/>
      <c r="I453" s="66"/>
      <c r="J453" s="66"/>
      <c r="K453" s="66"/>
      <c r="L453" s="66"/>
      <c r="M453" s="66"/>
      <c r="N453" s="66"/>
    </row>
    <row r="454" spans="1:14" x14ac:dyDescent="0.2">
      <c r="A454" s="84"/>
      <c r="B454" s="84"/>
      <c r="C454" s="60"/>
      <c r="D454" s="66"/>
      <c r="E454" s="66"/>
      <c r="F454" s="66"/>
      <c r="G454" s="66"/>
      <c r="H454" s="66"/>
      <c r="I454" s="66"/>
      <c r="J454" s="66"/>
      <c r="K454" s="66"/>
      <c r="L454" s="66"/>
      <c r="M454" s="66"/>
      <c r="N454" s="66"/>
    </row>
    <row r="455" spans="1:14" x14ac:dyDescent="0.2">
      <c r="A455" s="84"/>
      <c r="B455" s="84"/>
      <c r="C455" s="60"/>
      <c r="D455" s="66"/>
      <c r="E455" s="66"/>
      <c r="F455" s="66"/>
      <c r="G455" s="66"/>
      <c r="H455" s="66"/>
      <c r="I455" s="66"/>
      <c r="J455" s="66"/>
      <c r="K455" s="66"/>
      <c r="L455" s="66"/>
      <c r="M455" s="66"/>
      <c r="N455" s="66"/>
    </row>
    <row r="456" spans="1:14" x14ac:dyDescent="0.2">
      <c r="A456" s="84"/>
      <c r="B456" s="84"/>
      <c r="C456" s="60"/>
      <c r="D456" s="66"/>
      <c r="E456" s="66"/>
      <c r="F456" s="66"/>
      <c r="G456" s="66"/>
      <c r="H456" s="66"/>
      <c r="I456" s="66"/>
      <c r="J456" s="66"/>
      <c r="K456" s="66"/>
      <c r="L456" s="66"/>
      <c r="M456" s="66"/>
      <c r="N456" s="66"/>
    </row>
    <row r="457" spans="1:14" x14ac:dyDescent="0.2">
      <c r="A457" s="84"/>
      <c r="B457" s="84"/>
      <c r="C457" s="60"/>
      <c r="D457" s="66"/>
      <c r="E457" s="66"/>
      <c r="F457" s="66"/>
      <c r="G457" s="66"/>
      <c r="H457" s="66"/>
      <c r="I457" s="66"/>
      <c r="J457" s="66"/>
      <c r="K457" s="66"/>
      <c r="L457" s="66"/>
      <c r="M457" s="66"/>
      <c r="N457" s="66"/>
    </row>
    <row r="458" spans="1:14" x14ac:dyDescent="0.2">
      <c r="A458" s="84"/>
      <c r="B458" s="84"/>
      <c r="C458" s="60"/>
      <c r="D458" s="66"/>
      <c r="E458" s="66"/>
      <c r="F458" s="66"/>
      <c r="G458" s="66"/>
      <c r="H458" s="66"/>
      <c r="I458" s="66"/>
      <c r="J458" s="66"/>
      <c r="K458" s="66"/>
      <c r="L458" s="66"/>
      <c r="M458" s="66"/>
      <c r="N458" s="66"/>
    </row>
    <row r="459" spans="1:14" x14ac:dyDescent="0.2">
      <c r="A459" s="84"/>
      <c r="B459" s="84"/>
      <c r="C459" s="60"/>
      <c r="D459" s="66"/>
      <c r="E459" s="66"/>
      <c r="F459" s="66"/>
      <c r="G459" s="66"/>
      <c r="H459" s="66"/>
      <c r="I459" s="66"/>
      <c r="J459" s="66"/>
      <c r="K459" s="66"/>
      <c r="L459" s="66"/>
      <c r="M459" s="66"/>
      <c r="N459" s="66"/>
    </row>
    <row r="460" spans="1:14" x14ac:dyDescent="0.2">
      <c r="A460" s="84"/>
      <c r="B460" s="84"/>
      <c r="C460" s="60"/>
      <c r="D460" s="66"/>
      <c r="E460" s="66"/>
      <c r="F460" s="66"/>
      <c r="G460" s="66"/>
      <c r="H460" s="66"/>
      <c r="I460" s="66"/>
      <c r="J460" s="66"/>
      <c r="K460" s="66"/>
      <c r="L460" s="66"/>
      <c r="M460" s="66"/>
      <c r="N460" s="66"/>
    </row>
    <row r="461" spans="1:14" x14ac:dyDescent="0.2">
      <c r="A461" s="84"/>
      <c r="B461" s="84"/>
      <c r="C461" s="60"/>
      <c r="D461" s="66"/>
      <c r="E461" s="66"/>
      <c r="F461" s="66"/>
      <c r="G461" s="66"/>
      <c r="H461" s="66"/>
      <c r="I461" s="66"/>
      <c r="J461" s="66"/>
      <c r="K461" s="66"/>
      <c r="L461" s="66"/>
      <c r="M461" s="66"/>
      <c r="N461" s="66"/>
    </row>
    <row r="462" spans="1:14" x14ac:dyDescent="0.2">
      <c r="A462" s="84"/>
      <c r="B462" s="84"/>
      <c r="C462" s="60"/>
      <c r="D462" s="66"/>
      <c r="E462" s="66"/>
      <c r="F462" s="66"/>
      <c r="G462" s="66"/>
      <c r="H462" s="66"/>
      <c r="I462" s="66"/>
      <c r="J462" s="66"/>
      <c r="K462" s="66"/>
      <c r="L462" s="66"/>
      <c r="M462" s="66"/>
      <c r="N462" s="66"/>
    </row>
    <row r="463" spans="1:14" x14ac:dyDescent="0.2">
      <c r="A463" s="84"/>
      <c r="B463" s="84"/>
      <c r="C463" s="60"/>
      <c r="D463" s="66"/>
      <c r="E463" s="66"/>
      <c r="F463" s="66"/>
      <c r="G463" s="66"/>
      <c r="H463" s="66"/>
      <c r="I463" s="66"/>
      <c r="J463" s="66"/>
      <c r="K463" s="66"/>
      <c r="L463" s="66"/>
      <c r="M463" s="66"/>
      <c r="N463" s="66"/>
    </row>
    <row r="464" spans="1:14" x14ac:dyDescent="0.2">
      <c r="A464" s="84"/>
      <c r="B464" s="84"/>
      <c r="C464" s="60"/>
      <c r="D464" s="66"/>
      <c r="E464" s="66"/>
      <c r="F464" s="66"/>
      <c r="G464" s="66"/>
      <c r="H464" s="66"/>
      <c r="I464" s="66"/>
      <c r="J464" s="66"/>
      <c r="K464" s="66"/>
      <c r="L464" s="66"/>
      <c r="M464" s="66"/>
      <c r="N464" s="66"/>
    </row>
    <row r="465" spans="1:14" x14ac:dyDescent="0.2">
      <c r="A465" s="84"/>
      <c r="B465" s="84"/>
      <c r="C465" s="60"/>
      <c r="D465" s="66"/>
      <c r="E465" s="66"/>
      <c r="F465" s="66"/>
      <c r="G465" s="66"/>
      <c r="H465" s="66"/>
      <c r="I465" s="66"/>
      <c r="J465" s="66"/>
      <c r="K465" s="66"/>
      <c r="L465" s="66"/>
      <c r="M465" s="66"/>
      <c r="N465" s="66"/>
    </row>
    <row r="466" spans="1:14" x14ac:dyDescent="0.2">
      <c r="A466" s="84"/>
      <c r="B466" s="84"/>
      <c r="C466" s="60"/>
      <c r="D466" s="66"/>
      <c r="E466" s="66"/>
      <c r="F466" s="66"/>
      <c r="G466" s="66"/>
      <c r="H466" s="66"/>
      <c r="I466" s="66"/>
      <c r="J466" s="66"/>
      <c r="K466" s="66"/>
      <c r="L466" s="66"/>
      <c r="M466" s="66"/>
      <c r="N466" s="66"/>
    </row>
    <row r="467" spans="1:14" x14ac:dyDescent="0.2">
      <c r="A467" s="84"/>
      <c r="B467" s="84"/>
      <c r="C467" s="60"/>
      <c r="D467" s="66"/>
      <c r="E467" s="66"/>
      <c r="F467" s="66"/>
      <c r="G467" s="66"/>
      <c r="H467" s="66"/>
      <c r="I467" s="66"/>
      <c r="J467" s="66"/>
      <c r="K467" s="66"/>
      <c r="L467" s="66"/>
      <c r="M467" s="66"/>
      <c r="N467" s="66"/>
    </row>
    <row r="468" spans="1:14" x14ac:dyDescent="0.2">
      <c r="A468" s="84"/>
      <c r="B468" s="84"/>
      <c r="C468" s="60"/>
      <c r="D468" s="66"/>
      <c r="E468" s="66"/>
      <c r="F468" s="66"/>
      <c r="G468" s="66"/>
      <c r="H468" s="66"/>
      <c r="I468" s="66"/>
      <c r="J468" s="66"/>
      <c r="K468" s="66"/>
      <c r="L468" s="66"/>
      <c r="M468" s="66"/>
      <c r="N468" s="66"/>
    </row>
    <row r="469" spans="1:14" x14ac:dyDescent="0.2">
      <c r="A469" s="84"/>
      <c r="B469" s="84"/>
      <c r="C469" s="60"/>
      <c r="D469" s="66"/>
      <c r="E469" s="66"/>
      <c r="F469" s="66"/>
      <c r="G469" s="66"/>
      <c r="H469" s="66"/>
      <c r="I469" s="66"/>
      <c r="J469" s="66"/>
      <c r="K469" s="66"/>
      <c r="L469" s="66"/>
      <c r="M469" s="66"/>
      <c r="N469" s="66"/>
    </row>
    <row r="470" spans="1:14" x14ac:dyDescent="0.2">
      <c r="A470" s="84"/>
      <c r="B470" s="84"/>
      <c r="C470" s="60"/>
      <c r="D470" s="66"/>
      <c r="E470" s="66"/>
      <c r="F470" s="66"/>
      <c r="G470" s="66"/>
      <c r="H470" s="66"/>
      <c r="I470" s="66"/>
      <c r="J470" s="66"/>
      <c r="K470" s="66"/>
      <c r="L470" s="66"/>
      <c r="M470" s="66"/>
      <c r="N470" s="66"/>
    </row>
    <row r="471" spans="1:14" x14ac:dyDescent="0.2">
      <c r="A471" s="84"/>
      <c r="B471" s="84"/>
      <c r="C471" s="60"/>
      <c r="D471" s="66"/>
      <c r="E471" s="66"/>
      <c r="F471" s="66"/>
      <c r="G471" s="66"/>
      <c r="H471" s="66"/>
      <c r="I471" s="66"/>
      <c r="J471" s="66"/>
      <c r="K471" s="66"/>
      <c r="L471" s="66"/>
      <c r="M471" s="66"/>
      <c r="N471" s="66"/>
    </row>
    <row r="472" spans="1:14" x14ac:dyDescent="0.2">
      <c r="A472" s="84"/>
      <c r="B472" s="84"/>
      <c r="C472" s="60"/>
      <c r="D472" s="66"/>
      <c r="E472" s="66"/>
      <c r="F472" s="66"/>
      <c r="G472" s="66"/>
      <c r="H472" s="66"/>
      <c r="I472" s="66"/>
      <c r="J472" s="66"/>
      <c r="K472" s="66"/>
      <c r="L472" s="66"/>
      <c r="M472" s="66"/>
      <c r="N472" s="66"/>
    </row>
    <row r="473" spans="1:14" x14ac:dyDescent="0.2">
      <c r="A473" s="84"/>
      <c r="B473" s="84"/>
      <c r="C473" s="60"/>
      <c r="D473" s="66"/>
      <c r="E473" s="66"/>
      <c r="F473" s="66"/>
      <c r="G473" s="66"/>
      <c r="H473" s="66"/>
      <c r="I473" s="66"/>
      <c r="J473" s="66"/>
      <c r="K473" s="66"/>
      <c r="L473" s="66"/>
      <c r="M473" s="66"/>
      <c r="N473" s="66"/>
    </row>
    <row r="474" spans="1:14" x14ac:dyDescent="0.2">
      <c r="A474" s="84"/>
      <c r="B474" s="84"/>
      <c r="C474" s="60"/>
      <c r="D474" s="66"/>
      <c r="E474" s="66"/>
      <c r="F474" s="66"/>
      <c r="G474" s="66"/>
      <c r="H474" s="66"/>
      <c r="I474" s="66"/>
      <c r="J474" s="66"/>
      <c r="K474" s="66"/>
      <c r="L474" s="66"/>
      <c r="M474" s="66"/>
      <c r="N474" s="66"/>
    </row>
    <row r="475" spans="1:14" x14ac:dyDescent="0.2">
      <c r="A475" s="84"/>
      <c r="B475" s="84"/>
      <c r="C475" s="60"/>
      <c r="D475" s="66"/>
      <c r="E475" s="66"/>
      <c r="F475" s="66"/>
      <c r="G475" s="66"/>
      <c r="H475" s="66"/>
      <c r="I475" s="66"/>
      <c r="J475" s="66"/>
      <c r="K475" s="66"/>
      <c r="L475" s="66"/>
      <c r="M475" s="66"/>
      <c r="N475" s="66"/>
    </row>
    <row r="476" spans="1:14" x14ac:dyDescent="0.2">
      <c r="A476" s="84"/>
      <c r="B476" s="84"/>
      <c r="C476" s="60"/>
      <c r="D476" s="66"/>
      <c r="E476" s="66"/>
      <c r="F476" s="66"/>
      <c r="G476" s="66"/>
      <c r="H476" s="66"/>
      <c r="I476" s="66"/>
      <c r="J476" s="66"/>
      <c r="K476" s="66"/>
      <c r="L476" s="66"/>
      <c r="M476" s="66"/>
      <c r="N476" s="66"/>
    </row>
    <row r="477" spans="1:14" x14ac:dyDescent="0.2">
      <c r="A477" s="84"/>
      <c r="B477" s="84"/>
      <c r="C477" s="60"/>
      <c r="D477" s="66"/>
      <c r="E477" s="66"/>
      <c r="F477" s="66"/>
      <c r="G477" s="66"/>
      <c r="H477" s="66"/>
      <c r="I477" s="66"/>
      <c r="J477" s="66"/>
      <c r="K477" s="66"/>
      <c r="L477" s="66"/>
      <c r="M477" s="66"/>
      <c r="N477" s="66"/>
    </row>
    <row r="478" spans="1:14" x14ac:dyDescent="0.2">
      <c r="A478" s="84"/>
      <c r="B478" s="84"/>
      <c r="C478" s="60"/>
      <c r="D478" s="66"/>
      <c r="E478" s="66"/>
      <c r="F478" s="66"/>
      <c r="G478" s="66"/>
      <c r="H478" s="66"/>
      <c r="I478" s="66"/>
      <c r="J478" s="66"/>
      <c r="K478" s="66"/>
      <c r="L478" s="66"/>
      <c r="M478" s="66"/>
      <c r="N478" s="66"/>
    </row>
    <row r="479" spans="1:14" x14ac:dyDescent="0.2">
      <c r="A479" s="84"/>
      <c r="B479" s="84"/>
      <c r="C479" s="60"/>
      <c r="D479" s="66"/>
      <c r="E479" s="66"/>
      <c r="F479" s="66"/>
      <c r="G479" s="66"/>
      <c r="H479" s="66"/>
      <c r="I479" s="66"/>
      <c r="J479" s="66"/>
      <c r="K479" s="66"/>
      <c r="L479" s="66"/>
      <c r="M479" s="66"/>
      <c r="N479" s="66"/>
    </row>
    <row r="480" spans="1:14" x14ac:dyDescent="0.2">
      <c r="A480" s="84"/>
      <c r="B480" s="84"/>
      <c r="C480" s="60"/>
      <c r="D480" s="66"/>
      <c r="E480" s="66"/>
      <c r="F480" s="66"/>
      <c r="G480" s="66"/>
      <c r="H480" s="66"/>
      <c r="I480" s="66"/>
      <c r="J480" s="66"/>
      <c r="K480" s="66"/>
      <c r="L480" s="66"/>
      <c r="M480" s="66"/>
      <c r="N480" s="66"/>
    </row>
    <row r="481" spans="1:14" x14ac:dyDescent="0.2">
      <c r="A481" s="84"/>
      <c r="B481" s="84"/>
      <c r="C481" s="60"/>
      <c r="D481" s="66"/>
      <c r="E481" s="66"/>
      <c r="F481" s="66"/>
      <c r="G481" s="66"/>
      <c r="H481" s="66"/>
      <c r="I481" s="66"/>
      <c r="J481" s="66"/>
      <c r="K481" s="66"/>
      <c r="L481" s="66"/>
      <c r="M481" s="66"/>
      <c r="N481" s="66"/>
    </row>
    <row r="482" spans="1:14" x14ac:dyDescent="0.2">
      <c r="A482" s="84"/>
      <c r="B482" s="84"/>
      <c r="C482" s="60"/>
      <c r="D482" s="66"/>
      <c r="E482" s="66"/>
      <c r="F482" s="66"/>
      <c r="G482" s="66"/>
      <c r="H482" s="66"/>
      <c r="I482" s="66"/>
      <c r="J482" s="66"/>
      <c r="K482" s="66"/>
      <c r="L482" s="66"/>
      <c r="M482" s="66"/>
      <c r="N482" s="66"/>
    </row>
    <row r="483" spans="1:14" x14ac:dyDescent="0.2">
      <c r="A483" s="84"/>
      <c r="B483" s="84"/>
      <c r="C483" s="60"/>
      <c r="D483" s="66"/>
      <c r="E483" s="66"/>
      <c r="F483" s="66"/>
      <c r="G483" s="66"/>
      <c r="H483" s="66"/>
      <c r="I483" s="66"/>
      <c r="J483" s="66"/>
      <c r="K483" s="66"/>
      <c r="L483" s="66"/>
      <c r="M483" s="66"/>
      <c r="N483" s="66"/>
    </row>
    <row r="484" spans="1:14" x14ac:dyDescent="0.2">
      <c r="A484" s="84"/>
      <c r="B484" s="84"/>
      <c r="C484" s="60"/>
      <c r="D484" s="66"/>
      <c r="E484" s="66"/>
      <c r="F484" s="66"/>
      <c r="G484" s="66"/>
      <c r="H484" s="66"/>
      <c r="I484" s="66"/>
      <c r="J484" s="66"/>
      <c r="K484" s="66"/>
      <c r="L484" s="66"/>
      <c r="M484" s="66"/>
      <c r="N484" s="66"/>
    </row>
    <row r="485" spans="1:14" x14ac:dyDescent="0.2">
      <c r="A485" s="84"/>
      <c r="B485" s="84"/>
      <c r="C485" s="60"/>
      <c r="D485" s="66"/>
      <c r="E485" s="66"/>
      <c r="F485" s="66"/>
      <c r="G485" s="66"/>
      <c r="H485" s="66"/>
      <c r="I485" s="66"/>
      <c r="J485" s="66"/>
      <c r="K485" s="66"/>
      <c r="L485" s="66"/>
      <c r="M485" s="66"/>
      <c r="N485" s="66"/>
    </row>
    <row r="486" spans="1:14" x14ac:dyDescent="0.2">
      <c r="A486" s="84"/>
      <c r="B486" s="84"/>
      <c r="C486" s="60"/>
      <c r="D486" s="66"/>
      <c r="E486" s="66"/>
      <c r="F486" s="66"/>
      <c r="G486" s="66"/>
      <c r="H486" s="66"/>
      <c r="I486" s="66"/>
      <c r="J486" s="66"/>
      <c r="K486" s="66"/>
      <c r="L486" s="66"/>
      <c r="M486" s="66"/>
      <c r="N486" s="66"/>
    </row>
    <row r="487" spans="1:14" x14ac:dyDescent="0.2">
      <c r="A487" s="84"/>
      <c r="B487" s="84"/>
      <c r="C487" s="60"/>
      <c r="D487" s="66"/>
      <c r="E487" s="66"/>
      <c r="F487" s="66"/>
      <c r="G487" s="66"/>
      <c r="H487" s="66"/>
      <c r="I487" s="66"/>
      <c r="J487" s="66"/>
      <c r="K487" s="66"/>
      <c r="L487" s="66"/>
      <c r="M487" s="66"/>
      <c r="N487" s="66"/>
    </row>
    <row r="488" spans="1:14" x14ac:dyDescent="0.2">
      <c r="A488" s="84"/>
      <c r="B488" s="84"/>
      <c r="C488" s="60"/>
      <c r="D488" s="66"/>
      <c r="E488" s="66"/>
      <c r="F488" s="66"/>
      <c r="G488" s="66"/>
      <c r="H488" s="66"/>
      <c r="I488" s="66"/>
      <c r="J488" s="66"/>
      <c r="K488" s="66"/>
      <c r="L488" s="66"/>
      <c r="M488" s="66"/>
      <c r="N488" s="66"/>
    </row>
    <row r="489" spans="1:14" x14ac:dyDescent="0.2">
      <c r="A489" s="84"/>
      <c r="B489" s="84"/>
      <c r="C489" s="60"/>
      <c r="D489" s="66"/>
      <c r="E489" s="66"/>
      <c r="F489" s="66"/>
      <c r="G489" s="66"/>
      <c r="H489" s="66"/>
      <c r="I489" s="66"/>
      <c r="J489" s="66"/>
      <c r="K489" s="66"/>
      <c r="L489" s="66"/>
      <c r="M489" s="66"/>
      <c r="N489" s="66"/>
    </row>
    <row r="490" spans="1:14" x14ac:dyDescent="0.2">
      <c r="A490" s="84"/>
      <c r="B490" s="84"/>
      <c r="C490" s="60"/>
      <c r="D490" s="66"/>
      <c r="E490" s="66"/>
      <c r="F490" s="66"/>
      <c r="G490" s="66"/>
      <c r="H490" s="66"/>
      <c r="I490" s="66"/>
      <c r="J490" s="66"/>
      <c r="K490" s="66"/>
      <c r="L490" s="66"/>
      <c r="M490" s="66"/>
      <c r="N490" s="66"/>
    </row>
    <row r="491" spans="1:14" x14ac:dyDescent="0.2">
      <c r="A491" s="84"/>
      <c r="B491" s="84"/>
      <c r="C491" s="60"/>
      <c r="D491" s="66"/>
      <c r="E491" s="66"/>
      <c r="F491" s="66"/>
      <c r="G491" s="66"/>
      <c r="H491" s="66"/>
      <c r="I491" s="66"/>
      <c r="J491" s="66"/>
      <c r="K491" s="66"/>
      <c r="L491" s="66"/>
      <c r="M491" s="66"/>
      <c r="N491" s="66"/>
    </row>
    <row r="492" spans="1:14" x14ac:dyDescent="0.2">
      <c r="A492" s="84"/>
      <c r="B492" s="84"/>
      <c r="C492" s="60"/>
      <c r="D492" s="66"/>
      <c r="E492" s="66"/>
      <c r="F492" s="66"/>
      <c r="G492" s="66"/>
      <c r="H492" s="66"/>
      <c r="I492" s="66"/>
      <c r="J492" s="66"/>
      <c r="K492" s="66"/>
      <c r="L492" s="66"/>
      <c r="M492" s="66"/>
      <c r="N492" s="66"/>
    </row>
    <row r="493" spans="1:14" x14ac:dyDescent="0.2">
      <c r="A493" s="84"/>
      <c r="B493" s="84"/>
      <c r="C493" s="60"/>
      <c r="D493" s="66"/>
      <c r="E493" s="66"/>
      <c r="F493" s="66"/>
      <c r="G493" s="66"/>
      <c r="H493" s="66"/>
      <c r="I493" s="66"/>
      <c r="J493" s="66"/>
      <c r="K493" s="66"/>
      <c r="L493" s="66"/>
      <c r="M493" s="66"/>
      <c r="N493" s="66"/>
    </row>
    <row r="494" spans="1:14" x14ac:dyDescent="0.2">
      <c r="A494" s="84"/>
      <c r="B494" s="84"/>
      <c r="C494" s="60"/>
      <c r="D494" s="66"/>
      <c r="E494" s="66"/>
      <c r="F494" s="66"/>
      <c r="G494" s="66"/>
      <c r="H494" s="66"/>
      <c r="I494" s="66"/>
      <c r="J494" s="66"/>
      <c r="K494" s="66"/>
      <c r="L494" s="66"/>
      <c r="M494" s="66"/>
      <c r="N494" s="66"/>
    </row>
    <row r="495" spans="1:14" x14ac:dyDescent="0.2">
      <c r="A495" s="84"/>
      <c r="B495" s="84"/>
      <c r="C495" s="60"/>
      <c r="D495" s="66"/>
      <c r="E495" s="66"/>
      <c r="F495" s="66"/>
      <c r="G495" s="66"/>
      <c r="H495" s="66"/>
      <c r="I495" s="66"/>
      <c r="J495" s="66"/>
      <c r="K495" s="66"/>
      <c r="L495" s="66"/>
      <c r="M495" s="66"/>
      <c r="N495" s="66"/>
    </row>
    <row r="496" spans="1:14" x14ac:dyDescent="0.2">
      <c r="A496" s="84"/>
      <c r="B496" s="84"/>
      <c r="C496" s="60"/>
      <c r="D496" s="66"/>
      <c r="E496" s="66"/>
      <c r="F496" s="66"/>
      <c r="G496" s="66"/>
      <c r="H496" s="66"/>
      <c r="I496" s="66"/>
      <c r="J496" s="66"/>
      <c r="K496" s="66"/>
      <c r="L496" s="66"/>
      <c r="M496" s="66"/>
      <c r="N496" s="66"/>
    </row>
    <row r="497" spans="1:14" x14ac:dyDescent="0.2">
      <c r="A497" s="84"/>
      <c r="B497" s="84"/>
      <c r="C497" s="60"/>
      <c r="D497" s="66"/>
      <c r="E497" s="66"/>
      <c r="F497" s="66"/>
      <c r="G497" s="66"/>
      <c r="H497" s="66"/>
      <c r="I497" s="66"/>
      <c r="J497" s="66"/>
      <c r="K497" s="66"/>
      <c r="L497" s="66"/>
      <c r="M497" s="66"/>
      <c r="N497" s="66"/>
    </row>
    <row r="498" spans="1:14" x14ac:dyDescent="0.2">
      <c r="A498" s="84"/>
      <c r="B498" s="84"/>
      <c r="C498" s="60"/>
      <c r="D498" s="66"/>
      <c r="E498" s="66"/>
      <c r="F498" s="66"/>
      <c r="G498" s="66"/>
      <c r="H498" s="66"/>
      <c r="I498" s="66"/>
      <c r="J498" s="66"/>
      <c r="K498" s="66"/>
      <c r="L498" s="66"/>
      <c r="M498" s="66"/>
      <c r="N498" s="66"/>
    </row>
    <row r="499" spans="1:14" x14ac:dyDescent="0.2">
      <c r="A499" s="84"/>
      <c r="B499" s="84"/>
      <c r="C499" s="60"/>
      <c r="D499" s="66"/>
      <c r="E499" s="66"/>
      <c r="F499" s="66"/>
      <c r="G499" s="66"/>
      <c r="H499" s="66"/>
      <c r="I499" s="66"/>
      <c r="J499" s="66"/>
      <c r="K499" s="66"/>
      <c r="L499" s="66"/>
      <c r="M499" s="66"/>
      <c r="N499" s="66"/>
    </row>
    <row r="500" spans="1:14" x14ac:dyDescent="0.2">
      <c r="A500" s="84"/>
      <c r="B500" s="84"/>
      <c r="C500" s="60"/>
      <c r="D500" s="66"/>
      <c r="E500" s="66"/>
      <c r="F500" s="66"/>
      <c r="G500" s="66"/>
      <c r="H500" s="66"/>
      <c r="I500" s="66"/>
      <c r="J500" s="66"/>
      <c r="K500" s="66"/>
      <c r="L500" s="66"/>
      <c r="M500" s="66"/>
      <c r="N500" s="66"/>
    </row>
    <row r="501" spans="1:14" x14ac:dyDescent="0.2">
      <c r="A501" s="84"/>
      <c r="B501" s="84"/>
      <c r="C501" s="60"/>
      <c r="D501" s="66"/>
      <c r="E501" s="66"/>
      <c r="F501" s="66"/>
      <c r="G501" s="66"/>
      <c r="H501" s="66"/>
      <c r="I501" s="66"/>
      <c r="J501" s="66"/>
      <c r="K501" s="66"/>
      <c r="L501" s="66"/>
      <c r="M501" s="66"/>
      <c r="N501" s="66"/>
    </row>
    <row r="502" spans="1:14" x14ac:dyDescent="0.2">
      <c r="A502" s="84"/>
      <c r="B502" s="84"/>
      <c r="C502" s="60"/>
      <c r="D502" s="66"/>
      <c r="E502" s="66"/>
      <c r="F502" s="66"/>
      <c r="G502" s="66"/>
      <c r="H502" s="66"/>
      <c r="I502" s="66"/>
      <c r="J502" s="66"/>
      <c r="K502" s="66"/>
      <c r="L502" s="66"/>
      <c r="M502" s="66"/>
      <c r="N502" s="66"/>
    </row>
    <row r="503" spans="1:14" x14ac:dyDescent="0.2">
      <c r="A503" s="84"/>
      <c r="B503" s="84"/>
      <c r="C503" s="60"/>
      <c r="D503" s="66"/>
      <c r="E503" s="66"/>
      <c r="F503" s="66"/>
      <c r="G503" s="66"/>
      <c r="H503" s="66"/>
      <c r="I503" s="66"/>
      <c r="J503" s="66"/>
      <c r="K503" s="66"/>
      <c r="L503" s="66"/>
      <c r="M503" s="66"/>
      <c r="N503" s="66"/>
    </row>
    <row r="504" spans="1:14" x14ac:dyDescent="0.2">
      <c r="A504" s="84"/>
      <c r="B504" s="84"/>
      <c r="C504" s="60"/>
      <c r="D504" s="66"/>
      <c r="E504" s="66"/>
      <c r="F504" s="66"/>
      <c r="G504" s="66"/>
      <c r="H504" s="66"/>
      <c r="I504" s="66"/>
      <c r="J504" s="66"/>
      <c r="K504" s="66"/>
      <c r="L504" s="66"/>
      <c r="M504" s="66"/>
      <c r="N504" s="66"/>
    </row>
    <row r="505" spans="1:14" x14ac:dyDescent="0.2">
      <c r="A505" s="84"/>
      <c r="B505" s="84"/>
      <c r="C505" s="60"/>
      <c r="D505" s="66"/>
      <c r="E505" s="66"/>
      <c r="F505" s="66"/>
      <c r="G505" s="66"/>
      <c r="H505" s="66"/>
      <c r="I505" s="66"/>
      <c r="J505" s="66"/>
      <c r="K505" s="66"/>
      <c r="L505" s="66"/>
      <c r="M505" s="66"/>
      <c r="N505" s="66"/>
    </row>
    <row r="506" spans="1:14" x14ac:dyDescent="0.2">
      <c r="A506" s="84"/>
      <c r="B506" s="84"/>
      <c r="C506" s="60"/>
      <c r="D506" s="66"/>
      <c r="E506" s="66"/>
      <c r="F506" s="66"/>
      <c r="G506" s="66"/>
      <c r="H506" s="66"/>
      <c r="I506" s="66"/>
      <c r="J506" s="66"/>
      <c r="K506" s="66"/>
      <c r="L506" s="66"/>
      <c r="M506" s="66"/>
      <c r="N506" s="66"/>
    </row>
    <row r="507" spans="1:14" x14ac:dyDescent="0.2">
      <c r="A507" s="84"/>
      <c r="B507" s="84"/>
      <c r="C507" s="60"/>
      <c r="D507" s="66"/>
      <c r="E507" s="66"/>
      <c r="F507" s="66"/>
      <c r="G507" s="66"/>
      <c r="H507" s="66"/>
      <c r="I507" s="66"/>
      <c r="J507" s="66"/>
      <c r="K507" s="66"/>
      <c r="L507" s="66"/>
      <c r="M507" s="66"/>
      <c r="N507" s="66"/>
    </row>
    <row r="508" spans="1:14" x14ac:dyDescent="0.2">
      <c r="A508" s="84"/>
      <c r="B508" s="84"/>
      <c r="C508" s="60"/>
      <c r="D508" s="66"/>
      <c r="E508" s="66"/>
      <c r="F508" s="66"/>
      <c r="G508" s="66"/>
      <c r="H508" s="66"/>
      <c r="I508" s="66"/>
      <c r="J508" s="66"/>
      <c r="K508" s="66"/>
      <c r="L508" s="66"/>
      <c r="M508" s="66"/>
      <c r="N508" s="66"/>
    </row>
    <row r="509" spans="1:14" x14ac:dyDescent="0.2">
      <c r="A509" s="84"/>
      <c r="B509" s="84"/>
      <c r="C509" s="60"/>
      <c r="D509" s="66"/>
      <c r="E509" s="66"/>
      <c r="F509" s="66"/>
      <c r="G509" s="66"/>
      <c r="H509" s="66"/>
      <c r="I509" s="66"/>
      <c r="J509" s="66"/>
      <c r="K509" s="66"/>
      <c r="L509" s="66"/>
      <c r="M509" s="66"/>
      <c r="N509" s="66"/>
    </row>
    <row r="510" spans="1:14" x14ac:dyDescent="0.2">
      <c r="A510" s="84"/>
      <c r="B510" s="84"/>
      <c r="C510" s="60"/>
      <c r="D510" s="66"/>
      <c r="E510" s="66"/>
      <c r="F510" s="66"/>
      <c r="G510" s="66"/>
      <c r="H510" s="66"/>
      <c r="I510" s="66"/>
      <c r="J510" s="66"/>
      <c r="K510" s="66"/>
      <c r="L510" s="66"/>
      <c r="M510" s="66"/>
      <c r="N510" s="66"/>
    </row>
    <row r="511" spans="1:14" x14ac:dyDescent="0.2">
      <c r="A511" s="84"/>
      <c r="B511" s="84"/>
      <c r="C511" s="60"/>
      <c r="D511" s="66"/>
      <c r="E511" s="66"/>
      <c r="F511" s="66"/>
      <c r="G511" s="66"/>
      <c r="H511" s="66"/>
      <c r="I511" s="66"/>
      <c r="J511" s="66"/>
      <c r="K511" s="66"/>
      <c r="L511" s="66"/>
      <c r="M511" s="66"/>
      <c r="N511" s="66"/>
    </row>
    <row r="512" spans="1:14" x14ac:dyDescent="0.2">
      <c r="A512" s="84"/>
      <c r="B512" s="84"/>
      <c r="C512" s="60"/>
      <c r="D512" s="66"/>
      <c r="E512" s="66"/>
      <c r="F512" s="66"/>
      <c r="G512" s="66"/>
      <c r="H512" s="66"/>
      <c r="I512" s="66"/>
      <c r="J512" s="66"/>
      <c r="K512" s="66"/>
      <c r="L512" s="66"/>
      <c r="M512" s="66"/>
      <c r="N512" s="66"/>
    </row>
    <row r="513" spans="1:14" x14ac:dyDescent="0.2">
      <c r="A513" s="84"/>
      <c r="B513" s="84"/>
      <c r="C513" s="60"/>
      <c r="D513" s="66"/>
      <c r="E513" s="66"/>
      <c r="F513" s="66"/>
      <c r="G513" s="66"/>
      <c r="H513" s="66"/>
      <c r="I513" s="66"/>
      <c r="J513" s="66"/>
      <c r="K513" s="66"/>
      <c r="L513" s="66"/>
      <c r="M513" s="66"/>
      <c r="N513" s="66"/>
    </row>
    <row r="514" spans="1:14" x14ac:dyDescent="0.2">
      <c r="A514" s="84"/>
      <c r="B514" s="84"/>
      <c r="C514" s="60"/>
      <c r="D514" s="66"/>
      <c r="E514" s="66"/>
      <c r="F514" s="66"/>
      <c r="G514" s="66"/>
      <c r="H514" s="66"/>
      <c r="I514" s="66"/>
      <c r="J514" s="66"/>
      <c r="K514" s="66"/>
      <c r="L514" s="66"/>
      <c r="M514" s="66"/>
      <c r="N514" s="66"/>
    </row>
    <row r="515" spans="1:14" x14ac:dyDescent="0.2">
      <c r="A515" s="84"/>
      <c r="B515" s="84"/>
      <c r="C515" s="60"/>
      <c r="D515" s="66"/>
      <c r="E515" s="66"/>
      <c r="F515" s="66"/>
      <c r="G515" s="66"/>
      <c r="H515" s="66"/>
      <c r="I515" s="66"/>
      <c r="J515" s="66"/>
      <c r="K515" s="66"/>
      <c r="L515" s="66"/>
      <c r="M515" s="66"/>
      <c r="N515" s="66"/>
    </row>
    <row r="516" spans="1:14" x14ac:dyDescent="0.2">
      <c r="A516" s="84"/>
      <c r="B516" s="84"/>
      <c r="C516" s="60"/>
      <c r="D516" s="66"/>
      <c r="E516" s="66"/>
      <c r="F516" s="66"/>
      <c r="G516" s="66"/>
      <c r="H516" s="66"/>
      <c r="I516" s="66"/>
      <c r="J516" s="66"/>
      <c r="K516" s="66"/>
      <c r="L516" s="66"/>
      <c r="M516" s="66"/>
      <c r="N516" s="66"/>
    </row>
    <row r="517" spans="1:14" x14ac:dyDescent="0.2">
      <c r="A517" s="84"/>
      <c r="B517" s="84"/>
      <c r="C517" s="60"/>
      <c r="D517" s="66"/>
      <c r="E517" s="66"/>
      <c r="F517" s="66"/>
      <c r="G517" s="66"/>
      <c r="H517" s="66"/>
      <c r="I517" s="66"/>
      <c r="J517" s="66"/>
      <c r="K517" s="66"/>
      <c r="L517" s="66"/>
      <c r="M517" s="66"/>
      <c r="N517" s="66"/>
    </row>
    <row r="518" spans="1:14" x14ac:dyDescent="0.2">
      <c r="A518" s="84"/>
      <c r="B518" s="84"/>
      <c r="C518" s="60"/>
      <c r="D518" s="66"/>
      <c r="E518" s="66"/>
      <c r="F518" s="66"/>
      <c r="G518" s="66"/>
      <c r="H518" s="66"/>
      <c r="I518" s="66"/>
      <c r="J518" s="66"/>
      <c r="K518" s="66"/>
      <c r="L518" s="66"/>
      <c r="M518" s="66"/>
      <c r="N518" s="66"/>
    </row>
    <row r="519" spans="1:14" x14ac:dyDescent="0.2">
      <c r="A519" s="84"/>
      <c r="B519" s="84"/>
      <c r="C519" s="60"/>
      <c r="D519" s="66"/>
      <c r="E519" s="66"/>
      <c r="F519" s="66"/>
      <c r="G519" s="66"/>
      <c r="H519" s="66"/>
      <c r="I519" s="66"/>
      <c r="J519" s="66"/>
      <c r="K519" s="66"/>
      <c r="L519" s="66"/>
      <c r="M519" s="66"/>
      <c r="N519" s="66"/>
    </row>
    <row r="520" spans="1:14" x14ac:dyDescent="0.2">
      <c r="A520" s="84"/>
      <c r="B520" s="84"/>
      <c r="C520" s="60"/>
      <c r="D520" s="66"/>
      <c r="E520" s="66"/>
      <c r="F520" s="66"/>
      <c r="G520" s="66"/>
      <c r="H520" s="66"/>
      <c r="I520" s="66"/>
      <c r="J520" s="66"/>
      <c r="K520" s="66"/>
      <c r="L520" s="66"/>
      <c r="M520" s="66"/>
      <c r="N520" s="66"/>
    </row>
    <row r="521" spans="1:14" x14ac:dyDescent="0.2">
      <c r="A521" s="84"/>
      <c r="B521" s="84"/>
      <c r="C521" s="60"/>
      <c r="D521" s="66"/>
      <c r="E521" s="66"/>
      <c r="F521" s="66"/>
      <c r="G521" s="66"/>
      <c r="H521" s="66"/>
      <c r="I521" s="66"/>
      <c r="J521" s="66"/>
      <c r="K521" s="66"/>
      <c r="L521" s="66"/>
      <c r="M521" s="66"/>
      <c r="N521" s="66"/>
    </row>
    <row r="522" spans="1:14" x14ac:dyDescent="0.2">
      <c r="A522" s="84"/>
      <c r="B522" s="84"/>
      <c r="C522" s="60"/>
      <c r="D522" s="66"/>
      <c r="E522" s="66"/>
      <c r="F522" s="66"/>
      <c r="G522" s="66"/>
      <c r="H522" s="66"/>
      <c r="I522" s="66"/>
      <c r="J522" s="66"/>
      <c r="K522" s="66"/>
      <c r="L522" s="66"/>
      <c r="M522" s="66"/>
      <c r="N522" s="66"/>
    </row>
    <row r="523" spans="1:14" x14ac:dyDescent="0.2">
      <c r="A523" s="84"/>
      <c r="B523" s="84"/>
      <c r="C523" s="60"/>
      <c r="D523" s="66"/>
      <c r="E523" s="66"/>
      <c r="F523" s="66"/>
      <c r="G523" s="66"/>
      <c r="H523" s="66"/>
      <c r="I523" s="66"/>
      <c r="J523" s="66"/>
      <c r="K523" s="66"/>
      <c r="L523" s="66"/>
      <c r="M523" s="66"/>
      <c r="N523" s="66"/>
    </row>
    <row r="524" spans="1:14" x14ac:dyDescent="0.2">
      <c r="A524" s="84"/>
      <c r="B524" s="84"/>
      <c r="C524" s="60"/>
      <c r="D524" s="66"/>
      <c r="E524" s="66"/>
      <c r="F524" s="66"/>
      <c r="G524" s="66"/>
      <c r="H524" s="66"/>
      <c r="I524" s="66"/>
      <c r="J524" s="66"/>
      <c r="K524" s="66"/>
      <c r="L524" s="66"/>
      <c r="M524" s="66"/>
      <c r="N524" s="66"/>
    </row>
    <row r="525" spans="1:14" x14ac:dyDescent="0.2">
      <c r="A525" s="84"/>
      <c r="B525" s="84"/>
      <c r="C525" s="60"/>
      <c r="D525" s="66"/>
      <c r="E525" s="66"/>
      <c r="F525" s="66"/>
      <c r="G525" s="66"/>
      <c r="H525" s="66"/>
      <c r="I525" s="66"/>
      <c r="J525" s="66"/>
      <c r="K525" s="66"/>
      <c r="L525" s="66"/>
      <c r="M525" s="66"/>
      <c r="N525" s="66"/>
    </row>
    <row r="526" spans="1:14" x14ac:dyDescent="0.2">
      <c r="A526" s="84"/>
      <c r="B526" s="84"/>
      <c r="C526" s="60"/>
      <c r="D526" s="66"/>
      <c r="E526" s="66"/>
      <c r="F526" s="66"/>
      <c r="G526" s="66"/>
      <c r="H526" s="66"/>
      <c r="I526" s="66"/>
      <c r="J526" s="66"/>
      <c r="K526" s="66"/>
      <c r="L526" s="66"/>
      <c r="M526" s="66"/>
      <c r="N526" s="66"/>
    </row>
    <row r="527" spans="1:14" x14ac:dyDescent="0.2">
      <c r="A527" s="84"/>
      <c r="B527" s="84"/>
      <c r="C527" s="60"/>
      <c r="D527" s="66"/>
      <c r="E527" s="66"/>
      <c r="F527" s="66"/>
      <c r="G527" s="66"/>
      <c r="H527" s="66"/>
      <c r="I527" s="66"/>
      <c r="J527" s="66"/>
      <c r="K527" s="66"/>
      <c r="L527" s="66"/>
      <c r="M527" s="66"/>
      <c r="N527" s="66"/>
    </row>
    <row r="528" spans="1:14" x14ac:dyDescent="0.2">
      <c r="A528" s="84"/>
      <c r="B528" s="84"/>
      <c r="C528" s="60"/>
      <c r="D528" s="66"/>
      <c r="E528" s="66"/>
      <c r="F528" s="66"/>
      <c r="G528" s="66"/>
      <c r="H528" s="66"/>
      <c r="I528" s="66"/>
      <c r="J528" s="66"/>
      <c r="K528" s="66"/>
      <c r="L528" s="66"/>
      <c r="M528" s="66"/>
      <c r="N528" s="66"/>
    </row>
    <row r="529" spans="1:14" x14ac:dyDescent="0.2">
      <c r="A529" s="84"/>
      <c r="B529" s="84"/>
      <c r="C529" s="60"/>
      <c r="D529" s="66"/>
      <c r="E529" s="66"/>
      <c r="F529" s="66"/>
      <c r="G529" s="66"/>
      <c r="H529" s="66"/>
      <c r="I529" s="66"/>
      <c r="J529" s="66"/>
      <c r="K529" s="66"/>
      <c r="L529" s="66"/>
      <c r="M529" s="66"/>
      <c r="N529" s="66"/>
    </row>
    <row r="530" spans="1:14" x14ac:dyDescent="0.2">
      <c r="A530" s="84"/>
      <c r="B530" s="84"/>
      <c r="C530" s="60"/>
      <c r="D530" s="66"/>
      <c r="E530" s="66"/>
      <c r="F530" s="66"/>
      <c r="G530" s="66"/>
      <c r="H530" s="66"/>
      <c r="I530" s="66"/>
      <c r="J530" s="66"/>
      <c r="K530" s="66"/>
      <c r="L530" s="66"/>
      <c r="M530" s="66"/>
      <c r="N530" s="66"/>
    </row>
    <row r="531" spans="1:14" x14ac:dyDescent="0.2">
      <c r="A531" s="84"/>
      <c r="B531" s="84"/>
      <c r="C531" s="60"/>
      <c r="D531" s="66"/>
      <c r="E531" s="66"/>
      <c r="F531" s="66"/>
      <c r="G531" s="66"/>
      <c r="H531" s="66"/>
      <c r="I531" s="66"/>
      <c r="J531" s="66"/>
      <c r="K531" s="66"/>
      <c r="L531" s="66"/>
      <c r="M531" s="66"/>
      <c r="N531" s="66"/>
    </row>
    <row r="532" spans="1:14" x14ac:dyDescent="0.2">
      <c r="A532" s="84"/>
      <c r="B532" s="84"/>
      <c r="C532" s="60"/>
      <c r="D532" s="66"/>
      <c r="E532" s="66"/>
      <c r="F532" s="66"/>
      <c r="G532" s="66"/>
      <c r="H532" s="66"/>
      <c r="I532" s="66"/>
      <c r="J532" s="66"/>
      <c r="K532" s="66"/>
      <c r="L532" s="66"/>
      <c r="M532" s="66"/>
      <c r="N532" s="66"/>
    </row>
    <row r="533" spans="1:14" x14ac:dyDescent="0.2">
      <c r="A533" s="84"/>
      <c r="B533" s="84"/>
      <c r="C533" s="60"/>
      <c r="D533" s="66"/>
      <c r="E533" s="66"/>
      <c r="F533" s="66"/>
      <c r="G533" s="66"/>
      <c r="H533" s="66"/>
      <c r="I533" s="66"/>
      <c r="J533" s="66"/>
      <c r="K533" s="66"/>
      <c r="L533" s="66"/>
      <c r="M533" s="66"/>
      <c r="N533" s="66"/>
    </row>
    <row r="534" spans="1:14" x14ac:dyDescent="0.2">
      <c r="A534" s="84"/>
      <c r="B534" s="84"/>
      <c r="C534" s="60"/>
      <c r="D534" s="66"/>
      <c r="E534" s="66"/>
      <c r="F534" s="66"/>
      <c r="G534" s="66"/>
      <c r="H534" s="66"/>
      <c r="I534" s="66"/>
      <c r="J534" s="66"/>
      <c r="K534" s="66"/>
      <c r="L534" s="66"/>
      <c r="M534" s="66"/>
      <c r="N534" s="66"/>
    </row>
    <row r="535" spans="1:14" x14ac:dyDescent="0.2">
      <c r="A535" s="84"/>
      <c r="B535" s="84"/>
      <c r="C535" s="60"/>
      <c r="D535" s="66"/>
      <c r="E535" s="66"/>
      <c r="F535" s="66"/>
      <c r="G535" s="66"/>
      <c r="H535" s="66"/>
      <c r="I535" s="66"/>
      <c r="J535" s="66"/>
      <c r="K535" s="66"/>
      <c r="L535" s="66"/>
      <c r="M535" s="66"/>
      <c r="N535" s="66"/>
    </row>
    <row r="536" spans="1:14" x14ac:dyDescent="0.2">
      <c r="A536" s="84"/>
      <c r="B536" s="84"/>
      <c r="C536" s="60"/>
      <c r="D536" s="66"/>
      <c r="E536" s="66"/>
      <c r="F536" s="66"/>
      <c r="G536" s="66"/>
      <c r="H536" s="66"/>
      <c r="I536" s="66"/>
      <c r="J536" s="66"/>
      <c r="K536" s="66"/>
      <c r="L536" s="66"/>
      <c r="M536" s="66"/>
      <c r="N536" s="66"/>
    </row>
    <row r="537" spans="1:14" x14ac:dyDescent="0.2">
      <c r="A537" s="84"/>
      <c r="B537" s="84"/>
      <c r="C537" s="60"/>
      <c r="D537" s="66"/>
      <c r="E537" s="66"/>
      <c r="F537" s="66"/>
      <c r="G537" s="66"/>
      <c r="H537" s="66"/>
      <c r="I537" s="66"/>
      <c r="J537" s="66"/>
      <c r="K537" s="66"/>
      <c r="L537" s="66"/>
      <c r="M537" s="66"/>
      <c r="N537" s="66"/>
    </row>
    <row r="538" spans="1:14" x14ac:dyDescent="0.2">
      <c r="A538" s="84"/>
      <c r="B538" s="84"/>
      <c r="C538" s="60"/>
      <c r="D538" s="66"/>
      <c r="E538" s="66"/>
      <c r="F538" s="66"/>
      <c r="G538" s="66"/>
      <c r="H538" s="66"/>
      <c r="I538" s="66"/>
      <c r="J538" s="66"/>
      <c r="K538" s="66"/>
      <c r="L538" s="66"/>
      <c r="M538" s="66"/>
      <c r="N538" s="66"/>
    </row>
    <row r="539" spans="1:14" x14ac:dyDescent="0.2">
      <c r="A539" s="84"/>
      <c r="B539" s="84"/>
      <c r="C539" s="60"/>
      <c r="D539" s="66"/>
      <c r="E539" s="66"/>
      <c r="F539" s="66"/>
      <c r="G539" s="66"/>
      <c r="H539" s="66"/>
      <c r="I539" s="66"/>
      <c r="J539" s="66"/>
      <c r="K539" s="66"/>
      <c r="L539" s="66"/>
      <c r="M539" s="66"/>
      <c r="N539" s="66"/>
    </row>
    <row r="540" spans="1:14" x14ac:dyDescent="0.2">
      <c r="A540" s="84"/>
      <c r="B540" s="84"/>
      <c r="C540" s="60"/>
      <c r="D540" s="66"/>
      <c r="E540" s="66"/>
      <c r="F540" s="66"/>
      <c r="G540" s="66"/>
      <c r="H540" s="66"/>
      <c r="I540" s="66"/>
      <c r="J540" s="66"/>
      <c r="K540" s="66"/>
      <c r="L540" s="66"/>
      <c r="M540" s="66"/>
      <c r="N540" s="66"/>
    </row>
    <row r="541" spans="1:14" x14ac:dyDescent="0.2">
      <c r="A541" s="84"/>
      <c r="B541" s="84"/>
      <c r="C541" s="60"/>
      <c r="D541" s="66"/>
      <c r="E541" s="66"/>
      <c r="F541" s="66"/>
      <c r="G541" s="66"/>
      <c r="H541" s="66"/>
      <c r="I541" s="66"/>
      <c r="J541" s="66"/>
      <c r="K541" s="66"/>
      <c r="L541" s="66"/>
      <c r="M541" s="66"/>
      <c r="N541" s="66"/>
    </row>
    <row r="542" spans="1:14" x14ac:dyDescent="0.2">
      <c r="A542" s="84"/>
      <c r="B542" s="84"/>
      <c r="C542" s="60"/>
      <c r="D542" s="66"/>
      <c r="E542" s="66"/>
      <c r="F542" s="66"/>
      <c r="G542" s="66"/>
      <c r="H542" s="66"/>
      <c r="I542" s="66"/>
      <c r="J542" s="66"/>
      <c r="K542" s="66"/>
      <c r="L542" s="66"/>
      <c r="M542" s="66"/>
      <c r="N542" s="66"/>
    </row>
    <row r="543" spans="1:14" x14ac:dyDescent="0.2">
      <c r="A543" s="84"/>
      <c r="B543" s="84"/>
      <c r="C543" s="60"/>
      <c r="D543" s="66"/>
      <c r="E543" s="66"/>
      <c r="F543" s="66"/>
      <c r="G543" s="66"/>
      <c r="H543" s="66"/>
      <c r="I543" s="66"/>
      <c r="J543" s="66"/>
      <c r="K543" s="66"/>
      <c r="L543" s="66"/>
      <c r="M543" s="66"/>
      <c r="N543" s="66"/>
    </row>
    <row r="544" spans="1:14" x14ac:dyDescent="0.2">
      <c r="A544" s="84"/>
      <c r="B544" s="84"/>
      <c r="C544" s="60"/>
      <c r="D544" s="66"/>
      <c r="E544" s="66"/>
      <c r="F544" s="66"/>
      <c r="G544" s="66"/>
      <c r="H544" s="66"/>
      <c r="I544" s="66"/>
      <c r="J544" s="66"/>
      <c r="K544" s="66"/>
      <c r="L544" s="66"/>
      <c r="M544" s="66"/>
      <c r="N544" s="66"/>
    </row>
    <row r="545" spans="1:14" x14ac:dyDescent="0.2">
      <c r="A545" s="84"/>
      <c r="B545" s="84"/>
      <c r="C545" s="60"/>
      <c r="D545" s="66"/>
      <c r="E545" s="66"/>
      <c r="F545" s="66"/>
      <c r="G545" s="66"/>
      <c r="H545" s="66"/>
      <c r="I545" s="66"/>
      <c r="J545" s="66"/>
      <c r="K545" s="66"/>
      <c r="L545" s="66"/>
      <c r="M545" s="66"/>
      <c r="N545" s="66"/>
    </row>
    <row r="546" spans="1:14" x14ac:dyDescent="0.2">
      <c r="A546" s="84"/>
      <c r="B546" s="84"/>
      <c r="C546" s="60"/>
      <c r="D546" s="66"/>
      <c r="E546" s="66"/>
      <c r="F546" s="66"/>
      <c r="G546" s="66"/>
      <c r="H546" s="66"/>
      <c r="I546" s="66"/>
      <c r="J546" s="66"/>
      <c r="K546" s="66"/>
      <c r="L546" s="66"/>
      <c r="M546" s="66"/>
      <c r="N546" s="66"/>
    </row>
    <row r="547" spans="1:14" x14ac:dyDescent="0.2">
      <c r="A547" s="84"/>
      <c r="B547" s="84"/>
      <c r="C547" s="60"/>
      <c r="D547" s="66"/>
      <c r="E547" s="66"/>
      <c r="F547" s="66"/>
      <c r="G547" s="66"/>
      <c r="H547" s="66"/>
      <c r="I547" s="66"/>
      <c r="J547" s="66"/>
      <c r="K547" s="66"/>
      <c r="L547" s="66"/>
      <c r="M547" s="66"/>
      <c r="N547" s="66"/>
    </row>
    <row r="548" spans="1:14" x14ac:dyDescent="0.2">
      <c r="A548" s="84"/>
      <c r="B548" s="84"/>
      <c r="C548" s="60"/>
      <c r="D548" s="66"/>
      <c r="E548" s="66"/>
      <c r="F548" s="66"/>
      <c r="G548" s="66"/>
      <c r="H548" s="66"/>
      <c r="I548" s="66"/>
      <c r="J548" s="66"/>
      <c r="K548" s="66"/>
      <c r="L548" s="66"/>
      <c r="M548" s="66"/>
      <c r="N548" s="66"/>
    </row>
    <row r="549" spans="1:14" x14ac:dyDescent="0.2">
      <c r="A549" s="84"/>
      <c r="B549" s="84"/>
      <c r="C549" s="60"/>
      <c r="D549" s="66"/>
      <c r="E549" s="66"/>
      <c r="F549" s="66"/>
      <c r="G549" s="66"/>
      <c r="H549" s="66"/>
      <c r="I549" s="66"/>
      <c r="J549" s="66"/>
      <c r="K549" s="66"/>
      <c r="L549" s="66"/>
      <c r="M549" s="66"/>
      <c r="N549" s="66"/>
    </row>
    <row r="550" spans="1:14" x14ac:dyDescent="0.2">
      <c r="A550" s="84"/>
      <c r="B550" s="84"/>
      <c r="C550" s="60"/>
      <c r="D550" s="66"/>
      <c r="E550" s="66"/>
      <c r="F550" s="66"/>
      <c r="G550" s="66"/>
      <c r="H550" s="66"/>
      <c r="I550" s="66"/>
      <c r="J550" s="66"/>
      <c r="K550" s="66"/>
      <c r="L550" s="66"/>
      <c r="M550" s="66"/>
      <c r="N550" s="66"/>
    </row>
    <row r="551" spans="1:14" x14ac:dyDescent="0.2">
      <c r="A551" s="84"/>
      <c r="B551" s="84"/>
      <c r="C551" s="60"/>
      <c r="D551" s="66"/>
      <c r="E551" s="66"/>
      <c r="F551" s="66"/>
      <c r="G551" s="66"/>
      <c r="H551" s="66"/>
      <c r="I551" s="66"/>
      <c r="J551" s="66"/>
      <c r="K551" s="66"/>
      <c r="L551" s="66"/>
      <c r="M551" s="66"/>
      <c r="N551" s="66"/>
    </row>
    <row r="552" spans="1:14" x14ac:dyDescent="0.2">
      <c r="A552" s="84"/>
      <c r="B552" s="84"/>
      <c r="C552" s="60"/>
      <c r="D552" s="66"/>
      <c r="E552" s="66"/>
      <c r="F552" s="66"/>
      <c r="G552" s="66"/>
      <c r="H552" s="66"/>
      <c r="I552" s="66"/>
      <c r="J552" s="66"/>
      <c r="K552" s="66"/>
      <c r="L552" s="66"/>
      <c r="M552" s="66"/>
      <c r="N552" s="66"/>
    </row>
    <row r="553" spans="1:14" x14ac:dyDescent="0.2">
      <c r="A553" s="84"/>
      <c r="B553" s="84"/>
      <c r="C553" s="60"/>
      <c r="D553" s="66"/>
      <c r="E553" s="66"/>
      <c r="F553" s="66"/>
      <c r="G553" s="66"/>
      <c r="H553" s="66"/>
      <c r="I553" s="66"/>
      <c r="J553" s="66"/>
      <c r="K553" s="66"/>
      <c r="L553" s="66"/>
      <c r="M553" s="66"/>
      <c r="N553" s="66"/>
    </row>
    <row r="554" spans="1:14" x14ac:dyDescent="0.2">
      <c r="A554" s="84"/>
      <c r="B554" s="84"/>
      <c r="C554" s="60"/>
      <c r="D554" s="66"/>
      <c r="E554" s="66"/>
      <c r="F554" s="66"/>
      <c r="G554" s="66"/>
      <c r="H554" s="66"/>
      <c r="I554" s="66"/>
      <c r="J554" s="66"/>
      <c r="K554" s="66"/>
      <c r="L554" s="66"/>
      <c r="M554" s="66"/>
      <c r="N554" s="66"/>
    </row>
    <row r="555" spans="1:14" x14ac:dyDescent="0.2">
      <c r="A555" s="84"/>
      <c r="B555" s="84"/>
      <c r="C555" s="60"/>
      <c r="D555" s="66"/>
      <c r="E555" s="66"/>
      <c r="F555" s="66"/>
      <c r="G555" s="66"/>
      <c r="H555" s="66"/>
      <c r="I555" s="66"/>
      <c r="J555" s="66"/>
      <c r="K555" s="66"/>
      <c r="L555" s="66"/>
      <c r="M555" s="66"/>
      <c r="N555" s="66"/>
    </row>
    <row r="556" spans="1:14" x14ac:dyDescent="0.2">
      <c r="A556" s="84"/>
      <c r="B556" s="84"/>
      <c r="C556" s="60"/>
      <c r="D556" s="66"/>
      <c r="E556" s="66"/>
      <c r="F556" s="66"/>
      <c r="G556" s="66"/>
      <c r="H556" s="66"/>
      <c r="I556" s="66"/>
      <c r="J556" s="66"/>
      <c r="K556" s="66"/>
      <c r="L556" s="66"/>
      <c r="M556" s="66"/>
      <c r="N556" s="66"/>
    </row>
    <row r="557" spans="1:14" x14ac:dyDescent="0.2">
      <c r="A557" s="84"/>
      <c r="B557" s="84"/>
      <c r="C557" s="60"/>
      <c r="D557" s="66"/>
      <c r="E557" s="66"/>
      <c r="F557" s="66"/>
      <c r="G557" s="66"/>
      <c r="H557" s="66"/>
      <c r="I557" s="66"/>
      <c r="J557" s="66"/>
      <c r="K557" s="66"/>
      <c r="L557" s="66"/>
      <c r="M557" s="66"/>
      <c r="N557" s="66"/>
    </row>
    <row r="558" spans="1:14" x14ac:dyDescent="0.2">
      <c r="A558" s="84"/>
      <c r="B558" s="84"/>
      <c r="C558" s="60"/>
      <c r="D558" s="66"/>
      <c r="E558" s="66"/>
      <c r="F558" s="66"/>
      <c r="G558" s="66"/>
      <c r="H558" s="66"/>
      <c r="I558" s="66"/>
      <c r="J558" s="66"/>
      <c r="K558" s="66"/>
      <c r="L558" s="66"/>
      <c r="M558" s="66"/>
      <c r="N558" s="66"/>
    </row>
    <row r="559" spans="1:14" x14ac:dyDescent="0.2">
      <c r="A559" s="84"/>
      <c r="B559" s="84"/>
      <c r="C559" s="60"/>
      <c r="D559" s="66"/>
      <c r="E559" s="66"/>
      <c r="F559" s="66"/>
      <c r="G559" s="66"/>
      <c r="H559" s="66"/>
      <c r="I559" s="66"/>
      <c r="J559" s="66"/>
      <c r="K559" s="66"/>
      <c r="L559" s="66"/>
      <c r="M559" s="66"/>
      <c r="N559" s="66"/>
    </row>
    <row r="560" spans="1:14" x14ac:dyDescent="0.2">
      <c r="A560" s="84"/>
      <c r="B560" s="84"/>
      <c r="C560" s="60"/>
      <c r="D560" s="66"/>
      <c r="E560" s="66"/>
      <c r="F560" s="66"/>
      <c r="G560" s="66"/>
      <c r="H560" s="66"/>
      <c r="I560" s="66"/>
      <c r="J560" s="66"/>
      <c r="K560" s="66"/>
      <c r="L560" s="66"/>
      <c r="M560" s="66"/>
      <c r="N560" s="66"/>
    </row>
    <row r="561" spans="1:14" x14ac:dyDescent="0.2">
      <c r="A561" s="84"/>
      <c r="B561" s="84"/>
      <c r="C561" s="60"/>
      <c r="D561" s="66"/>
      <c r="E561" s="66"/>
      <c r="F561" s="66"/>
      <c r="G561" s="66"/>
      <c r="H561" s="66"/>
      <c r="I561" s="66"/>
      <c r="J561" s="66"/>
      <c r="K561" s="66"/>
      <c r="L561" s="66"/>
      <c r="M561" s="66"/>
      <c r="N561" s="66"/>
    </row>
    <row r="562" spans="1:14" x14ac:dyDescent="0.2">
      <c r="A562" s="84"/>
      <c r="B562" s="84"/>
      <c r="C562" s="60"/>
      <c r="D562" s="66"/>
      <c r="E562" s="66"/>
      <c r="F562" s="66"/>
      <c r="G562" s="66"/>
      <c r="H562" s="66"/>
      <c r="I562" s="66"/>
      <c r="J562" s="66"/>
      <c r="K562" s="66"/>
      <c r="L562" s="66"/>
      <c r="M562" s="66"/>
      <c r="N562" s="66"/>
    </row>
    <row r="563" spans="1:14" x14ac:dyDescent="0.2">
      <c r="A563" s="84"/>
      <c r="B563" s="84"/>
      <c r="C563" s="60"/>
      <c r="D563" s="66"/>
      <c r="E563" s="66"/>
      <c r="F563" s="66"/>
      <c r="G563" s="66"/>
      <c r="H563" s="66"/>
      <c r="I563" s="66"/>
      <c r="J563" s="66"/>
      <c r="K563" s="66"/>
      <c r="L563" s="66"/>
      <c r="M563" s="66"/>
      <c r="N563" s="66"/>
    </row>
    <row r="564" spans="1:14" x14ac:dyDescent="0.2">
      <c r="A564" s="84"/>
      <c r="B564" s="84"/>
      <c r="C564" s="60"/>
      <c r="D564" s="66"/>
      <c r="E564" s="66"/>
      <c r="F564" s="66"/>
      <c r="G564" s="66"/>
      <c r="H564" s="66"/>
      <c r="I564" s="66"/>
      <c r="J564" s="66"/>
      <c r="K564" s="66"/>
      <c r="L564" s="66"/>
      <c r="M564" s="66"/>
      <c r="N564" s="66"/>
    </row>
    <row r="565" spans="1:14" x14ac:dyDescent="0.2">
      <c r="A565" s="84"/>
      <c r="B565" s="84"/>
      <c r="C565" s="60"/>
      <c r="D565" s="66"/>
      <c r="E565" s="66"/>
      <c r="F565" s="66"/>
      <c r="G565" s="66"/>
      <c r="H565" s="66"/>
      <c r="I565" s="66"/>
      <c r="J565" s="66"/>
      <c r="K565" s="66"/>
      <c r="L565" s="66"/>
      <c r="M565" s="66"/>
      <c r="N565" s="66"/>
    </row>
    <row r="566" spans="1:14" x14ac:dyDescent="0.2">
      <c r="A566" s="84"/>
      <c r="B566" s="84"/>
      <c r="C566" s="60"/>
      <c r="D566" s="66"/>
      <c r="E566" s="66"/>
      <c r="F566" s="66"/>
      <c r="G566" s="66"/>
      <c r="H566" s="66"/>
      <c r="I566" s="66"/>
      <c r="J566" s="66"/>
      <c r="K566" s="66"/>
      <c r="L566" s="66"/>
      <c r="M566" s="66"/>
      <c r="N566" s="66"/>
    </row>
    <row r="567" spans="1:14" x14ac:dyDescent="0.2">
      <c r="A567" s="84"/>
      <c r="B567" s="84"/>
      <c r="C567" s="60"/>
      <c r="D567" s="66"/>
      <c r="E567" s="66"/>
      <c r="F567" s="66"/>
      <c r="G567" s="66"/>
      <c r="H567" s="66"/>
      <c r="I567" s="66"/>
      <c r="J567" s="66"/>
      <c r="K567" s="66"/>
      <c r="L567" s="66"/>
      <c r="M567" s="66"/>
      <c r="N567" s="66"/>
    </row>
    <row r="568" spans="1:14" x14ac:dyDescent="0.2">
      <c r="A568" s="84"/>
      <c r="B568" s="84"/>
      <c r="C568" s="60"/>
      <c r="D568" s="66"/>
      <c r="E568" s="66"/>
      <c r="F568" s="66"/>
      <c r="G568" s="66"/>
      <c r="H568" s="66"/>
      <c r="I568" s="66"/>
      <c r="J568" s="66"/>
      <c r="K568" s="66"/>
      <c r="L568" s="66"/>
      <c r="M568" s="66"/>
      <c r="N568" s="66"/>
    </row>
    <row r="569" spans="1:14" x14ac:dyDescent="0.2">
      <c r="A569" s="84"/>
      <c r="B569" s="84"/>
      <c r="C569" s="60"/>
      <c r="D569" s="66"/>
      <c r="E569" s="66"/>
      <c r="F569" s="66"/>
      <c r="G569" s="66"/>
      <c r="H569" s="66"/>
      <c r="I569" s="66"/>
      <c r="J569" s="66"/>
      <c r="K569" s="66"/>
      <c r="L569" s="66"/>
      <c r="M569" s="66"/>
      <c r="N569" s="66"/>
    </row>
    <row r="570" spans="1:14" x14ac:dyDescent="0.2">
      <c r="A570" s="84"/>
      <c r="B570" s="84"/>
      <c r="C570" s="60"/>
      <c r="D570" s="66"/>
      <c r="E570" s="66"/>
      <c r="F570" s="66"/>
      <c r="G570" s="66"/>
      <c r="H570" s="66"/>
      <c r="I570" s="66"/>
      <c r="J570" s="66"/>
      <c r="K570" s="66"/>
      <c r="L570" s="66"/>
      <c r="M570" s="66"/>
      <c r="N570" s="66"/>
    </row>
    <row r="571" spans="1:14" x14ac:dyDescent="0.2">
      <c r="A571" s="84"/>
      <c r="B571" s="84"/>
      <c r="C571" s="60"/>
      <c r="D571" s="66"/>
      <c r="E571" s="66"/>
      <c r="F571" s="66"/>
      <c r="G571" s="66"/>
      <c r="H571" s="66"/>
      <c r="I571" s="66"/>
      <c r="J571" s="66"/>
      <c r="K571" s="66"/>
      <c r="L571" s="66"/>
      <c r="M571" s="66"/>
      <c r="N571" s="66"/>
    </row>
    <row r="572" spans="1:14" x14ac:dyDescent="0.2">
      <c r="A572" s="84"/>
      <c r="B572" s="84"/>
      <c r="C572" s="60"/>
      <c r="D572" s="66"/>
      <c r="E572" s="66"/>
      <c r="F572" s="66"/>
      <c r="G572" s="66"/>
      <c r="H572" s="66"/>
      <c r="I572" s="66"/>
      <c r="J572" s="66"/>
      <c r="K572" s="66"/>
      <c r="L572" s="66"/>
      <c r="M572" s="66"/>
      <c r="N572" s="66"/>
    </row>
    <row r="573" spans="1:14" x14ac:dyDescent="0.2">
      <c r="A573" s="84"/>
      <c r="B573" s="84"/>
      <c r="C573" s="60"/>
      <c r="D573" s="66"/>
      <c r="E573" s="66"/>
      <c r="F573" s="66"/>
      <c r="G573" s="66"/>
      <c r="H573" s="66"/>
      <c r="I573" s="66"/>
      <c r="J573" s="66"/>
      <c r="K573" s="66"/>
      <c r="L573" s="66"/>
      <c r="M573" s="66"/>
      <c r="N573" s="66"/>
    </row>
    <row r="574" spans="1:14" x14ac:dyDescent="0.2">
      <c r="A574" s="84"/>
      <c r="B574" s="84"/>
      <c r="C574" s="60"/>
      <c r="D574" s="66"/>
      <c r="E574" s="66"/>
      <c r="F574" s="66"/>
      <c r="G574" s="66"/>
      <c r="H574" s="66"/>
      <c r="I574" s="66"/>
      <c r="J574" s="66"/>
      <c r="K574" s="66"/>
      <c r="L574" s="66"/>
      <c r="M574" s="66"/>
      <c r="N574" s="66"/>
    </row>
    <row r="575" spans="1:14" x14ac:dyDescent="0.2">
      <c r="A575" s="84"/>
      <c r="B575" s="84"/>
      <c r="C575" s="60"/>
      <c r="D575" s="66"/>
      <c r="E575" s="66"/>
      <c r="F575" s="66"/>
      <c r="G575" s="66"/>
      <c r="H575" s="66"/>
      <c r="I575" s="66"/>
      <c r="J575" s="66"/>
      <c r="K575" s="66"/>
      <c r="L575" s="66"/>
      <c r="M575" s="66"/>
      <c r="N575" s="66"/>
    </row>
    <row r="576" spans="1:14" x14ac:dyDescent="0.2">
      <c r="A576" s="84"/>
      <c r="B576" s="84"/>
      <c r="C576" s="60"/>
      <c r="D576" s="66"/>
      <c r="E576" s="66"/>
      <c r="F576" s="66"/>
      <c r="G576" s="66"/>
      <c r="H576" s="66"/>
      <c r="I576" s="66"/>
      <c r="J576" s="66"/>
      <c r="K576" s="66"/>
      <c r="L576" s="66"/>
      <c r="M576" s="66"/>
      <c r="N576" s="66"/>
    </row>
    <row r="577" spans="1:14" x14ac:dyDescent="0.2">
      <c r="A577" s="84"/>
      <c r="B577" s="84"/>
      <c r="C577" s="60"/>
      <c r="D577" s="66"/>
      <c r="E577" s="66"/>
      <c r="F577" s="66"/>
      <c r="G577" s="66"/>
      <c r="H577" s="66"/>
      <c r="I577" s="66"/>
      <c r="J577" s="66"/>
      <c r="K577" s="66"/>
      <c r="L577" s="66"/>
      <c r="M577" s="66"/>
      <c r="N577" s="66"/>
    </row>
    <row r="578" spans="1:14" x14ac:dyDescent="0.2">
      <c r="A578" s="84"/>
      <c r="B578" s="84"/>
      <c r="C578" s="60"/>
      <c r="D578" s="66"/>
      <c r="E578" s="66"/>
      <c r="F578" s="66"/>
      <c r="G578" s="66"/>
      <c r="H578" s="66"/>
      <c r="I578" s="66"/>
      <c r="J578" s="66"/>
      <c r="K578" s="66"/>
      <c r="L578" s="66"/>
      <c r="M578" s="66"/>
      <c r="N578" s="66"/>
    </row>
    <row r="579" spans="1:14" x14ac:dyDescent="0.2">
      <c r="A579" s="84"/>
      <c r="B579" s="84"/>
      <c r="C579" s="60"/>
      <c r="D579" s="66"/>
      <c r="E579" s="66"/>
      <c r="F579" s="66"/>
      <c r="G579" s="66"/>
      <c r="H579" s="66"/>
      <c r="I579" s="66"/>
      <c r="J579" s="66"/>
      <c r="K579" s="66"/>
      <c r="L579" s="66"/>
      <c r="M579" s="66"/>
      <c r="N579" s="66"/>
    </row>
    <row r="580" spans="1:14" x14ac:dyDescent="0.2">
      <c r="A580" s="84"/>
      <c r="B580" s="84"/>
      <c r="C580" s="60"/>
      <c r="D580" s="66"/>
      <c r="E580" s="66"/>
      <c r="F580" s="66"/>
      <c r="G580" s="66"/>
      <c r="H580" s="66"/>
      <c r="I580" s="66"/>
      <c r="J580" s="66"/>
      <c r="K580" s="66"/>
      <c r="L580" s="66"/>
      <c r="M580" s="66"/>
      <c r="N580" s="66"/>
    </row>
    <row r="581" spans="1:14" x14ac:dyDescent="0.2">
      <c r="A581" s="84"/>
      <c r="B581" s="84"/>
      <c r="C581" s="60"/>
      <c r="D581" s="66"/>
      <c r="E581" s="66"/>
      <c r="F581" s="66"/>
      <c r="G581" s="66"/>
      <c r="H581" s="66"/>
      <c r="I581" s="66"/>
      <c r="J581" s="66"/>
      <c r="K581" s="66"/>
      <c r="L581" s="66"/>
      <c r="M581" s="66"/>
      <c r="N581" s="66"/>
    </row>
    <row r="582" spans="1:14" x14ac:dyDescent="0.2">
      <c r="A582" s="84"/>
      <c r="B582" s="84"/>
      <c r="C582" s="60"/>
      <c r="D582" s="66"/>
      <c r="E582" s="66"/>
      <c r="F582" s="66"/>
      <c r="G582" s="66"/>
      <c r="H582" s="66"/>
      <c r="I582" s="66"/>
      <c r="J582" s="66"/>
      <c r="K582" s="66"/>
      <c r="L582" s="66"/>
      <c r="M582" s="66"/>
      <c r="N582" s="66"/>
    </row>
    <row r="583" spans="1:14" x14ac:dyDescent="0.2">
      <c r="A583" s="84"/>
      <c r="B583" s="84"/>
      <c r="C583" s="60"/>
      <c r="D583" s="66"/>
      <c r="E583" s="66"/>
      <c r="F583" s="66"/>
      <c r="G583" s="66"/>
      <c r="H583" s="66"/>
      <c r="I583" s="66"/>
      <c r="J583" s="66"/>
      <c r="K583" s="66"/>
      <c r="L583" s="66"/>
      <c r="M583" s="66"/>
      <c r="N583" s="66"/>
    </row>
    <row r="584" spans="1:14" x14ac:dyDescent="0.2">
      <c r="A584" s="84"/>
      <c r="B584" s="84"/>
      <c r="C584" s="60"/>
      <c r="D584" s="66"/>
      <c r="E584" s="66"/>
      <c r="F584" s="66"/>
      <c r="G584" s="66"/>
      <c r="H584" s="66"/>
      <c r="I584" s="66"/>
      <c r="J584" s="66"/>
      <c r="K584" s="66"/>
      <c r="L584" s="66"/>
      <c r="M584" s="66"/>
      <c r="N584" s="66"/>
    </row>
    <row r="585" spans="1:14" x14ac:dyDescent="0.2">
      <c r="A585" s="84"/>
      <c r="B585" s="84"/>
      <c r="C585" s="60"/>
      <c r="D585" s="66"/>
      <c r="E585" s="66"/>
      <c r="F585" s="66"/>
      <c r="G585" s="66"/>
      <c r="H585" s="66"/>
      <c r="I585" s="66"/>
      <c r="J585" s="66"/>
      <c r="K585" s="66"/>
      <c r="L585" s="66"/>
      <c r="M585" s="66"/>
      <c r="N585" s="66"/>
    </row>
    <row r="586" spans="1:14" x14ac:dyDescent="0.2">
      <c r="A586" s="84"/>
      <c r="B586" s="84"/>
      <c r="C586" s="60"/>
      <c r="D586" s="66"/>
      <c r="E586" s="66"/>
      <c r="F586" s="66"/>
      <c r="G586" s="66"/>
      <c r="H586" s="66"/>
      <c r="I586" s="66"/>
      <c r="J586" s="66"/>
      <c r="K586" s="66"/>
      <c r="L586" s="66"/>
      <c r="M586" s="66"/>
      <c r="N586" s="66"/>
    </row>
    <row r="587" spans="1:14" x14ac:dyDescent="0.2">
      <c r="A587" s="84"/>
      <c r="B587" s="84"/>
      <c r="C587" s="60"/>
      <c r="D587" s="66"/>
      <c r="E587" s="66"/>
      <c r="F587" s="66"/>
      <c r="G587" s="66"/>
      <c r="H587" s="66"/>
      <c r="I587" s="66"/>
      <c r="J587" s="66"/>
      <c r="K587" s="66"/>
      <c r="L587" s="66"/>
      <c r="M587" s="66"/>
      <c r="N587" s="66"/>
    </row>
    <row r="588" spans="1:14" x14ac:dyDescent="0.2">
      <c r="A588" s="84"/>
      <c r="B588" s="84"/>
      <c r="C588" s="60"/>
      <c r="D588" s="66"/>
      <c r="E588" s="66"/>
      <c r="F588" s="66"/>
      <c r="G588" s="66"/>
      <c r="H588" s="66"/>
      <c r="I588" s="66"/>
      <c r="J588" s="66"/>
      <c r="K588" s="66"/>
      <c r="L588" s="66"/>
      <c r="M588" s="66"/>
      <c r="N588" s="66"/>
    </row>
    <row r="589" spans="1:14" x14ac:dyDescent="0.2">
      <c r="A589" s="84"/>
      <c r="B589" s="84"/>
      <c r="C589" s="60"/>
      <c r="D589" s="66"/>
      <c r="E589" s="66"/>
      <c r="F589" s="66"/>
      <c r="G589" s="66"/>
      <c r="H589" s="66"/>
      <c r="I589" s="66"/>
      <c r="J589" s="66"/>
      <c r="K589" s="66"/>
      <c r="L589" s="66"/>
      <c r="M589" s="66"/>
      <c r="N589" s="66"/>
    </row>
    <row r="590" spans="1:14" x14ac:dyDescent="0.2">
      <c r="A590" s="84"/>
      <c r="B590" s="84"/>
      <c r="C590" s="60"/>
      <c r="D590" s="66"/>
      <c r="E590" s="66"/>
      <c r="F590" s="66"/>
      <c r="G590" s="66"/>
      <c r="H590" s="66"/>
      <c r="I590" s="66"/>
      <c r="J590" s="66"/>
      <c r="K590" s="66"/>
      <c r="L590" s="66"/>
      <c r="M590" s="66"/>
      <c r="N590" s="66"/>
    </row>
    <row r="591" spans="1:14" x14ac:dyDescent="0.2">
      <c r="A591" s="84"/>
      <c r="B591" s="84"/>
      <c r="C591" s="60"/>
      <c r="D591" s="66"/>
      <c r="E591" s="66"/>
      <c r="F591" s="66"/>
      <c r="G591" s="66"/>
      <c r="H591" s="66"/>
      <c r="I591" s="66"/>
      <c r="J591" s="66"/>
      <c r="K591" s="66"/>
      <c r="L591" s="66"/>
      <c r="M591" s="66"/>
      <c r="N591" s="66"/>
    </row>
    <row r="592" spans="1:14" x14ac:dyDescent="0.2">
      <c r="A592" s="84"/>
      <c r="B592" s="84"/>
      <c r="C592" s="60"/>
      <c r="D592" s="66"/>
      <c r="E592" s="66"/>
      <c r="F592" s="66"/>
      <c r="G592" s="66"/>
      <c r="H592" s="66"/>
      <c r="I592" s="66"/>
      <c r="J592" s="66"/>
      <c r="K592" s="66"/>
      <c r="L592" s="66"/>
      <c r="M592" s="66"/>
      <c r="N592" s="66"/>
    </row>
    <row r="593" spans="1:14" x14ac:dyDescent="0.2">
      <c r="A593" s="84"/>
      <c r="B593" s="84"/>
      <c r="C593" s="60"/>
      <c r="D593" s="66"/>
      <c r="E593" s="66"/>
      <c r="F593" s="66"/>
      <c r="G593" s="66"/>
      <c r="H593" s="66"/>
      <c r="I593" s="66"/>
      <c r="J593" s="66"/>
      <c r="K593" s="66"/>
      <c r="L593" s="66"/>
      <c r="M593" s="66"/>
      <c r="N593" s="66"/>
    </row>
    <row r="594" spans="1:14" x14ac:dyDescent="0.2">
      <c r="A594" s="84"/>
      <c r="B594" s="84"/>
      <c r="C594" s="60"/>
      <c r="D594" s="66"/>
      <c r="E594" s="66"/>
      <c r="F594" s="66"/>
      <c r="G594" s="66"/>
      <c r="H594" s="66"/>
      <c r="I594" s="66"/>
      <c r="J594" s="66"/>
      <c r="K594" s="66"/>
      <c r="L594" s="66"/>
      <c r="M594" s="66"/>
      <c r="N594" s="66"/>
    </row>
    <row r="595" spans="1:14" x14ac:dyDescent="0.2">
      <c r="A595" s="84"/>
      <c r="B595" s="84"/>
      <c r="C595" s="60"/>
      <c r="D595" s="66"/>
      <c r="E595" s="66"/>
      <c r="F595" s="66"/>
      <c r="G595" s="66"/>
      <c r="H595" s="66"/>
      <c r="I595" s="66"/>
      <c r="J595" s="66"/>
      <c r="K595" s="66"/>
      <c r="L595" s="66"/>
      <c r="M595" s="66"/>
      <c r="N595" s="66"/>
    </row>
    <row r="596" spans="1:14" x14ac:dyDescent="0.2">
      <c r="A596" s="84"/>
      <c r="B596" s="84"/>
      <c r="C596" s="60"/>
      <c r="D596" s="66"/>
      <c r="E596" s="66"/>
      <c r="F596" s="66"/>
      <c r="G596" s="66"/>
      <c r="H596" s="66"/>
      <c r="I596" s="66"/>
      <c r="J596" s="66"/>
      <c r="K596" s="66"/>
      <c r="L596" s="66"/>
      <c r="M596" s="66"/>
      <c r="N596" s="66"/>
    </row>
    <row r="597" spans="1:14" x14ac:dyDescent="0.2">
      <c r="A597" s="84"/>
      <c r="B597" s="84"/>
      <c r="C597" s="60"/>
      <c r="D597" s="66"/>
      <c r="E597" s="66"/>
      <c r="F597" s="66"/>
      <c r="G597" s="66"/>
      <c r="H597" s="66"/>
      <c r="I597" s="66"/>
      <c r="J597" s="66"/>
      <c r="K597" s="66"/>
      <c r="L597" s="66"/>
      <c r="M597" s="66"/>
      <c r="N597" s="66"/>
    </row>
    <row r="598" spans="1:14" x14ac:dyDescent="0.2">
      <c r="A598" s="84"/>
      <c r="B598" s="84"/>
      <c r="C598" s="60"/>
      <c r="D598" s="66"/>
      <c r="E598" s="66"/>
      <c r="F598" s="66"/>
      <c r="G598" s="66"/>
      <c r="H598" s="66"/>
      <c r="I598" s="66"/>
      <c r="J598" s="66"/>
      <c r="K598" s="66"/>
      <c r="L598" s="66"/>
      <c r="M598" s="66"/>
      <c r="N598" s="66"/>
    </row>
    <row r="599" spans="1:14" x14ac:dyDescent="0.2">
      <c r="A599" s="84"/>
      <c r="B599" s="84"/>
      <c r="C599" s="60"/>
      <c r="D599" s="66"/>
      <c r="E599" s="66"/>
      <c r="F599" s="66"/>
      <c r="G599" s="66"/>
      <c r="H599" s="66"/>
      <c r="I599" s="66"/>
      <c r="J599" s="66"/>
      <c r="K599" s="66"/>
      <c r="L599" s="66"/>
      <c r="M599" s="66"/>
      <c r="N599" s="66"/>
    </row>
    <row r="600" spans="1:14" x14ac:dyDescent="0.2">
      <c r="A600" s="84"/>
      <c r="B600" s="84"/>
      <c r="C600" s="60"/>
      <c r="D600" s="66"/>
      <c r="E600" s="66"/>
      <c r="F600" s="66"/>
      <c r="G600" s="66"/>
      <c r="H600" s="66"/>
      <c r="I600" s="66"/>
      <c r="J600" s="66"/>
      <c r="K600" s="66"/>
      <c r="L600" s="66"/>
      <c r="M600" s="66"/>
      <c r="N600" s="66"/>
    </row>
    <row r="601" spans="1:14" x14ac:dyDescent="0.2">
      <c r="A601" s="84"/>
      <c r="B601" s="84"/>
      <c r="C601" s="60"/>
      <c r="D601" s="66"/>
      <c r="E601" s="66"/>
      <c r="F601" s="66"/>
      <c r="G601" s="66"/>
      <c r="H601" s="66"/>
      <c r="I601" s="66"/>
      <c r="J601" s="66"/>
      <c r="K601" s="66"/>
      <c r="L601" s="66"/>
      <c r="M601" s="66"/>
      <c r="N601" s="66"/>
    </row>
    <row r="602" spans="1:14" x14ac:dyDescent="0.2">
      <c r="A602" s="84"/>
      <c r="B602" s="84"/>
      <c r="C602" s="60"/>
      <c r="D602" s="66"/>
      <c r="E602" s="66"/>
      <c r="F602" s="66"/>
      <c r="G602" s="66"/>
      <c r="H602" s="66"/>
      <c r="I602" s="66"/>
      <c r="J602" s="66"/>
      <c r="K602" s="66"/>
      <c r="L602" s="66"/>
      <c r="M602" s="66"/>
      <c r="N602" s="66"/>
    </row>
    <row r="603" spans="1:14" x14ac:dyDescent="0.2">
      <c r="A603" s="84"/>
      <c r="B603" s="84"/>
      <c r="C603" s="60"/>
      <c r="D603" s="66"/>
      <c r="E603" s="66"/>
      <c r="F603" s="66"/>
      <c r="G603" s="66"/>
      <c r="H603" s="66"/>
      <c r="I603" s="66"/>
      <c r="J603" s="66"/>
      <c r="K603" s="66"/>
      <c r="L603" s="66"/>
      <c r="M603" s="66"/>
      <c r="N603" s="66"/>
    </row>
    <row r="604" spans="1:14" x14ac:dyDescent="0.2">
      <c r="A604" s="84"/>
      <c r="B604" s="84"/>
      <c r="C604" s="60"/>
      <c r="D604" s="66"/>
      <c r="E604" s="66"/>
      <c r="F604" s="66"/>
      <c r="G604" s="66"/>
      <c r="H604" s="66"/>
      <c r="I604" s="66"/>
      <c r="J604" s="66"/>
      <c r="K604" s="66"/>
      <c r="L604" s="66"/>
      <c r="M604" s="66"/>
      <c r="N604" s="66"/>
    </row>
    <row r="605" spans="1:14" x14ac:dyDescent="0.2">
      <c r="A605" s="84"/>
      <c r="B605" s="84"/>
      <c r="C605" s="60"/>
      <c r="D605" s="66"/>
      <c r="E605" s="66"/>
      <c r="F605" s="66"/>
      <c r="G605" s="66"/>
      <c r="H605" s="66"/>
      <c r="I605" s="66"/>
      <c r="J605" s="66"/>
      <c r="K605" s="66"/>
      <c r="L605" s="66"/>
      <c r="M605" s="66"/>
      <c r="N605" s="66"/>
    </row>
    <row r="606" spans="1:14" x14ac:dyDescent="0.2">
      <c r="A606" s="84"/>
      <c r="B606" s="84"/>
      <c r="C606" s="60"/>
      <c r="D606" s="66"/>
      <c r="E606" s="66"/>
      <c r="F606" s="66"/>
      <c r="G606" s="66"/>
      <c r="H606" s="66"/>
      <c r="I606" s="66"/>
      <c r="J606" s="66"/>
      <c r="K606" s="66"/>
      <c r="L606" s="66"/>
      <c r="M606" s="66"/>
      <c r="N606" s="66"/>
    </row>
    <row r="607" spans="1:14" x14ac:dyDescent="0.2">
      <c r="A607" s="84"/>
      <c r="B607" s="84"/>
      <c r="C607" s="60"/>
      <c r="D607" s="66"/>
      <c r="E607" s="66"/>
      <c r="F607" s="66"/>
      <c r="G607" s="66"/>
      <c r="H607" s="66"/>
      <c r="I607" s="66"/>
      <c r="J607" s="66"/>
      <c r="K607" s="66"/>
      <c r="L607" s="66"/>
      <c r="M607" s="66"/>
      <c r="N607" s="66"/>
    </row>
    <row r="608" spans="1:14" x14ac:dyDescent="0.2">
      <c r="A608" s="84"/>
      <c r="B608" s="84"/>
      <c r="C608" s="60"/>
      <c r="D608" s="66"/>
      <c r="E608" s="66"/>
      <c r="F608" s="66"/>
      <c r="G608" s="66"/>
      <c r="H608" s="66"/>
      <c r="I608" s="66"/>
      <c r="J608" s="66"/>
      <c r="K608" s="66"/>
      <c r="L608" s="66"/>
      <c r="M608" s="66"/>
      <c r="N608" s="66"/>
    </row>
    <row r="609" spans="1:14" x14ac:dyDescent="0.2">
      <c r="A609" s="84"/>
      <c r="B609" s="84"/>
      <c r="C609" s="60"/>
      <c r="D609" s="66"/>
      <c r="E609" s="66"/>
      <c r="F609" s="66"/>
      <c r="G609" s="66"/>
      <c r="H609" s="66"/>
      <c r="I609" s="66"/>
      <c r="J609" s="66"/>
      <c r="K609" s="66"/>
      <c r="L609" s="66"/>
      <c r="M609" s="66"/>
      <c r="N609" s="66"/>
    </row>
    <row r="610" spans="1:14" x14ac:dyDescent="0.2">
      <c r="A610" s="84"/>
      <c r="B610" s="84"/>
      <c r="C610" s="60"/>
      <c r="D610" s="66"/>
      <c r="E610" s="66"/>
      <c r="F610" s="66"/>
      <c r="G610" s="66"/>
      <c r="H610" s="66"/>
      <c r="I610" s="66"/>
      <c r="J610" s="66"/>
      <c r="K610" s="66"/>
      <c r="L610" s="66"/>
      <c r="M610" s="66"/>
      <c r="N610" s="66"/>
    </row>
    <row r="611" spans="1:14" x14ac:dyDescent="0.2">
      <c r="A611" s="84"/>
      <c r="B611" s="84"/>
      <c r="C611" s="60"/>
      <c r="D611" s="66"/>
      <c r="E611" s="66"/>
      <c r="F611" s="66"/>
      <c r="G611" s="66"/>
      <c r="H611" s="66"/>
      <c r="I611" s="66"/>
      <c r="J611" s="66"/>
      <c r="K611" s="66"/>
      <c r="L611" s="66"/>
      <c r="M611" s="66"/>
      <c r="N611" s="66"/>
    </row>
    <row r="612" spans="1:14" x14ac:dyDescent="0.2">
      <c r="A612" s="84"/>
      <c r="B612" s="84"/>
      <c r="C612" s="60"/>
      <c r="D612" s="66"/>
      <c r="E612" s="66"/>
      <c r="F612" s="66"/>
      <c r="G612" s="66"/>
      <c r="H612" s="66"/>
      <c r="I612" s="66"/>
      <c r="J612" s="66"/>
      <c r="K612" s="66"/>
      <c r="L612" s="66"/>
      <c r="M612" s="66"/>
      <c r="N612" s="66"/>
    </row>
    <row r="613" spans="1:14" x14ac:dyDescent="0.2">
      <c r="A613" s="84"/>
      <c r="B613" s="84"/>
      <c r="C613" s="60"/>
      <c r="D613" s="66"/>
      <c r="E613" s="66"/>
      <c r="F613" s="66"/>
      <c r="G613" s="66"/>
      <c r="H613" s="66"/>
      <c r="I613" s="66"/>
      <c r="J613" s="66"/>
      <c r="K613" s="66"/>
      <c r="L613" s="66"/>
      <c r="M613" s="66"/>
      <c r="N613" s="66"/>
    </row>
    <row r="614" spans="1:14" x14ac:dyDescent="0.2">
      <c r="A614" s="84"/>
      <c r="B614" s="84"/>
      <c r="C614" s="60"/>
      <c r="D614" s="66"/>
      <c r="E614" s="66"/>
      <c r="F614" s="66"/>
      <c r="G614" s="66"/>
      <c r="H614" s="66"/>
      <c r="I614" s="66"/>
      <c r="J614" s="66"/>
      <c r="K614" s="66"/>
      <c r="L614" s="66"/>
      <c r="M614" s="66"/>
      <c r="N614" s="66"/>
    </row>
    <row r="615" spans="1:14" x14ac:dyDescent="0.2">
      <c r="A615" s="84"/>
      <c r="B615" s="84"/>
      <c r="C615" s="60"/>
      <c r="D615" s="66"/>
      <c r="E615" s="66"/>
      <c r="F615" s="66"/>
      <c r="G615" s="66"/>
      <c r="H615" s="66"/>
      <c r="I615" s="66"/>
      <c r="J615" s="66"/>
      <c r="K615" s="66"/>
      <c r="L615" s="66"/>
      <c r="M615" s="66"/>
      <c r="N615" s="66"/>
    </row>
    <row r="616" spans="1:14" x14ac:dyDescent="0.2">
      <c r="A616" s="84"/>
      <c r="B616" s="84"/>
      <c r="C616" s="60"/>
      <c r="D616" s="66"/>
      <c r="E616" s="66"/>
      <c r="F616" s="66"/>
      <c r="G616" s="66"/>
      <c r="H616" s="66"/>
      <c r="I616" s="66"/>
      <c r="J616" s="66"/>
      <c r="K616" s="66"/>
      <c r="L616" s="66"/>
      <c r="M616" s="66"/>
      <c r="N616" s="66"/>
    </row>
    <row r="617" spans="1:14" x14ac:dyDescent="0.2">
      <c r="A617" s="84"/>
      <c r="B617" s="84"/>
      <c r="C617" s="60"/>
      <c r="D617" s="66"/>
      <c r="E617" s="66"/>
      <c r="F617" s="66"/>
      <c r="G617" s="66"/>
      <c r="H617" s="66"/>
      <c r="I617" s="66"/>
      <c r="J617" s="66"/>
      <c r="K617" s="66"/>
      <c r="L617" s="66"/>
      <c r="M617" s="66"/>
      <c r="N617" s="66"/>
    </row>
    <row r="618" spans="1:14" x14ac:dyDescent="0.2">
      <c r="A618" s="84"/>
      <c r="B618" s="84"/>
      <c r="C618" s="60"/>
      <c r="D618" s="66"/>
      <c r="E618" s="66"/>
      <c r="F618" s="66"/>
      <c r="G618" s="66"/>
      <c r="H618" s="66"/>
      <c r="I618" s="66"/>
      <c r="J618" s="66"/>
      <c r="K618" s="66"/>
      <c r="L618" s="66"/>
      <c r="M618" s="66"/>
      <c r="N618" s="66"/>
    </row>
    <row r="619" spans="1:14" x14ac:dyDescent="0.2">
      <c r="A619" s="84"/>
      <c r="B619" s="84"/>
      <c r="C619" s="60"/>
      <c r="D619" s="66"/>
      <c r="E619" s="66"/>
      <c r="F619" s="66"/>
      <c r="G619" s="66"/>
      <c r="H619" s="66"/>
      <c r="I619" s="66"/>
      <c r="J619" s="66"/>
      <c r="K619" s="66"/>
      <c r="L619" s="66"/>
      <c r="M619" s="66"/>
      <c r="N619" s="66"/>
    </row>
    <row r="620" spans="1:14" x14ac:dyDescent="0.2">
      <c r="A620" s="84"/>
      <c r="B620" s="84"/>
      <c r="C620" s="60"/>
      <c r="D620" s="66"/>
      <c r="E620" s="66"/>
      <c r="F620" s="66"/>
      <c r="G620" s="66"/>
      <c r="H620" s="66"/>
      <c r="I620" s="66"/>
      <c r="J620" s="66"/>
      <c r="K620" s="66"/>
      <c r="L620" s="66"/>
      <c r="M620" s="66"/>
      <c r="N620" s="66"/>
    </row>
    <row r="621" spans="1:14" x14ac:dyDescent="0.2">
      <c r="A621" s="84"/>
      <c r="B621" s="84"/>
      <c r="C621" s="60"/>
      <c r="D621" s="66"/>
      <c r="E621" s="66"/>
      <c r="F621" s="66"/>
      <c r="G621" s="66"/>
      <c r="H621" s="66"/>
      <c r="I621" s="66"/>
      <c r="J621" s="66"/>
      <c r="K621" s="66"/>
      <c r="L621" s="66"/>
      <c r="M621" s="66"/>
      <c r="N621" s="66"/>
    </row>
    <row r="622" spans="1:14" x14ac:dyDescent="0.2">
      <c r="A622" s="84"/>
      <c r="B622" s="84"/>
      <c r="C622" s="60"/>
      <c r="D622" s="66"/>
      <c r="E622" s="66"/>
      <c r="F622" s="66"/>
      <c r="G622" s="66"/>
      <c r="H622" s="66"/>
      <c r="I622" s="66"/>
      <c r="J622" s="66"/>
      <c r="K622" s="66"/>
      <c r="L622" s="66"/>
      <c r="M622" s="66"/>
      <c r="N622" s="66"/>
    </row>
    <row r="623" spans="1:14" x14ac:dyDescent="0.2">
      <c r="A623" s="84"/>
      <c r="B623" s="84"/>
      <c r="C623" s="60"/>
      <c r="D623" s="66"/>
      <c r="E623" s="66"/>
      <c r="F623" s="66"/>
      <c r="G623" s="66"/>
      <c r="H623" s="66"/>
      <c r="I623" s="66"/>
      <c r="J623" s="66"/>
      <c r="K623" s="66"/>
      <c r="L623" s="66"/>
      <c r="M623" s="66"/>
      <c r="N623" s="66"/>
    </row>
    <row r="624" spans="1:14" x14ac:dyDescent="0.2">
      <c r="A624" s="84"/>
      <c r="B624" s="84"/>
      <c r="C624" s="60"/>
      <c r="D624" s="66"/>
      <c r="E624" s="66"/>
      <c r="F624" s="66"/>
      <c r="G624" s="66"/>
      <c r="H624" s="66"/>
      <c r="I624" s="66"/>
      <c r="J624" s="66"/>
      <c r="K624" s="66"/>
      <c r="L624" s="66"/>
      <c r="M624" s="66"/>
      <c r="N624" s="66"/>
    </row>
    <row r="625" spans="1:14" x14ac:dyDescent="0.2">
      <c r="A625" s="84"/>
      <c r="B625" s="84"/>
      <c r="C625" s="60"/>
      <c r="D625" s="66"/>
      <c r="E625" s="66"/>
      <c r="F625" s="66"/>
      <c r="G625" s="66"/>
      <c r="H625" s="66"/>
      <c r="I625" s="66"/>
      <c r="J625" s="66"/>
      <c r="K625" s="66"/>
      <c r="L625" s="66"/>
      <c r="M625" s="66"/>
      <c r="N625" s="66"/>
    </row>
    <row r="626" spans="1:14" x14ac:dyDescent="0.2">
      <c r="A626" s="84"/>
      <c r="B626" s="84"/>
      <c r="C626" s="60"/>
      <c r="D626" s="66"/>
      <c r="E626" s="66"/>
      <c r="F626" s="66"/>
      <c r="G626" s="66"/>
      <c r="H626" s="66"/>
      <c r="I626" s="66"/>
      <c r="J626" s="66"/>
      <c r="K626" s="66"/>
      <c r="L626" s="66"/>
      <c r="M626" s="66"/>
      <c r="N626" s="66"/>
    </row>
    <row r="627" spans="1:14" x14ac:dyDescent="0.2">
      <c r="A627" s="84"/>
      <c r="B627" s="84"/>
      <c r="C627" s="60"/>
      <c r="D627" s="66"/>
      <c r="E627" s="66"/>
      <c r="F627" s="66"/>
      <c r="G627" s="66"/>
      <c r="H627" s="66"/>
      <c r="I627" s="66"/>
      <c r="J627" s="66"/>
      <c r="K627" s="66"/>
      <c r="L627" s="66"/>
      <c r="M627" s="66"/>
      <c r="N627" s="66"/>
    </row>
    <row r="628" spans="1:14" x14ac:dyDescent="0.2">
      <c r="A628" s="84"/>
      <c r="B628" s="84"/>
      <c r="C628" s="60"/>
      <c r="D628" s="66"/>
      <c r="E628" s="66"/>
      <c r="F628" s="66"/>
      <c r="G628" s="66"/>
      <c r="H628" s="66"/>
      <c r="I628" s="66"/>
      <c r="J628" s="66"/>
      <c r="K628" s="66"/>
      <c r="L628" s="66"/>
      <c r="M628" s="66"/>
      <c r="N628" s="66"/>
    </row>
    <row r="629" spans="1:14" x14ac:dyDescent="0.2">
      <c r="A629" s="84"/>
      <c r="B629" s="84"/>
      <c r="C629" s="60"/>
      <c r="D629" s="66"/>
      <c r="E629" s="66"/>
      <c r="F629" s="66"/>
      <c r="G629" s="66"/>
      <c r="H629" s="66"/>
      <c r="I629" s="66"/>
      <c r="J629" s="66"/>
      <c r="K629" s="66"/>
      <c r="L629" s="66"/>
      <c r="M629" s="66"/>
      <c r="N629" s="66"/>
    </row>
    <row r="630" spans="1:14" x14ac:dyDescent="0.2">
      <c r="A630" s="84"/>
      <c r="B630" s="84"/>
      <c r="C630" s="60"/>
      <c r="D630" s="66"/>
      <c r="E630" s="66"/>
      <c r="F630" s="66"/>
      <c r="G630" s="66"/>
      <c r="H630" s="66"/>
      <c r="I630" s="66"/>
      <c r="J630" s="66"/>
      <c r="K630" s="66"/>
      <c r="L630" s="66"/>
      <c r="M630" s="66"/>
      <c r="N630" s="66"/>
    </row>
    <row r="631" spans="1:14" x14ac:dyDescent="0.2">
      <c r="A631" s="84"/>
      <c r="B631" s="84"/>
      <c r="C631" s="60"/>
      <c r="D631" s="66"/>
      <c r="E631" s="66"/>
      <c r="F631" s="66"/>
      <c r="G631" s="66"/>
      <c r="H631" s="66"/>
      <c r="I631" s="66"/>
      <c r="J631" s="66"/>
      <c r="K631" s="66"/>
      <c r="L631" s="66"/>
      <c r="M631" s="66"/>
      <c r="N631" s="66"/>
    </row>
    <row r="632" spans="1:14" x14ac:dyDescent="0.2">
      <c r="A632" s="84"/>
      <c r="B632" s="84"/>
      <c r="C632" s="60"/>
      <c r="D632" s="66"/>
      <c r="E632" s="66"/>
      <c r="F632" s="66"/>
      <c r="G632" s="66"/>
      <c r="H632" s="66"/>
      <c r="I632" s="66"/>
      <c r="J632" s="66"/>
      <c r="K632" s="66"/>
      <c r="L632" s="66"/>
      <c r="M632" s="66"/>
      <c r="N632" s="66"/>
    </row>
    <row r="633" spans="1:14" x14ac:dyDescent="0.2">
      <c r="A633" s="84"/>
      <c r="B633" s="84"/>
      <c r="C633" s="60"/>
      <c r="D633" s="66"/>
      <c r="E633" s="66"/>
      <c r="F633" s="66"/>
      <c r="G633" s="66"/>
      <c r="H633" s="66"/>
      <c r="I633" s="66"/>
      <c r="J633" s="66"/>
      <c r="K633" s="66"/>
      <c r="L633" s="66"/>
      <c r="M633" s="66"/>
      <c r="N633" s="66"/>
    </row>
    <row r="634" spans="1:14" x14ac:dyDescent="0.2">
      <c r="A634" s="84"/>
      <c r="B634" s="84"/>
      <c r="C634" s="60"/>
      <c r="D634" s="66"/>
      <c r="E634" s="66"/>
      <c r="F634" s="66"/>
      <c r="G634" s="66"/>
      <c r="H634" s="66"/>
      <c r="I634" s="66"/>
      <c r="J634" s="66"/>
      <c r="K634" s="66"/>
      <c r="L634" s="66"/>
      <c r="M634" s="66"/>
      <c r="N634" s="66"/>
    </row>
    <row r="635" spans="1:14" x14ac:dyDescent="0.2">
      <c r="A635" s="84"/>
      <c r="B635" s="84"/>
      <c r="C635" s="60"/>
      <c r="D635" s="66"/>
      <c r="E635" s="66"/>
      <c r="F635" s="66"/>
      <c r="G635" s="66"/>
      <c r="H635" s="66"/>
      <c r="I635" s="66"/>
      <c r="J635" s="66"/>
      <c r="K635" s="66"/>
      <c r="L635" s="66"/>
      <c r="M635" s="66"/>
      <c r="N635" s="66"/>
    </row>
    <row r="636" spans="1:14" x14ac:dyDescent="0.2">
      <c r="A636" s="84"/>
      <c r="B636" s="84"/>
      <c r="C636" s="60"/>
      <c r="D636" s="66"/>
      <c r="E636" s="66"/>
      <c r="F636" s="66"/>
      <c r="G636" s="66"/>
      <c r="H636" s="66"/>
      <c r="I636" s="66"/>
      <c r="J636" s="66"/>
      <c r="K636" s="66"/>
      <c r="L636" s="66"/>
      <c r="M636" s="66"/>
      <c r="N636" s="66"/>
    </row>
    <row r="637" spans="1:14" x14ac:dyDescent="0.2">
      <c r="A637" s="84"/>
      <c r="B637" s="84"/>
      <c r="C637" s="60"/>
      <c r="D637" s="66"/>
      <c r="E637" s="66"/>
      <c r="F637" s="66"/>
      <c r="G637" s="66"/>
      <c r="H637" s="66"/>
      <c r="I637" s="66"/>
      <c r="J637" s="66"/>
      <c r="K637" s="66"/>
      <c r="L637" s="66"/>
      <c r="M637" s="66"/>
      <c r="N637" s="66"/>
    </row>
    <row r="638" spans="1:14" x14ac:dyDescent="0.2">
      <c r="A638" s="84"/>
      <c r="B638" s="84"/>
      <c r="C638" s="60"/>
      <c r="D638" s="66"/>
      <c r="E638" s="66"/>
      <c r="F638" s="66"/>
      <c r="G638" s="66"/>
      <c r="H638" s="66"/>
      <c r="I638" s="66"/>
      <c r="J638" s="66"/>
      <c r="K638" s="66"/>
      <c r="L638" s="66"/>
      <c r="M638" s="66"/>
      <c r="N638" s="66"/>
    </row>
    <row r="639" spans="1:14" x14ac:dyDescent="0.2">
      <c r="A639" s="84"/>
      <c r="B639" s="84"/>
      <c r="C639" s="60"/>
      <c r="D639" s="66"/>
      <c r="E639" s="66"/>
      <c r="F639" s="66"/>
      <c r="G639" s="66"/>
      <c r="H639" s="66"/>
      <c r="I639" s="66"/>
      <c r="J639" s="66"/>
      <c r="K639" s="66"/>
      <c r="L639" s="66"/>
      <c r="M639" s="66"/>
      <c r="N639" s="66"/>
    </row>
    <row r="640" spans="1:14" x14ac:dyDescent="0.2">
      <c r="A640" s="84"/>
      <c r="B640" s="84"/>
      <c r="C640" s="60"/>
      <c r="D640" s="66"/>
      <c r="E640" s="66"/>
      <c r="F640" s="66"/>
      <c r="G640" s="66"/>
      <c r="H640" s="66"/>
      <c r="I640" s="66"/>
      <c r="J640" s="66"/>
      <c r="K640" s="66"/>
      <c r="L640" s="66"/>
      <c r="M640" s="66"/>
      <c r="N640" s="66"/>
    </row>
    <row r="641" spans="1:14" x14ac:dyDescent="0.2">
      <c r="A641" s="84"/>
      <c r="B641" s="84"/>
      <c r="C641" s="60"/>
      <c r="D641" s="66"/>
      <c r="E641" s="66"/>
      <c r="F641" s="66"/>
      <c r="G641" s="66"/>
      <c r="H641" s="66"/>
      <c r="I641" s="66"/>
      <c r="J641" s="66"/>
      <c r="K641" s="66"/>
      <c r="L641" s="66"/>
      <c r="M641" s="66"/>
      <c r="N641" s="66"/>
    </row>
    <row r="642" spans="1:14" x14ac:dyDescent="0.2">
      <c r="A642" s="84"/>
      <c r="B642" s="84"/>
      <c r="C642" s="60"/>
      <c r="D642" s="66"/>
      <c r="E642" s="66"/>
      <c r="F642" s="66"/>
      <c r="G642" s="66"/>
      <c r="H642" s="66"/>
      <c r="I642" s="66"/>
      <c r="J642" s="66"/>
      <c r="K642" s="66"/>
      <c r="L642" s="66"/>
      <c r="M642" s="66"/>
      <c r="N642" s="66"/>
    </row>
    <row r="643" spans="1:14" x14ac:dyDescent="0.2">
      <c r="A643" s="84"/>
      <c r="B643" s="84"/>
      <c r="C643" s="60"/>
      <c r="D643" s="66"/>
      <c r="E643" s="66"/>
      <c r="F643" s="66"/>
      <c r="G643" s="66"/>
      <c r="H643" s="66"/>
      <c r="I643" s="66"/>
      <c r="J643" s="66"/>
      <c r="K643" s="66"/>
      <c r="L643" s="66"/>
      <c r="M643" s="66"/>
      <c r="N643" s="66"/>
    </row>
    <row r="644" spans="1:14" x14ac:dyDescent="0.2">
      <c r="A644" s="84"/>
      <c r="B644" s="84"/>
      <c r="C644" s="60"/>
      <c r="D644" s="66"/>
      <c r="E644" s="66"/>
      <c r="F644" s="66"/>
      <c r="G644" s="66"/>
      <c r="H644" s="66"/>
      <c r="I644" s="66"/>
      <c r="J644" s="66"/>
      <c r="K644" s="66"/>
      <c r="L644" s="66"/>
      <c r="M644" s="66"/>
      <c r="N644" s="66"/>
    </row>
    <row r="645" spans="1:14" x14ac:dyDescent="0.2">
      <c r="A645" s="84"/>
      <c r="B645" s="84"/>
      <c r="C645" s="60"/>
      <c r="D645" s="66"/>
      <c r="E645" s="66"/>
      <c r="F645" s="66"/>
      <c r="G645" s="66"/>
      <c r="H645" s="66"/>
      <c r="I645" s="66"/>
      <c r="J645" s="66"/>
      <c r="K645" s="66"/>
      <c r="L645" s="66"/>
      <c r="M645" s="66"/>
      <c r="N645" s="66"/>
    </row>
    <row r="646" spans="1:14" x14ac:dyDescent="0.2">
      <c r="A646" s="84"/>
      <c r="B646" s="84"/>
      <c r="C646" s="60"/>
      <c r="D646" s="66"/>
      <c r="E646" s="66"/>
      <c r="F646" s="66"/>
      <c r="G646" s="66"/>
      <c r="H646" s="66"/>
      <c r="I646" s="66"/>
      <c r="J646" s="66"/>
      <c r="K646" s="66"/>
      <c r="L646" s="66"/>
      <c r="M646" s="66"/>
      <c r="N646" s="66"/>
    </row>
    <row r="647" spans="1:14" x14ac:dyDescent="0.2">
      <c r="A647" s="84"/>
      <c r="B647" s="84"/>
      <c r="C647" s="60"/>
      <c r="D647" s="66"/>
      <c r="E647" s="66"/>
      <c r="F647" s="66"/>
      <c r="G647" s="66"/>
      <c r="H647" s="66"/>
      <c r="I647" s="66"/>
      <c r="J647" s="66"/>
      <c r="K647" s="66"/>
      <c r="L647" s="66"/>
      <c r="M647" s="66"/>
      <c r="N647" s="66"/>
    </row>
    <row r="648" spans="1:14" x14ac:dyDescent="0.2">
      <c r="A648" s="84"/>
      <c r="B648" s="84"/>
      <c r="C648" s="60"/>
      <c r="D648" s="66"/>
      <c r="E648" s="66"/>
      <c r="F648" s="66"/>
      <c r="G648" s="66"/>
      <c r="H648" s="66"/>
      <c r="I648" s="66"/>
      <c r="J648" s="66"/>
      <c r="K648" s="66"/>
      <c r="L648" s="66"/>
      <c r="M648" s="66"/>
      <c r="N648" s="66"/>
    </row>
    <row r="649" spans="1:14" x14ac:dyDescent="0.2">
      <c r="A649" s="84"/>
      <c r="B649" s="84"/>
      <c r="C649" s="60"/>
      <c r="D649" s="66"/>
      <c r="E649" s="66"/>
      <c r="F649" s="66"/>
      <c r="G649" s="66"/>
      <c r="H649" s="66"/>
      <c r="I649" s="66"/>
      <c r="J649" s="66"/>
      <c r="K649" s="66"/>
      <c r="L649" s="66"/>
      <c r="M649" s="66"/>
      <c r="N649" s="66"/>
    </row>
    <row r="650" spans="1:14" x14ac:dyDescent="0.2">
      <c r="A650" s="84"/>
      <c r="B650" s="84"/>
      <c r="C650" s="60"/>
      <c r="D650" s="66"/>
      <c r="E650" s="66"/>
      <c r="F650" s="66"/>
      <c r="G650" s="66"/>
      <c r="H650" s="66"/>
      <c r="I650" s="66"/>
      <c r="J650" s="66"/>
      <c r="K650" s="66"/>
      <c r="L650" s="66"/>
      <c r="M650" s="66"/>
      <c r="N650" s="66"/>
    </row>
    <row r="651" spans="1:14" x14ac:dyDescent="0.2">
      <c r="A651" s="84"/>
      <c r="B651" s="84"/>
      <c r="C651" s="60"/>
      <c r="D651" s="66"/>
      <c r="E651" s="66"/>
      <c r="F651" s="66"/>
      <c r="G651" s="66"/>
      <c r="H651" s="66"/>
      <c r="I651" s="66"/>
      <c r="J651" s="66"/>
      <c r="K651" s="66"/>
      <c r="L651" s="66"/>
      <c r="M651" s="66"/>
      <c r="N651" s="66"/>
    </row>
    <row r="652" spans="1:14" x14ac:dyDescent="0.2">
      <c r="A652" s="84"/>
      <c r="B652" s="84"/>
      <c r="C652" s="60"/>
      <c r="D652" s="66"/>
      <c r="E652" s="66"/>
      <c r="F652" s="66"/>
      <c r="G652" s="66"/>
      <c r="H652" s="66"/>
      <c r="I652" s="66"/>
      <c r="J652" s="66"/>
      <c r="K652" s="66"/>
      <c r="L652" s="66"/>
      <c r="M652" s="66"/>
      <c r="N652" s="66"/>
    </row>
    <row r="653" spans="1:14" x14ac:dyDescent="0.2">
      <c r="A653" s="84"/>
      <c r="B653" s="84"/>
      <c r="C653" s="60"/>
      <c r="D653" s="66"/>
      <c r="E653" s="66"/>
      <c r="F653" s="66"/>
      <c r="G653" s="66"/>
      <c r="H653" s="66"/>
      <c r="I653" s="66"/>
      <c r="J653" s="66"/>
      <c r="K653" s="66"/>
      <c r="L653" s="66"/>
      <c r="M653" s="66"/>
      <c r="N653" s="66"/>
    </row>
    <row r="654" spans="1:14" x14ac:dyDescent="0.2">
      <c r="A654" s="84"/>
      <c r="B654" s="84"/>
      <c r="C654" s="60"/>
      <c r="D654" s="66"/>
      <c r="E654" s="66"/>
      <c r="F654" s="66"/>
      <c r="G654" s="66"/>
      <c r="H654" s="66"/>
      <c r="I654" s="66"/>
      <c r="J654" s="66"/>
      <c r="K654" s="66"/>
      <c r="L654" s="66"/>
      <c r="M654" s="66"/>
      <c r="N654" s="66"/>
    </row>
    <row r="655" spans="1:14" x14ac:dyDescent="0.2">
      <c r="A655" s="84"/>
      <c r="B655" s="84"/>
      <c r="C655" s="60"/>
      <c r="D655" s="66"/>
      <c r="E655" s="66"/>
      <c r="F655" s="66"/>
      <c r="G655" s="66"/>
      <c r="H655" s="66"/>
      <c r="I655" s="66"/>
      <c r="J655" s="66"/>
      <c r="K655" s="66"/>
      <c r="L655" s="66"/>
      <c r="M655" s="66"/>
      <c r="N655" s="66"/>
    </row>
    <row r="656" spans="1:14" x14ac:dyDescent="0.2">
      <c r="A656" s="84"/>
      <c r="B656" s="84"/>
      <c r="C656" s="60"/>
      <c r="D656" s="66"/>
      <c r="E656" s="66"/>
      <c r="F656" s="66"/>
      <c r="G656" s="66"/>
      <c r="H656" s="66"/>
      <c r="I656" s="66"/>
      <c r="J656" s="66"/>
      <c r="K656" s="66"/>
      <c r="L656" s="66"/>
      <c r="M656" s="66"/>
      <c r="N656" s="66"/>
    </row>
    <row r="657" spans="1:14" x14ac:dyDescent="0.2">
      <c r="A657" s="84"/>
      <c r="B657" s="84"/>
      <c r="C657" s="60"/>
      <c r="D657" s="66"/>
      <c r="E657" s="66"/>
      <c r="F657" s="66"/>
      <c r="G657" s="66"/>
      <c r="H657" s="66"/>
      <c r="I657" s="66"/>
      <c r="J657" s="66"/>
      <c r="K657" s="66"/>
      <c r="L657" s="66"/>
      <c r="M657" s="66"/>
      <c r="N657" s="66"/>
    </row>
    <row r="658" spans="1:14" x14ac:dyDescent="0.2">
      <c r="A658" s="84"/>
      <c r="B658" s="84"/>
      <c r="C658" s="60"/>
      <c r="D658" s="66"/>
      <c r="E658" s="66"/>
      <c r="F658" s="66"/>
      <c r="G658" s="66"/>
      <c r="H658" s="66"/>
      <c r="I658" s="66"/>
      <c r="J658" s="66"/>
      <c r="K658" s="66"/>
      <c r="L658" s="66"/>
      <c r="M658" s="66"/>
      <c r="N658" s="66"/>
    </row>
    <row r="659" spans="1:14" x14ac:dyDescent="0.2">
      <c r="A659" s="84"/>
      <c r="B659" s="84"/>
      <c r="C659" s="60"/>
      <c r="D659" s="66"/>
      <c r="E659" s="66"/>
      <c r="F659" s="66"/>
      <c r="G659" s="66"/>
      <c r="H659" s="66"/>
      <c r="I659" s="66"/>
      <c r="J659" s="66"/>
      <c r="K659" s="66"/>
      <c r="L659" s="66"/>
      <c r="M659" s="66"/>
      <c r="N659" s="66"/>
    </row>
    <row r="660" spans="1:14" x14ac:dyDescent="0.2">
      <c r="A660" s="84"/>
      <c r="B660" s="84"/>
      <c r="C660" s="60"/>
      <c r="D660" s="66"/>
      <c r="E660" s="66"/>
      <c r="F660" s="66"/>
      <c r="G660" s="66"/>
      <c r="H660" s="66"/>
      <c r="I660" s="66"/>
      <c r="J660" s="66"/>
      <c r="K660" s="66"/>
      <c r="L660" s="66"/>
      <c r="M660" s="66"/>
      <c r="N660" s="66"/>
    </row>
    <row r="661" spans="1:14" x14ac:dyDescent="0.2">
      <c r="A661" s="84"/>
      <c r="B661" s="84"/>
      <c r="C661" s="60"/>
      <c r="D661" s="66"/>
      <c r="E661" s="66"/>
      <c r="F661" s="66"/>
      <c r="G661" s="66"/>
      <c r="H661" s="66"/>
      <c r="I661" s="66"/>
      <c r="J661" s="66"/>
      <c r="K661" s="66"/>
      <c r="L661" s="66"/>
      <c r="M661" s="66"/>
      <c r="N661" s="66"/>
    </row>
    <row r="662" spans="1:14" x14ac:dyDescent="0.2">
      <c r="A662" s="84"/>
      <c r="B662" s="84"/>
      <c r="C662" s="60"/>
      <c r="D662" s="66"/>
      <c r="E662" s="66"/>
      <c r="F662" s="66"/>
      <c r="G662" s="66"/>
      <c r="H662" s="66"/>
      <c r="I662" s="66"/>
      <c r="J662" s="66"/>
      <c r="K662" s="66"/>
      <c r="L662" s="66"/>
      <c r="M662" s="66"/>
      <c r="N662" s="66"/>
    </row>
    <row r="663" spans="1:14" x14ac:dyDescent="0.2">
      <c r="A663" s="84"/>
      <c r="B663" s="84"/>
      <c r="C663" s="60"/>
      <c r="D663" s="66"/>
      <c r="E663" s="66"/>
      <c r="F663" s="66"/>
      <c r="G663" s="66"/>
      <c r="H663" s="66"/>
      <c r="I663" s="66"/>
      <c r="J663" s="66"/>
      <c r="K663" s="66"/>
      <c r="L663" s="66"/>
      <c r="M663" s="66"/>
      <c r="N663" s="66"/>
    </row>
    <row r="664" spans="1:14" x14ac:dyDescent="0.2">
      <c r="A664" s="84"/>
      <c r="B664" s="84"/>
      <c r="C664" s="60"/>
      <c r="D664" s="66"/>
      <c r="E664" s="66"/>
      <c r="F664" s="66"/>
      <c r="G664" s="66"/>
      <c r="H664" s="66"/>
      <c r="I664" s="66"/>
      <c r="J664" s="66"/>
      <c r="K664" s="66"/>
      <c r="L664" s="66"/>
      <c r="M664" s="66"/>
      <c r="N664" s="66"/>
    </row>
    <row r="665" spans="1:14" x14ac:dyDescent="0.2">
      <c r="A665" s="84"/>
      <c r="B665" s="84"/>
      <c r="C665" s="60"/>
      <c r="D665" s="66"/>
      <c r="E665" s="66"/>
      <c r="F665" s="66"/>
      <c r="G665" s="66"/>
      <c r="H665" s="66"/>
      <c r="I665" s="66"/>
      <c r="J665" s="66"/>
      <c r="K665" s="66"/>
      <c r="L665" s="66"/>
      <c r="M665" s="66"/>
      <c r="N665" s="66"/>
    </row>
    <row r="666" spans="1:14" x14ac:dyDescent="0.2">
      <c r="A666" s="84"/>
      <c r="B666" s="84"/>
      <c r="C666" s="60"/>
      <c r="D666" s="66"/>
      <c r="E666" s="66"/>
      <c r="F666" s="66"/>
      <c r="G666" s="66"/>
      <c r="H666" s="66"/>
      <c r="I666" s="66"/>
      <c r="J666" s="66"/>
      <c r="K666" s="66"/>
      <c r="L666" s="66"/>
      <c r="M666" s="66"/>
      <c r="N666" s="66"/>
    </row>
    <row r="667" spans="1:14" x14ac:dyDescent="0.2">
      <c r="A667" s="84"/>
      <c r="B667" s="84"/>
      <c r="C667" s="60"/>
      <c r="D667" s="66"/>
      <c r="E667" s="66"/>
      <c r="F667" s="66"/>
      <c r="G667" s="66"/>
      <c r="H667" s="66"/>
      <c r="I667" s="66"/>
      <c r="J667" s="66"/>
      <c r="K667" s="66"/>
      <c r="L667" s="66"/>
      <c r="M667" s="66"/>
      <c r="N667" s="66"/>
    </row>
    <row r="668" spans="1:14" x14ac:dyDescent="0.2">
      <c r="A668" s="84"/>
      <c r="B668" s="84"/>
      <c r="C668" s="60"/>
      <c r="D668" s="66"/>
      <c r="E668" s="66"/>
      <c r="F668" s="66"/>
      <c r="G668" s="66"/>
      <c r="H668" s="66"/>
      <c r="I668" s="66"/>
      <c r="J668" s="66"/>
      <c r="K668" s="66"/>
      <c r="L668" s="66"/>
      <c r="M668" s="66"/>
      <c r="N668" s="66"/>
    </row>
    <row r="669" spans="1:14" x14ac:dyDescent="0.2">
      <c r="A669" s="84"/>
      <c r="B669" s="84"/>
      <c r="C669" s="60"/>
      <c r="D669" s="66"/>
      <c r="E669" s="66"/>
      <c r="F669" s="66"/>
      <c r="G669" s="66"/>
      <c r="H669" s="66"/>
      <c r="I669" s="66"/>
      <c r="J669" s="66"/>
      <c r="K669" s="66"/>
      <c r="L669" s="66"/>
      <c r="M669" s="66"/>
      <c r="N669" s="66"/>
    </row>
    <row r="670" spans="1:14" x14ac:dyDescent="0.2">
      <c r="A670" s="84"/>
      <c r="B670" s="84"/>
      <c r="C670" s="60"/>
      <c r="D670" s="66"/>
      <c r="E670" s="66"/>
      <c r="F670" s="66"/>
      <c r="G670" s="66"/>
      <c r="H670" s="66"/>
      <c r="I670" s="66"/>
      <c r="J670" s="66"/>
      <c r="K670" s="66"/>
      <c r="L670" s="66"/>
      <c r="M670" s="66"/>
      <c r="N670" s="66"/>
    </row>
    <row r="671" spans="1:14" x14ac:dyDescent="0.2">
      <c r="A671" s="84"/>
      <c r="B671" s="84"/>
      <c r="C671" s="60"/>
      <c r="D671" s="66"/>
      <c r="E671" s="66"/>
      <c r="F671" s="66"/>
      <c r="G671" s="66"/>
      <c r="H671" s="66"/>
      <c r="I671" s="66"/>
      <c r="J671" s="66"/>
      <c r="K671" s="66"/>
      <c r="L671" s="66"/>
      <c r="M671" s="66"/>
      <c r="N671" s="66"/>
    </row>
    <row r="672" spans="1:14" x14ac:dyDescent="0.2">
      <c r="A672" s="84"/>
      <c r="B672" s="84"/>
      <c r="C672" s="60"/>
      <c r="D672" s="66"/>
      <c r="E672" s="66"/>
      <c r="F672" s="66"/>
      <c r="G672" s="66"/>
      <c r="H672" s="66"/>
      <c r="I672" s="66"/>
      <c r="J672" s="66"/>
      <c r="K672" s="66"/>
      <c r="L672" s="66"/>
      <c r="M672" s="66"/>
      <c r="N672" s="66"/>
    </row>
    <row r="673" spans="1:14" x14ac:dyDescent="0.2">
      <c r="A673" s="84"/>
      <c r="B673" s="84"/>
      <c r="C673" s="60"/>
      <c r="D673" s="66"/>
      <c r="E673" s="66"/>
      <c r="F673" s="66"/>
      <c r="G673" s="66"/>
      <c r="H673" s="66"/>
      <c r="I673" s="66"/>
      <c r="J673" s="66"/>
      <c r="K673" s="66"/>
      <c r="L673" s="66"/>
      <c r="M673" s="66"/>
      <c r="N673" s="66"/>
    </row>
    <row r="674" spans="1:14" x14ac:dyDescent="0.2">
      <c r="A674" s="84"/>
      <c r="B674" s="84"/>
      <c r="C674" s="60"/>
      <c r="D674" s="66"/>
      <c r="E674" s="66"/>
      <c r="F674" s="66"/>
      <c r="G674" s="66"/>
      <c r="H674" s="66"/>
      <c r="I674" s="66"/>
      <c r="J674" s="66"/>
      <c r="K674" s="66"/>
      <c r="L674" s="66"/>
      <c r="M674" s="66"/>
      <c r="N674" s="66"/>
    </row>
    <row r="675" spans="1:14" x14ac:dyDescent="0.2">
      <c r="A675" s="84"/>
      <c r="B675" s="84"/>
      <c r="C675" s="60"/>
      <c r="D675" s="66"/>
      <c r="E675" s="66"/>
      <c r="F675" s="66"/>
      <c r="G675" s="66"/>
      <c r="H675" s="66"/>
      <c r="I675" s="66"/>
      <c r="J675" s="66"/>
      <c r="K675" s="66"/>
      <c r="L675" s="66"/>
      <c r="M675" s="66"/>
      <c r="N675" s="66"/>
    </row>
    <row r="676" spans="1:14" x14ac:dyDescent="0.2">
      <c r="A676" s="84"/>
      <c r="B676" s="84"/>
      <c r="C676" s="60"/>
      <c r="D676" s="66"/>
      <c r="E676" s="66"/>
      <c r="F676" s="66"/>
      <c r="G676" s="66"/>
      <c r="H676" s="66"/>
      <c r="I676" s="66"/>
      <c r="J676" s="66"/>
      <c r="K676" s="66"/>
      <c r="L676" s="66"/>
      <c r="M676" s="66"/>
      <c r="N676" s="66"/>
    </row>
    <row r="677" spans="1:14" x14ac:dyDescent="0.2">
      <c r="A677" s="84"/>
      <c r="B677" s="84"/>
      <c r="C677" s="60"/>
      <c r="D677" s="66"/>
      <c r="E677" s="66"/>
      <c r="F677" s="66"/>
      <c r="G677" s="66"/>
      <c r="H677" s="66"/>
      <c r="I677" s="66"/>
      <c r="J677" s="66"/>
      <c r="K677" s="66"/>
      <c r="L677" s="66"/>
      <c r="M677" s="66"/>
      <c r="N677" s="66"/>
    </row>
    <row r="678" spans="1:14" x14ac:dyDescent="0.2">
      <c r="A678" s="84"/>
      <c r="B678" s="84"/>
      <c r="C678" s="60"/>
      <c r="D678" s="66"/>
      <c r="E678" s="66"/>
      <c r="F678" s="66"/>
      <c r="G678" s="66"/>
      <c r="H678" s="66"/>
      <c r="I678" s="66"/>
      <c r="J678" s="66"/>
      <c r="K678" s="66"/>
      <c r="L678" s="66"/>
      <c r="M678" s="66"/>
      <c r="N678" s="66"/>
    </row>
    <row r="679" spans="1:14" x14ac:dyDescent="0.2">
      <c r="A679" s="84"/>
      <c r="B679" s="84"/>
      <c r="C679" s="60"/>
      <c r="D679" s="66"/>
      <c r="E679" s="66"/>
      <c r="F679" s="66"/>
      <c r="G679" s="66"/>
      <c r="H679" s="66"/>
      <c r="I679" s="66"/>
      <c r="J679" s="66"/>
      <c r="K679" s="66"/>
      <c r="L679" s="66"/>
      <c r="M679" s="66"/>
      <c r="N679" s="66"/>
    </row>
    <row r="680" spans="1:14" x14ac:dyDescent="0.2">
      <c r="A680" s="84"/>
      <c r="B680" s="84"/>
      <c r="C680" s="60"/>
      <c r="D680" s="66"/>
      <c r="E680" s="66"/>
      <c r="F680" s="66"/>
      <c r="G680" s="66"/>
      <c r="H680" s="66"/>
      <c r="I680" s="66"/>
      <c r="J680" s="66"/>
      <c r="K680" s="66"/>
      <c r="L680" s="66"/>
      <c r="M680" s="66"/>
      <c r="N680" s="66"/>
    </row>
    <row r="681" spans="1:14" x14ac:dyDescent="0.2">
      <c r="A681" s="84"/>
      <c r="B681" s="84"/>
      <c r="C681" s="60"/>
      <c r="D681" s="66"/>
      <c r="E681" s="66"/>
      <c r="F681" s="66"/>
      <c r="G681" s="66"/>
      <c r="H681" s="66"/>
      <c r="I681" s="66"/>
      <c r="J681" s="66"/>
      <c r="K681" s="66"/>
      <c r="L681" s="66"/>
      <c r="M681" s="66"/>
      <c r="N681" s="66"/>
    </row>
    <row r="682" spans="1:14" x14ac:dyDescent="0.2">
      <c r="A682" s="84"/>
      <c r="B682" s="84"/>
      <c r="C682" s="60"/>
      <c r="D682" s="66"/>
      <c r="E682" s="66"/>
      <c r="F682" s="66"/>
      <c r="G682" s="66"/>
      <c r="H682" s="66"/>
      <c r="I682" s="66"/>
      <c r="J682" s="66"/>
      <c r="K682" s="66"/>
      <c r="L682" s="66"/>
      <c r="M682" s="66"/>
      <c r="N682" s="66"/>
    </row>
    <row r="683" spans="1:14" x14ac:dyDescent="0.2">
      <c r="A683" s="84"/>
      <c r="B683" s="84"/>
      <c r="C683" s="60"/>
      <c r="D683" s="66"/>
      <c r="E683" s="66"/>
      <c r="F683" s="66"/>
      <c r="G683" s="66"/>
      <c r="H683" s="66"/>
      <c r="I683" s="66"/>
      <c r="J683" s="66"/>
      <c r="K683" s="66"/>
      <c r="L683" s="66"/>
      <c r="M683" s="66"/>
      <c r="N683" s="66"/>
    </row>
    <row r="684" spans="1:14" x14ac:dyDescent="0.2">
      <c r="A684" s="84"/>
      <c r="B684" s="84"/>
      <c r="C684" s="60"/>
      <c r="D684" s="66"/>
      <c r="E684" s="66"/>
      <c r="F684" s="66"/>
      <c r="G684" s="66"/>
      <c r="H684" s="66"/>
      <c r="I684" s="66"/>
      <c r="J684" s="66"/>
      <c r="K684" s="66"/>
      <c r="L684" s="66"/>
      <c r="M684" s="66"/>
      <c r="N684" s="66"/>
    </row>
    <row r="685" spans="1:14" x14ac:dyDescent="0.2">
      <c r="A685" s="84"/>
      <c r="B685" s="84"/>
      <c r="C685" s="60"/>
      <c r="D685" s="66"/>
      <c r="E685" s="66"/>
      <c r="F685" s="66"/>
      <c r="G685" s="66"/>
      <c r="H685" s="66"/>
      <c r="I685" s="66"/>
      <c r="J685" s="66"/>
      <c r="K685" s="66"/>
      <c r="L685" s="66"/>
      <c r="M685" s="66"/>
      <c r="N685" s="66"/>
    </row>
    <row r="686" spans="1:14" x14ac:dyDescent="0.2">
      <c r="A686" s="84"/>
      <c r="B686" s="84"/>
      <c r="C686" s="60"/>
      <c r="D686" s="66"/>
      <c r="E686" s="66"/>
      <c r="F686" s="66"/>
      <c r="G686" s="66"/>
      <c r="H686" s="66"/>
      <c r="I686" s="66"/>
      <c r="J686" s="66"/>
      <c r="K686" s="66"/>
      <c r="L686" s="66"/>
      <c r="M686" s="66"/>
      <c r="N686" s="66"/>
    </row>
    <row r="687" spans="1:14" x14ac:dyDescent="0.2">
      <c r="A687" s="84"/>
      <c r="B687" s="84"/>
      <c r="C687" s="60"/>
      <c r="D687" s="66"/>
      <c r="E687" s="66"/>
      <c r="F687" s="66"/>
      <c r="G687" s="66"/>
      <c r="H687" s="66"/>
      <c r="I687" s="66"/>
      <c r="J687" s="66"/>
      <c r="K687" s="66"/>
      <c r="L687" s="66"/>
      <c r="M687" s="66"/>
      <c r="N687" s="66"/>
    </row>
    <row r="688" spans="1:14" x14ac:dyDescent="0.2">
      <c r="A688" s="84"/>
      <c r="B688" s="84"/>
      <c r="C688" s="60"/>
      <c r="D688" s="66"/>
      <c r="E688" s="66"/>
      <c r="F688" s="66"/>
      <c r="G688" s="66"/>
      <c r="H688" s="66"/>
      <c r="I688" s="66"/>
      <c r="J688" s="66"/>
      <c r="K688" s="66"/>
      <c r="L688" s="66"/>
      <c r="M688" s="66"/>
      <c r="N688" s="66"/>
    </row>
    <row r="689" spans="1:14" x14ac:dyDescent="0.2">
      <c r="A689" s="84"/>
      <c r="B689" s="84"/>
      <c r="C689" s="60"/>
      <c r="D689" s="66"/>
      <c r="E689" s="66"/>
      <c r="F689" s="66"/>
      <c r="G689" s="66"/>
      <c r="H689" s="66"/>
      <c r="I689" s="66"/>
      <c r="J689" s="66"/>
      <c r="K689" s="66"/>
      <c r="L689" s="66"/>
      <c r="M689" s="66"/>
      <c r="N689" s="66"/>
    </row>
    <row r="690" spans="1:14" x14ac:dyDescent="0.2">
      <c r="A690" s="84"/>
      <c r="B690" s="84"/>
      <c r="C690" s="60"/>
      <c r="D690" s="66"/>
      <c r="E690" s="66"/>
      <c r="F690" s="66"/>
      <c r="G690" s="66"/>
      <c r="H690" s="66"/>
      <c r="I690" s="66"/>
      <c r="J690" s="66"/>
      <c r="K690" s="66"/>
      <c r="L690" s="66"/>
      <c r="M690" s="66"/>
      <c r="N690" s="66"/>
    </row>
    <row r="691" spans="1:14" x14ac:dyDescent="0.2">
      <c r="A691" s="84"/>
      <c r="B691" s="84"/>
      <c r="C691" s="60"/>
      <c r="D691" s="66"/>
      <c r="E691" s="66"/>
      <c r="F691" s="66"/>
      <c r="G691" s="66"/>
      <c r="H691" s="66"/>
      <c r="I691" s="66"/>
      <c r="J691" s="66"/>
      <c r="K691" s="66"/>
      <c r="L691" s="66"/>
      <c r="M691" s="66"/>
      <c r="N691" s="66"/>
    </row>
    <row r="692" spans="1:14" x14ac:dyDescent="0.2">
      <c r="A692" s="84"/>
      <c r="B692" s="84"/>
      <c r="C692" s="60"/>
      <c r="D692" s="66"/>
      <c r="E692" s="66"/>
      <c r="F692" s="66"/>
      <c r="G692" s="66"/>
      <c r="H692" s="66"/>
      <c r="I692" s="66"/>
      <c r="J692" s="66"/>
      <c r="K692" s="66"/>
      <c r="L692" s="66"/>
      <c r="M692" s="66"/>
      <c r="N692" s="66"/>
    </row>
    <row r="693" spans="1:14" x14ac:dyDescent="0.2">
      <c r="A693" s="84"/>
      <c r="B693" s="84"/>
      <c r="C693" s="60"/>
      <c r="D693" s="66"/>
      <c r="E693" s="66"/>
      <c r="F693" s="66"/>
      <c r="G693" s="66"/>
      <c r="H693" s="66"/>
      <c r="I693" s="66"/>
      <c r="J693" s="66"/>
      <c r="K693" s="66"/>
      <c r="L693" s="66"/>
      <c r="M693" s="66"/>
      <c r="N693" s="66"/>
    </row>
    <row r="694" spans="1:14" x14ac:dyDescent="0.2">
      <c r="A694" s="84"/>
      <c r="B694" s="84"/>
      <c r="C694" s="60"/>
      <c r="D694" s="66"/>
      <c r="E694" s="66"/>
      <c r="F694" s="66"/>
      <c r="G694" s="66"/>
      <c r="H694" s="66"/>
      <c r="I694" s="66"/>
      <c r="J694" s="66"/>
      <c r="K694" s="66"/>
      <c r="L694" s="66"/>
      <c r="M694" s="66"/>
      <c r="N694" s="66"/>
    </row>
    <row r="695" spans="1:14" x14ac:dyDescent="0.2">
      <c r="A695" s="84"/>
      <c r="B695" s="84"/>
      <c r="C695" s="60"/>
      <c r="D695" s="66"/>
      <c r="E695" s="66"/>
      <c r="F695" s="66"/>
      <c r="G695" s="66"/>
      <c r="H695" s="66"/>
      <c r="I695" s="66"/>
      <c r="J695" s="66"/>
      <c r="K695" s="66"/>
      <c r="L695" s="66"/>
      <c r="M695" s="66"/>
      <c r="N695" s="66"/>
    </row>
    <row r="696" spans="1:14" x14ac:dyDescent="0.2">
      <c r="A696" s="84"/>
      <c r="B696" s="84"/>
      <c r="C696" s="60"/>
      <c r="D696" s="66"/>
      <c r="E696" s="66"/>
      <c r="F696" s="66"/>
      <c r="G696" s="66"/>
      <c r="H696" s="66"/>
      <c r="I696" s="66"/>
      <c r="J696" s="66"/>
      <c r="K696" s="66"/>
      <c r="L696" s="66"/>
      <c r="M696" s="66"/>
      <c r="N696" s="66"/>
    </row>
    <row r="697" spans="1:14" x14ac:dyDescent="0.2">
      <c r="A697" s="84"/>
      <c r="B697" s="84"/>
      <c r="C697" s="60"/>
      <c r="D697" s="66"/>
      <c r="E697" s="66"/>
      <c r="F697" s="66"/>
      <c r="G697" s="66"/>
      <c r="H697" s="66"/>
      <c r="I697" s="66"/>
      <c r="J697" s="66"/>
      <c r="K697" s="66"/>
      <c r="L697" s="66"/>
      <c r="M697" s="66"/>
      <c r="N697" s="66"/>
    </row>
    <row r="698" spans="1:14" x14ac:dyDescent="0.2">
      <c r="A698" s="84"/>
      <c r="B698" s="84"/>
      <c r="C698" s="60"/>
      <c r="D698" s="66"/>
      <c r="E698" s="66"/>
      <c r="F698" s="66"/>
      <c r="G698" s="66"/>
      <c r="H698" s="66"/>
      <c r="I698" s="66"/>
      <c r="J698" s="66"/>
      <c r="K698" s="66"/>
      <c r="L698" s="66"/>
      <c r="M698" s="66"/>
      <c r="N698" s="66"/>
    </row>
    <row r="699" spans="1:14" x14ac:dyDescent="0.2">
      <c r="A699" s="84"/>
      <c r="B699" s="84"/>
      <c r="C699" s="60"/>
      <c r="D699" s="66"/>
      <c r="E699" s="66"/>
      <c r="F699" s="66"/>
      <c r="G699" s="66"/>
      <c r="H699" s="66"/>
      <c r="I699" s="66"/>
      <c r="J699" s="66"/>
      <c r="K699" s="66"/>
      <c r="L699" s="66"/>
      <c r="M699" s="66"/>
      <c r="N699" s="66"/>
    </row>
    <row r="700" spans="1:14" x14ac:dyDescent="0.2">
      <c r="A700" s="84"/>
      <c r="B700" s="84"/>
      <c r="C700" s="60"/>
      <c r="D700" s="66"/>
      <c r="E700" s="66"/>
      <c r="F700" s="66"/>
      <c r="G700" s="66"/>
      <c r="H700" s="66"/>
      <c r="I700" s="66"/>
      <c r="J700" s="66"/>
      <c r="K700" s="66"/>
      <c r="L700" s="66"/>
      <c r="M700" s="66"/>
      <c r="N700" s="66"/>
    </row>
    <row r="701" spans="1:14" x14ac:dyDescent="0.2">
      <c r="A701" s="84"/>
      <c r="B701" s="84"/>
      <c r="C701" s="60"/>
      <c r="D701" s="66"/>
      <c r="E701" s="66"/>
      <c r="F701" s="66"/>
      <c r="G701" s="66"/>
      <c r="H701" s="66"/>
      <c r="I701" s="66"/>
      <c r="J701" s="66"/>
      <c r="K701" s="66"/>
      <c r="L701" s="66"/>
      <c r="M701" s="66"/>
      <c r="N701" s="66"/>
    </row>
    <row r="702" spans="1:14" x14ac:dyDescent="0.2">
      <c r="A702" s="84"/>
      <c r="B702" s="84"/>
      <c r="C702" s="60"/>
      <c r="D702" s="66"/>
      <c r="E702" s="66"/>
      <c r="F702" s="66"/>
      <c r="G702" s="66"/>
      <c r="H702" s="66"/>
      <c r="I702" s="66"/>
      <c r="J702" s="66"/>
      <c r="K702" s="66"/>
      <c r="L702" s="66"/>
      <c r="M702" s="66"/>
      <c r="N702" s="66"/>
    </row>
    <row r="703" spans="1:14" x14ac:dyDescent="0.2">
      <c r="A703" s="84"/>
      <c r="B703" s="84"/>
      <c r="C703" s="60"/>
      <c r="D703" s="66"/>
      <c r="E703" s="66"/>
      <c r="F703" s="66"/>
      <c r="G703" s="66"/>
      <c r="H703" s="66"/>
      <c r="I703" s="66"/>
      <c r="J703" s="66"/>
      <c r="K703" s="66"/>
      <c r="L703" s="66"/>
      <c r="M703" s="66"/>
      <c r="N703" s="66"/>
    </row>
    <row r="704" spans="1:14" x14ac:dyDescent="0.2">
      <c r="A704" s="84"/>
      <c r="B704" s="84"/>
      <c r="C704" s="60"/>
      <c r="D704" s="66"/>
      <c r="E704" s="66"/>
      <c r="F704" s="66"/>
      <c r="G704" s="66"/>
      <c r="H704" s="66"/>
      <c r="I704" s="66"/>
      <c r="J704" s="66"/>
      <c r="K704" s="66"/>
      <c r="L704" s="66"/>
      <c r="M704" s="66"/>
      <c r="N704" s="66"/>
    </row>
    <row r="705" spans="1:14" x14ac:dyDescent="0.2">
      <c r="A705" s="84"/>
      <c r="B705" s="84"/>
      <c r="C705" s="60"/>
      <c r="D705" s="66"/>
      <c r="E705" s="66"/>
      <c r="F705" s="66"/>
      <c r="G705" s="66"/>
      <c r="H705" s="66"/>
      <c r="I705" s="66"/>
      <c r="J705" s="66"/>
      <c r="K705" s="66"/>
      <c r="L705" s="66"/>
      <c r="M705" s="66"/>
      <c r="N705" s="66"/>
    </row>
    <row r="706" spans="1:14" x14ac:dyDescent="0.2">
      <c r="A706" s="84"/>
      <c r="B706" s="84"/>
      <c r="C706" s="60"/>
      <c r="D706" s="66"/>
      <c r="E706" s="66"/>
      <c r="F706" s="66"/>
      <c r="G706" s="66"/>
      <c r="H706" s="66"/>
      <c r="I706" s="66"/>
      <c r="J706" s="66"/>
      <c r="K706" s="66"/>
      <c r="L706" s="66"/>
      <c r="M706" s="66"/>
      <c r="N706" s="66"/>
    </row>
    <row r="707" spans="1:14" x14ac:dyDescent="0.2">
      <c r="A707" s="84"/>
      <c r="B707" s="84"/>
      <c r="C707" s="60"/>
      <c r="D707" s="66"/>
      <c r="E707" s="66"/>
      <c r="F707" s="66"/>
      <c r="G707" s="66"/>
      <c r="H707" s="66"/>
      <c r="I707" s="66"/>
      <c r="J707" s="66"/>
      <c r="K707" s="66"/>
      <c r="L707" s="66"/>
      <c r="M707" s="66"/>
      <c r="N707" s="66"/>
    </row>
    <row r="708" spans="1:14" x14ac:dyDescent="0.2">
      <c r="A708" s="84"/>
      <c r="B708" s="84"/>
      <c r="C708" s="60"/>
      <c r="D708" s="66"/>
      <c r="E708" s="66"/>
      <c r="F708" s="66"/>
      <c r="G708" s="66"/>
      <c r="H708" s="66"/>
      <c r="I708" s="66"/>
      <c r="J708" s="66"/>
      <c r="K708" s="66"/>
      <c r="L708" s="66"/>
      <c r="M708" s="66"/>
      <c r="N708" s="66"/>
    </row>
    <row r="709" spans="1:14" x14ac:dyDescent="0.2">
      <c r="A709" s="84"/>
      <c r="B709" s="84"/>
      <c r="C709" s="60"/>
      <c r="D709" s="66"/>
      <c r="E709" s="66"/>
      <c r="F709" s="66"/>
      <c r="G709" s="66"/>
      <c r="H709" s="66"/>
      <c r="I709" s="66"/>
      <c r="J709" s="66"/>
      <c r="K709" s="66"/>
      <c r="L709" s="66"/>
      <c r="M709" s="66"/>
      <c r="N709" s="66"/>
    </row>
    <row r="710" spans="1:14" x14ac:dyDescent="0.2">
      <c r="A710" s="84"/>
      <c r="B710" s="84"/>
      <c r="C710" s="60"/>
      <c r="D710" s="66"/>
      <c r="E710" s="66"/>
      <c r="F710" s="66"/>
      <c r="G710" s="66"/>
      <c r="H710" s="66"/>
      <c r="I710" s="66"/>
      <c r="J710" s="66"/>
      <c r="K710" s="66"/>
      <c r="L710" s="66"/>
      <c r="M710" s="66"/>
      <c r="N710" s="66"/>
    </row>
    <row r="711" spans="1:14" x14ac:dyDescent="0.2">
      <c r="A711" s="84"/>
      <c r="B711" s="84"/>
      <c r="C711" s="60"/>
      <c r="D711" s="66"/>
      <c r="E711" s="66"/>
      <c r="F711" s="66"/>
      <c r="G711" s="66"/>
      <c r="H711" s="66"/>
      <c r="I711" s="66"/>
      <c r="J711" s="66"/>
      <c r="K711" s="66"/>
      <c r="L711" s="66"/>
      <c r="M711" s="66"/>
      <c r="N711" s="66"/>
    </row>
    <row r="712" spans="1:14" x14ac:dyDescent="0.2">
      <c r="A712" s="84"/>
      <c r="B712" s="84"/>
      <c r="C712" s="60"/>
      <c r="D712" s="66"/>
      <c r="E712" s="66"/>
      <c r="F712" s="66"/>
      <c r="G712" s="66"/>
      <c r="H712" s="66"/>
      <c r="I712" s="66"/>
      <c r="J712" s="66"/>
      <c r="K712" s="66"/>
      <c r="L712" s="66"/>
      <c r="M712" s="66"/>
      <c r="N712" s="66"/>
    </row>
    <row r="713" spans="1:14" x14ac:dyDescent="0.2">
      <c r="A713" s="84"/>
      <c r="B713" s="84"/>
      <c r="C713" s="60"/>
      <c r="D713" s="66"/>
      <c r="E713" s="66"/>
      <c r="F713" s="66"/>
      <c r="G713" s="66"/>
      <c r="H713" s="66"/>
      <c r="I713" s="66"/>
      <c r="J713" s="66"/>
      <c r="K713" s="66"/>
      <c r="L713" s="66"/>
      <c r="M713" s="66"/>
      <c r="N713" s="66"/>
    </row>
    <row r="714" spans="1:14" x14ac:dyDescent="0.2">
      <c r="A714" s="84"/>
      <c r="B714" s="84"/>
      <c r="C714" s="60"/>
      <c r="D714" s="66"/>
      <c r="E714" s="66"/>
      <c r="F714" s="66"/>
      <c r="G714" s="66"/>
      <c r="H714" s="66"/>
      <c r="I714" s="66"/>
      <c r="J714" s="66"/>
      <c r="K714" s="66"/>
      <c r="L714" s="66"/>
      <c r="M714" s="66"/>
      <c r="N714" s="66"/>
    </row>
    <row r="715" spans="1:14" x14ac:dyDescent="0.2">
      <c r="A715" s="84"/>
      <c r="B715" s="84"/>
      <c r="C715" s="60"/>
      <c r="D715" s="66"/>
      <c r="E715" s="66"/>
      <c r="F715" s="66"/>
      <c r="G715" s="66"/>
      <c r="H715" s="66"/>
      <c r="I715" s="66"/>
      <c r="J715" s="66"/>
      <c r="K715" s="66"/>
      <c r="L715" s="66"/>
      <c r="M715" s="66"/>
      <c r="N715" s="66"/>
    </row>
    <row r="716" spans="1:14" x14ac:dyDescent="0.2">
      <c r="A716" s="84"/>
      <c r="B716" s="84"/>
      <c r="C716" s="60"/>
      <c r="D716" s="66"/>
      <c r="E716" s="66"/>
      <c r="F716" s="66"/>
      <c r="G716" s="66"/>
      <c r="H716" s="66"/>
      <c r="I716" s="66"/>
      <c r="J716" s="66"/>
      <c r="K716" s="66"/>
      <c r="L716" s="66"/>
      <c r="M716" s="66"/>
      <c r="N716" s="66"/>
    </row>
    <row r="717" spans="1:14" x14ac:dyDescent="0.2">
      <c r="A717" s="84"/>
      <c r="B717" s="84"/>
      <c r="C717" s="60"/>
      <c r="D717" s="66"/>
      <c r="E717" s="66"/>
      <c r="F717" s="66"/>
      <c r="G717" s="66"/>
      <c r="H717" s="66"/>
      <c r="I717" s="66"/>
      <c r="J717" s="66"/>
      <c r="K717" s="66"/>
      <c r="L717" s="66"/>
      <c r="M717" s="66"/>
      <c r="N717" s="66"/>
    </row>
    <row r="718" spans="1:14" x14ac:dyDescent="0.2">
      <c r="A718" s="84"/>
      <c r="B718" s="84"/>
      <c r="C718" s="60"/>
      <c r="D718" s="66"/>
      <c r="E718" s="66"/>
      <c r="F718" s="66"/>
      <c r="G718" s="66"/>
      <c r="H718" s="66"/>
      <c r="I718" s="66"/>
      <c r="J718" s="66"/>
      <c r="K718" s="66"/>
      <c r="L718" s="66"/>
      <c r="M718" s="66"/>
      <c r="N718" s="66"/>
    </row>
    <row r="719" spans="1:14" x14ac:dyDescent="0.2">
      <c r="A719" s="84"/>
      <c r="B719" s="84"/>
      <c r="C719" s="60"/>
      <c r="D719" s="66"/>
      <c r="E719" s="66"/>
      <c r="F719" s="66"/>
      <c r="G719" s="66"/>
      <c r="H719" s="66"/>
      <c r="I719" s="66"/>
      <c r="J719" s="66"/>
      <c r="K719" s="66"/>
      <c r="L719" s="66"/>
      <c r="M719" s="66"/>
      <c r="N719" s="66"/>
    </row>
    <row r="720" spans="1:14" x14ac:dyDescent="0.2">
      <c r="A720" s="84"/>
      <c r="B720" s="84"/>
      <c r="C720" s="60"/>
      <c r="D720" s="66"/>
      <c r="E720" s="66"/>
      <c r="F720" s="66"/>
      <c r="G720" s="66"/>
      <c r="H720" s="66"/>
      <c r="I720" s="66"/>
      <c r="J720" s="66"/>
      <c r="K720" s="66"/>
      <c r="L720" s="66"/>
      <c r="M720" s="66"/>
      <c r="N720" s="66"/>
    </row>
    <row r="721" spans="1:14" x14ac:dyDescent="0.2">
      <c r="A721" s="84"/>
      <c r="B721" s="84"/>
      <c r="C721" s="60"/>
      <c r="D721" s="66"/>
      <c r="E721" s="66"/>
      <c r="F721" s="66"/>
      <c r="G721" s="66"/>
      <c r="H721" s="66"/>
      <c r="I721" s="66"/>
      <c r="J721" s="66"/>
      <c r="K721" s="66"/>
      <c r="L721" s="66"/>
      <c r="M721" s="66"/>
      <c r="N721" s="66"/>
    </row>
    <row r="722" spans="1:14" x14ac:dyDescent="0.2">
      <c r="A722" s="84"/>
      <c r="B722" s="84"/>
      <c r="C722" s="60"/>
      <c r="D722" s="66"/>
      <c r="E722" s="66"/>
      <c r="F722" s="66"/>
      <c r="G722" s="66"/>
      <c r="H722" s="66"/>
      <c r="I722" s="66"/>
      <c r="J722" s="66"/>
      <c r="K722" s="66"/>
      <c r="L722" s="66"/>
      <c r="M722" s="66"/>
      <c r="N722" s="66"/>
    </row>
    <row r="723" spans="1:14" x14ac:dyDescent="0.2">
      <c r="A723" s="84"/>
      <c r="B723" s="84"/>
      <c r="C723" s="60"/>
      <c r="D723" s="66"/>
      <c r="E723" s="66"/>
      <c r="F723" s="66"/>
      <c r="G723" s="66"/>
      <c r="H723" s="66"/>
      <c r="I723" s="66"/>
      <c r="J723" s="66"/>
      <c r="K723" s="66"/>
      <c r="L723" s="66"/>
      <c r="M723" s="66"/>
      <c r="N723" s="66"/>
    </row>
    <row r="724" spans="1:14" x14ac:dyDescent="0.2">
      <c r="A724" s="84"/>
      <c r="B724" s="84"/>
      <c r="C724" s="60"/>
      <c r="D724" s="66"/>
      <c r="E724" s="66"/>
      <c r="F724" s="66"/>
      <c r="G724" s="66"/>
      <c r="H724" s="66"/>
      <c r="I724" s="66"/>
      <c r="J724" s="66"/>
      <c r="K724" s="66"/>
      <c r="L724" s="66"/>
      <c r="M724" s="66"/>
      <c r="N724" s="66"/>
    </row>
    <row r="725" spans="1:14" x14ac:dyDescent="0.2">
      <c r="A725" s="84"/>
      <c r="B725" s="84"/>
      <c r="C725" s="60"/>
      <c r="D725" s="66"/>
      <c r="E725" s="66"/>
      <c r="F725" s="66"/>
      <c r="G725" s="66"/>
      <c r="H725" s="66"/>
      <c r="I725" s="66"/>
      <c r="J725" s="66"/>
      <c r="K725" s="66"/>
      <c r="L725" s="66"/>
      <c r="M725" s="66"/>
      <c r="N725" s="66"/>
    </row>
    <row r="726" spans="1:14" x14ac:dyDescent="0.2">
      <c r="A726" s="84"/>
      <c r="B726" s="84"/>
      <c r="C726" s="60"/>
      <c r="D726" s="66"/>
      <c r="E726" s="66"/>
      <c r="F726" s="66"/>
      <c r="G726" s="66"/>
      <c r="H726" s="66"/>
      <c r="I726" s="66"/>
      <c r="J726" s="66"/>
      <c r="K726" s="66"/>
      <c r="L726" s="66"/>
      <c r="M726" s="66"/>
      <c r="N726" s="66"/>
    </row>
    <row r="727" spans="1:14" x14ac:dyDescent="0.2">
      <c r="A727" s="84"/>
      <c r="B727" s="84"/>
      <c r="C727" s="60"/>
      <c r="D727" s="66"/>
      <c r="E727" s="66"/>
      <c r="F727" s="66"/>
      <c r="G727" s="66"/>
      <c r="H727" s="66"/>
      <c r="I727" s="66"/>
      <c r="J727" s="66"/>
      <c r="K727" s="66"/>
      <c r="L727" s="66"/>
      <c r="M727" s="66"/>
      <c r="N727" s="66"/>
    </row>
    <row r="728" spans="1:14" x14ac:dyDescent="0.2">
      <c r="A728" s="84"/>
      <c r="B728" s="84"/>
      <c r="C728" s="60"/>
      <c r="D728" s="66"/>
      <c r="E728" s="66"/>
      <c r="F728" s="66"/>
      <c r="G728" s="66"/>
      <c r="H728" s="66"/>
      <c r="I728" s="66"/>
      <c r="J728" s="66"/>
      <c r="K728" s="66"/>
      <c r="L728" s="66"/>
      <c r="M728" s="66"/>
      <c r="N728" s="66"/>
    </row>
    <row r="729" spans="1:14" x14ac:dyDescent="0.2">
      <c r="A729" s="84"/>
      <c r="B729" s="84"/>
      <c r="C729" s="60"/>
      <c r="D729" s="66"/>
      <c r="E729" s="66"/>
      <c r="F729" s="66"/>
      <c r="G729" s="66"/>
      <c r="H729" s="66"/>
      <c r="I729" s="66"/>
      <c r="J729" s="66"/>
      <c r="K729" s="66"/>
      <c r="L729" s="66"/>
      <c r="M729" s="66"/>
      <c r="N729" s="66"/>
    </row>
    <row r="730" spans="1:14" x14ac:dyDescent="0.2">
      <c r="A730" s="84"/>
      <c r="B730" s="84"/>
      <c r="C730" s="60"/>
      <c r="D730" s="66"/>
      <c r="E730" s="66"/>
      <c r="F730" s="66"/>
      <c r="G730" s="66"/>
      <c r="H730" s="66"/>
      <c r="I730" s="66"/>
      <c r="J730" s="66"/>
      <c r="K730" s="66"/>
      <c r="L730" s="66"/>
      <c r="M730" s="66"/>
      <c r="N730" s="66"/>
    </row>
    <row r="731" spans="1:14" x14ac:dyDescent="0.2">
      <c r="A731" s="84"/>
      <c r="B731" s="84"/>
      <c r="C731" s="60"/>
      <c r="D731" s="66"/>
      <c r="E731" s="66"/>
      <c r="F731" s="66"/>
      <c r="G731" s="66"/>
      <c r="H731" s="66"/>
      <c r="I731" s="66"/>
      <c r="J731" s="66"/>
      <c r="K731" s="66"/>
      <c r="L731" s="66"/>
      <c r="M731" s="66"/>
      <c r="N731" s="66"/>
    </row>
    <row r="732" spans="1:14" x14ac:dyDescent="0.2">
      <c r="A732" s="84"/>
      <c r="B732" s="84"/>
      <c r="C732" s="60"/>
      <c r="D732" s="66"/>
      <c r="E732" s="66"/>
      <c r="F732" s="66"/>
      <c r="G732" s="66"/>
      <c r="H732" s="66"/>
      <c r="I732" s="66"/>
      <c r="J732" s="66"/>
      <c r="K732" s="66"/>
      <c r="L732" s="66"/>
      <c r="M732" s="66"/>
      <c r="N732" s="66"/>
    </row>
    <row r="733" spans="1:14" x14ac:dyDescent="0.2">
      <c r="A733" s="84"/>
      <c r="B733" s="84"/>
      <c r="C733" s="60"/>
      <c r="D733" s="66"/>
      <c r="E733" s="66"/>
      <c r="F733" s="66"/>
      <c r="G733" s="66"/>
      <c r="H733" s="66"/>
      <c r="I733" s="66"/>
      <c r="J733" s="66"/>
      <c r="K733" s="66"/>
      <c r="L733" s="66"/>
      <c r="M733" s="66"/>
      <c r="N733" s="66"/>
    </row>
    <row r="734" spans="1:14" x14ac:dyDescent="0.2">
      <c r="A734" s="84"/>
      <c r="B734" s="84"/>
      <c r="C734" s="60"/>
      <c r="D734" s="66"/>
      <c r="E734" s="66"/>
      <c r="F734" s="66"/>
      <c r="G734" s="66"/>
      <c r="H734" s="66"/>
      <c r="I734" s="66"/>
      <c r="J734" s="66"/>
      <c r="K734" s="66"/>
      <c r="L734" s="66"/>
      <c r="M734" s="66"/>
      <c r="N734" s="66"/>
    </row>
    <row r="735" spans="1:14" x14ac:dyDescent="0.2">
      <c r="A735" s="84"/>
      <c r="B735" s="84"/>
      <c r="C735" s="60"/>
      <c r="D735" s="66"/>
      <c r="E735" s="66"/>
      <c r="F735" s="66"/>
      <c r="G735" s="66"/>
      <c r="H735" s="66"/>
      <c r="I735" s="66"/>
      <c r="J735" s="66"/>
      <c r="K735" s="66"/>
      <c r="L735" s="66"/>
      <c r="M735" s="66"/>
      <c r="N735" s="66"/>
    </row>
    <row r="736" spans="1:14" x14ac:dyDescent="0.2">
      <c r="A736" s="84"/>
      <c r="B736" s="84"/>
      <c r="C736" s="60"/>
      <c r="D736" s="66"/>
      <c r="E736" s="66"/>
      <c r="F736" s="66"/>
      <c r="G736" s="66"/>
      <c r="H736" s="66"/>
      <c r="I736" s="66"/>
      <c r="J736" s="66"/>
      <c r="K736" s="66"/>
      <c r="L736" s="66"/>
      <c r="M736" s="66"/>
      <c r="N736" s="66"/>
    </row>
    <row r="737" spans="1:14" x14ac:dyDescent="0.2">
      <c r="A737" s="84"/>
      <c r="B737" s="84"/>
      <c r="C737" s="60"/>
      <c r="D737" s="66"/>
      <c r="E737" s="66"/>
      <c r="F737" s="66"/>
      <c r="G737" s="66"/>
      <c r="H737" s="66"/>
      <c r="I737" s="66"/>
      <c r="J737" s="66"/>
      <c r="K737" s="66"/>
      <c r="L737" s="66"/>
      <c r="M737" s="66"/>
      <c r="N737" s="66"/>
    </row>
    <row r="738" spans="1:14" x14ac:dyDescent="0.2">
      <c r="A738" s="84"/>
      <c r="B738" s="84"/>
      <c r="C738" s="60"/>
      <c r="D738" s="66"/>
      <c r="E738" s="66"/>
      <c r="F738" s="66"/>
      <c r="G738" s="66"/>
      <c r="H738" s="66"/>
      <c r="I738" s="66"/>
      <c r="J738" s="66"/>
      <c r="K738" s="66"/>
      <c r="L738" s="66"/>
      <c r="M738" s="66"/>
      <c r="N738" s="66"/>
    </row>
    <row r="739" spans="1:14" x14ac:dyDescent="0.2">
      <c r="A739" s="84"/>
      <c r="B739" s="84"/>
      <c r="C739" s="60"/>
      <c r="D739" s="66"/>
      <c r="E739" s="66"/>
      <c r="F739" s="66"/>
      <c r="G739" s="66"/>
      <c r="H739" s="66"/>
      <c r="I739" s="66"/>
      <c r="J739" s="66"/>
      <c r="K739" s="66"/>
      <c r="L739" s="66"/>
      <c r="M739" s="66"/>
      <c r="N739" s="66"/>
    </row>
    <row r="740" spans="1:14" x14ac:dyDescent="0.2">
      <c r="A740" s="84"/>
      <c r="B740" s="84"/>
      <c r="C740" s="60"/>
      <c r="D740" s="66"/>
      <c r="E740" s="66"/>
      <c r="F740" s="66"/>
      <c r="G740" s="66"/>
      <c r="H740" s="66"/>
      <c r="I740" s="66"/>
      <c r="J740" s="66"/>
      <c r="K740" s="66"/>
      <c r="L740" s="66"/>
      <c r="M740" s="66"/>
      <c r="N740" s="66"/>
    </row>
    <row r="741" spans="1:14" x14ac:dyDescent="0.2">
      <c r="A741" s="84"/>
      <c r="B741" s="84"/>
      <c r="C741" s="60"/>
      <c r="D741" s="66"/>
      <c r="E741" s="66"/>
      <c r="F741" s="66"/>
      <c r="G741" s="66"/>
      <c r="H741" s="66"/>
      <c r="I741" s="66"/>
      <c r="J741" s="66"/>
      <c r="K741" s="66"/>
      <c r="L741" s="66"/>
      <c r="M741" s="66"/>
      <c r="N741" s="66"/>
    </row>
    <row r="742" spans="1:14" x14ac:dyDescent="0.2">
      <c r="A742" s="84"/>
      <c r="B742" s="84"/>
      <c r="C742" s="60"/>
      <c r="D742" s="66"/>
      <c r="E742" s="66"/>
      <c r="F742" s="66"/>
      <c r="G742" s="66"/>
      <c r="H742" s="66"/>
      <c r="I742" s="66"/>
      <c r="J742" s="66"/>
      <c r="K742" s="66"/>
      <c r="L742" s="66"/>
      <c r="M742" s="66"/>
      <c r="N742" s="66"/>
    </row>
    <row r="743" spans="1:14" x14ac:dyDescent="0.2">
      <c r="A743" s="84"/>
      <c r="B743" s="84"/>
      <c r="C743" s="60"/>
      <c r="D743" s="66"/>
      <c r="E743" s="66"/>
      <c r="F743" s="66"/>
      <c r="G743" s="66"/>
      <c r="H743" s="66"/>
      <c r="I743" s="66"/>
      <c r="J743" s="66"/>
      <c r="K743" s="66"/>
      <c r="L743" s="66"/>
      <c r="M743" s="66"/>
      <c r="N743" s="66"/>
    </row>
    <row r="744" spans="1:14" x14ac:dyDescent="0.2">
      <c r="A744" s="84"/>
      <c r="B744" s="84"/>
      <c r="C744" s="60"/>
      <c r="D744" s="66"/>
      <c r="E744" s="66"/>
      <c r="F744" s="66"/>
      <c r="G744" s="66"/>
      <c r="H744" s="66"/>
      <c r="I744" s="66"/>
      <c r="J744" s="66"/>
      <c r="K744" s="66"/>
      <c r="L744" s="66"/>
      <c r="M744" s="66"/>
      <c r="N744" s="66"/>
    </row>
    <row r="745" spans="1:14" x14ac:dyDescent="0.2">
      <c r="A745" s="84"/>
      <c r="B745" s="84"/>
      <c r="C745" s="60"/>
      <c r="D745" s="66"/>
      <c r="E745" s="66"/>
      <c r="F745" s="66"/>
      <c r="G745" s="66"/>
      <c r="H745" s="66"/>
      <c r="I745" s="66"/>
      <c r="J745" s="66"/>
      <c r="K745" s="66"/>
      <c r="L745" s="66"/>
      <c r="M745" s="66"/>
      <c r="N745" s="66"/>
    </row>
    <row r="746" spans="1:14" x14ac:dyDescent="0.2">
      <c r="A746" s="84"/>
      <c r="B746" s="84"/>
      <c r="C746" s="60"/>
      <c r="D746" s="66"/>
      <c r="E746" s="66"/>
      <c r="F746" s="66"/>
      <c r="G746" s="66"/>
      <c r="H746" s="66"/>
      <c r="I746" s="66"/>
      <c r="J746" s="66"/>
      <c r="K746" s="66"/>
      <c r="L746" s="66"/>
      <c r="M746" s="66"/>
      <c r="N746" s="66"/>
    </row>
    <row r="747" spans="1:14" x14ac:dyDescent="0.2">
      <c r="A747" s="84"/>
      <c r="B747" s="84"/>
      <c r="C747" s="60"/>
      <c r="D747" s="66"/>
      <c r="E747" s="66"/>
      <c r="F747" s="66"/>
      <c r="G747" s="66"/>
      <c r="H747" s="66"/>
      <c r="I747" s="66"/>
      <c r="J747" s="66"/>
      <c r="K747" s="66"/>
      <c r="L747" s="66"/>
      <c r="M747" s="66"/>
      <c r="N747" s="66"/>
    </row>
    <row r="748" spans="1:14" x14ac:dyDescent="0.2">
      <c r="A748" s="84"/>
      <c r="B748" s="84"/>
      <c r="C748" s="60"/>
      <c r="D748" s="66"/>
      <c r="E748" s="66"/>
      <c r="F748" s="66"/>
      <c r="G748" s="66"/>
      <c r="H748" s="66"/>
      <c r="I748" s="66"/>
      <c r="J748" s="66"/>
      <c r="K748" s="66"/>
      <c r="L748" s="66"/>
      <c r="M748" s="66"/>
      <c r="N748" s="66"/>
    </row>
    <row r="749" spans="1:14" x14ac:dyDescent="0.2">
      <c r="A749" s="84"/>
      <c r="B749" s="84"/>
      <c r="C749" s="60"/>
      <c r="D749" s="66"/>
      <c r="E749" s="66"/>
      <c r="F749" s="66"/>
      <c r="G749" s="66"/>
      <c r="H749" s="66"/>
      <c r="I749" s="66"/>
      <c r="J749" s="66"/>
      <c r="K749" s="66"/>
      <c r="L749" s="66"/>
      <c r="M749" s="66"/>
      <c r="N749" s="66"/>
    </row>
    <row r="750" spans="1:14" x14ac:dyDescent="0.2">
      <c r="A750" s="84"/>
      <c r="B750" s="84"/>
      <c r="C750" s="60"/>
      <c r="D750" s="66"/>
      <c r="E750" s="66"/>
      <c r="F750" s="66"/>
      <c r="G750" s="66"/>
      <c r="H750" s="66"/>
      <c r="I750" s="66"/>
      <c r="J750" s="66"/>
      <c r="K750" s="66"/>
      <c r="L750" s="66"/>
      <c r="M750" s="66"/>
      <c r="N750" s="66"/>
    </row>
    <row r="751" spans="1:14" x14ac:dyDescent="0.2">
      <c r="A751" s="84"/>
      <c r="B751" s="84"/>
      <c r="C751" s="60"/>
      <c r="D751" s="66"/>
      <c r="E751" s="66"/>
      <c r="F751" s="66"/>
      <c r="G751" s="66"/>
      <c r="H751" s="66"/>
      <c r="I751" s="66"/>
      <c r="J751" s="66"/>
      <c r="K751" s="66"/>
      <c r="L751" s="66"/>
      <c r="M751" s="66"/>
      <c r="N751" s="66"/>
    </row>
    <row r="752" spans="1:14" x14ac:dyDescent="0.2">
      <c r="A752" s="84"/>
      <c r="B752" s="84"/>
      <c r="C752" s="60"/>
      <c r="D752" s="66"/>
      <c r="E752" s="66"/>
      <c r="F752" s="66"/>
      <c r="G752" s="66"/>
      <c r="H752" s="66"/>
      <c r="I752" s="66"/>
      <c r="J752" s="66"/>
      <c r="K752" s="66"/>
      <c r="L752" s="66"/>
      <c r="M752" s="66"/>
      <c r="N752" s="66"/>
    </row>
    <row r="753" spans="1:14" x14ac:dyDescent="0.2">
      <c r="A753" s="84"/>
      <c r="B753" s="84"/>
      <c r="C753" s="60"/>
      <c r="D753" s="66"/>
      <c r="E753" s="66"/>
      <c r="F753" s="66"/>
      <c r="G753" s="66"/>
      <c r="H753" s="66"/>
      <c r="I753" s="66"/>
      <c r="J753" s="66"/>
      <c r="K753" s="66"/>
      <c r="L753" s="66"/>
      <c r="M753" s="66"/>
      <c r="N753" s="66"/>
    </row>
    <row r="754" spans="1:14" x14ac:dyDescent="0.2">
      <c r="A754" s="84"/>
      <c r="B754" s="84"/>
      <c r="C754" s="60"/>
      <c r="D754" s="66"/>
      <c r="E754" s="66"/>
      <c r="F754" s="66"/>
      <c r="G754" s="66"/>
      <c r="H754" s="66"/>
      <c r="I754" s="66"/>
      <c r="J754" s="66"/>
      <c r="K754" s="66"/>
      <c r="L754" s="66"/>
      <c r="M754" s="66"/>
      <c r="N754" s="66"/>
    </row>
    <row r="755" spans="1:14" x14ac:dyDescent="0.2">
      <c r="A755" s="84"/>
      <c r="B755" s="84"/>
      <c r="C755" s="60"/>
      <c r="D755" s="66"/>
      <c r="E755" s="66"/>
      <c r="F755" s="66"/>
      <c r="G755" s="66"/>
      <c r="H755" s="66"/>
      <c r="I755" s="66"/>
      <c r="J755" s="66"/>
      <c r="K755" s="66"/>
      <c r="L755" s="66"/>
      <c r="M755" s="66"/>
      <c r="N755" s="66"/>
    </row>
    <row r="756" spans="1:14" x14ac:dyDescent="0.2">
      <c r="A756" s="84"/>
      <c r="B756" s="84"/>
      <c r="C756" s="60"/>
      <c r="D756" s="66"/>
      <c r="E756" s="66"/>
      <c r="F756" s="66"/>
      <c r="G756" s="66"/>
      <c r="H756" s="66"/>
      <c r="I756" s="66"/>
      <c r="J756" s="66"/>
      <c r="K756" s="66"/>
      <c r="L756" s="66"/>
      <c r="M756" s="66"/>
      <c r="N756" s="66"/>
    </row>
    <row r="757" spans="1:14" x14ac:dyDescent="0.2">
      <c r="A757" s="84"/>
      <c r="B757" s="84"/>
      <c r="C757" s="60"/>
      <c r="D757" s="66"/>
      <c r="E757" s="66"/>
      <c r="F757" s="66"/>
      <c r="G757" s="66"/>
      <c r="H757" s="66"/>
      <c r="I757" s="66"/>
      <c r="J757" s="66"/>
      <c r="K757" s="66"/>
      <c r="L757" s="66"/>
      <c r="M757" s="66"/>
      <c r="N757" s="66"/>
    </row>
    <row r="758" spans="1:14" x14ac:dyDescent="0.2">
      <c r="A758" s="84"/>
      <c r="B758" s="84"/>
      <c r="C758" s="60"/>
      <c r="D758" s="66"/>
      <c r="E758" s="66"/>
      <c r="F758" s="66"/>
      <c r="G758" s="66"/>
      <c r="H758" s="66"/>
      <c r="I758" s="66"/>
      <c r="J758" s="66"/>
      <c r="K758" s="66"/>
      <c r="L758" s="66"/>
      <c r="M758" s="66"/>
      <c r="N758" s="66"/>
    </row>
    <row r="759" spans="1:14" x14ac:dyDescent="0.2">
      <c r="A759" s="84"/>
      <c r="B759" s="84"/>
      <c r="C759" s="60"/>
      <c r="D759" s="66"/>
      <c r="E759" s="66"/>
      <c r="F759" s="66"/>
      <c r="G759" s="66"/>
      <c r="H759" s="66"/>
      <c r="I759" s="66"/>
      <c r="J759" s="66"/>
      <c r="K759" s="66"/>
      <c r="L759" s="66"/>
      <c r="M759" s="66"/>
      <c r="N759" s="66"/>
    </row>
    <row r="760" spans="1:14" x14ac:dyDescent="0.2">
      <c r="A760" s="84"/>
      <c r="B760" s="84"/>
      <c r="C760" s="60"/>
      <c r="D760" s="66"/>
      <c r="E760" s="66"/>
      <c r="F760" s="66"/>
      <c r="G760" s="66"/>
      <c r="H760" s="66"/>
      <c r="I760" s="66"/>
      <c r="J760" s="66"/>
      <c r="K760" s="66"/>
      <c r="L760" s="66"/>
      <c r="M760" s="66"/>
      <c r="N760" s="66"/>
    </row>
    <row r="761" spans="1:14" x14ac:dyDescent="0.2">
      <c r="A761" s="84"/>
      <c r="B761" s="84"/>
      <c r="C761" s="60"/>
      <c r="D761" s="66"/>
      <c r="E761" s="66"/>
      <c r="F761" s="66"/>
      <c r="G761" s="66"/>
      <c r="H761" s="66"/>
      <c r="I761" s="66"/>
      <c r="J761" s="66"/>
      <c r="K761" s="66"/>
      <c r="L761" s="66"/>
      <c r="M761" s="66"/>
      <c r="N761" s="66"/>
    </row>
    <row r="762" spans="1:14" x14ac:dyDescent="0.2">
      <c r="A762" s="84"/>
      <c r="B762" s="84"/>
      <c r="C762" s="60"/>
      <c r="D762" s="66"/>
      <c r="E762" s="66"/>
      <c r="F762" s="66"/>
      <c r="G762" s="66"/>
      <c r="H762" s="66"/>
      <c r="I762" s="66"/>
      <c r="J762" s="66"/>
      <c r="K762" s="66"/>
      <c r="L762" s="66"/>
      <c r="M762" s="66"/>
      <c r="N762" s="66"/>
    </row>
    <row r="763" spans="1:14" x14ac:dyDescent="0.2">
      <c r="A763" s="84"/>
      <c r="B763" s="84"/>
      <c r="C763" s="60"/>
      <c r="D763" s="66"/>
      <c r="E763" s="66"/>
      <c r="F763" s="66"/>
      <c r="G763" s="66"/>
      <c r="H763" s="66"/>
      <c r="I763" s="66"/>
      <c r="J763" s="66"/>
      <c r="K763" s="66"/>
      <c r="L763" s="66"/>
      <c r="M763" s="66"/>
      <c r="N763" s="66"/>
    </row>
    <row r="764" spans="1:14" x14ac:dyDescent="0.2">
      <c r="A764" s="84"/>
      <c r="B764" s="84"/>
      <c r="C764" s="60"/>
      <c r="D764" s="66"/>
      <c r="E764" s="66"/>
      <c r="F764" s="66"/>
      <c r="G764" s="66"/>
      <c r="H764" s="66"/>
      <c r="I764" s="66"/>
      <c r="J764" s="66"/>
      <c r="K764" s="66"/>
      <c r="L764" s="66"/>
      <c r="M764" s="66"/>
      <c r="N764" s="66"/>
    </row>
    <row r="765" spans="1:14" x14ac:dyDescent="0.2">
      <c r="A765" s="84"/>
      <c r="B765" s="84"/>
      <c r="C765" s="60"/>
      <c r="D765" s="66"/>
      <c r="E765" s="66"/>
      <c r="F765" s="66"/>
      <c r="G765" s="66"/>
      <c r="H765" s="66"/>
      <c r="I765" s="66"/>
      <c r="J765" s="66"/>
      <c r="K765" s="66"/>
      <c r="L765" s="66"/>
      <c r="M765" s="66"/>
      <c r="N765" s="66"/>
    </row>
    <row r="766" spans="1:14" x14ac:dyDescent="0.2">
      <c r="A766" s="84"/>
      <c r="B766" s="84"/>
      <c r="C766" s="60"/>
      <c r="D766" s="66"/>
      <c r="E766" s="66"/>
      <c r="F766" s="66"/>
      <c r="G766" s="66"/>
      <c r="H766" s="66"/>
      <c r="I766" s="66"/>
      <c r="J766" s="66"/>
      <c r="K766" s="66"/>
      <c r="L766" s="66"/>
      <c r="M766" s="66"/>
      <c r="N766" s="66"/>
    </row>
    <row r="767" spans="1:14" x14ac:dyDescent="0.2">
      <c r="A767" s="84"/>
      <c r="B767" s="84"/>
      <c r="C767" s="60"/>
      <c r="D767" s="66"/>
      <c r="E767" s="66"/>
      <c r="F767" s="66"/>
      <c r="G767" s="66"/>
      <c r="H767" s="66"/>
      <c r="I767" s="66"/>
      <c r="J767" s="66"/>
      <c r="K767" s="66"/>
      <c r="L767" s="66"/>
      <c r="M767" s="66"/>
      <c r="N767" s="66"/>
    </row>
    <row r="768" spans="1:14" x14ac:dyDescent="0.2">
      <c r="A768" s="84"/>
      <c r="B768" s="84"/>
      <c r="C768" s="60"/>
      <c r="D768" s="66"/>
      <c r="E768" s="66"/>
      <c r="F768" s="66"/>
      <c r="G768" s="66"/>
      <c r="H768" s="66"/>
      <c r="I768" s="66"/>
      <c r="J768" s="66"/>
      <c r="K768" s="66"/>
      <c r="L768" s="66"/>
      <c r="M768" s="66"/>
      <c r="N768" s="66"/>
    </row>
    <row r="769" spans="1:14" x14ac:dyDescent="0.2">
      <c r="A769" s="84"/>
      <c r="B769" s="84"/>
      <c r="C769" s="60"/>
      <c r="D769" s="66"/>
      <c r="E769" s="66"/>
      <c r="F769" s="66"/>
      <c r="G769" s="66"/>
      <c r="H769" s="66"/>
      <c r="I769" s="66"/>
      <c r="J769" s="66"/>
      <c r="K769" s="66"/>
      <c r="L769" s="66"/>
      <c r="M769" s="66"/>
      <c r="N769" s="66"/>
    </row>
    <row r="770" spans="1:14" x14ac:dyDescent="0.2">
      <c r="A770" s="84"/>
      <c r="B770" s="84"/>
      <c r="C770" s="60"/>
      <c r="D770" s="66"/>
      <c r="E770" s="66"/>
      <c r="F770" s="66"/>
      <c r="G770" s="66"/>
      <c r="H770" s="66"/>
      <c r="I770" s="66"/>
      <c r="J770" s="66"/>
      <c r="K770" s="66"/>
      <c r="L770" s="66"/>
      <c r="M770" s="66"/>
      <c r="N770" s="66"/>
    </row>
    <row r="771" spans="1:14" x14ac:dyDescent="0.2">
      <c r="A771" s="84"/>
      <c r="B771" s="84"/>
      <c r="C771" s="60"/>
      <c r="D771" s="66"/>
      <c r="E771" s="66"/>
      <c r="F771" s="66"/>
      <c r="G771" s="66"/>
      <c r="H771" s="66"/>
      <c r="I771" s="66"/>
      <c r="J771" s="66"/>
      <c r="K771" s="66"/>
      <c r="L771" s="66"/>
      <c r="M771" s="66"/>
      <c r="N771" s="66"/>
    </row>
    <row r="772" spans="1:14" x14ac:dyDescent="0.2">
      <c r="A772" s="84"/>
      <c r="B772" s="84"/>
      <c r="C772" s="60"/>
      <c r="D772" s="66"/>
      <c r="E772" s="66"/>
      <c r="F772" s="66"/>
      <c r="G772" s="66"/>
      <c r="H772" s="66"/>
      <c r="I772" s="66"/>
      <c r="J772" s="66"/>
      <c r="K772" s="66"/>
      <c r="L772" s="66"/>
      <c r="M772" s="66"/>
      <c r="N772" s="66"/>
    </row>
    <row r="773" spans="1:14" x14ac:dyDescent="0.2">
      <c r="A773" s="84"/>
      <c r="B773" s="84"/>
      <c r="C773" s="60"/>
      <c r="D773" s="66"/>
      <c r="E773" s="66"/>
      <c r="F773" s="66"/>
      <c r="G773" s="66"/>
      <c r="H773" s="66"/>
      <c r="I773" s="66"/>
      <c r="J773" s="66"/>
      <c r="K773" s="66"/>
      <c r="L773" s="66"/>
      <c r="M773" s="66"/>
      <c r="N773" s="66"/>
    </row>
    <row r="774" spans="1:14" x14ac:dyDescent="0.2">
      <c r="A774" s="84"/>
      <c r="B774" s="84"/>
      <c r="C774" s="60"/>
      <c r="D774" s="66"/>
      <c r="E774" s="66"/>
      <c r="F774" s="66"/>
      <c r="G774" s="66"/>
      <c r="H774" s="66"/>
      <c r="I774" s="66"/>
      <c r="J774" s="66"/>
      <c r="K774" s="66"/>
      <c r="L774" s="66"/>
      <c r="M774" s="66"/>
      <c r="N774" s="66"/>
    </row>
    <row r="775" spans="1:14" x14ac:dyDescent="0.2">
      <c r="A775" s="84"/>
      <c r="B775" s="84"/>
      <c r="C775" s="60"/>
      <c r="D775" s="66"/>
      <c r="E775" s="66"/>
      <c r="F775" s="66"/>
      <c r="G775" s="66"/>
      <c r="H775" s="66"/>
      <c r="I775" s="66"/>
      <c r="J775" s="66"/>
      <c r="K775" s="66"/>
      <c r="L775" s="66"/>
      <c r="M775" s="66"/>
      <c r="N775" s="66"/>
    </row>
    <row r="776" spans="1:14" x14ac:dyDescent="0.2">
      <c r="A776" s="84"/>
      <c r="B776" s="84"/>
      <c r="C776" s="60"/>
      <c r="D776" s="66"/>
      <c r="E776" s="66"/>
      <c r="F776" s="66"/>
      <c r="G776" s="66"/>
      <c r="H776" s="66"/>
      <c r="I776" s="66"/>
      <c r="J776" s="66"/>
      <c r="K776" s="66"/>
      <c r="L776" s="66"/>
      <c r="M776" s="66"/>
      <c r="N776" s="66"/>
    </row>
    <row r="777" spans="1:14" x14ac:dyDescent="0.2">
      <c r="A777" s="84"/>
      <c r="B777" s="84"/>
      <c r="C777" s="60"/>
      <c r="D777" s="66"/>
      <c r="E777" s="66"/>
      <c r="F777" s="66"/>
      <c r="G777" s="66"/>
      <c r="H777" s="66"/>
      <c r="I777" s="66"/>
      <c r="J777" s="66"/>
      <c r="K777" s="66"/>
      <c r="L777" s="66"/>
      <c r="M777" s="66"/>
      <c r="N777" s="66"/>
    </row>
    <row r="778" spans="1:14" x14ac:dyDescent="0.2">
      <c r="A778" s="84"/>
      <c r="B778" s="84"/>
      <c r="C778" s="60"/>
      <c r="D778" s="66"/>
      <c r="E778" s="66"/>
      <c r="F778" s="66"/>
      <c r="G778" s="66"/>
      <c r="H778" s="66"/>
      <c r="I778" s="66"/>
      <c r="J778" s="66"/>
      <c r="K778" s="66"/>
      <c r="L778" s="66"/>
      <c r="M778" s="66"/>
      <c r="N778" s="66"/>
    </row>
    <row r="779" spans="1:14" x14ac:dyDescent="0.2">
      <c r="A779" s="84"/>
      <c r="B779" s="84"/>
      <c r="C779" s="60"/>
      <c r="D779" s="66"/>
      <c r="E779" s="66"/>
      <c r="F779" s="66"/>
      <c r="G779" s="66"/>
      <c r="H779" s="66"/>
      <c r="I779" s="66"/>
      <c r="J779" s="66"/>
      <c r="K779" s="66"/>
      <c r="L779" s="66"/>
      <c r="M779" s="66"/>
      <c r="N779" s="66"/>
    </row>
    <row r="780" spans="1:14" x14ac:dyDescent="0.2">
      <c r="A780" s="84"/>
      <c r="B780" s="84"/>
      <c r="C780" s="60"/>
      <c r="D780" s="66"/>
      <c r="E780" s="66"/>
      <c r="F780" s="66"/>
      <c r="G780" s="66"/>
      <c r="H780" s="66"/>
      <c r="I780" s="66"/>
      <c r="J780" s="66"/>
      <c r="K780" s="66"/>
      <c r="L780" s="66"/>
      <c r="M780" s="66"/>
      <c r="N780" s="66"/>
    </row>
    <row r="781" spans="1:14" x14ac:dyDescent="0.2">
      <c r="A781" s="84"/>
      <c r="B781" s="84"/>
      <c r="C781" s="60"/>
      <c r="D781" s="66"/>
      <c r="E781" s="66"/>
      <c r="F781" s="66"/>
      <c r="G781" s="66"/>
      <c r="H781" s="66"/>
      <c r="I781" s="66"/>
      <c r="J781" s="66"/>
      <c r="K781" s="66"/>
      <c r="L781" s="66"/>
      <c r="M781" s="66"/>
      <c r="N781" s="66"/>
    </row>
    <row r="782" spans="1:14" x14ac:dyDescent="0.2">
      <c r="A782" s="84"/>
      <c r="B782" s="84"/>
      <c r="C782" s="60"/>
      <c r="D782" s="66"/>
      <c r="E782" s="66"/>
      <c r="F782" s="66"/>
      <c r="G782" s="66"/>
      <c r="H782" s="66"/>
      <c r="I782" s="66"/>
      <c r="J782" s="66"/>
      <c r="K782" s="66"/>
      <c r="L782" s="66"/>
      <c r="M782" s="66"/>
      <c r="N782" s="66"/>
    </row>
    <row r="783" spans="1:14" x14ac:dyDescent="0.2">
      <c r="A783" s="84"/>
      <c r="B783" s="84"/>
      <c r="C783" s="60"/>
      <c r="D783" s="66"/>
      <c r="E783" s="66"/>
      <c r="F783" s="66"/>
      <c r="G783" s="66"/>
      <c r="H783" s="66"/>
      <c r="I783" s="66"/>
      <c r="J783" s="66"/>
      <c r="K783" s="66"/>
      <c r="L783" s="66"/>
      <c r="M783" s="66"/>
      <c r="N783" s="66"/>
    </row>
    <row r="784" spans="1:14" x14ac:dyDescent="0.2">
      <c r="A784" s="84"/>
      <c r="B784" s="84"/>
      <c r="C784" s="60"/>
      <c r="D784" s="66"/>
      <c r="E784" s="66"/>
      <c r="F784" s="66"/>
      <c r="G784" s="66"/>
      <c r="H784" s="66"/>
      <c r="I784" s="66"/>
      <c r="J784" s="66"/>
      <c r="K784" s="66"/>
      <c r="L784" s="66"/>
      <c r="M784" s="66"/>
      <c r="N784" s="66"/>
    </row>
    <row r="785" spans="1:14" x14ac:dyDescent="0.2">
      <c r="A785" s="84"/>
      <c r="B785" s="84"/>
      <c r="C785" s="60"/>
      <c r="D785" s="66"/>
      <c r="E785" s="66"/>
      <c r="F785" s="66"/>
      <c r="G785" s="66"/>
      <c r="H785" s="66"/>
      <c r="I785" s="66"/>
      <c r="J785" s="66"/>
      <c r="K785" s="66"/>
      <c r="L785" s="66"/>
      <c r="M785" s="66"/>
      <c r="N785" s="66"/>
    </row>
    <row r="786" spans="1:14" x14ac:dyDescent="0.2">
      <c r="A786" s="84"/>
      <c r="B786" s="84"/>
      <c r="C786" s="60"/>
      <c r="D786" s="66"/>
      <c r="E786" s="66"/>
      <c r="F786" s="66"/>
      <c r="G786" s="66"/>
      <c r="H786" s="66"/>
      <c r="I786" s="66"/>
      <c r="J786" s="66"/>
      <c r="K786" s="66"/>
      <c r="L786" s="66"/>
      <c r="M786" s="66"/>
      <c r="N786" s="66"/>
    </row>
    <row r="787" spans="1:14" x14ac:dyDescent="0.2">
      <c r="A787" s="84"/>
      <c r="B787" s="84"/>
      <c r="C787" s="60"/>
      <c r="D787" s="66"/>
      <c r="E787" s="66"/>
      <c r="F787" s="66"/>
      <c r="G787" s="66"/>
      <c r="H787" s="66"/>
      <c r="I787" s="66"/>
      <c r="J787" s="66"/>
      <c r="K787" s="66"/>
      <c r="L787" s="66"/>
      <c r="M787" s="66"/>
      <c r="N787" s="66"/>
    </row>
    <row r="788" spans="1:14" x14ac:dyDescent="0.2">
      <c r="A788" s="84"/>
      <c r="B788" s="84"/>
      <c r="C788" s="60"/>
      <c r="D788" s="66"/>
      <c r="E788" s="66"/>
      <c r="F788" s="66"/>
      <c r="G788" s="66"/>
      <c r="H788" s="66"/>
      <c r="I788" s="66"/>
      <c r="J788" s="66"/>
      <c r="K788" s="66"/>
      <c r="L788" s="66"/>
      <c r="M788" s="66"/>
      <c r="N788" s="66"/>
    </row>
    <row r="789" spans="1:14" x14ac:dyDescent="0.2">
      <c r="A789" s="84"/>
      <c r="B789" s="84"/>
      <c r="C789" s="60"/>
      <c r="D789" s="66"/>
      <c r="E789" s="66"/>
      <c r="F789" s="66"/>
      <c r="G789" s="66"/>
      <c r="H789" s="66"/>
      <c r="I789" s="66"/>
      <c r="J789" s="66"/>
      <c r="K789" s="66"/>
      <c r="L789" s="66"/>
      <c r="M789" s="66"/>
      <c r="N789" s="66"/>
    </row>
    <row r="790" spans="1:14" x14ac:dyDescent="0.2">
      <c r="A790" s="84"/>
      <c r="B790" s="84"/>
      <c r="C790" s="60"/>
      <c r="D790" s="66"/>
      <c r="E790" s="66"/>
      <c r="F790" s="66"/>
      <c r="G790" s="66"/>
      <c r="H790" s="66"/>
      <c r="I790" s="66"/>
      <c r="J790" s="66"/>
      <c r="K790" s="66"/>
      <c r="L790" s="66"/>
      <c r="M790" s="66"/>
      <c r="N790" s="66"/>
    </row>
    <row r="791" spans="1:14" x14ac:dyDescent="0.2">
      <c r="A791" s="84"/>
      <c r="B791" s="84"/>
      <c r="C791" s="60"/>
      <c r="D791" s="66"/>
      <c r="E791" s="66"/>
      <c r="F791" s="66"/>
      <c r="G791" s="66"/>
      <c r="H791" s="66"/>
      <c r="I791" s="66"/>
      <c r="J791" s="66"/>
      <c r="K791" s="66"/>
      <c r="L791" s="66"/>
      <c r="M791" s="66"/>
      <c r="N791" s="66"/>
    </row>
    <row r="792" spans="1:14" x14ac:dyDescent="0.2">
      <c r="A792" s="84"/>
      <c r="B792" s="84"/>
      <c r="C792" s="60"/>
      <c r="D792" s="66"/>
      <c r="E792" s="66"/>
      <c r="F792" s="66"/>
      <c r="G792" s="66"/>
      <c r="H792" s="66"/>
      <c r="I792" s="66"/>
      <c r="J792" s="66"/>
      <c r="K792" s="66"/>
      <c r="L792" s="66"/>
      <c r="M792" s="66"/>
      <c r="N792" s="66"/>
    </row>
    <row r="793" spans="1:14" x14ac:dyDescent="0.2">
      <c r="A793" s="84"/>
      <c r="B793" s="84"/>
      <c r="C793" s="60"/>
      <c r="D793" s="66"/>
      <c r="E793" s="66"/>
      <c r="F793" s="66"/>
      <c r="G793" s="66"/>
      <c r="H793" s="66"/>
      <c r="I793" s="66"/>
      <c r="J793" s="66"/>
      <c r="K793" s="66"/>
      <c r="L793" s="66"/>
      <c r="M793" s="66"/>
      <c r="N793" s="66"/>
    </row>
    <row r="794" spans="1:14" x14ac:dyDescent="0.2">
      <c r="A794" s="84"/>
      <c r="B794" s="84"/>
      <c r="C794" s="60"/>
      <c r="D794" s="66"/>
      <c r="E794" s="66"/>
      <c r="F794" s="66"/>
      <c r="G794" s="66"/>
      <c r="H794" s="66"/>
      <c r="I794" s="66"/>
      <c r="J794" s="66"/>
      <c r="K794" s="66"/>
      <c r="L794" s="66"/>
      <c r="M794" s="66"/>
      <c r="N794" s="66"/>
    </row>
    <row r="795" spans="1:14" x14ac:dyDescent="0.2">
      <c r="A795" s="84"/>
      <c r="B795" s="84"/>
      <c r="C795" s="60"/>
      <c r="D795" s="66"/>
      <c r="E795" s="66"/>
      <c r="F795" s="66"/>
      <c r="G795" s="66"/>
      <c r="H795" s="66"/>
      <c r="I795" s="66"/>
      <c r="J795" s="66"/>
      <c r="K795" s="66"/>
      <c r="L795" s="66"/>
      <c r="M795" s="66"/>
      <c r="N795" s="66"/>
    </row>
    <row r="796" spans="1:14" x14ac:dyDescent="0.2">
      <c r="A796" s="84"/>
      <c r="B796" s="84"/>
      <c r="C796" s="60"/>
      <c r="D796" s="66"/>
      <c r="E796" s="66"/>
      <c r="F796" s="66"/>
      <c r="G796" s="66"/>
      <c r="H796" s="66"/>
      <c r="I796" s="66"/>
      <c r="J796" s="66"/>
      <c r="K796" s="66"/>
      <c r="L796" s="66"/>
      <c r="M796" s="66"/>
      <c r="N796" s="66"/>
    </row>
    <row r="797" spans="1:14" x14ac:dyDescent="0.2">
      <c r="A797" s="84"/>
      <c r="B797" s="84"/>
      <c r="C797" s="60"/>
      <c r="D797" s="66"/>
      <c r="E797" s="66"/>
      <c r="F797" s="66"/>
      <c r="G797" s="66"/>
      <c r="H797" s="66"/>
      <c r="I797" s="66"/>
      <c r="J797" s="66"/>
      <c r="K797" s="66"/>
      <c r="L797" s="66"/>
      <c r="M797" s="66"/>
      <c r="N797" s="66"/>
    </row>
    <row r="798" spans="1:14" x14ac:dyDescent="0.2">
      <c r="A798" s="84"/>
      <c r="B798" s="84"/>
      <c r="C798" s="60"/>
      <c r="D798" s="66"/>
      <c r="E798" s="66"/>
      <c r="F798" s="66"/>
      <c r="G798" s="66"/>
      <c r="H798" s="66"/>
      <c r="I798" s="66"/>
      <c r="J798" s="66"/>
      <c r="K798" s="66"/>
      <c r="L798" s="66"/>
      <c r="M798" s="66"/>
      <c r="N798" s="66"/>
    </row>
    <row r="799" spans="1:14" x14ac:dyDescent="0.2">
      <c r="A799" s="84"/>
      <c r="B799" s="84"/>
      <c r="C799" s="60"/>
      <c r="D799" s="66"/>
      <c r="E799" s="66"/>
      <c r="F799" s="66"/>
      <c r="G799" s="66"/>
      <c r="H799" s="66"/>
      <c r="I799" s="66"/>
      <c r="J799" s="66"/>
      <c r="K799" s="66"/>
      <c r="L799" s="66"/>
      <c r="M799" s="66"/>
      <c r="N799" s="66"/>
    </row>
    <row r="800" spans="1:14" x14ac:dyDescent="0.2">
      <c r="A800" s="84"/>
      <c r="B800" s="84"/>
      <c r="C800" s="60"/>
      <c r="D800" s="66"/>
      <c r="E800" s="66"/>
      <c r="F800" s="66"/>
      <c r="G800" s="66"/>
      <c r="H800" s="66"/>
      <c r="I800" s="66"/>
      <c r="J800" s="66"/>
      <c r="K800" s="66"/>
      <c r="L800" s="66"/>
      <c r="M800" s="66"/>
      <c r="N800" s="66"/>
    </row>
    <row r="801" spans="1:14" x14ac:dyDescent="0.2">
      <c r="A801" s="84"/>
      <c r="B801" s="84"/>
      <c r="C801" s="60"/>
      <c r="D801" s="66"/>
      <c r="E801" s="66"/>
      <c r="F801" s="66"/>
      <c r="G801" s="66"/>
      <c r="H801" s="66"/>
      <c r="I801" s="66"/>
      <c r="J801" s="66"/>
      <c r="K801" s="66"/>
      <c r="L801" s="66"/>
      <c r="M801" s="66"/>
      <c r="N801" s="66"/>
    </row>
    <row r="802" spans="1:14" x14ac:dyDescent="0.2">
      <c r="A802" s="84"/>
      <c r="B802" s="84"/>
      <c r="C802" s="60"/>
      <c r="D802" s="66"/>
      <c r="E802" s="66"/>
      <c r="F802" s="66"/>
      <c r="G802" s="66"/>
      <c r="H802" s="66"/>
      <c r="I802" s="66"/>
      <c r="J802" s="66"/>
      <c r="K802" s="66"/>
      <c r="L802" s="66"/>
      <c r="M802" s="66"/>
      <c r="N802" s="66"/>
    </row>
    <row r="803" spans="1:14" x14ac:dyDescent="0.2">
      <c r="A803" s="84"/>
      <c r="B803" s="84"/>
      <c r="C803" s="60"/>
      <c r="D803" s="66"/>
      <c r="E803" s="66"/>
      <c r="F803" s="66"/>
      <c r="G803" s="66"/>
      <c r="H803" s="66"/>
      <c r="I803" s="66"/>
      <c r="J803" s="66"/>
      <c r="K803" s="66"/>
      <c r="L803" s="66"/>
      <c r="M803" s="66"/>
      <c r="N803" s="66"/>
    </row>
    <row r="804" spans="1:14" x14ac:dyDescent="0.2">
      <c r="A804" s="84"/>
      <c r="B804" s="84"/>
      <c r="C804" s="60"/>
      <c r="D804" s="66"/>
      <c r="E804" s="66"/>
      <c r="F804" s="66"/>
      <c r="G804" s="66"/>
      <c r="H804" s="66"/>
      <c r="I804" s="66"/>
      <c r="J804" s="66"/>
      <c r="K804" s="66"/>
      <c r="L804" s="66"/>
      <c r="M804" s="66"/>
      <c r="N804" s="66"/>
    </row>
    <row r="805" spans="1:14" x14ac:dyDescent="0.2">
      <c r="A805" s="84"/>
      <c r="B805" s="84"/>
      <c r="C805" s="60"/>
      <c r="D805" s="66"/>
      <c r="E805" s="66"/>
      <c r="F805" s="66"/>
      <c r="G805" s="66"/>
      <c r="H805" s="66"/>
      <c r="I805" s="66"/>
      <c r="J805" s="66"/>
      <c r="K805" s="66"/>
      <c r="L805" s="66"/>
      <c r="M805" s="66"/>
      <c r="N805" s="66"/>
    </row>
    <row r="806" spans="1:14" x14ac:dyDescent="0.2">
      <c r="A806" s="84"/>
      <c r="B806" s="84"/>
      <c r="C806" s="60"/>
      <c r="D806" s="66"/>
      <c r="E806" s="66"/>
      <c r="F806" s="66"/>
      <c r="G806" s="66"/>
      <c r="H806" s="66"/>
      <c r="I806" s="66"/>
      <c r="J806" s="66"/>
      <c r="K806" s="66"/>
      <c r="L806" s="66"/>
      <c r="M806" s="66"/>
      <c r="N806" s="66"/>
    </row>
    <row r="807" spans="1:14" x14ac:dyDescent="0.2">
      <c r="A807" s="84"/>
      <c r="B807" s="84"/>
      <c r="C807" s="60"/>
      <c r="D807" s="66"/>
      <c r="E807" s="66"/>
      <c r="F807" s="66"/>
      <c r="G807" s="66"/>
      <c r="H807" s="66"/>
      <c r="I807" s="66"/>
      <c r="J807" s="66"/>
      <c r="K807" s="66"/>
      <c r="L807" s="66"/>
      <c r="M807" s="66"/>
      <c r="N807" s="66"/>
    </row>
    <row r="808" spans="1:14" x14ac:dyDescent="0.2">
      <c r="A808" s="84"/>
      <c r="B808" s="84"/>
      <c r="C808" s="60"/>
      <c r="D808" s="66"/>
      <c r="E808" s="66"/>
      <c r="F808" s="66"/>
      <c r="G808" s="66"/>
      <c r="H808" s="66"/>
      <c r="I808" s="66"/>
      <c r="J808" s="66"/>
      <c r="K808" s="66"/>
      <c r="L808" s="66"/>
      <c r="M808" s="66"/>
      <c r="N808" s="66"/>
    </row>
    <row r="809" spans="1:14" x14ac:dyDescent="0.2">
      <c r="A809" s="84"/>
      <c r="B809" s="84"/>
      <c r="C809" s="60"/>
      <c r="D809" s="66"/>
      <c r="E809" s="66"/>
      <c r="F809" s="66"/>
      <c r="G809" s="66"/>
      <c r="H809" s="66"/>
      <c r="I809" s="66"/>
      <c r="J809" s="66"/>
      <c r="K809" s="66"/>
      <c r="L809" s="66"/>
      <c r="M809" s="66"/>
      <c r="N809" s="66"/>
    </row>
    <row r="810" spans="1:14" x14ac:dyDescent="0.2">
      <c r="A810" s="84"/>
      <c r="B810" s="84"/>
      <c r="C810" s="60"/>
      <c r="D810" s="66"/>
      <c r="E810" s="66"/>
      <c r="F810" s="66"/>
      <c r="G810" s="66"/>
      <c r="H810" s="66"/>
      <c r="I810" s="66"/>
      <c r="J810" s="66"/>
      <c r="K810" s="66"/>
      <c r="L810" s="66"/>
      <c r="M810" s="66"/>
      <c r="N810" s="66"/>
    </row>
    <row r="811" spans="1:14" x14ac:dyDescent="0.2">
      <c r="A811" s="84"/>
      <c r="B811" s="84"/>
      <c r="C811" s="60"/>
      <c r="D811" s="66"/>
      <c r="E811" s="66"/>
      <c r="F811" s="66"/>
      <c r="G811" s="66"/>
      <c r="H811" s="66"/>
      <c r="I811" s="66"/>
      <c r="J811" s="66"/>
      <c r="K811" s="66"/>
      <c r="L811" s="66"/>
      <c r="M811" s="66"/>
      <c r="N811" s="66"/>
    </row>
    <row r="812" spans="1:14" x14ac:dyDescent="0.2">
      <c r="A812" s="84"/>
      <c r="B812" s="84"/>
      <c r="C812" s="60"/>
      <c r="D812" s="66"/>
      <c r="E812" s="66"/>
      <c r="F812" s="66"/>
      <c r="G812" s="66"/>
      <c r="H812" s="66"/>
      <c r="I812" s="66"/>
      <c r="J812" s="66"/>
      <c r="K812" s="66"/>
      <c r="L812" s="66"/>
      <c r="M812" s="66"/>
      <c r="N812" s="66"/>
    </row>
    <row r="813" spans="1:14" x14ac:dyDescent="0.2">
      <c r="A813" s="84"/>
      <c r="B813" s="84"/>
      <c r="C813" s="60"/>
      <c r="D813" s="66"/>
      <c r="E813" s="66"/>
      <c r="F813" s="66"/>
      <c r="G813" s="66"/>
      <c r="H813" s="66"/>
      <c r="I813" s="66"/>
      <c r="J813" s="66"/>
      <c r="K813" s="66"/>
      <c r="L813" s="66"/>
      <c r="M813" s="66"/>
      <c r="N813" s="66"/>
    </row>
    <row r="814" spans="1:14" x14ac:dyDescent="0.2">
      <c r="A814" s="84"/>
      <c r="B814" s="84"/>
      <c r="C814" s="60"/>
      <c r="D814" s="66"/>
      <c r="E814" s="66"/>
      <c r="F814" s="66"/>
      <c r="G814" s="66"/>
      <c r="H814" s="66"/>
      <c r="I814" s="66"/>
      <c r="J814" s="66"/>
      <c r="K814" s="66"/>
      <c r="L814" s="66"/>
      <c r="M814" s="66"/>
      <c r="N814" s="66"/>
    </row>
    <row r="815" spans="1:14" x14ac:dyDescent="0.2">
      <c r="A815" s="84"/>
      <c r="B815" s="84"/>
      <c r="C815" s="60"/>
      <c r="D815" s="66"/>
      <c r="E815" s="66"/>
      <c r="F815" s="66"/>
      <c r="G815" s="66"/>
      <c r="H815" s="66"/>
      <c r="I815" s="66"/>
      <c r="J815" s="66"/>
      <c r="K815" s="66"/>
      <c r="L815" s="66"/>
      <c r="M815" s="66"/>
      <c r="N815" s="66"/>
    </row>
    <row r="816" spans="1:14" x14ac:dyDescent="0.2">
      <c r="A816" s="84"/>
      <c r="B816" s="84"/>
      <c r="C816" s="60"/>
      <c r="D816" s="66"/>
      <c r="E816" s="66"/>
      <c r="F816" s="66"/>
      <c r="G816" s="66"/>
      <c r="H816" s="66"/>
      <c r="I816" s="66"/>
      <c r="J816" s="66"/>
      <c r="K816" s="66"/>
      <c r="L816" s="66"/>
      <c r="M816" s="66"/>
      <c r="N816" s="66"/>
    </row>
    <row r="817" spans="1:14" x14ac:dyDescent="0.2">
      <c r="A817" s="84"/>
      <c r="B817" s="84"/>
      <c r="C817" s="60"/>
      <c r="D817" s="66"/>
      <c r="E817" s="66"/>
      <c r="F817" s="66"/>
      <c r="G817" s="66"/>
      <c r="H817" s="66"/>
      <c r="I817" s="66"/>
      <c r="J817" s="66"/>
      <c r="K817" s="66"/>
      <c r="L817" s="66"/>
      <c r="M817" s="66"/>
      <c r="N817" s="66"/>
    </row>
    <row r="818" spans="1:14" x14ac:dyDescent="0.2">
      <c r="A818" s="84"/>
      <c r="B818" s="84"/>
      <c r="C818" s="60"/>
      <c r="D818" s="66"/>
      <c r="E818" s="66"/>
      <c r="F818" s="66"/>
      <c r="G818" s="66"/>
      <c r="H818" s="66"/>
      <c r="I818" s="66"/>
      <c r="J818" s="66"/>
      <c r="K818" s="66"/>
      <c r="L818" s="66"/>
      <c r="M818" s="66"/>
      <c r="N818" s="66"/>
    </row>
    <row r="819" spans="1:14" x14ac:dyDescent="0.2">
      <c r="A819" s="84"/>
      <c r="B819" s="84"/>
      <c r="C819" s="60"/>
      <c r="D819" s="66"/>
      <c r="E819" s="66"/>
      <c r="F819" s="66"/>
      <c r="G819" s="66"/>
      <c r="H819" s="66"/>
      <c r="I819" s="66"/>
      <c r="J819" s="66"/>
      <c r="K819" s="66"/>
      <c r="L819" s="66"/>
      <c r="M819" s="66"/>
      <c r="N819" s="66"/>
    </row>
    <row r="820" spans="1:14" x14ac:dyDescent="0.2">
      <c r="A820" s="84"/>
      <c r="B820" s="84"/>
      <c r="C820" s="60"/>
      <c r="D820" s="66"/>
      <c r="E820" s="66"/>
      <c r="F820" s="66"/>
      <c r="G820" s="66"/>
      <c r="H820" s="66"/>
      <c r="I820" s="66"/>
      <c r="J820" s="66"/>
      <c r="K820" s="66"/>
      <c r="L820" s="66"/>
      <c r="M820" s="66"/>
      <c r="N820" s="66"/>
    </row>
    <row r="821" spans="1:14" x14ac:dyDescent="0.2">
      <c r="A821" s="84"/>
      <c r="B821" s="84"/>
      <c r="C821" s="60"/>
      <c r="D821" s="66"/>
      <c r="E821" s="66"/>
      <c r="F821" s="66"/>
      <c r="G821" s="66"/>
      <c r="H821" s="66"/>
      <c r="I821" s="66"/>
      <c r="J821" s="66"/>
      <c r="K821" s="66"/>
      <c r="L821" s="66"/>
      <c r="M821" s="66"/>
      <c r="N821" s="66"/>
    </row>
    <row r="822" spans="1:14" x14ac:dyDescent="0.2">
      <c r="A822" s="84"/>
      <c r="B822" s="84"/>
      <c r="C822" s="60"/>
      <c r="D822" s="66"/>
      <c r="E822" s="66"/>
      <c r="F822" s="66"/>
      <c r="G822" s="66"/>
      <c r="H822" s="66"/>
      <c r="I822" s="66"/>
      <c r="J822" s="66"/>
      <c r="K822" s="66"/>
      <c r="L822" s="66"/>
      <c r="M822" s="66"/>
      <c r="N822" s="66"/>
    </row>
    <row r="823" spans="1:14" x14ac:dyDescent="0.2">
      <c r="A823" s="84"/>
      <c r="B823" s="84"/>
      <c r="C823" s="60"/>
      <c r="D823" s="66"/>
      <c r="E823" s="66"/>
      <c r="F823" s="66"/>
      <c r="G823" s="66"/>
      <c r="H823" s="66"/>
      <c r="I823" s="66"/>
      <c r="J823" s="66"/>
      <c r="K823" s="66"/>
      <c r="L823" s="66"/>
      <c r="M823" s="66"/>
      <c r="N823" s="66"/>
    </row>
    <row r="824" spans="1:14" x14ac:dyDescent="0.2">
      <c r="A824" s="84"/>
      <c r="B824" s="84"/>
      <c r="C824" s="60"/>
      <c r="D824" s="66"/>
      <c r="E824" s="66"/>
      <c r="F824" s="66"/>
      <c r="G824" s="66"/>
      <c r="H824" s="66"/>
      <c r="I824" s="66"/>
      <c r="J824" s="66"/>
      <c r="K824" s="66"/>
      <c r="L824" s="66"/>
      <c r="M824" s="66"/>
      <c r="N824" s="66"/>
    </row>
    <row r="825" spans="1:14" x14ac:dyDescent="0.2">
      <c r="A825" s="84"/>
      <c r="B825" s="84"/>
      <c r="C825" s="60"/>
      <c r="D825" s="66"/>
      <c r="E825" s="66"/>
      <c r="F825" s="66"/>
      <c r="G825" s="66"/>
      <c r="H825" s="66"/>
      <c r="I825" s="66"/>
      <c r="J825" s="66"/>
      <c r="K825" s="66"/>
      <c r="L825" s="66"/>
      <c r="M825" s="66"/>
      <c r="N825" s="66"/>
    </row>
    <row r="826" spans="1:14" x14ac:dyDescent="0.2">
      <c r="A826" s="84"/>
      <c r="B826" s="84"/>
      <c r="C826" s="60"/>
      <c r="D826" s="66"/>
      <c r="E826" s="66"/>
      <c r="F826" s="66"/>
      <c r="G826" s="66"/>
      <c r="H826" s="66"/>
      <c r="I826" s="66"/>
      <c r="J826" s="66"/>
      <c r="K826" s="66"/>
      <c r="L826" s="66"/>
      <c r="M826" s="66"/>
      <c r="N826" s="66"/>
    </row>
    <row r="827" spans="1:14" x14ac:dyDescent="0.2">
      <c r="A827" s="84"/>
      <c r="B827" s="84"/>
      <c r="C827" s="60"/>
      <c r="D827" s="66"/>
      <c r="E827" s="66"/>
      <c r="F827" s="66"/>
      <c r="G827" s="66"/>
      <c r="H827" s="66"/>
      <c r="I827" s="66"/>
      <c r="J827" s="66"/>
      <c r="K827" s="66"/>
      <c r="L827" s="66"/>
      <c r="M827" s="66"/>
      <c r="N827" s="66"/>
    </row>
    <row r="828" spans="1:14" x14ac:dyDescent="0.2">
      <c r="A828" s="84"/>
      <c r="B828" s="84"/>
      <c r="C828" s="60"/>
      <c r="D828" s="66"/>
      <c r="E828" s="66"/>
      <c r="F828" s="66"/>
      <c r="G828" s="66"/>
      <c r="H828" s="66"/>
      <c r="I828" s="66"/>
      <c r="J828" s="66"/>
      <c r="K828" s="66"/>
      <c r="L828" s="66"/>
      <c r="M828" s="66"/>
      <c r="N828" s="66"/>
    </row>
    <row r="829" spans="1:14" x14ac:dyDescent="0.2">
      <c r="A829" s="84"/>
      <c r="B829" s="84"/>
      <c r="C829" s="60"/>
      <c r="D829" s="66"/>
      <c r="E829" s="66"/>
      <c r="F829" s="66"/>
      <c r="G829" s="66"/>
      <c r="H829" s="66"/>
      <c r="I829" s="66"/>
      <c r="J829" s="66"/>
      <c r="K829" s="66"/>
      <c r="L829" s="66"/>
      <c r="M829" s="66"/>
      <c r="N829" s="66"/>
    </row>
    <row r="830" spans="1:14" x14ac:dyDescent="0.2">
      <c r="A830" s="84"/>
      <c r="B830" s="84"/>
      <c r="C830" s="60"/>
      <c r="D830" s="66"/>
      <c r="E830" s="66"/>
      <c r="F830" s="66"/>
      <c r="G830" s="66"/>
      <c r="H830" s="66"/>
      <c r="I830" s="66"/>
      <c r="J830" s="66"/>
      <c r="K830" s="66"/>
      <c r="L830" s="66"/>
      <c r="M830" s="66"/>
      <c r="N830" s="66"/>
    </row>
    <row r="831" spans="1:14" x14ac:dyDescent="0.2">
      <c r="A831" s="84"/>
      <c r="B831" s="84"/>
      <c r="C831" s="60"/>
      <c r="D831" s="66"/>
      <c r="E831" s="66"/>
      <c r="F831" s="66"/>
      <c r="G831" s="66"/>
      <c r="H831" s="66"/>
      <c r="I831" s="66"/>
      <c r="J831" s="66"/>
      <c r="K831" s="66"/>
      <c r="L831" s="66"/>
      <c r="M831" s="66"/>
      <c r="N831" s="66"/>
    </row>
    <row r="832" spans="1:14" x14ac:dyDescent="0.2">
      <c r="A832" s="84"/>
      <c r="B832" s="84"/>
      <c r="C832" s="60"/>
      <c r="D832" s="66"/>
      <c r="E832" s="66"/>
      <c r="F832" s="66"/>
      <c r="G832" s="66"/>
      <c r="H832" s="66"/>
      <c r="I832" s="66"/>
      <c r="J832" s="66"/>
      <c r="K832" s="66"/>
      <c r="L832" s="66"/>
      <c r="M832" s="66"/>
      <c r="N832" s="66"/>
    </row>
    <row r="833" spans="1:14" x14ac:dyDescent="0.2">
      <c r="A833" s="84"/>
      <c r="B833" s="84"/>
      <c r="C833" s="60"/>
      <c r="D833" s="66"/>
      <c r="E833" s="66"/>
      <c r="F833" s="66"/>
      <c r="G833" s="66"/>
      <c r="H833" s="66"/>
      <c r="I833" s="66"/>
      <c r="J833" s="66"/>
      <c r="K833" s="66"/>
      <c r="L833" s="66"/>
      <c r="M833" s="66"/>
      <c r="N833" s="66"/>
    </row>
    <row r="834" spans="1:14" x14ac:dyDescent="0.2">
      <c r="A834" s="84"/>
      <c r="B834" s="84"/>
      <c r="C834" s="60"/>
      <c r="D834" s="66"/>
      <c r="E834" s="66"/>
      <c r="F834" s="66"/>
      <c r="G834" s="66"/>
      <c r="H834" s="66"/>
      <c r="I834" s="66"/>
      <c r="J834" s="66"/>
      <c r="K834" s="66"/>
      <c r="L834" s="66"/>
      <c r="M834" s="66"/>
      <c r="N834" s="66"/>
    </row>
    <row r="835" spans="1:14" x14ac:dyDescent="0.2">
      <c r="A835" s="84"/>
      <c r="B835" s="84"/>
      <c r="C835" s="60"/>
      <c r="D835" s="66"/>
      <c r="E835" s="66"/>
      <c r="F835" s="66"/>
      <c r="G835" s="66"/>
      <c r="H835" s="66"/>
      <c r="I835" s="66"/>
      <c r="J835" s="66"/>
      <c r="K835" s="66"/>
      <c r="L835" s="66"/>
      <c r="M835" s="66"/>
      <c r="N835" s="66"/>
    </row>
    <row r="836" spans="1:14" x14ac:dyDescent="0.2">
      <c r="A836" s="84"/>
      <c r="B836" s="84"/>
      <c r="C836" s="60"/>
      <c r="D836" s="66"/>
      <c r="E836" s="66"/>
      <c r="F836" s="66"/>
      <c r="G836" s="66"/>
      <c r="H836" s="66"/>
      <c r="I836" s="66"/>
      <c r="J836" s="66"/>
      <c r="K836" s="66"/>
      <c r="L836" s="66"/>
      <c r="M836" s="66"/>
      <c r="N836" s="66"/>
    </row>
    <row r="837" spans="1:14" x14ac:dyDescent="0.2">
      <c r="A837" s="84"/>
      <c r="B837" s="84"/>
      <c r="C837" s="60"/>
      <c r="D837" s="66"/>
      <c r="E837" s="66"/>
      <c r="F837" s="66"/>
      <c r="G837" s="66"/>
      <c r="H837" s="66"/>
      <c r="I837" s="66"/>
      <c r="J837" s="66"/>
      <c r="K837" s="66"/>
      <c r="L837" s="66"/>
      <c r="M837" s="66"/>
      <c r="N837" s="66"/>
    </row>
    <row r="838" spans="1:14" x14ac:dyDescent="0.2">
      <c r="A838" s="84"/>
      <c r="B838" s="84"/>
      <c r="C838" s="60"/>
      <c r="D838" s="66"/>
      <c r="E838" s="66"/>
      <c r="F838" s="66"/>
      <c r="G838" s="66"/>
      <c r="H838" s="66"/>
      <c r="I838" s="66"/>
      <c r="J838" s="66"/>
      <c r="K838" s="66"/>
      <c r="L838" s="66"/>
      <c r="M838" s="66"/>
      <c r="N838" s="66"/>
    </row>
    <row r="839" spans="1:14" x14ac:dyDescent="0.2">
      <c r="A839" s="84"/>
      <c r="B839" s="84"/>
      <c r="C839" s="60"/>
      <c r="D839" s="66"/>
      <c r="E839" s="66"/>
      <c r="F839" s="66"/>
      <c r="G839" s="66"/>
      <c r="H839" s="66"/>
      <c r="I839" s="66"/>
      <c r="J839" s="66"/>
      <c r="K839" s="66"/>
      <c r="L839" s="66"/>
      <c r="M839" s="66"/>
      <c r="N839" s="66"/>
    </row>
    <row r="840" spans="1:14" x14ac:dyDescent="0.2">
      <c r="A840" s="84"/>
      <c r="B840" s="84"/>
      <c r="C840" s="60"/>
      <c r="D840" s="66"/>
      <c r="E840" s="66"/>
      <c r="F840" s="66"/>
      <c r="G840" s="66"/>
      <c r="H840" s="66"/>
      <c r="I840" s="66"/>
      <c r="J840" s="66"/>
      <c r="K840" s="66"/>
      <c r="L840" s="66"/>
      <c r="M840" s="66"/>
      <c r="N840" s="66"/>
    </row>
    <row r="841" spans="1:14" x14ac:dyDescent="0.2">
      <c r="A841" s="84"/>
      <c r="B841" s="84"/>
      <c r="C841" s="60"/>
      <c r="D841" s="66"/>
      <c r="E841" s="66"/>
      <c r="F841" s="66"/>
      <c r="G841" s="66"/>
      <c r="H841" s="66"/>
      <c r="I841" s="66"/>
      <c r="J841" s="66"/>
      <c r="K841" s="66"/>
      <c r="L841" s="66"/>
      <c r="M841" s="66"/>
      <c r="N841" s="66"/>
    </row>
    <row r="842" spans="1:14" x14ac:dyDescent="0.2">
      <c r="A842" s="84"/>
      <c r="B842" s="84"/>
      <c r="C842" s="60"/>
      <c r="D842" s="66"/>
      <c r="E842" s="66"/>
      <c r="F842" s="66"/>
      <c r="G842" s="66"/>
      <c r="H842" s="66"/>
      <c r="I842" s="66"/>
      <c r="J842" s="66"/>
      <c r="K842" s="66"/>
      <c r="L842" s="66"/>
      <c r="M842" s="66"/>
      <c r="N842" s="66"/>
    </row>
    <row r="843" spans="1:14" x14ac:dyDescent="0.2">
      <c r="A843" s="84"/>
      <c r="B843" s="84"/>
      <c r="C843" s="60"/>
      <c r="D843" s="66"/>
      <c r="E843" s="66"/>
      <c r="F843" s="66"/>
      <c r="G843" s="66"/>
      <c r="H843" s="66"/>
      <c r="I843" s="66"/>
      <c r="J843" s="66"/>
      <c r="K843" s="66"/>
      <c r="L843" s="66"/>
      <c r="M843" s="66"/>
      <c r="N843" s="66"/>
    </row>
    <row r="844" spans="1:14" x14ac:dyDescent="0.2">
      <c r="A844" s="84"/>
      <c r="B844" s="84"/>
      <c r="C844" s="60"/>
      <c r="D844" s="66"/>
      <c r="E844" s="66"/>
      <c r="F844" s="66"/>
      <c r="G844" s="66"/>
      <c r="H844" s="66"/>
      <c r="I844" s="66"/>
      <c r="J844" s="66"/>
      <c r="K844" s="66"/>
      <c r="L844" s="66"/>
      <c r="M844" s="66"/>
      <c r="N844" s="66"/>
    </row>
    <row r="845" spans="1:14" x14ac:dyDescent="0.2">
      <c r="A845" s="84"/>
      <c r="B845" s="84"/>
      <c r="C845" s="60"/>
      <c r="D845" s="66"/>
      <c r="E845" s="66"/>
      <c r="F845" s="66"/>
      <c r="G845" s="66"/>
      <c r="H845" s="66"/>
      <c r="I845" s="66"/>
      <c r="J845" s="66"/>
      <c r="K845" s="66"/>
      <c r="L845" s="66"/>
      <c r="M845" s="66"/>
      <c r="N845" s="66"/>
    </row>
    <row r="846" spans="1:14" x14ac:dyDescent="0.2">
      <c r="A846" s="84"/>
      <c r="B846" s="84"/>
      <c r="C846" s="60"/>
      <c r="D846" s="66"/>
      <c r="E846" s="66"/>
      <c r="F846" s="66"/>
      <c r="G846" s="66"/>
      <c r="H846" s="66"/>
      <c r="I846" s="66"/>
      <c r="J846" s="66"/>
      <c r="K846" s="66"/>
      <c r="L846" s="66"/>
      <c r="M846" s="66"/>
      <c r="N846" s="66"/>
    </row>
    <row r="847" spans="1:14" x14ac:dyDescent="0.2">
      <c r="A847" s="84"/>
      <c r="B847" s="84"/>
      <c r="C847" s="60"/>
      <c r="D847" s="66"/>
      <c r="E847" s="66"/>
      <c r="F847" s="66"/>
      <c r="G847" s="66"/>
      <c r="H847" s="66"/>
      <c r="I847" s="66"/>
      <c r="J847" s="66"/>
      <c r="K847" s="66"/>
      <c r="L847" s="66"/>
      <c r="M847" s="66"/>
      <c r="N847" s="66"/>
    </row>
    <row r="848" spans="1:14" x14ac:dyDescent="0.2">
      <c r="A848" s="84"/>
      <c r="B848" s="84"/>
      <c r="C848" s="60"/>
      <c r="D848" s="66"/>
      <c r="E848" s="66"/>
      <c r="F848" s="66"/>
      <c r="G848" s="66"/>
      <c r="H848" s="66"/>
      <c r="I848" s="66"/>
      <c r="J848" s="66"/>
      <c r="K848" s="66"/>
      <c r="L848" s="66"/>
      <c r="M848" s="66"/>
      <c r="N848" s="66"/>
    </row>
    <row r="849" spans="1:14" x14ac:dyDescent="0.2">
      <c r="A849" s="84"/>
      <c r="B849" s="84"/>
      <c r="C849" s="60"/>
      <c r="D849" s="66"/>
      <c r="E849" s="66"/>
      <c r="F849" s="66"/>
      <c r="G849" s="66"/>
      <c r="H849" s="66"/>
      <c r="I849" s="66"/>
      <c r="J849" s="66"/>
      <c r="K849" s="66"/>
      <c r="L849" s="66"/>
      <c r="M849" s="66"/>
      <c r="N849" s="66"/>
    </row>
    <row r="850" spans="1:14" x14ac:dyDescent="0.2">
      <c r="A850" s="84"/>
      <c r="B850" s="84"/>
      <c r="C850" s="60"/>
      <c r="D850" s="66"/>
      <c r="E850" s="66"/>
      <c r="F850" s="66"/>
      <c r="G850" s="66"/>
      <c r="H850" s="66"/>
      <c r="I850" s="66"/>
      <c r="J850" s="66"/>
      <c r="K850" s="66"/>
      <c r="L850" s="66"/>
      <c r="M850" s="66"/>
      <c r="N850" s="66"/>
    </row>
    <row r="851" spans="1:14" x14ac:dyDescent="0.2">
      <c r="A851" s="84"/>
      <c r="B851" s="84"/>
      <c r="C851" s="60"/>
      <c r="D851" s="66"/>
      <c r="E851" s="66"/>
      <c r="F851" s="66"/>
      <c r="G851" s="66"/>
      <c r="H851" s="66"/>
      <c r="I851" s="66"/>
      <c r="J851" s="66"/>
      <c r="K851" s="66"/>
      <c r="L851" s="66"/>
      <c r="M851" s="66"/>
      <c r="N851" s="66"/>
    </row>
    <row r="852" spans="1:14" x14ac:dyDescent="0.2">
      <c r="A852" s="84"/>
      <c r="B852" s="84"/>
      <c r="C852" s="60"/>
      <c r="D852" s="66"/>
      <c r="E852" s="66"/>
      <c r="F852" s="66"/>
      <c r="G852" s="66"/>
      <c r="H852" s="66"/>
      <c r="I852" s="66"/>
      <c r="J852" s="66"/>
      <c r="K852" s="66"/>
      <c r="L852" s="66"/>
      <c r="M852" s="66"/>
      <c r="N852" s="66"/>
    </row>
    <row r="853" spans="1:14" x14ac:dyDescent="0.2">
      <c r="A853" s="84"/>
      <c r="B853" s="84"/>
      <c r="C853" s="60"/>
      <c r="D853" s="66"/>
      <c r="E853" s="66"/>
      <c r="F853" s="66"/>
      <c r="G853" s="66"/>
      <c r="H853" s="66"/>
      <c r="I853" s="66"/>
      <c r="J853" s="66"/>
      <c r="K853" s="66"/>
      <c r="L853" s="66"/>
      <c r="M853" s="66"/>
      <c r="N853" s="66"/>
    </row>
    <row r="854" spans="1:14" x14ac:dyDescent="0.2">
      <c r="A854" s="84"/>
      <c r="B854" s="84"/>
      <c r="C854" s="60"/>
      <c r="D854" s="66"/>
      <c r="E854" s="66"/>
      <c r="F854" s="66"/>
      <c r="G854" s="66"/>
      <c r="H854" s="66"/>
      <c r="I854" s="66"/>
      <c r="J854" s="66"/>
      <c r="K854" s="66"/>
      <c r="L854" s="66"/>
      <c r="M854" s="66"/>
      <c r="N854" s="66"/>
    </row>
    <row r="855" spans="1:14" x14ac:dyDescent="0.2">
      <c r="A855" s="84"/>
      <c r="B855" s="84"/>
      <c r="C855" s="60"/>
      <c r="D855" s="66"/>
      <c r="E855" s="66"/>
      <c r="F855" s="66"/>
      <c r="G855" s="66"/>
      <c r="H855" s="66"/>
      <c r="I855" s="66"/>
      <c r="J855" s="66"/>
      <c r="K855" s="66"/>
      <c r="L855" s="66"/>
      <c r="M855" s="66"/>
      <c r="N855" s="66"/>
    </row>
    <row r="856" spans="1:14" x14ac:dyDescent="0.2">
      <c r="A856" s="84"/>
      <c r="B856" s="84"/>
      <c r="C856" s="60"/>
      <c r="D856" s="66"/>
      <c r="E856" s="66"/>
      <c r="F856" s="66"/>
      <c r="G856" s="66"/>
      <c r="H856" s="66"/>
      <c r="I856" s="66"/>
      <c r="J856" s="66"/>
      <c r="K856" s="66"/>
      <c r="L856" s="66"/>
      <c r="M856" s="66"/>
      <c r="N856" s="66"/>
    </row>
    <row r="857" spans="1:14" x14ac:dyDescent="0.2">
      <c r="A857" s="84"/>
      <c r="B857" s="84"/>
      <c r="C857" s="60"/>
      <c r="D857" s="66"/>
      <c r="E857" s="66"/>
      <c r="F857" s="66"/>
      <c r="G857" s="66"/>
      <c r="H857" s="66"/>
      <c r="I857" s="66"/>
      <c r="J857" s="66"/>
      <c r="K857" s="66"/>
      <c r="L857" s="66"/>
      <c r="M857" s="66"/>
      <c r="N857" s="66"/>
    </row>
    <row r="858" spans="1:14" x14ac:dyDescent="0.2">
      <c r="A858" s="84"/>
      <c r="B858" s="84"/>
      <c r="C858" s="60"/>
      <c r="D858" s="66"/>
      <c r="E858" s="66"/>
      <c r="F858" s="66"/>
      <c r="G858" s="66"/>
      <c r="H858" s="66"/>
      <c r="I858" s="66"/>
      <c r="J858" s="66"/>
      <c r="K858" s="66"/>
      <c r="L858" s="66"/>
      <c r="M858" s="66"/>
      <c r="N858" s="66"/>
    </row>
    <row r="859" spans="1:14" x14ac:dyDescent="0.2">
      <c r="A859" s="84"/>
      <c r="B859" s="84"/>
      <c r="C859" s="60"/>
      <c r="D859" s="66"/>
      <c r="E859" s="66"/>
      <c r="F859" s="66"/>
      <c r="G859" s="66"/>
      <c r="H859" s="66"/>
      <c r="I859" s="66"/>
      <c r="J859" s="66"/>
      <c r="K859" s="66"/>
      <c r="L859" s="66"/>
      <c r="M859" s="66"/>
      <c r="N859" s="66"/>
    </row>
    <row r="860" spans="1:14" x14ac:dyDescent="0.2">
      <c r="A860" s="84"/>
      <c r="B860" s="84"/>
      <c r="C860" s="60"/>
      <c r="D860" s="66"/>
      <c r="E860" s="66"/>
      <c r="F860" s="66"/>
      <c r="G860" s="66"/>
      <c r="H860" s="66"/>
      <c r="I860" s="66"/>
      <c r="J860" s="66"/>
      <c r="K860" s="66"/>
      <c r="L860" s="66"/>
      <c r="M860" s="66"/>
      <c r="N860" s="66"/>
    </row>
    <row r="861" spans="1:14" x14ac:dyDescent="0.2">
      <c r="A861" s="84"/>
      <c r="B861" s="84"/>
      <c r="C861" s="60"/>
      <c r="D861" s="66"/>
      <c r="E861" s="66"/>
      <c r="F861" s="66"/>
      <c r="G861" s="66"/>
      <c r="H861" s="66"/>
      <c r="I861" s="66"/>
      <c r="J861" s="66"/>
      <c r="K861" s="66"/>
      <c r="L861" s="66"/>
      <c r="M861" s="66"/>
      <c r="N861" s="66"/>
    </row>
    <row r="862" spans="1:14" x14ac:dyDescent="0.2">
      <c r="A862" s="84"/>
      <c r="B862" s="84"/>
      <c r="C862" s="60"/>
      <c r="D862" s="66"/>
      <c r="E862" s="66"/>
      <c r="F862" s="66"/>
      <c r="G862" s="66"/>
      <c r="H862" s="66"/>
      <c r="I862" s="66"/>
      <c r="J862" s="66"/>
      <c r="K862" s="66"/>
      <c r="L862" s="66"/>
      <c r="M862" s="66"/>
      <c r="N862" s="66"/>
    </row>
    <row r="863" spans="1:14" x14ac:dyDescent="0.2">
      <c r="A863" s="84"/>
      <c r="B863" s="84"/>
      <c r="C863" s="60"/>
      <c r="D863" s="66"/>
      <c r="E863" s="66"/>
      <c r="F863" s="66"/>
      <c r="G863" s="66"/>
      <c r="H863" s="66"/>
      <c r="I863" s="66"/>
      <c r="J863" s="66"/>
      <c r="K863" s="66"/>
      <c r="L863" s="66"/>
      <c r="M863" s="66"/>
      <c r="N863" s="66"/>
    </row>
    <row r="864" spans="1:14" x14ac:dyDescent="0.2">
      <c r="A864" s="84"/>
      <c r="B864" s="84"/>
      <c r="C864" s="60"/>
      <c r="D864" s="66"/>
      <c r="E864" s="66"/>
      <c r="F864" s="66"/>
      <c r="G864" s="66"/>
      <c r="H864" s="66"/>
      <c r="I864" s="66"/>
      <c r="J864" s="66"/>
      <c r="K864" s="66"/>
      <c r="L864" s="66"/>
      <c r="M864" s="66"/>
      <c r="N864" s="66"/>
    </row>
    <row r="865" spans="1:14" x14ac:dyDescent="0.2">
      <c r="A865" s="84"/>
      <c r="B865" s="84"/>
      <c r="C865" s="60"/>
      <c r="D865" s="66"/>
      <c r="E865" s="66"/>
      <c r="F865" s="66"/>
      <c r="G865" s="66"/>
      <c r="H865" s="66"/>
      <c r="I865" s="66"/>
      <c r="J865" s="66"/>
      <c r="K865" s="66"/>
      <c r="L865" s="66"/>
      <c r="M865" s="66"/>
      <c r="N865" s="66"/>
    </row>
    <row r="866" spans="1:14" x14ac:dyDescent="0.2">
      <c r="A866" s="84"/>
      <c r="B866" s="84"/>
      <c r="C866" s="60"/>
      <c r="D866" s="66"/>
      <c r="E866" s="66"/>
      <c r="F866" s="66"/>
      <c r="G866" s="66"/>
      <c r="H866" s="66"/>
      <c r="I866" s="66"/>
      <c r="J866" s="66"/>
      <c r="K866" s="66"/>
      <c r="L866" s="66"/>
      <c r="M866" s="66"/>
      <c r="N866" s="66"/>
    </row>
    <row r="867" spans="1:14" x14ac:dyDescent="0.2">
      <c r="A867" s="84"/>
      <c r="B867" s="84"/>
      <c r="C867" s="60"/>
      <c r="D867" s="66"/>
      <c r="E867" s="66"/>
      <c r="F867" s="66"/>
      <c r="G867" s="66"/>
      <c r="H867" s="66"/>
      <c r="I867" s="66"/>
      <c r="J867" s="66"/>
      <c r="K867" s="66"/>
      <c r="L867" s="66"/>
      <c r="M867" s="66"/>
      <c r="N867" s="66"/>
    </row>
    <row r="868" spans="1:14" x14ac:dyDescent="0.2">
      <c r="A868" s="84"/>
      <c r="B868" s="84"/>
      <c r="C868" s="60"/>
      <c r="D868" s="66"/>
      <c r="E868" s="66"/>
      <c r="F868" s="66"/>
      <c r="G868" s="66"/>
      <c r="H868" s="66"/>
      <c r="I868" s="66"/>
      <c r="J868" s="66"/>
      <c r="K868" s="66"/>
      <c r="L868" s="66"/>
      <c r="M868" s="66"/>
      <c r="N868" s="66"/>
    </row>
    <row r="869" spans="1:14" x14ac:dyDescent="0.2">
      <c r="A869" s="84"/>
      <c r="B869" s="84"/>
      <c r="C869" s="60"/>
      <c r="D869" s="66"/>
      <c r="E869" s="66"/>
      <c r="F869" s="66"/>
      <c r="G869" s="66"/>
      <c r="H869" s="66"/>
      <c r="I869" s="66"/>
      <c r="J869" s="66"/>
      <c r="K869" s="66"/>
      <c r="L869" s="66"/>
      <c r="M869" s="66"/>
      <c r="N869" s="66"/>
    </row>
    <row r="870" spans="1:14" x14ac:dyDescent="0.2">
      <c r="A870" s="84"/>
      <c r="B870" s="84"/>
      <c r="C870" s="60"/>
      <c r="D870" s="66"/>
      <c r="E870" s="66"/>
      <c r="F870" s="66"/>
      <c r="G870" s="66"/>
      <c r="H870" s="66"/>
      <c r="I870" s="66"/>
      <c r="J870" s="66"/>
      <c r="K870" s="66"/>
      <c r="L870" s="66"/>
      <c r="M870" s="66"/>
      <c r="N870" s="66"/>
    </row>
    <row r="871" spans="1:14" x14ac:dyDescent="0.2">
      <c r="A871" s="84"/>
      <c r="B871" s="84"/>
      <c r="C871" s="60"/>
      <c r="D871" s="66"/>
      <c r="E871" s="66"/>
      <c r="F871" s="66"/>
      <c r="G871" s="66"/>
      <c r="H871" s="66"/>
      <c r="I871" s="66"/>
      <c r="J871" s="66"/>
      <c r="K871" s="66"/>
      <c r="L871" s="66"/>
      <c r="M871" s="66"/>
      <c r="N871" s="66"/>
    </row>
    <row r="872" spans="1:14" x14ac:dyDescent="0.2">
      <c r="A872" s="84"/>
      <c r="B872" s="84"/>
      <c r="C872" s="60"/>
      <c r="D872" s="66"/>
      <c r="E872" s="66"/>
      <c r="F872" s="66"/>
      <c r="G872" s="66"/>
      <c r="H872" s="66"/>
      <c r="I872" s="66"/>
      <c r="J872" s="66"/>
      <c r="K872" s="66"/>
      <c r="L872" s="66"/>
      <c r="M872" s="66"/>
      <c r="N872" s="66"/>
    </row>
    <row r="873" spans="1:14" x14ac:dyDescent="0.2">
      <c r="A873" s="84"/>
      <c r="B873" s="84"/>
      <c r="C873" s="60"/>
      <c r="D873" s="66"/>
      <c r="E873" s="66"/>
      <c r="F873" s="66"/>
      <c r="G873" s="66"/>
      <c r="H873" s="66"/>
      <c r="I873" s="66"/>
      <c r="J873" s="66"/>
      <c r="K873" s="66"/>
      <c r="L873" s="66"/>
      <c r="M873" s="66"/>
      <c r="N873" s="66"/>
    </row>
    <row r="874" spans="1:14" x14ac:dyDescent="0.2">
      <c r="A874" s="84"/>
      <c r="B874" s="84"/>
      <c r="C874" s="60"/>
      <c r="D874" s="66"/>
      <c r="E874" s="66"/>
      <c r="F874" s="66"/>
      <c r="G874" s="66"/>
      <c r="H874" s="66"/>
      <c r="I874" s="66"/>
      <c r="J874" s="66"/>
      <c r="K874" s="66"/>
      <c r="L874" s="66"/>
      <c r="M874" s="66"/>
      <c r="N874" s="66"/>
    </row>
    <row r="875" spans="1:14" x14ac:dyDescent="0.2">
      <c r="A875" s="84"/>
      <c r="B875" s="84"/>
      <c r="C875" s="60"/>
      <c r="D875" s="66"/>
      <c r="E875" s="66"/>
      <c r="F875" s="66"/>
      <c r="G875" s="66"/>
      <c r="H875" s="66"/>
      <c r="I875" s="66"/>
      <c r="J875" s="66"/>
      <c r="K875" s="66"/>
      <c r="L875" s="66"/>
      <c r="M875" s="66"/>
      <c r="N875" s="66"/>
    </row>
    <row r="876" spans="1:14" x14ac:dyDescent="0.2">
      <c r="A876" s="84"/>
      <c r="B876" s="84"/>
      <c r="C876" s="60"/>
      <c r="D876" s="66"/>
      <c r="E876" s="66"/>
      <c r="F876" s="66"/>
      <c r="G876" s="66"/>
      <c r="H876" s="66"/>
      <c r="I876" s="66"/>
      <c r="J876" s="66"/>
      <c r="K876" s="66"/>
      <c r="L876" s="66"/>
      <c r="M876" s="66"/>
      <c r="N876" s="66"/>
    </row>
    <row r="877" spans="1:14" x14ac:dyDescent="0.2">
      <c r="A877" s="84"/>
      <c r="B877" s="84"/>
      <c r="C877" s="60"/>
      <c r="D877" s="66"/>
      <c r="E877" s="66"/>
      <c r="F877" s="66"/>
      <c r="G877" s="66"/>
      <c r="H877" s="66"/>
      <c r="I877" s="66"/>
      <c r="J877" s="66"/>
      <c r="K877" s="66"/>
      <c r="L877" s="66"/>
      <c r="M877" s="66"/>
      <c r="N877" s="66"/>
    </row>
    <row r="878" spans="1:14" x14ac:dyDescent="0.2">
      <c r="A878" s="84"/>
      <c r="B878" s="84"/>
      <c r="C878" s="60"/>
      <c r="D878" s="66"/>
      <c r="E878" s="66"/>
      <c r="F878" s="66"/>
      <c r="G878" s="66"/>
      <c r="H878" s="66"/>
      <c r="I878" s="66"/>
      <c r="J878" s="66"/>
      <c r="K878" s="66"/>
      <c r="L878" s="66"/>
      <c r="M878" s="66"/>
      <c r="N878" s="66"/>
    </row>
    <row r="879" spans="1:14" x14ac:dyDescent="0.2">
      <c r="A879" s="84"/>
      <c r="B879" s="84"/>
      <c r="C879" s="60"/>
      <c r="D879" s="66"/>
      <c r="E879" s="66"/>
      <c r="F879" s="66"/>
      <c r="G879" s="66"/>
      <c r="H879" s="66"/>
      <c r="I879" s="66"/>
      <c r="J879" s="66"/>
      <c r="K879" s="66"/>
      <c r="L879" s="66"/>
      <c r="M879" s="66"/>
      <c r="N879" s="66"/>
    </row>
    <row r="880" spans="1:14" x14ac:dyDescent="0.2">
      <c r="A880" s="84"/>
      <c r="B880" s="84"/>
      <c r="C880" s="60"/>
      <c r="D880" s="66"/>
      <c r="E880" s="66"/>
      <c r="F880" s="66"/>
      <c r="G880" s="66"/>
      <c r="H880" s="66"/>
      <c r="I880" s="66"/>
      <c r="J880" s="66"/>
      <c r="K880" s="66"/>
      <c r="L880" s="66"/>
      <c r="M880" s="66"/>
      <c r="N880" s="66"/>
    </row>
    <row r="881" spans="1:14" x14ac:dyDescent="0.2">
      <c r="A881" s="84"/>
      <c r="B881" s="84"/>
      <c r="C881" s="60"/>
      <c r="D881" s="66"/>
      <c r="E881" s="66"/>
      <c r="F881" s="66"/>
      <c r="G881" s="66"/>
      <c r="H881" s="66"/>
      <c r="I881" s="66"/>
      <c r="J881" s="66"/>
      <c r="K881" s="66"/>
      <c r="L881" s="66"/>
      <c r="M881" s="66"/>
      <c r="N881" s="66"/>
    </row>
    <row r="882" spans="1:14" x14ac:dyDescent="0.2">
      <c r="A882" s="84"/>
      <c r="B882" s="84"/>
      <c r="C882" s="60"/>
      <c r="D882" s="66"/>
      <c r="E882" s="66"/>
      <c r="F882" s="66"/>
      <c r="G882" s="66"/>
      <c r="H882" s="66"/>
      <c r="I882" s="66"/>
      <c r="J882" s="66"/>
      <c r="K882" s="66"/>
      <c r="L882" s="66"/>
      <c r="M882" s="66"/>
      <c r="N882" s="66"/>
    </row>
    <row r="883" spans="1:14" x14ac:dyDescent="0.2">
      <c r="A883" s="84"/>
      <c r="B883" s="84"/>
      <c r="C883" s="60"/>
      <c r="D883" s="66"/>
      <c r="E883" s="66"/>
      <c r="F883" s="66"/>
      <c r="G883" s="66"/>
      <c r="H883" s="66"/>
      <c r="I883" s="66"/>
      <c r="J883" s="66"/>
      <c r="K883" s="66"/>
      <c r="L883" s="66"/>
      <c r="M883" s="66"/>
      <c r="N883" s="66"/>
    </row>
    <row r="884" spans="1:14" x14ac:dyDescent="0.2">
      <c r="A884" s="84"/>
      <c r="B884" s="84"/>
      <c r="C884" s="60"/>
      <c r="D884" s="66"/>
      <c r="E884" s="66"/>
      <c r="F884" s="66"/>
      <c r="G884" s="66"/>
      <c r="H884" s="66"/>
      <c r="I884" s="66"/>
      <c r="J884" s="66"/>
      <c r="K884" s="66"/>
      <c r="L884" s="66"/>
      <c r="M884" s="66"/>
      <c r="N884" s="66"/>
    </row>
    <row r="885" spans="1:14" x14ac:dyDescent="0.2">
      <c r="A885" s="84"/>
      <c r="B885" s="84"/>
      <c r="C885" s="60"/>
      <c r="D885" s="66"/>
      <c r="E885" s="66"/>
      <c r="F885" s="66"/>
      <c r="G885" s="66"/>
      <c r="H885" s="66"/>
      <c r="I885" s="66"/>
      <c r="J885" s="66"/>
      <c r="K885" s="66"/>
      <c r="L885" s="66"/>
      <c r="M885" s="66"/>
      <c r="N885" s="66"/>
    </row>
    <row r="886" spans="1:14" x14ac:dyDescent="0.2">
      <c r="A886" s="84"/>
      <c r="B886" s="84"/>
      <c r="C886" s="60"/>
      <c r="D886" s="66"/>
      <c r="E886" s="66"/>
      <c r="F886" s="66"/>
      <c r="G886" s="66"/>
      <c r="H886" s="66"/>
      <c r="I886" s="66"/>
      <c r="J886" s="66"/>
      <c r="K886" s="66"/>
      <c r="L886" s="66"/>
      <c r="M886" s="66"/>
      <c r="N886" s="66"/>
    </row>
    <row r="887" spans="1:14" x14ac:dyDescent="0.2">
      <c r="A887" s="84"/>
      <c r="B887" s="84"/>
      <c r="C887" s="60"/>
      <c r="D887" s="66"/>
      <c r="E887" s="66"/>
      <c r="F887" s="66"/>
      <c r="G887" s="66"/>
      <c r="H887" s="66"/>
      <c r="I887" s="66"/>
      <c r="J887" s="66"/>
      <c r="K887" s="66"/>
      <c r="L887" s="66"/>
      <c r="M887" s="66"/>
      <c r="N887" s="66"/>
    </row>
    <row r="888" spans="1:14" x14ac:dyDescent="0.2">
      <c r="A888" s="84"/>
      <c r="B888" s="84"/>
      <c r="C888" s="60"/>
      <c r="D888" s="66"/>
      <c r="E888" s="66"/>
      <c r="F888" s="66"/>
      <c r="G888" s="66"/>
      <c r="H888" s="66"/>
      <c r="I888" s="66"/>
      <c r="J888" s="66"/>
      <c r="K888" s="66"/>
      <c r="L888" s="66"/>
      <c r="M888" s="66"/>
      <c r="N888" s="66"/>
    </row>
    <row r="889" spans="1:14" x14ac:dyDescent="0.2">
      <c r="A889" s="84"/>
      <c r="B889" s="84"/>
      <c r="C889" s="60"/>
      <c r="D889" s="66"/>
      <c r="E889" s="66"/>
      <c r="F889" s="66"/>
      <c r="G889" s="66"/>
      <c r="H889" s="66"/>
      <c r="I889" s="66"/>
      <c r="J889" s="66"/>
      <c r="K889" s="66"/>
      <c r="L889" s="66"/>
      <c r="M889" s="66"/>
      <c r="N889" s="66"/>
    </row>
    <row r="890" spans="1:14" x14ac:dyDescent="0.2">
      <c r="A890" s="84"/>
      <c r="B890" s="84"/>
      <c r="C890" s="60"/>
      <c r="D890" s="66"/>
      <c r="E890" s="66"/>
      <c r="F890" s="66"/>
      <c r="G890" s="66"/>
      <c r="H890" s="66"/>
      <c r="I890" s="66"/>
      <c r="J890" s="66"/>
      <c r="K890" s="66"/>
      <c r="L890" s="66"/>
      <c r="M890" s="66"/>
      <c r="N890" s="66"/>
    </row>
    <row r="891" spans="1:14" x14ac:dyDescent="0.2">
      <c r="A891" s="84"/>
      <c r="B891" s="84"/>
      <c r="C891" s="60"/>
      <c r="D891" s="66"/>
      <c r="E891" s="66"/>
      <c r="F891" s="66"/>
      <c r="G891" s="66"/>
      <c r="H891" s="66"/>
      <c r="I891" s="66"/>
      <c r="J891" s="66"/>
      <c r="K891" s="66"/>
      <c r="L891" s="66"/>
      <c r="M891" s="66"/>
      <c r="N891" s="66"/>
    </row>
    <row r="892" spans="1:14" x14ac:dyDescent="0.2">
      <c r="A892" s="84"/>
      <c r="B892" s="84"/>
      <c r="C892" s="60"/>
      <c r="D892" s="66"/>
      <c r="E892" s="66"/>
      <c r="F892" s="66"/>
      <c r="G892" s="66"/>
      <c r="H892" s="66"/>
      <c r="I892" s="66"/>
      <c r="J892" s="66"/>
      <c r="K892" s="66"/>
      <c r="L892" s="66"/>
      <c r="M892" s="66"/>
      <c r="N892" s="66"/>
    </row>
    <row r="893" spans="1:14" x14ac:dyDescent="0.2">
      <c r="A893" s="84"/>
      <c r="B893" s="84"/>
      <c r="C893" s="60"/>
      <c r="D893" s="66"/>
      <c r="E893" s="66"/>
      <c r="F893" s="66"/>
      <c r="G893" s="66"/>
      <c r="H893" s="66"/>
      <c r="I893" s="66"/>
      <c r="J893" s="66"/>
      <c r="K893" s="66"/>
      <c r="L893" s="66"/>
      <c r="M893" s="66"/>
      <c r="N893" s="66"/>
    </row>
    <row r="894" spans="1:14" x14ac:dyDescent="0.2">
      <c r="A894" s="84"/>
      <c r="B894" s="84"/>
      <c r="C894" s="60"/>
      <c r="D894" s="66"/>
      <c r="E894" s="66"/>
      <c r="F894" s="66"/>
      <c r="G894" s="66"/>
      <c r="H894" s="66"/>
      <c r="I894" s="66"/>
      <c r="J894" s="66"/>
      <c r="K894" s="66"/>
      <c r="L894" s="66"/>
      <c r="M894" s="66"/>
      <c r="N894" s="66"/>
    </row>
    <row r="895" spans="1:14" x14ac:dyDescent="0.2">
      <c r="A895" s="84"/>
      <c r="B895" s="84"/>
      <c r="C895" s="60"/>
      <c r="D895" s="66"/>
      <c r="E895" s="66"/>
      <c r="F895" s="66"/>
      <c r="G895" s="66"/>
      <c r="H895" s="66"/>
      <c r="I895" s="66"/>
      <c r="J895" s="66"/>
      <c r="K895" s="66"/>
      <c r="L895" s="66"/>
      <c r="M895" s="66"/>
      <c r="N895" s="66"/>
    </row>
    <row r="896" spans="1:14" x14ac:dyDescent="0.2">
      <c r="A896" s="84"/>
      <c r="B896" s="84"/>
      <c r="C896" s="60"/>
      <c r="D896" s="66"/>
      <c r="E896" s="66"/>
      <c r="F896" s="66"/>
      <c r="G896" s="66"/>
      <c r="H896" s="66"/>
      <c r="I896" s="66"/>
      <c r="J896" s="66"/>
      <c r="K896" s="66"/>
      <c r="L896" s="66"/>
      <c r="M896" s="66"/>
      <c r="N896" s="66"/>
    </row>
    <row r="897" spans="1:14" x14ac:dyDescent="0.2">
      <c r="A897" s="84"/>
      <c r="B897" s="84"/>
      <c r="C897" s="60"/>
      <c r="D897" s="66"/>
      <c r="E897" s="66"/>
      <c r="F897" s="66"/>
      <c r="G897" s="66"/>
      <c r="H897" s="66"/>
      <c r="I897" s="66"/>
      <c r="J897" s="66"/>
      <c r="K897" s="66"/>
      <c r="L897" s="66"/>
      <c r="M897" s="66"/>
      <c r="N897" s="66"/>
    </row>
    <row r="898" spans="1:14" x14ac:dyDescent="0.2">
      <c r="A898" s="84"/>
      <c r="B898" s="84"/>
      <c r="C898" s="60"/>
      <c r="D898" s="66"/>
      <c r="E898" s="66"/>
      <c r="F898" s="66"/>
      <c r="G898" s="66"/>
      <c r="H898" s="66"/>
      <c r="I898" s="66"/>
      <c r="J898" s="66"/>
      <c r="K898" s="66"/>
      <c r="L898" s="66"/>
      <c r="M898" s="66"/>
      <c r="N898" s="66"/>
    </row>
    <row r="899" spans="1:14" x14ac:dyDescent="0.2">
      <c r="A899" s="84"/>
      <c r="B899" s="84"/>
      <c r="C899" s="60"/>
      <c r="D899" s="66"/>
      <c r="E899" s="66"/>
      <c r="F899" s="66"/>
      <c r="G899" s="66"/>
      <c r="H899" s="66"/>
      <c r="I899" s="66"/>
      <c r="J899" s="66"/>
      <c r="K899" s="66"/>
      <c r="L899" s="66"/>
      <c r="M899" s="66"/>
      <c r="N899" s="66"/>
    </row>
    <row r="900" spans="1:14" x14ac:dyDescent="0.2">
      <c r="A900" s="84"/>
      <c r="B900" s="84"/>
      <c r="C900" s="60"/>
      <c r="D900" s="66"/>
      <c r="E900" s="66"/>
      <c r="F900" s="66"/>
      <c r="G900" s="66"/>
      <c r="H900" s="66"/>
      <c r="I900" s="66"/>
      <c r="J900" s="66"/>
      <c r="K900" s="66"/>
      <c r="L900" s="66"/>
      <c r="M900" s="66"/>
      <c r="N900" s="66"/>
    </row>
    <row r="901" spans="1:14" x14ac:dyDescent="0.2">
      <c r="A901" s="84"/>
      <c r="B901" s="84"/>
      <c r="C901" s="60"/>
      <c r="D901" s="66"/>
      <c r="E901" s="66"/>
      <c r="F901" s="66"/>
      <c r="G901" s="66"/>
      <c r="H901" s="66"/>
      <c r="I901" s="66"/>
      <c r="J901" s="66"/>
      <c r="K901" s="66"/>
      <c r="L901" s="66"/>
      <c r="M901" s="66"/>
      <c r="N901" s="66"/>
    </row>
    <row r="902" spans="1:14" x14ac:dyDescent="0.2">
      <c r="A902" s="84"/>
      <c r="B902" s="84"/>
      <c r="C902" s="60"/>
      <c r="D902" s="66"/>
      <c r="E902" s="66"/>
      <c r="F902" s="66"/>
      <c r="G902" s="66"/>
      <c r="H902" s="66"/>
      <c r="I902" s="66"/>
      <c r="J902" s="66"/>
      <c r="K902" s="66"/>
      <c r="L902" s="66"/>
      <c r="M902" s="66"/>
      <c r="N902" s="66"/>
    </row>
    <row r="903" spans="1:14" x14ac:dyDescent="0.2">
      <c r="A903" s="84"/>
      <c r="B903" s="84"/>
      <c r="C903" s="60"/>
      <c r="D903" s="66"/>
      <c r="E903" s="66"/>
      <c r="F903" s="66"/>
      <c r="G903" s="66"/>
      <c r="H903" s="66"/>
      <c r="I903" s="66"/>
      <c r="J903" s="66"/>
      <c r="K903" s="66"/>
      <c r="L903" s="66"/>
      <c r="M903" s="66"/>
      <c r="N903" s="66"/>
    </row>
    <row r="904" spans="1:14" x14ac:dyDescent="0.2">
      <c r="A904" s="84"/>
      <c r="B904" s="84"/>
      <c r="C904" s="60"/>
      <c r="D904" s="66"/>
      <c r="E904" s="66"/>
      <c r="F904" s="66"/>
      <c r="G904" s="66"/>
      <c r="H904" s="66"/>
      <c r="I904" s="66"/>
      <c r="J904" s="66"/>
      <c r="K904" s="66"/>
      <c r="L904" s="66"/>
      <c r="M904" s="66"/>
      <c r="N904" s="66"/>
    </row>
    <row r="905" spans="1:14" x14ac:dyDescent="0.2">
      <c r="A905" s="84"/>
      <c r="B905" s="84"/>
      <c r="C905" s="60"/>
      <c r="D905" s="66"/>
      <c r="E905" s="66"/>
      <c r="F905" s="66"/>
      <c r="G905" s="66"/>
      <c r="H905" s="66"/>
      <c r="I905" s="66"/>
      <c r="J905" s="66"/>
      <c r="K905" s="66"/>
      <c r="L905" s="66"/>
      <c r="M905" s="66"/>
      <c r="N905" s="66"/>
    </row>
    <row r="906" spans="1:14" x14ac:dyDescent="0.2">
      <c r="A906" s="84"/>
      <c r="B906" s="84"/>
      <c r="C906" s="60"/>
      <c r="D906" s="66"/>
      <c r="E906" s="66"/>
      <c r="F906" s="66"/>
      <c r="G906" s="66"/>
      <c r="H906" s="66"/>
      <c r="I906" s="66"/>
      <c r="J906" s="66"/>
      <c r="K906" s="66"/>
      <c r="L906" s="66"/>
      <c r="M906" s="66"/>
      <c r="N906" s="66"/>
    </row>
    <row r="907" spans="1:14" x14ac:dyDescent="0.2">
      <c r="A907" s="84"/>
      <c r="B907" s="84"/>
      <c r="C907" s="60"/>
      <c r="D907" s="66"/>
      <c r="E907" s="66"/>
      <c r="F907" s="66"/>
      <c r="G907" s="66"/>
      <c r="H907" s="66"/>
      <c r="I907" s="66"/>
      <c r="J907" s="66"/>
      <c r="K907" s="66"/>
      <c r="L907" s="66"/>
      <c r="M907" s="66"/>
      <c r="N907" s="66"/>
    </row>
    <row r="908" spans="1:14" x14ac:dyDescent="0.2">
      <c r="A908" s="84"/>
      <c r="B908" s="84"/>
      <c r="C908" s="60"/>
      <c r="D908" s="66"/>
      <c r="E908" s="66"/>
      <c r="F908" s="66"/>
      <c r="G908" s="66"/>
      <c r="H908" s="66"/>
      <c r="I908" s="66"/>
      <c r="J908" s="66"/>
      <c r="K908" s="66"/>
      <c r="L908" s="66"/>
      <c r="M908" s="66"/>
      <c r="N908" s="66"/>
    </row>
    <row r="909" spans="1:14" x14ac:dyDescent="0.2">
      <c r="A909" s="84"/>
      <c r="B909" s="84"/>
      <c r="C909" s="60"/>
      <c r="D909" s="66"/>
      <c r="E909" s="66"/>
      <c r="F909" s="66"/>
      <c r="G909" s="66"/>
      <c r="H909" s="66"/>
      <c r="I909" s="66"/>
      <c r="J909" s="66"/>
      <c r="K909" s="66"/>
      <c r="L909" s="66"/>
      <c r="M909" s="66"/>
      <c r="N909" s="66"/>
    </row>
    <row r="910" spans="1:14" x14ac:dyDescent="0.2">
      <c r="A910" s="84"/>
      <c r="B910" s="84"/>
      <c r="C910" s="60"/>
      <c r="D910" s="66"/>
      <c r="E910" s="66"/>
      <c r="F910" s="66"/>
      <c r="G910" s="66"/>
      <c r="H910" s="66"/>
      <c r="I910" s="66"/>
      <c r="J910" s="66"/>
      <c r="K910" s="66"/>
      <c r="L910" s="66"/>
      <c r="M910" s="66"/>
      <c r="N910" s="66"/>
    </row>
    <row r="911" spans="1:14" x14ac:dyDescent="0.2">
      <c r="A911" s="84"/>
      <c r="B911" s="84"/>
      <c r="C911" s="60"/>
      <c r="D911" s="66"/>
      <c r="E911" s="66"/>
      <c r="F911" s="66"/>
      <c r="G911" s="66"/>
      <c r="H911" s="66"/>
      <c r="I911" s="66"/>
      <c r="J911" s="66"/>
      <c r="K911" s="66"/>
      <c r="L911" s="66"/>
      <c r="M911" s="66"/>
      <c r="N911" s="66"/>
    </row>
    <row r="912" spans="1:14" x14ac:dyDescent="0.2">
      <c r="A912" s="84"/>
      <c r="B912" s="84"/>
      <c r="C912" s="60"/>
      <c r="D912" s="66"/>
      <c r="E912" s="66"/>
      <c r="F912" s="66"/>
      <c r="G912" s="66"/>
      <c r="H912" s="66"/>
      <c r="I912" s="66"/>
      <c r="J912" s="66"/>
      <c r="K912" s="66"/>
      <c r="L912" s="66"/>
      <c r="M912" s="66"/>
      <c r="N912" s="66"/>
    </row>
    <row r="913" spans="1:14" x14ac:dyDescent="0.2">
      <c r="A913" s="84"/>
      <c r="B913" s="84"/>
      <c r="C913" s="60"/>
      <c r="D913" s="66"/>
      <c r="E913" s="66"/>
      <c r="F913" s="66"/>
      <c r="G913" s="66"/>
      <c r="H913" s="66"/>
      <c r="I913" s="66"/>
      <c r="J913" s="66"/>
      <c r="K913" s="66"/>
      <c r="L913" s="66"/>
      <c r="M913" s="66"/>
      <c r="N913" s="66"/>
    </row>
    <row r="914" spans="1:14" x14ac:dyDescent="0.2">
      <c r="A914" s="84"/>
      <c r="B914" s="84"/>
      <c r="C914" s="60"/>
      <c r="D914" s="66"/>
      <c r="E914" s="66"/>
      <c r="F914" s="66"/>
      <c r="G914" s="66"/>
      <c r="H914" s="66"/>
      <c r="I914" s="66"/>
      <c r="J914" s="66"/>
      <c r="K914" s="66"/>
      <c r="L914" s="66"/>
      <c r="M914" s="66"/>
      <c r="N914" s="66"/>
    </row>
    <row r="915" spans="1:14" x14ac:dyDescent="0.2">
      <c r="A915" s="84"/>
      <c r="B915" s="84"/>
      <c r="C915" s="60"/>
      <c r="D915" s="66"/>
      <c r="E915" s="66"/>
      <c r="F915" s="66"/>
      <c r="G915" s="66"/>
      <c r="H915" s="66"/>
      <c r="I915" s="66"/>
      <c r="J915" s="66"/>
      <c r="K915" s="66"/>
      <c r="L915" s="66"/>
      <c r="M915" s="66"/>
      <c r="N915" s="66"/>
    </row>
    <row r="916" spans="1:14" x14ac:dyDescent="0.2">
      <c r="A916" s="84"/>
      <c r="B916" s="84"/>
      <c r="C916" s="60"/>
      <c r="D916" s="66"/>
      <c r="E916" s="66"/>
      <c r="F916" s="66"/>
      <c r="G916" s="66"/>
      <c r="H916" s="66"/>
      <c r="I916" s="66"/>
      <c r="J916" s="66"/>
      <c r="K916" s="66"/>
      <c r="L916" s="66"/>
      <c r="M916" s="66"/>
      <c r="N916" s="66"/>
    </row>
    <row r="917" spans="1:14" x14ac:dyDescent="0.2">
      <c r="A917" s="84"/>
      <c r="B917" s="84"/>
      <c r="C917" s="60"/>
      <c r="D917" s="66"/>
      <c r="E917" s="66"/>
      <c r="F917" s="66"/>
      <c r="G917" s="66"/>
      <c r="H917" s="66"/>
      <c r="I917" s="66"/>
      <c r="J917" s="66"/>
      <c r="K917" s="66"/>
      <c r="L917" s="66"/>
      <c r="M917" s="66"/>
      <c r="N917" s="66"/>
    </row>
    <row r="918" spans="1:14" x14ac:dyDescent="0.2">
      <c r="A918" s="84"/>
      <c r="B918" s="84"/>
      <c r="C918" s="60"/>
      <c r="D918" s="66"/>
      <c r="E918" s="66"/>
      <c r="F918" s="66"/>
      <c r="G918" s="66"/>
      <c r="H918" s="66"/>
      <c r="I918" s="66"/>
      <c r="J918" s="66"/>
      <c r="K918" s="66"/>
      <c r="L918" s="66"/>
      <c r="M918" s="66"/>
      <c r="N918" s="66"/>
    </row>
    <row r="919" spans="1:14" x14ac:dyDescent="0.2">
      <c r="A919" s="84"/>
      <c r="B919" s="84"/>
      <c r="C919" s="60"/>
      <c r="D919" s="66"/>
      <c r="E919" s="66"/>
      <c r="F919" s="66"/>
      <c r="G919" s="66"/>
      <c r="H919" s="66"/>
      <c r="I919" s="66"/>
      <c r="J919" s="66"/>
      <c r="K919" s="66"/>
      <c r="L919" s="66"/>
      <c r="M919" s="66"/>
      <c r="N919" s="66"/>
    </row>
    <row r="920" spans="1:14" x14ac:dyDescent="0.2">
      <c r="A920" s="84"/>
      <c r="B920" s="84"/>
      <c r="C920" s="60"/>
      <c r="D920" s="66"/>
      <c r="E920" s="66"/>
      <c r="F920" s="66"/>
      <c r="G920" s="66"/>
      <c r="H920" s="66"/>
      <c r="I920" s="66"/>
      <c r="J920" s="66"/>
      <c r="K920" s="66"/>
      <c r="L920" s="66"/>
      <c r="M920" s="66"/>
      <c r="N920" s="66"/>
    </row>
    <row r="921" spans="1:14" x14ac:dyDescent="0.2">
      <c r="A921" s="84"/>
      <c r="B921" s="84"/>
      <c r="C921" s="60"/>
      <c r="D921" s="66"/>
      <c r="E921" s="66"/>
      <c r="F921" s="66"/>
      <c r="G921" s="66"/>
      <c r="H921" s="66"/>
      <c r="I921" s="66"/>
      <c r="J921" s="66"/>
      <c r="K921" s="66"/>
      <c r="L921" s="66"/>
      <c r="M921" s="66"/>
      <c r="N921" s="66"/>
    </row>
    <row r="922" spans="1:14" x14ac:dyDescent="0.2">
      <c r="A922" s="84"/>
      <c r="B922" s="84"/>
      <c r="C922" s="60"/>
      <c r="D922" s="66"/>
      <c r="E922" s="66"/>
      <c r="F922" s="66"/>
      <c r="G922" s="66"/>
      <c r="H922" s="66"/>
      <c r="I922" s="66"/>
      <c r="J922" s="66"/>
      <c r="K922" s="66"/>
      <c r="L922" s="66"/>
      <c r="M922" s="66"/>
      <c r="N922" s="66"/>
    </row>
    <row r="923" spans="1:14" x14ac:dyDescent="0.2">
      <c r="A923" s="84"/>
      <c r="B923" s="84"/>
      <c r="C923" s="60"/>
      <c r="D923" s="66"/>
      <c r="E923" s="66"/>
      <c r="F923" s="66"/>
      <c r="G923" s="66"/>
      <c r="H923" s="66"/>
      <c r="I923" s="66"/>
      <c r="J923" s="66"/>
      <c r="K923" s="66"/>
      <c r="L923" s="66"/>
      <c r="M923" s="66"/>
      <c r="N923" s="66"/>
    </row>
    <row r="924" spans="1:14" x14ac:dyDescent="0.2">
      <c r="A924" s="84"/>
      <c r="B924" s="84"/>
      <c r="C924" s="60"/>
      <c r="D924" s="66"/>
      <c r="E924" s="66"/>
      <c r="F924" s="66"/>
      <c r="G924" s="66"/>
      <c r="H924" s="66"/>
      <c r="I924" s="66"/>
      <c r="J924" s="66"/>
      <c r="K924" s="66"/>
      <c r="L924" s="66"/>
      <c r="M924" s="66"/>
      <c r="N924" s="66"/>
    </row>
    <row r="925" spans="1:14" x14ac:dyDescent="0.2">
      <c r="A925" s="84"/>
      <c r="B925" s="84"/>
      <c r="C925" s="60"/>
      <c r="D925" s="66"/>
      <c r="E925" s="66"/>
      <c r="F925" s="66"/>
      <c r="G925" s="66"/>
      <c r="H925" s="66"/>
      <c r="I925" s="66"/>
      <c r="J925" s="66"/>
      <c r="K925" s="66"/>
      <c r="L925" s="66"/>
      <c r="M925" s="66"/>
      <c r="N925" s="66"/>
    </row>
    <row r="926" spans="1:14" x14ac:dyDescent="0.2">
      <c r="A926" s="84"/>
      <c r="B926" s="84"/>
      <c r="C926" s="60"/>
      <c r="D926" s="66"/>
      <c r="E926" s="66"/>
      <c r="F926" s="66"/>
      <c r="G926" s="66"/>
      <c r="H926" s="66"/>
      <c r="I926" s="66"/>
      <c r="J926" s="66"/>
      <c r="K926" s="66"/>
      <c r="L926" s="66"/>
      <c r="M926" s="66"/>
      <c r="N926" s="66"/>
    </row>
    <row r="927" spans="1:14" x14ac:dyDescent="0.2">
      <c r="A927" s="84"/>
      <c r="B927" s="84"/>
      <c r="C927" s="60"/>
      <c r="D927" s="66"/>
      <c r="E927" s="66"/>
      <c r="F927" s="66"/>
      <c r="G927" s="66"/>
      <c r="H927" s="66"/>
      <c r="I927" s="66"/>
      <c r="J927" s="66"/>
      <c r="K927" s="66"/>
      <c r="L927" s="66"/>
      <c r="M927" s="66"/>
      <c r="N927" s="66"/>
    </row>
    <row r="928" spans="1:14" x14ac:dyDescent="0.2">
      <c r="A928" s="84"/>
      <c r="B928" s="84"/>
      <c r="C928" s="60"/>
      <c r="D928" s="66"/>
      <c r="E928" s="66"/>
      <c r="F928" s="66"/>
      <c r="G928" s="66"/>
      <c r="H928" s="66"/>
      <c r="I928" s="66"/>
      <c r="J928" s="66"/>
      <c r="K928" s="66"/>
      <c r="L928" s="66"/>
      <c r="M928" s="66"/>
      <c r="N928" s="66"/>
    </row>
    <row r="929" spans="1:14" x14ac:dyDescent="0.2">
      <c r="A929" s="84"/>
      <c r="B929" s="84"/>
      <c r="C929" s="60"/>
      <c r="D929" s="66"/>
      <c r="E929" s="66"/>
      <c r="F929" s="66"/>
      <c r="G929" s="66"/>
      <c r="H929" s="66"/>
      <c r="I929" s="66"/>
      <c r="J929" s="66"/>
      <c r="K929" s="66"/>
      <c r="L929" s="66"/>
      <c r="M929" s="66"/>
      <c r="N929" s="66"/>
    </row>
    <row r="930" spans="1:14" x14ac:dyDescent="0.2">
      <c r="A930" s="84"/>
      <c r="B930" s="84"/>
      <c r="C930" s="60"/>
      <c r="D930" s="66"/>
      <c r="E930" s="66"/>
      <c r="F930" s="66"/>
      <c r="G930" s="66"/>
      <c r="H930" s="66"/>
      <c r="I930" s="66"/>
      <c r="J930" s="66"/>
      <c r="K930" s="66"/>
      <c r="L930" s="66"/>
      <c r="M930" s="66"/>
      <c r="N930" s="66"/>
    </row>
    <row r="931" spans="1:14" x14ac:dyDescent="0.2">
      <c r="A931" s="84"/>
      <c r="B931" s="84"/>
      <c r="C931" s="60"/>
      <c r="D931" s="66"/>
      <c r="E931" s="66"/>
      <c r="F931" s="66"/>
      <c r="G931" s="66"/>
      <c r="H931" s="66"/>
      <c r="I931" s="66"/>
      <c r="J931" s="66"/>
      <c r="K931" s="66"/>
      <c r="L931" s="66"/>
      <c r="M931" s="66"/>
      <c r="N931" s="66"/>
    </row>
    <row r="932" spans="1:14" x14ac:dyDescent="0.2">
      <c r="A932" s="84"/>
      <c r="B932" s="84"/>
      <c r="C932" s="60"/>
      <c r="D932" s="66"/>
      <c r="E932" s="66"/>
      <c r="F932" s="66"/>
      <c r="G932" s="66"/>
      <c r="H932" s="66"/>
      <c r="I932" s="66"/>
      <c r="J932" s="66"/>
      <c r="K932" s="66"/>
      <c r="L932" s="66"/>
      <c r="M932" s="66"/>
      <c r="N932" s="66"/>
    </row>
    <row r="933" spans="1:14" x14ac:dyDescent="0.2">
      <c r="A933" s="84"/>
      <c r="B933" s="84"/>
      <c r="C933" s="60"/>
      <c r="D933" s="66"/>
      <c r="E933" s="66"/>
      <c r="F933" s="66"/>
      <c r="G933" s="66"/>
      <c r="H933" s="66"/>
      <c r="I933" s="66"/>
      <c r="J933" s="66"/>
      <c r="K933" s="66"/>
      <c r="L933" s="66"/>
      <c r="M933" s="66"/>
      <c r="N933" s="66"/>
    </row>
    <row r="934" spans="1:14" x14ac:dyDescent="0.2">
      <c r="A934" s="84"/>
      <c r="B934" s="84"/>
      <c r="C934" s="60"/>
      <c r="D934" s="66"/>
      <c r="E934" s="66"/>
      <c r="F934" s="66"/>
      <c r="G934" s="66"/>
      <c r="H934" s="66"/>
      <c r="I934" s="66"/>
      <c r="J934" s="66"/>
      <c r="K934" s="66"/>
      <c r="L934" s="66"/>
      <c r="M934" s="66"/>
      <c r="N934" s="66"/>
    </row>
    <row r="935" spans="1:14" x14ac:dyDescent="0.2">
      <c r="A935" s="84"/>
      <c r="B935" s="84"/>
      <c r="C935" s="60"/>
      <c r="D935" s="66"/>
      <c r="E935" s="66"/>
      <c r="F935" s="66"/>
      <c r="G935" s="66"/>
      <c r="H935" s="66"/>
      <c r="I935" s="66"/>
      <c r="J935" s="66"/>
      <c r="K935" s="66"/>
      <c r="L935" s="66"/>
      <c r="M935" s="66"/>
      <c r="N935" s="66"/>
    </row>
    <row r="936" spans="1:14" x14ac:dyDescent="0.2">
      <c r="A936" s="84"/>
      <c r="B936" s="84"/>
      <c r="C936" s="60"/>
      <c r="D936" s="66"/>
      <c r="E936" s="66"/>
      <c r="F936" s="66"/>
      <c r="G936" s="66"/>
      <c r="H936" s="66"/>
      <c r="I936" s="66"/>
      <c r="J936" s="66"/>
      <c r="K936" s="66"/>
      <c r="L936" s="66"/>
      <c r="M936" s="66"/>
      <c r="N936" s="66"/>
    </row>
    <row r="937" spans="1:14" x14ac:dyDescent="0.2">
      <c r="A937" s="84"/>
      <c r="B937" s="84"/>
      <c r="C937" s="60"/>
      <c r="D937" s="66"/>
      <c r="E937" s="66"/>
      <c r="F937" s="66"/>
      <c r="G937" s="66"/>
      <c r="H937" s="66"/>
      <c r="I937" s="66"/>
      <c r="J937" s="66"/>
      <c r="K937" s="66"/>
      <c r="L937" s="66"/>
      <c r="M937" s="66"/>
      <c r="N937" s="66"/>
    </row>
    <row r="938" spans="1:14" x14ac:dyDescent="0.2">
      <c r="A938" s="84"/>
      <c r="B938" s="84"/>
      <c r="C938" s="60"/>
      <c r="D938" s="66"/>
      <c r="E938" s="66"/>
      <c r="F938" s="66"/>
      <c r="G938" s="66"/>
      <c r="H938" s="66"/>
      <c r="I938" s="66"/>
      <c r="J938" s="66"/>
      <c r="K938" s="66"/>
      <c r="L938" s="66"/>
      <c r="M938" s="66"/>
      <c r="N938" s="66"/>
    </row>
    <row r="939" spans="1:14" x14ac:dyDescent="0.2">
      <c r="A939" s="84"/>
      <c r="B939" s="84"/>
      <c r="C939" s="60"/>
      <c r="D939" s="66"/>
      <c r="E939" s="66"/>
      <c r="F939" s="66"/>
      <c r="G939" s="66"/>
      <c r="H939" s="66"/>
      <c r="I939" s="66"/>
      <c r="J939" s="66"/>
      <c r="K939" s="66"/>
      <c r="L939" s="66"/>
      <c r="M939" s="66"/>
      <c r="N939" s="66"/>
    </row>
    <row r="940" spans="1:14" x14ac:dyDescent="0.2">
      <c r="A940" s="84"/>
      <c r="B940" s="84"/>
      <c r="C940" s="60"/>
      <c r="D940" s="66"/>
      <c r="E940" s="66"/>
      <c r="F940" s="66"/>
      <c r="G940" s="66"/>
      <c r="H940" s="66"/>
      <c r="I940" s="66"/>
      <c r="J940" s="66"/>
      <c r="K940" s="66"/>
      <c r="L940" s="66"/>
      <c r="M940" s="66"/>
      <c r="N940" s="66"/>
    </row>
    <row r="941" spans="1:14" x14ac:dyDescent="0.2">
      <c r="A941" s="84"/>
      <c r="B941" s="84"/>
      <c r="C941" s="60"/>
      <c r="D941" s="66"/>
      <c r="E941" s="66"/>
      <c r="F941" s="66"/>
      <c r="G941" s="66"/>
      <c r="H941" s="66"/>
      <c r="I941" s="66"/>
      <c r="J941" s="66"/>
      <c r="K941" s="66"/>
      <c r="L941" s="66"/>
      <c r="M941" s="66"/>
      <c r="N941" s="66"/>
    </row>
    <row r="942" spans="1:14" x14ac:dyDescent="0.2">
      <c r="A942" s="84"/>
      <c r="B942" s="84"/>
      <c r="C942" s="60"/>
      <c r="D942" s="66"/>
      <c r="E942" s="66"/>
      <c r="F942" s="66"/>
      <c r="G942" s="66"/>
      <c r="H942" s="66"/>
      <c r="I942" s="66"/>
      <c r="J942" s="66"/>
      <c r="K942" s="66"/>
      <c r="L942" s="66"/>
      <c r="M942" s="66"/>
      <c r="N942" s="66"/>
    </row>
    <row r="943" spans="1:14" x14ac:dyDescent="0.2">
      <c r="A943" s="84"/>
      <c r="B943" s="84"/>
      <c r="C943" s="60"/>
      <c r="D943" s="66"/>
      <c r="E943" s="66"/>
      <c r="F943" s="66"/>
      <c r="G943" s="66"/>
      <c r="H943" s="66"/>
      <c r="I943" s="66"/>
      <c r="J943" s="66"/>
      <c r="K943" s="66"/>
      <c r="L943" s="66"/>
      <c r="M943" s="66"/>
      <c r="N943" s="66"/>
    </row>
    <row r="944" spans="1:14" x14ac:dyDescent="0.2">
      <c r="A944" s="84"/>
      <c r="B944" s="84"/>
      <c r="C944" s="60"/>
      <c r="D944" s="66"/>
      <c r="E944" s="66"/>
      <c r="F944" s="66"/>
      <c r="G944" s="66"/>
      <c r="H944" s="66"/>
      <c r="I944" s="66"/>
      <c r="J944" s="66"/>
      <c r="K944" s="66"/>
      <c r="L944" s="66"/>
      <c r="M944" s="66"/>
      <c r="N944" s="66"/>
    </row>
    <row r="945" spans="1:14" x14ac:dyDescent="0.2">
      <c r="A945" s="84"/>
      <c r="B945" s="84"/>
      <c r="C945" s="60"/>
      <c r="D945" s="66"/>
      <c r="E945" s="66"/>
      <c r="F945" s="66"/>
      <c r="G945" s="66"/>
      <c r="H945" s="66"/>
      <c r="I945" s="66"/>
      <c r="J945" s="66"/>
      <c r="K945" s="66"/>
      <c r="L945" s="66"/>
      <c r="M945" s="66"/>
      <c r="N945" s="66"/>
    </row>
    <row r="946" spans="1:14" x14ac:dyDescent="0.2">
      <c r="A946" s="84"/>
      <c r="B946" s="84"/>
      <c r="C946" s="60"/>
      <c r="D946" s="66"/>
      <c r="E946" s="66"/>
      <c r="F946" s="66"/>
      <c r="G946" s="66"/>
      <c r="H946" s="66"/>
      <c r="I946" s="66"/>
      <c r="J946" s="66"/>
      <c r="K946" s="66"/>
      <c r="L946" s="66"/>
      <c r="M946" s="66"/>
      <c r="N946" s="66"/>
    </row>
    <row r="947" spans="1:14" x14ac:dyDescent="0.2">
      <c r="A947" s="84"/>
      <c r="B947" s="84"/>
      <c r="C947" s="60"/>
      <c r="D947" s="66"/>
      <c r="E947" s="66"/>
      <c r="F947" s="66"/>
      <c r="G947" s="66"/>
      <c r="H947" s="66"/>
      <c r="I947" s="66"/>
      <c r="J947" s="66"/>
      <c r="K947" s="66"/>
      <c r="L947" s="66"/>
      <c r="M947" s="66"/>
      <c r="N947" s="66"/>
    </row>
    <row r="948" spans="1:14" x14ac:dyDescent="0.2">
      <c r="A948" s="84"/>
      <c r="B948" s="84"/>
      <c r="C948" s="60"/>
      <c r="D948" s="66"/>
      <c r="E948" s="66"/>
      <c r="F948" s="66"/>
      <c r="G948" s="66"/>
      <c r="H948" s="66"/>
      <c r="I948" s="66"/>
      <c r="J948" s="66"/>
      <c r="K948" s="66"/>
      <c r="L948" s="66"/>
      <c r="M948" s="66"/>
      <c r="N948" s="66"/>
    </row>
    <row r="949" spans="1:14" x14ac:dyDescent="0.2">
      <c r="A949" s="84"/>
      <c r="B949" s="84"/>
      <c r="C949" s="60"/>
      <c r="D949" s="66"/>
      <c r="E949" s="66"/>
      <c r="F949" s="66"/>
      <c r="G949" s="66"/>
      <c r="H949" s="66"/>
      <c r="I949" s="66"/>
      <c r="J949" s="66"/>
      <c r="K949" s="66"/>
      <c r="L949" s="66"/>
      <c r="M949" s="66"/>
      <c r="N949" s="66"/>
    </row>
    <row r="950" spans="1:14" x14ac:dyDescent="0.2">
      <c r="A950" s="84"/>
      <c r="B950" s="84"/>
      <c r="C950" s="60"/>
      <c r="D950" s="66"/>
      <c r="E950" s="66"/>
      <c r="F950" s="66"/>
      <c r="G950" s="66"/>
      <c r="H950" s="66"/>
      <c r="I950" s="66"/>
      <c r="J950" s="66"/>
      <c r="K950" s="66"/>
      <c r="L950" s="66"/>
      <c r="M950" s="66"/>
      <c r="N950" s="66"/>
    </row>
    <row r="951" spans="1:14" x14ac:dyDescent="0.2">
      <c r="A951" s="84"/>
      <c r="B951" s="84"/>
      <c r="C951" s="60"/>
      <c r="D951" s="66"/>
      <c r="E951" s="66"/>
      <c r="F951" s="66"/>
      <c r="G951" s="66"/>
      <c r="H951" s="66"/>
      <c r="I951" s="66"/>
      <c r="J951" s="66"/>
      <c r="K951" s="66"/>
      <c r="L951" s="66"/>
      <c r="M951" s="66"/>
      <c r="N951" s="66"/>
    </row>
    <row r="952" spans="1:14" x14ac:dyDescent="0.2">
      <c r="A952" s="84"/>
      <c r="B952" s="84"/>
      <c r="C952" s="60"/>
      <c r="D952" s="66"/>
      <c r="E952" s="66"/>
      <c r="F952" s="66"/>
      <c r="G952" s="66"/>
      <c r="H952" s="66"/>
      <c r="I952" s="66"/>
      <c r="J952" s="66"/>
      <c r="K952" s="66"/>
      <c r="L952" s="66"/>
      <c r="M952" s="66"/>
      <c r="N952" s="66"/>
    </row>
    <row r="953" spans="1:14" x14ac:dyDescent="0.2">
      <c r="A953" s="84"/>
      <c r="B953" s="84"/>
      <c r="C953" s="60"/>
      <c r="D953" s="66"/>
      <c r="E953" s="66"/>
      <c r="F953" s="66"/>
      <c r="G953" s="66"/>
      <c r="H953" s="66"/>
      <c r="I953" s="66"/>
      <c r="J953" s="66"/>
      <c r="K953" s="66"/>
      <c r="L953" s="66"/>
      <c r="M953" s="66"/>
      <c r="N953" s="66"/>
    </row>
    <row r="954" spans="1:14" x14ac:dyDescent="0.2">
      <c r="A954" s="84"/>
      <c r="B954" s="84"/>
      <c r="C954" s="60"/>
      <c r="D954" s="66"/>
      <c r="E954" s="66"/>
      <c r="F954" s="66"/>
      <c r="G954" s="66"/>
      <c r="H954" s="66"/>
      <c r="I954" s="66"/>
      <c r="J954" s="66"/>
      <c r="K954" s="66"/>
      <c r="L954" s="66"/>
      <c r="M954" s="66"/>
      <c r="N954" s="66"/>
    </row>
    <row r="955" spans="1:14" x14ac:dyDescent="0.2">
      <c r="A955" s="84"/>
      <c r="B955" s="84"/>
      <c r="C955" s="60"/>
      <c r="D955" s="66"/>
      <c r="E955" s="66"/>
      <c r="F955" s="66"/>
      <c r="G955" s="66"/>
      <c r="H955" s="66"/>
      <c r="I955" s="66"/>
      <c r="J955" s="66"/>
      <c r="K955" s="66"/>
      <c r="L955" s="66"/>
      <c r="M955" s="66"/>
      <c r="N955" s="66"/>
    </row>
    <row r="956" spans="1:14" x14ac:dyDescent="0.2">
      <c r="A956" s="84"/>
      <c r="B956" s="84"/>
      <c r="C956" s="60"/>
      <c r="D956" s="66"/>
      <c r="E956" s="66"/>
      <c r="F956" s="66"/>
      <c r="G956" s="66"/>
      <c r="H956" s="66"/>
      <c r="I956" s="66"/>
      <c r="J956" s="66"/>
      <c r="K956" s="66"/>
      <c r="L956" s="66"/>
      <c r="M956" s="66"/>
      <c r="N956" s="66"/>
    </row>
    <row r="957" spans="1:14" x14ac:dyDescent="0.2">
      <c r="A957" s="84"/>
      <c r="B957" s="84"/>
      <c r="C957" s="60"/>
      <c r="D957" s="66"/>
      <c r="E957" s="66"/>
      <c r="F957" s="66"/>
      <c r="G957" s="66"/>
      <c r="H957" s="66"/>
      <c r="I957" s="66"/>
      <c r="J957" s="66"/>
      <c r="K957" s="66"/>
      <c r="L957" s="66"/>
      <c r="M957" s="66"/>
      <c r="N957" s="66"/>
    </row>
    <row r="958" spans="1:14" x14ac:dyDescent="0.2">
      <c r="A958" s="84"/>
      <c r="B958" s="84"/>
      <c r="C958" s="60"/>
      <c r="D958" s="66"/>
      <c r="E958" s="66"/>
      <c r="F958" s="66"/>
      <c r="G958" s="66"/>
      <c r="H958" s="66"/>
      <c r="I958" s="66"/>
      <c r="J958" s="66"/>
      <c r="K958" s="66"/>
      <c r="L958" s="66"/>
      <c r="M958" s="66"/>
      <c r="N958" s="66"/>
    </row>
    <row r="959" spans="1:14" x14ac:dyDescent="0.2">
      <c r="A959" s="84"/>
      <c r="B959" s="84"/>
      <c r="C959" s="60"/>
      <c r="D959" s="66"/>
      <c r="E959" s="66"/>
      <c r="F959" s="66"/>
      <c r="G959" s="66"/>
      <c r="H959" s="66"/>
      <c r="I959" s="66"/>
      <c r="J959" s="66"/>
      <c r="K959" s="66"/>
      <c r="L959" s="66"/>
      <c r="M959" s="66"/>
      <c r="N959" s="66"/>
    </row>
    <row r="960" spans="1:14" x14ac:dyDescent="0.2">
      <c r="A960" s="84"/>
      <c r="B960" s="84"/>
      <c r="C960" s="60"/>
      <c r="D960" s="66"/>
      <c r="E960" s="66"/>
      <c r="F960" s="66"/>
      <c r="G960" s="66"/>
      <c r="H960" s="66"/>
      <c r="I960" s="66"/>
      <c r="J960" s="66"/>
      <c r="K960" s="66"/>
      <c r="L960" s="66"/>
      <c r="M960" s="66"/>
      <c r="N960" s="66"/>
    </row>
    <row r="961" spans="1:14" x14ac:dyDescent="0.2">
      <c r="A961" s="84"/>
      <c r="B961" s="84"/>
      <c r="C961" s="60"/>
      <c r="D961" s="66"/>
      <c r="E961" s="66"/>
      <c r="F961" s="66"/>
      <c r="G961" s="66"/>
      <c r="H961" s="66"/>
      <c r="I961" s="66"/>
      <c r="J961" s="66"/>
      <c r="K961" s="66"/>
      <c r="L961" s="66"/>
      <c r="M961" s="66"/>
      <c r="N961" s="66"/>
    </row>
    <row r="962" spans="1:14" x14ac:dyDescent="0.2">
      <c r="A962" s="84"/>
      <c r="B962" s="84"/>
      <c r="C962" s="60"/>
      <c r="D962" s="66"/>
      <c r="E962" s="66"/>
      <c r="F962" s="66"/>
      <c r="G962" s="66"/>
      <c r="H962" s="66"/>
      <c r="I962" s="66"/>
      <c r="J962" s="66"/>
      <c r="K962" s="66"/>
      <c r="L962" s="66"/>
      <c r="M962" s="66"/>
      <c r="N962" s="66"/>
    </row>
    <row r="963" spans="1:14" x14ac:dyDescent="0.2">
      <c r="A963" s="84"/>
      <c r="B963" s="84"/>
      <c r="C963" s="60"/>
      <c r="D963" s="66"/>
      <c r="E963" s="66"/>
      <c r="F963" s="66"/>
      <c r="G963" s="66"/>
      <c r="H963" s="66"/>
      <c r="I963" s="66"/>
      <c r="J963" s="66"/>
      <c r="K963" s="66"/>
      <c r="L963" s="66"/>
      <c r="M963" s="66"/>
      <c r="N963" s="66"/>
    </row>
    <row r="964" spans="1:14" x14ac:dyDescent="0.2">
      <c r="A964" s="84"/>
      <c r="B964" s="84"/>
      <c r="C964" s="60"/>
      <c r="D964" s="66"/>
      <c r="E964" s="66"/>
      <c r="F964" s="66"/>
      <c r="G964" s="66"/>
      <c r="H964" s="66"/>
      <c r="I964" s="66"/>
      <c r="J964" s="66"/>
      <c r="K964" s="66"/>
      <c r="L964" s="66"/>
      <c r="M964" s="66"/>
      <c r="N964" s="66"/>
    </row>
    <row r="965" spans="1:14" x14ac:dyDescent="0.2">
      <c r="A965" s="84"/>
      <c r="B965" s="84"/>
      <c r="C965" s="60"/>
      <c r="D965" s="66"/>
      <c r="E965" s="66"/>
      <c r="F965" s="66"/>
      <c r="G965" s="66"/>
      <c r="H965" s="66"/>
      <c r="I965" s="66"/>
      <c r="J965" s="66"/>
      <c r="K965" s="66"/>
      <c r="L965" s="66"/>
      <c r="M965" s="66"/>
      <c r="N965" s="66"/>
    </row>
    <row r="966" spans="1:14" x14ac:dyDescent="0.2">
      <c r="A966" s="84"/>
      <c r="B966" s="84"/>
      <c r="C966" s="60"/>
      <c r="D966" s="66"/>
      <c r="E966" s="66"/>
      <c r="F966" s="66"/>
      <c r="G966" s="66"/>
      <c r="H966" s="66"/>
      <c r="I966" s="66"/>
      <c r="J966" s="66"/>
      <c r="K966" s="66"/>
      <c r="L966" s="66"/>
      <c r="M966" s="66"/>
      <c r="N966" s="66"/>
    </row>
    <row r="967" spans="1:14" x14ac:dyDescent="0.2">
      <c r="A967" s="84"/>
      <c r="B967" s="84"/>
      <c r="C967" s="60"/>
      <c r="D967" s="66"/>
      <c r="E967" s="66"/>
      <c r="F967" s="66"/>
      <c r="G967" s="66"/>
      <c r="H967" s="66"/>
      <c r="I967" s="66"/>
      <c r="J967" s="66"/>
      <c r="K967" s="66"/>
      <c r="L967" s="66"/>
      <c r="M967" s="66"/>
      <c r="N967" s="66"/>
    </row>
    <row r="968" spans="1:14" x14ac:dyDescent="0.2">
      <c r="A968" s="84"/>
      <c r="B968" s="84"/>
      <c r="C968" s="60"/>
      <c r="D968" s="66"/>
      <c r="E968" s="66"/>
      <c r="F968" s="66"/>
      <c r="G968" s="66"/>
      <c r="H968" s="66"/>
      <c r="I968" s="66"/>
      <c r="J968" s="66"/>
      <c r="K968" s="66"/>
      <c r="L968" s="66"/>
      <c r="M968" s="66"/>
      <c r="N968" s="66"/>
    </row>
    <row r="969" spans="1:14" x14ac:dyDescent="0.2">
      <c r="A969" s="84"/>
      <c r="B969" s="84"/>
      <c r="C969" s="60"/>
      <c r="D969" s="66"/>
      <c r="E969" s="66"/>
      <c r="F969" s="66"/>
      <c r="G969" s="66"/>
      <c r="H969" s="66"/>
      <c r="I969" s="66"/>
      <c r="J969" s="66"/>
      <c r="K969" s="66"/>
      <c r="L969" s="66"/>
      <c r="M969" s="66"/>
      <c r="N969" s="66"/>
    </row>
    <row r="970" spans="1:14" x14ac:dyDescent="0.2">
      <c r="A970" s="84"/>
      <c r="B970" s="84"/>
      <c r="C970" s="60"/>
      <c r="D970" s="66"/>
      <c r="E970" s="66"/>
      <c r="F970" s="66"/>
      <c r="G970" s="66"/>
      <c r="H970" s="66"/>
      <c r="I970" s="66"/>
      <c r="J970" s="66"/>
      <c r="K970" s="66"/>
      <c r="L970" s="66"/>
      <c r="M970" s="66"/>
      <c r="N970" s="66"/>
    </row>
    <row r="971" spans="1:14" x14ac:dyDescent="0.2">
      <c r="A971" s="84"/>
      <c r="B971" s="84"/>
      <c r="C971" s="60"/>
      <c r="D971" s="66"/>
      <c r="E971" s="66"/>
      <c r="F971" s="66"/>
      <c r="G971" s="66"/>
      <c r="H971" s="66"/>
      <c r="I971" s="66"/>
      <c r="J971" s="66"/>
      <c r="K971" s="66"/>
      <c r="L971" s="66"/>
      <c r="M971" s="66"/>
      <c r="N971" s="66"/>
    </row>
    <row r="972" spans="1:14" x14ac:dyDescent="0.2">
      <c r="A972" s="84"/>
      <c r="B972" s="84"/>
      <c r="C972" s="60"/>
      <c r="D972" s="66"/>
      <c r="E972" s="66"/>
      <c r="F972" s="66"/>
      <c r="G972" s="66"/>
      <c r="H972" s="66"/>
      <c r="I972" s="66"/>
      <c r="J972" s="66"/>
      <c r="K972" s="66"/>
      <c r="L972" s="66"/>
      <c r="M972" s="66"/>
      <c r="N972" s="66"/>
    </row>
    <row r="973" spans="1:14" x14ac:dyDescent="0.2">
      <c r="A973" s="84"/>
      <c r="B973" s="84"/>
      <c r="C973" s="60"/>
      <c r="D973" s="66"/>
      <c r="E973" s="66"/>
      <c r="F973" s="66"/>
      <c r="G973" s="66"/>
      <c r="H973" s="66"/>
      <c r="I973" s="66"/>
      <c r="J973" s="66"/>
      <c r="K973" s="66"/>
      <c r="L973" s="66"/>
      <c r="M973" s="66"/>
      <c r="N973" s="66"/>
    </row>
    <row r="974" spans="1:14" x14ac:dyDescent="0.2">
      <c r="A974" s="84"/>
      <c r="B974" s="84"/>
      <c r="C974" s="60"/>
      <c r="D974" s="66"/>
      <c r="E974" s="66"/>
      <c r="F974" s="66"/>
      <c r="G974" s="66"/>
      <c r="H974" s="66"/>
      <c r="I974" s="66"/>
      <c r="J974" s="66"/>
      <c r="K974" s="66"/>
      <c r="L974" s="66"/>
      <c r="M974" s="66"/>
      <c r="N974" s="66"/>
    </row>
    <row r="975" spans="1:14" x14ac:dyDescent="0.2">
      <c r="A975" s="84"/>
      <c r="B975" s="84"/>
      <c r="C975" s="60"/>
      <c r="D975" s="66"/>
      <c r="E975" s="66"/>
      <c r="F975" s="66"/>
      <c r="G975" s="66"/>
      <c r="H975" s="66"/>
      <c r="I975" s="66"/>
      <c r="J975" s="66"/>
      <c r="K975" s="66"/>
      <c r="L975" s="66"/>
      <c r="M975" s="66"/>
      <c r="N975" s="66"/>
    </row>
    <row r="976" spans="1:14" x14ac:dyDescent="0.2">
      <c r="A976" s="84"/>
      <c r="B976" s="84"/>
      <c r="C976" s="60"/>
      <c r="D976" s="66"/>
      <c r="E976" s="66"/>
      <c r="F976" s="66"/>
      <c r="G976" s="66"/>
      <c r="H976" s="66"/>
      <c r="I976" s="66"/>
      <c r="J976" s="66"/>
      <c r="K976" s="66"/>
      <c r="L976" s="66"/>
      <c r="M976" s="66"/>
      <c r="N976" s="66"/>
    </row>
    <row r="977" spans="1:14" x14ac:dyDescent="0.2">
      <c r="A977" s="84"/>
      <c r="B977" s="84"/>
      <c r="C977" s="60"/>
      <c r="D977" s="66"/>
      <c r="E977" s="66"/>
      <c r="F977" s="66"/>
      <c r="G977" s="66"/>
      <c r="H977" s="66"/>
      <c r="I977" s="66"/>
      <c r="J977" s="66"/>
      <c r="K977" s="66"/>
      <c r="L977" s="66"/>
      <c r="M977" s="66"/>
      <c r="N977" s="66"/>
    </row>
    <row r="978" spans="1:14" x14ac:dyDescent="0.2">
      <c r="A978" s="84"/>
      <c r="B978" s="84"/>
      <c r="C978" s="60"/>
      <c r="D978" s="66"/>
      <c r="E978" s="66"/>
      <c r="F978" s="66"/>
      <c r="G978" s="66"/>
      <c r="H978" s="66"/>
      <c r="I978" s="66"/>
      <c r="J978" s="66"/>
      <c r="K978" s="66"/>
      <c r="L978" s="66"/>
      <c r="M978" s="66"/>
      <c r="N978" s="66"/>
    </row>
    <row r="979" spans="1:14" x14ac:dyDescent="0.2">
      <c r="A979" s="84"/>
      <c r="B979" s="84"/>
      <c r="C979" s="60"/>
      <c r="D979" s="66"/>
      <c r="E979" s="66"/>
      <c r="F979" s="66"/>
      <c r="G979" s="66"/>
      <c r="H979" s="66"/>
      <c r="I979" s="66"/>
      <c r="J979" s="66"/>
      <c r="K979" s="66"/>
      <c r="L979" s="66"/>
      <c r="M979" s="66"/>
      <c r="N979" s="66"/>
    </row>
    <row r="980" spans="1:14" x14ac:dyDescent="0.2">
      <c r="A980" s="84"/>
      <c r="B980" s="84"/>
      <c r="C980" s="60"/>
      <c r="D980" s="66"/>
      <c r="E980" s="66"/>
      <c r="F980" s="66"/>
      <c r="G980" s="66"/>
      <c r="H980" s="66"/>
      <c r="I980" s="66"/>
      <c r="J980" s="66"/>
      <c r="K980" s="66"/>
      <c r="L980" s="66"/>
      <c r="M980" s="66"/>
      <c r="N980" s="66"/>
    </row>
    <row r="981" spans="1:14" x14ac:dyDescent="0.2">
      <c r="A981" s="84"/>
      <c r="B981" s="84"/>
      <c r="C981" s="60"/>
      <c r="D981" s="66"/>
      <c r="E981" s="66"/>
      <c r="F981" s="66"/>
      <c r="G981" s="66"/>
      <c r="H981" s="66"/>
      <c r="I981" s="66"/>
      <c r="J981" s="66"/>
      <c r="K981" s="66"/>
      <c r="L981" s="66"/>
      <c r="M981" s="66"/>
      <c r="N981" s="66"/>
    </row>
    <row r="982" spans="1:14" x14ac:dyDescent="0.2">
      <c r="A982" s="84"/>
      <c r="B982" s="84"/>
      <c r="C982" s="60"/>
      <c r="D982" s="66"/>
      <c r="E982" s="66"/>
      <c r="F982" s="66"/>
      <c r="G982" s="66"/>
      <c r="H982" s="66"/>
      <c r="I982" s="66"/>
      <c r="J982" s="66"/>
      <c r="K982" s="66"/>
      <c r="L982" s="66"/>
      <c r="M982" s="66"/>
      <c r="N982" s="66"/>
    </row>
    <row r="983" spans="1:14" x14ac:dyDescent="0.2">
      <c r="A983" s="84"/>
      <c r="B983" s="84"/>
      <c r="C983" s="60"/>
      <c r="D983" s="66"/>
      <c r="E983" s="66"/>
      <c r="F983" s="66"/>
      <c r="G983" s="66"/>
      <c r="H983" s="66"/>
      <c r="I983" s="66"/>
      <c r="J983" s="66"/>
      <c r="K983" s="66"/>
      <c r="L983" s="66"/>
      <c r="M983" s="66"/>
      <c r="N983" s="66"/>
    </row>
    <row r="984" spans="1:14" x14ac:dyDescent="0.2">
      <c r="A984" s="84"/>
      <c r="B984" s="84"/>
      <c r="C984" s="60"/>
      <c r="D984" s="66"/>
      <c r="E984" s="66"/>
      <c r="F984" s="66"/>
      <c r="G984" s="66"/>
      <c r="H984" s="66"/>
      <c r="I984" s="66"/>
      <c r="J984" s="66"/>
      <c r="K984" s="66"/>
      <c r="L984" s="66"/>
      <c r="M984" s="66"/>
      <c r="N984" s="66"/>
    </row>
    <row r="985" spans="1:14" x14ac:dyDescent="0.2">
      <c r="A985" s="84"/>
      <c r="B985" s="84"/>
      <c r="C985" s="60"/>
      <c r="D985" s="66"/>
      <c r="E985" s="66"/>
      <c r="F985" s="66"/>
      <c r="G985" s="66"/>
      <c r="H985" s="66"/>
      <c r="I985" s="66"/>
      <c r="J985" s="66"/>
      <c r="K985" s="66"/>
      <c r="L985" s="66"/>
      <c r="M985" s="66"/>
      <c r="N985" s="66"/>
    </row>
    <row r="986" spans="1:14" x14ac:dyDescent="0.2">
      <c r="A986" s="84"/>
      <c r="B986" s="84"/>
      <c r="C986" s="60"/>
      <c r="D986" s="66"/>
      <c r="E986" s="66"/>
      <c r="F986" s="66"/>
      <c r="G986" s="66"/>
      <c r="H986" s="66"/>
      <c r="I986" s="66"/>
      <c r="J986" s="66"/>
      <c r="K986" s="66"/>
      <c r="L986" s="66"/>
      <c r="M986" s="66"/>
      <c r="N986" s="66"/>
    </row>
    <row r="987" spans="1:14" x14ac:dyDescent="0.2">
      <c r="A987" s="84"/>
      <c r="B987" s="84"/>
      <c r="C987" s="60"/>
      <c r="D987" s="66"/>
      <c r="E987" s="66"/>
      <c r="F987" s="66"/>
      <c r="G987" s="66"/>
      <c r="H987" s="66"/>
      <c r="I987" s="66"/>
      <c r="J987" s="66"/>
      <c r="K987" s="66"/>
      <c r="L987" s="66"/>
      <c r="M987" s="66"/>
      <c r="N987" s="66"/>
    </row>
    <row r="988" spans="1:14" x14ac:dyDescent="0.2">
      <c r="A988" s="84"/>
      <c r="B988" s="84"/>
      <c r="C988" s="60"/>
      <c r="D988" s="66"/>
      <c r="E988" s="66"/>
      <c r="F988" s="66"/>
      <c r="G988" s="66"/>
      <c r="H988" s="66"/>
      <c r="I988" s="66"/>
      <c r="J988" s="66"/>
      <c r="K988" s="66"/>
      <c r="L988" s="66"/>
      <c r="M988" s="66"/>
      <c r="N988" s="66"/>
    </row>
    <row r="989" spans="1:14" x14ac:dyDescent="0.2">
      <c r="A989" s="84"/>
      <c r="B989" s="84"/>
      <c r="C989" s="60"/>
      <c r="D989" s="66"/>
      <c r="E989" s="66"/>
      <c r="F989" s="66"/>
      <c r="G989" s="66"/>
      <c r="H989" s="66"/>
      <c r="I989" s="66"/>
      <c r="J989" s="66"/>
      <c r="K989" s="66"/>
      <c r="L989" s="66"/>
      <c r="M989" s="66"/>
      <c r="N989" s="66"/>
    </row>
    <row r="990" spans="1:14" x14ac:dyDescent="0.2">
      <c r="A990" s="84"/>
      <c r="B990" s="84"/>
      <c r="C990" s="60"/>
      <c r="D990" s="66"/>
      <c r="E990" s="66"/>
      <c r="F990" s="66"/>
      <c r="G990" s="66"/>
      <c r="H990" s="66"/>
      <c r="I990" s="66"/>
      <c r="J990" s="66"/>
      <c r="K990" s="66"/>
      <c r="L990" s="66"/>
      <c r="M990" s="66"/>
      <c r="N990" s="66"/>
    </row>
    <row r="991" spans="1:14" x14ac:dyDescent="0.2">
      <c r="A991" s="84"/>
      <c r="B991" s="84"/>
      <c r="C991" s="60"/>
      <c r="D991" s="66"/>
      <c r="E991" s="66"/>
      <c r="F991" s="66"/>
      <c r="G991" s="66"/>
      <c r="H991" s="66"/>
      <c r="I991" s="66"/>
      <c r="J991" s="66"/>
      <c r="K991" s="66"/>
      <c r="L991" s="66"/>
      <c r="M991" s="66"/>
      <c r="N991" s="66"/>
    </row>
    <row r="992" spans="1:14" x14ac:dyDescent="0.2">
      <c r="A992" s="84"/>
      <c r="B992" s="84"/>
      <c r="C992" s="60"/>
      <c r="D992" s="66"/>
      <c r="E992" s="66"/>
      <c r="F992" s="66"/>
      <c r="G992" s="66"/>
      <c r="H992" s="66"/>
      <c r="I992" s="66"/>
      <c r="J992" s="66"/>
      <c r="K992" s="66"/>
      <c r="L992" s="66"/>
      <c r="M992" s="66"/>
      <c r="N992" s="66"/>
    </row>
    <row r="993" spans="1:14" x14ac:dyDescent="0.2">
      <c r="A993" s="84"/>
      <c r="B993" s="84"/>
      <c r="C993" s="60"/>
      <c r="D993" s="66"/>
      <c r="E993" s="66"/>
      <c r="F993" s="66"/>
      <c r="G993" s="66"/>
      <c r="H993" s="66"/>
      <c r="I993" s="66"/>
      <c r="J993" s="66"/>
      <c r="K993" s="66"/>
      <c r="L993" s="66"/>
      <c r="M993" s="66"/>
      <c r="N993" s="66"/>
    </row>
    <row r="994" spans="1:14" x14ac:dyDescent="0.2">
      <c r="A994" s="84"/>
      <c r="B994" s="84"/>
      <c r="C994" s="60"/>
      <c r="D994" s="66"/>
      <c r="E994" s="66"/>
      <c r="F994" s="66"/>
      <c r="G994" s="66"/>
      <c r="H994" s="66"/>
      <c r="I994" s="66"/>
      <c r="J994" s="66"/>
      <c r="K994" s="66"/>
      <c r="L994" s="66"/>
      <c r="M994" s="66"/>
      <c r="N994" s="66"/>
    </row>
    <row r="995" spans="1:14" x14ac:dyDescent="0.2">
      <c r="A995" s="84"/>
      <c r="B995" s="84"/>
      <c r="C995" s="60"/>
      <c r="D995" s="66"/>
      <c r="E995" s="66"/>
      <c r="F995" s="66"/>
      <c r="G995" s="66"/>
      <c r="H995" s="66"/>
      <c r="I995" s="66"/>
      <c r="J995" s="66"/>
      <c r="K995" s="66"/>
      <c r="L995" s="66"/>
      <c r="M995" s="66"/>
      <c r="N995" s="66"/>
    </row>
    <row r="996" spans="1:14" x14ac:dyDescent="0.2">
      <c r="A996" s="84"/>
      <c r="B996" s="84"/>
      <c r="C996" s="60"/>
      <c r="D996" s="66"/>
      <c r="E996" s="66"/>
      <c r="F996" s="66"/>
      <c r="G996" s="66"/>
      <c r="H996" s="66"/>
      <c r="I996" s="66"/>
      <c r="J996" s="66"/>
      <c r="K996" s="66"/>
      <c r="L996" s="66"/>
      <c r="M996" s="66"/>
      <c r="N996" s="66"/>
    </row>
    <row r="997" spans="1:14" x14ac:dyDescent="0.2">
      <c r="A997" s="84"/>
      <c r="B997" s="84"/>
      <c r="C997" s="60"/>
      <c r="D997" s="66"/>
      <c r="E997" s="66"/>
      <c r="F997" s="66"/>
      <c r="G997" s="66"/>
      <c r="H997" s="66"/>
      <c r="I997" s="66"/>
      <c r="J997" s="66"/>
      <c r="K997" s="66"/>
      <c r="L997" s="66"/>
      <c r="M997" s="66"/>
      <c r="N997" s="66"/>
    </row>
    <row r="998" spans="1:14" x14ac:dyDescent="0.2">
      <c r="A998" s="84"/>
      <c r="B998" s="84"/>
      <c r="C998" s="60"/>
      <c r="D998" s="66"/>
      <c r="E998" s="66"/>
      <c r="F998" s="66"/>
      <c r="G998" s="66"/>
      <c r="H998" s="66"/>
      <c r="I998" s="66"/>
      <c r="J998" s="66"/>
      <c r="K998" s="66"/>
      <c r="L998" s="66"/>
      <c r="M998" s="66"/>
      <c r="N998" s="66"/>
    </row>
    <row r="999" spans="1:14" x14ac:dyDescent="0.2">
      <c r="A999" s="84"/>
      <c r="B999" s="84"/>
      <c r="C999" s="60"/>
      <c r="D999" s="66"/>
      <c r="E999" s="66"/>
      <c r="F999" s="66"/>
      <c r="G999" s="66"/>
      <c r="H999" s="66"/>
      <c r="I999" s="66"/>
      <c r="J999" s="66"/>
      <c r="K999" s="66"/>
      <c r="L999" s="66"/>
      <c r="M999" s="66"/>
      <c r="N999" s="66"/>
    </row>
    <row r="1000" spans="1:14" x14ac:dyDescent="0.2">
      <c r="A1000" s="84"/>
      <c r="B1000" s="84"/>
      <c r="C1000" s="60"/>
      <c r="D1000" s="66"/>
      <c r="E1000" s="66"/>
      <c r="F1000" s="66"/>
      <c r="G1000" s="66"/>
      <c r="H1000" s="66"/>
      <c r="I1000" s="66"/>
      <c r="J1000" s="66"/>
      <c r="K1000" s="66"/>
      <c r="L1000" s="66"/>
      <c r="M1000" s="66"/>
      <c r="N1000" s="66"/>
    </row>
    <row r="1001" spans="1:14" x14ac:dyDescent="0.2">
      <c r="A1001" s="84"/>
      <c r="B1001" s="84"/>
      <c r="C1001" s="60"/>
      <c r="D1001" s="66"/>
      <c r="E1001" s="66"/>
      <c r="F1001" s="66"/>
      <c r="G1001" s="66"/>
      <c r="H1001" s="66"/>
      <c r="I1001" s="66"/>
      <c r="J1001" s="66"/>
      <c r="K1001" s="66"/>
      <c r="L1001" s="66"/>
      <c r="M1001" s="66"/>
      <c r="N1001" s="66"/>
    </row>
    <row r="1002" spans="1:14" x14ac:dyDescent="0.2">
      <c r="A1002" s="84"/>
      <c r="B1002" s="84"/>
      <c r="C1002" s="60"/>
      <c r="D1002" s="66"/>
      <c r="E1002" s="66"/>
      <c r="F1002" s="66"/>
      <c r="G1002" s="66"/>
      <c r="H1002" s="66"/>
      <c r="I1002" s="66"/>
      <c r="J1002" s="66"/>
      <c r="K1002" s="66"/>
      <c r="L1002" s="66"/>
      <c r="M1002" s="66"/>
      <c r="N1002" s="66"/>
    </row>
    <row r="1003" spans="1:14" x14ac:dyDescent="0.2">
      <c r="A1003" s="84"/>
      <c r="B1003" s="84"/>
      <c r="C1003" s="60"/>
      <c r="D1003" s="66"/>
      <c r="E1003" s="66"/>
      <c r="F1003" s="66"/>
      <c r="G1003" s="66"/>
      <c r="H1003" s="66"/>
      <c r="I1003" s="66"/>
      <c r="J1003" s="66"/>
      <c r="K1003" s="66"/>
      <c r="L1003" s="66"/>
      <c r="M1003" s="66"/>
      <c r="N1003" s="66"/>
    </row>
    <row r="1004" spans="1:14" x14ac:dyDescent="0.2">
      <c r="A1004" s="84"/>
      <c r="B1004" s="84"/>
      <c r="C1004" s="60"/>
      <c r="D1004" s="66"/>
      <c r="E1004" s="66"/>
      <c r="F1004" s="66"/>
      <c r="G1004" s="66"/>
      <c r="H1004" s="66"/>
      <c r="I1004" s="66"/>
      <c r="J1004" s="66"/>
      <c r="K1004" s="66"/>
      <c r="L1004" s="66"/>
      <c r="M1004" s="66"/>
      <c r="N1004" s="66"/>
    </row>
    <row r="1005" spans="1:14" x14ac:dyDescent="0.2">
      <c r="A1005" s="84"/>
      <c r="B1005" s="84"/>
      <c r="C1005" s="60"/>
      <c r="D1005" s="66"/>
      <c r="E1005" s="66"/>
      <c r="F1005" s="66"/>
      <c r="G1005" s="66"/>
      <c r="H1005" s="66"/>
      <c r="I1005" s="66"/>
      <c r="J1005" s="66"/>
      <c r="K1005" s="66"/>
      <c r="L1005" s="66"/>
      <c r="M1005" s="66"/>
      <c r="N1005" s="66"/>
    </row>
    <row r="1006" spans="1:14" x14ac:dyDescent="0.2">
      <c r="A1006" s="84"/>
      <c r="B1006" s="84"/>
      <c r="C1006" s="60"/>
      <c r="D1006" s="66"/>
      <c r="E1006" s="66"/>
      <c r="F1006" s="66"/>
      <c r="G1006" s="66"/>
      <c r="H1006" s="66"/>
      <c r="I1006" s="66"/>
      <c r="J1006" s="66"/>
      <c r="K1006" s="66"/>
      <c r="L1006" s="66"/>
      <c r="M1006" s="66"/>
      <c r="N1006" s="66"/>
    </row>
    <row r="1007" spans="1:14" x14ac:dyDescent="0.2">
      <c r="A1007" s="84"/>
      <c r="B1007" s="84"/>
      <c r="C1007" s="60"/>
      <c r="D1007" s="66"/>
      <c r="E1007" s="66"/>
      <c r="F1007" s="66"/>
      <c r="G1007" s="66"/>
      <c r="H1007" s="66"/>
      <c r="I1007" s="66"/>
      <c r="J1007" s="66"/>
      <c r="K1007" s="66"/>
      <c r="L1007" s="66"/>
      <c r="M1007" s="66"/>
      <c r="N1007" s="66"/>
    </row>
    <row r="1008" spans="1:14" x14ac:dyDescent="0.2">
      <c r="A1008" s="84"/>
      <c r="B1008" s="84"/>
      <c r="C1008" s="60"/>
      <c r="D1008" s="66"/>
      <c r="E1008" s="66"/>
      <c r="F1008" s="66"/>
      <c r="G1008" s="66"/>
      <c r="H1008" s="66"/>
      <c r="I1008" s="66"/>
      <c r="J1008" s="66"/>
      <c r="K1008" s="66"/>
      <c r="L1008" s="66"/>
      <c r="M1008" s="66"/>
      <c r="N1008" s="66"/>
    </row>
    <row r="1009" spans="1:14" x14ac:dyDescent="0.2">
      <c r="A1009" s="84"/>
      <c r="B1009" s="84"/>
      <c r="C1009" s="60"/>
      <c r="D1009" s="66"/>
      <c r="E1009" s="66"/>
      <c r="F1009" s="66"/>
      <c r="G1009" s="66"/>
      <c r="H1009" s="66"/>
      <c r="I1009" s="66"/>
      <c r="J1009" s="66"/>
      <c r="K1009" s="66"/>
      <c r="L1009" s="66"/>
      <c r="M1009" s="66"/>
      <c r="N1009" s="66"/>
    </row>
    <row r="1010" spans="1:14" x14ac:dyDescent="0.2">
      <c r="A1010" s="84"/>
      <c r="B1010" s="84"/>
      <c r="C1010" s="60"/>
      <c r="D1010" s="66"/>
      <c r="E1010" s="66"/>
      <c r="F1010" s="66"/>
      <c r="G1010" s="66"/>
      <c r="H1010" s="66"/>
      <c r="I1010" s="66"/>
      <c r="J1010" s="66"/>
      <c r="K1010" s="66"/>
      <c r="L1010" s="66"/>
      <c r="M1010" s="66"/>
      <c r="N1010" s="66"/>
    </row>
    <row r="1011" spans="1:14" x14ac:dyDescent="0.2">
      <c r="A1011" s="84"/>
      <c r="B1011" s="84"/>
      <c r="C1011" s="60"/>
      <c r="D1011" s="66"/>
      <c r="E1011" s="66"/>
      <c r="F1011" s="66"/>
      <c r="G1011" s="66"/>
      <c r="H1011" s="66"/>
      <c r="I1011" s="66"/>
      <c r="J1011" s="66"/>
      <c r="K1011" s="66"/>
      <c r="L1011" s="66"/>
      <c r="M1011" s="66"/>
      <c r="N1011" s="66"/>
    </row>
    <row r="1012" spans="1:14" x14ac:dyDescent="0.2">
      <c r="A1012" s="84"/>
      <c r="B1012" s="84"/>
      <c r="C1012" s="60"/>
      <c r="D1012" s="66"/>
      <c r="E1012" s="66"/>
      <c r="F1012" s="66"/>
      <c r="G1012" s="66"/>
      <c r="H1012" s="66"/>
      <c r="I1012" s="66"/>
      <c r="J1012" s="66"/>
      <c r="K1012" s="66"/>
      <c r="L1012" s="66"/>
      <c r="M1012" s="66"/>
      <c r="N1012" s="66"/>
    </row>
    <row r="1013" spans="1:14" x14ac:dyDescent="0.2">
      <c r="A1013" s="84"/>
      <c r="B1013" s="84"/>
      <c r="C1013" s="60"/>
      <c r="D1013" s="66"/>
      <c r="E1013" s="66"/>
      <c r="F1013" s="66"/>
      <c r="G1013" s="66"/>
      <c r="H1013" s="66"/>
      <c r="I1013" s="66"/>
      <c r="J1013" s="66"/>
      <c r="K1013" s="66"/>
      <c r="L1013" s="66"/>
      <c r="M1013" s="66"/>
      <c r="N1013" s="66"/>
    </row>
    <row r="1014" spans="1:14" x14ac:dyDescent="0.2">
      <c r="A1014" s="84"/>
      <c r="B1014" s="84"/>
      <c r="C1014" s="60"/>
      <c r="D1014" s="66"/>
      <c r="E1014" s="66"/>
      <c r="F1014" s="66"/>
      <c r="G1014" s="66"/>
      <c r="H1014" s="66"/>
      <c r="I1014" s="66"/>
      <c r="J1014" s="66"/>
      <c r="K1014" s="66"/>
      <c r="L1014" s="66"/>
      <c r="M1014" s="66"/>
      <c r="N1014" s="66"/>
    </row>
    <row r="1015" spans="1:14" x14ac:dyDescent="0.2">
      <c r="A1015" s="84"/>
      <c r="B1015" s="84"/>
      <c r="C1015" s="60"/>
      <c r="D1015" s="66"/>
      <c r="E1015" s="66"/>
      <c r="F1015" s="66"/>
      <c r="G1015" s="66"/>
      <c r="H1015" s="66"/>
      <c r="I1015" s="66"/>
      <c r="J1015" s="66"/>
      <c r="K1015" s="66"/>
      <c r="L1015" s="66"/>
      <c r="M1015" s="66"/>
      <c r="N1015" s="66"/>
    </row>
    <row r="1016" spans="1:14" x14ac:dyDescent="0.2">
      <c r="A1016" s="84"/>
      <c r="B1016" s="84"/>
      <c r="C1016" s="60"/>
      <c r="D1016" s="66"/>
      <c r="E1016" s="66"/>
      <c r="F1016" s="66"/>
      <c r="G1016" s="66"/>
      <c r="H1016" s="66"/>
      <c r="I1016" s="66"/>
      <c r="J1016" s="66"/>
      <c r="K1016" s="66"/>
      <c r="L1016" s="66"/>
      <c r="M1016" s="66"/>
      <c r="N1016" s="66"/>
    </row>
    <row r="1017" spans="1:14" x14ac:dyDescent="0.2">
      <c r="A1017" s="84"/>
      <c r="B1017" s="84"/>
      <c r="C1017" s="60"/>
      <c r="D1017" s="66"/>
      <c r="E1017" s="66"/>
      <c r="F1017" s="66"/>
      <c r="G1017" s="66"/>
      <c r="H1017" s="66"/>
      <c r="I1017" s="66"/>
      <c r="J1017" s="66"/>
      <c r="K1017" s="66"/>
      <c r="L1017" s="66"/>
      <c r="M1017" s="66"/>
      <c r="N1017" s="66"/>
    </row>
    <row r="1018" spans="1:14" x14ac:dyDescent="0.2">
      <c r="A1018" s="84"/>
      <c r="B1018" s="84"/>
      <c r="C1018" s="60"/>
      <c r="D1018" s="66"/>
      <c r="E1018" s="66"/>
      <c r="F1018" s="66"/>
      <c r="G1018" s="66"/>
      <c r="H1018" s="66"/>
      <c r="I1018" s="66"/>
      <c r="J1018" s="66"/>
      <c r="K1018" s="66"/>
      <c r="L1018" s="66"/>
      <c r="M1018" s="66"/>
      <c r="N1018" s="66"/>
    </row>
    <row r="1019" spans="1:14" x14ac:dyDescent="0.2">
      <c r="A1019" s="84"/>
      <c r="B1019" s="84"/>
      <c r="C1019" s="60"/>
      <c r="D1019" s="66"/>
      <c r="E1019" s="66"/>
      <c r="F1019" s="66"/>
      <c r="G1019" s="66"/>
      <c r="H1019" s="66"/>
      <c r="I1019" s="66"/>
      <c r="J1019" s="66"/>
      <c r="K1019" s="66"/>
      <c r="L1019" s="66"/>
      <c r="M1019" s="66"/>
      <c r="N1019" s="66"/>
    </row>
    <row r="1020" spans="1:14" x14ac:dyDescent="0.2">
      <c r="A1020" s="84"/>
      <c r="B1020" s="84"/>
      <c r="C1020" s="60"/>
      <c r="D1020" s="66"/>
      <c r="E1020" s="66"/>
      <c r="F1020" s="66"/>
      <c r="G1020" s="66"/>
      <c r="H1020" s="66"/>
      <c r="I1020" s="66"/>
      <c r="J1020" s="66"/>
      <c r="K1020" s="66"/>
      <c r="L1020" s="66"/>
      <c r="M1020" s="66"/>
      <c r="N1020" s="66"/>
    </row>
    <row r="1021" spans="1:14" x14ac:dyDescent="0.2">
      <c r="A1021" s="84"/>
      <c r="B1021" s="84"/>
      <c r="C1021" s="60"/>
      <c r="D1021" s="66"/>
      <c r="E1021" s="66"/>
      <c r="F1021" s="66"/>
      <c r="G1021" s="66"/>
      <c r="H1021" s="66"/>
      <c r="I1021" s="66"/>
      <c r="J1021" s="66"/>
      <c r="K1021" s="66"/>
      <c r="L1021" s="66"/>
      <c r="M1021" s="66"/>
      <c r="N1021" s="66"/>
    </row>
    <row r="1022" spans="1:14" x14ac:dyDescent="0.2">
      <c r="A1022" s="84"/>
      <c r="B1022" s="84"/>
      <c r="C1022" s="60"/>
      <c r="D1022" s="66"/>
      <c r="E1022" s="66"/>
      <c r="F1022" s="66"/>
      <c r="G1022" s="66"/>
      <c r="H1022" s="66"/>
      <c r="I1022" s="66"/>
      <c r="J1022" s="66"/>
      <c r="K1022" s="66"/>
      <c r="L1022" s="66"/>
      <c r="M1022" s="66"/>
      <c r="N1022" s="66"/>
    </row>
    <row r="1023" spans="1:14" x14ac:dyDescent="0.2">
      <c r="A1023" s="84"/>
      <c r="B1023" s="84"/>
      <c r="C1023" s="60"/>
      <c r="D1023" s="66"/>
      <c r="E1023" s="66"/>
      <c r="F1023" s="66"/>
      <c r="G1023" s="66"/>
      <c r="H1023" s="66"/>
      <c r="I1023" s="66"/>
      <c r="J1023" s="66"/>
      <c r="K1023" s="66"/>
      <c r="L1023" s="66"/>
      <c r="M1023" s="66"/>
      <c r="N1023" s="66"/>
    </row>
    <row r="1024" spans="1:14" x14ac:dyDescent="0.2">
      <c r="A1024" s="84"/>
      <c r="B1024" s="84"/>
      <c r="C1024" s="60"/>
      <c r="D1024" s="66"/>
      <c r="E1024" s="66"/>
      <c r="F1024" s="66"/>
      <c r="G1024" s="66"/>
      <c r="H1024" s="66"/>
      <c r="I1024" s="66"/>
      <c r="J1024" s="66"/>
      <c r="K1024" s="66"/>
      <c r="L1024" s="66"/>
      <c r="M1024" s="66"/>
      <c r="N1024" s="66"/>
    </row>
    <row r="1025" spans="1:14" x14ac:dyDescent="0.2">
      <c r="A1025" s="84"/>
      <c r="B1025" s="84"/>
      <c r="C1025" s="60"/>
      <c r="D1025" s="66"/>
      <c r="E1025" s="66"/>
      <c r="F1025" s="66"/>
      <c r="G1025" s="66"/>
      <c r="H1025" s="66"/>
      <c r="I1025" s="66"/>
      <c r="J1025" s="66"/>
      <c r="K1025" s="66"/>
      <c r="L1025" s="66"/>
      <c r="M1025" s="66"/>
      <c r="N1025" s="66"/>
    </row>
    <row r="1026" spans="1:14" x14ac:dyDescent="0.2">
      <c r="A1026" s="84"/>
      <c r="B1026" s="84"/>
      <c r="C1026" s="60"/>
      <c r="D1026" s="66"/>
      <c r="E1026" s="66"/>
      <c r="F1026" s="66"/>
      <c r="G1026" s="66"/>
      <c r="H1026" s="66"/>
      <c r="I1026" s="66"/>
      <c r="J1026" s="66"/>
      <c r="K1026" s="66"/>
      <c r="L1026" s="66"/>
      <c r="M1026" s="66"/>
      <c r="N1026" s="66"/>
    </row>
    <row r="1027" spans="1:14" x14ac:dyDescent="0.2">
      <c r="A1027" s="84"/>
      <c r="B1027" s="84"/>
      <c r="C1027" s="60"/>
      <c r="D1027" s="66"/>
      <c r="E1027" s="66"/>
      <c r="F1027" s="66"/>
      <c r="G1027" s="66"/>
      <c r="H1027" s="66"/>
      <c r="I1027" s="66"/>
      <c r="J1027" s="66"/>
      <c r="K1027" s="66"/>
      <c r="L1027" s="66"/>
      <c r="M1027" s="66"/>
      <c r="N1027" s="66"/>
    </row>
    <row r="1028" spans="1:14" x14ac:dyDescent="0.2">
      <c r="A1028" s="84"/>
      <c r="B1028" s="84"/>
      <c r="C1028" s="60"/>
      <c r="D1028" s="66"/>
      <c r="E1028" s="66"/>
      <c r="F1028" s="66"/>
      <c r="G1028" s="66"/>
      <c r="H1028" s="66"/>
      <c r="I1028" s="66"/>
      <c r="J1028" s="66"/>
      <c r="K1028" s="66"/>
      <c r="L1028" s="66"/>
      <c r="M1028" s="66"/>
      <c r="N1028" s="66"/>
    </row>
    <row r="1029" spans="1:14" x14ac:dyDescent="0.2">
      <c r="A1029" s="84"/>
      <c r="B1029" s="84"/>
      <c r="C1029" s="60"/>
      <c r="D1029" s="66"/>
      <c r="E1029" s="66"/>
      <c r="F1029" s="66"/>
      <c r="G1029" s="66"/>
      <c r="H1029" s="66"/>
      <c r="I1029" s="66"/>
      <c r="J1029" s="66"/>
      <c r="K1029" s="66"/>
      <c r="L1029" s="66"/>
      <c r="M1029" s="66"/>
      <c r="N1029" s="66"/>
    </row>
    <row r="1030" spans="1:14" x14ac:dyDescent="0.2">
      <c r="A1030" s="84"/>
      <c r="B1030" s="84"/>
      <c r="C1030" s="60"/>
      <c r="D1030" s="66"/>
      <c r="E1030" s="66"/>
      <c r="F1030" s="66"/>
      <c r="G1030" s="66"/>
      <c r="H1030" s="66"/>
      <c r="I1030" s="66"/>
      <c r="J1030" s="66"/>
      <c r="K1030" s="66"/>
      <c r="L1030" s="66"/>
      <c r="M1030" s="66"/>
      <c r="N1030" s="66"/>
    </row>
    <row r="1031" spans="1:14" x14ac:dyDescent="0.2">
      <c r="A1031" s="84"/>
      <c r="B1031" s="84"/>
      <c r="C1031" s="60"/>
      <c r="D1031" s="66"/>
      <c r="E1031" s="66"/>
      <c r="F1031" s="66"/>
      <c r="G1031" s="66"/>
      <c r="H1031" s="66"/>
      <c r="I1031" s="66"/>
      <c r="J1031" s="66"/>
      <c r="K1031" s="66"/>
      <c r="L1031" s="66"/>
      <c r="M1031" s="66"/>
      <c r="N1031" s="66"/>
    </row>
    <row r="1032" spans="1:14" x14ac:dyDescent="0.2">
      <c r="A1032" s="84"/>
      <c r="B1032" s="84"/>
      <c r="C1032" s="60"/>
      <c r="D1032" s="66"/>
      <c r="E1032" s="66"/>
      <c r="F1032" s="66"/>
      <c r="G1032" s="66"/>
      <c r="H1032" s="66"/>
      <c r="I1032" s="66"/>
      <c r="J1032" s="66"/>
      <c r="K1032" s="66"/>
      <c r="L1032" s="66"/>
      <c r="M1032" s="66"/>
      <c r="N1032" s="66"/>
    </row>
    <row r="1033" spans="1:14" x14ac:dyDescent="0.2">
      <c r="A1033" s="84"/>
      <c r="B1033" s="84"/>
      <c r="C1033" s="60"/>
      <c r="D1033" s="66"/>
      <c r="E1033" s="66"/>
      <c r="F1033" s="66"/>
      <c r="G1033" s="66"/>
      <c r="H1033" s="66"/>
      <c r="I1033" s="66"/>
      <c r="J1033" s="66"/>
      <c r="K1033" s="66"/>
      <c r="L1033" s="66"/>
      <c r="M1033" s="66"/>
      <c r="N1033" s="66"/>
    </row>
    <row r="1034" spans="1:14" x14ac:dyDescent="0.2">
      <c r="A1034" s="84"/>
      <c r="B1034" s="84"/>
      <c r="C1034" s="60"/>
      <c r="D1034" s="66"/>
      <c r="E1034" s="66"/>
      <c r="F1034" s="66"/>
      <c r="G1034" s="66"/>
      <c r="H1034" s="66"/>
      <c r="I1034" s="66"/>
      <c r="J1034" s="66"/>
      <c r="K1034" s="66"/>
      <c r="L1034" s="66"/>
      <c r="M1034" s="66"/>
      <c r="N1034" s="66"/>
    </row>
    <row r="1035" spans="1:14" x14ac:dyDescent="0.2">
      <c r="A1035" s="84"/>
      <c r="B1035" s="84"/>
      <c r="C1035" s="60"/>
      <c r="D1035" s="66"/>
      <c r="E1035" s="66"/>
      <c r="F1035" s="66"/>
      <c r="G1035" s="66"/>
      <c r="H1035" s="66"/>
      <c r="I1035" s="66"/>
      <c r="J1035" s="66"/>
      <c r="K1035" s="66"/>
      <c r="L1035" s="66"/>
      <c r="M1035" s="66"/>
      <c r="N1035" s="66"/>
    </row>
    <row r="1036" spans="1:14" x14ac:dyDescent="0.2">
      <c r="A1036" s="84"/>
      <c r="B1036" s="84"/>
      <c r="C1036" s="60"/>
      <c r="D1036" s="66"/>
      <c r="E1036" s="66"/>
      <c r="F1036" s="66"/>
      <c r="G1036" s="66"/>
      <c r="H1036" s="66"/>
      <c r="I1036" s="66"/>
      <c r="J1036" s="66"/>
      <c r="K1036" s="66"/>
      <c r="L1036" s="66"/>
      <c r="M1036" s="66"/>
      <c r="N1036" s="66"/>
    </row>
    <row r="1037" spans="1:14" x14ac:dyDescent="0.2">
      <c r="A1037" s="84"/>
      <c r="B1037" s="84"/>
      <c r="C1037" s="60"/>
      <c r="D1037" s="66"/>
      <c r="E1037" s="66"/>
      <c r="F1037" s="66"/>
      <c r="G1037" s="66"/>
      <c r="H1037" s="66"/>
      <c r="I1037" s="66"/>
      <c r="J1037" s="66"/>
      <c r="K1037" s="66"/>
      <c r="L1037" s="66"/>
      <c r="M1037" s="66"/>
      <c r="N1037" s="66"/>
    </row>
    <row r="1038" spans="1:14" x14ac:dyDescent="0.2">
      <c r="A1038" s="84"/>
      <c r="B1038" s="84"/>
      <c r="C1038" s="60"/>
      <c r="D1038" s="66"/>
      <c r="E1038" s="66"/>
      <c r="F1038" s="66"/>
      <c r="G1038" s="66"/>
      <c r="H1038" s="66"/>
      <c r="I1038" s="66"/>
      <c r="J1038" s="66"/>
      <c r="K1038" s="66"/>
      <c r="L1038" s="66"/>
      <c r="M1038" s="66"/>
      <c r="N1038" s="66"/>
    </row>
    <row r="1039" spans="1:14" x14ac:dyDescent="0.2">
      <c r="A1039" s="84"/>
      <c r="B1039" s="84"/>
      <c r="C1039" s="60"/>
      <c r="D1039" s="66"/>
      <c r="E1039" s="66"/>
      <c r="F1039" s="66"/>
      <c r="G1039" s="66"/>
      <c r="H1039" s="66"/>
      <c r="I1039" s="66"/>
      <c r="J1039" s="66"/>
      <c r="K1039" s="66"/>
      <c r="L1039" s="66"/>
      <c r="M1039" s="66"/>
      <c r="N1039" s="66"/>
    </row>
    <row r="1040" spans="1:14" x14ac:dyDescent="0.2">
      <c r="A1040" s="84"/>
      <c r="B1040" s="84"/>
      <c r="C1040" s="60"/>
      <c r="D1040" s="66"/>
      <c r="E1040" s="66"/>
      <c r="F1040" s="66"/>
      <c r="G1040" s="66"/>
      <c r="H1040" s="66"/>
      <c r="I1040" s="66"/>
      <c r="J1040" s="66"/>
      <c r="K1040" s="66"/>
      <c r="L1040" s="66"/>
      <c r="M1040" s="66"/>
      <c r="N1040" s="66"/>
    </row>
    <row r="1041" spans="1:14" x14ac:dyDescent="0.2">
      <c r="A1041" s="84"/>
      <c r="B1041" s="84"/>
      <c r="C1041" s="60"/>
      <c r="D1041" s="66"/>
      <c r="E1041" s="66"/>
      <c r="F1041" s="66"/>
      <c r="G1041" s="66"/>
      <c r="H1041" s="66"/>
      <c r="I1041" s="66"/>
      <c r="J1041" s="66"/>
      <c r="K1041" s="66"/>
      <c r="L1041" s="66"/>
      <c r="M1041" s="66"/>
      <c r="N1041" s="66"/>
    </row>
    <row r="1042" spans="1:14" x14ac:dyDescent="0.2">
      <c r="A1042" s="84"/>
      <c r="B1042" s="84"/>
      <c r="C1042" s="60"/>
      <c r="D1042" s="66"/>
      <c r="E1042" s="66"/>
      <c r="F1042" s="66"/>
      <c r="G1042" s="66"/>
      <c r="H1042" s="66"/>
      <c r="I1042" s="66"/>
      <c r="J1042" s="66"/>
      <c r="K1042" s="66"/>
      <c r="L1042" s="66"/>
      <c r="M1042" s="66"/>
      <c r="N1042" s="66"/>
    </row>
    <row r="1043" spans="1:14" x14ac:dyDescent="0.2">
      <c r="A1043" s="84"/>
      <c r="B1043" s="84"/>
      <c r="C1043" s="60"/>
      <c r="D1043" s="66"/>
      <c r="E1043" s="66"/>
      <c r="F1043" s="66"/>
      <c r="G1043" s="66"/>
      <c r="H1043" s="66"/>
      <c r="I1043" s="66"/>
      <c r="J1043" s="66"/>
      <c r="K1043" s="66"/>
      <c r="L1043" s="66"/>
      <c r="M1043" s="66"/>
      <c r="N1043" s="66"/>
    </row>
    <row r="1044" spans="1:14" x14ac:dyDescent="0.2">
      <c r="A1044" s="84"/>
      <c r="B1044" s="84"/>
      <c r="C1044" s="60"/>
      <c r="D1044" s="66"/>
      <c r="E1044" s="66"/>
      <c r="F1044" s="66"/>
      <c r="G1044" s="66"/>
      <c r="H1044" s="66"/>
      <c r="I1044" s="66"/>
      <c r="J1044" s="66"/>
      <c r="K1044" s="66"/>
      <c r="L1044" s="66"/>
      <c r="M1044" s="66"/>
      <c r="N1044" s="66"/>
    </row>
    <row r="1045" spans="1:14" x14ac:dyDescent="0.2">
      <c r="A1045" s="84"/>
      <c r="B1045" s="84"/>
      <c r="C1045" s="60"/>
      <c r="D1045" s="66"/>
      <c r="E1045" s="66"/>
      <c r="F1045" s="66"/>
      <c r="G1045" s="66"/>
      <c r="H1045" s="66"/>
      <c r="I1045" s="66"/>
      <c r="J1045" s="66"/>
      <c r="K1045" s="66"/>
      <c r="L1045" s="66"/>
      <c r="M1045" s="66"/>
      <c r="N1045" s="66"/>
    </row>
    <row r="1046" spans="1:14" x14ac:dyDescent="0.2">
      <c r="A1046" s="84"/>
      <c r="B1046" s="84"/>
      <c r="C1046" s="60"/>
      <c r="D1046" s="66"/>
      <c r="E1046" s="66"/>
      <c r="F1046" s="66"/>
      <c r="G1046" s="66"/>
      <c r="H1046" s="66"/>
      <c r="I1046" s="66"/>
      <c r="J1046" s="66"/>
      <c r="K1046" s="66"/>
      <c r="L1046" s="66"/>
      <c r="M1046" s="66"/>
      <c r="N1046" s="66"/>
    </row>
    <row r="1047" spans="1:14" x14ac:dyDescent="0.2">
      <c r="A1047" s="84"/>
      <c r="B1047" s="84"/>
      <c r="C1047" s="60"/>
      <c r="D1047" s="66"/>
      <c r="E1047" s="66"/>
      <c r="F1047" s="66"/>
      <c r="G1047" s="66"/>
      <c r="H1047" s="66"/>
      <c r="I1047" s="66"/>
      <c r="J1047" s="66"/>
      <c r="K1047" s="66"/>
      <c r="L1047" s="66"/>
      <c r="M1047" s="66"/>
      <c r="N1047" s="66"/>
    </row>
    <row r="1048" spans="1:14" x14ac:dyDescent="0.2">
      <c r="A1048" s="84"/>
      <c r="B1048" s="84"/>
      <c r="C1048" s="60"/>
      <c r="D1048" s="66"/>
      <c r="E1048" s="66"/>
      <c r="F1048" s="66"/>
      <c r="G1048" s="66"/>
      <c r="H1048" s="66"/>
      <c r="I1048" s="66"/>
      <c r="J1048" s="66"/>
      <c r="K1048" s="66"/>
      <c r="L1048" s="66"/>
      <c r="M1048" s="66"/>
      <c r="N1048" s="66"/>
    </row>
    <row r="1049" spans="1:14" x14ac:dyDescent="0.2">
      <c r="A1049" s="84"/>
      <c r="B1049" s="84"/>
      <c r="C1049" s="60"/>
      <c r="D1049" s="66"/>
      <c r="E1049" s="66"/>
      <c r="F1049" s="66"/>
      <c r="G1049" s="66"/>
      <c r="H1049" s="66"/>
      <c r="I1049" s="66"/>
      <c r="J1049" s="66"/>
      <c r="K1049" s="66"/>
      <c r="L1049" s="66"/>
      <c r="M1049" s="66"/>
      <c r="N1049" s="66"/>
    </row>
    <row r="1050" spans="1:14" x14ac:dyDescent="0.2">
      <c r="A1050" s="84"/>
      <c r="B1050" s="84"/>
      <c r="C1050" s="60"/>
      <c r="D1050" s="66"/>
      <c r="E1050" s="66"/>
      <c r="F1050" s="66"/>
      <c r="G1050" s="66"/>
      <c r="H1050" s="66"/>
      <c r="I1050" s="66"/>
      <c r="J1050" s="66"/>
      <c r="K1050" s="66"/>
      <c r="L1050" s="66"/>
      <c r="M1050" s="66"/>
      <c r="N1050" s="66"/>
    </row>
    <row r="1051" spans="1:14" x14ac:dyDescent="0.2">
      <c r="A1051" s="84"/>
      <c r="B1051" s="84"/>
      <c r="C1051" s="60"/>
      <c r="D1051" s="66"/>
      <c r="E1051" s="66"/>
      <c r="F1051" s="66"/>
      <c r="G1051" s="66"/>
      <c r="H1051" s="66"/>
      <c r="I1051" s="66"/>
      <c r="J1051" s="66"/>
      <c r="K1051" s="66"/>
      <c r="L1051" s="66"/>
      <c r="M1051" s="66"/>
      <c r="N1051" s="66"/>
    </row>
    <row r="1052" spans="1:14" x14ac:dyDescent="0.2">
      <c r="A1052" s="84"/>
      <c r="B1052" s="84"/>
      <c r="C1052" s="60"/>
      <c r="D1052" s="66"/>
      <c r="E1052" s="66"/>
      <c r="F1052" s="66"/>
      <c r="G1052" s="66"/>
      <c r="H1052" s="66"/>
      <c r="I1052" s="66"/>
      <c r="J1052" s="66"/>
      <c r="K1052" s="66"/>
      <c r="L1052" s="66"/>
      <c r="M1052" s="66"/>
      <c r="N1052" s="66"/>
    </row>
    <row r="1053" spans="1:14" x14ac:dyDescent="0.2">
      <c r="A1053" s="84"/>
      <c r="B1053" s="84"/>
      <c r="C1053" s="60"/>
      <c r="D1053" s="66"/>
      <c r="E1053" s="66"/>
      <c r="F1053" s="66"/>
      <c r="G1053" s="66"/>
      <c r="H1053" s="66"/>
      <c r="I1053" s="66"/>
      <c r="J1053" s="66"/>
      <c r="K1053" s="66"/>
      <c r="L1053" s="66"/>
      <c r="M1053" s="66"/>
      <c r="N1053" s="66"/>
    </row>
    <row r="1054" spans="1:14" x14ac:dyDescent="0.2">
      <c r="A1054" s="84"/>
      <c r="B1054" s="84"/>
      <c r="C1054" s="60"/>
      <c r="D1054" s="66"/>
      <c r="E1054" s="66"/>
      <c r="F1054" s="66"/>
      <c r="G1054" s="66"/>
      <c r="H1054" s="66"/>
      <c r="I1054" s="66"/>
      <c r="J1054" s="66"/>
      <c r="K1054" s="66"/>
      <c r="L1054" s="66"/>
      <c r="M1054" s="66"/>
      <c r="N1054" s="66"/>
    </row>
    <row r="1055" spans="1:14" x14ac:dyDescent="0.2">
      <c r="A1055" s="84"/>
      <c r="B1055" s="84"/>
      <c r="C1055" s="60"/>
      <c r="D1055" s="66"/>
      <c r="E1055" s="66"/>
      <c r="F1055" s="66"/>
      <c r="G1055" s="66"/>
      <c r="H1055" s="66"/>
      <c r="I1055" s="66"/>
      <c r="J1055" s="66"/>
      <c r="K1055" s="66"/>
      <c r="L1055" s="66"/>
      <c r="M1055" s="66"/>
      <c r="N1055" s="66"/>
    </row>
    <row r="1056" spans="1:14" x14ac:dyDescent="0.2">
      <c r="A1056" s="84"/>
      <c r="B1056" s="84"/>
      <c r="C1056" s="60"/>
      <c r="D1056" s="66"/>
      <c r="E1056" s="66"/>
      <c r="F1056" s="66"/>
      <c r="G1056" s="66"/>
      <c r="H1056" s="66"/>
      <c r="I1056" s="66"/>
      <c r="J1056" s="66"/>
      <c r="K1056" s="66"/>
      <c r="L1056" s="66"/>
      <c r="M1056" s="66"/>
      <c r="N1056" s="66"/>
    </row>
    <row r="1057" spans="1:14" x14ac:dyDescent="0.2">
      <c r="A1057" s="84"/>
      <c r="B1057" s="84"/>
      <c r="C1057" s="60"/>
      <c r="D1057" s="66"/>
      <c r="E1057" s="66"/>
      <c r="F1057" s="66"/>
      <c r="G1057" s="66"/>
      <c r="H1057" s="66"/>
      <c r="I1057" s="66"/>
      <c r="J1057" s="66"/>
      <c r="K1057" s="66"/>
      <c r="L1057" s="66"/>
      <c r="M1057" s="66"/>
      <c r="N1057" s="66"/>
    </row>
    <row r="1058" spans="1:14" x14ac:dyDescent="0.2">
      <c r="A1058" s="84"/>
      <c r="B1058" s="84"/>
      <c r="C1058" s="60"/>
      <c r="D1058" s="66"/>
      <c r="E1058" s="66"/>
      <c r="F1058" s="66"/>
      <c r="G1058" s="66"/>
      <c r="H1058" s="66"/>
      <c r="I1058" s="66"/>
      <c r="J1058" s="66"/>
      <c r="K1058" s="66"/>
      <c r="L1058" s="66"/>
      <c r="M1058" s="66"/>
      <c r="N1058" s="66"/>
    </row>
    <row r="1059" spans="1:14" x14ac:dyDescent="0.2">
      <c r="A1059" s="84"/>
      <c r="B1059" s="84"/>
      <c r="C1059" s="60"/>
      <c r="D1059" s="66"/>
      <c r="E1059" s="66"/>
      <c r="F1059" s="66"/>
      <c r="G1059" s="66"/>
      <c r="H1059" s="66"/>
      <c r="I1059" s="66"/>
      <c r="J1059" s="66"/>
      <c r="K1059" s="66"/>
      <c r="L1059" s="66"/>
      <c r="M1059" s="66"/>
      <c r="N1059" s="66"/>
    </row>
    <row r="1060" spans="1:14" x14ac:dyDescent="0.2">
      <c r="A1060" s="84"/>
      <c r="B1060" s="84"/>
      <c r="C1060" s="60"/>
      <c r="D1060" s="66"/>
      <c r="E1060" s="66"/>
      <c r="F1060" s="66"/>
      <c r="G1060" s="66"/>
      <c r="H1060" s="66"/>
      <c r="I1060" s="66"/>
      <c r="J1060" s="66"/>
      <c r="K1060" s="66"/>
      <c r="L1060" s="66"/>
      <c r="M1060" s="66"/>
      <c r="N1060" s="66"/>
    </row>
    <row r="1061" spans="1:14" x14ac:dyDescent="0.2">
      <c r="A1061" s="84"/>
      <c r="B1061" s="84"/>
      <c r="C1061" s="60"/>
      <c r="D1061" s="66"/>
      <c r="E1061" s="66"/>
      <c r="F1061" s="66"/>
      <c r="G1061" s="66"/>
      <c r="H1061" s="66"/>
      <c r="I1061" s="66"/>
      <c r="J1061" s="66"/>
      <c r="K1061" s="66"/>
      <c r="L1061" s="66"/>
      <c r="M1061" s="66"/>
      <c r="N1061" s="66"/>
    </row>
    <row r="1062" spans="1:14" x14ac:dyDescent="0.2">
      <c r="A1062" s="84"/>
      <c r="B1062" s="84"/>
      <c r="C1062" s="60"/>
      <c r="D1062" s="66"/>
      <c r="E1062" s="66"/>
      <c r="F1062" s="66"/>
      <c r="G1062" s="66"/>
      <c r="H1062" s="66"/>
      <c r="I1062" s="66"/>
      <c r="J1062" s="66"/>
      <c r="K1062" s="66"/>
      <c r="L1062" s="66"/>
      <c r="M1062" s="66"/>
      <c r="N1062" s="66"/>
    </row>
    <row r="1063" spans="1:14" x14ac:dyDescent="0.2">
      <c r="A1063" s="84"/>
      <c r="B1063" s="84"/>
      <c r="C1063" s="60"/>
      <c r="D1063" s="66"/>
      <c r="E1063" s="66"/>
      <c r="F1063" s="66"/>
      <c r="G1063" s="66"/>
      <c r="H1063" s="66"/>
      <c r="I1063" s="66"/>
      <c r="J1063" s="66"/>
      <c r="K1063" s="66"/>
      <c r="L1063" s="66"/>
      <c r="M1063" s="66"/>
      <c r="N1063" s="66"/>
    </row>
    <row r="1064" spans="1:14" x14ac:dyDescent="0.2">
      <c r="A1064" s="84"/>
      <c r="B1064" s="84"/>
      <c r="C1064" s="60"/>
      <c r="D1064" s="66"/>
      <c r="E1064" s="66"/>
      <c r="F1064" s="66"/>
      <c r="G1064" s="66"/>
      <c r="H1064" s="66"/>
      <c r="I1064" s="66"/>
      <c r="J1064" s="66"/>
      <c r="K1064" s="66"/>
      <c r="L1064" s="66"/>
      <c r="M1064" s="66"/>
      <c r="N1064" s="66"/>
    </row>
    <row r="1065" spans="1:14" x14ac:dyDescent="0.2">
      <c r="A1065" s="84"/>
      <c r="B1065" s="84"/>
      <c r="C1065" s="60"/>
      <c r="D1065" s="66"/>
      <c r="E1065" s="66"/>
      <c r="F1065" s="66"/>
      <c r="G1065" s="66"/>
      <c r="H1065" s="66"/>
      <c r="I1065" s="66"/>
      <c r="J1065" s="66"/>
      <c r="K1065" s="66"/>
      <c r="L1065" s="66"/>
      <c r="M1065" s="66"/>
      <c r="N1065" s="66"/>
    </row>
    <row r="1066" spans="1:14" x14ac:dyDescent="0.2">
      <c r="A1066" s="84"/>
      <c r="B1066" s="84"/>
      <c r="C1066" s="60"/>
      <c r="D1066" s="66"/>
      <c r="E1066" s="66"/>
      <c r="F1066" s="66"/>
      <c r="G1066" s="66"/>
      <c r="H1066" s="66"/>
      <c r="I1066" s="66"/>
      <c r="J1066" s="66"/>
      <c r="K1066" s="66"/>
      <c r="L1066" s="66"/>
      <c r="M1066" s="66"/>
      <c r="N1066" s="66"/>
    </row>
    <row r="1067" spans="1:14" x14ac:dyDescent="0.2">
      <c r="A1067" s="84"/>
      <c r="B1067" s="84"/>
      <c r="C1067" s="60"/>
      <c r="D1067" s="66"/>
      <c r="E1067" s="66"/>
      <c r="F1067" s="66"/>
      <c r="G1067" s="66"/>
      <c r="H1067" s="66"/>
      <c r="I1067" s="66"/>
      <c r="J1067" s="66"/>
      <c r="K1067" s="66"/>
      <c r="L1067" s="66"/>
      <c r="M1067" s="66"/>
      <c r="N1067" s="66"/>
    </row>
    <row r="1068" spans="1:14" x14ac:dyDescent="0.2">
      <c r="A1068" s="84"/>
      <c r="B1068" s="84"/>
      <c r="C1068" s="60"/>
      <c r="D1068" s="66"/>
      <c r="E1068" s="66"/>
      <c r="F1068" s="66"/>
      <c r="G1068" s="66"/>
      <c r="H1068" s="66"/>
      <c r="I1068" s="66"/>
      <c r="J1068" s="66"/>
      <c r="K1068" s="66"/>
      <c r="L1068" s="66"/>
      <c r="M1068" s="66"/>
      <c r="N1068" s="66"/>
    </row>
    <row r="1069" spans="1:14" x14ac:dyDescent="0.2">
      <c r="A1069" s="84"/>
      <c r="B1069" s="84"/>
      <c r="C1069" s="60"/>
      <c r="D1069" s="66"/>
      <c r="E1069" s="66"/>
      <c r="F1069" s="66"/>
      <c r="G1069" s="66"/>
      <c r="H1069" s="66"/>
      <c r="I1069" s="66"/>
      <c r="J1069" s="66"/>
      <c r="K1069" s="66"/>
      <c r="L1069" s="66"/>
      <c r="M1069" s="66"/>
      <c r="N1069" s="66"/>
    </row>
    <row r="1070" spans="1:14" x14ac:dyDescent="0.2">
      <c r="A1070" s="84"/>
      <c r="B1070" s="84"/>
      <c r="C1070" s="60"/>
      <c r="D1070" s="66"/>
      <c r="E1070" s="66"/>
      <c r="F1070" s="66"/>
      <c r="G1070" s="66"/>
      <c r="H1070" s="66"/>
      <c r="I1070" s="66"/>
      <c r="J1070" s="66"/>
      <c r="K1070" s="66"/>
      <c r="L1070" s="66"/>
      <c r="M1070" s="66"/>
      <c r="N1070" s="66"/>
    </row>
    <row r="1071" spans="1:14" x14ac:dyDescent="0.2">
      <c r="A1071" s="84"/>
      <c r="B1071" s="84"/>
      <c r="C1071" s="60"/>
      <c r="D1071" s="66"/>
      <c r="E1071" s="66"/>
      <c r="F1071" s="66"/>
      <c r="G1071" s="66"/>
      <c r="H1071" s="66"/>
      <c r="I1071" s="66"/>
      <c r="J1071" s="66"/>
      <c r="K1071" s="66"/>
      <c r="L1071" s="66"/>
      <c r="M1071" s="66"/>
      <c r="N1071" s="66"/>
    </row>
    <row r="1072" spans="1:14" x14ac:dyDescent="0.2">
      <c r="A1072" s="84"/>
      <c r="B1072" s="84"/>
      <c r="C1072" s="60"/>
      <c r="D1072" s="66"/>
      <c r="E1072" s="66"/>
      <c r="F1072" s="66"/>
      <c r="G1072" s="66"/>
      <c r="H1072" s="66"/>
      <c r="I1072" s="66"/>
      <c r="J1072" s="66"/>
      <c r="K1072" s="66"/>
      <c r="L1072" s="66"/>
      <c r="M1072" s="66"/>
      <c r="N1072" s="66"/>
    </row>
    <row r="1073" spans="1:14" x14ac:dyDescent="0.2">
      <c r="A1073" s="84"/>
      <c r="B1073" s="84"/>
      <c r="C1073" s="60"/>
      <c r="D1073" s="66"/>
      <c r="E1073" s="66"/>
      <c r="F1073" s="66"/>
      <c r="G1073" s="66"/>
      <c r="H1073" s="66"/>
      <c r="I1073" s="66"/>
      <c r="J1073" s="66"/>
      <c r="K1073" s="66"/>
      <c r="L1073" s="66"/>
      <c r="M1073" s="66"/>
      <c r="N1073" s="66"/>
    </row>
    <row r="1074" spans="1:14" x14ac:dyDescent="0.2">
      <c r="A1074" s="84"/>
      <c r="B1074" s="84"/>
      <c r="C1074" s="60"/>
      <c r="D1074" s="66"/>
      <c r="E1074" s="66"/>
      <c r="F1074" s="66"/>
      <c r="G1074" s="66"/>
      <c r="H1074" s="66"/>
      <c r="I1074" s="66"/>
      <c r="J1074" s="66"/>
      <c r="K1074" s="66"/>
      <c r="L1074" s="66"/>
      <c r="M1074" s="66"/>
      <c r="N1074" s="66"/>
    </row>
    <row r="1075" spans="1:14" x14ac:dyDescent="0.2">
      <c r="A1075" s="84"/>
      <c r="B1075" s="84"/>
      <c r="C1075" s="60"/>
      <c r="D1075" s="66"/>
      <c r="E1075" s="66"/>
      <c r="F1075" s="66"/>
      <c r="G1075" s="66"/>
      <c r="H1075" s="66"/>
      <c r="I1075" s="66"/>
      <c r="J1075" s="66"/>
      <c r="K1075" s="66"/>
      <c r="L1075" s="66"/>
      <c r="M1075" s="66"/>
      <c r="N1075" s="66"/>
    </row>
    <row r="1076" spans="1:14" x14ac:dyDescent="0.2">
      <c r="A1076" s="84"/>
      <c r="B1076" s="84"/>
      <c r="C1076" s="60"/>
      <c r="D1076" s="66"/>
      <c r="E1076" s="66"/>
      <c r="F1076" s="66"/>
      <c r="G1076" s="66"/>
      <c r="H1076" s="66"/>
      <c r="I1076" s="66"/>
      <c r="J1076" s="66"/>
      <c r="K1076" s="66"/>
      <c r="L1076" s="66"/>
      <c r="M1076" s="66"/>
      <c r="N1076" s="66"/>
    </row>
    <row r="1077" spans="1:14" x14ac:dyDescent="0.2">
      <c r="A1077" s="84"/>
      <c r="B1077" s="84"/>
      <c r="C1077" s="60"/>
      <c r="D1077" s="66"/>
      <c r="E1077" s="66"/>
      <c r="F1077" s="66"/>
      <c r="G1077" s="66"/>
      <c r="H1077" s="66"/>
      <c r="I1077" s="66"/>
      <c r="J1077" s="66"/>
      <c r="K1077" s="66"/>
      <c r="L1077" s="66"/>
      <c r="M1077" s="66"/>
      <c r="N1077" s="66"/>
    </row>
    <row r="1078" spans="1:14" x14ac:dyDescent="0.2">
      <c r="A1078" s="84"/>
      <c r="B1078" s="84"/>
      <c r="C1078" s="60"/>
      <c r="D1078" s="66"/>
      <c r="E1078" s="66"/>
      <c r="F1078" s="66"/>
      <c r="G1078" s="66"/>
      <c r="H1078" s="66"/>
      <c r="I1078" s="66"/>
      <c r="J1078" s="66"/>
      <c r="K1078" s="66"/>
      <c r="L1078" s="66"/>
      <c r="M1078" s="66"/>
      <c r="N1078" s="66"/>
    </row>
    <row r="1079" spans="1:14" x14ac:dyDescent="0.2">
      <c r="A1079" s="84"/>
      <c r="B1079" s="84"/>
      <c r="C1079" s="60"/>
      <c r="D1079" s="66"/>
      <c r="E1079" s="66"/>
      <c r="F1079" s="66"/>
      <c r="G1079" s="66"/>
      <c r="H1079" s="66"/>
      <c r="I1079" s="66"/>
      <c r="J1079" s="66"/>
      <c r="K1079" s="66"/>
      <c r="L1079" s="66"/>
      <c r="M1079" s="66"/>
      <c r="N1079" s="66"/>
    </row>
    <row r="1080" spans="1:14" x14ac:dyDescent="0.2">
      <c r="A1080" s="84"/>
      <c r="B1080" s="84"/>
      <c r="C1080" s="60"/>
      <c r="D1080" s="66"/>
      <c r="E1080" s="66"/>
      <c r="F1080" s="66"/>
      <c r="G1080" s="66"/>
      <c r="H1080" s="66"/>
      <c r="I1080" s="66"/>
      <c r="J1080" s="66"/>
      <c r="K1080" s="66"/>
      <c r="L1080" s="66"/>
      <c r="M1080" s="66"/>
      <c r="N1080" s="66"/>
    </row>
    <row r="1081" spans="1:14" x14ac:dyDescent="0.2">
      <c r="A1081" s="84"/>
      <c r="B1081" s="84"/>
      <c r="C1081" s="60"/>
      <c r="D1081" s="66"/>
      <c r="E1081" s="66"/>
      <c r="F1081" s="66"/>
      <c r="G1081" s="66"/>
      <c r="H1081" s="66"/>
      <c r="I1081" s="66"/>
      <c r="J1081" s="66"/>
      <c r="K1081" s="66"/>
      <c r="L1081" s="66"/>
      <c r="M1081" s="66"/>
      <c r="N1081" s="66"/>
    </row>
    <row r="1082" spans="1:14" x14ac:dyDescent="0.2">
      <c r="A1082" s="84"/>
      <c r="B1082" s="84"/>
      <c r="C1082" s="60"/>
      <c r="D1082" s="66"/>
      <c r="E1082" s="66"/>
      <c r="F1082" s="66"/>
      <c r="G1082" s="66"/>
      <c r="H1082" s="66"/>
      <c r="I1082" s="66"/>
      <c r="J1082" s="66"/>
      <c r="K1082" s="66"/>
      <c r="L1082" s="66"/>
      <c r="M1082" s="66"/>
      <c r="N1082" s="66"/>
    </row>
    <row r="1083" spans="1:14" x14ac:dyDescent="0.2">
      <c r="A1083" s="84"/>
      <c r="B1083" s="84"/>
      <c r="C1083" s="60"/>
      <c r="D1083" s="66"/>
      <c r="E1083" s="66"/>
      <c r="F1083" s="66"/>
      <c r="G1083" s="66"/>
      <c r="H1083" s="66"/>
      <c r="I1083" s="66"/>
      <c r="J1083" s="66"/>
      <c r="K1083" s="66"/>
      <c r="L1083" s="66"/>
      <c r="M1083" s="66"/>
      <c r="N1083" s="66"/>
    </row>
    <row r="1084" spans="1:14" x14ac:dyDescent="0.2">
      <c r="A1084" s="84"/>
      <c r="B1084" s="84"/>
      <c r="C1084" s="60"/>
      <c r="D1084" s="66"/>
      <c r="E1084" s="66"/>
      <c r="F1084" s="66"/>
      <c r="G1084" s="66"/>
      <c r="H1084" s="66"/>
      <c r="I1084" s="66"/>
      <c r="J1084" s="66"/>
      <c r="K1084" s="66"/>
      <c r="L1084" s="66"/>
      <c r="M1084" s="66"/>
      <c r="N1084" s="66"/>
    </row>
    <row r="1085" spans="1:14" x14ac:dyDescent="0.2">
      <c r="A1085" s="84"/>
      <c r="B1085" s="84"/>
      <c r="C1085" s="60"/>
      <c r="D1085" s="66"/>
      <c r="E1085" s="66"/>
      <c r="F1085" s="66"/>
      <c r="G1085" s="66"/>
      <c r="H1085" s="66"/>
      <c r="I1085" s="66"/>
      <c r="J1085" s="66"/>
      <c r="K1085" s="66"/>
      <c r="L1085" s="66"/>
      <c r="M1085" s="66"/>
      <c r="N1085" s="66"/>
    </row>
    <row r="1086" spans="1:14" x14ac:dyDescent="0.2">
      <c r="A1086" s="84"/>
      <c r="B1086" s="84"/>
      <c r="C1086" s="60"/>
      <c r="D1086" s="66"/>
      <c r="E1086" s="66"/>
      <c r="F1086" s="66"/>
      <c r="G1086" s="66"/>
      <c r="H1086" s="66"/>
      <c r="I1086" s="66"/>
      <c r="J1086" s="66"/>
      <c r="K1086" s="66"/>
      <c r="L1086" s="66"/>
      <c r="M1086" s="66"/>
      <c r="N1086" s="66"/>
    </row>
    <row r="1087" spans="1:14" x14ac:dyDescent="0.2">
      <c r="A1087" s="84"/>
      <c r="B1087" s="84"/>
      <c r="C1087" s="60"/>
      <c r="D1087" s="66"/>
      <c r="E1087" s="66"/>
      <c r="F1087" s="66"/>
      <c r="G1087" s="66"/>
      <c r="H1087" s="66"/>
      <c r="I1087" s="66"/>
      <c r="J1087" s="66"/>
      <c r="K1087" s="66"/>
      <c r="L1087" s="66"/>
      <c r="M1087" s="66"/>
      <c r="N1087" s="66"/>
    </row>
    <row r="1088" spans="1:14" x14ac:dyDescent="0.2">
      <c r="A1088" s="84"/>
      <c r="B1088" s="84"/>
      <c r="C1088" s="60"/>
      <c r="D1088" s="66"/>
      <c r="E1088" s="66"/>
      <c r="F1088" s="66"/>
      <c r="G1088" s="66"/>
      <c r="H1088" s="66"/>
      <c r="I1088" s="66"/>
      <c r="J1088" s="66"/>
      <c r="K1088" s="66"/>
      <c r="L1088" s="66"/>
      <c r="M1088" s="66"/>
      <c r="N1088" s="66"/>
    </row>
    <row r="1089" spans="1:14" x14ac:dyDescent="0.2">
      <c r="A1089" s="84"/>
      <c r="B1089" s="84"/>
      <c r="C1089" s="60"/>
      <c r="D1089" s="66"/>
      <c r="E1089" s="66"/>
      <c r="F1089" s="66"/>
      <c r="G1089" s="66"/>
      <c r="H1089" s="66"/>
      <c r="I1089" s="66"/>
      <c r="J1089" s="66"/>
      <c r="K1089" s="66"/>
      <c r="L1089" s="66"/>
      <c r="M1089" s="66"/>
      <c r="N1089" s="66"/>
    </row>
    <row r="1090" spans="1:14" x14ac:dyDescent="0.2">
      <c r="A1090" s="84"/>
      <c r="B1090" s="84"/>
      <c r="C1090" s="60"/>
      <c r="D1090" s="66"/>
      <c r="E1090" s="66"/>
      <c r="F1090" s="66"/>
      <c r="G1090" s="66"/>
      <c r="H1090" s="66"/>
      <c r="I1090" s="66"/>
      <c r="J1090" s="66"/>
      <c r="K1090" s="66"/>
      <c r="L1090" s="66"/>
      <c r="M1090" s="66"/>
      <c r="N1090" s="66"/>
    </row>
    <row r="1091" spans="1:14" x14ac:dyDescent="0.2">
      <c r="A1091" s="84"/>
      <c r="B1091" s="84"/>
      <c r="C1091" s="60"/>
      <c r="D1091" s="66"/>
      <c r="E1091" s="66"/>
      <c r="F1091" s="66"/>
      <c r="G1091" s="66"/>
      <c r="H1091" s="66"/>
      <c r="I1091" s="66"/>
      <c r="J1091" s="66"/>
      <c r="K1091" s="66"/>
      <c r="L1091" s="66"/>
      <c r="M1091" s="66"/>
      <c r="N1091" s="66"/>
    </row>
    <row r="1092" spans="1:14" x14ac:dyDescent="0.2">
      <c r="A1092" s="84"/>
      <c r="B1092" s="84"/>
      <c r="C1092" s="60"/>
      <c r="D1092" s="66"/>
      <c r="E1092" s="66"/>
      <c r="F1092" s="66"/>
      <c r="G1092" s="66"/>
      <c r="H1092" s="66"/>
      <c r="I1092" s="66"/>
      <c r="J1092" s="66"/>
      <c r="K1092" s="66"/>
      <c r="L1092" s="66"/>
      <c r="M1092" s="66"/>
      <c r="N1092" s="66"/>
    </row>
    <row r="1093" spans="1:14" x14ac:dyDescent="0.2">
      <c r="A1093" s="84"/>
      <c r="B1093" s="84"/>
      <c r="C1093" s="60"/>
      <c r="D1093" s="66"/>
      <c r="E1093" s="66"/>
      <c r="F1093" s="66"/>
      <c r="G1093" s="66"/>
      <c r="H1093" s="66"/>
      <c r="I1093" s="66"/>
      <c r="J1093" s="66"/>
      <c r="K1093" s="66"/>
      <c r="L1093" s="66"/>
      <c r="M1093" s="66"/>
      <c r="N1093" s="66"/>
    </row>
    <row r="1094" spans="1:14" x14ac:dyDescent="0.2">
      <c r="A1094" s="84"/>
      <c r="B1094" s="84"/>
      <c r="C1094" s="60"/>
      <c r="D1094" s="66"/>
      <c r="E1094" s="66"/>
      <c r="F1094" s="66"/>
      <c r="G1094" s="66"/>
      <c r="H1094" s="66"/>
      <c r="I1094" s="66"/>
      <c r="J1094" s="66"/>
      <c r="K1094" s="66"/>
      <c r="L1094" s="66"/>
      <c r="M1094" s="66"/>
      <c r="N1094" s="66"/>
    </row>
    <row r="1095" spans="1:14" x14ac:dyDescent="0.2">
      <c r="A1095" s="84"/>
      <c r="B1095" s="84"/>
      <c r="C1095" s="60"/>
      <c r="D1095" s="66"/>
      <c r="E1095" s="66"/>
      <c r="F1095" s="66"/>
      <c r="G1095" s="66"/>
      <c r="H1095" s="66"/>
      <c r="I1095" s="66"/>
      <c r="J1095" s="66"/>
      <c r="K1095" s="66"/>
      <c r="L1095" s="66"/>
      <c r="M1095" s="66"/>
      <c r="N1095" s="66"/>
    </row>
    <row r="1096" spans="1:14" x14ac:dyDescent="0.2">
      <c r="A1096" s="84"/>
      <c r="B1096" s="84"/>
      <c r="C1096" s="60"/>
      <c r="D1096" s="66"/>
      <c r="E1096" s="66"/>
      <c r="F1096" s="66"/>
      <c r="G1096" s="66"/>
      <c r="H1096" s="66"/>
      <c r="I1096" s="66"/>
      <c r="J1096" s="66"/>
      <c r="K1096" s="66"/>
      <c r="L1096" s="66"/>
      <c r="M1096" s="66"/>
      <c r="N1096" s="66"/>
    </row>
    <row r="1097" spans="1:14" x14ac:dyDescent="0.2">
      <c r="A1097" s="84"/>
      <c r="B1097" s="84"/>
      <c r="C1097" s="60"/>
      <c r="D1097" s="66"/>
      <c r="E1097" s="66"/>
      <c r="F1097" s="66"/>
      <c r="G1097" s="66"/>
      <c r="H1097" s="66"/>
      <c r="I1097" s="66"/>
      <c r="J1097" s="66"/>
      <c r="K1097" s="66"/>
      <c r="L1097" s="66"/>
      <c r="M1097" s="66"/>
      <c r="N1097" s="66"/>
    </row>
    <row r="1098" spans="1:14" x14ac:dyDescent="0.2">
      <c r="A1098" s="84"/>
      <c r="B1098" s="84"/>
      <c r="C1098" s="60"/>
      <c r="D1098" s="66"/>
      <c r="E1098" s="66"/>
      <c r="F1098" s="66"/>
      <c r="G1098" s="66"/>
      <c r="H1098" s="66"/>
      <c r="I1098" s="66"/>
      <c r="J1098" s="66"/>
      <c r="K1098" s="66"/>
      <c r="L1098" s="66"/>
      <c r="M1098" s="66"/>
      <c r="N1098" s="66"/>
    </row>
    <row r="1099" spans="1:14" x14ac:dyDescent="0.2">
      <c r="A1099" s="84"/>
      <c r="B1099" s="84"/>
      <c r="C1099" s="60"/>
      <c r="D1099" s="66"/>
      <c r="E1099" s="66"/>
      <c r="F1099" s="66"/>
      <c r="G1099" s="66"/>
      <c r="H1099" s="66"/>
      <c r="I1099" s="66"/>
      <c r="J1099" s="66"/>
      <c r="K1099" s="66"/>
      <c r="L1099" s="66"/>
      <c r="M1099" s="66"/>
      <c r="N1099" s="66"/>
    </row>
    <row r="1100" spans="1:14" x14ac:dyDescent="0.2">
      <c r="A1100" s="84"/>
      <c r="B1100" s="84"/>
      <c r="C1100" s="60"/>
      <c r="D1100" s="66"/>
      <c r="E1100" s="66"/>
      <c r="F1100" s="66"/>
      <c r="G1100" s="66"/>
      <c r="H1100" s="66"/>
      <c r="I1100" s="66"/>
      <c r="J1100" s="66"/>
      <c r="K1100" s="66"/>
      <c r="L1100" s="66"/>
      <c r="M1100" s="66"/>
      <c r="N1100" s="66"/>
    </row>
    <row r="1101" spans="1:14" x14ac:dyDescent="0.2">
      <c r="A1101" s="84"/>
      <c r="B1101" s="84"/>
      <c r="C1101" s="60"/>
      <c r="D1101" s="66"/>
      <c r="E1101" s="66"/>
      <c r="F1101" s="66"/>
      <c r="G1101" s="66"/>
      <c r="H1101" s="66"/>
      <c r="I1101" s="66"/>
      <c r="J1101" s="66"/>
      <c r="K1101" s="66"/>
      <c r="L1101" s="66"/>
      <c r="M1101" s="66"/>
      <c r="N1101" s="66"/>
    </row>
    <row r="1102" spans="1:14" x14ac:dyDescent="0.2">
      <c r="A1102" s="84"/>
      <c r="B1102" s="84"/>
      <c r="C1102" s="60"/>
      <c r="D1102" s="66"/>
      <c r="E1102" s="66"/>
      <c r="F1102" s="66"/>
      <c r="G1102" s="66"/>
      <c r="H1102" s="66"/>
      <c r="I1102" s="66"/>
      <c r="J1102" s="66"/>
      <c r="K1102" s="66"/>
      <c r="L1102" s="66"/>
      <c r="M1102" s="66"/>
      <c r="N1102" s="66"/>
    </row>
    <row r="1103" spans="1:14" x14ac:dyDescent="0.2">
      <c r="A1103" s="84"/>
      <c r="B1103" s="84"/>
      <c r="C1103" s="60"/>
      <c r="D1103" s="66"/>
      <c r="E1103" s="66"/>
      <c r="F1103" s="66"/>
      <c r="G1103" s="66"/>
      <c r="H1103" s="66"/>
      <c r="I1103" s="66"/>
      <c r="J1103" s="66"/>
      <c r="K1103" s="66"/>
      <c r="L1103" s="66"/>
      <c r="M1103" s="66"/>
      <c r="N1103" s="66"/>
    </row>
    <row r="1104" spans="1:14" x14ac:dyDescent="0.2">
      <c r="A1104" s="84"/>
      <c r="B1104" s="84"/>
      <c r="C1104" s="60"/>
      <c r="D1104" s="66"/>
      <c r="E1104" s="66"/>
      <c r="F1104" s="66"/>
      <c r="G1104" s="66"/>
      <c r="H1104" s="66"/>
      <c r="I1104" s="66"/>
      <c r="J1104" s="66"/>
      <c r="K1104" s="66"/>
      <c r="L1104" s="66"/>
      <c r="M1104" s="66"/>
      <c r="N1104" s="66"/>
    </row>
    <row r="1105" spans="1:14" x14ac:dyDescent="0.2">
      <c r="A1105" s="84"/>
      <c r="B1105" s="84"/>
      <c r="C1105" s="60"/>
      <c r="D1105" s="66"/>
      <c r="E1105" s="66"/>
      <c r="F1105" s="66"/>
      <c r="G1105" s="66"/>
      <c r="H1105" s="66"/>
      <c r="I1105" s="66"/>
      <c r="J1105" s="66"/>
      <c r="K1105" s="66"/>
      <c r="L1105" s="66"/>
      <c r="M1105" s="66"/>
      <c r="N1105" s="66"/>
    </row>
    <row r="1106" spans="1:14" x14ac:dyDescent="0.2">
      <c r="A1106" s="84"/>
      <c r="B1106" s="84"/>
      <c r="C1106" s="60"/>
      <c r="D1106" s="66"/>
      <c r="E1106" s="66"/>
      <c r="F1106" s="66"/>
      <c r="G1106" s="66"/>
      <c r="H1106" s="66"/>
      <c r="I1106" s="66"/>
      <c r="J1106" s="66"/>
      <c r="K1106" s="66"/>
      <c r="L1106" s="66"/>
      <c r="M1106" s="66"/>
      <c r="N1106" s="66"/>
    </row>
    <row r="1107" spans="1:14" x14ac:dyDescent="0.2">
      <c r="A1107" s="84"/>
      <c r="B1107" s="84"/>
      <c r="C1107" s="60"/>
      <c r="D1107" s="66"/>
      <c r="E1107" s="66"/>
      <c r="F1107" s="66"/>
      <c r="G1107" s="66"/>
      <c r="H1107" s="66"/>
      <c r="I1107" s="66"/>
      <c r="J1107" s="66"/>
      <c r="K1107" s="66"/>
      <c r="L1107" s="66"/>
      <c r="M1107" s="66"/>
      <c r="N1107" s="66"/>
    </row>
    <row r="1108" spans="1:14" x14ac:dyDescent="0.2">
      <c r="A1108" s="84"/>
      <c r="B1108" s="84"/>
      <c r="C1108" s="60"/>
      <c r="D1108" s="66"/>
      <c r="E1108" s="66"/>
      <c r="F1108" s="66"/>
      <c r="G1108" s="66"/>
      <c r="H1108" s="66"/>
      <c r="I1108" s="66"/>
      <c r="J1108" s="66"/>
      <c r="K1108" s="66"/>
      <c r="L1108" s="66"/>
      <c r="M1108" s="66"/>
      <c r="N1108" s="66"/>
    </row>
    <row r="1109" spans="1:14" x14ac:dyDescent="0.2">
      <c r="A1109" s="84"/>
      <c r="B1109" s="84"/>
      <c r="C1109" s="60"/>
      <c r="D1109" s="66"/>
      <c r="E1109" s="66"/>
      <c r="F1109" s="66"/>
      <c r="G1109" s="66"/>
      <c r="H1109" s="66"/>
      <c r="I1109" s="66"/>
      <c r="J1109" s="66"/>
      <c r="K1109" s="66"/>
      <c r="L1109" s="66"/>
      <c r="M1109" s="66"/>
      <c r="N1109" s="66"/>
    </row>
    <row r="1110" spans="1:14" x14ac:dyDescent="0.2">
      <c r="A1110" s="84"/>
      <c r="B1110" s="84"/>
      <c r="C1110" s="60"/>
      <c r="D1110" s="66"/>
      <c r="E1110" s="66"/>
      <c r="F1110" s="66"/>
      <c r="G1110" s="66"/>
      <c r="H1110" s="66"/>
      <c r="I1110" s="66"/>
      <c r="J1110" s="66"/>
      <c r="K1110" s="66"/>
      <c r="L1110" s="66"/>
      <c r="M1110" s="66"/>
      <c r="N1110" s="66"/>
    </row>
    <row r="1111" spans="1:14" x14ac:dyDescent="0.2">
      <c r="A1111" s="84"/>
      <c r="B1111" s="84"/>
      <c r="C1111" s="60"/>
      <c r="D1111" s="66"/>
      <c r="E1111" s="66"/>
      <c r="F1111" s="66"/>
      <c r="G1111" s="66"/>
      <c r="H1111" s="66"/>
      <c r="I1111" s="66"/>
      <c r="J1111" s="66"/>
      <c r="K1111" s="66"/>
      <c r="L1111" s="66"/>
      <c r="M1111" s="66"/>
      <c r="N1111" s="66"/>
    </row>
    <row r="1112" spans="1:14" x14ac:dyDescent="0.2">
      <c r="A1112" s="84"/>
      <c r="B1112" s="84"/>
      <c r="C1112" s="60"/>
      <c r="D1112" s="66"/>
      <c r="E1112" s="66"/>
      <c r="F1112" s="66"/>
      <c r="G1112" s="66"/>
      <c r="H1112" s="66"/>
      <c r="I1112" s="66"/>
      <c r="J1112" s="66"/>
      <c r="K1112" s="66"/>
      <c r="L1112" s="66"/>
      <c r="M1112" s="66"/>
      <c r="N1112" s="66"/>
    </row>
    <row r="1113" spans="1:14" x14ac:dyDescent="0.2">
      <c r="A1113" s="84"/>
      <c r="B1113" s="84"/>
      <c r="C1113" s="60"/>
      <c r="D1113" s="66"/>
      <c r="E1113" s="66"/>
      <c r="F1113" s="66"/>
      <c r="G1113" s="66"/>
      <c r="H1113" s="66"/>
      <c r="I1113" s="66"/>
      <c r="J1113" s="66"/>
      <c r="K1113" s="66"/>
      <c r="L1113" s="66"/>
      <c r="M1113" s="66"/>
      <c r="N1113" s="66"/>
    </row>
    <row r="1114" spans="1:14" x14ac:dyDescent="0.2">
      <c r="A1114" s="84"/>
      <c r="B1114" s="84"/>
      <c r="C1114" s="60"/>
      <c r="D1114" s="66"/>
      <c r="E1114" s="66"/>
      <c r="F1114" s="66"/>
      <c r="G1114" s="66"/>
      <c r="H1114" s="66"/>
      <c r="I1114" s="66"/>
      <c r="J1114" s="66"/>
      <c r="K1114" s="66"/>
      <c r="L1114" s="66"/>
      <c r="M1114" s="66"/>
      <c r="N1114" s="66"/>
    </row>
    <row r="1115" spans="1:14" x14ac:dyDescent="0.2">
      <c r="A1115" s="84"/>
      <c r="B1115" s="84"/>
      <c r="C1115" s="60"/>
      <c r="D1115" s="66"/>
      <c r="E1115" s="66"/>
      <c r="F1115" s="66"/>
      <c r="G1115" s="66"/>
      <c r="H1115" s="66"/>
      <c r="I1115" s="66"/>
      <c r="J1115" s="66"/>
      <c r="K1115" s="66"/>
      <c r="L1115" s="66"/>
      <c r="M1115" s="66"/>
      <c r="N1115" s="66"/>
    </row>
    <row r="1116" spans="1:14" x14ac:dyDescent="0.2">
      <c r="A1116" s="84"/>
      <c r="B1116" s="84"/>
      <c r="C1116" s="60"/>
      <c r="D1116" s="66"/>
      <c r="E1116" s="66"/>
      <c r="F1116" s="66"/>
      <c r="G1116" s="66"/>
      <c r="H1116" s="66"/>
      <c r="I1116" s="66"/>
      <c r="J1116" s="66"/>
      <c r="K1116" s="66"/>
      <c r="L1116" s="66"/>
      <c r="M1116" s="66"/>
      <c r="N1116" s="66"/>
    </row>
    <row r="1117" spans="1:14" x14ac:dyDescent="0.2">
      <c r="A1117" s="84"/>
      <c r="B1117" s="84"/>
      <c r="C1117" s="60"/>
      <c r="D1117" s="66"/>
      <c r="E1117" s="66"/>
      <c r="F1117" s="66"/>
      <c r="G1117" s="66"/>
      <c r="H1117" s="66"/>
      <c r="I1117" s="66"/>
      <c r="J1117" s="66"/>
      <c r="K1117" s="66"/>
      <c r="L1117" s="66"/>
      <c r="M1117" s="66"/>
      <c r="N1117" s="66"/>
    </row>
    <row r="1118" spans="1:14" x14ac:dyDescent="0.2">
      <c r="A1118" s="84"/>
      <c r="B1118" s="84"/>
      <c r="C1118" s="60"/>
      <c r="D1118" s="66"/>
      <c r="E1118" s="66"/>
      <c r="F1118" s="66"/>
      <c r="G1118" s="66"/>
      <c r="H1118" s="66"/>
      <c r="I1118" s="66"/>
      <c r="J1118" s="66"/>
      <c r="K1118" s="66"/>
      <c r="L1118" s="66"/>
      <c r="M1118" s="66"/>
      <c r="N1118" s="66"/>
    </row>
    <row r="1119" spans="1:14" x14ac:dyDescent="0.2">
      <c r="A1119" s="84"/>
      <c r="B1119" s="84"/>
      <c r="C1119" s="60"/>
      <c r="D1119" s="66"/>
      <c r="E1119" s="66"/>
      <c r="F1119" s="66"/>
      <c r="G1119" s="66"/>
      <c r="H1119" s="66"/>
      <c r="I1119" s="66"/>
      <c r="J1119" s="66"/>
      <c r="K1119" s="66"/>
      <c r="L1119" s="66"/>
      <c r="M1119" s="66"/>
      <c r="N1119" s="66"/>
    </row>
    <row r="1120" spans="1:14" x14ac:dyDescent="0.2">
      <c r="A1120" s="84"/>
      <c r="B1120" s="84"/>
      <c r="C1120" s="60"/>
      <c r="D1120" s="66"/>
      <c r="E1120" s="66"/>
      <c r="F1120" s="66"/>
      <c r="G1120" s="66"/>
      <c r="H1120" s="66"/>
      <c r="I1120" s="66"/>
      <c r="J1120" s="66"/>
      <c r="K1120" s="66"/>
      <c r="L1120" s="66"/>
      <c r="M1120" s="66"/>
      <c r="N1120" s="66"/>
    </row>
    <row r="1121" spans="1:14" x14ac:dyDescent="0.2">
      <c r="A1121" s="84"/>
      <c r="B1121" s="84"/>
      <c r="C1121" s="60"/>
      <c r="D1121" s="66"/>
      <c r="E1121" s="66"/>
      <c r="F1121" s="66"/>
      <c r="G1121" s="66"/>
      <c r="H1121" s="66"/>
      <c r="I1121" s="66"/>
      <c r="J1121" s="66"/>
      <c r="K1121" s="66"/>
      <c r="L1121" s="66"/>
      <c r="M1121" s="66"/>
      <c r="N1121" s="66"/>
    </row>
    <row r="1122" spans="1:14" x14ac:dyDescent="0.2">
      <c r="A1122" s="84"/>
      <c r="B1122" s="84"/>
      <c r="C1122" s="60"/>
      <c r="D1122" s="66"/>
      <c r="E1122" s="66"/>
      <c r="F1122" s="66"/>
      <c r="G1122" s="66"/>
      <c r="H1122" s="66"/>
      <c r="I1122" s="66"/>
      <c r="J1122" s="66"/>
      <c r="K1122" s="66"/>
      <c r="L1122" s="66"/>
      <c r="M1122" s="66"/>
      <c r="N1122" s="66"/>
    </row>
    <row r="1123" spans="1:14" x14ac:dyDescent="0.2">
      <c r="A1123" s="84"/>
      <c r="B1123" s="84"/>
      <c r="C1123" s="60"/>
      <c r="D1123" s="66"/>
      <c r="E1123" s="66"/>
      <c r="F1123" s="66"/>
      <c r="G1123" s="66"/>
      <c r="H1123" s="66"/>
      <c r="I1123" s="66"/>
      <c r="J1123" s="66"/>
      <c r="K1123" s="66"/>
      <c r="L1123" s="66"/>
      <c r="M1123" s="66"/>
      <c r="N1123" s="66"/>
    </row>
    <row r="1124" spans="1:14" x14ac:dyDescent="0.2">
      <c r="A1124" s="84"/>
      <c r="B1124" s="84"/>
      <c r="C1124" s="60"/>
      <c r="D1124" s="66"/>
      <c r="E1124" s="66"/>
      <c r="F1124" s="66"/>
      <c r="G1124" s="66"/>
      <c r="H1124" s="66"/>
      <c r="I1124" s="66"/>
      <c r="J1124" s="66"/>
      <c r="K1124" s="66"/>
      <c r="L1124" s="66"/>
      <c r="M1124" s="66"/>
      <c r="N1124" s="66"/>
    </row>
    <row r="1125" spans="1:14" x14ac:dyDescent="0.2">
      <c r="A1125" s="84"/>
      <c r="B1125" s="84"/>
      <c r="C1125" s="60"/>
      <c r="D1125" s="66"/>
      <c r="E1125" s="66"/>
      <c r="F1125" s="66"/>
      <c r="G1125" s="66"/>
      <c r="H1125" s="66"/>
      <c r="I1125" s="66"/>
      <c r="J1125" s="66"/>
      <c r="K1125" s="66"/>
      <c r="L1125" s="66"/>
      <c r="M1125" s="66"/>
      <c r="N1125" s="66"/>
    </row>
    <row r="1126" spans="1:14" x14ac:dyDescent="0.2">
      <c r="A1126" s="84"/>
      <c r="B1126" s="84"/>
      <c r="C1126" s="60"/>
      <c r="D1126" s="66"/>
      <c r="E1126" s="66"/>
      <c r="F1126" s="66"/>
      <c r="G1126" s="66"/>
      <c r="H1126" s="66"/>
      <c r="I1126" s="66"/>
      <c r="J1126" s="66"/>
      <c r="K1126" s="66"/>
      <c r="L1126" s="66"/>
      <c r="M1126" s="66"/>
      <c r="N1126" s="66"/>
    </row>
    <row r="1127" spans="1:14" x14ac:dyDescent="0.2">
      <c r="A1127" s="84"/>
      <c r="B1127" s="84"/>
      <c r="C1127" s="60"/>
      <c r="D1127" s="66"/>
      <c r="E1127" s="66"/>
      <c r="F1127" s="66"/>
      <c r="G1127" s="66"/>
      <c r="H1127" s="66"/>
      <c r="I1127" s="66"/>
      <c r="J1127" s="66"/>
      <c r="K1127" s="66"/>
      <c r="L1127" s="66"/>
      <c r="M1127" s="66"/>
      <c r="N1127" s="66"/>
    </row>
    <row r="1128" spans="1:14" x14ac:dyDescent="0.2">
      <c r="A1128" s="84"/>
      <c r="B1128" s="84"/>
      <c r="C1128" s="60"/>
      <c r="D1128" s="66"/>
      <c r="E1128" s="66"/>
      <c r="F1128" s="66"/>
      <c r="G1128" s="66"/>
      <c r="H1128" s="66"/>
      <c r="I1128" s="66"/>
      <c r="J1128" s="66"/>
      <c r="K1128" s="66"/>
      <c r="L1128" s="66"/>
      <c r="M1128" s="66"/>
      <c r="N1128" s="66"/>
    </row>
    <row r="1129" spans="1:14" x14ac:dyDescent="0.2">
      <c r="A1129" s="84"/>
      <c r="B1129" s="84"/>
      <c r="C1129" s="60"/>
      <c r="D1129" s="66"/>
      <c r="E1129" s="66"/>
      <c r="F1129" s="66"/>
      <c r="G1129" s="66"/>
      <c r="H1129" s="66"/>
      <c r="I1129" s="66"/>
      <c r="J1129" s="66"/>
      <c r="K1129" s="66"/>
      <c r="L1129" s="66"/>
      <c r="M1129" s="66"/>
      <c r="N1129" s="66"/>
    </row>
    <row r="1130" spans="1:14" x14ac:dyDescent="0.2">
      <c r="A1130" s="84"/>
      <c r="B1130" s="84"/>
      <c r="C1130" s="60"/>
      <c r="D1130" s="66"/>
      <c r="E1130" s="66"/>
      <c r="F1130" s="66"/>
      <c r="G1130" s="66"/>
      <c r="H1130" s="66"/>
      <c r="I1130" s="66"/>
      <c r="J1130" s="66"/>
      <c r="K1130" s="66"/>
      <c r="L1130" s="66"/>
      <c r="M1130" s="66"/>
      <c r="N1130" s="66"/>
    </row>
    <row r="1131" spans="1:14" x14ac:dyDescent="0.2">
      <c r="A1131" s="84"/>
      <c r="B1131" s="84"/>
      <c r="C1131" s="60"/>
      <c r="D1131" s="66"/>
      <c r="E1131" s="66"/>
      <c r="F1131" s="66"/>
      <c r="G1131" s="66"/>
      <c r="H1131" s="66"/>
      <c r="I1131" s="66"/>
      <c r="J1131" s="66"/>
      <c r="K1131" s="66"/>
      <c r="L1131" s="66"/>
      <c r="M1131" s="66"/>
      <c r="N1131" s="66"/>
    </row>
    <row r="1132" spans="1:14" x14ac:dyDescent="0.2">
      <c r="A1132" s="84"/>
      <c r="B1132" s="84"/>
      <c r="C1132" s="60"/>
      <c r="D1132" s="66"/>
      <c r="E1132" s="66"/>
      <c r="F1132" s="66"/>
      <c r="G1132" s="66"/>
      <c r="H1132" s="66"/>
      <c r="I1132" s="66"/>
      <c r="J1132" s="66"/>
      <c r="K1132" s="66"/>
      <c r="L1132" s="66"/>
      <c r="M1132" s="66"/>
      <c r="N1132" s="66"/>
    </row>
    <row r="1133" spans="1:14" x14ac:dyDescent="0.2">
      <c r="A1133" s="84"/>
      <c r="B1133" s="84"/>
      <c r="C1133" s="60"/>
      <c r="D1133" s="66"/>
      <c r="E1133" s="66"/>
      <c r="F1133" s="66"/>
      <c r="G1133" s="66"/>
      <c r="H1133" s="66"/>
      <c r="I1133" s="66"/>
      <c r="J1133" s="66"/>
      <c r="K1133" s="66"/>
      <c r="L1133" s="66"/>
      <c r="M1133" s="66"/>
      <c r="N1133" s="66"/>
    </row>
    <row r="1134" spans="1:14" x14ac:dyDescent="0.2">
      <c r="A1134" s="84"/>
      <c r="B1134" s="84"/>
      <c r="C1134" s="60"/>
      <c r="D1134" s="66"/>
      <c r="E1134" s="66"/>
      <c r="F1134" s="66"/>
      <c r="G1134" s="66"/>
      <c r="H1134" s="66"/>
      <c r="I1134" s="66"/>
      <c r="J1134" s="66"/>
      <c r="K1134" s="66"/>
      <c r="L1134" s="66"/>
      <c r="M1134" s="66"/>
      <c r="N1134" s="66"/>
    </row>
    <row r="1135" spans="1:14" x14ac:dyDescent="0.2">
      <c r="A1135" s="84"/>
      <c r="B1135" s="84"/>
      <c r="C1135" s="60"/>
      <c r="D1135" s="66"/>
      <c r="E1135" s="66"/>
      <c r="F1135" s="66"/>
      <c r="G1135" s="66"/>
      <c r="H1135" s="66"/>
      <c r="I1135" s="66"/>
      <c r="J1135" s="66"/>
      <c r="K1135" s="66"/>
      <c r="L1135" s="66"/>
      <c r="M1135" s="66"/>
      <c r="N1135" s="66"/>
    </row>
    <row r="1136" spans="1:14" x14ac:dyDescent="0.2">
      <c r="A1136" s="84"/>
      <c r="B1136" s="84"/>
      <c r="C1136" s="60"/>
      <c r="D1136" s="66"/>
      <c r="E1136" s="66"/>
      <c r="F1136" s="66"/>
      <c r="G1136" s="66"/>
      <c r="H1136" s="66"/>
      <c r="I1136" s="66"/>
      <c r="J1136" s="66"/>
      <c r="K1136" s="66"/>
      <c r="L1136" s="66"/>
      <c r="M1136" s="66"/>
      <c r="N1136" s="66"/>
    </row>
    <row r="1137" spans="1:14" x14ac:dyDescent="0.2">
      <c r="A1137" s="84"/>
      <c r="B1137" s="84"/>
      <c r="C1137" s="60"/>
      <c r="D1137" s="66"/>
      <c r="E1137" s="66"/>
      <c r="F1137" s="66"/>
      <c r="G1137" s="66"/>
      <c r="H1137" s="66"/>
      <c r="I1137" s="66"/>
      <c r="J1137" s="66"/>
      <c r="K1137" s="66"/>
      <c r="L1137" s="66"/>
      <c r="M1137" s="66"/>
      <c r="N1137" s="66"/>
    </row>
    <row r="1138" spans="1:14" x14ac:dyDescent="0.2">
      <c r="A1138" s="84"/>
      <c r="B1138" s="84"/>
      <c r="C1138" s="60"/>
      <c r="D1138" s="66"/>
      <c r="E1138" s="66"/>
      <c r="F1138" s="66"/>
      <c r="G1138" s="66"/>
      <c r="H1138" s="66"/>
      <c r="I1138" s="66"/>
      <c r="J1138" s="66"/>
      <c r="K1138" s="66"/>
      <c r="L1138" s="66"/>
      <c r="M1138" s="66"/>
      <c r="N1138" s="66"/>
    </row>
    <row r="1139" spans="1:14" x14ac:dyDescent="0.2">
      <c r="A1139" s="84"/>
      <c r="B1139" s="84"/>
      <c r="C1139" s="60"/>
      <c r="D1139" s="66"/>
      <c r="E1139" s="66"/>
      <c r="F1139" s="66"/>
      <c r="G1139" s="66"/>
      <c r="H1139" s="66"/>
      <c r="I1139" s="66"/>
      <c r="J1139" s="66"/>
      <c r="K1139" s="66"/>
      <c r="L1139" s="66"/>
      <c r="M1139" s="66"/>
      <c r="N1139" s="66"/>
    </row>
    <row r="1140" spans="1:14" x14ac:dyDescent="0.2">
      <c r="A1140" s="84"/>
      <c r="B1140" s="84"/>
      <c r="C1140" s="60"/>
      <c r="D1140" s="66"/>
      <c r="E1140" s="66"/>
      <c r="F1140" s="66"/>
      <c r="G1140" s="66"/>
      <c r="H1140" s="66"/>
      <c r="I1140" s="66"/>
      <c r="J1140" s="66"/>
      <c r="K1140" s="66"/>
      <c r="L1140" s="66"/>
      <c r="M1140" s="66"/>
      <c r="N1140" s="66"/>
    </row>
    <row r="1141" spans="1:14" x14ac:dyDescent="0.2">
      <c r="A1141" s="84"/>
      <c r="B1141" s="84"/>
      <c r="C1141" s="60"/>
      <c r="D1141" s="66"/>
      <c r="E1141" s="66"/>
      <c r="F1141" s="66"/>
      <c r="G1141" s="66"/>
      <c r="H1141" s="66"/>
      <c r="I1141" s="66"/>
      <c r="J1141" s="66"/>
      <c r="K1141" s="66"/>
      <c r="L1141" s="66"/>
      <c r="M1141" s="66"/>
      <c r="N1141" s="66"/>
    </row>
    <row r="1142" spans="1:14" x14ac:dyDescent="0.2">
      <c r="A1142" s="84"/>
      <c r="B1142" s="84"/>
      <c r="C1142" s="60"/>
      <c r="D1142" s="66"/>
      <c r="E1142" s="66"/>
      <c r="F1142" s="66"/>
      <c r="G1142" s="66"/>
      <c r="H1142" s="66"/>
      <c r="I1142" s="66"/>
      <c r="J1142" s="66"/>
      <c r="K1142" s="66"/>
      <c r="L1142" s="66"/>
      <c r="M1142" s="66"/>
      <c r="N1142" s="66"/>
    </row>
    <row r="1143" spans="1:14" x14ac:dyDescent="0.2">
      <c r="A1143" s="84"/>
      <c r="B1143" s="84"/>
      <c r="C1143" s="60"/>
      <c r="D1143" s="66"/>
      <c r="E1143" s="66"/>
      <c r="F1143" s="66"/>
      <c r="G1143" s="66"/>
      <c r="H1143" s="66"/>
      <c r="I1143" s="66"/>
      <c r="J1143" s="66"/>
      <c r="K1143" s="66"/>
      <c r="L1143" s="66"/>
      <c r="M1143" s="66"/>
      <c r="N1143" s="66"/>
    </row>
    <row r="1144" spans="1:14" x14ac:dyDescent="0.2">
      <c r="A1144" s="84"/>
      <c r="B1144" s="84"/>
      <c r="C1144" s="60"/>
      <c r="D1144" s="66"/>
      <c r="E1144" s="66"/>
      <c r="F1144" s="66"/>
      <c r="G1144" s="66"/>
      <c r="H1144" s="66"/>
      <c r="I1144" s="66"/>
      <c r="J1144" s="66"/>
      <c r="K1144" s="66"/>
      <c r="L1144" s="66"/>
      <c r="M1144" s="66"/>
      <c r="N1144" s="66"/>
    </row>
    <row r="1145" spans="1:14" x14ac:dyDescent="0.2">
      <c r="A1145" s="84"/>
      <c r="B1145" s="84"/>
      <c r="C1145" s="60"/>
      <c r="D1145" s="66"/>
      <c r="E1145" s="66"/>
      <c r="F1145" s="66"/>
      <c r="G1145" s="66"/>
      <c r="H1145" s="66"/>
      <c r="I1145" s="66"/>
      <c r="J1145" s="66"/>
      <c r="K1145" s="66"/>
      <c r="L1145" s="66"/>
      <c r="M1145" s="66"/>
      <c r="N1145" s="66"/>
    </row>
    <row r="1146" spans="1:14" x14ac:dyDescent="0.2">
      <c r="A1146" s="84"/>
      <c r="B1146" s="84"/>
      <c r="C1146" s="60"/>
      <c r="D1146" s="66"/>
      <c r="E1146" s="66"/>
      <c r="F1146" s="66"/>
      <c r="G1146" s="66"/>
      <c r="H1146" s="66"/>
      <c r="I1146" s="66"/>
      <c r="J1146" s="66"/>
      <c r="K1146" s="66"/>
      <c r="L1146" s="66"/>
      <c r="M1146" s="66"/>
      <c r="N1146" s="66"/>
    </row>
    <row r="1147" spans="1:14" x14ac:dyDescent="0.2">
      <c r="A1147" s="84"/>
      <c r="B1147" s="84"/>
      <c r="C1147" s="60"/>
      <c r="D1147" s="66"/>
      <c r="E1147" s="66"/>
      <c r="F1147" s="66"/>
      <c r="G1147" s="66"/>
      <c r="H1147" s="66"/>
      <c r="I1147" s="66"/>
      <c r="J1147" s="66"/>
      <c r="K1147" s="66"/>
      <c r="L1147" s="66"/>
      <c r="M1147" s="66"/>
      <c r="N1147" s="66"/>
    </row>
    <row r="1148" spans="1:14" x14ac:dyDescent="0.2">
      <c r="A1148" s="84"/>
      <c r="B1148" s="84"/>
      <c r="C1148" s="60"/>
      <c r="D1148" s="66"/>
      <c r="E1148" s="66"/>
      <c r="F1148" s="66"/>
      <c r="G1148" s="66"/>
      <c r="H1148" s="66"/>
      <c r="I1148" s="66"/>
      <c r="J1148" s="66"/>
      <c r="K1148" s="66"/>
      <c r="L1148" s="66"/>
      <c r="M1148" s="66"/>
      <c r="N1148" s="66"/>
    </row>
    <row r="1149" spans="1:14" x14ac:dyDescent="0.2">
      <c r="A1149" s="84"/>
      <c r="B1149" s="84"/>
      <c r="C1149" s="60"/>
      <c r="D1149" s="66"/>
      <c r="E1149" s="66"/>
      <c r="F1149" s="66"/>
      <c r="G1149" s="66"/>
      <c r="H1149" s="66"/>
      <c r="I1149" s="66"/>
      <c r="J1149" s="66"/>
      <c r="K1149" s="66"/>
      <c r="L1149" s="66"/>
      <c r="M1149" s="66"/>
      <c r="N1149" s="66"/>
    </row>
    <row r="1150" spans="1:14" x14ac:dyDescent="0.2">
      <c r="A1150" s="84"/>
      <c r="B1150" s="84"/>
      <c r="C1150" s="60"/>
      <c r="D1150" s="66"/>
      <c r="E1150" s="66"/>
      <c r="F1150" s="66"/>
      <c r="G1150" s="66"/>
      <c r="H1150" s="66"/>
      <c r="I1150" s="66"/>
      <c r="J1150" s="66"/>
      <c r="K1150" s="66"/>
      <c r="L1150" s="66"/>
      <c r="M1150" s="66"/>
      <c r="N1150" s="66"/>
    </row>
    <row r="1151" spans="1:14" x14ac:dyDescent="0.2">
      <c r="A1151" s="84"/>
      <c r="B1151" s="84"/>
      <c r="C1151" s="60"/>
      <c r="D1151" s="66"/>
      <c r="E1151" s="66"/>
      <c r="F1151" s="66"/>
      <c r="G1151" s="66"/>
      <c r="H1151" s="66"/>
      <c r="I1151" s="66"/>
      <c r="J1151" s="66"/>
      <c r="K1151" s="66"/>
      <c r="L1151" s="66"/>
      <c r="M1151" s="66"/>
      <c r="N1151" s="66"/>
    </row>
    <row r="1152" spans="1:14" x14ac:dyDescent="0.2">
      <c r="A1152" s="84"/>
      <c r="B1152" s="84"/>
      <c r="C1152" s="60"/>
      <c r="D1152" s="66"/>
      <c r="E1152" s="66"/>
      <c r="F1152" s="66"/>
      <c r="G1152" s="66"/>
      <c r="H1152" s="66"/>
      <c r="I1152" s="66"/>
      <c r="J1152" s="66"/>
      <c r="K1152" s="66"/>
      <c r="L1152" s="66"/>
      <c r="M1152" s="66"/>
      <c r="N1152" s="66"/>
    </row>
    <row r="1153" spans="1:14" x14ac:dyDescent="0.2">
      <c r="A1153" s="84"/>
      <c r="B1153" s="84"/>
      <c r="C1153" s="60"/>
      <c r="D1153" s="66"/>
      <c r="E1153" s="66"/>
      <c r="F1153" s="66"/>
      <c r="G1153" s="66"/>
      <c r="H1153" s="66"/>
      <c r="I1153" s="66"/>
      <c r="J1153" s="66"/>
      <c r="K1153" s="66"/>
      <c r="L1153" s="66"/>
      <c r="M1153" s="66"/>
      <c r="N1153" s="66"/>
    </row>
    <row r="1154" spans="1:14" x14ac:dyDescent="0.2">
      <c r="A1154" s="84"/>
      <c r="B1154" s="84"/>
      <c r="C1154" s="60"/>
      <c r="D1154" s="66"/>
      <c r="E1154" s="66"/>
      <c r="F1154" s="66"/>
      <c r="G1154" s="66"/>
      <c r="H1154" s="66"/>
      <c r="I1154" s="66"/>
      <c r="J1154" s="66"/>
      <c r="K1154" s="66"/>
      <c r="L1154" s="66"/>
      <c r="M1154" s="66"/>
      <c r="N1154" s="66"/>
    </row>
    <row r="1155" spans="1:14" x14ac:dyDescent="0.2">
      <c r="A1155" s="84"/>
      <c r="B1155" s="84"/>
      <c r="C1155" s="60"/>
      <c r="D1155" s="66"/>
      <c r="E1155" s="66"/>
      <c r="F1155" s="66"/>
      <c r="G1155" s="66"/>
      <c r="H1155" s="66"/>
      <c r="I1155" s="66"/>
      <c r="J1155" s="66"/>
      <c r="K1155" s="66"/>
      <c r="L1155" s="66"/>
      <c r="M1155" s="66"/>
      <c r="N1155" s="66"/>
    </row>
    <row r="1156" spans="1:14" x14ac:dyDescent="0.2">
      <c r="A1156" s="84"/>
      <c r="B1156" s="84"/>
      <c r="C1156" s="60"/>
      <c r="D1156" s="66"/>
      <c r="E1156" s="66"/>
      <c r="F1156" s="66"/>
      <c r="G1156" s="66"/>
      <c r="H1156" s="66"/>
      <c r="I1156" s="66"/>
      <c r="J1156" s="66"/>
      <c r="K1156" s="66"/>
      <c r="L1156" s="66"/>
      <c r="M1156" s="66"/>
      <c r="N1156" s="66"/>
    </row>
    <row r="1157" spans="1:14" x14ac:dyDescent="0.2">
      <c r="A1157" s="84"/>
      <c r="B1157" s="84"/>
      <c r="C1157" s="60"/>
      <c r="D1157" s="66"/>
      <c r="E1157" s="66"/>
      <c r="F1157" s="66"/>
      <c r="G1157" s="66"/>
      <c r="H1157" s="66"/>
      <c r="I1157" s="66"/>
      <c r="J1157" s="66"/>
      <c r="K1157" s="66"/>
      <c r="L1157" s="66"/>
      <c r="M1157" s="66"/>
      <c r="N1157" s="66"/>
    </row>
    <row r="1158" spans="1:14" x14ac:dyDescent="0.2">
      <c r="A1158" s="84"/>
      <c r="B1158" s="84"/>
      <c r="C1158" s="60"/>
      <c r="D1158" s="66"/>
      <c r="E1158" s="66"/>
      <c r="F1158" s="66"/>
      <c r="G1158" s="66"/>
      <c r="H1158" s="66"/>
      <c r="I1158" s="66"/>
      <c r="J1158" s="66"/>
      <c r="K1158" s="66"/>
      <c r="L1158" s="66"/>
      <c r="M1158" s="66"/>
      <c r="N1158" s="66"/>
    </row>
    <row r="1159" spans="1:14" x14ac:dyDescent="0.2">
      <c r="A1159" s="84"/>
      <c r="B1159" s="84"/>
      <c r="C1159" s="60"/>
      <c r="D1159" s="66"/>
      <c r="E1159" s="66"/>
      <c r="F1159" s="66"/>
      <c r="G1159" s="66"/>
      <c r="H1159" s="66"/>
      <c r="I1159" s="66"/>
      <c r="J1159" s="66"/>
      <c r="K1159" s="66"/>
      <c r="L1159" s="66"/>
      <c r="M1159" s="66"/>
      <c r="N1159" s="66"/>
    </row>
    <row r="1160" spans="1:14" x14ac:dyDescent="0.2">
      <c r="A1160" s="84"/>
      <c r="B1160" s="84"/>
      <c r="C1160" s="60"/>
      <c r="D1160" s="66"/>
      <c r="E1160" s="66"/>
      <c r="F1160" s="66"/>
      <c r="G1160" s="66"/>
      <c r="H1160" s="66"/>
      <c r="I1160" s="66"/>
      <c r="J1160" s="66"/>
      <c r="K1160" s="66"/>
      <c r="L1160" s="66"/>
      <c r="M1160" s="66"/>
      <c r="N1160" s="66"/>
    </row>
    <row r="1161" spans="1:14" x14ac:dyDescent="0.2">
      <c r="A1161" s="84"/>
      <c r="B1161" s="84"/>
      <c r="C1161" s="60"/>
      <c r="D1161" s="66"/>
      <c r="E1161" s="66"/>
      <c r="F1161" s="66"/>
      <c r="G1161" s="66"/>
      <c r="H1161" s="66"/>
      <c r="I1161" s="66"/>
      <c r="J1161" s="66"/>
      <c r="K1161" s="66"/>
      <c r="L1161" s="66"/>
      <c r="M1161" s="66"/>
      <c r="N1161" s="66"/>
    </row>
    <row r="1162" spans="1:14" x14ac:dyDescent="0.2">
      <c r="A1162" s="84"/>
      <c r="B1162" s="84"/>
      <c r="C1162" s="60"/>
      <c r="D1162" s="66"/>
      <c r="E1162" s="66"/>
      <c r="F1162" s="66"/>
      <c r="G1162" s="66"/>
      <c r="H1162" s="66"/>
      <c r="I1162" s="66"/>
      <c r="J1162" s="66"/>
      <c r="K1162" s="66"/>
      <c r="L1162" s="66"/>
      <c r="M1162" s="66"/>
      <c r="N1162" s="66"/>
    </row>
    <row r="1163" spans="1:14" x14ac:dyDescent="0.2">
      <c r="A1163" s="84"/>
      <c r="B1163" s="84"/>
      <c r="C1163" s="60"/>
      <c r="D1163" s="66"/>
      <c r="E1163" s="66"/>
      <c r="F1163" s="66"/>
      <c r="G1163" s="66"/>
      <c r="H1163" s="66"/>
      <c r="I1163" s="66"/>
      <c r="J1163" s="66"/>
      <c r="K1163" s="66"/>
      <c r="L1163" s="66"/>
      <c r="M1163" s="66"/>
      <c r="N1163" s="66"/>
    </row>
    <row r="1164" spans="1:14" x14ac:dyDescent="0.2">
      <c r="A1164" s="84"/>
      <c r="B1164" s="84"/>
      <c r="C1164" s="60"/>
      <c r="D1164" s="66"/>
      <c r="E1164" s="66"/>
      <c r="F1164" s="66"/>
      <c r="G1164" s="66"/>
      <c r="H1164" s="66"/>
      <c r="I1164" s="66"/>
      <c r="J1164" s="66"/>
      <c r="K1164" s="66"/>
      <c r="L1164" s="66"/>
      <c r="M1164" s="66"/>
      <c r="N1164" s="66"/>
    </row>
    <row r="1165" spans="1:14" x14ac:dyDescent="0.2">
      <c r="A1165" s="84"/>
      <c r="B1165" s="84"/>
      <c r="C1165" s="60"/>
      <c r="D1165" s="66"/>
      <c r="E1165" s="66"/>
      <c r="F1165" s="66"/>
      <c r="G1165" s="66"/>
      <c r="H1165" s="66"/>
      <c r="I1165" s="66"/>
      <c r="J1165" s="66"/>
      <c r="K1165" s="66"/>
      <c r="L1165" s="66"/>
      <c r="M1165" s="66"/>
      <c r="N1165" s="66"/>
    </row>
    <row r="1166" spans="1:14" x14ac:dyDescent="0.2">
      <c r="A1166" s="84"/>
      <c r="B1166" s="84"/>
      <c r="C1166" s="60"/>
      <c r="D1166" s="66"/>
      <c r="E1166" s="66"/>
      <c r="F1166" s="66"/>
      <c r="G1166" s="66"/>
      <c r="H1166" s="66"/>
      <c r="I1166" s="66"/>
      <c r="J1166" s="66"/>
      <c r="K1166" s="66"/>
      <c r="L1166" s="66"/>
      <c r="M1166" s="66"/>
      <c r="N1166" s="66"/>
    </row>
    <row r="1167" spans="1:14" x14ac:dyDescent="0.2">
      <c r="A1167" s="84"/>
      <c r="B1167" s="84"/>
      <c r="C1167" s="60"/>
      <c r="D1167" s="66"/>
      <c r="E1167" s="66"/>
      <c r="F1167" s="66"/>
      <c r="G1167" s="66"/>
      <c r="H1167" s="66"/>
      <c r="I1167" s="66"/>
      <c r="J1167" s="66"/>
      <c r="K1167" s="66"/>
      <c r="L1167" s="66"/>
      <c r="M1167" s="66"/>
      <c r="N1167" s="66"/>
    </row>
    <row r="1168" spans="1:14" x14ac:dyDescent="0.2">
      <c r="A1168" s="84"/>
      <c r="B1168" s="84"/>
      <c r="C1168" s="60"/>
      <c r="D1168" s="66"/>
      <c r="E1168" s="66"/>
      <c r="F1168" s="66"/>
      <c r="G1168" s="66"/>
      <c r="H1168" s="66"/>
      <c r="I1168" s="66"/>
      <c r="J1168" s="66"/>
      <c r="K1168" s="66"/>
      <c r="L1168" s="66"/>
      <c r="M1168" s="66"/>
      <c r="N1168" s="66"/>
    </row>
    <row r="1169" spans="1:14" x14ac:dyDescent="0.2">
      <c r="A1169" s="84"/>
      <c r="B1169" s="84"/>
      <c r="C1169" s="60"/>
      <c r="D1169" s="66"/>
      <c r="E1169" s="66"/>
      <c r="F1169" s="66"/>
      <c r="G1169" s="66"/>
      <c r="H1169" s="66"/>
      <c r="I1169" s="66"/>
      <c r="J1169" s="66"/>
      <c r="K1169" s="66"/>
      <c r="L1169" s="66"/>
      <c r="M1169" s="66"/>
      <c r="N1169" s="66"/>
    </row>
    <row r="1170" spans="1:14" x14ac:dyDescent="0.2">
      <c r="A1170" s="84"/>
      <c r="B1170" s="84"/>
      <c r="C1170" s="60"/>
      <c r="D1170" s="66"/>
      <c r="E1170" s="66"/>
      <c r="F1170" s="66"/>
      <c r="G1170" s="66"/>
      <c r="H1170" s="66"/>
      <c r="I1170" s="66"/>
      <c r="J1170" s="66"/>
      <c r="K1170" s="66"/>
      <c r="L1170" s="66"/>
      <c r="M1170" s="66"/>
      <c r="N1170" s="66"/>
    </row>
    <row r="1171" spans="1:14" x14ac:dyDescent="0.2">
      <c r="A1171" s="84"/>
      <c r="B1171" s="84"/>
      <c r="C1171" s="60"/>
      <c r="D1171" s="66"/>
      <c r="E1171" s="66"/>
      <c r="F1171" s="66"/>
      <c r="G1171" s="66"/>
      <c r="H1171" s="66"/>
      <c r="I1171" s="66"/>
      <c r="J1171" s="66"/>
      <c r="K1171" s="66"/>
      <c r="L1171" s="66"/>
      <c r="M1171" s="66"/>
      <c r="N1171" s="66"/>
    </row>
    <row r="1172" spans="1:14" x14ac:dyDescent="0.2">
      <c r="A1172" s="84"/>
      <c r="B1172" s="84"/>
      <c r="C1172" s="60"/>
      <c r="D1172" s="66"/>
      <c r="E1172" s="66"/>
      <c r="F1172" s="66"/>
      <c r="G1172" s="66"/>
      <c r="H1172" s="66"/>
      <c r="I1172" s="66"/>
      <c r="J1172" s="66"/>
      <c r="K1172" s="66"/>
      <c r="L1172" s="66"/>
      <c r="M1172" s="66"/>
      <c r="N1172" s="66"/>
    </row>
    <row r="1173" spans="1:14" x14ac:dyDescent="0.2">
      <c r="A1173" s="84"/>
      <c r="B1173" s="84"/>
      <c r="C1173" s="60"/>
      <c r="D1173" s="66"/>
      <c r="E1173" s="66"/>
      <c r="F1173" s="66"/>
      <c r="G1173" s="66"/>
      <c r="H1173" s="66"/>
      <c r="I1173" s="66"/>
      <c r="J1173" s="66"/>
      <c r="K1173" s="66"/>
      <c r="L1173" s="66"/>
      <c r="M1173" s="66"/>
      <c r="N1173" s="66"/>
    </row>
    <row r="1174" spans="1:14" x14ac:dyDescent="0.2">
      <c r="A1174" s="84"/>
      <c r="B1174" s="84"/>
      <c r="C1174" s="60"/>
      <c r="D1174" s="66"/>
      <c r="E1174" s="66"/>
      <c r="F1174" s="66"/>
      <c r="G1174" s="66"/>
      <c r="H1174" s="66"/>
      <c r="I1174" s="66"/>
      <c r="J1174" s="66"/>
      <c r="K1174" s="66"/>
      <c r="L1174" s="66"/>
      <c r="M1174" s="66"/>
      <c r="N1174" s="66"/>
    </row>
    <row r="1175" spans="1:14" x14ac:dyDescent="0.2">
      <c r="A1175" s="84"/>
      <c r="B1175" s="84"/>
      <c r="C1175" s="60"/>
      <c r="D1175" s="66"/>
      <c r="E1175" s="66"/>
      <c r="F1175" s="66"/>
      <c r="G1175" s="66"/>
      <c r="H1175" s="66"/>
      <c r="I1175" s="66"/>
      <c r="J1175" s="66"/>
      <c r="K1175" s="66"/>
      <c r="L1175" s="66"/>
      <c r="M1175" s="66"/>
      <c r="N1175" s="66"/>
    </row>
    <row r="1176" spans="1:14" x14ac:dyDescent="0.2">
      <c r="A1176" s="84"/>
      <c r="B1176" s="84"/>
      <c r="C1176" s="60"/>
      <c r="D1176" s="66"/>
      <c r="E1176" s="66"/>
      <c r="F1176" s="66"/>
      <c r="G1176" s="66"/>
      <c r="H1176" s="66"/>
      <c r="I1176" s="66"/>
      <c r="J1176" s="66"/>
      <c r="K1176" s="66"/>
      <c r="L1176" s="66"/>
      <c r="M1176" s="66"/>
      <c r="N1176" s="66"/>
    </row>
    <row r="1177" spans="1:14" x14ac:dyDescent="0.2">
      <c r="A1177" s="84"/>
      <c r="B1177" s="84"/>
      <c r="C1177" s="60"/>
      <c r="D1177" s="66"/>
      <c r="E1177" s="66"/>
      <c r="F1177" s="66"/>
      <c r="G1177" s="66"/>
      <c r="H1177" s="66"/>
      <c r="I1177" s="66"/>
      <c r="J1177" s="66"/>
      <c r="K1177" s="66"/>
      <c r="L1177" s="66"/>
      <c r="M1177" s="66"/>
      <c r="N1177" s="66"/>
    </row>
    <row r="1178" spans="1:14" x14ac:dyDescent="0.2">
      <c r="A1178" s="84"/>
      <c r="B1178" s="84"/>
      <c r="C1178" s="60"/>
      <c r="D1178" s="66"/>
      <c r="E1178" s="66"/>
      <c r="F1178" s="66"/>
      <c r="G1178" s="66"/>
      <c r="H1178" s="66"/>
      <c r="I1178" s="66"/>
      <c r="J1178" s="66"/>
      <c r="K1178" s="66"/>
      <c r="L1178" s="66"/>
      <c r="M1178" s="66"/>
      <c r="N1178" s="66"/>
    </row>
    <row r="1179" spans="1:14" x14ac:dyDescent="0.2">
      <c r="A1179" s="84"/>
      <c r="B1179" s="84"/>
      <c r="C1179" s="60"/>
      <c r="D1179" s="66"/>
      <c r="E1179" s="66"/>
      <c r="F1179" s="66"/>
      <c r="G1179" s="66"/>
      <c r="H1179" s="66"/>
      <c r="I1179" s="66"/>
      <c r="J1179" s="66"/>
      <c r="K1179" s="66"/>
      <c r="L1179" s="66"/>
      <c r="M1179" s="66"/>
      <c r="N1179" s="66"/>
    </row>
    <row r="1180" spans="1:14" x14ac:dyDescent="0.2">
      <c r="A1180" s="84"/>
      <c r="B1180" s="84"/>
      <c r="C1180" s="60"/>
      <c r="D1180" s="66"/>
      <c r="E1180" s="66"/>
      <c r="F1180" s="66"/>
      <c r="G1180" s="66"/>
      <c r="H1180" s="66"/>
      <c r="I1180" s="66"/>
      <c r="J1180" s="66"/>
      <c r="K1180" s="66"/>
      <c r="L1180" s="66"/>
      <c r="M1180" s="66"/>
      <c r="N1180" s="66"/>
    </row>
    <row r="1181" spans="1:14" x14ac:dyDescent="0.2">
      <c r="A1181" s="84"/>
      <c r="B1181" s="84"/>
      <c r="C1181" s="60"/>
      <c r="D1181" s="66"/>
      <c r="E1181" s="66"/>
      <c r="F1181" s="66"/>
      <c r="G1181" s="66"/>
      <c r="H1181" s="66"/>
      <c r="I1181" s="66"/>
      <c r="J1181" s="66"/>
      <c r="K1181" s="66"/>
      <c r="L1181" s="66"/>
      <c r="M1181" s="66"/>
      <c r="N1181" s="66"/>
    </row>
    <row r="1182" spans="1:14" x14ac:dyDescent="0.2">
      <c r="A1182" s="84"/>
      <c r="B1182" s="84"/>
      <c r="C1182" s="60"/>
      <c r="D1182" s="66"/>
      <c r="E1182" s="66"/>
      <c r="F1182" s="66"/>
      <c r="G1182" s="66"/>
      <c r="H1182" s="66"/>
      <c r="I1182" s="66"/>
      <c r="J1182" s="66"/>
      <c r="K1182" s="66"/>
      <c r="L1182" s="66"/>
      <c r="M1182" s="66"/>
      <c r="N1182" s="66"/>
    </row>
    <row r="1183" spans="1:14" x14ac:dyDescent="0.2">
      <c r="A1183" s="84"/>
      <c r="B1183" s="84"/>
      <c r="C1183" s="60"/>
      <c r="D1183" s="66"/>
      <c r="E1183" s="66"/>
      <c r="F1183" s="66"/>
      <c r="G1183" s="66"/>
      <c r="H1183" s="66"/>
      <c r="I1183" s="66"/>
      <c r="J1183" s="66"/>
      <c r="K1183" s="66"/>
      <c r="L1183" s="66"/>
      <c r="M1183" s="66"/>
      <c r="N1183" s="66"/>
    </row>
    <row r="1184" spans="1:14" x14ac:dyDescent="0.2">
      <c r="A1184" s="84"/>
      <c r="B1184" s="84"/>
      <c r="C1184" s="60"/>
      <c r="D1184" s="66"/>
      <c r="E1184" s="66"/>
      <c r="F1184" s="66"/>
      <c r="G1184" s="66"/>
      <c r="H1184" s="66"/>
      <c r="I1184" s="66"/>
      <c r="J1184" s="66"/>
      <c r="K1184" s="66"/>
      <c r="L1184" s="66"/>
      <c r="M1184" s="66"/>
      <c r="N1184" s="66"/>
    </row>
    <row r="1185" spans="1:14" x14ac:dyDescent="0.2">
      <c r="A1185" s="84"/>
      <c r="B1185" s="84"/>
      <c r="C1185" s="60"/>
      <c r="D1185" s="66"/>
      <c r="E1185" s="66"/>
      <c r="F1185" s="66"/>
      <c r="G1185" s="66"/>
      <c r="H1185" s="66"/>
      <c r="I1185" s="66"/>
      <c r="J1185" s="66"/>
      <c r="K1185" s="66"/>
      <c r="L1185" s="66"/>
      <c r="M1185" s="66"/>
      <c r="N1185" s="66"/>
    </row>
    <row r="1186" spans="1:14" x14ac:dyDescent="0.2">
      <c r="A1186" s="84"/>
      <c r="B1186" s="84"/>
      <c r="C1186" s="60"/>
      <c r="D1186" s="66"/>
      <c r="E1186" s="66"/>
      <c r="F1186" s="66"/>
      <c r="G1186" s="66"/>
      <c r="H1186" s="66"/>
      <c r="I1186" s="66"/>
      <c r="J1186" s="66"/>
      <c r="K1186" s="66"/>
      <c r="L1186" s="66"/>
      <c r="M1186" s="66"/>
      <c r="N1186" s="66"/>
    </row>
    <row r="1187" spans="1:14" x14ac:dyDescent="0.2">
      <c r="A1187" s="84"/>
      <c r="B1187" s="84"/>
      <c r="C1187" s="60"/>
      <c r="D1187" s="66"/>
      <c r="E1187" s="66"/>
      <c r="F1187" s="66"/>
      <c r="G1187" s="66"/>
      <c r="H1187" s="66"/>
      <c r="I1187" s="66"/>
      <c r="J1187" s="66"/>
      <c r="K1187" s="66"/>
      <c r="L1187" s="66"/>
      <c r="M1187" s="66"/>
      <c r="N1187" s="66"/>
    </row>
    <row r="1188" spans="1:14" x14ac:dyDescent="0.2">
      <c r="A1188" s="84"/>
      <c r="B1188" s="84"/>
      <c r="C1188" s="60"/>
      <c r="D1188" s="66"/>
      <c r="E1188" s="66"/>
      <c r="F1188" s="66"/>
      <c r="G1188" s="66"/>
      <c r="H1188" s="66"/>
      <c r="I1188" s="66"/>
      <c r="J1188" s="66"/>
      <c r="K1188" s="66"/>
      <c r="L1188" s="66"/>
      <c r="M1188" s="66"/>
      <c r="N1188" s="66"/>
    </row>
    <row r="1189" spans="1:14" x14ac:dyDescent="0.2">
      <c r="A1189" s="84"/>
      <c r="B1189" s="84"/>
      <c r="C1189" s="60"/>
      <c r="D1189" s="66"/>
      <c r="E1189" s="66"/>
      <c r="F1189" s="66"/>
      <c r="G1189" s="66"/>
      <c r="H1189" s="66"/>
      <c r="I1189" s="66"/>
      <c r="J1189" s="66"/>
      <c r="K1189" s="66"/>
      <c r="L1189" s="66"/>
      <c r="M1189" s="66"/>
      <c r="N1189" s="66"/>
    </row>
    <row r="1190" spans="1:14" x14ac:dyDescent="0.2">
      <c r="A1190" s="84"/>
      <c r="B1190" s="84"/>
      <c r="C1190" s="60"/>
      <c r="D1190" s="66"/>
      <c r="E1190" s="66"/>
      <c r="F1190" s="66"/>
      <c r="G1190" s="66"/>
      <c r="H1190" s="66"/>
      <c r="I1190" s="66"/>
      <c r="J1190" s="66"/>
      <c r="K1190" s="66"/>
      <c r="L1190" s="66"/>
      <c r="M1190" s="66"/>
      <c r="N1190" s="66"/>
    </row>
    <row r="1191" spans="1:14" x14ac:dyDescent="0.2">
      <c r="A1191" s="84"/>
      <c r="B1191" s="84"/>
      <c r="C1191" s="60"/>
      <c r="D1191" s="66"/>
      <c r="E1191" s="66"/>
      <c r="F1191" s="66"/>
      <c r="G1191" s="66"/>
      <c r="H1191" s="66"/>
      <c r="I1191" s="66"/>
      <c r="J1191" s="66"/>
      <c r="K1191" s="66"/>
      <c r="L1191" s="66"/>
      <c r="M1191" s="66"/>
      <c r="N1191" s="66"/>
    </row>
    <row r="1192" spans="1:14" x14ac:dyDescent="0.2">
      <c r="A1192" s="84"/>
      <c r="B1192" s="84"/>
      <c r="C1192" s="60"/>
      <c r="D1192" s="66"/>
      <c r="E1192" s="66"/>
      <c r="F1192" s="66"/>
      <c r="G1192" s="66"/>
      <c r="H1192" s="66"/>
      <c r="I1192" s="66"/>
      <c r="J1192" s="66"/>
      <c r="K1192" s="66"/>
      <c r="L1192" s="66"/>
      <c r="M1192" s="66"/>
      <c r="N1192" s="66"/>
    </row>
    <row r="1193" spans="1:14" x14ac:dyDescent="0.2">
      <c r="A1193" s="84"/>
      <c r="B1193" s="84"/>
      <c r="C1193" s="60"/>
      <c r="D1193" s="66"/>
      <c r="E1193" s="66"/>
      <c r="F1193" s="66"/>
      <c r="G1193" s="66"/>
      <c r="H1193" s="66"/>
      <c r="I1193" s="66"/>
      <c r="J1193" s="66"/>
      <c r="K1193" s="66"/>
      <c r="L1193" s="66"/>
      <c r="M1193" s="66"/>
      <c r="N1193" s="66"/>
    </row>
    <row r="1194" spans="1:14" x14ac:dyDescent="0.2">
      <c r="A1194" s="84"/>
      <c r="B1194" s="84"/>
      <c r="C1194" s="60"/>
      <c r="D1194" s="66"/>
      <c r="E1194" s="66"/>
      <c r="F1194" s="66"/>
      <c r="G1194" s="66"/>
      <c r="H1194" s="66"/>
      <c r="I1194" s="66"/>
      <c r="J1194" s="66"/>
      <c r="K1194" s="66"/>
      <c r="L1194" s="66"/>
      <c r="M1194" s="66"/>
      <c r="N1194" s="66"/>
    </row>
    <row r="1195" spans="1:14" x14ac:dyDescent="0.2">
      <c r="A1195" s="84"/>
      <c r="B1195" s="84"/>
      <c r="C1195" s="60"/>
      <c r="D1195" s="66"/>
      <c r="E1195" s="66"/>
      <c r="F1195" s="66"/>
      <c r="G1195" s="66"/>
      <c r="H1195" s="66"/>
      <c r="I1195" s="66"/>
      <c r="J1195" s="66"/>
      <c r="K1195" s="66"/>
      <c r="L1195" s="66"/>
      <c r="M1195" s="66"/>
      <c r="N1195" s="66"/>
    </row>
    <row r="1196" spans="1:14" x14ac:dyDescent="0.2">
      <c r="A1196" s="84"/>
      <c r="B1196" s="84"/>
      <c r="C1196" s="60"/>
      <c r="D1196" s="66"/>
      <c r="E1196" s="66"/>
      <c r="F1196" s="66"/>
      <c r="G1196" s="66"/>
      <c r="H1196" s="66"/>
      <c r="I1196" s="66"/>
      <c r="J1196" s="66"/>
      <c r="K1196" s="66"/>
      <c r="L1196" s="66"/>
      <c r="M1196" s="66"/>
      <c r="N1196" s="66"/>
    </row>
    <row r="1197" spans="1:14" x14ac:dyDescent="0.2">
      <c r="A1197" s="84"/>
      <c r="B1197" s="84"/>
      <c r="C1197" s="60"/>
      <c r="D1197" s="66"/>
      <c r="E1197" s="66"/>
      <c r="F1197" s="66"/>
      <c r="G1197" s="66"/>
      <c r="H1197" s="66"/>
      <c r="I1197" s="66"/>
      <c r="J1197" s="66"/>
      <c r="K1197" s="66"/>
      <c r="L1197" s="66"/>
      <c r="M1197" s="66"/>
      <c r="N1197" s="66"/>
    </row>
    <row r="1198" spans="1:14" x14ac:dyDescent="0.2">
      <c r="A1198" s="84"/>
      <c r="B1198" s="84"/>
      <c r="C1198" s="60"/>
      <c r="D1198" s="66"/>
      <c r="E1198" s="66"/>
      <c r="F1198" s="66"/>
      <c r="G1198" s="66"/>
      <c r="H1198" s="66"/>
      <c r="I1198" s="66"/>
      <c r="J1198" s="66"/>
      <c r="K1198" s="66"/>
      <c r="L1198" s="66"/>
      <c r="M1198" s="66"/>
      <c r="N1198" s="66"/>
    </row>
    <row r="1199" spans="1:14" x14ac:dyDescent="0.2">
      <c r="A1199" s="84"/>
      <c r="B1199" s="84"/>
      <c r="C1199" s="60"/>
      <c r="D1199" s="66"/>
      <c r="E1199" s="66"/>
      <c r="F1199" s="66"/>
      <c r="G1199" s="66"/>
      <c r="H1199" s="66"/>
      <c r="I1199" s="66"/>
      <c r="J1199" s="66"/>
      <c r="K1199" s="66"/>
      <c r="L1199" s="66"/>
      <c r="M1199" s="66"/>
      <c r="N1199" s="66"/>
    </row>
    <row r="1200" spans="1:14" x14ac:dyDescent="0.2">
      <c r="A1200" s="84"/>
      <c r="B1200" s="84"/>
      <c r="C1200" s="60"/>
      <c r="D1200" s="66"/>
      <c r="E1200" s="66"/>
      <c r="F1200" s="66"/>
      <c r="G1200" s="66"/>
      <c r="H1200" s="66"/>
      <c r="I1200" s="66"/>
      <c r="J1200" s="66"/>
      <c r="K1200" s="66"/>
      <c r="L1200" s="66"/>
      <c r="M1200" s="66"/>
      <c r="N1200" s="66"/>
    </row>
    <row r="1201" spans="1:14" x14ac:dyDescent="0.2">
      <c r="A1201" s="84"/>
      <c r="B1201" s="84"/>
      <c r="C1201" s="60"/>
      <c r="D1201" s="66"/>
      <c r="E1201" s="66"/>
      <c r="F1201" s="66"/>
      <c r="G1201" s="66"/>
      <c r="H1201" s="66"/>
      <c r="I1201" s="66"/>
      <c r="J1201" s="66"/>
      <c r="K1201" s="66"/>
      <c r="L1201" s="66"/>
      <c r="M1201" s="66"/>
      <c r="N1201" s="66"/>
    </row>
    <row r="1202" spans="1:14" x14ac:dyDescent="0.2">
      <c r="A1202" s="84"/>
      <c r="B1202" s="84"/>
      <c r="C1202" s="60"/>
      <c r="D1202" s="66"/>
      <c r="E1202" s="66"/>
      <c r="F1202" s="66"/>
      <c r="G1202" s="66"/>
      <c r="H1202" s="66"/>
      <c r="I1202" s="66"/>
      <c r="J1202" s="66"/>
      <c r="K1202" s="66"/>
      <c r="L1202" s="66"/>
      <c r="M1202" s="66"/>
      <c r="N1202" s="66"/>
    </row>
    <row r="1203" spans="1:14" x14ac:dyDescent="0.2">
      <c r="A1203" s="84"/>
      <c r="B1203" s="84"/>
      <c r="C1203" s="60"/>
      <c r="D1203" s="66"/>
      <c r="E1203" s="66"/>
      <c r="F1203" s="66"/>
      <c r="G1203" s="66"/>
      <c r="H1203" s="66"/>
      <c r="I1203" s="66"/>
      <c r="J1203" s="66"/>
      <c r="K1203" s="66"/>
      <c r="L1203" s="66"/>
      <c r="M1203" s="66"/>
      <c r="N1203" s="66"/>
    </row>
    <row r="1204" spans="1:14" x14ac:dyDescent="0.2">
      <c r="A1204" s="84"/>
      <c r="B1204" s="84"/>
      <c r="C1204" s="60"/>
      <c r="D1204" s="66"/>
      <c r="E1204" s="66"/>
      <c r="F1204" s="66"/>
      <c r="G1204" s="66"/>
      <c r="H1204" s="66"/>
      <c r="I1204" s="66"/>
      <c r="J1204" s="66"/>
      <c r="K1204" s="66"/>
      <c r="L1204" s="66"/>
      <c r="M1204" s="66"/>
      <c r="N1204" s="66"/>
    </row>
    <row r="1205" spans="1:14" x14ac:dyDescent="0.2">
      <c r="A1205" s="84"/>
      <c r="B1205" s="84"/>
      <c r="C1205" s="60"/>
      <c r="D1205" s="66"/>
      <c r="E1205" s="66"/>
      <c r="F1205" s="66"/>
      <c r="G1205" s="66"/>
      <c r="H1205" s="66"/>
      <c r="I1205" s="66"/>
      <c r="J1205" s="66"/>
      <c r="K1205" s="66"/>
      <c r="L1205" s="66"/>
      <c r="M1205" s="66"/>
      <c r="N1205" s="66"/>
    </row>
    <row r="1206" spans="1:14" x14ac:dyDescent="0.2">
      <c r="A1206" s="84"/>
      <c r="B1206" s="84"/>
      <c r="C1206" s="60"/>
      <c r="D1206" s="66"/>
      <c r="E1206" s="66"/>
      <c r="F1206" s="66"/>
      <c r="G1206" s="66"/>
      <c r="H1206" s="66"/>
      <c r="I1206" s="66"/>
      <c r="J1206" s="66"/>
      <c r="K1206" s="66"/>
      <c r="L1206" s="66"/>
      <c r="M1206" s="66"/>
      <c r="N1206" s="66"/>
    </row>
    <row r="1207" spans="1:14" x14ac:dyDescent="0.2">
      <c r="A1207" s="84"/>
      <c r="B1207" s="84"/>
      <c r="C1207" s="60"/>
      <c r="D1207" s="66"/>
      <c r="E1207" s="66"/>
      <c r="F1207" s="66"/>
      <c r="G1207" s="66"/>
      <c r="H1207" s="66"/>
      <c r="I1207" s="66"/>
      <c r="J1207" s="66"/>
      <c r="K1207" s="66"/>
      <c r="L1207" s="66"/>
      <c r="M1207" s="66"/>
      <c r="N1207" s="66"/>
    </row>
    <row r="1208" spans="1:14" x14ac:dyDescent="0.2">
      <c r="A1208" s="84"/>
      <c r="B1208" s="84"/>
      <c r="C1208" s="60"/>
      <c r="D1208" s="66"/>
      <c r="E1208" s="66"/>
      <c r="F1208" s="66"/>
      <c r="G1208" s="66"/>
      <c r="H1208" s="66"/>
      <c r="I1208" s="66"/>
      <c r="J1208" s="66"/>
      <c r="K1208" s="66"/>
      <c r="L1208" s="66"/>
      <c r="M1208" s="66"/>
      <c r="N1208" s="66"/>
    </row>
    <row r="1209" spans="1:14" x14ac:dyDescent="0.2">
      <c r="A1209" s="84"/>
      <c r="B1209" s="84"/>
      <c r="C1209" s="60"/>
      <c r="D1209" s="66"/>
      <c r="E1209" s="66"/>
      <c r="F1209" s="66"/>
      <c r="G1209" s="66"/>
      <c r="H1209" s="66"/>
      <c r="I1209" s="66"/>
      <c r="J1209" s="66"/>
      <c r="K1209" s="66"/>
      <c r="L1209" s="66"/>
      <c r="M1209" s="66"/>
      <c r="N1209" s="66"/>
    </row>
    <row r="1210" spans="1:14" x14ac:dyDescent="0.2">
      <c r="A1210" s="84"/>
      <c r="B1210" s="84"/>
      <c r="C1210" s="60"/>
      <c r="D1210" s="66"/>
      <c r="E1210" s="66"/>
      <c r="F1210" s="66"/>
      <c r="G1210" s="66"/>
      <c r="H1210" s="66"/>
      <c r="I1210" s="66"/>
      <c r="J1210" s="66"/>
      <c r="K1210" s="66"/>
      <c r="L1210" s="66"/>
      <c r="M1210" s="66"/>
      <c r="N1210" s="66"/>
    </row>
    <row r="1211" spans="1:14" x14ac:dyDescent="0.2">
      <c r="A1211" s="84"/>
      <c r="B1211" s="84"/>
      <c r="C1211" s="60"/>
      <c r="D1211" s="66"/>
      <c r="E1211" s="66"/>
      <c r="F1211" s="66"/>
      <c r="G1211" s="66"/>
      <c r="H1211" s="66"/>
      <c r="I1211" s="66"/>
      <c r="J1211" s="66"/>
      <c r="K1211" s="66"/>
      <c r="L1211" s="66"/>
      <c r="M1211" s="66"/>
      <c r="N1211" s="66"/>
    </row>
    <row r="1212" spans="1:14" x14ac:dyDescent="0.2">
      <c r="A1212" s="84"/>
      <c r="B1212" s="84"/>
      <c r="C1212" s="60"/>
      <c r="D1212" s="66"/>
      <c r="E1212" s="66"/>
      <c r="F1212" s="66"/>
      <c r="G1212" s="66"/>
      <c r="H1212" s="66"/>
      <c r="I1212" s="66"/>
      <c r="J1212" s="66"/>
      <c r="K1212" s="66"/>
      <c r="L1212" s="66"/>
      <c r="M1212" s="66"/>
      <c r="N1212" s="66"/>
    </row>
    <row r="1213" spans="1:14" x14ac:dyDescent="0.2">
      <c r="A1213" s="84"/>
      <c r="B1213" s="84"/>
      <c r="C1213" s="60"/>
      <c r="D1213" s="66"/>
      <c r="E1213" s="66"/>
      <c r="F1213" s="66"/>
      <c r="G1213" s="66"/>
      <c r="H1213" s="66"/>
      <c r="I1213" s="66"/>
      <c r="J1213" s="66"/>
      <c r="K1213" s="66"/>
      <c r="L1213" s="66"/>
      <c r="M1213" s="66"/>
      <c r="N1213" s="66"/>
    </row>
    <row r="1214" spans="1:14" x14ac:dyDescent="0.2">
      <c r="A1214" s="84"/>
      <c r="B1214" s="84"/>
      <c r="C1214" s="60"/>
      <c r="D1214" s="66"/>
      <c r="E1214" s="66"/>
      <c r="F1214" s="66"/>
      <c r="G1214" s="66"/>
      <c r="H1214" s="66"/>
      <c r="I1214" s="66"/>
      <c r="J1214" s="66"/>
      <c r="K1214" s="66"/>
      <c r="L1214" s="66"/>
      <c r="M1214" s="66"/>
      <c r="N1214" s="66"/>
    </row>
    <row r="1215" spans="1:14" x14ac:dyDescent="0.2">
      <c r="A1215" s="84"/>
      <c r="B1215" s="84"/>
      <c r="C1215" s="60"/>
      <c r="D1215" s="66"/>
      <c r="E1215" s="66"/>
      <c r="F1215" s="66"/>
      <c r="G1215" s="66"/>
      <c r="H1215" s="66"/>
      <c r="I1215" s="66"/>
      <c r="J1215" s="66"/>
      <c r="K1215" s="66"/>
      <c r="L1215" s="66"/>
      <c r="M1215" s="66"/>
      <c r="N1215" s="66"/>
    </row>
    <row r="1216" spans="1:14" x14ac:dyDescent="0.2">
      <c r="A1216" s="84"/>
      <c r="B1216" s="84"/>
      <c r="C1216" s="60"/>
      <c r="D1216" s="66"/>
      <c r="E1216" s="66"/>
      <c r="F1216" s="66"/>
      <c r="G1216" s="66"/>
      <c r="H1216" s="66"/>
      <c r="I1216" s="66"/>
      <c r="J1216" s="66"/>
      <c r="K1216" s="66"/>
      <c r="L1216" s="66"/>
      <c r="M1216" s="66"/>
      <c r="N1216" s="66"/>
    </row>
    <row r="1217" spans="1:14" x14ac:dyDescent="0.2">
      <c r="A1217" s="84"/>
      <c r="B1217" s="84"/>
      <c r="C1217" s="60"/>
      <c r="D1217" s="66"/>
      <c r="E1217" s="66"/>
      <c r="F1217" s="66"/>
      <c r="G1217" s="66"/>
      <c r="H1217" s="66"/>
      <c r="I1217" s="66"/>
      <c r="J1217" s="66"/>
      <c r="K1217" s="66"/>
      <c r="L1217" s="66"/>
      <c r="M1217" s="66"/>
      <c r="N1217" s="66"/>
    </row>
    <row r="1218" spans="1:14" x14ac:dyDescent="0.2">
      <c r="A1218" s="84"/>
      <c r="B1218" s="84"/>
      <c r="C1218" s="60"/>
      <c r="D1218" s="66"/>
      <c r="E1218" s="66"/>
      <c r="F1218" s="66"/>
      <c r="G1218" s="66"/>
      <c r="H1218" s="66"/>
      <c r="I1218" s="66"/>
      <c r="J1218" s="66"/>
      <c r="K1218" s="66"/>
      <c r="L1218" s="66"/>
      <c r="M1218" s="66"/>
      <c r="N1218" s="66"/>
    </row>
    <row r="1219" spans="1:14" x14ac:dyDescent="0.2">
      <c r="A1219" s="84"/>
      <c r="B1219" s="84"/>
      <c r="C1219" s="60"/>
      <c r="D1219" s="66"/>
      <c r="E1219" s="66"/>
      <c r="F1219" s="66"/>
      <c r="G1219" s="66"/>
      <c r="H1219" s="66"/>
      <c r="I1219" s="66"/>
      <c r="J1219" s="66"/>
      <c r="K1219" s="66"/>
      <c r="L1219" s="66"/>
      <c r="M1219" s="66"/>
      <c r="N1219" s="66"/>
    </row>
    <row r="1220" spans="1:14" x14ac:dyDescent="0.2">
      <c r="A1220" s="84"/>
      <c r="B1220" s="84"/>
      <c r="C1220" s="60"/>
      <c r="D1220" s="66"/>
      <c r="E1220" s="66"/>
      <c r="F1220" s="66"/>
      <c r="G1220" s="66"/>
      <c r="H1220" s="66"/>
      <c r="I1220" s="66"/>
      <c r="J1220" s="66"/>
      <c r="K1220" s="66"/>
      <c r="L1220" s="66"/>
      <c r="M1220" s="66"/>
      <c r="N1220" s="66"/>
    </row>
    <row r="1221" spans="1:14" x14ac:dyDescent="0.2">
      <c r="A1221" s="84"/>
      <c r="B1221" s="84"/>
      <c r="C1221" s="60"/>
      <c r="D1221" s="66"/>
      <c r="E1221" s="66"/>
      <c r="F1221" s="66"/>
      <c r="G1221" s="66"/>
      <c r="H1221" s="66"/>
      <c r="I1221" s="66"/>
      <c r="J1221" s="66"/>
      <c r="K1221" s="66"/>
      <c r="L1221" s="66"/>
      <c r="M1221" s="66"/>
      <c r="N1221" s="66"/>
    </row>
    <row r="1222" spans="1:14" x14ac:dyDescent="0.2">
      <c r="A1222" s="84"/>
      <c r="B1222" s="84"/>
      <c r="C1222" s="60"/>
      <c r="D1222" s="66"/>
      <c r="E1222" s="66"/>
      <c r="F1222" s="66"/>
      <c r="G1222" s="66"/>
      <c r="H1222" s="66"/>
      <c r="I1222" s="66"/>
      <c r="J1222" s="66"/>
      <c r="K1222" s="66"/>
      <c r="L1222" s="66"/>
      <c r="M1222" s="66"/>
      <c r="N1222" s="66"/>
    </row>
    <row r="1223" spans="1:14" x14ac:dyDescent="0.2">
      <c r="A1223" s="84"/>
      <c r="B1223" s="84"/>
      <c r="C1223" s="60"/>
      <c r="D1223" s="66"/>
      <c r="E1223" s="66"/>
      <c r="F1223" s="66"/>
      <c r="G1223" s="66"/>
      <c r="H1223" s="66"/>
      <c r="I1223" s="66"/>
      <c r="J1223" s="66"/>
      <c r="K1223" s="66"/>
      <c r="L1223" s="66"/>
      <c r="M1223" s="66"/>
      <c r="N1223" s="66"/>
    </row>
    <row r="1224" spans="1:14" x14ac:dyDescent="0.2">
      <c r="A1224" s="84"/>
      <c r="B1224" s="84"/>
      <c r="C1224" s="60"/>
      <c r="D1224" s="66"/>
      <c r="E1224" s="66"/>
      <c r="F1224" s="66"/>
      <c r="G1224" s="66"/>
      <c r="H1224" s="66"/>
      <c r="I1224" s="66"/>
      <c r="J1224" s="66"/>
      <c r="K1224" s="66"/>
      <c r="L1224" s="66"/>
      <c r="M1224" s="66"/>
      <c r="N1224" s="66"/>
    </row>
    <row r="1225" spans="1:14" x14ac:dyDescent="0.2">
      <c r="A1225" s="84"/>
      <c r="B1225" s="84"/>
      <c r="C1225" s="60"/>
      <c r="D1225" s="66"/>
      <c r="E1225" s="66"/>
      <c r="F1225" s="66"/>
      <c r="G1225" s="66"/>
      <c r="H1225" s="66"/>
      <c r="I1225" s="66"/>
      <c r="J1225" s="66"/>
      <c r="K1225" s="66"/>
      <c r="L1225" s="66"/>
      <c r="M1225" s="66"/>
      <c r="N1225" s="66"/>
    </row>
    <row r="1226" spans="1:14" x14ac:dyDescent="0.2">
      <c r="A1226" s="84"/>
      <c r="B1226" s="84"/>
      <c r="C1226" s="60"/>
      <c r="D1226" s="66"/>
      <c r="E1226" s="66"/>
      <c r="F1226" s="66"/>
      <c r="G1226" s="66"/>
      <c r="H1226" s="66"/>
      <c r="I1226" s="66"/>
      <c r="J1226" s="66"/>
      <c r="K1226" s="66"/>
      <c r="L1226" s="66"/>
      <c r="M1226" s="66"/>
      <c r="N1226" s="66"/>
    </row>
    <row r="1227" spans="1:14" x14ac:dyDescent="0.2">
      <c r="A1227" s="84"/>
      <c r="B1227" s="84"/>
      <c r="C1227" s="60"/>
      <c r="D1227" s="66"/>
      <c r="E1227" s="66"/>
      <c r="F1227" s="66"/>
      <c r="G1227" s="66"/>
      <c r="H1227" s="66"/>
      <c r="I1227" s="66"/>
      <c r="J1227" s="66"/>
      <c r="K1227" s="66"/>
      <c r="L1227" s="66"/>
      <c r="M1227" s="66"/>
      <c r="N1227" s="66"/>
    </row>
    <row r="1228" spans="1:14" x14ac:dyDescent="0.2">
      <c r="A1228" s="84"/>
      <c r="B1228" s="84"/>
      <c r="C1228" s="60"/>
      <c r="D1228" s="66"/>
      <c r="E1228" s="66"/>
      <c r="F1228" s="66"/>
      <c r="G1228" s="66"/>
      <c r="H1228" s="66"/>
      <c r="I1228" s="66"/>
      <c r="J1228" s="66"/>
      <c r="K1228" s="66"/>
      <c r="L1228" s="66"/>
      <c r="M1228" s="66"/>
      <c r="N1228" s="66"/>
    </row>
    <row r="1229" spans="1:14" x14ac:dyDescent="0.2">
      <c r="A1229" s="84"/>
      <c r="B1229" s="84"/>
      <c r="C1229" s="60"/>
      <c r="D1229" s="66"/>
      <c r="E1229" s="66"/>
      <c r="F1229" s="66"/>
      <c r="G1229" s="66"/>
      <c r="H1229" s="66"/>
      <c r="I1229" s="66"/>
      <c r="J1229" s="66"/>
      <c r="K1229" s="66"/>
      <c r="L1229" s="66"/>
      <c r="M1229" s="66"/>
      <c r="N1229" s="66"/>
    </row>
    <row r="1230" spans="1:14" x14ac:dyDescent="0.2">
      <c r="A1230" s="84"/>
      <c r="B1230" s="84"/>
      <c r="C1230" s="60"/>
      <c r="D1230" s="66"/>
      <c r="E1230" s="66"/>
      <c r="F1230" s="66"/>
      <c r="G1230" s="66"/>
      <c r="H1230" s="66"/>
      <c r="I1230" s="66"/>
      <c r="J1230" s="66"/>
      <c r="K1230" s="66"/>
      <c r="L1230" s="66"/>
      <c r="M1230" s="66"/>
      <c r="N1230" s="66"/>
    </row>
    <row r="1231" spans="1:14" x14ac:dyDescent="0.2">
      <c r="A1231" s="84"/>
      <c r="B1231" s="84"/>
      <c r="C1231" s="60"/>
      <c r="D1231" s="66"/>
      <c r="E1231" s="66"/>
      <c r="F1231" s="66"/>
      <c r="G1231" s="66"/>
      <c r="H1231" s="66"/>
      <c r="I1231" s="66"/>
      <c r="J1231" s="66"/>
      <c r="K1231" s="66"/>
      <c r="L1231" s="66"/>
      <c r="M1231" s="66"/>
      <c r="N1231" s="66"/>
    </row>
    <row r="1232" spans="1:14" x14ac:dyDescent="0.2">
      <c r="A1232" s="84"/>
      <c r="B1232" s="84"/>
      <c r="C1232" s="60"/>
      <c r="D1232" s="66"/>
      <c r="E1232" s="66"/>
      <c r="F1232" s="66"/>
      <c r="G1232" s="66"/>
      <c r="H1232" s="66"/>
      <c r="I1232" s="66"/>
      <c r="J1232" s="66"/>
      <c r="K1232" s="66"/>
      <c r="L1232" s="66"/>
      <c r="M1232" s="66"/>
      <c r="N1232" s="66"/>
    </row>
    <row r="1233" spans="1:14" x14ac:dyDescent="0.2">
      <c r="A1233" s="84"/>
      <c r="B1233" s="84"/>
      <c r="C1233" s="60"/>
      <c r="D1233" s="66"/>
      <c r="E1233" s="66"/>
      <c r="F1233" s="66"/>
      <c r="G1233" s="66"/>
      <c r="H1233" s="66"/>
      <c r="I1233" s="66"/>
      <c r="J1233" s="66"/>
      <c r="K1233" s="66"/>
      <c r="L1233" s="66"/>
      <c r="M1233" s="66"/>
      <c r="N1233" s="66"/>
    </row>
    <row r="1234" spans="1:14" x14ac:dyDescent="0.2">
      <c r="A1234" s="84"/>
      <c r="B1234" s="84"/>
      <c r="C1234" s="60"/>
      <c r="D1234" s="66"/>
      <c r="E1234" s="66"/>
      <c r="F1234" s="66"/>
      <c r="G1234" s="66"/>
      <c r="H1234" s="66"/>
      <c r="I1234" s="66"/>
      <c r="J1234" s="66"/>
      <c r="K1234" s="66"/>
      <c r="L1234" s="66"/>
      <c r="M1234" s="66"/>
      <c r="N1234" s="66"/>
    </row>
    <row r="1235" spans="1:14" x14ac:dyDescent="0.2">
      <c r="A1235" s="84"/>
      <c r="B1235" s="84"/>
      <c r="C1235" s="60"/>
      <c r="D1235" s="66"/>
      <c r="E1235" s="66"/>
      <c r="F1235" s="66"/>
      <c r="G1235" s="66"/>
      <c r="H1235" s="66"/>
      <c r="I1235" s="66"/>
      <c r="J1235" s="66"/>
      <c r="K1235" s="66"/>
      <c r="L1235" s="66"/>
      <c r="M1235" s="66"/>
      <c r="N1235" s="66"/>
    </row>
    <row r="1236" spans="1:14" x14ac:dyDescent="0.2">
      <c r="A1236" s="84"/>
      <c r="B1236" s="84"/>
      <c r="C1236" s="60"/>
      <c r="D1236" s="66"/>
      <c r="E1236" s="66"/>
      <c r="F1236" s="66"/>
      <c r="G1236" s="66"/>
      <c r="H1236" s="66"/>
      <c r="I1236" s="66"/>
      <c r="J1236" s="66"/>
      <c r="K1236" s="66"/>
      <c r="L1236" s="66"/>
      <c r="M1236" s="66"/>
      <c r="N1236" s="66"/>
    </row>
    <row r="1237" spans="1:14" x14ac:dyDescent="0.2">
      <c r="A1237" s="84"/>
      <c r="B1237" s="84"/>
      <c r="C1237" s="60"/>
      <c r="D1237" s="66"/>
      <c r="E1237" s="66"/>
      <c r="F1237" s="66"/>
      <c r="G1237" s="66"/>
      <c r="H1237" s="66"/>
      <c r="I1237" s="66"/>
      <c r="J1237" s="66"/>
      <c r="K1237" s="66"/>
      <c r="L1237" s="66"/>
      <c r="M1237" s="66"/>
      <c r="N1237" s="66"/>
    </row>
    <row r="1238" spans="1:14" x14ac:dyDescent="0.2">
      <c r="A1238" s="84"/>
      <c r="B1238" s="84"/>
      <c r="C1238" s="60"/>
      <c r="D1238" s="66"/>
      <c r="E1238" s="66"/>
      <c r="F1238" s="66"/>
      <c r="G1238" s="66"/>
      <c r="H1238" s="66"/>
      <c r="I1238" s="66"/>
      <c r="J1238" s="66"/>
      <c r="K1238" s="66"/>
      <c r="L1238" s="66"/>
      <c r="M1238" s="66"/>
      <c r="N1238" s="66"/>
    </row>
    <row r="1239" spans="1:14" x14ac:dyDescent="0.2">
      <c r="A1239" s="84"/>
      <c r="B1239" s="84"/>
      <c r="C1239" s="60"/>
      <c r="D1239" s="66"/>
      <c r="E1239" s="66"/>
      <c r="F1239" s="66"/>
      <c r="G1239" s="66"/>
      <c r="H1239" s="66"/>
      <c r="I1239" s="66"/>
      <c r="J1239" s="66"/>
      <c r="K1239" s="66"/>
      <c r="L1239" s="66"/>
      <c r="M1239" s="66"/>
      <c r="N1239" s="66"/>
    </row>
    <row r="1240" spans="1:14" x14ac:dyDescent="0.2">
      <c r="A1240" s="84"/>
      <c r="B1240" s="84"/>
      <c r="C1240" s="60"/>
      <c r="D1240" s="66"/>
      <c r="E1240" s="66"/>
      <c r="F1240" s="66"/>
      <c r="G1240" s="66"/>
      <c r="H1240" s="66"/>
      <c r="I1240" s="66"/>
      <c r="J1240" s="66"/>
      <c r="K1240" s="66"/>
      <c r="L1240" s="66"/>
      <c r="M1240" s="66"/>
      <c r="N1240" s="66"/>
    </row>
    <row r="1241" spans="1:14" x14ac:dyDescent="0.2">
      <c r="A1241" s="84"/>
      <c r="B1241" s="84"/>
      <c r="C1241" s="60"/>
      <c r="D1241" s="66"/>
      <c r="E1241" s="66"/>
      <c r="F1241" s="66"/>
      <c r="G1241" s="66"/>
      <c r="H1241" s="66"/>
      <c r="I1241" s="66"/>
      <c r="J1241" s="66"/>
      <c r="K1241" s="66"/>
      <c r="L1241" s="66"/>
      <c r="M1241" s="66"/>
      <c r="N1241" s="66"/>
    </row>
    <row r="1242" spans="1:14" x14ac:dyDescent="0.2">
      <c r="A1242" s="84"/>
      <c r="B1242" s="84"/>
      <c r="C1242" s="60"/>
      <c r="D1242" s="66"/>
      <c r="E1242" s="66"/>
      <c r="F1242" s="66"/>
      <c r="G1242" s="66"/>
      <c r="H1242" s="66"/>
      <c r="I1242" s="66"/>
      <c r="J1242" s="66"/>
      <c r="K1242" s="66"/>
      <c r="L1242" s="66"/>
      <c r="M1242" s="66"/>
      <c r="N1242" s="66"/>
    </row>
    <row r="1243" spans="1:14" x14ac:dyDescent="0.2">
      <c r="A1243" s="84"/>
      <c r="B1243" s="84"/>
      <c r="C1243" s="60"/>
      <c r="D1243" s="66"/>
      <c r="E1243" s="66"/>
      <c r="F1243" s="66"/>
      <c r="G1243" s="66"/>
      <c r="H1243" s="66"/>
      <c r="I1243" s="66"/>
      <c r="J1243" s="66"/>
      <c r="K1243" s="66"/>
      <c r="L1243" s="66"/>
      <c r="M1243" s="66"/>
      <c r="N1243" s="66"/>
    </row>
    <row r="1244" spans="1:14" x14ac:dyDescent="0.2">
      <c r="A1244" s="84"/>
      <c r="B1244" s="84"/>
      <c r="C1244" s="60"/>
      <c r="D1244" s="66"/>
      <c r="E1244" s="66"/>
      <c r="F1244" s="66"/>
      <c r="G1244" s="66"/>
      <c r="H1244" s="66"/>
      <c r="I1244" s="66"/>
      <c r="J1244" s="66"/>
      <c r="K1244" s="66"/>
      <c r="L1244" s="66"/>
      <c r="M1244" s="66"/>
      <c r="N1244" s="66"/>
    </row>
    <row r="1245" spans="1:14" x14ac:dyDescent="0.2">
      <c r="A1245" s="84"/>
      <c r="B1245" s="84"/>
      <c r="C1245" s="60"/>
      <c r="D1245" s="66"/>
      <c r="E1245" s="66"/>
      <c r="F1245" s="66"/>
      <c r="G1245" s="66"/>
      <c r="H1245" s="66"/>
      <c r="I1245" s="66"/>
      <c r="J1245" s="66"/>
      <c r="K1245" s="66"/>
      <c r="L1245" s="66"/>
      <c r="M1245" s="66"/>
      <c r="N1245" s="66"/>
    </row>
    <row r="1246" spans="1:14" x14ac:dyDescent="0.2">
      <c r="A1246" s="84"/>
      <c r="B1246" s="84"/>
      <c r="C1246" s="60"/>
      <c r="D1246" s="66"/>
      <c r="E1246" s="66"/>
      <c r="F1246" s="66"/>
      <c r="G1246" s="66"/>
      <c r="H1246" s="66"/>
      <c r="I1246" s="66"/>
      <c r="J1246" s="66"/>
      <c r="K1246" s="66"/>
      <c r="L1246" s="66"/>
      <c r="M1246" s="66"/>
      <c r="N1246" s="66"/>
    </row>
    <row r="1247" spans="1:14" x14ac:dyDescent="0.2">
      <c r="A1247" s="84"/>
      <c r="B1247" s="84"/>
      <c r="C1247" s="60"/>
      <c r="D1247" s="66"/>
      <c r="E1247" s="66"/>
      <c r="F1247" s="66"/>
      <c r="G1247" s="66"/>
      <c r="H1247" s="66"/>
      <c r="I1247" s="66"/>
      <c r="J1247" s="66"/>
      <c r="K1247" s="66"/>
      <c r="L1247" s="66"/>
      <c r="M1247" s="66"/>
      <c r="N1247" s="66"/>
    </row>
    <row r="1248" spans="1:14" x14ac:dyDescent="0.2">
      <c r="A1248" s="84"/>
      <c r="B1248" s="84"/>
      <c r="C1248" s="60"/>
      <c r="D1248" s="66"/>
      <c r="E1248" s="66"/>
      <c r="F1248" s="66"/>
      <c r="G1248" s="66"/>
      <c r="H1248" s="66"/>
      <c r="I1248" s="66"/>
      <c r="J1248" s="66"/>
      <c r="K1248" s="66"/>
      <c r="L1248" s="66"/>
      <c r="M1248" s="66"/>
      <c r="N1248" s="66"/>
    </row>
    <row r="1249" spans="1:14" x14ac:dyDescent="0.2">
      <c r="A1249" s="84"/>
      <c r="B1249" s="84"/>
      <c r="C1249" s="60"/>
      <c r="D1249" s="66"/>
      <c r="E1249" s="66"/>
      <c r="F1249" s="66"/>
      <c r="G1249" s="66"/>
      <c r="H1249" s="66"/>
      <c r="I1249" s="66"/>
      <c r="J1249" s="66"/>
      <c r="K1249" s="66"/>
      <c r="L1249" s="66"/>
      <c r="M1249" s="66"/>
      <c r="N1249" s="66"/>
    </row>
  </sheetData>
  <pageMargins left="0.25" right="0.25" top="0.75" bottom="0.75" header="0.3" footer="0.3"/>
  <pageSetup scale="80" fitToHeight="0" orientation="landscape" r:id="rId1"/>
  <headerFooter>
    <oddFooter>&amp;LRev &amp;D&amp;C&amp;P</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19"/>
  <sheetViews>
    <sheetView zoomScale="75" zoomScaleNormal="75" workbookViewId="0">
      <selection activeCell="A16" sqref="A16:XFD17"/>
    </sheetView>
  </sheetViews>
  <sheetFormatPr defaultRowHeight="15.75" x14ac:dyDescent="0.25"/>
  <sheetData>
    <row r="1" spans="1:2" ht="34.5" x14ac:dyDescent="0.45">
      <c r="A1" s="503" t="s">
        <v>670</v>
      </c>
    </row>
    <row r="4" spans="1:2" ht="33" x14ac:dyDescent="0.45">
      <c r="B4" s="502" t="s">
        <v>671</v>
      </c>
    </row>
    <row r="5" spans="1:2" ht="33" x14ac:dyDescent="0.45">
      <c r="B5" s="502"/>
    </row>
    <row r="6" spans="1:2" s="54" customFormat="1" ht="33" x14ac:dyDescent="0.45">
      <c r="B6" s="502" t="s">
        <v>674</v>
      </c>
    </row>
    <row r="7" spans="1:2" s="54" customFormat="1" ht="33" x14ac:dyDescent="0.45">
      <c r="B7" s="502"/>
    </row>
    <row r="8" spans="1:2" s="54" customFormat="1" ht="33" x14ac:dyDescent="0.45">
      <c r="B8" s="502" t="s">
        <v>675</v>
      </c>
    </row>
    <row r="9" spans="1:2" s="54" customFormat="1" ht="33" x14ac:dyDescent="0.45">
      <c r="B9" s="502"/>
    </row>
    <row r="10" spans="1:2" ht="33" x14ac:dyDescent="0.45">
      <c r="B10" s="502" t="s">
        <v>696</v>
      </c>
    </row>
    <row r="11" spans="1:2" ht="33" x14ac:dyDescent="0.45">
      <c r="B11" s="502"/>
    </row>
    <row r="12" spans="1:2" ht="33" x14ac:dyDescent="0.45">
      <c r="B12" s="502" t="s">
        <v>672</v>
      </c>
    </row>
    <row r="13" spans="1:2" ht="33" x14ac:dyDescent="0.45">
      <c r="B13" s="502"/>
    </row>
    <row r="14" spans="1:2" ht="33" x14ac:dyDescent="0.45">
      <c r="B14" s="502" t="s">
        <v>697</v>
      </c>
    </row>
    <row r="15" spans="1:2" ht="33" x14ac:dyDescent="0.45">
      <c r="B15" s="502"/>
    </row>
    <row r="16" spans="1:2" ht="33" x14ac:dyDescent="0.45">
      <c r="B16" s="502" t="s">
        <v>673</v>
      </c>
    </row>
    <row r="17" spans="2:2" ht="33" x14ac:dyDescent="0.45">
      <c r="B17" s="502"/>
    </row>
    <row r="18" spans="2:2" ht="33" x14ac:dyDescent="0.45">
      <c r="B18" s="502"/>
    </row>
    <row r="19" spans="2:2" ht="33" x14ac:dyDescent="0.45">
      <c r="B19" s="502"/>
    </row>
  </sheetData>
  <pageMargins left="0.25" right="0.25" top="0.75" bottom="0.75" header="0.3" footer="0.3"/>
  <pageSetup scale="98" fitToHeight="0" orientation="landscape" verticalDpi="599"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210"/>
  <sheetViews>
    <sheetView topLeftCell="A196" workbookViewId="0">
      <selection sqref="A1:N216"/>
    </sheetView>
  </sheetViews>
  <sheetFormatPr defaultColWidth="9" defaultRowHeight="12.75" x14ac:dyDescent="0.2"/>
  <cols>
    <col min="1" max="1" width="29.5" style="59" customWidth="1"/>
    <col min="2" max="2" width="9.5" style="60" customWidth="1"/>
    <col min="3" max="4" width="9" style="84" customWidth="1"/>
    <col min="5" max="16384" width="9" style="84"/>
  </cols>
  <sheetData>
    <row r="1" spans="1:14" s="58" customFormat="1" ht="13.5" thickBot="1" x14ac:dyDescent="0.25">
      <c r="A1" s="67" t="str">
        <f>CMS!A1</f>
        <v>Northwest Youth Services Budget - 2018 - APPROVED BY BOARD NOV 30, 2017</v>
      </c>
      <c r="B1" s="79"/>
      <c r="C1" s="67"/>
      <c r="D1" s="67"/>
      <c r="E1" s="67"/>
      <c r="F1" s="67"/>
      <c r="G1" s="67"/>
      <c r="H1" s="67"/>
      <c r="I1" s="67"/>
      <c r="J1" s="67"/>
      <c r="K1" s="67"/>
      <c r="L1" s="67"/>
      <c r="M1" s="67"/>
      <c r="N1" s="67"/>
    </row>
    <row r="2" spans="1:14" s="58" customFormat="1" x14ac:dyDescent="0.2">
      <c r="A2" s="80"/>
      <c r="B2" s="81"/>
    </row>
    <row r="3" spans="1:14" s="58" customFormat="1" x14ac:dyDescent="0.2">
      <c r="A3" s="81" t="s">
        <v>559</v>
      </c>
      <c r="B3" s="81"/>
    </row>
    <row r="5" spans="1:14" s="70" customFormat="1" ht="13.5" thickBot="1" x14ac:dyDescent="0.25">
      <c r="A5" s="82" t="s">
        <v>143</v>
      </c>
      <c r="B5" s="83" t="s">
        <v>144</v>
      </c>
      <c r="C5" s="83" t="str">
        <f>CMS!C5</f>
        <v>January</v>
      </c>
      <c r="D5" s="83" t="str">
        <f>CMS!D5</f>
        <v>February</v>
      </c>
      <c r="E5" s="83" t="str">
        <f>CMS!E5</f>
        <v>March</v>
      </c>
      <c r="F5" s="83" t="str">
        <f>CMS!F5</f>
        <v>April</v>
      </c>
      <c r="G5" s="83" t="str">
        <f>CMS!G5</f>
        <v>May</v>
      </c>
      <c r="H5" s="83" t="str">
        <f>CMS!H5</f>
        <v>June</v>
      </c>
      <c r="I5" s="83" t="str">
        <f>CMS!I5</f>
        <v>July</v>
      </c>
      <c r="J5" s="83" t="str">
        <f>CMS!J5</f>
        <v>August</v>
      </c>
      <c r="K5" s="83" t="str">
        <f>CMS!K5</f>
        <v>September</v>
      </c>
      <c r="L5" s="83" t="str">
        <f>CMS!L5</f>
        <v>October</v>
      </c>
      <c r="M5" s="83" t="str">
        <f>CMS!M5</f>
        <v>November</v>
      </c>
      <c r="N5" s="83" t="str">
        <f>CMS!N5</f>
        <v>December</v>
      </c>
    </row>
    <row r="6" spans="1:14" s="70" customFormat="1" x14ac:dyDescent="0.2">
      <c r="A6" s="28"/>
      <c r="B6" s="86"/>
      <c r="C6" s="86"/>
      <c r="D6" s="26"/>
      <c r="E6" s="26"/>
      <c r="F6" s="26"/>
      <c r="G6" s="26"/>
      <c r="H6" s="26"/>
      <c r="I6" s="26"/>
      <c r="J6" s="26"/>
      <c r="K6" s="26"/>
      <c r="L6" s="26"/>
      <c r="M6" s="26"/>
      <c r="N6" s="26"/>
    </row>
    <row r="7" spans="1:14" s="70" customFormat="1" x14ac:dyDescent="0.2">
      <c r="A7" s="58" t="s">
        <v>14</v>
      </c>
      <c r="B7" s="60"/>
      <c r="C7" s="60"/>
      <c r="D7" s="94"/>
      <c r="E7" s="94"/>
      <c r="F7" s="94"/>
      <c r="G7" s="94"/>
      <c r="H7" s="94"/>
      <c r="I7" s="94"/>
      <c r="J7" s="94"/>
      <c r="K7" s="94"/>
      <c r="L7" s="94"/>
      <c r="M7" s="94"/>
      <c r="N7" s="94"/>
    </row>
    <row r="8" spans="1:14" x14ac:dyDescent="0.2">
      <c r="A8" s="61" t="s">
        <v>473</v>
      </c>
      <c r="B8" s="63">
        <f>SUM(C8:N8)</f>
        <v>159245</v>
      </c>
      <c r="C8" s="62">
        <f>SUM(159245/12)</f>
        <v>13270.416666666666</v>
      </c>
      <c r="D8" s="62">
        <f t="shared" ref="D8:N8" si="0">SUM(159245/12)</f>
        <v>13270.416666666666</v>
      </c>
      <c r="E8" s="62">
        <f t="shared" si="0"/>
        <v>13270.416666666666</v>
      </c>
      <c r="F8" s="62">
        <f t="shared" si="0"/>
        <v>13270.416666666666</v>
      </c>
      <c r="G8" s="62">
        <f t="shared" si="0"/>
        <v>13270.416666666666</v>
      </c>
      <c r="H8" s="62">
        <f t="shared" si="0"/>
        <v>13270.416666666666</v>
      </c>
      <c r="I8" s="62">
        <f t="shared" si="0"/>
        <v>13270.416666666666</v>
      </c>
      <c r="J8" s="62">
        <f t="shared" si="0"/>
        <v>13270.416666666666</v>
      </c>
      <c r="K8" s="62">
        <f t="shared" si="0"/>
        <v>13270.416666666666</v>
      </c>
      <c r="L8" s="62">
        <f t="shared" si="0"/>
        <v>13270.416666666666</v>
      </c>
      <c r="M8" s="62">
        <f t="shared" si="0"/>
        <v>13270.416666666666</v>
      </c>
      <c r="N8" s="62">
        <f t="shared" si="0"/>
        <v>13270.416666666666</v>
      </c>
    </row>
    <row r="9" spans="1:14" hidden="1" x14ac:dyDescent="0.2">
      <c r="A9" s="61" t="s">
        <v>145</v>
      </c>
      <c r="B9" s="63">
        <f>SUM(C9:N9)</f>
        <v>0</v>
      </c>
      <c r="C9" s="62"/>
      <c r="D9" s="62"/>
      <c r="E9" s="62"/>
      <c r="F9" s="62"/>
      <c r="G9" s="62"/>
      <c r="H9" s="62"/>
      <c r="I9" s="62"/>
      <c r="J9" s="62"/>
      <c r="K9" s="62"/>
      <c r="L9" s="62"/>
      <c r="M9" s="62"/>
      <c r="N9" s="62"/>
    </row>
    <row r="10" spans="1:14" hidden="1" x14ac:dyDescent="0.2">
      <c r="A10" s="61" t="s">
        <v>145</v>
      </c>
      <c r="B10" s="63">
        <f>SUM(C10:N10)</f>
        <v>0</v>
      </c>
      <c r="C10" s="62"/>
      <c r="D10" s="62"/>
      <c r="E10" s="62"/>
      <c r="F10" s="62"/>
      <c r="G10" s="62"/>
      <c r="H10" s="62"/>
      <c r="I10" s="62"/>
      <c r="J10" s="62"/>
      <c r="K10" s="62"/>
      <c r="L10" s="62"/>
      <c r="M10" s="62"/>
      <c r="N10" s="62"/>
    </row>
    <row r="11" spans="1:14" hidden="1" x14ac:dyDescent="0.2">
      <c r="A11" s="61" t="s">
        <v>145</v>
      </c>
      <c r="B11" s="63">
        <f>SUM(C11:N11)</f>
        <v>0</v>
      </c>
      <c r="C11" s="62"/>
      <c r="D11" s="62"/>
      <c r="E11" s="62"/>
      <c r="F11" s="62"/>
      <c r="G11" s="62"/>
      <c r="H11" s="62"/>
      <c r="I11" s="62"/>
      <c r="J11" s="62"/>
      <c r="K11" s="62"/>
      <c r="L11" s="62"/>
      <c r="M11" s="62"/>
      <c r="N11" s="62"/>
    </row>
    <row r="12" spans="1:14" hidden="1" x14ac:dyDescent="0.2">
      <c r="A12" s="61" t="s">
        <v>145</v>
      </c>
      <c r="B12" s="63">
        <f>SUM(C12:N12)</f>
        <v>0</v>
      </c>
      <c r="C12" s="62"/>
      <c r="D12" s="62"/>
      <c r="E12" s="62"/>
      <c r="F12" s="62"/>
      <c r="G12" s="62"/>
      <c r="H12" s="62"/>
      <c r="I12" s="62"/>
      <c r="J12" s="62"/>
      <c r="K12" s="62"/>
      <c r="L12" s="62"/>
      <c r="M12" s="62"/>
      <c r="N12" s="62"/>
    </row>
    <row r="13" spans="1:14" hidden="1" x14ac:dyDescent="0.2">
      <c r="A13" s="61" t="s">
        <v>145</v>
      </c>
      <c r="B13" s="63">
        <f t="shared" ref="B13:B45" si="1">SUM(C13:N13)</f>
        <v>0</v>
      </c>
      <c r="C13" s="63"/>
      <c r="D13" s="62"/>
      <c r="E13" s="62"/>
      <c r="F13" s="62"/>
      <c r="G13" s="62"/>
      <c r="H13" s="62"/>
      <c r="I13" s="62"/>
      <c r="J13" s="93"/>
      <c r="K13" s="93"/>
      <c r="L13" s="93"/>
      <c r="M13" s="93"/>
      <c r="N13" s="93"/>
    </row>
    <row r="14" spans="1:14" hidden="1" x14ac:dyDescent="0.2">
      <c r="A14" s="61" t="s">
        <v>145</v>
      </c>
      <c r="B14" s="63">
        <f t="shared" si="1"/>
        <v>0</v>
      </c>
      <c r="C14" s="63"/>
      <c r="D14" s="62"/>
      <c r="E14" s="62"/>
      <c r="F14" s="62"/>
      <c r="G14" s="62"/>
      <c r="H14" s="62"/>
      <c r="I14" s="62"/>
      <c r="J14" s="93"/>
      <c r="K14" s="93"/>
      <c r="L14" s="93"/>
      <c r="M14" s="93"/>
      <c r="N14" s="93"/>
    </row>
    <row r="15" spans="1:14" hidden="1" x14ac:dyDescent="0.2">
      <c r="A15" s="61" t="s">
        <v>145</v>
      </c>
      <c r="B15" s="63">
        <f t="shared" si="1"/>
        <v>0</v>
      </c>
      <c r="C15" s="63"/>
      <c r="D15" s="62"/>
      <c r="E15" s="62"/>
      <c r="F15" s="62"/>
      <c r="G15" s="62"/>
      <c r="H15" s="62"/>
      <c r="I15" s="62"/>
      <c r="J15" s="62"/>
      <c r="K15" s="62"/>
      <c r="L15" s="62"/>
      <c r="M15" s="62"/>
      <c r="N15" s="62"/>
    </row>
    <row r="16" spans="1:14" hidden="1" x14ac:dyDescent="0.2">
      <c r="A16" s="61" t="s">
        <v>145</v>
      </c>
      <c r="B16" s="63">
        <f t="shared" si="1"/>
        <v>0</v>
      </c>
      <c r="C16" s="63"/>
      <c r="D16" s="62"/>
      <c r="E16" s="62"/>
      <c r="F16" s="62"/>
      <c r="G16" s="62"/>
      <c r="H16" s="62"/>
      <c r="I16" s="62"/>
      <c r="J16" s="62"/>
      <c r="K16" s="62"/>
      <c r="L16" s="62"/>
      <c r="M16" s="62"/>
      <c r="N16" s="62"/>
    </row>
    <row r="17" spans="1:14" hidden="1" x14ac:dyDescent="0.2">
      <c r="A17" s="61" t="s">
        <v>145</v>
      </c>
      <c r="B17" s="63">
        <f t="shared" si="1"/>
        <v>0</v>
      </c>
      <c r="C17" s="63"/>
      <c r="D17" s="62"/>
      <c r="E17" s="62"/>
      <c r="F17" s="62"/>
      <c r="G17" s="62"/>
      <c r="H17" s="62"/>
      <c r="I17" s="62"/>
      <c r="J17" s="62"/>
      <c r="K17" s="62"/>
      <c r="L17" s="62"/>
      <c r="M17" s="62"/>
      <c r="N17" s="62"/>
    </row>
    <row r="18" spans="1:14" hidden="1" x14ac:dyDescent="0.2">
      <c r="A18" s="61" t="s">
        <v>145</v>
      </c>
      <c r="B18" s="63">
        <f t="shared" si="1"/>
        <v>0</v>
      </c>
      <c r="C18" s="63"/>
      <c r="D18" s="62"/>
      <c r="E18" s="62"/>
      <c r="F18" s="62"/>
      <c r="G18" s="62"/>
      <c r="H18" s="62"/>
      <c r="I18" s="62"/>
      <c r="J18" s="62"/>
      <c r="K18" s="62"/>
      <c r="L18" s="62"/>
      <c r="M18" s="62"/>
      <c r="N18" s="62"/>
    </row>
    <row r="19" spans="1:14" hidden="1" x14ac:dyDescent="0.2">
      <c r="A19" s="61" t="s">
        <v>145</v>
      </c>
      <c r="B19" s="63">
        <f t="shared" si="1"/>
        <v>0</v>
      </c>
      <c r="C19" s="63"/>
      <c r="D19" s="62"/>
      <c r="E19" s="62"/>
      <c r="F19" s="62"/>
      <c r="G19" s="62"/>
      <c r="H19" s="62"/>
      <c r="I19" s="62"/>
      <c r="J19" s="62"/>
      <c r="K19" s="62"/>
      <c r="L19" s="62"/>
      <c r="M19" s="62"/>
      <c r="N19" s="62"/>
    </row>
    <row r="20" spans="1:14" hidden="1" x14ac:dyDescent="0.2">
      <c r="A20" s="61" t="s">
        <v>145</v>
      </c>
      <c r="B20" s="63">
        <f t="shared" si="1"/>
        <v>0</v>
      </c>
      <c r="C20" s="63"/>
      <c r="D20" s="62"/>
      <c r="E20" s="62"/>
      <c r="F20" s="62"/>
      <c r="G20" s="62"/>
      <c r="H20" s="62"/>
      <c r="I20" s="62"/>
      <c r="J20" s="62"/>
      <c r="K20" s="62"/>
      <c r="L20" s="62"/>
      <c r="M20" s="62"/>
      <c r="N20" s="62"/>
    </row>
    <row r="21" spans="1:14" hidden="1" x14ac:dyDescent="0.2">
      <c r="A21" s="61" t="s">
        <v>145</v>
      </c>
      <c r="B21" s="63">
        <f t="shared" si="1"/>
        <v>0</v>
      </c>
      <c r="C21" s="63"/>
      <c r="D21" s="62"/>
      <c r="E21" s="62"/>
      <c r="F21" s="62"/>
      <c r="G21" s="62"/>
      <c r="H21" s="62"/>
      <c r="I21" s="62"/>
      <c r="J21" s="62"/>
      <c r="K21" s="62"/>
      <c r="L21" s="62"/>
      <c r="M21" s="62"/>
      <c r="N21" s="62"/>
    </row>
    <row r="22" spans="1:14" hidden="1" x14ac:dyDescent="0.2">
      <c r="A22" s="61" t="s">
        <v>145</v>
      </c>
      <c r="B22" s="63">
        <f t="shared" si="1"/>
        <v>0</v>
      </c>
      <c r="C22" s="63"/>
      <c r="D22" s="62"/>
      <c r="E22" s="62"/>
      <c r="F22" s="62"/>
      <c r="G22" s="62"/>
      <c r="H22" s="62"/>
      <c r="I22" s="62"/>
      <c r="J22" s="62"/>
      <c r="K22" s="62"/>
      <c r="L22" s="62"/>
      <c r="M22" s="62"/>
      <c r="N22" s="62"/>
    </row>
    <row r="23" spans="1:14" hidden="1" x14ac:dyDescent="0.2">
      <c r="A23" s="61" t="s">
        <v>146</v>
      </c>
      <c r="B23" s="63">
        <f t="shared" si="1"/>
        <v>0</v>
      </c>
      <c r="C23" s="63"/>
      <c r="D23" s="62"/>
      <c r="E23" s="62"/>
      <c r="F23" s="62"/>
      <c r="G23" s="62"/>
      <c r="H23" s="62"/>
      <c r="I23" s="62"/>
      <c r="J23" s="62"/>
      <c r="K23" s="62"/>
      <c r="L23" s="62"/>
      <c r="M23" s="62"/>
      <c r="N23" s="62"/>
    </row>
    <row r="24" spans="1:14" hidden="1" x14ac:dyDescent="0.2">
      <c r="A24" s="61" t="s">
        <v>146</v>
      </c>
      <c r="B24" s="63">
        <f t="shared" si="1"/>
        <v>0</v>
      </c>
      <c r="C24" s="63"/>
      <c r="D24" s="62"/>
      <c r="E24" s="62"/>
      <c r="F24" s="62"/>
      <c r="G24" s="62"/>
      <c r="H24" s="62"/>
      <c r="I24" s="62"/>
      <c r="J24" s="62"/>
      <c r="K24" s="62"/>
      <c r="L24" s="62"/>
      <c r="M24" s="62"/>
      <c r="N24" s="62"/>
    </row>
    <row r="25" spans="1:14" hidden="1" x14ac:dyDescent="0.2">
      <c r="A25" s="61" t="s">
        <v>146</v>
      </c>
      <c r="B25" s="63">
        <f t="shared" si="1"/>
        <v>0</v>
      </c>
      <c r="C25" s="63"/>
      <c r="D25" s="62"/>
      <c r="E25" s="62"/>
      <c r="F25" s="62"/>
      <c r="G25" s="62"/>
      <c r="H25" s="62"/>
      <c r="I25" s="62"/>
      <c r="J25" s="62"/>
      <c r="K25" s="62"/>
      <c r="L25" s="93"/>
      <c r="M25" s="93"/>
      <c r="N25" s="93"/>
    </row>
    <row r="26" spans="1:14" hidden="1" x14ac:dyDescent="0.2">
      <c r="A26" s="61" t="s">
        <v>146</v>
      </c>
      <c r="B26" s="63">
        <f t="shared" si="1"/>
        <v>0</v>
      </c>
      <c r="C26" s="63"/>
      <c r="D26" s="62"/>
      <c r="E26" s="62"/>
      <c r="F26" s="62"/>
      <c r="G26" s="62"/>
      <c r="H26" s="62"/>
      <c r="I26" s="62"/>
      <c r="J26" s="62"/>
      <c r="K26" s="62"/>
      <c r="L26" s="62"/>
      <c r="M26" s="62"/>
      <c r="N26" s="62"/>
    </row>
    <row r="27" spans="1:14" hidden="1" x14ac:dyDescent="0.2">
      <c r="A27" s="61" t="s">
        <v>146</v>
      </c>
      <c r="B27" s="63">
        <f t="shared" si="1"/>
        <v>0</v>
      </c>
      <c r="C27" s="63"/>
      <c r="D27" s="62"/>
      <c r="E27" s="62"/>
      <c r="F27" s="62"/>
      <c r="G27" s="62"/>
      <c r="H27" s="62"/>
      <c r="I27" s="62"/>
      <c r="J27" s="62"/>
      <c r="K27" s="62"/>
      <c r="L27" s="62"/>
      <c r="M27" s="62"/>
      <c r="N27" s="62"/>
    </row>
    <row r="28" spans="1:14" hidden="1" x14ac:dyDescent="0.2">
      <c r="A28" s="61" t="s">
        <v>146</v>
      </c>
      <c r="B28" s="63">
        <f t="shared" si="1"/>
        <v>0</v>
      </c>
      <c r="C28" s="63"/>
      <c r="D28" s="62"/>
      <c r="E28" s="62"/>
      <c r="F28" s="62"/>
      <c r="G28" s="62"/>
      <c r="H28" s="62"/>
      <c r="I28" s="62"/>
      <c r="J28" s="62"/>
      <c r="K28" s="62"/>
      <c r="L28" s="62"/>
      <c r="M28" s="62"/>
      <c r="N28" s="62"/>
    </row>
    <row r="29" spans="1:14" hidden="1" x14ac:dyDescent="0.2">
      <c r="A29" s="61" t="s">
        <v>146</v>
      </c>
      <c r="B29" s="63">
        <f t="shared" si="1"/>
        <v>0</v>
      </c>
      <c r="C29" s="63"/>
      <c r="D29" s="62"/>
      <c r="E29" s="62"/>
      <c r="F29" s="62"/>
      <c r="G29" s="62"/>
      <c r="H29" s="62"/>
      <c r="I29" s="62"/>
      <c r="J29" s="62"/>
      <c r="K29" s="62"/>
      <c r="L29" s="62"/>
      <c r="M29" s="62"/>
      <c r="N29" s="62"/>
    </row>
    <row r="30" spans="1:14" hidden="1" x14ac:dyDescent="0.2">
      <c r="A30" s="61" t="s">
        <v>146</v>
      </c>
      <c r="B30" s="63">
        <f t="shared" si="1"/>
        <v>0</v>
      </c>
      <c r="C30" s="63"/>
      <c r="D30" s="62"/>
      <c r="E30" s="62"/>
      <c r="F30" s="62"/>
      <c r="G30" s="62"/>
      <c r="H30" s="62"/>
      <c r="I30" s="62"/>
      <c r="J30" s="62"/>
      <c r="K30" s="62"/>
      <c r="L30" s="62"/>
      <c r="M30" s="62"/>
      <c r="N30" s="62"/>
    </row>
    <row r="31" spans="1:14" hidden="1" x14ac:dyDescent="0.2">
      <c r="A31" s="61" t="s">
        <v>146</v>
      </c>
      <c r="B31" s="63">
        <f t="shared" si="1"/>
        <v>0</v>
      </c>
      <c r="C31" s="63"/>
      <c r="D31" s="62"/>
      <c r="E31" s="62"/>
      <c r="F31" s="62"/>
      <c r="G31" s="62"/>
      <c r="H31" s="62"/>
      <c r="I31" s="62"/>
      <c r="J31" s="62"/>
      <c r="K31" s="62"/>
      <c r="L31" s="62"/>
      <c r="M31" s="62"/>
      <c r="N31" s="62"/>
    </row>
    <row r="32" spans="1:14" hidden="1" x14ac:dyDescent="0.2">
      <c r="A32" s="61" t="s">
        <v>146</v>
      </c>
      <c r="B32" s="63">
        <f t="shared" si="1"/>
        <v>0</v>
      </c>
      <c r="C32" s="63"/>
      <c r="D32" s="62"/>
      <c r="E32" s="62"/>
      <c r="F32" s="62"/>
      <c r="G32" s="62"/>
      <c r="H32" s="62"/>
      <c r="I32" s="62"/>
      <c r="J32" s="62"/>
      <c r="K32" s="62"/>
      <c r="L32" s="62"/>
      <c r="M32" s="62"/>
      <c r="N32" s="62"/>
    </row>
    <row r="33" spans="1:14" hidden="1" x14ac:dyDescent="0.2">
      <c r="A33" s="61" t="s">
        <v>146</v>
      </c>
      <c r="B33" s="63">
        <f t="shared" si="1"/>
        <v>0</v>
      </c>
      <c r="C33" s="63"/>
      <c r="D33" s="62"/>
      <c r="E33" s="62"/>
      <c r="F33" s="62"/>
      <c r="G33" s="62"/>
      <c r="H33" s="62"/>
      <c r="I33" s="62"/>
      <c r="J33" s="62"/>
      <c r="K33" s="62"/>
      <c r="L33" s="62"/>
      <c r="M33" s="62"/>
      <c r="N33" s="62"/>
    </row>
    <row r="34" spans="1:14" hidden="1" x14ac:dyDescent="0.2">
      <c r="A34" s="61" t="s">
        <v>146</v>
      </c>
      <c r="B34" s="63">
        <f t="shared" si="1"/>
        <v>0</v>
      </c>
      <c r="C34" s="63"/>
      <c r="D34" s="62"/>
      <c r="E34" s="62"/>
      <c r="F34" s="62"/>
      <c r="G34" s="62"/>
      <c r="H34" s="62"/>
      <c r="I34" s="62"/>
      <c r="J34" s="62"/>
      <c r="K34" s="62"/>
      <c r="L34" s="62"/>
      <c r="M34" s="62"/>
      <c r="N34" s="62"/>
    </row>
    <row r="35" spans="1:14" hidden="1" x14ac:dyDescent="0.2">
      <c r="A35" s="61" t="s">
        <v>146</v>
      </c>
      <c r="B35" s="63">
        <f t="shared" si="1"/>
        <v>0</v>
      </c>
      <c r="C35" s="63"/>
      <c r="D35" s="62"/>
      <c r="E35" s="62"/>
      <c r="F35" s="62"/>
      <c r="G35" s="62"/>
      <c r="H35" s="62"/>
      <c r="I35" s="62"/>
      <c r="J35" s="62"/>
      <c r="K35" s="62"/>
      <c r="L35" s="62"/>
      <c r="M35" s="62"/>
      <c r="N35" s="62"/>
    </row>
    <row r="36" spans="1:14" hidden="1" x14ac:dyDescent="0.2">
      <c r="A36" s="61" t="s">
        <v>146</v>
      </c>
      <c r="B36" s="63">
        <f t="shared" si="1"/>
        <v>0</v>
      </c>
      <c r="C36" s="63"/>
      <c r="D36" s="62"/>
      <c r="E36" s="62"/>
      <c r="F36" s="62"/>
      <c r="G36" s="62"/>
      <c r="H36" s="62"/>
      <c r="I36" s="62"/>
      <c r="J36" s="62"/>
      <c r="K36" s="62"/>
      <c r="L36" s="62"/>
      <c r="M36" s="62"/>
      <c r="N36" s="62"/>
    </row>
    <row r="37" spans="1:14" hidden="1" x14ac:dyDescent="0.2">
      <c r="A37" s="61" t="s">
        <v>146</v>
      </c>
      <c r="B37" s="63">
        <f t="shared" si="1"/>
        <v>0</v>
      </c>
      <c r="C37" s="63"/>
      <c r="D37" s="62"/>
      <c r="E37" s="62"/>
      <c r="F37" s="62"/>
      <c r="G37" s="62"/>
      <c r="H37" s="62"/>
      <c r="I37" s="62"/>
      <c r="J37" s="62"/>
      <c r="K37" s="62"/>
      <c r="L37" s="62"/>
      <c r="M37" s="62"/>
      <c r="N37" s="62"/>
    </row>
    <row r="38" spans="1:14" hidden="1" x14ac:dyDescent="0.2">
      <c r="A38" s="61" t="s">
        <v>146</v>
      </c>
      <c r="B38" s="63">
        <f t="shared" si="1"/>
        <v>0</v>
      </c>
      <c r="C38" s="62"/>
      <c r="D38" s="62"/>
      <c r="E38" s="62"/>
      <c r="F38" s="62"/>
      <c r="G38" s="62"/>
      <c r="H38" s="62"/>
      <c r="I38" s="62"/>
      <c r="J38" s="62"/>
      <c r="K38" s="62"/>
      <c r="L38" s="62"/>
      <c r="M38" s="62"/>
      <c r="N38" s="62"/>
    </row>
    <row r="39" spans="1:14" x14ac:dyDescent="0.2">
      <c r="A39" s="61" t="s">
        <v>16</v>
      </c>
      <c r="B39" s="63">
        <f t="shared" si="1"/>
        <v>0</v>
      </c>
      <c r="C39" s="63"/>
      <c r="D39" s="62"/>
      <c r="E39" s="62"/>
      <c r="F39" s="62"/>
      <c r="G39" s="62"/>
      <c r="H39" s="62"/>
      <c r="I39" s="62"/>
      <c r="J39" s="62"/>
      <c r="K39" s="62"/>
      <c r="L39" s="62"/>
      <c r="M39" s="62"/>
      <c r="N39" s="62"/>
    </row>
    <row r="40" spans="1:14" x14ac:dyDescent="0.2">
      <c r="A40" s="61" t="s">
        <v>17</v>
      </c>
      <c r="B40" s="63">
        <f t="shared" si="1"/>
        <v>0</v>
      </c>
      <c r="C40" s="63"/>
      <c r="D40" s="62"/>
      <c r="E40" s="62"/>
      <c r="F40" s="62"/>
      <c r="G40" s="62"/>
      <c r="H40" s="62"/>
      <c r="I40" s="62"/>
      <c r="J40" s="62"/>
      <c r="K40" s="62"/>
      <c r="L40" s="62"/>
      <c r="M40" s="62"/>
      <c r="N40" s="62"/>
    </row>
    <row r="41" spans="1:14" x14ac:dyDescent="0.2">
      <c r="A41" s="61" t="s">
        <v>147</v>
      </c>
      <c r="B41" s="63">
        <f t="shared" si="1"/>
        <v>0</v>
      </c>
      <c r="C41" s="62"/>
      <c r="D41" s="62"/>
      <c r="E41" s="62"/>
      <c r="F41" s="62"/>
      <c r="G41" s="62"/>
      <c r="H41" s="62"/>
      <c r="I41" s="62"/>
      <c r="J41" s="62"/>
      <c r="K41" s="62"/>
      <c r="L41" s="62"/>
      <c r="M41" s="62"/>
      <c r="N41" s="62"/>
    </row>
    <row r="42" spans="1:14" x14ac:dyDescent="0.2">
      <c r="A42" s="61" t="s">
        <v>148</v>
      </c>
      <c r="B42" s="63">
        <f t="shared" si="1"/>
        <v>0</v>
      </c>
      <c r="C42" s="63"/>
      <c r="D42" s="62"/>
      <c r="E42" s="62"/>
      <c r="F42" s="62"/>
      <c r="G42" s="62"/>
      <c r="H42" s="62"/>
      <c r="I42" s="62"/>
      <c r="J42" s="62"/>
      <c r="K42" s="62"/>
      <c r="L42" s="62"/>
      <c r="M42" s="62"/>
      <c r="N42" s="62"/>
    </row>
    <row r="43" spans="1:14" x14ac:dyDescent="0.2">
      <c r="A43" s="61" t="s">
        <v>149</v>
      </c>
      <c r="B43" s="63">
        <f t="shared" si="1"/>
        <v>0</v>
      </c>
      <c r="C43" s="62"/>
      <c r="D43" s="62"/>
      <c r="E43" s="62"/>
      <c r="F43" s="62"/>
      <c r="G43" s="62"/>
      <c r="H43" s="62"/>
      <c r="I43" s="62"/>
      <c r="J43" s="62"/>
      <c r="K43" s="62"/>
      <c r="L43" s="62"/>
      <c r="M43" s="62"/>
      <c r="N43" s="62"/>
    </row>
    <row r="44" spans="1:14" x14ac:dyDescent="0.2">
      <c r="A44" s="61" t="s">
        <v>150</v>
      </c>
      <c r="B44" s="63">
        <f t="shared" si="1"/>
        <v>0</v>
      </c>
      <c r="C44" s="63"/>
      <c r="D44" s="62"/>
      <c r="E44" s="62"/>
      <c r="F44" s="62"/>
      <c r="G44" s="62"/>
      <c r="H44" s="62"/>
      <c r="I44" s="62"/>
      <c r="J44" s="62"/>
      <c r="K44" s="62"/>
      <c r="L44" s="62"/>
      <c r="M44" s="62"/>
      <c r="N44" s="62"/>
    </row>
    <row r="45" spans="1:14" ht="13.5" thickBot="1" x14ac:dyDescent="0.25">
      <c r="A45" s="61" t="s">
        <v>18</v>
      </c>
      <c r="B45" s="63">
        <f t="shared" si="1"/>
        <v>0</v>
      </c>
      <c r="C45" s="63"/>
      <c r="D45" s="62"/>
      <c r="E45" s="62"/>
      <c r="F45" s="62"/>
      <c r="G45" s="62"/>
      <c r="H45" s="62"/>
      <c r="I45" s="62"/>
      <c r="J45" s="62"/>
      <c r="K45" s="62"/>
      <c r="L45" s="62"/>
      <c r="M45" s="62"/>
      <c r="N45" s="62"/>
    </row>
    <row r="46" spans="1:14" x14ac:dyDescent="0.2">
      <c r="A46" s="64" t="s">
        <v>151</v>
      </c>
      <c r="B46" s="65">
        <f t="shared" ref="B46:N46" si="2">SUM(B8:B45)</f>
        <v>159245</v>
      </c>
      <c r="C46" s="65">
        <f t="shared" si="2"/>
        <v>13270.416666666666</v>
      </c>
      <c r="D46" s="65">
        <f t="shared" si="2"/>
        <v>13270.416666666666</v>
      </c>
      <c r="E46" s="65">
        <f t="shared" si="2"/>
        <v>13270.416666666666</v>
      </c>
      <c r="F46" s="65">
        <f t="shared" si="2"/>
        <v>13270.416666666666</v>
      </c>
      <c r="G46" s="65">
        <f t="shared" si="2"/>
        <v>13270.416666666666</v>
      </c>
      <c r="H46" s="65">
        <f t="shared" si="2"/>
        <v>13270.416666666666</v>
      </c>
      <c r="I46" s="65">
        <f t="shared" si="2"/>
        <v>13270.416666666666</v>
      </c>
      <c r="J46" s="65">
        <f t="shared" si="2"/>
        <v>13270.416666666666</v>
      </c>
      <c r="K46" s="65">
        <f t="shared" si="2"/>
        <v>13270.416666666666</v>
      </c>
      <c r="L46" s="65">
        <f t="shared" si="2"/>
        <v>13270.416666666666</v>
      </c>
      <c r="M46" s="65">
        <f t="shared" si="2"/>
        <v>13270.416666666666</v>
      </c>
      <c r="N46" s="65">
        <f t="shared" si="2"/>
        <v>13270.416666666666</v>
      </c>
    </row>
    <row r="47" spans="1:14" x14ac:dyDescent="0.2">
      <c r="C47" s="60"/>
      <c r="D47" s="66"/>
      <c r="E47" s="66"/>
      <c r="F47" s="66"/>
      <c r="G47" s="66"/>
      <c r="H47" s="66"/>
      <c r="I47" s="66"/>
      <c r="J47" s="66"/>
      <c r="K47" s="66"/>
      <c r="L47" s="66"/>
      <c r="M47" s="66"/>
      <c r="N47" s="66"/>
    </row>
    <row r="48" spans="1:14" x14ac:dyDescent="0.2">
      <c r="A48" s="58"/>
      <c r="C48" s="60"/>
      <c r="D48" s="100"/>
      <c r="E48" s="100"/>
      <c r="F48" s="100"/>
      <c r="G48" s="100"/>
      <c r="H48" s="100"/>
      <c r="I48" s="100"/>
      <c r="J48" s="100"/>
      <c r="K48" s="100"/>
      <c r="L48" s="100"/>
      <c r="M48" s="100"/>
      <c r="N48" s="100"/>
    </row>
    <row r="49" spans="1:15" x14ac:dyDescent="0.2">
      <c r="A49" s="58" t="s">
        <v>152</v>
      </c>
      <c r="B49" s="85"/>
      <c r="C49" s="85"/>
      <c r="D49" s="85"/>
      <c r="E49" s="85"/>
      <c r="F49" s="85"/>
      <c r="G49" s="85"/>
      <c r="H49" s="85"/>
      <c r="I49" s="85"/>
      <c r="J49" s="85"/>
      <c r="K49" s="85"/>
      <c r="L49" s="85"/>
      <c r="M49" s="85"/>
      <c r="N49" s="85"/>
    </row>
    <row r="50" spans="1:15" x14ac:dyDescent="0.2">
      <c r="A50" s="61" t="s">
        <v>153</v>
      </c>
      <c r="B50" s="63">
        <f>SUM(C50:N50)</f>
        <v>103038.84734780347</v>
      </c>
      <c r="C50" s="62">
        <f>SUM(C213)</f>
        <v>8587.8431999999993</v>
      </c>
      <c r="D50" s="62">
        <f t="shared" ref="D50:N50" si="3">SUM(D213)</f>
        <v>8591.6511487482276</v>
      </c>
      <c r="E50" s="62">
        <f t="shared" si="3"/>
        <v>8583.4856504015115</v>
      </c>
      <c r="F50" s="62">
        <f t="shared" si="3"/>
        <v>8591.6511487482276</v>
      </c>
      <c r="G50" s="62">
        <f t="shared" si="3"/>
        <v>8583.4856504015115</v>
      </c>
      <c r="H50" s="62">
        <f t="shared" si="3"/>
        <v>8591.6511487482276</v>
      </c>
      <c r="I50" s="62">
        <f t="shared" si="3"/>
        <v>8591.6511487482276</v>
      </c>
      <c r="J50" s="62">
        <f t="shared" si="3"/>
        <v>8567.1546537080776</v>
      </c>
      <c r="K50" s="62">
        <f t="shared" si="3"/>
        <v>8591.6511487482276</v>
      </c>
      <c r="L50" s="62">
        <f t="shared" si="3"/>
        <v>8583.4856504015115</v>
      </c>
      <c r="M50" s="62">
        <f t="shared" si="3"/>
        <v>8591.6511487482276</v>
      </c>
      <c r="N50" s="62">
        <f t="shared" si="3"/>
        <v>8583.4856504015115</v>
      </c>
    </row>
    <row r="51" spans="1:15" x14ac:dyDescent="0.2">
      <c r="A51" s="61" t="s">
        <v>22</v>
      </c>
      <c r="B51" s="63">
        <f>SUM(C51:N51)</f>
        <v>8907.5396641937878</v>
      </c>
      <c r="C51" s="62">
        <f>SUM(C214)</f>
        <v>742.39996049999991</v>
      </c>
      <c r="D51" s="62">
        <f t="shared" ref="D51:N51" si="4">SUM(D214)</f>
        <v>742.7141162717287</v>
      </c>
      <c r="E51" s="62">
        <f t="shared" si="4"/>
        <v>742.04046265812462</v>
      </c>
      <c r="F51" s="62">
        <f t="shared" si="4"/>
        <v>742.7141162717287</v>
      </c>
      <c r="G51" s="62">
        <f t="shared" si="4"/>
        <v>742.04046265812462</v>
      </c>
      <c r="H51" s="62">
        <f t="shared" si="4"/>
        <v>742.7141162717287</v>
      </c>
      <c r="I51" s="62">
        <f t="shared" si="4"/>
        <v>742.7141162717287</v>
      </c>
      <c r="J51" s="62">
        <f t="shared" si="4"/>
        <v>740.69315543091625</v>
      </c>
      <c r="K51" s="62">
        <f t="shared" si="4"/>
        <v>742.7141162717287</v>
      </c>
      <c r="L51" s="62">
        <f t="shared" si="4"/>
        <v>742.04046265812462</v>
      </c>
      <c r="M51" s="62">
        <f t="shared" si="4"/>
        <v>742.7141162717287</v>
      </c>
      <c r="N51" s="62">
        <f t="shared" si="4"/>
        <v>742.04046265812462</v>
      </c>
    </row>
    <row r="52" spans="1:15" s="101" customFormat="1" ht="13.5" thickBot="1" x14ac:dyDescent="0.25">
      <c r="A52" s="90" t="s">
        <v>23</v>
      </c>
      <c r="B52" s="63">
        <f>SUM(C52:N52)</f>
        <v>14865.955771862073</v>
      </c>
      <c r="C52" s="62">
        <f>SUM(C215)</f>
        <v>1238.8296476551725</v>
      </c>
      <c r="D52" s="62">
        <f t="shared" ref="D52:N52" si="5">SUM(D215)</f>
        <v>1238.8296476551725</v>
      </c>
      <c r="E52" s="62">
        <f t="shared" si="5"/>
        <v>1238.8296476551725</v>
      </c>
      <c r="F52" s="62">
        <f t="shared" si="5"/>
        <v>1238.8296476551725</v>
      </c>
      <c r="G52" s="62">
        <f t="shared" si="5"/>
        <v>1238.8296476551725</v>
      </c>
      <c r="H52" s="62">
        <f t="shared" si="5"/>
        <v>1238.8296476551725</v>
      </c>
      <c r="I52" s="62">
        <f t="shared" si="5"/>
        <v>1238.8296476551725</v>
      </c>
      <c r="J52" s="62">
        <f t="shared" si="5"/>
        <v>1238.8296476551725</v>
      </c>
      <c r="K52" s="62">
        <f t="shared" si="5"/>
        <v>1238.8296476551725</v>
      </c>
      <c r="L52" s="62">
        <f t="shared" si="5"/>
        <v>1238.8296476551725</v>
      </c>
      <c r="M52" s="62">
        <f t="shared" si="5"/>
        <v>1238.8296476551725</v>
      </c>
      <c r="N52" s="62">
        <f t="shared" si="5"/>
        <v>1238.8296476551725</v>
      </c>
    </row>
    <row r="53" spans="1:15" x14ac:dyDescent="0.2">
      <c r="A53" s="64" t="s">
        <v>154</v>
      </c>
      <c r="B53" s="65">
        <f>SUM(B50:B52)</f>
        <v>126812.34278385933</v>
      </c>
      <c r="C53" s="65">
        <f t="shared" ref="C53:N53" si="6">SUM(C50:C52)</f>
        <v>10569.072808155172</v>
      </c>
      <c r="D53" s="65">
        <f t="shared" si="6"/>
        <v>10573.19491267513</v>
      </c>
      <c r="E53" s="65">
        <f t="shared" si="6"/>
        <v>10564.355760714809</v>
      </c>
      <c r="F53" s="65">
        <f t="shared" si="6"/>
        <v>10573.19491267513</v>
      </c>
      <c r="G53" s="65">
        <f t="shared" si="6"/>
        <v>10564.355760714809</v>
      </c>
      <c r="H53" s="65">
        <f t="shared" si="6"/>
        <v>10573.19491267513</v>
      </c>
      <c r="I53" s="65">
        <f t="shared" si="6"/>
        <v>10573.19491267513</v>
      </c>
      <c r="J53" s="65">
        <f t="shared" si="6"/>
        <v>10546.677456794167</v>
      </c>
      <c r="K53" s="65">
        <f t="shared" si="6"/>
        <v>10573.19491267513</v>
      </c>
      <c r="L53" s="65">
        <f t="shared" si="6"/>
        <v>10564.355760714809</v>
      </c>
      <c r="M53" s="65">
        <f t="shared" si="6"/>
        <v>10573.19491267513</v>
      </c>
      <c r="N53" s="65">
        <f t="shared" si="6"/>
        <v>10564.355760714809</v>
      </c>
      <c r="O53" s="140">
        <f>SUM(C216:N216)</f>
        <v>126812.34278385935</v>
      </c>
    </row>
    <row r="54" spans="1:15" x14ac:dyDescent="0.2">
      <c r="C54" s="60"/>
      <c r="D54" s="66"/>
      <c r="E54" s="66"/>
      <c r="F54" s="66"/>
      <c r="G54" s="66"/>
      <c r="H54" s="66"/>
      <c r="I54" s="66"/>
      <c r="J54" s="66"/>
      <c r="K54" s="66"/>
      <c r="L54" s="66"/>
      <c r="M54" s="66"/>
      <c r="N54" s="66"/>
    </row>
    <row r="55" spans="1:15" x14ac:dyDescent="0.2">
      <c r="C55" s="60"/>
      <c r="D55" s="66"/>
      <c r="E55" s="66"/>
      <c r="F55" s="66"/>
      <c r="G55" s="66"/>
      <c r="H55" s="66"/>
      <c r="I55" s="66"/>
      <c r="J55" s="66"/>
      <c r="K55" s="66"/>
      <c r="L55" s="66"/>
      <c r="M55" s="66"/>
      <c r="N55" s="66"/>
    </row>
    <row r="56" spans="1:15" x14ac:dyDescent="0.2">
      <c r="A56" s="58" t="s">
        <v>155</v>
      </c>
      <c r="C56" s="66"/>
      <c r="D56" s="66"/>
      <c r="E56" s="66"/>
      <c r="F56" s="66"/>
      <c r="G56" s="66"/>
      <c r="H56" s="66"/>
      <c r="I56" s="66"/>
      <c r="J56" s="66"/>
      <c r="K56" s="66"/>
      <c r="L56" s="66"/>
      <c r="M56" s="66"/>
      <c r="N56" s="66"/>
    </row>
    <row r="57" spans="1:15" x14ac:dyDescent="0.2">
      <c r="A57" s="61" t="str">
        <f>CMS!A57</f>
        <v>Training</v>
      </c>
      <c r="B57" s="63">
        <f>SUM(C57:N57)</f>
        <v>1250</v>
      </c>
      <c r="C57" s="62">
        <f>SUM(1250/12)</f>
        <v>104.16666666666667</v>
      </c>
      <c r="D57" s="62">
        <f t="shared" ref="D57:N57" si="7">SUM(1250/12)</f>
        <v>104.16666666666667</v>
      </c>
      <c r="E57" s="62">
        <f t="shared" si="7"/>
        <v>104.16666666666667</v>
      </c>
      <c r="F57" s="62">
        <f t="shared" si="7"/>
        <v>104.16666666666667</v>
      </c>
      <c r="G57" s="62">
        <f t="shared" si="7"/>
        <v>104.16666666666667</v>
      </c>
      <c r="H57" s="62">
        <f t="shared" si="7"/>
        <v>104.16666666666667</v>
      </c>
      <c r="I57" s="62">
        <f t="shared" si="7"/>
        <v>104.16666666666667</v>
      </c>
      <c r="J57" s="62">
        <f t="shared" si="7"/>
        <v>104.16666666666667</v>
      </c>
      <c r="K57" s="62">
        <f t="shared" si="7"/>
        <v>104.16666666666667</v>
      </c>
      <c r="L57" s="62">
        <f t="shared" si="7"/>
        <v>104.16666666666667</v>
      </c>
      <c r="M57" s="62">
        <f t="shared" si="7"/>
        <v>104.16666666666667</v>
      </c>
      <c r="N57" s="62">
        <f t="shared" si="7"/>
        <v>104.16666666666667</v>
      </c>
    </row>
    <row r="58" spans="1:15" x14ac:dyDescent="0.2">
      <c r="A58" s="61" t="str">
        <f>CMS!A58</f>
        <v>Travel</v>
      </c>
      <c r="B58" s="63">
        <f>SUM(C58:N58)</f>
        <v>2304</v>
      </c>
      <c r="C58" s="62">
        <v>192</v>
      </c>
      <c r="D58" s="62">
        <v>192</v>
      </c>
      <c r="E58" s="62">
        <v>192</v>
      </c>
      <c r="F58" s="62">
        <v>192</v>
      </c>
      <c r="G58" s="62">
        <v>192</v>
      </c>
      <c r="H58" s="62">
        <v>192</v>
      </c>
      <c r="I58" s="62">
        <v>192</v>
      </c>
      <c r="J58" s="62">
        <v>192</v>
      </c>
      <c r="K58" s="62">
        <v>192</v>
      </c>
      <c r="L58" s="62">
        <v>192</v>
      </c>
      <c r="M58" s="62">
        <v>192</v>
      </c>
      <c r="N58" s="62">
        <v>192</v>
      </c>
    </row>
    <row r="59" spans="1:15" x14ac:dyDescent="0.2">
      <c r="A59" s="61" t="str">
        <f>CMS!A59</f>
        <v>Recognition</v>
      </c>
      <c r="B59" s="63">
        <f>SUM(C59:N59)</f>
        <v>0</v>
      </c>
      <c r="C59" s="62"/>
      <c r="D59" s="62"/>
      <c r="E59" s="62"/>
      <c r="F59" s="62"/>
      <c r="G59" s="62"/>
      <c r="H59" s="62"/>
      <c r="I59" s="62"/>
      <c r="J59" s="62"/>
      <c r="K59" s="62"/>
      <c r="L59" s="62"/>
      <c r="M59" s="62"/>
      <c r="N59" s="62"/>
    </row>
    <row r="60" spans="1:15" x14ac:dyDescent="0.2">
      <c r="A60" s="61" t="str">
        <f>CMS!A60</f>
        <v>Communications</v>
      </c>
      <c r="B60" s="63">
        <f t="shared" ref="B60:B82" si="8">SUM(C60:N60)</f>
        <v>1440</v>
      </c>
      <c r="C60" s="62">
        <v>120</v>
      </c>
      <c r="D60" s="62">
        <v>120</v>
      </c>
      <c r="E60" s="62">
        <v>120</v>
      </c>
      <c r="F60" s="62">
        <v>120</v>
      </c>
      <c r="G60" s="62">
        <v>120</v>
      </c>
      <c r="H60" s="62">
        <v>120</v>
      </c>
      <c r="I60" s="62">
        <v>120</v>
      </c>
      <c r="J60" s="62">
        <v>120</v>
      </c>
      <c r="K60" s="62">
        <v>120</v>
      </c>
      <c r="L60" s="62">
        <v>120</v>
      </c>
      <c r="M60" s="62">
        <v>120</v>
      </c>
      <c r="N60" s="62">
        <v>120</v>
      </c>
    </row>
    <row r="61" spans="1:15" x14ac:dyDescent="0.2">
      <c r="A61" s="61" t="str">
        <f>CMS!A61</f>
        <v>Dues &amp; Subscriptions</v>
      </c>
      <c r="B61" s="63">
        <f t="shared" si="8"/>
        <v>0</v>
      </c>
      <c r="C61" s="62"/>
      <c r="D61" s="62"/>
      <c r="E61" s="62"/>
      <c r="F61" s="62"/>
      <c r="G61" s="62"/>
      <c r="H61" s="62"/>
      <c r="I61" s="62"/>
      <c r="J61" s="62"/>
      <c r="K61" s="62"/>
      <c r="L61" s="62"/>
      <c r="M61" s="62"/>
      <c r="N61" s="62"/>
    </row>
    <row r="62" spans="1:15" x14ac:dyDescent="0.2">
      <c r="A62" s="61" t="str">
        <f>CMS!A62</f>
        <v>Liability Insurance</v>
      </c>
      <c r="B62" s="63">
        <f t="shared" si="8"/>
        <v>1877.2489845066523</v>
      </c>
      <c r="C62" s="62">
        <f>SUM('Data Links'!$B$5/'All Employees'!$I$65)/12*C102</f>
        <v>156.43741537555439</v>
      </c>
      <c r="D62" s="62">
        <f>SUM('Data Links'!$B$5/'All Employees'!$I$65)/12*D102</f>
        <v>156.43741537555439</v>
      </c>
      <c r="E62" s="62">
        <f>SUM('Data Links'!$B$5/'All Employees'!$I$65)/12*E102</f>
        <v>156.43741537555439</v>
      </c>
      <c r="F62" s="62">
        <f>SUM('Data Links'!$B$5/'All Employees'!$I$65)/12*F102</f>
        <v>156.43741537555439</v>
      </c>
      <c r="G62" s="62">
        <f>SUM('Data Links'!$B$5/'All Employees'!$I$65)/12*G102</f>
        <v>156.43741537555439</v>
      </c>
      <c r="H62" s="62">
        <f>SUM('Data Links'!$B$5/'All Employees'!$I$65)/12*H102</f>
        <v>156.43741537555439</v>
      </c>
      <c r="I62" s="62">
        <f>SUM('Data Links'!$B$5/'All Employees'!$I$65)/12*I102</f>
        <v>156.43741537555439</v>
      </c>
      <c r="J62" s="62">
        <f>SUM('Data Links'!$B$5/'All Employees'!$I$65)/12*J102</f>
        <v>156.43741537555439</v>
      </c>
      <c r="K62" s="62">
        <f>SUM('Data Links'!$B$5/'All Employees'!$I$65)/12*K102</f>
        <v>156.43741537555439</v>
      </c>
      <c r="L62" s="62">
        <f>SUM('Data Links'!$B$5/'All Employees'!$I$65)/12*L102</f>
        <v>156.43741537555439</v>
      </c>
      <c r="M62" s="62">
        <f>SUM('Data Links'!$B$5/'All Employees'!$I$65)/12*M102</f>
        <v>156.43741537555439</v>
      </c>
      <c r="N62" s="62">
        <f>SUM('Data Links'!$B$5/'All Employees'!$I$65)/12*N102</f>
        <v>156.43741537555439</v>
      </c>
    </row>
    <row r="63" spans="1:15" x14ac:dyDescent="0.2">
      <c r="A63" s="61" t="str">
        <f>CMS!A63</f>
        <v>Professional Services</v>
      </c>
      <c r="B63" s="63">
        <f t="shared" si="8"/>
        <v>0</v>
      </c>
      <c r="C63" s="62"/>
      <c r="D63" s="62"/>
      <c r="E63" s="62"/>
      <c r="F63" s="62"/>
      <c r="G63" s="62"/>
      <c r="H63" s="62"/>
      <c r="I63" s="62"/>
      <c r="J63" s="62"/>
      <c r="K63" s="62"/>
      <c r="L63" s="62"/>
      <c r="M63" s="62"/>
      <c r="N63" s="62"/>
    </row>
    <row r="64" spans="1:15" x14ac:dyDescent="0.2">
      <c r="A64" s="61" t="str">
        <f>CMS!A64</f>
        <v>Legal Fees</v>
      </c>
      <c r="B64" s="63">
        <f t="shared" si="8"/>
        <v>0</v>
      </c>
      <c r="C64" s="62"/>
      <c r="D64" s="62"/>
      <c r="E64" s="62"/>
      <c r="F64" s="62"/>
      <c r="G64" s="62"/>
      <c r="H64" s="62"/>
      <c r="I64" s="62"/>
      <c r="J64" s="62"/>
      <c r="K64" s="62"/>
      <c r="L64" s="62"/>
      <c r="M64" s="62"/>
      <c r="N64" s="62"/>
    </row>
    <row r="65" spans="1:14" x14ac:dyDescent="0.2">
      <c r="A65" s="61" t="str">
        <f>CMS!A65</f>
        <v>Technical Services</v>
      </c>
      <c r="B65" s="63">
        <f t="shared" si="8"/>
        <v>0</v>
      </c>
      <c r="C65" s="62"/>
      <c r="D65" s="62"/>
      <c r="E65" s="62"/>
      <c r="F65" s="62"/>
      <c r="G65" s="62"/>
      <c r="H65" s="62"/>
      <c r="I65" s="62"/>
      <c r="J65" s="62"/>
      <c r="K65" s="62"/>
      <c r="L65" s="62"/>
      <c r="M65" s="62"/>
      <c r="N65" s="62"/>
    </row>
    <row r="66" spans="1:14" x14ac:dyDescent="0.2">
      <c r="A66" s="61" t="str">
        <f>CMS!A66</f>
        <v>Taxes/Licenses &amp; Permits</v>
      </c>
      <c r="B66" s="63">
        <f t="shared" si="8"/>
        <v>0</v>
      </c>
      <c r="C66" s="62"/>
      <c r="D66" s="62"/>
      <c r="E66" s="62"/>
      <c r="F66" s="62"/>
      <c r="G66" s="62"/>
      <c r="H66" s="62"/>
      <c r="I66" s="62"/>
      <c r="J66" s="62"/>
      <c r="K66" s="62"/>
      <c r="L66" s="62"/>
      <c r="M66" s="62"/>
      <c r="N66" s="62"/>
    </row>
    <row r="67" spans="1:14" x14ac:dyDescent="0.2">
      <c r="A67" s="61" t="str">
        <f>CMS!A67</f>
        <v>Small Tools &amp; Equip</v>
      </c>
      <c r="B67" s="63">
        <f t="shared" si="8"/>
        <v>300</v>
      </c>
      <c r="C67" s="62">
        <f>SUM(300/12)</f>
        <v>25</v>
      </c>
      <c r="D67" s="62">
        <f t="shared" ref="D67:N67" si="9">SUM(300/12)</f>
        <v>25</v>
      </c>
      <c r="E67" s="62">
        <f t="shared" si="9"/>
        <v>25</v>
      </c>
      <c r="F67" s="62">
        <f t="shared" si="9"/>
        <v>25</v>
      </c>
      <c r="G67" s="62">
        <f t="shared" si="9"/>
        <v>25</v>
      </c>
      <c r="H67" s="62">
        <f t="shared" si="9"/>
        <v>25</v>
      </c>
      <c r="I67" s="62">
        <f t="shared" si="9"/>
        <v>25</v>
      </c>
      <c r="J67" s="62">
        <f t="shared" si="9"/>
        <v>25</v>
      </c>
      <c r="K67" s="62">
        <f t="shared" si="9"/>
        <v>25</v>
      </c>
      <c r="L67" s="62">
        <f t="shared" si="9"/>
        <v>25</v>
      </c>
      <c r="M67" s="62">
        <f t="shared" si="9"/>
        <v>25</v>
      </c>
      <c r="N67" s="62">
        <f t="shared" si="9"/>
        <v>25</v>
      </c>
    </row>
    <row r="68" spans="1:14" x14ac:dyDescent="0.2">
      <c r="A68" s="61" t="str">
        <f>CMS!A68</f>
        <v>Office Supplies</v>
      </c>
      <c r="B68" s="63">
        <f t="shared" si="8"/>
        <v>492</v>
      </c>
      <c r="C68" s="62">
        <v>41</v>
      </c>
      <c r="D68" s="62">
        <v>41</v>
      </c>
      <c r="E68" s="62">
        <v>41</v>
      </c>
      <c r="F68" s="62">
        <v>41</v>
      </c>
      <c r="G68" s="62">
        <v>41</v>
      </c>
      <c r="H68" s="62">
        <v>41</v>
      </c>
      <c r="I68" s="62">
        <v>41</v>
      </c>
      <c r="J68" s="62">
        <v>41</v>
      </c>
      <c r="K68" s="62">
        <v>41</v>
      </c>
      <c r="L68" s="62">
        <v>41</v>
      </c>
      <c r="M68" s="62">
        <v>41</v>
      </c>
      <c r="N68" s="62">
        <v>41</v>
      </c>
    </row>
    <row r="69" spans="1:14" x14ac:dyDescent="0.2">
      <c r="A69" s="61" t="str">
        <f>CMS!A69</f>
        <v>Program Supplies</v>
      </c>
      <c r="B69" s="63">
        <f t="shared" si="8"/>
        <v>0</v>
      </c>
      <c r="C69" s="62"/>
      <c r="D69" s="62"/>
      <c r="E69" s="62"/>
      <c r="F69" s="62"/>
      <c r="G69" s="62"/>
      <c r="H69" s="62"/>
      <c r="I69" s="62"/>
      <c r="J69" s="62"/>
      <c r="K69" s="62"/>
      <c r="L69" s="62"/>
      <c r="M69" s="62"/>
      <c r="N69" s="62"/>
    </row>
    <row r="70" spans="1:14" x14ac:dyDescent="0.2">
      <c r="A70" s="61" t="str">
        <f>CMS!A70</f>
        <v>Advertising</v>
      </c>
      <c r="B70" s="63">
        <f t="shared" si="8"/>
        <v>0</v>
      </c>
      <c r="C70" s="62"/>
      <c r="D70" s="62"/>
      <c r="E70" s="62"/>
      <c r="F70" s="62"/>
      <c r="G70" s="62"/>
      <c r="H70" s="62"/>
      <c r="I70" s="62"/>
      <c r="J70" s="62"/>
      <c r="K70" s="62"/>
      <c r="L70" s="62"/>
      <c r="M70" s="62"/>
      <c r="N70" s="62"/>
    </row>
    <row r="71" spans="1:14" x14ac:dyDescent="0.2">
      <c r="A71" s="61" t="str">
        <f>CMS!A71</f>
        <v>Repairs &amp; Maintenance</v>
      </c>
      <c r="B71" s="63">
        <f t="shared" si="8"/>
        <v>0</v>
      </c>
      <c r="C71" s="62"/>
      <c r="D71" s="62"/>
      <c r="E71" s="62"/>
      <c r="F71" s="62"/>
      <c r="G71" s="62"/>
      <c r="H71" s="62"/>
      <c r="I71" s="62"/>
      <c r="J71" s="62"/>
      <c r="K71" s="62"/>
      <c r="L71" s="62"/>
      <c r="M71" s="62"/>
      <c r="N71" s="62"/>
    </row>
    <row r="72" spans="1:14" x14ac:dyDescent="0.2">
      <c r="A72" s="61" t="str">
        <f>CMS!A72</f>
        <v>Client Expense</v>
      </c>
      <c r="B72" s="63">
        <f t="shared" si="8"/>
        <v>2700</v>
      </c>
      <c r="C72" s="62">
        <v>225</v>
      </c>
      <c r="D72" s="62">
        <v>225</v>
      </c>
      <c r="E72" s="62">
        <v>225</v>
      </c>
      <c r="F72" s="62">
        <v>225</v>
      </c>
      <c r="G72" s="62">
        <v>225</v>
      </c>
      <c r="H72" s="62">
        <v>225</v>
      </c>
      <c r="I72" s="62">
        <v>225</v>
      </c>
      <c r="J72" s="62">
        <v>225</v>
      </c>
      <c r="K72" s="62">
        <v>225</v>
      </c>
      <c r="L72" s="62">
        <v>225</v>
      </c>
      <c r="M72" s="62">
        <v>225</v>
      </c>
      <c r="N72" s="62">
        <v>225</v>
      </c>
    </row>
    <row r="73" spans="1:14" x14ac:dyDescent="0.2">
      <c r="A73" s="61" t="str">
        <f>CMS!A73</f>
        <v>Printing</v>
      </c>
      <c r="B73" s="63">
        <f t="shared" si="8"/>
        <v>0</v>
      </c>
      <c r="C73" s="62"/>
      <c r="D73" s="62"/>
      <c r="E73" s="62"/>
      <c r="F73" s="62"/>
      <c r="G73" s="62"/>
      <c r="H73" s="62"/>
      <c r="I73" s="62"/>
      <c r="J73" s="62"/>
      <c r="K73" s="62"/>
      <c r="L73" s="62"/>
      <c r="M73" s="62"/>
      <c r="N73" s="62"/>
    </row>
    <row r="74" spans="1:14" x14ac:dyDescent="0.2">
      <c r="A74" s="61" t="str">
        <f>CMS!A74</f>
        <v>Postage</v>
      </c>
      <c r="B74" s="63">
        <f t="shared" si="8"/>
        <v>60</v>
      </c>
      <c r="C74" s="62">
        <f>SUM(5)</f>
        <v>5</v>
      </c>
      <c r="D74" s="62">
        <f t="shared" ref="D74:N74" si="10">SUM(5)</f>
        <v>5</v>
      </c>
      <c r="E74" s="62">
        <f t="shared" si="10"/>
        <v>5</v>
      </c>
      <c r="F74" s="62">
        <f t="shared" si="10"/>
        <v>5</v>
      </c>
      <c r="G74" s="62">
        <f t="shared" si="10"/>
        <v>5</v>
      </c>
      <c r="H74" s="62">
        <f t="shared" si="10"/>
        <v>5</v>
      </c>
      <c r="I74" s="62">
        <f t="shared" si="10"/>
        <v>5</v>
      </c>
      <c r="J74" s="62">
        <f t="shared" si="10"/>
        <v>5</v>
      </c>
      <c r="K74" s="62">
        <f t="shared" si="10"/>
        <v>5</v>
      </c>
      <c r="L74" s="62">
        <f t="shared" si="10"/>
        <v>5</v>
      </c>
      <c r="M74" s="62">
        <f t="shared" si="10"/>
        <v>5</v>
      </c>
      <c r="N74" s="62">
        <f t="shared" si="10"/>
        <v>5</v>
      </c>
    </row>
    <row r="75" spans="1:14" ht="15.75" customHeight="1" x14ac:dyDescent="0.2">
      <c r="A75" s="61" t="str">
        <f>CMS!A75</f>
        <v>Rent/Lease Expense</v>
      </c>
      <c r="B75" s="63">
        <f t="shared" si="8"/>
        <v>0</v>
      </c>
      <c r="C75" s="62"/>
      <c r="D75" s="62"/>
      <c r="E75" s="62"/>
      <c r="F75" s="62"/>
      <c r="G75" s="62"/>
      <c r="H75" s="62"/>
      <c r="I75" s="62"/>
      <c r="J75" s="62"/>
      <c r="K75" s="62"/>
      <c r="L75" s="62"/>
      <c r="M75" s="62"/>
      <c r="N75" s="62"/>
    </row>
    <row r="76" spans="1:14" x14ac:dyDescent="0.2">
      <c r="A76" s="61" t="str">
        <f>CMS!A76</f>
        <v>Utilities</v>
      </c>
      <c r="B76" s="63">
        <f t="shared" si="8"/>
        <v>0</v>
      </c>
      <c r="C76" s="62"/>
      <c r="D76" s="62"/>
      <c r="E76" s="62"/>
      <c r="F76" s="62"/>
      <c r="G76" s="62"/>
      <c r="H76" s="62"/>
      <c r="I76" s="62"/>
      <c r="J76" s="62"/>
      <c r="K76" s="62"/>
      <c r="L76" s="62"/>
      <c r="M76" s="62"/>
      <c r="N76" s="62"/>
    </row>
    <row r="77" spans="1:14" x14ac:dyDescent="0.2">
      <c r="A77" s="61" t="str">
        <f>CMS!A77</f>
        <v>Bank Fees/Late Fees</v>
      </c>
      <c r="B77" s="63">
        <f t="shared" si="8"/>
        <v>0</v>
      </c>
      <c r="C77" s="62"/>
      <c r="D77" s="62"/>
      <c r="E77" s="62"/>
      <c r="F77" s="62"/>
      <c r="G77" s="62"/>
      <c r="H77" s="62"/>
      <c r="I77" s="62"/>
      <c r="J77" s="62"/>
      <c r="K77" s="62"/>
      <c r="L77" s="62"/>
      <c r="M77" s="62"/>
      <c r="N77" s="62"/>
    </row>
    <row r="78" spans="1:14" x14ac:dyDescent="0.2">
      <c r="A78" s="61" t="str">
        <f>CMS!A78</f>
        <v>Bad Debt Expense</v>
      </c>
      <c r="B78" s="63">
        <f t="shared" si="8"/>
        <v>0</v>
      </c>
      <c r="C78" s="62"/>
      <c r="D78" s="62"/>
      <c r="E78" s="62"/>
      <c r="F78" s="62"/>
      <c r="G78" s="62"/>
      <c r="H78" s="62"/>
      <c r="I78" s="62"/>
      <c r="J78" s="62"/>
      <c r="K78" s="62"/>
      <c r="L78" s="62"/>
      <c r="M78" s="62"/>
      <c r="N78" s="62"/>
    </row>
    <row r="79" spans="1:14" x14ac:dyDescent="0.2">
      <c r="A79" s="61" t="str">
        <f>CMS!A79</f>
        <v>Interest Expense</v>
      </c>
      <c r="B79" s="63">
        <f t="shared" si="8"/>
        <v>0</v>
      </c>
      <c r="C79" s="62"/>
      <c r="D79" s="62"/>
      <c r="E79" s="62"/>
      <c r="F79" s="62"/>
      <c r="G79" s="62"/>
      <c r="H79" s="62"/>
      <c r="I79" s="62"/>
      <c r="J79" s="62"/>
      <c r="K79" s="62"/>
      <c r="L79" s="62"/>
      <c r="M79" s="62"/>
      <c r="N79" s="62"/>
    </row>
    <row r="80" spans="1:14" x14ac:dyDescent="0.2">
      <c r="A80" s="61" t="str">
        <f>CMS!A80</f>
        <v>Meeting Expense</v>
      </c>
      <c r="B80" s="63">
        <f t="shared" si="8"/>
        <v>0</v>
      </c>
      <c r="C80" s="62"/>
      <c r="D80" s="62"/>
      <c r="E80" s="62"/>
      <c r="F80" s="62"/>
      <c r="G80" s="62"/>
      <c r="H80" s="62"/>
      <c r="I80" s="62"/>
      <c r="J80" s="62"/>
      <c r="K80" s="62"/>
      <c r="L80" s="62"/>
      <c r="M80" s="62"/>
      <c r="N80" s="62"/>
    </row>
    <row r="81" spans="1:14" x14ac:dyDescent="0.2">
      <c r="A81" s="61" t="str">
        <f>CMS!A81</f>
        <v>In Kind Expense</v>
      </c>
      <c r="B81" s="63">
        <f t="shared" si="8"/>
        <v>0</v>
      </c>
      <c r="C81" s="62">
        <f>SUM(C41)</f>
        <v>0</v>
      </c>
      <c r="D81" s="62">
        <f t="shared" ref="D81:N81" si="11">SUM(D41)</f>
        <v>0</v>
      </c>
      <c r="E81" s="62">
        <f t="shared" si="11"/>
        <v>0</v>
      </c>
      <c r="F81" s="62">
        <f t="shared" si="11"/>
        <v>0</v>
      </c>
      <c r="G81" s="62">
        <f t="shared" si="11"/>
        <v>0</v>
      </c>
      <c r="H81" s="62">
        <f t="shared" si="11"/>
        <v>0</v>
      </c>
      <c r="I81" s="62">
        <f t="shared" si="11"/>
        <v>0</v>
      </c>
      <c r="J81" s="62">
        <f t="shared" si="11"/>
        <v>0</v>
      </c>
      <c r="K81" s="62">
        <f t="shared" si="11"/>
        <v>0</v>
      </c>
      <c r="L81" s="62">
        <f t="shared" si="11"/>
        <v>0</v>
      </c>
      <c r="M81" s="62">
        <f t="shared" si="11"/>
        <v>0</v>
      </c>
      <c r="N81" s="62">
        <f t="shared" si="11"/>
        <v>0</v>
      </c>
    </row>
    <row r="82" spans="1:14" s="101" customFormat="1" ht="13.5" thickBot="1" x14ac:dyDescent="0.25">
      <c r="A82" s="61" t="str">
        <f>CMS!A82</f>
        <v>Misc Expense</v>
      </c>
      <c r="B82" s="63">
        <f t="shared" si="8"/>
        <v>0</v>
      </c>
      <c r="C82" s="62"/>
      <c r="D82" s="62"/>
      <c r="E82" s="62"/>
      <c r="F82" s="62"/>
      <c r="G82" s="62"/>
      <c r="H82" s="62"/>
      <c r="I82" s="62"/>
      <c r="J82" s="62"/>
      <c r="K82" s="62"/>
      <c r="L82" s="62"/>
      <c r="M82" s="62"/>
      <c r="N82" s="62"/>
    </row>
    <row r="83" spans="1:14" x14ac:dyDescent="0.2">
      <c r="A83" s="64" t="s">
        <v>24</v>
      </c>
      <c r="B83" s="65">
        <f>SUM(B57:B82)</f>
        <v>10423.248984506652</v>
      </c>
      <c r="C83" s="65">
        <f t="shared" ref="C83:N83" si="12">SUM(C57:C82)</f>
        <v>868.60408204222108</v>
      </c>
      <c r="D83" s="65">
        <f t="shared" si="12"/>
        <v>868.60408204222108</v>
      </c>
      <c r="E83" s="65">
        <f t="shared" si="12"/>
        <v>868.60408204222108</v>
      </c>
      <c r="F83" s="65">
        <f t="shared" si="12"/>
        <v>868.60408204222108</v>
      </c>
      <c r="G83" s="65">
        <f t="shared" si="12"/>
        <v>868.60408204222108</v>
      </c>
      <c r="H83" s="65">
        <f t="shared" si="12"/>
        <v>868.60408204222108</v>
      </c>
      <c r="I83" s="65">
        <f t="shared" si="12"/>
        <v>868.60408204222108</v>
      </c>
      <c r="J83" s="65">
        <f t="shared" si="12"/>
        <v>868.60408204222108</v>
      </c>
      <c r="K83" s="65">
        <f t="shared" si="12"/>
        <v>868.60408204222108</v>
      </c>
      <c r="L83" s="65">
        <f t="shared" si="12"/>
        <v>868.60408204222108</v>
      </c>
      <c r="M83" s="65">
        <f t="shared" si="12"/>
        <v>868.60408204222108</v>
      </c>
      <c r="N83" s="65">
        <f t="shared" si="12"/>
        <v>868.60408204222108</v>
      </c>
    </row>
    <row r="84" spans="1:14" x14ac:dyDescent="0.2">
      <c r="C84" s="60"/>
      <c r="D84" s="66"/>
      <c r="E84" s="66"/>
      <c r="F84" s="66"/>
      <c r="G84" s="66"/>
      <c r="H84" s="66"/>
      <c r="I84" s="66"/>
      <c r="J84" s="66"/>
      <c r="K84" s="66"/>
      <c r="L84" s="66"/>
      <c r="M84" s="66"/>
      <c r="N84" s="66"/>
    </row>
    <row r="85" spans="1:14" x14ac:dyDescent="0.2">
      <c r="C85" s="60"/>
      <c r="D85" s="66"/>
      <c r="E85" s="66"/>
      <c r="F85" s="66"/>
      <c r="G85" s="66"/>
      <c r="H85" s="66"/>
      <c r="I85" s="66"/>
      <c r="J85" s="66"/>
      <c r="K85" s="66"/>
      <c r="L85" s="66"/>
      <c r="M85" s="66"/>
      <c r="N85" s="66"/>
    </row>
    <row r="86" spans="1:14" x14ac:dyDescent="0.2">
      <c r="A86" s="58" t="s">
        <v>25</v>
      </c>
      <c r="C86" s="60"/>
      <c r="D86" s="66"/>
      <c r="E86" s="66"/>
      <c r="F86" s="66"/>
      <c r="G86" s="66"/>
      <c r="H86" s="66"/>
      <c r="I86" s="66"/>
      <c r="J86" s="66"/>
      <c r="K86" s="66"/>
      <c r="L86" s="66"/>
      <c r="M86" s="66"/>
      <c r="N86" s="66"/>
    </row>
    <row r="87" spans="1:14" x14ac:dyDescent="0.2">
      <c r="A87" s="61" t="s">
        <v>329</v>
      </c>
      <c r="B87" s="63">
        <f>SUM(C87:N87)</f>
        <v>-10276.70695069754</v>
      </c>
      <c r="C87" s="62">
        <f>SUM('CMS &amp; Fundraising Allocations'!B55)</f>
        <v>-1451.3758493153339</v>
      </c>
      <c r="D87" s="62">
        <f>SUM('CMS &amp; Fundraising Allocations'!C55)</f>
        <v>-2501.961079544722</v>
      </c>
      <c r="E87" s="62">
        <f>SUM('CMS &amp; Fundraising Allocations'!D55)</f>
        <v>-3748.628167016011</v>
      </c>
      <c r="F87" s="62">
        <f>SUM('CMS &amp; Fundraising Allocations'!E55)</f>
        <v>-2504.6996529698881</v>
      </c>
      <c r="G87" s="62">
        <f>SUM('CMS &amp; Fundraising Allocations'!F55)</f>
        <v>-2378.6568110766129</v>
      </c>
      <c r="H87" s="62">
        <f>SUM('CMS &amp; Fundraising Allocations'!G55)</f>
        <v>-2844.2827576904983</v>
      </c>
      <c r="I87" s="62">
        <f>SUM('CMS &amp; Fundraising Allocations'!H55)</f>
        <v>-653.42401755752837</v>
      </c>
      <c r="J87" s="62">
        <f>SUM('CMS &amp; Fundraising Allocations'!I55)</f>
        <v>-2399.264576100989</v>
      </c>
      <c r="K87" s="62">
        <f>SUM('CMS &amp; Fundraising Allocations'!J55)</f>
        <v>-2454.9945453031214</v>
      </c>
      <c r="L87" s="62">
        <f>SUM('CMS &amp; Fundraising Allocations'!K55)</f>
        <v>-2165.8011916055693</v>
      </c>
      <c r="M87" s="62">
        <f>SUM('CMS &amp; Fundraising Allocations'!L55)</f>
        <v>2100.0061684402099</v>
      </c>
      <c r="N87" s="62">
        <f>SUM('CMS &amp; Fundraising Allocations'!M55)</f>
        <v>10726.375529042523</v>
      </c>
    </row>
    <row r="88" spans="1:14" x14ac:dyDescent="0.2">
      <c r="A88" s="61" t="s">
        <v>330</v>
      </c>
      <c r="B88" s="63">
        <f>SUM(C88:N88)</f>
        <v>-3309.9219539431479</v>
      </c>
      <c r="C88" s="63">
        <f>SUM(-'1020 N State Allocations'!B57)</f>
        <v>-285.20984123560282</v>
      </c>
      <c r="D88" s="63">
        <f>SUM(-'1020 N State Allocations'!C57)</f>
        <v>-285.20984123560282</v>
      </c>
      <c r="E88" s="63">
        <f>SUM(-'1020 N State Allocations'!D57)</f>
        <v>-285.20984123560282</v>
      </c>
      <c r="F88" s="63">
        <f>SUM(-'1020 N State Allocations'!E57)</f>
        <v>-286.13564336856712</v>
      </c>
      <c r="G88" s="63">
        <f>SUM(-'1020 N State Allocations'!F57)</f>
        <v>-283.83231677979529</v>
      </c>
      <c r="H88" s="63">
        <f>SUM(-'1020 N State Allocations'!G57)</f>
        <v>-276.96543068983328</v>
      </c>
      <c r="I88" s="63">
        <f>SUM(-'1020 N State Allocations'!H57)</f>
        <v>-269.34876704727054</v>
      </c>
      <c r="J88" s="63">
        <f>SUM(-'1020 N State Allocations'!I57)</f>
        <v>-269.34876704727054</v>
      </c>
      <c r="K88" s="63">
        <f>SUM(-'1020 N State Allocations'!J57)</f>
        <v>-266.86172668955192</v>
      </c>
      <c r="L88" s="63">
        <f>SUM(-'1020 N State Allocations'!K57)</f>
        <v>-266.86172668955192</v>
      </c>
      <c r="M88" s="63">
        <f>SUM(-'1020 N State Allocations'!L57)</f>
        <v>-267.46902596224942</v>
      </c>
      <c r="N88" s="63">
        <f>SUM(-'1020 N State Allocations'!M57)</f>
        <v>-267.46902596224942</v>
      </c>
    </row>
    <row r="89" spans="1:14" ht="13.5" thickBot="1" x14ac:dyDescent="0.25">
      <c r="A89" s="61"/>
      <c r="B89" s="63">
        <f>SUM(C89:N89)</f>
        <v>0</v>
      </c>
      <c r="C89" s="63"/>
      <c r="D89" s="62"/>
      <c r="E89" s="62"/>
      <c r="F89" s="62"/>
      <c r="G89" s="62"/>
      <c r="H89" s="62"/>
      <c r="I89" s="62"/>
      <c r="J89" s="62"/>
      <c r="K89" s="62"/>
      <c r="L89" s="62"/>
      <c r="M89" s="62"/>
      <c r="N89" s="62"/>
    </row>
    <row r="90" spans="1:14" x14ac:dyDescent="0.2">
      <c r="A90" s="64" t="s">
        <v>26</v>
      </c>
      <c r="B90" s="65">
        <f t="shared" ref="B90:N90" si="13">SUM(B87:B89)</f>
        <v>-13586.628904640689</v>
      </c>
      <c r="C90" s="65">
        <f t="shared" si="13"/>
        <v>-1736.5856905509368</v>
      </c>
      <c r="D90" s="65">
        <f t="shared" si="13"/>
        <v>-2787.1709207803246</v>
      </c>
      <c r="E90" s="65">
        <f t="shared" si="13"/>
        <v>-4033.8380082516137</v>
      </c>
      <c r="F90" s="65">
        <f t="shared" si="13"/>
        <v>-2790.835296338455</v>
      </c>
      <c r="G90" s="65">
        <f t="shared" si="13"/>
        <v>-2662.4891278564082</v>
      </c>
      <c r="H90" s="65">
        <f t="shared" si="13"/>
        <v>-3121.2481883803316</v>
      </c>
      <c r="I90" s="65">
        <f t="shared" si="13"/>
        <v>-922.77278460479897</v>
      </c>
      <c r="J90" s="65">
        <f t="shared" si="13"/>
        <v>-2668.6133431482594</v>
      </c>
      <c r="K90" s="65">
        <f t="shared" si="13"/>
        <v>-2721.8562719926731</v>
      </c>
      <c r="L90" s="65">
        <f t="shared" si="13"/>
        <v>-2432.662918295121</v>
      </c>
      <c r="M90" s="65">
        <f t="shared" si="13"/>
        <v>1832.5371424779605</v>
      </c>
      <c r="N90" s="65">
        <f t="shared" si="13"/>
        <v>10458.906503080274</v>
      </c>
    </row>
    <row r="91" spans="1:14" x14ac:dyDescent="0.2">
      <c r="C91" s="60"/>
      <c r="D91" s="66"/>
      <c r="E91" s="66"/>
      <c r="F91" s="66"/>
      <c r="G91" s="66"/>
      <c r="H91" s="66"/>
      <c r="I91" s="66"/>
      <c r="J91" s="66"/>
      <c r="K91" s="66"/>
      <c r="L91" s="66"/>
      <c r="M91" s="66"/>
      <c r="N91" s="66"/>
    </row>
    <row r="92" spans="1:14" x14ac:dyDescent="0.2">
      <c r="A92" s="265" t="s">
        <v>405</v>
      </c>
      <c r="B92" s="266"/>
      <c r="C92" s="266">
        <f>SUM(C46-C53-C83-C90)</f>
        <v>3569.3254670202105</v>
      </c>
      <c r="D92" s="266">
        <f t="shared" ref="D92:N92" si="14">SUM(D46-D53-D83-D90)</f>
        <v>4615.7885927296402</v>
      </c>
      <c r="E92" s="266">
        <f t="shared" si="14"/>
        <v>5871.2948321612503</v>
      </c>
      <c r="F92" s="266">
        <f t="shared" si="14"/>
        <v>4619.4529682877701</v>
      </c>
      <c r="G92" s="266">
        <f t="shared" si="14"/>
        <v>4499.9459517660443</v>
      </c>
      <c r="H92" s="266">
        <f t="shared" si="14"/>
        <v>4949.8658603296471</v>
      </c>
      <c r="I92" s="266">
        <f t="shared" si="14"/>
        <v>2751.3904565541143</v>
      </c>
      <c r="J92" s="266">
        <f t="shared" si="14"/>
        <v>4523.7484709785376</v>
      </c>
      <c r="K92" s="266">
        <f t="shared" si="14"/>
        <v>4550.4739439419882</v>
      </c>
      <c r="L92" s="266">
        <f t="shared" si="14"/>
        <v>4270.1197422047571</v>
      </c>
      <c r="M92" s="266">
        <f t="shared" si="14"/>
        <v>-3.9194705286452063</v>
      </c>
      <c r="N92" s="267">
        <f t="shared" si="14"/>
        <v>-8621.449679170637</v>
      </c>
    </row>
    <row r="93" spans="1:14" x14ac:dyDescent="0.2">
      <c r="C93" s="60"/>
      <c r="D93" s="66"/>
      <c r="E93" s="66"/>
      <c r="F93" s="66"/>
      <c r="G93" s="66"/>
      <c r="H93" s="66"/>
      <c r="I93" s="66"/>
      <c r="J93" s="66"/>
      <c r="K93" s="66"/>
      <c r="L93" s="66"/>
      <c r="M93" s="66"/>
      <c r="N93" s="66"/>
    </row>
    <row r="94" spans="1:14" x14ac:dyDescent="0.2">
      <c r="B94" s="86" t="str">
        <f>B5</f>
        <v>Total</v>
      </c>
      <c r="C94" s="86"/>
      <c r="D94" s="66"/>
      <c r="E94" s="66"/>
      <c r="F94" s="66"/>
      <c r="G94" s="66"/>
      <c r="H94" s="66"/>
      <c r="I94" s="66"/>
      <c r="J94" s="66"/>
      <c r="K94" s="66"/>
      <c r="L94" s="66"/>
      <c r="M94" s="66"/>
      <c r="N94" s="66"/>
    </row>
    <row r="95" spans="1:14" x14ac:dyDescent="0.2">
      <c r="A95" s="58" t="s">
        <v>31</v>
      </c>
      <c r="B95" s="60">
        <f>SUM(B46)</f>
        <v>159245</v>
      </c>
      <c r="C95" s="81"/>
      <c r="D95" s="66"/>
      <c r="E95" s="66"/>
      <c r="F95" s="66"/>
      <c r="G95" s="66"/>
      <c r="H95" s="66"/>
      <c r="I95" s="66"/>
      <c r="J95" s="66"/>
      <c r="K95" s="66"/>
      <c r="L95" s="66"/>
      <c r="M95" s="66"/>
      <c r="N95" s="66"/>
    </row>
    <row r="96" spans="1:14" x14ac:dyDescent="0.2">
      <c r="A96" s="58" t="s">
        <v>32</v>
      </c>
      <c r="B96" s="60">
        <f>-B53</f>
        <v>-126812.34278385933</v>
      </c>
      <c r="C96" s="81"/>
      <c r="D96" s="66"/>
      <c r="E96" s="66"/>
      <c r="F96" s="66"/>
      <c r="G96" s="66"/>
      <c r="H96" s="66"/>
      <c r="I96" s="66"/>
      <c r="J96" s="66"/>
      <c r="K96" s="66"/>
      <c r="L96" s="66"/>
      <c r="M96" s="66"/>
      <c r="N96" s="66"/>
    </row>
    <row r="97" spans="1:14" x14ac:dyDescent="0.2">
      <c r="A97" s="58" t="s">
        <v>33</v>
      </c>
      <c r="B97" s="60">
        <f>SUM(-B83)</f>
        <v>-10423.248984506652</v>
      </c>
      <c r="C97" s="81"/>
      <c r="D97" s="66"/>
      <c r="E97" s="66"/>
      <c r="F97" s="66"/>
      <c r="G97" s="66"/>
      <c r="H97" s="66"/>
      <c r="I97" s="66"/>
      <c r="J97" s="66"/>
      <c r="K97" s="66"/>
      <c r="L97" s="66"/>
      <c r="M97" s="66"/>
      <c r="N97" s="66"/>
    </row>
    <row r="98" spans="1:14" x14ac:dyDescent="0.2">
      <c r="A98" s="58" t="s">
        <v>182</v>
      </c>
      <c r="B98" s="60">
        <f>SUM(B90)</f>
        <v>-13586.628904640689</v>
      </c>
      <c r="C98" s="130"/>
      <c r="D98" s="89"/>
      <c r="E98" s="66"/>
      <c r="F98" s="66"/>
      <c r="G98" s="66"/>
      <c r="H98" s="66"/>
      <c r="I98" s="66"/>
      <c r="J98" s="66"/>
      <c r="K98" s="66"/>
      <c r="L98" s="66"/>
      <c r="M98" s="66"/>
      <c r="N98" s="66"/>
    </row>
    <row r="99" spans="1:14" x14ac:dyDescent="0.2">
      <c r="A99" s="87" t="s">
        <v>35</v>
      </c>
      <c r="B99" s="88">
        <f>SUM(B95:B98)</f>
        <v>8422.7793269933245</v>
      </c>
      <c r="C99" s="81"/>
      <c r="D99" s="66"/>
      <c r="E99" s="73"/>
      <c r="F99" s="66"/>
      <c r="G99" s="81"/>
      <c r="H99" s="81"/>
      <c r="I99" s="66"/>
      <c r="J99" s="66"/>
      <c r="K99" s="66"/>
      <c r="L99" s="66"/>
      <c r="M99" s="66"/>
      <c r="N99" s="66"/>
    </row>
    <row r="100" spans="1:14" x14ac:dyDescent="0.2">
      <c r="B100" s="142"/>
      <c r="C100" s="81"/>
      <c r="D100" s="66"/>
      <c r="E100" s="66"/>
      <c r="F100" s="66"/>
      <c r="G100" s="66"/>
      <c r="H100" s="66"/>
      <c r="I100" s="66"/>
      <c r="J100" s="66"/>
      <c r="K100" s="66"/>
      <c r="L100" s="66"/>
      <c r="M100" s="66"/>
      <c r="N100" s="66"/>
    </row>
    <row r="101" spans="1:14" x14ac:dyDescent="0.2">
      <c r="C101" s="60"/>
      <c r="D101" s="66"/>
      <c r="E101" s="66"/>
      <c r="F101" s="66"/>
      <c r="G101" s="66"/>
      <c r="H101" s="66"/>
      <c r="I101" s="66"/>
      <c r="J101" s="66"/>
      <c r="K101" s="66"/>
      <c r="L101" s="66"/>
      <c r="M101" s="66"/>
      <c r="N101" s="66"/>
    </row>
    <row r="102" spans="1:14" x14ac:dyDescent="0.2">
      <c r="A102" s="58"/>
      <c r="B102" s="60" t="s">
        <v>183</v>
      </c>
      <c r="C102" s="75">
        <f>SUM(C108+C121+C134+C147+C160+C173+C186+C199)</f>
        <v>2.5028160919540232</v>
      </c>
      <c r="D102" s="75">
        <f t="shared" ref="D102:N102" si="15">SUM(D108+D121+D134+D147+D160+D173+D186+D199)</f>
        <v>2.5028160919540232</v>
      </c>
      <c r="E102" s="75">
        <f t="shared" si="15"/>
        <v>2.5028160919540232</v>
      </c>
      <c r="F102" s="75">
        <f t="shared" si="15"/>
        <v>2.5028160919540232</v>
      </c>
      <c r="G102" s="75">
        <f t="shared" si="15"/>
        <v>2.5028160919540232</v>
      </c>
      <c r="H102" s="75">
        <f t="shared" si="15"/>
        <v>2.5028160919540232</v>
      </c>
      <c r="I102" s="75">
        <f t="shared" si="15"/>
        <v>2.5028160919540232</v>
      </c>
      <c r="J102" s="75">
        <f t="shared" si="15"/>
        <v>2.5028160919540232</v>
      </c>
      <c r="K102" s="75">
        <f t="shared" si="15"/>
        <v>2.5028160919540232</v>
      </c>
      <c r="L102" s="75">
        <f t="shared" si="15"/>
        <v>2.5028160919540232</v>
      </c>
      <c r="M102" s="75">
        <f t="shared" si="15"/>
        <v>2.5028160919540232</v>
      </c>
      <c r="N102" s="75">
        <f t="shared" si="15"/>
        <v>2.5028160919540232</v>
      </c>
    </row>
    <row r="103" spans="1:14" x14ac:dyDescent="0.2">
      <c r="A103" s="58"/>
      <c r="C103" s="73"/>
      <c r="D103" s="66"/>
      <c r="E103" s="66"/>
      <c r="F103" s="66"/>
      <c r="G103" s="66"/>
      <c r="H103" s="66"/>
      <c r="I103" s="66"/>
      <c r="J103" s="66"/>
      <c r="K103" s="66"/>
      <c r="L103" s="66"/>
      <c r="M103" s="66"/>
    </row>
    <row r="104" spans="1:14" x14ac:dyDescent="0.2">
      <c r="A104" s="116" t="s">
        <v>184</v>
      </c>
      <c r="B104" s="92"/>
      <c r="C104" s="25"/>
      <c r="D104" s="91"/>
      <c r="E104" s="91"/>
      <c r="F104" s="91"/>
      <c r="G104" s="91"/>
      <c r="H104" s="91"/>
      <c r="I104" s="91"/>
      <c r="J104" s="91"/>
      <c r="K104" s="91"/>
      <c r="L104" s="91"/>
      <c r="M104" s="91"/>
      <c r="N104" s="27"/>
    </row>
    <row r="105" spans="1:14" x14ac:dyDescent="0.2">
      <c r="C105" s="89" t="str">
        <f t="shared" ref="C105:N105" si="16">C5</f>
        <v>January</v>
      </c>
      <c r="D105" s="89" t="str">
        <f t="shared" si="16"/>
        <v>February</v>
      </c>
      <c r="E105" s="89" t="str">
        <f t="shared" si="16"/>
        <v>March</v>
      </c>
      <c r="F105" s="89" t="str">
        <f t="shared" si="16"/>
        <v>April</v>
      </c>
      <c r="G105" s="89" t="str">
        <f t="shared" si="16"/>
        <v>May</v>
      </c>
      <c r="H105" s="89" t="str">
        <f t="shared" si="16"/>
        <v>June</v>
      </c>
      <c r="I105" s="89" t="str">
        <f t="shared" si="16"/>
        <v>July</v>
      </c>
      <c r="J105" s="89" t="str">
        <f t="shared" si="16"/>
        <v>August</v>
      </c>
      <c r="K105" s="89" t="str">
        <f t="shared" si="16"/>
        <v>September</v>
      </c>
      <c r="L105" s="89" t="str">
        <f t="shared" si="16"/>
        <v>October</v>
      </c>
      <c r="M105" s="89" t="str">
        <f t="shared" si="16"/>
        <v>November</v>
      </c>
      <c r="N105" s="89" t="str">
        <f t="shared" si="16"/>
        <v>December</v>
      </c>
    </row>
    <row r="106" spans="1:14" x14ac:dyDescent="0.2">
      <c r="C106" s="72">
        <v>31</v>
      </c>
      <c r="D106" s="72">
        <v>31</v>
      </c>
      <c r="E106" s="72">
        <v>30</v>
      </c>
      <c r="F106" s="72">
        <v>31</v>
      </c>
      <c r="G106" s="72">
        <v>30</v>
      </c>
      <c r="H106" s="72">
        <v>31</v>
      </c>
      <c r="I106" s="72">
        <v>31</v>
      </c>
      <c r="J106" s="72">
        <v>28</v>
      </c>
      <c r="K106" s="72">
        <v>31</v>
      </c>
      <c r="L106" s="72">
        <v>30</v>
      </c>
      <c r="M106" s="72">
        <v>31</v>
      </c>
      <c r="N106" s="71">
        <v>30</v>
      </c>
    </row>
    <row r="107" spans="1:14" x14ac:dyDescent="0.2">
      <c r="B107" s="89" t="s">
        <v>185</v>
      </c>
      <c r="C107" s="78">
        <v>1</v>
      </c>
      <c r="D107" s="78">
        <v>0</v>
      </c>
      <c r="E107" s="78">
        <v>1</v>
      </c>
      <c r="F107" s="78">
        <f>F94</f>
        <v>0</v>
      </c>
      <c r="G107" s="78">
        <v>2</v>
      </c>
      <c r="H107" s="78">
        <f>H94</f>
        <v>0</v>
      </c>
      <c r="I107" s="78">
        <v>2</v>
      </c>
      <c r="J107" s="78">
        <v>1</v>
      </c>
      <c r="K107" s="78">
        <v>0</v>
      </c>
      <c r="L107" s="78">
        <v>0</v>
      </c>
      <c r="M107" s="78">
        <v>1</v>
      </c>
      <c r="N107" s="78">
        <f>N94</f>
        <v>0</v>
      </c>
    </row>
    <row r="108" spans="1:14" x14ac:dyDescent="0.2">
      <c r="B108" s="89" t="s">
        <v>44</v>
      </c>
      <c r="C108" s="49">
        <f>SUM('Program Support Allocations'!$C$7+'Program Support Allocations'!$C$8)</f>
        <v>9.0977011494252871E-2</v>
      </c>
      <c r="D108" s="49">
        <f>SUM('Program Support Allocations'!$C$7+'Program Support Allocations'!$C$8)</f>
        <v>9.0977011494252871E-2</v>
      </c>
      <c r="E108" s="49">
        <f>SUM('Program Support Allocations'!$C$7+'Program Support Allocations'!$C$8)</f>
        <v>9.0977011494252871E-2</v>
      </c>
      <c r="F108" s="49">
        <f>SUM('Program Support Allocations'!$C$7+'Program Support Allocations'!$C$8)</f>
        <v>9.0977011494252871E-2</v>
      </c>
      <c r="G108" s="49">
        <f>SUM('Program Support Allocations'!$C$7+'Program Support Allocations'!$C$8)</f>
        <v>9.0977011494252871E-2</v>
      </c>
      <c r="H108" s="49">
        <f>SUM('Program Support Allocations'!$C$7+'Program Support Allocations'!$C$8)</f>
        <v>9.0977011494252871E-2</v>
      </c>
      <c r="I108" s="49">
        <f>SUM('Program Support Allocations'!$C$7+'Program Support Allocations'!$C$8)</f>
        <v>9.0977011494252871E-2</v>
      </c>
      <c r="J108" s="49">
        <f>SUM('Program Support Allocations'!$C$7+'Program Support Allocations'!$C$8)</f>
        <v>9.0977011494252871E-2</v>
      </c>
      <c r="K108" s="49">
        <f>SUM('Program Support Allocations'!$C$7+'Program Support Allocations'!$C$8)</f>
        <v>9.0977011494252871E-2</v>
      </c>
      <c r="L108" s="49">
        <f>SUM('Program Support Allocations'!$C$7+'Program Support Allocations'!$C$8)</f>
        <v>9.0977011494252871E-2</v>
      </c>
      <c r="M108" s="49">
        <f>SUM('Program Support Allocations'!$C$7+'Program Support Allocations'!$C$8)</f>
        <v>9.0977011494252871E-2</v>
      </c>
      <c r="N108" s="49">
        <f>SUM('Program Support Allocations'!$C$7+'Program Support Allocations'!$C$8)</f>
        <v>9.0977011494252871E-2</v>
      </c>
    </row>
    <row r="109" spans="1:14" x14ac:dyDescent="0.2">
      <c r="B109" s="89" t="s">
        <v>186</v>
      </c>
      <c r="C109" s="53">
        <f>SUM(174*C108)</f>
        <v>15.83</v>
      </c>
      <c r="D109" s="53">
        <f t="shared" ref="D109:N109" si="17">SUM(174*D108)</f>
        <v>15.83</v>
      </c>
      <c r="E109" s="53">
        <f t="shared" si="17"/>
        <v>15.83</v>
      </c>
      <c r="F109" s="53">
        <f t="shared" si="17"/>
        <v>15.83</v>
      </c>
      <c r="G109" s="53">
        <f t="shared" si="17"/>
        <v>15.83</v>
      </c>
      <c r="H109" s="53">
        <f t="shared" si="17"/>
        <v>15.83</v>
      </c>
      <c r="I109" s="53">
        <f t="shared" si="17"/>
        <v>15.83</v>
      </c>
      <c r="J109" s="53">
        <f t="shared" si="17"/>
        <v>15.83</v>
      </c>
      <c r="K109" s="53">
        <f t="shared" si="17"/>
        <v>15.83</v>
      </c>
      <c r="L109" s="53">
        <f t="shared" si="17"/>
        <v>15.83</v>
      </c>
      <c r="M109" s="53">
        <f t="shared" si="17"/>
        <v>15.83</v>
      </c>
      <c r="N109" s="53">
        <f t="shared" si="17"/>
        <v>15.83</v>
      </c>
    </row>
    <row r="110" spans="1:14" x14ac:dyDescent="0.2">
      <c r="A110" s="59" t="s">
        <v>349</v>
      </c>
      <c r="B110" s="78" t="s">
        <v>348</v>
      </c>
      <c r="C110" s="66">
        <f>SUM(C109*B111)</f>
        <v>249.32249999999999</v>
      </c>
      <c r="D110" s="66">
        <f t="shared" ref="D110:N110" si="18">SUM(2080*$B$111/365*D106)*D108</f>
        <v>253.13044874822864</v>
      </c>
      <c r="E110" s="66">
        <f t="shared" si="18"/>
        <v>244.9649504015116</v>
      </c>
      <c r="F110" s="66">
        <f t="shared" si="18"/>
        <v>253.13044874822864</v>
      </c>
      <c r="G110" s="66">
        <f t="shared" si="18"/>
        <v>244.9649504015116</v>
      </c>
      <c r="H110" s="66">
        <f t="shared" si="18"/>
        <v>253.13044874822864</v>
      </c>
      <c r="I110" s="66">
        <f t="shared" si="18"/>
        <v>253.13044874822864</v>
      </c>
      <c r="J110" s="66">
        <f t="shared" si="18"/>
        <v>228.63395370807751</v>
      </c>
      <c r="K110" s="66">
        <f t="shared" si="18"/>
        <v>253.13044874822864</v>
      </c>
      <c r="L110" s="66">
        <f t="shared" si="18"/>
        <v>244.9649504015116</v>
      </c>
      <c r="M110" s="66">
        <f t="shared" si="18"/>
        <v>253.13044874822864</v>
      </c>
      <c r="N110" s="66">
        <f t="shared" si="18"/>
        <v>244.9649504015116</v>
      </c>
    </row>
    <row r="111" spans="1:14" x14ac:dyDescent="0.2">
      <c r="A111" s="59" t="s">
        <v>188</v>
      </c>
      <c r="B111" s="74">
        <v>15.75</v>
      </c>
      <c r="C111" s="66">
        <f>SUM(C110)*'Data Links'!$B$15</f>
        <v>19.073171249999998</v>
      </c>
      <c r="D111" s="66">
        <f>SUM(D110)*'Data Links'!$B$15</f>
        <v>19.36447932923949</v>
      </c>
      <c r="E111" s="66">
        <f>SUM(E110)*'Data Links'!$B$15</f>
        <v>18.739818705715638</v>
      </c>
      <c r="F111" s="66">
        <f>SUM(F110)*'Data Links'!$B$15</f>
        <v>19.36447932923949</v>
      </c>
      <c r="G111" s="66">
        <f>SUM(G110)*'Data Links'!$B$15</f>
        <v>18.739818705715638</v>
      </c>
      <c r="H111" s="66">
        <f>SUM(H110)*'Data Links'!$B$15</f>
        <v>19.36447932923949</v>
      </c>
      <c r="I111" s="66">
        <f>SUM(I110)*'Data Links'!$B$15</f>
        <v>19.36447932923949</v>
      </c>
      <c r="J111" s="66">
        <f>SUM(J110)*'Data Links'!$B$15</f>
        <v>17.490497458667928</v>
      </c>
      <c r="K111" s="66">
        <f>SUM(K110)*'Data Links'!$B$15</f>
        <v>19.36447932923949</v>
      </c>
      <c r="L111" s="66">
        <f>SUM(L110)*'Data Links'!$B$15</f>
        <v>18.739818705715638</v>
      </c>
      <c r="M111" s="66">
        <f>SUM(M110)*'Data Links'!$B$15</f>
        <v>19.36447932923949</v>
      </c>
      <c r="N111" s="66">
        <f>SUM(N110)*'Data Links'!$B$15</f>
        <v>18.739818705715638</v>
      </c>
    </row>
    <row r="112" spans="1:14" x14ac:dyDescent="0.2">
      <c r="A112" s="59" t="s">
        <v>189</v>
      </c>
      <c r="B112" s="74">
        <v>14.66</v>
      </c>
      <c r="C112" s="66">
        <f>SUM(C110*'Data Links'!$B$13)</f>
        <v>1.495935</v>
      </c>
      <c r="D112" s="66">
        <f>SUM(D110*'Data Links'!$B$13)</f>
        <v>1.5187826924893719</v>
      </c>
      <c r="E112" s="66">
        <f>SUM(E110*'Data Links'!$B$13)</f>
        <v>1.4697897024090696</v>
      </c>
      <c r="F112" s="66">
        <f>SUM(F110*'Data Links'!$B$13)</f>
        <v>1.5187826924893719</v>
      </c>
      <c r="G112" s="66">
        <f>SUM(G110*'Data Links'!$B$13)</f>
        <v>1.4697897024090696</v>
      </c>
      <c r="H112" s="66">
        <f>SUM(H110*'Data Links'!$B$13)</f>
        <v>1.5187826924893719</v>
      </c>
      <c r="I112" s="66">
        <f>SUM(I110*'Data Links'!$B$13)</f>
        <v>1.5187826924893719</v>
      </c>
      <c r="J112" s="66">
        <f>SUM(J110*'Data Links'!$B$13)</f>
        <v>1.3718037222484651</v>
      </c>
      <c r="K112" s="66">
        <f>SUM(K110*'Data Links'!$B$13)</f>
        <v>1.5187826924893719</v>
      </c>
      <c r="L112" s="66">
        <f>SUM(L110*'Data Links'!$B$13)</f>
        <v>1.4697897024090696</v>
      </c>
      <c r="M112" s="66">
        <f>SUM(M110*'Data Links'!$B$13)</f>
        <v>1.5187826924893719</v>
      </c>
      <c r="N112" s="66">
        <f>SUM(N110*'Data Links'!$B$13)</f>
        <v>1.4697897024090696</v>
      </c>
    </row>
    <row r="113" spans="1:14" x14ac:dyDescent="0.2">
      <c r="A113" s="59" t="s">
        <v>190</v>
      </c>
      <c r="C113" s="66">
        <f>SUM(C109*'Data Links'!$B$8)</f>
        <v>1.2323655</v>
      </c>
      <c r="D113" s="66">
        <f>SUM(D109*'Data Links'!$B$8)</f>
        <v>1.2323655</v>
      </c>
      <c r="E113" s="66">
        <f>SUM(E109*'Data Links'!$B$8)</f>
        <v>1.2323655</v>
      </c>
      <c r="F113" s="66">
        <f>SUM(F109*'Data Links'!$B$8)</f>
        <v>1.2323655</v>
      </c>
      <c r="G113" s="66">
        <f>SUM(G109*'Data Links'!$B$8)</f>
        <v>1.2323655</v>
      </c>
      <c r="H113" s="66">
        <f>SUM(H109*'Data Links'!$B$8)</f>
        <v>1.2323655</v>
      </c>
      <c r="I113" s="66">
        <f>SUM(I109*'Data Links'!$B$8)</f>
        <v>1.2323655</v>
      </c>
      <c r="J113" s="66">
        <f>SUM(J109*'Data Links'!$B$8)</f>
        <v>1.2323655</v>
      </c>
      <c r="K113" s="66">
        <f>SUM(K109*'Data Links'!$B$8)</f>
        <v>1.2323655</v>
      </c>
      <c r="L113" s="66">
        <f>SUM(L109*'Data Links'!$B$8)</f>
        <v>1.2323655</v>
      </c>
      <c r="M113" s="66">
        <f>SUM(M109*'Data Links'!$B$8)</f>
        <v>1.2323655</v>
      </c>
      <c r="N113" s="66">
        <f>SUM(N109*'Data Links'!$B$8)</f>
        <v>1.2323655</v>
      </c>
    </row>
    <row r="114" spans="1:14" x14ac:dyDescent="0.2">
      <c r="A114" s="59" t="s">
        <v>191</v>
      </c>
      <c r="C114" s="66">
        <f>SUM('All Employees'!$P$47)*'WH - PERM'!C108</f>
        <v>36.082192379310342</v>
      </c>
      <c r="D114" s="66">
        <f>SUM('All Employees'!$P$47)*'WH - PERM'!D108</f>
        <v>36.082192379310342</v>
      </c>
      <c r="E114" s="66">
        <f>SUM('All Employees'!$P$47)*'WH - PERM'!E108</f>
        <v>36.082192379310342</v>
      </c>
      <c r="F114" s="66">
        <f>SUM('All Employees'!$P$47)*'WH - PERM'!F108</f>
        <v>36.082192379310342</v>
      </c>
      <c r="G114" s="66">
        <f>SUM('All Employees'!$P$47)*'WH - PERM'!G108</f>
        <v>36.082192379310342</v>
      </c>
      <c r="H114" s="66">
        <f>SUM('All Employees'!$P$47)*'WH - PERM'!H108</f>
        <v>36.082192379310342</v>
      </c>
      <c r="I114" s="66">
        <f>SUM('All Employees'!$P$47)*'WH - PERM'!I108</f>
        <v>36.082192379310342</v>
      </c>
      <c r="J114" s="66">
        <f>SUM('All Employees'!$P$47)*'WH - PERM'!J108</f>
        <v>36.082192379310342</v>
      </c>
      <c r="K114" s="66">
        <f>SUM('All Employees'!$P$47)*'WH - PERM'!K108</f>
        <v>36.082192379310342</v>
      </c>
      <c r="L114" s="66">
        <f>SUM('All Employees'!$P$47)*'WH - PERM'!L108</f>
        <v>36.082192379310342</v>
      </c>
      <c r="M114" s="66">
        <f>SUM('All Employees'!$P$47)*'WH - PERM'!M108</f>
        <v>36.082192379310342</v>
      </c>
      <c r="N114" s="66">
        <f>SUM('All Employees'!$P$47)*'WH - PERM'!N108</f>
        <v>36.082192379310342</v>
      </c>
    </row>
    <row r="115" spans="1:14" x14ac:dyDescent="0.2">
      <c r="A115" s="59" t="s">
        <v>192</v>
      </c>
      <c r="C115" s="66"/>
      <c r="D115" s="66"/>
      <c r="E115" s="66"/>
      <c r="F115" s="66"/>
      <c r="G115" s="66"/>
      <c r="H115" s="66"/>
      <c r="I115" s="66"/>
      <c r="J115" s="66"/>
      <c r="K115" s="66"/>
      <c r="L115" s="66"/>
      <c r="M115" s="66"/>
      <c r="N115" s="66"/>
    </row>
    <row r="116" spans="1:14" s="58" customFormat="1" x14ac:dyDescent="0.2">
      <c r="A116" s="58" t="s">
        <v>144</v>
      </c>
      <c r="B116" s="60"/>
      <c r="C116" s="60">
        <f t="shared" ref="C116:N116" si="19">SUM(C110:C115)</f>
        <v>307.20616412931031</v>
      </c>
      <c r="D116" s="60">
        <f t="shared" si="19"/>
        <v>311.3282686492679</v>
      </c>
      <c r="E116" s="60">
        <f t="shared" si="19"/>
        <v>302.48911668894669</v>
      </c>
      <c r="F116" s="60">
        <f t="shared" si="19"/>
        <v>311.3282686492679</v>
      </c>
      <c r="G116" s="60">
        <f t="shared" si="19"/>
        <v>302.48911668894669</v>
      </c>
      <c r="H116" s="60">
        <f t="shared" si="19"/>
        <v>311.3282686492679</v>
      </c>
      <c r="I116" s="60">
        <f t="shared" si="19"/>
        <v>311.3282686492679</v>
      </c>
      <c r="J116" s="60">
        <f t="shared" si="19"/>
        <v>284.81081276830423</v>
      </c>
      <c r="K116" s="60">
        <f t="shared" si="19"/>
        <v>311.3282686492679</v>
      </c>
      <c r="L116" s="60">
        <f t="shared" si="19"/>
        <v>302.48911668894669</v>
      </c>
      <c r="M116" s="60">
        <f t="shared" si="19"/>
        <v>311.3282686492679</v>
      </c>
      <c r="N116" s="60">
        <f t="shared" si="19"/>
        <v>302.48911668894669</v>
      </c>
    </row>
    <row r="117" spans="1:14" x14ac:dyDescent="0.2">
      <c r="C117" s="60"/>
      <c r="D117" s="66"/>
      <c r="E117" s="66"/>
      <c r="F117" s="66"/>
      <c r="G117" s="66"/>
      <c r="H117" s="66"/>
      <c r="I117" s="66"/>
      <c r="J117" s="66"/>
      <c r="K117" s="66"/>
      <c r="L117" s="66"/>
      <c r="M117" s="66"/>
      <c r="N117" s="66"/>
    </row>
    <row r="118" spans="1:14" x14ac:dyDescent="0.2">
      <c r="C118" s="89" t="str">
        <f>C105</f>
        <v>January</v>
      </c>
      <c r="D118" s="89" t="str">
        <f t="shared" ref="D118:N118" si="20">D105</f>
        <v>February</v>
      </c>
      <c r="E118" s="89" t="str">
        <f t="shared" si="20"/>
        <v>March</v>
      </c>
      <c r="F118" s="89" t="str">
        <f t="shared" si="20"/>
        <v>April</v>
      </c>
      <c r="G118" s="89" t="str">
        <f t="shared" si="20"/>
        <v>May</v>
      </c>
      <c r="H118" s="89" t="str">
        <f t="shared" si="20"/>
        <v>June</v>
      </c>
      <c r="I118" s="89" t="str">
        <f t="shared" si="20"/>
        <v>July</v>
      </c>
      <c r="J118" s="89" t="str">
        <f t="shared" si="20"/>
        <v>August</v>
      </c>
      <c r="K118" s="89" t="str">
        <f t="shared" si="20"/>
        <v>September</v>
      </c>
      <c r="L118" s="89" t="str">
        <f t="shared" si="20"/>
        <v>October</v>
      </c>
      <c r="M118" s="89" t="str">
        <f t="shared" si="20"/>
        <v>November</v>
      </c>
      <c r="N118" s="89" t="str">
        <f t="shared" si="20"/>
        <v>December</v>
      </c>
    </row>
    <row r="119" spans="1:14" x14ac:dyDescent="0.2">
      <c r="C119" s="72">
        <v>31</v>
      </c>
      <c r="D119" s="72">
        <v>31</v>
      </c>
      <c r="E119" s="72">
        <v>30</v>
      </c>
      <c r="F119" s="72">
        <v>31</v>
      </c>
      <c r="G119" s="72">
        <v>30</v>
      </c>
      <c r="H119" s="72">
        <v>31</v>
      </c>
      <c r="I119" s="72">
        <v>31</v>
      </c>
      <c r="J119" s="72">
        <v>28</v>
      </c>
      <c r="K119" s="72">
        <v>31</v>
      </c>
      <c r="L119" s="72">
        <v>30</v>
      </c>
      <c r="M119" s="72">
        <v>31</v>
      </c>
      <c r="N119" s="71">
        <v>30</v>
      </c>
    </row>
    <row r="120" spans="1:14" x14ac:dyDescent="0.2">
      <c r="B120" s="89" t="s">
        <v>185</v>
      </c>
      <c r="C120" s="78">
        <v>1</v>
      </c>
      <c r="D120" s="78">
        <v>0</v>
      </c>
      <c r="E120" s="78">
        <v>1</v>
      </c>
      <c r="F120" s="78">
        <f>F107</f>
        <v>0</v>
      </c>
      <c r="G120" s="78">
        <v>2</v>
      </c>
      <c r="H120" s="78">
        <f>H107</f>
        <v>0</v>
      </c>
      <c r="I120" s="78">
        <v>2</v>
      </c>
      <c r="J120" s="78">
        <v>1</v>
      </c>
      <c r="K120" s="78">
        <v>0</v>
      </c>
      <c r="L120" s="78">
        <v>0</v>
      </c>
      <c r="M120" s="78">
        <v>1</v>
      </c>
      <c r="N120" s="78">
        <f>N107</f>
        <v>0</v>
      </c>
    </row>
    <row r="121" spans="1:14" x14ac:dyDescent="0.2">
      <c r="B121" s="89" t="s">
        <v>44</v>
      </c>
      <c r="C121" s="49">
        <f>C108</f>
        <v>9.0977011494252871E-2</v>
      </c>
      <c r="D121" s="49">
        <f t="shared" ref="D121:N121" si="21">D108</f>
        <v>9.0977011494252871E-2</v>
      </c>
      <c r="E121" s="49">
        <f t="shared" si="21"/>
        <v>9.0977011494252871E-2</v>
      </c>
      <c r="F121" s="49">
        <f t="shared" si="21"/>
        <v>9.0977011494252871E-2</v>
      </c>
      <c r="G121" s="49">
        <f t="shared" si="21"/>
        <v>9.0977011494252871E-2</v>
      </c>
      <c r="H121" s="49">
        <f t="shared" si="21"/>
        <v>9.0977011494252871E-2</v>
      </c>
      <c r="I121" s="49">
        <f t="shared" si="21"/>
        <v>9.0977011494252871E-2</v>
      </c>
      <c r="J121" s="49">
        <f t="shared" si="21"/>
        <v>9.0977011494252871E-2</v>
      </c>
      <c r="K121" s="49">
        <f t="shared" si="21"/>
        <v>9.0977011494252871E-2</v>
      </c>
      <c r="L121" s="49">
        <f t="shared" si="21"/>
        <v>9.0977011494252871E-2</v>
      </c>
      <c r="M121" s="49">
        <f t="shared" si="21"/>
        <v>9.0977011494252871E-2</v>
      </c>
      <c r="N121" s="49">
        <f t="shared" si="21"/>
        <v>9.0977011494252871E-2</v>
      </c>
    </row>
    <row r="122" spans="1:14" x14ac:dyDescent="0.2">
      <c r="B122" s="89" t="s">
        <v>186</v>
      </c>
      <c r="C122" s="53">
        <f>SUM(174*C121)</f>
        <v>15.83</v>
      </c>
      <c r="D122" s="53">
        <f t="shared" ref="D122:N122" si="22">SUM(174*D121)</f>
        <v>15.83</v>
      </c>
      <c r="E122" s="53">
        <f t="shared" si="22"/>
        <v>15.83</v>
      </c>
      <c r="F122" s="53">
        <f t="shared" si="22"/>
        <v>15.83</v>
      </c>
      <c r="G122" s="53">
        <f t="shared" si="22"/>
        <v>15.83</v>
      </c>
      <c r="H122" s="53">
        <f t="shared" si="22"/>
        <v>15.83</v>
      </c>
      <c r="I122" s="53">
        <f t="shared" si="22"/>
        <v>15.83</v>
      </c>
      <c r="J122" s="53">
        <f t="shared" si="22"/>
        <v>15.83</v>
      </c>
      <c r="K122" s="53">
        <f t="shared" si="22"/>
        <v>15.83</v>
      </c>
      <c r="L122" s="53">
        <f t="shared" si="22"/>
        <v>15.83</v>
      </c>
      <c r="M122" s="53">
        <f t="shared" si="22"/>
        <v>15.83</v>
      </c>
      <c r="N122" s="53">
        <f t="shared" si="22"/>
        <v>15.83</v>
      </c>
    </row>
    <row r="123" spans="1:14" x14ac:dyDescent="0.2">
      <c r="A123" s="59" t="s">
        <v>557</v>
      </c>
      <c r="B123" s="78" t="s">
        <v>187</v>
      </c>
      <c r="C123" s="66">
        <f>SUM(C122*$B$124)</f>
        <v>290.6388</v>
      </c>
      <c r="D123" s="66">
        <f t="shared" ref="D123:N123" si="23">SUM(D122*$B$124)</f>
        <v>290.6388</v>
      </c>
      <c r="E123" s="66">
        <f t="shared" si="23"/>
        <v>290.6388</v>
      </c>
      <c r="F123" s="66">
        <f t="shared" si="23"/>
        <v>290.6388</v>
      </c>
      <c r="G123" s="66">
        <f t="shared" si="23"/>
        <v>290.6388</v>
      </c>
      <c r="H123" s="66">
        <f t="shared" si="23"/>
        <v>290.6388</v>
      </c>
      <c r="I123" s="66">
        <f t="shared" si="23"/>
        <v>290.6388</v>
      </c>
      <c r="J123" s="66">
        <f t="shared" si="23"/>
        <v>290.6388</v>
      </c>
      <c r="K123" s="66">
        <f t="shared" si="23"/>
        <v>290.6388</v>
      </c>
      <c r="L123" s="66">
        <f t="shared" si="23"/>
        <v>290.6388</v>
      </c>
      <c r="M123" s="66">
        <f t="shared" si="23"/>
        <v>290.6388</v>
      </c>
      <c r="N123" s="66">
        <f t="shared" si="23"/>
        <v>290.6388</v>
      </c>
    </row>
    <row r="124" spans="1:14" x14ac:dyDescent="0.2">
      <c r="A124" s="59" t="s">
        <v>188</v>
      </c>
      <c r="B124" s="74">
        <v>18.36</v>
      </c>
      <c r="C124" s="66">
        <f>SUM(C123)*'Data Links'!$B$15</f>
        <v>22.2338682</v>
      </c>
      <c r="D124" s="66">
        <f>SUM(D123)*'Data Links'!$B$15</f>
        <v>22.2338682</v>
      </c>
      <c r="E124" s="66">
        <f>SUM(E123)*'Data Links'!$B$15</f>
        <v>22.2338682</v>
      </c>
      <c r="F124" s="66">
        <f>SUM(F123)*'Data Links'!$B$15</f>
        <v>22.2338682</v>
      </c>
      <c r="G124" s="66">
        <f>SUM(G123)*'Data Links'!$B$15</f>
        <v>22.2338682</v>
      </c>
      <c r="H124" s="66">
        <f>SUM(H123)*'Data Links'!$B$15</f>
        <v>22.2338682</v>
      </c>
      <c r="I124" s="66">
        <f>SUM(I123)*'Data Links'!$B$15</f>
        <v>22.2338682</v>
      </c>
      <c r="J124" s="66">
        <f>SUM(J123)*'Data Links'!$B$15</f>
        <v>22.2338682</v>
      </c>
      <c r="K124" s="66">
        <f>SUM(K123)*'Data Links'!$B$15</f>
        <v>22.2338682</v>
      </c>
      <c r="L124" s="66">
        <f>SUM(L123)*'Data Links'!$B$15</f>
        <v>22.2338682</v>
      </c>
      <c r="M124" s="66">
        <f>SUM(M123)*'Data Links'!$B$15</f>
        <v>22.2338682</v>
      </c>
      <c r="N124" s="66">
        <f>SUM(N123)*'Data Links'!$B$15</f>
        <v>22.2338682</v>
      </c>
    </row>
    <row r="125" spans="1:14" x14ac:dyDescent="0.2">
      <c r="A125" s="59" t="s">
        <v>189</v>
      </c>
      <c r="C125" s="66">
        <f>SUM(C123*'Data Links'!$B$13)</f>
        <v>1.7438328000000001</v>
      </c>
      <c r="D125" s="66">
        <f>SUM(D123*'Data Links'!$B$13)</f>
        <v>1.7438328000000001</v>
      </c>
      <c r="E125" s="66">
        <f>SUM(E123*'Data Links'!$B$13)</f>
        <v>1.7438328000000001</v>
      </c>
      <c r="F125" s="66">
        <f>SUM(F123*'Data Links'!$B$13)</f>
        <v>1.7438328000000001</v>
      </c>
      <c r="G125" s="66">
        <f>SUM(G123*'Data Links'!$B$13)</f>
        <v>1.7438328000000001</v>
      </c>
      <c r="H125" s="66">
        <f>SUM(H123*'Data Links'!$B$13)</f>
        <v>1.7438328000000001</v>
      </c>
      <c r="I125" s="66">
        <f>SUM(I123*'Data Links'!$B$13)</f>
        <v>1.7438328000000001</v>
      </c>
      <c r="J125" s="66">
        <f>SUM(J123*'Data Links'!$B$13)</f>
        <v>1.7438328000000001</v>
      </c>
      <c r="K125" s="66">
        <f>SUM(K123*'Data Links'!$B$13)</f>
        <v>1.7438328000000001</v>
      </c>
      <c r="L125" s="66">
        <f>SUM(L123*'Data Links'!$B$13)</f>
        <v>1.7438328000000001</v>
      </c>
      <c r="M125" s="66">
        <f>SUM(M123*'Data Links'!$B$13)</f>
        <v>1.7438328000000001</v>
      </c>
      <c r="N125" s="66">
        <f>SUM(N123*'Data Links'!$B$13)</f>
        <v>1.7438328000000001</v>
      </c>
    </row>
    <row r="126" spans="1:14" x14ac:dyDescent="0.2">
      <c r="A126" s="59" t="s">
        <v>190</v>
      </c>
      <c r="C126" s="66">
        <f>SUM(C122*'Data Links'!$B$8)</f>
        <v>1.2323655</v>
      </c>
      <c r="D126" s="66">
        <f>SUM(D122*'Data Links'!$B$8)</f>
        <v>1.2323655</v>
      </c>
      <c r="E126" s="66">
        <f>SUM(E122*'Data Links'!$B$8)</f>
        <v>1.2323655</v>
      </c>
      <c r="F126" s="66">
        <f>SUM(F122*'Data Links'!$B$8)</f>
        <v>1.2323655</v>
      </c>
      <c r="G126" s="66">
        <f>SUM(G122*'Data Links'!$B$8)</f>
        <v>1.2323655</v>
      </c>
      <c r="H126" s="66">
        <f>SUM(H122*'Data Links'!$B$8)</f>
        <v>1.2323655</v>
      </c>
      <c r="I126" s="66">
        <f>SUM(I122*'Data Links'!$B$8)</f>
        <v>1.2323655</v>
      </c>
      <c r="J126" s="66">
        <f>SUM(J122*'Data Links'!$B$8)</f>
        <v>1.2323655</v>
      </c>
      <c r="K126" s="66">
        <f>SUM(K122*'Data Links'!$B$8)</f>
        <v>1.2323655</v>
      </c>
      <c r="L126" s="66">
        <f>SUM(L122*'Data Links'!$B$8)</f>
        <v>1.2323655</v>
      </c>
      <c r="M126" s="66">
        <f>SUM(M122*'Data Links'!$B$8)</f>
        <v>1.2323655</v>
      </c>
      <c r="N126" s="66">
        <f>SUM(N122*'Data Links'!$B$8)</f>
        <v>1.2323655</v>
      </c>
    </row>
    <row r="127" spans="1:14" x14ac:dyDescent="0.2">
      <c r="A127" s="59" t="s">
        <v>191</v>
      </c>
      <c r="C127" s="66">
        <f>SUM('All Employees'!$P$50)*'WH - PERM'!C121</f>
        <v>38.756206896551724</v>
      </c>
      <c r="D127" s="66">
        <f>SUM('All Employees'!$P$50)*'WH - PERM'!D121</f>
        <v>38.756206896551724</v>
      </c>
      <c r="E127" s="66">
        <f>SUM('All Employees'!$P$50)*'WH - PERM'!E121</f>
        <v>38.756206896551724</v>
      </c>
      <c r="F127" s="66">
        <f>SUM('All Employees'!$P$50)*'WH - PERM'!F121</f>
        <v>38.756206896551724</v>
      </c>
      <c r="G127" s="66">
        <f>SUM('All Employees'!$P$50)*'WH - PERM'!G121</f>
        <v>38.756206896551724</v>
      </c>
      <c r="H127" s="66">
        <f>SUM('All Employees'!$P$50)*'WH - PERM'!H121</f>
        <v>38.756206896551724</v>
      </c>
      <c r="I127" s="66">
        <f>SUM('All Employees'!$P$50)*'WH - PERM'!I121</f>
        <v>38.756206896551724</v>
      </c>
      <c r="J127" s="66">
        <f>SUM('All Employees'!$P$50)*'WH - PERM'!J121</f>
        <v>38.756206896551724</v>
      </c>
      <c r="K127" s="66">
        <f>SUM('All Employees'!$P$50)*'WH - PERM'!K121</f>
        <v>38.756206896551724</v>
      </c>
      <c r="L127" s="66">
        <f>SUM('All Employees'!$P$50)*'WH - PERM'!L121</f>
        <v>38.756206896551724</v>
      </c>
      <c r="M127" s="66">
        <f>SUM('All Employees'!$P$50)*'WH - PERM'!M121</f>
        <v>38.756206896551724</v>
      </c>
      <c r="N127" s="66">
        <f>SUM('All Employees'!$P$50)*'WH - PERM'!N121</f>
        <v>38.756206896551724</v>
      </c>
    </row>
    <row r="128" spans="1:14" x14ac:dyDescent="0.2">
      <c r="A128" s="59" t="s">
        <v>192</v>
      </c>
      <c r="C128" s="66"/>
      <c r="D128" s="66"/>
      <c r="E128" s="66"/>
      <c r="F128" s="66"/>
      <c r="G128" s="66"/>
      <c r="H128" s="66"/>
      <c r="I128" s="66"/>
      <c r="J128" s="66"/>
      <c r="K128" s="66"/>
      <c r="L128" s="66"/>
      <c r="M128" s="66"/>
      <c r="N128" s="66"/>
    </row>
    <row r="129" spans="1:14" s="58" customFormat="1" x14ac:dyDescent="0.2">
      <c r="A129" s="58" t="s">
        <v>144</v>
      </c>
      <c r="B129" s="60"/>
      <c r="C129" s="60">
        <f t="shared" ref="C129:N129" si="24">SUM(C123:C128)</f>
        <v>354.60507339655175</v>
      </c>
      <c r="D129" s="60">
        <f t="shared" si="24"/>
        <v>354.60507339655175</v>
      </c>
      <c r="E129" s="60">
        <f t="shared" si="24"/>
        <v>354.60507339655175</v>
      </c>
      <c r="F129" s="60">
        <f t="shared" si="24"/>
        <v>354.60507339655175</v>
      </c>
      <c r="G129" s="60">
        <f t="shared" si="24"/>
        <v>354.60507339655175</v>
      </c>
      <c r="H129" s="60">
        <f t="shared" si="24"/>
        <v>354.60507339655175</v>
      </c>
      <c r="I129" s="60">
        <f t="shared" si="24"/>
        <v>354.60507339655175</v>
      </c>
      <c r="J129" s="60">
        <f t="shared" si="24"/>
        <v>354.60507339655175</v>
      </c>
      <c r="K129" s="60">
        <f t="shared" si="24"/>
        <v>354.60507339655175</v>
      </c>
      <c r="L129" s="60">
        <f t="shared" si="24"/>
        <v>354.60507339655175</v>
      </c>
      <c r="M129" s="60">
        <f t="shared" si="24"/>
        <v>354.60507339655175</v>
      </c>
      <c r="N129" s="60">
        <f t="shared" si="24"/>
        <v>354.60507339655175</v>
      </c>
    </row>
    <row r="130" spans="1:14" x14ac:dyDescent="0.2">
      <c r="C130" s="60"/>
      <c r="D130" s="66"/>
      <c r="E130" s="66"/>
      <c r="F130" s="66"/>
      <c r="G130" s="66"/>
      <c r="H130" s="66"/>
      <c r="I130" s="66"/>
      <c r="J130" s="66"/>
      <c r="K130" s="66"/>
      <c r="L130" s="66"/>
      <c r="M130" s="66"/>
      <c r="N130" s="66"/>
    </row>
    <row r="131" spans="1:14" x14ac:dyDescent="0.2">
      <c r="C131" s="89" t="str">
        <f>C118</f>
        <v>January</v>
      </c>
      <c r="D131" s="89" t="str">
        <f t="shared" ref="D131:N131" si="25">D118</f>
        <v>February</v>
      </c>
      <c r="E131" s="89" t="str">
        <f t="shared" si="25"/>
        <v>March</v>
      </c>
      <c r="F131" s="89" t="str">
        <f t="shared" si="25"/>
        <v>April</v>
      </c>
      <c r="G131" s="89" t="str">
        <f t="shared" si="25"/>
        <v>May</v>
      </c>
      <c r="H131" s="89" t="str">
        <f t="shared" si="25"/>
        <v>June</v>
      </c>
      <c r="I131" s="89" t="str">
        <f t="shared" si="25"/>
        <v>July</v>
      </c>
      <c r="J131" s="89" t="str">
        <f t="shared" si="25"/>
        <v>August</v>
      </c>
      <c r="K131" s="89" t="str">
        <f t="shared" si="25"/>
        <v>September</v>
      </c>
      <c r="L131" s="89" t="str">
        <f t="shared" si="25"/>
        <v>October</v>
      </c>
      <c r="M131" s="89" t="str">
        <f t="shared" si="25"/>
        <v>November</v>
      </c>
      <c r="N131" s="89" t="str">
        <f t="shared" si="25"/>
        <v>December</v>
      </c>
    </row>
    <row r="132" spans="1:14" x14ac:dyDescent="0.2">
      <c r="C132" s="72">
        <v>31</v>
      </c>
      <c r="D132" s="72">
        <v>31</v>
      </c>
      <c r="E132" s="72">
        <v>30</v>
      </c>
      <c r="F132" s="72">
        <v>31</v>
      </c>
      <c r="G132" s="72">
        <v>30</v>
      </c>
      <c r="H132" s="72">
        <v>31</v>
      </c>
      <c r="I132" s="72">
        <v>31</v>
      </c>
      <c r="J132" s="72">
        <v>28</v>
      </c>
      <c r="K132" s="72">
        <v>31</v>
      </c>
      <c r="L132" s="72">
        <v>30</v>
      </c>
      <c r="M132" s="72">
        <v>31</v>
      </c>
      <c r="N132" s="71">
        <v>30</v>
      </c>
    </row>
    <row r="133" spans="1:14" x14ac:dyDescent="0.2">
      <c r="B133" s="89" t="s">
        <v>185</v>
      </c>
      <c r="C133" s="78">
        <v>1</v>
      </c>
      <c r="D133" s="78">
        <v>0</v>
      </c>
      <c r="E133" s="78">
        <v>1</v>
      </c>
      <c r="F133" s="78">
        <f>F120</f>
        <v>0</v>
      </c>
      <c r="G133" s="78">
        <v>2</v>
      </c>
      <c r="H133" s="78">
        <f>H120</f>
        <v>0</v>
      </c>
      <c r="I133" s="78">
        <v>2</v>
      </c>
      <c r="J133" s="78">
        <v>1</v>
      </c>
      <c r="K133" s="78">
        <v>0</v>
      </c>
      <c r="L133" s="78">
        <v>0</v>
      </c>
      <c r="M133" s="78">
        <v>1</v>
      </c>
      <c r="N133" s="78">
        <f>N120</f>
        <v>0</v>
      </c>
    </row>
    <row r="134" spans="1:14" x14ac:dyDescent="0.2">
      <c r="B134" s="89" t="s">
        <v>44</v>
      </c>
      <c r="C134" s="49">
        <v>0.45</v>
      </c>
      <c r="D134" s="49">
        <v>0.45</v>
      </c>
      <c r="E134" s="49">
        <v>0.45</v>
      </c>
      <c r="F134" s="49">
        <v>0.45</v>
      </c>
      <c r="G134" s="49">
        <v>0.45</v>
      </c>
      <c r="H134" s="49">
        <v>0.45</v>
      </c>
      <c r="I134" s="49">
        <v>0.45</v>
      </c>
      <c r="J134" s="49">
        <v>0.45</v>
      </c>
      <c r="K134" s="49">
        <v>0.45</v>
      </c>
      <c r="L134" s="49">
        <v>0.45</v>
      </c>
      <c r="M134" s="49">
        <v>0.45</v>
      </c>
      <c r="N134" s="49">
        <v>0.45</v>
      </c>
    </row>
    <row r="135" spans="1:14" x14ac:dyDescent="0.2">
      <c r="B135" s="89" t="s">
        <v>186</v>
      </c>
      <c r="C135" s="53">
        <f>SUM(174*C134)</f>
        <v>78.3</v>
      </c>
      <c r="D135" s="53">
        <f t="shared" ref="D135:N135" si="26">SUM(174*D134)</f>
        <v>78.3</v>
      </c>
      <c r="E135" s="53">
        <f t="shared" si="26"/>
        <v>78.3</v>
      </c>
      <c r="F135" s="53">
        <f t="shared" si="26"/>
        <v>78.3</v>
      </c>
      <c r="G135" s="53">
        <f t="shared" si="26"/>
        <v>78.3</v>
      </c>
      <c r="H135" s="53">
        <f t="shared" si="26"/>
        <v>78.3</v>
      </c>
      <c r="I135" s="53">
        <f t="shared" si="26"/>
        <v>78.3</v>
      </c>
      <c r="J135" s="53">
        <f t="shared" si="26"/>
        <v>78.3</v>
      </c>
      <c r="K135" s="53">
        <f t="shared" si="26"/>
        <v>78.3</v>
      </c>
      <c r="L135" s="53">
        <f t="shared" si="26"/>
        <v>78.3</v>
      </c>
      <c r="M135" s="53">
        <f t="shared" si="26"/>
        <v>78.3</v>
      </c>
      <c r="N135" s="53">
        <f t="shared" si="26"/>
        <v>78.3</v>
      </c>
    </row>
    <row r="136" spans="1:14" x14ac:dyDescent="0.2">
      <c r="A136" s="59" t="s">
        <v>543</v>
      </c>
      <c r="B136" s="78" t="s">
        <v>544</v>
      </c>
      <c r="C136" s="66">
        <f>SUM(C135*$B$137)</f>
        <v>1331.1</v>
      </c>
      <c r="D136" s="66">
        <f t="shared" ref="D136:N136" si="27">SUM(D135*$B$137)</f>
        <v>1331.1</v>
      </c>
      <c r="E136" s="66">
        <f t="shared" si="27"/>
        <v>1331.1</v>
      </c>
      <c r="F136" s="66">
        <f t="shared" si="27"/>
        <v>1331.1</v>
      </c>
      <c r="G136" s="66">
        <f t="shared" si="27"/>
        <v>1331.1</v>
      </c>
      <c r="H136" s="66">
        <f t="shared" si="27"/>
        <v>1331.1</v>
      </c>
      <c r="I136" s="66">
        <f t="shared" si="27"/>
        <v>1331.1</v>
      </c>
      <c r="J136" s="66">
        <f t="shared" si="27"/>
        <v>1331.1</v>
      </c>
      <c r="K136" s="66">
        <f t="shared" si="27"/>
        <v>1331.1</v>
      </c>
      <c r="L136" s="66">
        <f t="shared" si="27"/>
        <v>1331.1</v>
      </c>
      <c r="M136" s="66">
        <f t="shared" si="27"/>
        <v>1331.1</v>
      </c>
      <c r="N136" s="66">
        <f t="shared" si="27"/>
        <v>1331.1</v>
      </c>
    </row>
    <row r="137" spans="1:14" x14ac:dyDescent="0.2">
      <c r="A137" s="59" t="s">
        <v>188</v>
      </c>
      <c r="B137" s="74">
        <v>17</v>
      </c>
      <c r="C137" s="66">
        <f>SUM(C136)*'Data Links'!$B$15</f>
        <v>101.82914999999998</v>
      </c>
      <c r="D137" s="66">
        <f>SUM(D136)*'Data Links'!$B$15</f>
        <v>101.82914999999998</v>
      </c>
      <c r="E137" s="66">
        <f>SUM(E136)*'Data Links'!$B$15</f>
        <v>101.82914999999998</v>
      </c>
      <c r="F137" s="66">
        <f>SUM(F136)*'Data Links'!$B$15</f>
        <v>101.82914999999998</v>
      </c>
      <c r="G137" s="66">
        <f>SUM(G136)*'Data Links'!$B$15</f>
        <v>101.82914999999998</v>
      </c>
      <c r="H137" s="66">
        <f>SUM(H136)*'Data Links'!$B$15</f>
        <v>101.82914999999998</v>
      </c>
      <c r="I137" s="66">
        <f>SUM(I136)*'Data Links'!$B$15</f>
        <v>101.82914999999998</v>
      </c>
      <c r="J137" s="66">
        <f>SUM(J136)*'Data Links'!$B$15</f>
        <v>101.82914999999998</v>
      </c>
      <c r="K137" s="66">
        <f>SUM(K136)*'Data Links'!$B$15</f>
        <v>101.82914999999998</v>
      </c>
      <c r="L137" s="66">
        <f>SUM(L136)*'Data Links'!$B$15</f>
        <v>101.82914999999998</v>
      </c>
      <c r="M137" s="66">
        <f>SUM(M136)*'Data Links'!$B$15</f>
        <v>101.82914999999998</v>
      </c>
      <c r="N137" s="66">
        <f>SUM(N136)*'Data Links'!$B$15</f>
        <v>101.82914999999998</v>
      </c>
    </row>
    <row r="138" spans="1:14" x14ac:dyDescent="0.2">
      <c r="A138" s="59" t="s">
        <v>189</v>
      </c>
      <c r="B138" s="74">
        <v>15.95</v>
      </c>
      <c r="C138" s="66">
        <f>SUM(C136*'Data Links'!$B$13)</f>
        <v>7.9865999999999993</v>
      </c>
      <c r="D138" s="66">
        <f>SUM(D136*'Data Links'!$B$13)</f>
        <v>7.9865999999999993</v>
      </c>
      <c r="E138" s="66">
        <f>SUM(E136*'Data Links'!$B$13)</f>
        <v>7.9865999999999993</v>
      </c>
      <c r="F138" s="66">
        <f>SUM(F136*'Data Links'!$B$13)</f>
        <v>7.9865999999999993</v>
      </c>
      <c r="G138" s="66">
        <f>SUM(G136*'Data Links'!$B$13)</f>
        <v>7.9865999999999993</v>
      </c>
      <c r="H138" s="66">
        <f>SUM(H136*'Data Links'!$B$13)</f>
        <v>7.9865999999999993</v>
      </c>
      <c r="I138" s="66">
        <f>SUM(I136*'Data Links'!$B$13)</f>
        <v>7.9865999999999993</v>
      </c>
      <c r="J138" s="66">
        <f>SUM(J136*'Data Links'!$B$13)</f>
        <v>7.9865999999999993</v>
      </c>
      <c r="K138" s="66">
        <f>SUM(K136*'Data Links'!$B$13)</f>
        <v>7.9865999999999993</v>
      </c>
      <c r="L138" s="66">
        <f>SUM(L136*'Data Links'!$B$13)</f>
        <v>7.9865999999999993</v>
      </c>
      <c r="M138" s="66">
        <f>SUM(M136*'Data Links'!$B$13)</f>
        <v>7.9865999999999993</v>
      </c>
      <c r="N138" s="66">
        <f>SUM(N136*'Data Links'!$B$13)</f>
        <v>7.9865999999999993</v>
      </c>
    </row>
    <row r="139" spans="1:14" x14ac:dyDescent="0.2">
      <c r="A139" s="59" t="s">
        <v>190</v>
      </c>
      <c r="C139" s="66">
        <f>SUM(C135*'Data Links'!$B$8)</f>
        <v>6.0956549999999998</v>
      </c>
      <c r="D139" s="66">
        <f>SUM(D135*'Data Links'!$B$8)</f>
        <v>6.0956549999999998</v>
      </c>
      <c r="E139" s="66">
        <f>SUM(E135*'Data Links'!$B$8)</f>
        <v>6.0956549999999998</v>
      </c>
      <c r="F139" s="66">
        <f>SUM(F135*'Data Links'!$B$8)</f>
        <v>6.0956549999999998</v>
      </c>
      <c r="G139" s="66">
        <f>SUM(G135*'Data Links'!$B$8)</f>
        <v>6.0956549999999998</v>
      </c>
      <c r="H139" s="66">
        <f>SUM(H135*'Data Links'!$B$8)</f>
        <v>6.0956549999999998</v>
      </c>
      <c r="I139" s="66">
        <f>SUM(I135*'Data Links'!$B$8)</f>
        <v>6.0956549999999998</v>
      </c>
      <c r="J139" s="66">
        <f>SUM(J135*'Data Links'!$B$8)</f>
        <v>6.0956549999999998</v>
      </c>
      <c r="K139" s="66">
        <f>SUM(K135*'Data Links'!$B$8)</f>
        <v>6.0956549999999998</v>
      </c>
      <c r="L139" s="66">
        <f>SUM(L135*'Data Links'!$B$8)</f>
        <v>6.0956549999999998</v>
      </c>
      <c r="M139" s="66">
        <f>SUM(M135*'Data Links'!$B$8)</f>
        <v>6.0956549999999998</v>
      </c>
      <c r="N139" s="66">
        <f>SUM(N135*'Data Links'!$B$8)</f>
        <v>6.0956549999999998</v>
      </c>
    </row>
    <row r="140" spans="1:14" x14ac:dyDescent="0.2">
      <c r="A140" s="59" t="s">
        <v>191</v>
      </c>
      <c r="C140" s="66">
        <f>SUM('All Employees'!$P$58)*'WH - PERM'!C134</f>
        <v>178.47351</v>
      </c>
      <c r="D140" s="66">
        <f>SUM('All Employees'!$P$58)*'WH - PERM'!D134</f>
        <v>178.47351</v>
      </c>
      <c r="E140" s="66">
        <f>SUM('All Employees'!$P$58)*'WH - PERM'!E134</f>
        <v>178.47351</v>
      </c>
      <c r="F140" s="66">
        <f>SUM('All Employees'!$P$58)*'WH - PERM'!F134</f>
        <v>178.47351</v>
      </c>
      <c r="G140" s="66">
        <f>SUM('All Employees'!$P$58)*'WH - PERM'!G134</f>
        <v>178.47351</v>
      </c>
      <c r="H140" s="66">
        <f>SUM('All Employees'!$P$58)*'WH - PERM'!H134</f>
        <v>178.47351</v>
      </c>
      <c r="I140" s="66">
        <f>SUM('All Employees'!$P$58)*'WH - PERM'!I134</f>
        <v>178.47351</v>
      </c>
      <c r="J140" s="66">
        <f>SUM('All Employees'!$P$58)*'WH - PERM'!J134</f>
        <v>178.47351</v>
      </c>
      <c r="K140" s="66">
        <f>SUM('All Employees'!$P$58)*'WH - PERM'!K134</f>
        <v>178.47351</v>
      </c>
      <c r="L140" s="66">
        <f>SUM('All Employees'!$P$58)*'WH - PERM'!L134</f>
        <v>178.47351</v>
      </c>
      <c r="M140" s="66">
        <f>SUM('All Employees'!$P$58)*'WH - PERM'!M134</f>
        <v>178.47351</v>
      </c>
      <c r="N140" s="66">
        <f>SUM('All Employees'!$P$58)*'WH - PERM'!N134</f>
        <v>178.47351</v>
      </c>
    </row>
    <row r="141" spans="1:14" x14ac:dyDescent="0.2">
      <c r="A141" s="59" t="s">
        <v>192</v>
      </c>
      <c r="C141" s="66">
        <f>SUM(C136*'Data Links'!$B$17)</f>
        <v>39.932999999999993</v>
      </c>
      <c r="D141" s="66">
        <f>SUM(D136*'Data Links'!$B$17)</f>
        <v>39.932999999999993</v>
      </c>
      <c r="E141" s="66">
        <f>SUM(E136*'Data Links'!$B$17)</f>
        <v>39.932999999999993</v>
      </c>
      <c r="F141" s="66">
        <f>SUM(F136*'Data Links'!$B$17)</f>
        <v>39.932999999999993</v>
      </c>
      <c r="G141" s="66">
        <f>SUM(G136*'Data Links'!$B$17)</f>
        <v>39.932999999999993</v>
      </c>
      <c r="H141" s="66">
        <f>SUM(H136*'Data Links'!$B$17)</f>
        <v>39.932999999999993</v>
      </c>
      <c r="I141" s="66">
        <f>SUM(I136*'Data Links'!$B$17)</f>
        <v>39.932999999999993</v>
      </c>
      <c r="J141" s="66">
        <f>SUM(J136*'Data Links'!$B$17)</f>
        <v>39.932999999999993</v>
      </c>
      <c r="K141" s="66">
        <f>SUM(K136*'Data Links'!$B$17)</f>
        <v>39.932999999999993</v>
      </c>
      <c r="L141" s="66">
        <f>SUM(L136*'Data Links'!$B$17)</f>
        <v>39.932999999999993</v>
      </c>
      <c r="M141" s="66">
        <f>SUM(M136*'Data Links'!$B$17)</f>
        <v>39.932999999999993</v>
      </c>
      <c r="N141" s="66">
        <f>SUM(N136*'Data Links'!$B$17)</f>
        <v>39.932999999999993</v>
      </c>
    </row>
    <row r="142" spans="1:14" s="58" customFormat="1" x14ac:dyDescent="0.2">
      <c r="A142" s="58" t="s">
        <v>144</v>
      </c>
      <c r="B142" s="60"/>
      <c r="C142" s="60">
        <f t="shared" ref="C142:N142" si="28">SUM(C136:C141)</f>
        <v>1665.417915</v>
      </c>
      <c r="D142" s="60">
        <f t="shared" si="28"/>
        <v>1665.417915</v>
      </c>
      <c r="E142" s="60">
        <f t="shared" si="28"/>
        <v>1665.417915</v>
      </c>
      <c r="F142" s="60">
        <f t="shared" si="28"/>
        <v>1665.417915</v>
      </c>
      <c r="G142" s="60">
        <f t="shared" si="28"/>
        <v>1665.417915</v>
      </c>
      <c r="H142" s="60">
        <f t="shared" si="28"/>
        <v>1665.417915</v>
      </c>
      <c r="I142" s="60">
        <f t="shared" si="28"/>
        <v>1665.417915</v>
      </c>
      <c r="J142" s="60">
        <f t="shared" si="28"/>
        <v>1665.417915</v>
      </c>
      <c r="K142" s="60">
        <f t="shared" si="28"/>
        <v>1665.417915</v>
      </c>
      <c r="L142" s="60">
        <f t="shared" si="28"/>
        <v>1665.417915</v>
      </c>
      <c r="M142" s="60">
        <f t="shared" si="28"/>
        <v>1665.417915</v>
      </c>
      <c r="N142" s="60">
        <f t="shared" si="28"/>
        <v>1665.417915</v>
      </c>
    </row>
    <row r="143" spans="1:14" x14ac:dyDescent="0.2">
      <c r="C143" s="60"/>
      <c r="D143" s="66"/>
      <c r="E143" s="66"/>
      <c r="F143" s="66"/>
      <c r="G143" s="66"/>
      <c r="H143" s="66"/>
      <c r="I143" s="66"/>
      <c r="J143" s="66"/>
      <c r="K143" s="66"/>
      <c r="L143" s="66"/>
      <c r="M143" s="66"/>
      <c r="N143" s="66"/>
    </row>
    <row r="144" spans="1:14" x14ac:dyDescent="0.2">
      <c r="C144" s="89" t="str">
        <f>C131</f>
        <v>January</v>
      </c>
      <c r="D144" s="89" t="str">
        <f t="shared" ref="D144:N144" si="29">D131</f>
        <v>February</v>
      </c>
      <c r="E144" s="89" t="str">
        <f t="shared" si="29"/>
        <v>March</v>
      </c>
      <c r="F144" s="89" t="str">
        <f t="shared" si="29"/>
        <v>April</v>
      </c>
      <c r="G144" s="89" t="str">
        <f t="shared" si="29"/>
        <v>May</v>
      </c>
      <c r="H144" s="89" t="str">
        <f t="shared" si="29"/>
        <v>June</v>
      </c>
      <c r="I144" s="89" t="str">
        <f t="shared" si="29"/>
        <v>July</v>
      </c>
      <c r="J144" s="89" t="str">
        <f t="shared" si="29"/>
        <v>August</v>
      </c>
      <c r="K144" s="89" t="str">
        <f t="shared" si="29"/>
        <v>September</v>
      </c>
      <c r="L144" s="89" t="str">
        <f t="shared" si="29"/>
        <v>October</v>
      </c>
      <c r="M144" s="89" t="str">
        <f t="shared" si="29"/>
        <v>November</v>
      </c>
      <c r="N144" s="89" t="str">
        <f t="shared" si="29"/>
        <v>December</v>
      </c>
    </row>
    <row r="145" spans="1:14" x14ac:dyDescent="0.2">
      <c r="C145" s="72">
        <v>31</v>
      </c>
      <c r="D145" s="72">
        <v>31</v>
      </c>
      <c r="E145" s="72">
        <v>30</v>
      </c>
      <c r="F145" s="72">
        <v>31</v>
      </c>
      <c r="G145" s="72">
        <v>30</v>
      </c>
      <c r="H145" s="72">
        <v>31</v>
      </c>
      <c r="I145" s="72">
        <v>31</v>
      </c>
      <c r="J145" s="72">
        <v>28</v>
      </c>
      <c r="K145" s="72">
        <v>31</v>
      </c>
      <c r="L145" s="72">
        <v>30</v>
      </c>
      <c r="M145" s="72">
        <v>31</v>
      </c>
      <c r="N145" s="71">
        <v>30</v>
      </c>
    </row>
    <row r="146" spans="1:14" x14ac:dyDescent="0.2">
      <c r="B146" s="89" t="s">
        <v>185</v>
      </c>
      <c r="C146" s="78">
        <f t="shared" ref="C146" si="30">C133</f>
        <v>1</v>
      </c>
      <c r="D146" s="78">
        <f t="shared" ref="D146:N146" si="31">D133</f>
        <v>0</v>
      </c>
      <c r="E146" s="78">
        <f t="shared" si="31"/>
        <v>1</v>
      </c>
      <c r="F146" s="78">
        <f t="shared" si="31"/>
        <v>0</v>
      </c>
      <c r="G146" s="78">
        <f t="shared" si="31"/>
        <v>2</v>
      </c>
      <c r="H146" s="78">
        <f t="shared" si="31"/>
        <v>0</v>
      </c>
      <c r="I146" s="78">
        <f t="shared" si="31"/>
        <v>2</v>
      </c>
      <c r="J146" s="78">
        <f t="shared" si="31"/>
        <v>1</v>
      </c>
      <c r="K146" s="78">
        <f t="shared" si="31"/>
        <v>0</v>
      </c>
      <c r="L146" s="78">
        <f t="shared" si="31"/>
        <v>0</v>
      </c>
      <c r="M146" s="78">
        <f t="shared" si="31"/>
        <v>1</v>
      </c>
      <c r="N146" s="78">
        <f t="shared" si="31"/>
        <v>0</v>
      </c>
    </row>
    <row r="147" spans="1:14" x14ac:dyDescent="0.2">
      <c r="B147" s="89" t="s">
        <v>44</v>
      </c>
      <c r="C147" s="49">
        <v>0.45</v>
      </c>
      <c r="D147" s="49">
        <v>0.45</v>
      </c>
      <c r="E147" s="49">
        <v>0.45</v>
      </c>
      <c r="F147" s="49">
        <v>0.45</v>
      </c>
      <c r="G147" s="49">
        <v>0.45</v>
      </c>
      <c r="H147" s="49">
        <v>0.45</v>
      </c>
      <c r="I147" s="49">
        <v>0.45</v>
      </c>
      <c r="J147" s="49">
        <v>0.45</v>
      </c>
      <c r="K147" s="49">
        <v>0.45</v>
      </c>
      <c r="L147" s="49">
        <v>0.45</v>
      </c>
      <c r="M147" s="49">
        <v>0.45</v>
      </c>
      <c r="N147" s="49">
        <v>0.45</v>
      </c>
    </row>
    <row r="148" spans="1:14" x14ac:dyDescent="0.2">
      <c r="B148" s="89" t="s">
        <v>186</v>
      </c>
      <c r="C148" s="260">
        <f>SUM(174*C147)</f>
        <v>78.3</v>
      </c>
      <c r="D148" s="260">
        <f t="shared" ref="D148:N148" si="32">SUM(174*D147)</f>
        <v>78.3</v>
      </c>
      <c r="E148" s="260">
        <f t="shared" si="32"/>
        <v>78.3</v>
      </c>
      <c r="F148" s="260">
        <f t="shared" si="32"/>
        <v>78.3</v>
      </c>
      <c r="G148" s="260">
        <f t="shared" si="32"/>
        <v>78.3</v>
      </c>
      <c r="H148" s="260">
        <f t="shared" si="32"/>
        <v>78.3</v>
      </c>
      <c r="I148" s="260">
        <f t="shared" si="32"/>
        <v>78.3</v>
      </c>
      <c r="J148" s="260">
        <f t="shared" si="32"/>
        <v>78.3</v>
      </c>
      <c r="K148" s="260">
        <f t="shared" si="32"/>
        <v>78.3</v>
      </c>
      <c r="L148" s="260">
        <f t="shared" si="32"/>
        <v>78.3</v>
      </c>
      <c r="M148" s="260">
        <f t="shared" si="32"/>
        <v>78.3</v>
      </c>
      <c r="N148" s="260">
        <f t="shared" si="32"/>
        <v>78.3</v>
      </c>
    </row>
    <row r="149" spans="1:14" x14ac:dyDescent="0.2">
      <c r="A149" s="59" t="s">
        <v>345</v>
      </c>
      <c r="B149" s="78" t="s">
        <v>346</v>
      </c>
      <c r="C149" s="66">
        <f>SUM(C148*$B$150)</f>
        <v>1566</v>
      </c>
      <c r="D149" s="66">
        <f t="shared" ref="D149:N149" si="33">SUM(D148*$B$150)</f>
        <v>1566</v>
      </c>
      <c r="E149" s="66">
        <f t="shared" si="33"/>
        <v>1566</v>
      </c>
      <c r="F149" s="66">
        <f t="shared" si="33"/>
        <v>1566</v>
      </c>
      <c r="G149" s="66">
        <f t="shared" si="33"/>
        <v>1566</v>
      </c>
      <c r="H149" s="66">
        <f t="shared" si="33"/>
        <v>1566</v>
      </c>
      <c r="I149" s="66">
        <f t="shared" si="33"/>
        <v>1566</v>
      </c>
      <c r="J149" s="66">
        <f t="shared" si="33"/>
        <v>1566</v>
      </c>
      <c r="K149" s="66">
        <f t="shared" si="33"/>
        <v>1566</v>
      </c>
      <c r="L149" s="66">
        <f t="shared" si="33"/>
        <v>1566</v>
      </c>
      <c r="M149" s="66">
        <f t="shared" si="33"/>
        <v>1566</v>
      </c>
      <c r="N149" s="66">
        <f t="shared" si="33"/>
        <v>1566</v>
      </c>
    </row>
    <row r="150" spans="1:14" x14ac:dyDescent="0.2">
      <c r="A150" s="59" t="s">
        <v>188</v>
      </c>
      <c r="B150" s="74">
        <v>20</v>
      </c>
      <c r="C150" s="66">
        <f>SUM(C149)*'Data Links'!$B$15</f>
        <v>119.79899999999999</v>
      </c>
      <c r="D150" s="66">
        <f>SUM(D149)*'Data Links'!$B$15</f>
        <v>119.79899999999999</v>
      </c>
      <c r="E150" s="66">
        <f>SUM(E149)*'Data Links'!$B$15</f>
        <v>119.79899999999999</v>
      </c>
      <c r="F150" s="66">
        <f>SUM(F149)*'Data Links'!$B$15</f>
        <v>119.79899999999999</v>
      </c>
      <c r="G150" s="66">
        <f>SUM(G149)*'Data Links'!$B$15</f>
        <v>119.79899999999999</v>
      </c>
      <c r="H150" s="66">
        <f>SUM(H149)*'Data Links'!$B$15</f>
        <v>119.79899999999999</v>
      </c>
      <c r="I150" s="66">
        <f>SUM(I149)*'Data Links'!$B$15</f>
        <v>119.79899999999999</v>
      </c>
      <c r="J150" s="66">
        <f>SUM(J149)*'Data Links'!$B$15</f>
        <v>119.79899999999999</v>
      </c>
      <c r="K150" s="66">
        <f>SUM(K149)*'Data Links'!$B$15</f>
        <v>119.79899999999999</v>
      </c>
      <c r="L150" s="66">
        <f>SUM(L149)*'Data Links'!$B$15</f>
        <v>119.79899999999999</v>
      </c>
      <c r="M150" s="66">
        <f>SUM(M149)*'Data Links'!$B$15</f>
        <v>119.79899999999999</v>
      </c>
      <c r="N150" s="66">
        <f>SUM(N149)*'Data Links'!$B$15</f>
        <v>119.79899999999999</v>
      </c>
    </row>
    <row r="151" spans="1:14" x14ac:dyDescent="0.2">
      <c r="A151" s="59" t="s">
        <v>189</v>
      </c>
      <c r="B151" s="74">
        <v>18.61</v>
      </c>
      <c r="C151" s="66">
        <f>SUM(C149*'Data Links'!$B$13)</f>
        <v>9.3960000000000008</v>
      </c>
      <c r="D151" s="66">
        <f>SUM(D149*'Data Links'!$B$13)</f>
        <v>9.3960000000000008</v>
      </c>
      <c r="E151" s="66">
        <f>SUM(E149*'Data Links'!$B$13)</f>
        <v>9.3960000000000008</v>
      </c>
      <c r="F151" s="66">
        <f>SUM(F149*'Data Links'!$B$13)</f>
        <v>9.3960000000000008</v>
      </c>
      <c r="G151" s="66">
        <f>SUM(G149*'Data Links'!$B$13)</f>
        <v>9.3960000000000008</v>
      </c>
      <c r="H151" s="66">
        <f>SUM(H149*'Data Links'!$B$13)</f>
        <v>9.3960000000000008</v>
      </c>
      <c r="I151" s="66">
        <f>SUM(I149*'Data Links'!$B$13)</f>
        <v>9.3960000000000008</v>
      </c>
      <c r="J151" s="66">
        <f>SUM(J149*'Data Links'!$B$13)</f>
        <v>9.3960000000000008</v>
      </c>
      <c r="K151" s="66">
        <f>SUM(K149*'Data Links'!$B$13)</f>
        <v>9.3960000000000008</v>
      </c>
      <c r="L151" s="66">
        <f>SUM(L149*'Data Links'!$B$13)</f>
        <v>9.3960000000000008</v>
      </c>
      <c r="M151" s="66">
        <f>SUM(M149*'Data Links'!$B$13)</f>
        <v>9.3960000000000008</v>
      </c>
      <c r="N151" s="66">
        <f>SUM(N149*'Data Links'!$B$13)</f>
        <v>9.3960000000000008</v>
      </c>
    </row>
    <row r="152" spans="1:14" x14ac:dyDescent="0.2">
      <c r="A152" s="59" t="s">
        <v>190</v>
      </c>
      <c r="C152" s="66">
        <f>SUM(C148*'Data Links'!$B$8)</f>
        <v>6.0956549999999998</v>
      </c>
      <c r="D152" s="66">
        <f>SUM(D148*'Data Links'!$B$8)</f>
        <v>6.0956549999999998</v>
      </c>
      <c r="E152" s="66">
        <f>SUM(E148*'Data Links'!$B$8)</f>
        <v>6.0956549999999998</v>
      </c>
      <c r="F152" s="66">
        <f>SUM(F148*'Data Links'!$B$8)</f>
        <v>6.0956549999999998</v>
      </c>
      <c r="G152" s="66">
        <f>SUM(G148*'Data Links'!$B$8)</f>
        <v>6.0956549999999998</v>
      </c>
      <c r="H152" s="66">
        <f>SUM(H148*'Data Links'!$B$8)</f>
        <v>6.0956549999999998</v>
      </c>
      <c r="I152" s="66">
        <f>SUM(I148*'Data Links'!$B$8)</f>
        <v>6.0956549999999998</v>
      </c>
      <c r="J152" s="66">
        <f>SUM(J148*'Data Links'!$B$8)</f>
        <v>6.0956549999999998</v>
      </c>
      <c r="K152" s="66">
        <f>SUM(K148*'Data Links'!$B$8)</f>
        <v>6.0956549999999998</v>
      </c>
      <c r="L152" s="66">
        <f>SUM(L148*'Data Links'!$B$8)</f>
        <v>6.0956549999999998</v>
      </c>
      <c r="M152" s="66">
        <f>SUM(M148*'Data Links'!$B$8)</f>
        <v>6.0956549999999998</v>
      </c>
      <c r="N152" s="66">
        <f>SUM(N148*'Data Links'!$B$8)</f>
        <v>6.0956549999999998</v>
      </c>
    </row>
    <row r="153" spans="1:14" x14ac:dyDescent="0.2">
      <c r="A153" s="59" t="s">
        <v>191</v>
      </c>
      <c r="C153" s="66">
        <f>SUM('All Employees'!$P$60)*C147</f>
        <v>178.47351</v>
      </c>
      <c r="D153" s="66">
        <f>SUM('All Employees'!$P$60)*D147</f>
        <v>178.47351</v>
      </c>
      <c r="E153" s="66">
        <f>SUM('All Employees'!$P$60)*E147</f>
        <v>178.47351</v>
      </c>
      <c r="F153" s="66">
        <f>SUM('All Employees'!$P$60)*F147</f>
        <v>178.47351</v>
      </c>
      <c r="G153" s="66">
        <f>SUM('All Employees'!$P$60)*G147</f>
        <v>178.47351</v>
      </c>
      <c r="H153" s="66">
        <f>SUM('All Employees'!$P$60)*H147</f>
        <v>178.47351</v>
      </c>
      <c r="I153" s="66">
        <f>SUM('All Employees'!$P$60)*I147</f>
        <v>178.47351</v>
      </c>
      <c r="J153" s="66">
        <f>SUM('All Employees'!$P$60)*J147</f>
        <v>178.47351</v>
      </c>
      <c r="K153" s="66">
        <f>SUM('All Employees'!$P$60)*K147</f>
        <v>178.47351</v>
      </c>
      <c r="L153" s="66">
        <f>SUM('All Employees'!$P$60)*L147</f>
        <v>178.47351</v>
      </c>
      <c r="M153" s="66">
        <f>SUM('All Employees'!$P$60)*M147</f>
        <v>178.47351</v>
      </c>
      <c r="N153" s="66">
        <f>SUM('All Employees'!$P$60)*N147</f>
        <v>178.47351</v>
      </c>
    </row>
    <row r="154" spans="1:14" x14ac:dyDescent="0.2">
      <c r="A154" s="59" t="s">
        <v>192</v>
      </c>
      <c r="C154" s="66">
        <f>SUM(C149*'Data Links'!$B$17)</f>
        <v>46.98</v>
      </c>
      <c r="D154" s="66">
        <f>SUM(D149*'Data Links'!$B$17)</f>
        <v>46.98</v>
      </c>
      <c r="E154" s="66">
        <f>SUM(E149*'Data Links'!$B$17)</f>
        <v>46.98</v>
      </c>
      <c r="F154" s="66">
        <f>SUM(F149*'Data Links'!$B$17)</f>
        <v>46.98</v>
      </c>
      <c r="G154" s="66">
        <f>SUM(G149*'Data Links'!$B$17)</f>
        <v>46.98</v>
      </c>
      <c r="H154" s="66">
        <f>SUM(H149*'Data Links'!$B$17)</f>
        <v>46.98</v>
      </c>
      <c r="I154" s="66">
        <f>SUM(I149*'Data Links'!$B$17)</f>
        <v>46.98</v>
      </c>
      <c r="J154" s="66">
        <f>SUM(J149*'Data Links'!$B$17)</f>
        <v>46.98</v>
      </c>
      <c r="K154" s="66">
        <f>SUM(K149*'Data Links'!$B$17)</f>
        <v>46.98</v>
      </c>
      <c r="L154" s="66">
        <f>SUM(L149*'Data Links'!$B$17)</f>
        <v>46.98</v>
      </c>
      <c r="M154" s="66">
        <f>SUM(M149*'Data Links'!$B$17)</f>
        <v>46.98</v>
      </c>
      <c r="N154" s="66">
        <f>SUM(N149*'Data Links'!$B$17)</f>
        <v>46.98</v>
      </c>
    </row>
    <row r="155" spans="1:14" s="58" customFormat="1" x14ac:dyDescent="0.2">
      <c r="A155" s="58" t="s">
        <v>144</v>
      </c>
      <c r="B155" s="60"/>
      <c r="C155" s="60">
        <f t="shared" ref="C155:N155" si="34">SUM(C149:C154)</f>
        <v>1926.7441650000001</v>
      </c>
      <c r="D155" s="60">
        <f t="shared" si="34"/>
        <v>1926.7441650000001</v>
      </c>
      <c r="E155" s="60">
        <f t="shared" si="34"/>
        <v>1926.7441650000001</v>
      </c>
      <c r="F155" s="60">
        <f t="shared" si="34"/>
        <v>1926.7441650000001</v>
      </c>
      <c r="G155" s="60">
        <f t="shared" si="34"/>
        <v>1926.7441650000001</v>
      </c>
      <c r="H155" s="60">
        <f t="shared" si="34"/>
        <v>1926.7441650000001</v>
      </c>
      <c r="I155" s="60">
        <f t="shared" si="34"/>
        <v>1926.7441650000001</v>
      </c>
      <c r="J155" s="60">
        <f t="shared" si="34"/>
        <v>1926.7441650000001</v>
      </c>
      <c r="K155" s="60">
        <f t="shared" si="34"/>
        <v>1926.7441650000001</v>
      </c>
      <c r="L155" s="60">
        <f t="shared" si="34"/>
        <v>1926.7441650000001</v>
      </c>
      <c r="M155" s="60">
        <f t="shared" si="34"/>
        <v>1926.7441650000001</v>
      </c>
      <c r="N155" s="60">
        <f t="shared" si="34"/>
        <v>1926.7441650000001</v>
      </c>
    </row>
    <row r="156" spans="1:14" x14ac:dyDescent="0.2">
      <c r="C156" s="60"/>
      <c r="D156" s="66"/>
      <c r="E156" s="66"/>
      <c r="F156" s="66"/>
      <c r="G156" s="66"/>
      <c r="H156" s="66"/>
      <c r="I156" s="66"/>
      <c r="J156" s="66"/>
      <c r="K156" s="66"/>
      <c r="L156" s="66"/>
      <c r="M156" s="66"/>
      <c r="N156" s="66"/>
    </row>
    <row r="157" spans="1:14" x14ac:dyDescent="0.2">
      <c r="C157" s="89" t="str">
        <f>C144</f>
        <v>January</v>
      </c>
      <c r="D157" s="89" t="str">
        <f t="shared" ref="D157:N157" si="35">D144</f>
        <v>February</v>
      </c>
      <c r="E157" s="89" t="str">
        <f t="shared" si="35"/>
        <v>March</v>
      </c>
      <c r="F157" s="89" t="str">
        <f t="shared" si="35"/>
        <v>April</v>
      </c>
      <c r="G157" s="89" t="str">
        <f t="shared" si="35"/>
        <v>May</v>
      </c>
      <c r="H157" s="89" t="str">
        <f t="shared" si="35"/>
        <v>June</v>
      </c>
      <c r="I157" s="89" t="str">
        <f t="shared" si="35"/>
        <v>July</v>
      </c>
      <c r="J157" s="89" t="str">
        <f t="shared" si="35"/>
        <v>August</v>
      </c>
      <c r="K157" s="89" t="str">
        <f t="shared" si="35"/>
        <v>September</v>
      </c>
      <c r="L157" s="89" t="str">
        <f t="shared" si="35"/>
        <v>October</v>
      </c>
      <c r="M157" s="89" t="str">
        <f t="shared" si="35"/>
        <v>November</v>
      </c>
      <c r="N157" s="89" t="str">
        <f t="shared" si="35"/>
        <v>December</v>
      </c>
    </row>
    <row r="158" spans="1:14" x14ac:dyDescent="0.2">
      <c r="C158" s="72">
        <v>31</v>
      </c>
      <c r="D158" s="72">
        <v>31</v>
      </c>
      <c r="E158" s="72">
        <v>30</v>
      </c>
      <c r="F158" s="72">
        <v>31</v>
      </c>
      <c r="G158" s="72">
        <v>30</v>
      </c>
      <c r="H158" s="72">
        <v>31</v>
      </c>
      <c r="I158" s="72">
        <v>31</v>
      </c>
      <c r="J158" s="72">
        <v>28</v>
      </c>
      <c r="K158" s="72">
        <v>31</v>
      </c>
      <c r="L158" s="72">
        <v>30</v>
      </c>
      <c r="M158" s="72">
        <v>31</v>
      </c>
      <c r="N158" s="71">
        <v>30</v>
      </c>
    </row>
    <row r="159" spans="1:14" x14ac:dyDescent="0.2">
      <c r="B159" s="89" t="s">
        <v>185</v>
      </c>
      <c r="C159" s="78">
        <f t="shared" ref="C159:N159" si="36">C146</f>
        <v>1</v>
      </c>
      <c r="D159" s="78">
        <f t="shared" si="36"/>
        <v>0</v>
      </c>
      <c r="E159" s="78">
        <f t="shared" si="36"/>
        <v>1</v>
      </c>
      <c r="F159" s="78">
        <f t="shared" si="36"/>
        <v>0</v>
      </c>
      <c r="G159" s="78">
        <f t="shared" si="36"/>
        <v>2</v>
      </c>
      <c r="H159" s="78">
        <f t="shared" si="36"/>
        <v>0</v>
      </c>
      <c r="I159" s="78">
        <f t="shared" si="36"/>
        <v>2</v>
      </c>
      <c r="J159" s="78">
        <f t="shared" si="36"/>
        <v>1</v>
      </c>
      <c r="K159" s="78">
        <f t="shared" si="36"/>
        <v>0</v>
      </c>
      <c r="L159" s="78">
        <f t="shared" si="36"/>
        <v>0</v>
      </c>
      <c r="M159" s="78">
        <f t="shared" si="36"/>
        <v>1</v>
      </c>
      <c r="N159" s="78">
        <f t="shared" si="36"/>
        <v>0</v>
      </c>
    </row>
    <row r="160" spans="1:14" x14ac:dyDescent="0.2">
      <c r="B160" s="89" t="s">
        <v>44</v>
      </c>
      <c r="C160" s="49">
        <v>0.45</v>
      </c>
      <c r="D160" s="49">
        <v>0.45</v>
      </c>
      <c r="E160" s="49">
        <v>0.45</v>
      </c>
      <c r="F160" s="49">
        <v>0.45</v>
      </c>
      <c r="G160" s="49">
        <v>0.45</v>
      </c>
      <c r="H160" s="49">
        <v>0.45</v>
      </c>
      <c r="I160" s="49">
        <v>0.45</v>
      </c>
      <c r="J160" s="49">
        <v>0.45</v>
      </c>
      <c r="K160" s="49">
        <v>0.45</v>
      </c>
      <c r="L160" s="49">
        <v>0.45</v>
      </c>
      <c r="M160" s="49">
        <v>0.45</v>
      </c>
      <c r="N160" s="49">
        <v>0.45</v>
      </c>
    </row>
    <row r="161" spans="1:15" x14ac:dyDescent="0.2">
      <c r="B161" s="78" t="s">
        <v>186</v>
      </c>
      <c r="C161" s="260">
        <f>SUM(174*C160)</f>
        <v>78.3</v>
      </c>
      <c r="D161" s="53">
        <f t="shared" ref="D161:N161" si="37">SUM(174*D160)</f>
        <v>78.3</v>
      </c>
      <c r="E161" s="53">
        <f t="shared" si="37"/>
        <v>78.3</v>
      </c>
      <c r="F161" s="53">
        <f t="shared" si="37"/>
        <v>78.3</v>
      </c>
      <c r="G161" s="53">
        <f t="shared" si="37"/>
        <v>78.3</v>
      </c>
      <c r="H161" s="53">
        <f t="shared" si="37"/>
        <v>78.3</v>
      </c>
      <c r="I161" s="53">
        <f t="shared" si="37"/>
        <v>78.3</v>
      </c>
      <c r="J161" s="53">
        <f t="shared" si="37"/>
        <v>78.3</v>
      </c>
      <c r="K161" s="53">
        <f t="shared" si="37"/>
        <v>78.3</v>
      </c>
      <c r="L161" s="53">
        <f t="shared" si="37"/>
        <v>78.3</v>
      </c>
      <c r="M161" s="53">
        <f t="shared" si="37"/>
        <v>78.3</v>
      </c>
      <c r="N161" s="53">
        <f t="shared" si="37"/>
        <v>78.3</v>
      </c>
    </row>
    <row r="162" spans="1:15" x14ac:dyDescent="0.2">
      <c r="A162" s="59" t="s">
        <v>343</v>
      </c>
      <c r="B162" s="78" t="s">
        <v>344</v>
      </c>
      <c r="C162" s="66">
        <f>SUM(C161*$B$163)</f>
        <v>1409.3999999999999</v>
      </c>
      <c r="D162" s="66">
        <f t="shared" ref="D162:N162" si="38">SUM(D161*$B$163)</f>
        <v>1409.3999999999999</v>
      </c>
      <c r="E162" s="66">
        <f t="shared" si="38"/>
        <v>1409.3999999999999</v>
      </c>
      <c r="F162" s="66">
        <f t="shared" si="38"/>
        <v>1409.3999999999999</v>
      </c>
      <c r="G162" s="66">
        <f t="shared" si="38"/>
        <v>1409.3999999999999</v>
      </c>
      <c r="H162" s="66">
        <f t="shared" si="38"/>
        <v>1409.3999999999999</v>
      </c>
      <c r="I162" s="66">
        <f t="shared" si="38"/>
        <v>1409.3999999999999</v>
      </c>
      <c r="J162" s="66">
        <f t="shared" si="38"/>
        <v>1409.3999999999999</v>
      </c>
      <c r="K162" s="66">
        <f t="shared" si="38"/>
        <v>1409.3999999999999</v>
      </c>
      <c r="L162" s="66">
        <f t="shared" si="38"/>
        <v>1409.3999999999999</v>
      </c>
      <c r="M162" s="66">
        <f t="shared" si="38"/>
        <v>1409.3999999999999</v>
      </c>
      <c r="N162" s="66">
        <f t="shared" si="38"/>
        <v>1409.3999999999999</v>
      </c>
    </row>
    <row r="163" spans="1:15" x14ac:dyDescent="0.2">
      <c r="A163" s="59" t="s">
        <v>188</v>
      </c>
      <c r="B163" s="74">
        <v>18</v>
      </c>
      <c r="C163" s="66">
        <f>SUM(C162)*'Data Links'!$B$15</f>
        <v>107.81909999999999</v>
      </c>
      <c r="D163" s="66">
        <f>SUM(D162)*'Data Links'!$B$15</f>
        <v>107.81909999999999</v>
      </c>
      <c r="E163" s="66">
        <f>SUM(E162)*'Data Links'!$B$15</f>
        <v>107.81909999999999</v>
      </c>
      <c r="F163" s="66">
        <f>SUM(F162)*'Data Links'!$B$15</f>
        <v>107.81909999999999</v>
      </c>
      <c r="G163" s="66">
        <f>SUM(G162)*'Data Links'!$B$15</f>
        <v>107.81909999999999</v>
      </c>
      <c r="H163" s="66">
        <f>SUM(H162)*'Data Links'!$B$15</f>
        <v>107.81909999999999</v>
      </c>
      <c r="I163" s="66">
        <f>SUM(I162)*'Data Links'!$B$15</f>
        <v>107.81909999999999</v>
      </c>
      <c r="J163" s="66">
        <f>SUM(J162)*'Data Links'!$B$15</f>
        <v>107.81909999999999</v>
      </c>
      <c r="K163" s="66">
        <f>SUM(K162)*'Data Links'!$B$15</f>
        <v>107.81909999999999</v>
      </c>
      <c r="L163" s="66">
        <f>SUM(L162)*'Data Links'!$B$15</f>
        <v>107.81909999999999</v>
      </c>
      <c r="M163" s="66">
        <f>SUM(M162)*'Data Links'!$B$15</f>
        <v>107.81909999999999</v>
      </c>
      <c r="N163" s="66">
        <f>SUM(N162)*'Data Links'!$B$15</f>
        <v>107.81909999999999</v>
      </c>
    </row>
    <row r="164" spans="1:15" x14ac:dyDescent="0.2">
      <c r="A164" s="59" t="s">
        <v>189</v>
      </c>
      <c r="B164" s="74">
        <v>16.84</v>
      </c>
      <c r="C164" s="66">
        <f>SUM(C162*'Data Links'!$B$13)</f>
        <v>8.4563999999999986</v>
      </c>
      <c r="D164" s="66">
        <f>SUM(D162*'Data Links'!$B$13)</f>
        <v>8.4563999999999986</v>
      </c>
      <c r="E164" s="66">
        <f>SUM(E162*'Data Links'!$B$13)</f>
        <v>8.4563999999999986</v>
      </c>
      <c r="F164" s="66">
        <f>SUM(F162*'Data Links'!$B$13)</f>
        <v>8.4563999999999986</v>
      </c>
      <c r="G164" s="66">
        <f>SUM(G162*'Data Links'!$B$13)</f>
        <v>8.4563999999999986</v>
      </c>
      <c r="H164" s="66">
        <f>SUM(H162*'Data Links'!$B$13)</f>
        <v>8.4563999999999986</v>
      </c>
      <c r="I164" s="66">
        <f>SUM(I162*'Data Links'!$B$13)</f>
        <v>8.4563999999999986</v>
      </c>
      <c r="J164" s="66">
        <f>SUM(J162*'Data Links'!$B$13)</f>
        <v>8.4563999999999986</v>
      </c>
      <c r="K164" s="66">
        <f>SUM(K162*'Data Links'!$B$13)</f>
        <v>8.4563999999999986</v>
      </c>
      <c r="L164" s="66">
        <f>SUM(L162*'Data Links'!$B$13)</f>
        <v>8.4563999999999986</v>
      </c>
      <c r="M164" s="66">
        <f>SUM(M162*'Data Links'!$B$13)</f>
        <v>8.4563999999999986</v>
      </c>
      <c r="N164" s="66">
        <f>SUM(N162*'Data Links'!$B$13)</f>
        <v>8.4563999999999986</v>
      </c>
    </row>
    <row r="165" spans="1:15" x14ac:dyDescent="0.2">
      <c r="A165" s="59" t="s">
        <v>190</v>
      </c>
      <c r="C165" s="66">
        <f>SUM(C161*'Data Links'!$B$8)</f>
        <v>6.0956549999999998</v>
      </c>
      <c r="D165" s="66">
        <f>SUM(D161*'Data Links'!$B$8)</f>
        <v>6.0956549999999998</v>
      </c>
      <c r="E165" s="66">
        <f>SUM(E161*'Data Links'!$B$8)</f>
        <v>6.0956549999999998</v>
      </c>
      <c r="F165" s="66">
        <f>SUM(F161*'Data Links'!$B$8)</f>
        <v>6.0956549999999998</v>
      </c>
      <c r="G165" s="66">
        <f>SUM(G161*'Data Links'!$B$8)</f>
        <v>6.0956549999999998</v>
      </c>
      <c r="H165" s="66">
        <f>SUM(H161*'Data Links'!$B$8)</f>
        <v>6.0956549999999998</v>
      </c>
      <c r="I165" s="66">
        <f>SUM(I161*'Data Links'!$B$8)</f>
        <v>6.0956549999999998</v>
      </c>
      <c r="J165" s="66">
        <f>SUM(J161*'Data Links'!$B$8)</f>
        <v>6.0956549999999998</v>
      </c>
      <c r="K165" s="66">
        <f>SUM(K161*'Data Links'!$B$8)</f>
        <v>6.0956549999999998</v>
      </c>
      <c r="L165" s="66">
        <f>SUM(L161*'Data Links'!$B$8)</f>
        <v>6.0956549999999998</v>
      </c>
      <c r="M165" s="66">
        <f>SUM(M161*'Data Links'!$B$8)</f>
        <v>6.0956549999999998</v>
      </c>
      <c r="N165" s="66">
        <f>SUM(N161*'Data Links'!$B$8)</f>
        <v>6.0956549999999998</v>
      </c>
    </row>
    <row r="166" spans="1:15" x14ac:dyDescent="0.2">
      <c r="A166" s="59" t="s">
        <v>191</v>
      </c>
      <c r="C166" s="66">
        <f>SUM('All Employees'!$P$59)*C160</f>
        <v>178.47351</v>
      </c>
      <c r="D166" s="66">
        <f>SUM('All Employees'!$P$59)*D160</f>
        <v>178.47351</v>
      </c>
      <c r="E166" s="66">
        <f>SUM('All Employees'!$P$59)*E160</f>
        <v>178.47351</v>
      </c>
      <c r="F166" s="66">
        <f>SUM('All Employees'!$P$59)*F160</f>
        <v>178.47351</v>
      </c>
      <c r="G166" s="66">
        <f>SUM('All Employees'!$P$59)*G160</f>
        <v>178.47351</v>
      </c>
      <c r="H166" s="66">
        <f>SUM('All Employees'!$P$59)*H160</f>
        <v>178.47351</v>
      </c>
      <c r="I166" s="66">
        <f>SUM('All Employees'!$P$59)*I160</f>
        <v>178.47351</v>
      </c>
      <c r="J166" s="66">
        <f>SUM('All Employees'!$P$59)*J160</f>
        <v>178.47351</v>
      </c>
      <c r="K166" s="66">
        <f>SUM('All Employees'!$P$59)*K160</f>
        <v>178.47351</v>
      </c>
      <c r="L166" s="66">
        <f>SUM('All Employees'!$P$59)*L160</f>
        <v>178.47351</v>
      </c>
      <c r="M166" s="66">
        <f>SUM('All Employees'!$P$59)*M160</f>
        <v>178.47351</v>
      </c>
      <c r="N166" s="66">
        <f>SUM('All Employees'!$P$59)*N160</f>
        <v>178.47351</v>
      </c>
    </row>
    <row r="167" spans="1:15" x14ac:dyDescent="0.2">
      <c r="A167" s="59" t="s">
        <v>192</v>
      </c>
      <c r="C167" s="66">
        <f>SUM(C162*'Data Links'!$B$17)</f>
        <v>42.281999999999996</v>
      </c>
      <c r="D167" s="66">
        <f>SUM(D162*'Data Links'!$B$17)</f>
        <v>42.281999999999996</v>
      </c>
      <c r="E167" s="66">
        <f>SUM(E162*'Data Links'!$B$17)</f>
        <v>42.281999999999996</v>
      </c>
      <c r="F167" s="66">
        <f>SUM(F162*'Data Links'!$B$17)</f>
        <v>42.281999999999996</v>
      </c>
      <c r="G167" s="66">
        <f>SUM(G162*'Data Links'!$B$17)</f>
        <v>42.281999999999996</v>
      </c>
      <c r="H167" s="66">
        <f>SUM(H162*'Data Links'!$B$17)</f>
        <v>42.281999999999996</v>
      </c>
      <c r="I167" s="66">
        <f>SUM(I162*'Data Links'!$B$17)</f>
        <v>42.281999999999996</v>
      </c>
      <c r="J167" s="66">
        <f>SUM(J162*'Data Links'!$B$17)</f>
        <v>42.281999999999996</v>
      </c>
      <c r="K167" s="66">
        <f>SUM(K162*'Data Links'!$B$17)</f>
        <v>42.281999999999996</v>
      </c>
      <c r="L167" s="66">
        <f>SUM(L162*'Data Links'!$B$17)</f>
        <v>42.281999999999996</v>
      </c>
      <c r="M167" s="66">
        <f>SUM(M162*'Data Links'!$B$17)</f>
        <v>42.281999999999996</v>
      </c>
      <c r="N167" s="66">
        <f>SUM(N162*'Data Links'!$B$17)</f>
        <v>42.281999999999996</v>
      </c>
    </row>
    <row r="168" spans="1:15" s="58" customFormat="1" x14ac:dyDescent="0.2">
      <c r="A168" s="58" t="s">
        <v>144</v>
      </c>
      <c r="B168" s="60"/>
      <c r="C168" s="60">
        <f t="shared" ref="C168:N168" si="39">SUM(C162:C167)</f>
        <v>1752.5266649999999</v>
      </c>
      <c r="D168" s="60">
        <f t="shared" si="39"/>
        <v>1752.5266649999999</v>
      </c>
      <c r="E168" s="60">
        <f t="shared" si="39"/>
        <v>1752.5266649999999</v>
      </c>
      <c r="F168" s="60">
        <f t="shared" si="39"/>
        <v>1752.5266649999999</v>
      </c>
      <c r="G168" s="60">
        <f t="shared" si="39"/>
        <v>1752.5266649999999</v>
      </c>
      <c r="H168" s="60">
        <f t="shared" si="39"/>
        <v>1752.5266649999999</v>
      </c>
      <c r="I168" s="60">
        <f t="shared" si="39"/>
        <v>1752.5266649999999</v>
      </c>
      <c r="J168" s="60">
        <f t="shared" si="39"/>
        <v>1752.5266649999999</v>
      </c>
      <c r="K168" s="60">
        <f t="shared" si="39"/>
        <v>1752.5266649999999</v>
      </c>
      <c r="L168" s="60">
        <f t="shared" si="39"/>
        <v>1752.5266649999999</v>
      </c>
      <c r="M168" s="60">
        <f t="shared" si="39"/>
        <v>1752.5266649999999</v>
      </c>
      <c r="N168" s="60">
        <f t="shared" si="39"/>
        <v>1752.5266649999999</v>
      </c>
    </row>
    <row r="169" spans="1:15" x14ac:dyDescent="0.2">
      <c r="C169" s="60"/>
      <c r="D169" s="66"/>
      <c r="E169" s="66"/>
      <c r="F169" s="66"/>
      <c r="G169" s="66"/>
      <c r="H169" s="66"/>
      <c r="I169" s="66"/>
      <c r="J169" s="66"/>
      <c r="K169" s="66"/>
      <c r="L169" s="66"/>
      <c r="M169" s="66"/>
      <c r="N169" s="66"/>
    </row>
    <row r="170" spans="1:15" x14ac:dyDescent="0.2">
      <c r="C170" s="89" t="str">
        <f>C157</f>
        <v>January</v>
      </c>
      <c r="D170" s="89" t="str">
        <f t="shared" ref="D170:N170" si="40">D157</f>
        <v>February</v>
      </c>
      <c r="E170" s="89" t="str">
        <f t="shared" si="40"/>
        <v>March</v>
      </c>
      <c r="F170" s="89" t="str">
        <f t="shared" si="40"/>
        <v>April</v>
      </c>
      <c r="G170" s="89" t="str">
        <f t="shared" si="40"/>
        <v>May</v>
      </c>
      <c r="H170" s="89" t="str">
        <f t="shared" si="40"/>
        <v>June</v>
      </c>
      <c r="I170" s="89" t="str">
        <f t="shared" si="40"/>
        <v>July</v>
      </c>
      <c r="J170" s="89" t="str">
        <f t="shared" si="40"/>
        <v>August</v>
      </c>
      <c r="K170" s="89" t="str">
        <f t="shared" si="40"/>
        <v>September</v>
      </c>
      <c r="L170" s="89" t="str">
        <f t="shared" si="40"/>
        <v>October</v>
      </c>
      <c r="M170" s="89" t="str">
        <f t="shared" si="40"/>
        <v>November</v>
      </c>
      <c r="N170" s="89" t="str">
        <f t="shared" si="40"/>
        <v>December</v>
      </c>
    </row>
    <row r="171" spans="1:15" x14ac:dyDescent="0.2">
      <c r="C171" s="72">
        <v>31</v>
      </c>
      <c r="D171" s="72">
        <v>31</v>
      </c>
      <c r="E171" s="72">
        <v>30</v>
      </c>
      <c r="F171" s="72">
        <v>31</v>
      </c>
      <c r="G171" s="72">
        <v>30</v>
      </c>
      <c r="H171" s="72">
        <v>31</v>
      </c>
      <c r="I171" s="72">
        <v>31</v>
      </c>
      <c r="J171" s="72">
        <v>28</v>
      </c>
      <c r="K171" s="72">
        <v>31</v>
      </c>
      <c r="L171" s="72">
        <v>30</v>
      </c>
      <c r="M171" s="72">
        <v>31</v>
      </c>
      <c r="N171" s="71">
        <v>30</v>
      </c>
    </row>
    <row r="172" spans="1:15" x14ac:dyDescent="0.2">
      <c r="B172" s="89" t="s">
        <v>185</v>
      </c>
      <c r="C172" s="78">
        <f t="shared" ref="C172:N172" si="41">C159</f>
        <v>1</v>
      </c>
      <c r="D172" s="78">
        <f t="shared" si="41"/>
        <v>0</v>
      </c>
      <c r="E172" s="78">
        <f t="shared" si="41"/>
        <v>1</v>
      </c>
      <c r="F172" s="78">
        <f t="shared" si="41"/>
        <v>0</v>
      </c>
      <c r="G172" s="78">
        <f t="shared" si="41"/>
        <v>2</v>
      </c>
      <c r="H172" s="78">
        <f t="shared" si="41"/>
        <v>0</v>
      </c>
      <c r="I172" s="78">
        <f t="shared" si="41"/>
        <v>2</v>
      </c>
      <c r="J172" s="78">
        <f t="shared" si="41"/>
        <v>1</v>
      </c>
      <c r="K172" s="78">
        <f t="shared" si="41"/>
        <v>0</v>
      </c>
      <c r="L172" s="78">
        <f t="shared" si="41"/>
        <v>0</v>
      </c>
      <c r="M172" s="78">
        <f t="shared" si="41"/>
        <v>1</v>
      </c>
      <c r="N172" s="78">
        <f t="shared" si="41"/>
        <v>0</v>
      </c>
    </row>
    <row r="173" spans="1:15" x14ac:dyDescent="0.2">
      <c r="B173" s="89" t="s">
        <v>44</v>
      </c>
      <c r="C173" s="49">
        <v>0.45</v>
      </c>
      <c r="D173" s="49">
        <v>0.45</v>
      </c>
      <c r="E173" s="49">
        <v>0.45</v>
      </c>
      <c r="F173" s="49">
        <v>0.45</v>
      </c>
      <c r="G173" s="49">
        <v>0.45</v>
      </c>
      <c r="H173" s="49">
        <v>0.45</v>
      </c>
      <c r="I173" s="49">
        <v>0.45</v>
      </c>
      <c r="J173" s="49">
        <v>0.45</v>
      </c>
      <c r="K173" s="49">
        <v>0.45</v>
      </c>
      <c r="L173" s="49">
        <v>0.45</v>
      </c>
      <c r="M173" s="49">
        <v>0.45</v>
      </c>
      <c r="N173" s="49">
        <v>0.45</v>
      </c>
    </row>
    <row r="174" spans="1:15" x14ac:dyDescent="0.2">
      <c r="B174" s="78" t="s">
        <v>186</v>
      </c>
      <c r="C174" s="260">
        <f>SUM(174*C173)</f>
        <v>78.3</v>
      </c>
      <c r="D174" s="260">
        <f t="shared" ref="D174:N174" si="42">SUM(174*D173)</f>
        <v>78.3</v>
      </c>
      <c r="E174" s="260">
        <f t="shared" si="42"/>
        <v>78.3</v>
      </c>
      <c r="F174" s="260">
        <f t="shared" si="42"/>
        <v>78.3</v>
      </c>
      <c r="G174" s="260">
        <f t="shared" si="42"/>
        <v>78.3</v>
      </c>
      <c r="H174" s="260">
        <f t="shared" si="42"/>
        <v>78.3</v>
      </c>
      <c r="I174" s="260">
        <f t="shared" si="42"/>
        <v>78.3</v>
      </c>
      <c r="J174" s="260">
        <f t="shared" si="42"/>
        <v>78.3</v>
      </c>
      <c r="K174" s="260">
        <f t="shared" si="42"/>
        <v>78.3</v>
      </c>
      <c r="L174" s="260">
        <f t="shared" si="42"/>
        <v>78.3</v>
      </c>
      <c r="M174" s="260">
        <f t="shared" si="42"/>
        <v>78.3</v>
      </c>
      <c r="N174" s="260">
        <f t="shared" si="42"/>
        <v>78.3</v>
      </c>
    </row>
    <row r="175" spans="1:15" x14ac:dyDescent="0.2">
      <c r="A175" s="59" t="s">
        <v>342</v>
      </c>
      <c r="B175" s="78" t="s">
        <v>274</v>
      </c>
      <c r="C175" s="66">
        <f>SUM(C174*$B$176)</f>
        <v>1566</v>
      </c>
      <c r="D175" s="66">
        <f t="shared" ref="D175:N175" si="43">SUM(D174*$B$176)</f>
        <v>1566</v>
      </c>
      <c r="E175" s="66">
        <f t="shared" si="43"/>
        <v>1566</v>
      </c>
      <c r="F175" s="66">
        <f t="shared" si="43"/>
        <v>1566</v>
      </c>
      <c r="G175" s="66">
        <f t="shared" si="43"/>
        <v>1566</v>
      </c>
      <c r="H175" s="66">
        <f t="shared" si="43"/>
        <v>1566</v>
      </c>
      <c r="I175" s="66">
        <f t="shared" si="43"/>
        <v>1566</v>
      </c>
      <c r="J175" s="66">
        <f t="shared" si="43"/>
        <v>1566</v>
      </c>
      <c r="K175" s="66">
        <f t="shared" si="43"/>
        <v>1566</v>
      </c>
      <c r="L175" s="66">
        <f t="shared" si="43"/>
        <v>1566</v>
      </c>
      <c r="M175" s="66">
        <f t="shared" si="43"/>
        <v>1566</v>
      </c>
      <c r="N175" s="66">
        <f t="shared" si="43"/>
        <v>1566</v>
      </c>
      <c r="O175" s="210"/>
    </row>
    <row r="176" spans="1:15" x14ac:dyDescent="0.2">
      <c r="A176" s="59" t="s">
        <v>188</v>
      </c>
      <c r="B176" s="74">
        <v>20</v>
      </c>
      <c r="C176" s="66">
        <f>SUM(C175)*'Data Links'!$B$15</f>
        <v>119.79899999999999</v>
      </c>
      <c r="D176" s="66">
        <f>SUM(D175)*'Data Links'!$B$15</f>
        <v>119.79899999999999</v>
      </c>
      <c r="E176" s="66">
        <f>SUM(E175)*'Data Links'!$B$15</f>
        <v>119.79899999999999</v>
      </c>
      <c r="F176" s="66">
        <f>SUM(F175)*'Data Links'!$B$15</f>
        <v>119.79899999999999</v>
      </c>
      <c r="G176" s="66">
        <f>SUM(G175)*'Data Links'!$B$15</f>
        <v>119.79899999999999</v>
      </c>
      <c r="H176" s="66">
        <f>SUM(H175)*'Data Links'!$B$15</f>
        <v>119.79899999999999</v>
      </c>
      <c r="I176" s="66">
        <f>SUM(I175)*'Data Links'!$B$15</f>
        <v>119.79899999999999</v>
      </c>
      <c r="J176" s="66">
        <f>SUM(J175)*'Data Links'!$B$15</f>
        <v>119.79899999999999</v>
      </c>
      <c r="K176" s="66">
        <f>SUM(K175)*'Data Links'!$B$15</f>
        <v>119.79899999999999</v>
      </c>
      <c r="L176" s="66">
        <f>SUM(L175)*'Data Links'!$B$15</f>
        <v>119.79899999999999</v>
      </c>
      <c r="M176" s="66">
        <f>SUM(M175)*'Data Links'!$B$15</f>
        <v>119.79899999999999</v>
      </c>
      <c r="N176" s="66">
        <f>SUM(N175)*'Data Links'!$B$15</f>
        <v>119.79899999999999</v>
      </c>
    </row>
    <row r="177" spans="1:14" x14ac:dyDescent="0.2">
      <c r="A177" s="59" t="s">
        <v>189</v>
      </c>
      <c r="B177" s="74">
        <v>18.61</v>
      </c>
      <c r="C177" s="66">
        <f>SUM(C175*'Data Links'!$B$13)</f>
        <v>9.3960000000000008</v>
      </c>
      <c r="D177" s="66">
        <f>SUM(D175*'Data Links'!$B$13)</f>
        <v>9.3960000000000008</v>
      </c>
      <c r="E177" s="66">
        <f>SUM(E175*'Data Links'!$B$13)</f>
        <v>9.3960000000000008</v>
      </c>
      <c r="F177" s="66">
        <f>SUM(F175*'Data Links'!$B$13)</f>
        <v>9.3960000000000008</v>
      </c>
      <c r="G177" s="66">
        <f>SUM(G175*'Data Links'!$B$13)</f>
        <v>9.3960000000000008</v>
      </c>
      <c r="H177" s="66">
        <f>SUM(H175*'Data Links'!$B$13)</f>
        <v>9.3960000000000008</v>
      </c>
      <c r="I177" s="66">
        <f>SUM(I175*'Data Links'!$B$13)</f>
        <v>9.3960000000000008</v>
      </c>
      <c r="J177" s="66">
        <f>SUM(J175*'Data Links'!$B$13)</f>
        <v>9.3960000000000008</v>
      </c>
      <c r="K177" s="66">
        <f>SUM(K175*'Data Links'!$B$13)</f>
        <v>9.3960000000000008</v>
      </c>
      <c r="L177" s="66">
        <f>SUM(L175*'Data Links'!$B$13)</f>
        <v>9.3960000000000008</v>
      </c>
      <c r="M177" s="66">
        <f>SUM(M175*'Data Links'!$B$13)</f>
        <v>9.3960000000000008</v>
      </c>
      <c r="N177" s="66">
        <f>SUM(N175*'Data Links'!$B$13)</f>
        <v>9.3960000000000008</v>
      </c>
    </row>
    <row r="178" spans="1:14" x14ac:dyDescent="0.2">
      <c r="A178" s="59" t="s">
        <v>190</v>
      </c>
      <c r="C178" s="66">
        <f>SUM(C174*'Data Links'!$B$8)</f>
        <v>6.0956549999999998</v>
      </c>
      <c r="D178" s="66">
        <f>SUM(D174*'Data Links'!$B$8)</f>
        <v>6.0956549999999998</v>
      </c>
      <c r="E178" s="66">
        <f>SUM(E174*'Data Links'!$B$8)</f>
        <v>6.0956549999999998</v>
      </c>
      <c r="F178" s="66">
        <f>SUM(F174*'Data Links'!$B$8)</f>
        <v>6.0956549999999998</v>
      </c>
      <c r="G178" s="66">
        <f>SUM(G174*'Data Links'!$B$8)</f>
        <v>6.0956549999999998</v>
      </c>
      <c r="H178" s="66">
        <f>SUM(H174*'Data Links'!$B$8)</f>
        <v>6.0956549999999998</v>
      </c>
      <c r="I178" s="66">
        <f>SUM(I174*'Data Links'!$B$8)</f>
        <v>6.0956549999999998</v>
      </c>
      <c r="J178" s="66">
        <f>SUM(J174*'Data Links'!$B$8)</f>
        <v>6.0956549999999998</v>
      </c>
      <c r="K178" s="66">
        <f>SUM(K174*'Data Links'!$B$8)</f>
        <v>6.0956549999999998</v>
      </c>
      <c r="L178" s="66">
        <f>SUM(L174*'Data Links'!$B$8)</f>
        <v>6.0956549999999998</v>
      </c>
      <c r="M178" s="66">
        <f>SUM(M174*'Data Links'!$B$8)</f>
        <v>6.0956549999999998</v>
      </c>
      <c r="N178" s="66">
        <f>SUM(N174*'Data Links'!$B$8)</f>
        <v>6.0956549999999998</v>
      </c>
    </row>
    <row r="179" spans="1:14" x14ac:dyDescent="0.2">
      <c r="A179" s="59" t="s">
        <v>191</v>
      </c>
      <c r="C179" s="66">
        <f>SUM('All Employees'!$P$62)*C173</f>
        <v>178.47351</v>
      </c>
      <c r="D179" s="66">
        <f>SUM('All Employees'!$P$62)*D173</f>
        <v>178.47351</v>
      </c>
      <c r="E179" s="66">
        <f>SUM('All Employees'!$P$62)*E173</f>
        <v>178.47351</v>
      </c>
      <c r="F179" s="66">
        <f>SUM('All Employees'!$P$62)*F173</f>
        <v>178.47351</v>
      </c>
      <c r="G179" s="66">
        <f>SUM('All Employees'!$P$62)*G173</f>
        <v>178.47351</v>
      </c>
      <c r="H179" s="66">
        <f>SUM('All Employees'!$P$62)*H173</f>
        <v>178.47351</v>
      </c>
      <c r="I179" s="66">
        <f>SUM('All Employees'!$P$62)*I173</f>
        <v>178.47351</v>
      </c>
      <c r="J179" s="66">
        <f>SUM('All Employees'!$P$62)*J173</f>
        <v>178.47351</v>
      </c>
      <c r="K179" s="66">
        <f>SUM('All Employees'!$P$62)*K173</f>
        <v>178.47351</v>
      </c>
      <c r="L179" s="66">
        <f>SUM('All Employees'!$P$62)*L173</f>
        <v>178.47351</v>
      </c>
      <c r="M179" s="66">
        <f>SUM('All Employees'!$P$62)*M173</f>
        <v>178.47351</v>
      </c>
      <c r="N179" s="66">
        <f>SUM('All Employees'!$P$62)*N173</f>
        <v>178.47351</v>
      </c>
    </row>
    <row r="180" spans="1:14" x14ac:dyDescent="0.2">
      <c r="A180" s="59" t="s">
        <v>192</v>
      </c>
      <c r="C180" s="66">
        <f>SUM(C175*'Data Links'!$B$17)</f>
        <v>46.98</v>
      </c>
      <c r="D180" s="66">
        <f>SUM(D175*'Data Links'!$B$17)</f>
        <v>46.98</v>
      </c>
      <c r="E180" s="66">
        <f>SUM(E175*'Data Links'!$B$17)</f>
        <v>46.98</v>
      </c>
      <c r="F180" s="66">
        <f>SUM(F175*'Data Links'!$B$17)</f>
        <v>46.98</v>
      </c>
      <c r="G180" s="66">
        <f>SUM(G175*'Data Links'!$B$17)</f>
        <v>46.98</v>
      </c>
      <c r="H180" s="66">
        <f>SUM(H175*'Data Links'!$B$17)</f>
        <v>46.98</v>
      </c>
      <c r="I180" s="66">
        <f>SUM(I175*'Data Links'!$B$17)</f>
        <v>46.98</v>
      </c>
      <c r="J180" s="66">
        <f>SUM(J175*'Data Links'!$B$17)</f>
        <v>46.98</v>
      </c>
      <c r="K180" s="66">
        <f>SUM(K175*'Data Links'!$B$17)</f>
        <v>46.98</v>
      </c>
      <c r="L180" s="66">
        <f>SUM(L175*'Data Links'!$B$17)</f>
        <v>46.98</v>
      </c>
      <c r="M180" s="66">
        <f>SUM(M175*'Data Links'!$B$17)</f>
        <v>46.98</v>
      </c>
      <c r="N180" s="66">
        <f>SUM(N175*'Data Links'!$B$17)</f>
        <v>46.98</v>
      </c>
    </row>
    <row r="181" spans="1:14" s="58" customFormat="1" x14ac:dyDescent="0.2">
      <c r="A181" s="58" t="s">
        <v>144</v>
      </c>
      <c r="B181" s="60"/>
      <c r="C181" s="60">
        <f t="shared" ref="C181:N181" si="44">SUM(C175:C180)</f>
        <v>1926.7441650000001</v>
      </c>
      <c r="D181" s="60">
        <f t="shared" si="44"/>
        <v>1926.7441650000001</v>
      </c>
      <c r="E181" s="60">
        <f t="shared" si="44"/>
        <v>1926.7441650000001</v>
      </c>
      <c r="F181" s="60">
        <f t="shared" si="44"/>
        <v>1926.7441650000001</v>
      </c>
      <c r="G181" s="60">
        <f t="shared" si="44"/>
        <v>1926.7441650000001</v>
      </c>
      <c r="H181" s="60">
        <f t="shared" si="44"/>
        <v>1926.7441650000001</v>
      </c>
      <c r="I181" s="60">
        <f t="shared" si="44"/>
        <v>1926.7441650000001</v>
      </c>
      <c r="J181" s="60">
        <f t="shared" si="44"/>
        <v>1926.7441650000001</v>
      </c>
      <c r="K181" s="60">
        <f t="shared" si="44"/>
        <v>1926.7441650000001</v>
      </c>
      <c r="L181" s="60">
        <f t="shared" si="44"/>
        <v>1926.7441650000001</v>
      </c>
      <c r="M181" s="60">
        <f t="shared" si="44"/>
        <v>1926.7441650000001</v>
      </c>
      <c r="N181" s="60">
        <f t="shared" si="44"/>
        <v>1926.7441650000001</v>
      </c>
    </row>
    <row r="182" spans="1:14" x14ac:dyDescent="0.2">
      <c r="C182" s="60"/>
      <c r="D182" s="66"/>
      <c r="E182" s="66"/>
      <c r="F182" s="66"/>
      <c r="G182" s="66"/>
      <c r="H182" s="66"/>
      <c r="I182" s="66"/>
      <c r="J182" s="66"/>
      <c r="K182" s="66"/>
      <c r="L182" s="66"/>
      <c r="M182" s="66"/>
      <c r="N182" s="66"/>
    </row>
    <row r="183" spans="1:14" x14ac:dyDescent="0.2">
      <c r="C183" s="89" t="str">
        <f>C170</f>
        <v>January</v>
      </c>
      <c r="D183" s="89" t="str">
        <f t="shared" ref="D183:N183" si="45">D170</f>
        <v>February</v>
      </c>
      <c r="E183" s="89" t="str">
        <f t="shared" si="45"/>
        <v>March</v>
      </c>
      <c r="F183" s="89" t="str">
        <f t="shared" si="45"/>
        <v>April</v>
      </c>
      <c r="G183" s="89" t="str">
        <f t="shared" si="45"/>
        <v>May</v>
      </c>
      <c r="H183" s="89" t="str">
        <f t="shared" si="45"/>
        <v>June</v>
      </c>
      <c r="I183" s="89" t="str">
        <f t="shared" si="45"/>
        <v>July</v>
      </c>
      <c r="J183" s="89" t="str">
        <f t="shared" si="45"/>
        <v>August</v>
      </c>
      <c r="K183" s="89" t="str">
        <f t="shared" si="45"/>
        <v>September</v>
      </c>
      <c r="L183" s="89" t="str">
        <f t="shared" si="45"/>
        <v>October</v>
      </c>
      <c r="M183" s="89" t="str">
        <f t="shared" si="45"/>
        <v>November</v>
      </c>
      <c r="N183" s="89" t="str">
        <f t="shared" si="45"/>
        <v>December</v>
      </c>
    </row>
    <row r="184" spans="1:14" x14ac:dyDescent="0.2">
      <c r="C184" s="72">
        <v>31</v>
      </c>
      <c r="D184" s="72">
        <v>31</v>
      </c>
      <c r="E184" s="72">
        <v>30</v>
      </c>
      <c r="F184" s="72">
        <v>31</v>
      </c>
      <c r="G184" s="72">
        <v>30</v>
      </c>
      <c r="H184" s="72">
        <v>31</v>
      </c>
      <c r="I184" s="72">
        <v>31</v>
      </c>
      <c r="J184" s="72">
        <v>28</v>
      </c>
      <c r="K184" s="72">
        <v>31</v>
      </c>
      <c r="L184" s="72">
        <v>30</v>
      </c>
      <c r="M184" s="72">
        <v>31</v>
      </c>
      <c r="N184" s="71">
        <v>30</v>
      </c>
    </row>
    <row r="185" spans="1:14" x14ac:dyDescent="0.2">
      <c r="B185" s="89" t="s">
        <v>185</v>
      </c>
      <c r="C185" s="53">
        <f>C172</f>
        <v>1</v>
      </c>
      <c r="D185" s="78">
        <f t="shared" ref="D185:N185" si="46">D172</f>
        <v>0</v>
      </c>
      <c r="E185" s="78">
        <f t="shared" si="46"/>
        <v>1</v>
      </c>
      <c r="F185" s="78">
        <f t="shared" si="46"/>
        <v>0</v>
      </c>
      <c r="G185" s="78">
        <f t="shared" si="46"/>
        <v>2</v>
      </c>
      <c r="H185" s="78">
        <f t="shared" si="46"/>
        <v>0</v>
      </c>
      <c r="I185" s="78">
        <f t="shared" si="46"/>
        <v>2</v>
      </c>
      <c r="J185" s="78">
        <f t="shared" si="46"/>
        <v>1</v>
      </c>
      <c r="K185" s="78">
        <f t="shared" si="46"/>
        <v>0</v>
      </c>
      <c r="L185" s="78">
        <f t="shared" si="46"/>
        <v>0</v>
      </c>
      <c r="M185" s="78">
        <f t="shared" si="46"/>
        <v>1</v>
      </c>
      <c r="N185" s="78">
        <f t="shared" si="46"/>
        <v>0</v>
      </c>
    </row>
    <row r="186" spans="1:14" x14ac:dyDescent="0.2">
      <c r="B186" s="89" t="s">
        <v>44</v>
      </c>
      <c r="C186" s="49">
        <v>0.45</v>
      </c>
      <c r="D186" s="49">
        <v>0.45</v>
      </c>
      <c r="E186" s="49">
        <v>0.45</v>
      </c>
      <c r="F186" s="49">
        <v>0.45</v>
      </c>
      <c r="G186" s="49">
        <v>0.45</v>
      </c>
      <c r="H186" s="49">
        <v>0.45</v>
      </c>
      <c r="I186" s="49">
        <v>0.45</v>
      </c>
      <c r="J186" s="49">
        <v>0.45</v>
      </c>
      <c r="K186" s="49">
        <v>0.45</v>
      </c>
      <c r="L186" s="49">
        <v>0.45</v>
      </c>
      <c r="M186" s="49">
        <v>0.45</v>
      </c>
      <c r="N186" s="49">
        <v>0.45</v>
      </c>
    </row>
    <row r="187" spans="1:14" x14ac:dyDescent="0.2">
      <c r="B187" s="89" t="s">
        <v>186</v>
      </c>
      <c r="C187" s="260">
        <f>SUM(174*C186)</f>
        <v>78.3</v>
      </c>
      <c r="D187" s="260">
        <f t="shared" ref="D187:N187" si="47">SUM(174*D186)</f>
        <v>78.3</v>
      </c>
      <c r="E187" s="260">
        <f t="shared" si="47"/>
        <v>78.3</v>
      </c>
      <c r="F187" s="260">
        <f t="shared" si="47"/>
        <v>78.3</v>
      </c>
      <c r="G187" s="260">
        <f t="shared" si="47"/>
        <v>78.3</v>
      </c>
      <c r="H187" s="260">
        <f t="shared" si="47"/>
        <v>78.3</v>
      </c>
      <c r="I187" s="260">
        <f t="shared" si="47"/>
        <v>78.3</v>
      </c>
      <c r="J187" s="260">
        <f t="shared" si="47"/>
        <v>78.3</v>
      </c>
      <c r="K187" s="260">
        <f t="shared" si="47"/>
        <v>78.3</v>
      </c>
      <c r="L187" s="260">
        <f t="shared" si="47"/>
        <v>78.3</v>
      </c>
      <c r="M187" s="260">
        <f t="shared" si="47"/>
        <v>78.3</v>
      </c>
      <c r="N187" s="260">
        <f t="shared" si="47"/>
        <v>78.3</v>
      </c>
    </row>
    <row r="188" spans="1:14" x14ac:dyDescent="0.2">
      <c r="A188" s="59" t="s">
        <v>340</v>
      </c>
      <c r="B188" s="78" t="s">
        <v>341</v>
      </c>
      <c r="C188" s="66">
        <f>SUM(C187*$B$189)</f>
        <v>1823.607</v>
      </c>
      <c r="D188" s="66">
        <f t="shared" ref="D188:N188" si="48">SUM(D187*$B$189)</f>
        <v>1823.607</v>
      </c>
      <c r="E188" s="66">
        <f t="shared" si="48"/>
        <v>1823.607</v>
      </c>
      <c r="F188" s="66">
        <f t="shared" si="48"/>
        <v>1823.607</v>
      </c>
      <c r="G188" s="66">
        <f t="shared" si="48"/>
        <v>1823.607</v>
      </c>
      <c r="H188" s="66">
        <f t="shared" si="48"/>
        <v>1823.607</v>
      </c>
      <c r="I188" s="66">
        <f t="shared" si="48"/>
        <v>1823.607</v>
      </c>
      <c r="J188" s="66">
        <f t="shared" si="48"/>
        <v>1823.607</v>
      </c>
      <c r="K188" s="66">
        <f t="shared" si="48"/>
        <v>1823.607</v>
      </c>
      <c r="L188" s="66">
        <f t="shared" si="48"/>
        <v>1823.607</v>
      </c>
      <c r="M188" s="66">
        <f t="shared" si="48"/>
        <v>1823.607</v>
      </c>
      <c r="N188" s="66">
        <f t="shared" si="48"/>
        <v>1823.607</v>
      </c>
    </row>
    <row r="189" spans="1:14" x14ac:dyDescent="0.2">
      <c r="A189" s="59" t="s">
        <v>188</v>
      </c>
      <c r="B189" s="74">
        <v>23.29</v>
      </c>
      <c r="C189" s="66">
        <f>SUM(C188)*'Data Links'!$B$15</f>
        <v>139.50593549999999</v>
      </c>
      <c r="D189" s="66">
        <f>SUM(D188)*'Data Links'!$B$15</f>
        <v>139.50593549999999</v>
      </c>
      <c r="E189" s="66">
        <f>SUM(E188)*'Data Links'!$B$15</f>
        <v>139.50593549999999</v>
      </c>
      <c r="F189" s="66">
        <f>SUM(F188)*'Data Links'!$B$15</f>
        <v>139.50593549999999</v>
      </c>
      <c r="G189" s="66">
        <f>SUM(G188)*'Data Links'!$B$15</f>
        <v>139.50593549999999</v>
      </c>
      <c r="H189" s="66">
        <f>SUM(H188)*'Data Links'!$B$15</f>
        <v>139.50593549999999</v>
      </c>
      <c r="I189" s="66">
        <f>SUM(I188)*'Data Links'!$B$15</f>
        <v>139.50593549999999</v>
      </c>
      <c r="J189" s="66">
        <f>SUM(J188)*'Data Links'!$B$15</f>
        <v>139.50593549999999</v>
      </c>
      <c r="K189" s="66">
        <f>SUM(K188)*'Data Links'!$B$15</f>
        <v>139.50593549999999</v>
      </c>
      <c r="L189" s="66">
        <f>SUM(L188)*'Data Links'!$B$15</f>
        <v>139.50593549999999</v>
      </c>
      <c r="M189" s="66">
        <f>SUM(M188)*'Data Links'!$B$15</f>
        <v>139.50593549999999</v>
      </c>
      <c r="N189" s="66">
        <f>SUM(N188)*'Data Links'!$B$15</f>
        <v>139.50593549999999</v>
      </c>
    </row>
    <row r="190" spans="1:14" x14ac:dyDescent="0.2">
      <c r="A190" s="59" t="s">
        <v>189</v>
      </c>
      <c r="C190" s="66">
        <f>SUM(C188*'Data Links'!$B$13)</f>
        <v>10.941642</v>
      </c>
      <c r="D190" s="66">
        <f>SUM(D188*'Data Links'!$B$13)</f>
        <v>10.941642</v>
      </c>
      <c r="E190" s="66">
        <f>SUM(E188*'Data Links'!$B$13)</f>
        <v>10.941642</v>
      </c>
      <c r="F190" s="66">
        <f>SUM(F188*'Data Links'!$B$13)</f>
        <v>10.941642</v>
      </c>
      <c r="G190" s="66">
        <f>SUM(G188*'Data Links'!$B$13)</f>
        <v>10.941642</v>
      </c>
      <c r="H190" s="66">
        <f>SUM(H188*'Data Links'!$B$13)</f>
        <v>10.941642</v>
      </c>
      <c r="I190" s="66">
        <f>SUM(I188*'Data Links'!$B$13)</f>
        <v>10.941642</v>
      </c>
      <c r="J190" s="66">
        <f>SUM(J188*'Data Links'!$B$13)</f>
        <v>10.941642</v>
      </c>
      <c r="K190" s="66">
        <f>SUM(K188*'Data Links'!$B$13)</f>
        <v>10.941642</v>
      </c>
      <c r="L190" s="66">
        <f>SUM(L188*'Data Links'!$B$13)</f>
        <v>10.941642</v>
      </c>
      <c r="M190" s="66">
        <f>SUM(M188*'Data Links'!$B$13)</f>
        <v>10.941642</v>
      </c>
      <c r="N190" s="66">
        <f>SUM(N188*'Data Links'!$B$13)</f>
        <v>10.941642</v>
      </c>
    </row>
    <row r="191" spans="1:14" x14ac:dyDescent="0.2">
      <c r="A191" s="59" t="s">
        <v>190</v>
      </c>
      <c r="C191" s="66">
        <f>SUM(C187*'Data Links'!$B$8)</f>
        <v>6.0956549999999998</v>
      </c>
      <c r="D191" s="66">
        <f>SUM(D187*'Data Links'!$B$8)</f>
        <v>6.0956549999999998</v>
      </c>
      <c r="E191" s="66">
        <f>SUM(E187*'Data Links'!$B$8)</f>
        <v>6.0956549999999998</v>
      </c>
      <c r="F191" s="66">
        <f>SUM(F187*'Data Links'!$B$8)</f>
        <v>6.0956549999999998</v>
      </c>
      <c r="G191" s="66">
        <f>SUM(G187*'Data Links'!$B$8)</f>
        <v>6.0956549999999998</v>
      </c>
      <c r="H191" s="66">
        <f>SUM(H187*'Data Links'!$B$8)</f>
        <v>6.0956549999999998</v>
      </c>
      <c r="I191" s="66">
        <f>SUM(I187*'Data Links'!$B$8)</f>
        <v>6.0956549999999998</v>
      </c>
      <c r="J191" s="66">
        <f>SUM(J187*'Data Links'!$B$8)</f>
        <v>6.0956549999999998</v>
      </c>
      <c r="K191" s="66">
        <f>SUM(K187*'Data Links'!$B$8)</f>
        <v>6.0956549999999998</v>
      </c>
      <c r="L191" s="66">
        <f>SUM(L187*'Data Links'!$B$8)</f>
        <v>6.0956549999999998</v>
      </c>
      <c r="M191" s="66">
        <f>SUM(M187*'Data Links'!$B$8)</f>
        <v>6.0956549999999998</v>
      </c>
      <c r="N191" s="66">
        <f>SUM(N187*'Data Links'!$B$8)</f>
        <v>6.0956549999999998</v>
      </c>
    </row>
    <row r="192" spans="1:14" x14ac:dyDescent="0.2">
      <c r="A192" s="59" t="s">
        <v>191</v>
      </c>
      <c r="C192" s="66">
        <f>SUM('All Employees'!$P$61)*C186</f>
        <v>178.47351</v>
      </c>
      <c r="D192" s="66">
        <f>SUM('All Employees'!$P$61)*D186</f>
        <v>178.47351</v>
      </c>
      <c r="E192" s="66">
        <f>SUM('All Employees'!$P$61)*E186</f>
        <v>178.47351</v>
      </c>
      <c r="F192" s="66">
        <f>SUM('All Employees'!$P$61)*F186</f>
        <v>178.47351</v>
      </c>
      <c r="G192" s="66">
        <f>SUM('All Employees'!$P$61)*G186</f>
        <v>178.47351</v>
      </c>
      <c r="H192" s="66">
        <f>SUM('All Employees'!$P$61)*H186</f>
        <v>178.47351</v>
      </c>
      <c r="I192" s="66">
        <f>SUM('All Employees'!$P$61)*I186</f>
        <v>178.47351</v>
      </c>
      <c r="J192" s="66">
        <f>SUM('All Employees'!$P$61)*J186</f>
        <v>178.47351</v>
      </c>
      <c r="K192" s="66">
        <f>SUM('All Employees'!$P$61)*K186</f>
        <v>178.47351</v>
      </c>
      <c r="L192" s="66">
        <f>SUM('All Employees'!$P$61)*L186</f>
        <v>178.47351</v>
      </c>
      <c r="M192" s="66">
        <f>SUM('All Employees'!$P$61)*M186</f>
        <v>178.47351</v>
      </c>
      <c r="N192" s="66">
        <f>SUM('All Employees'!$P$61)*N186</f>
        <v>178.47351</v>
      </c>
    </row>
    <row r="193" spans="1:14" x14ac:dyDescent="0.2">
      <c r="A193" s="59" t="s">
        <v>192</v>
      </c>
      <c r="C193" s="66">
        <f>SUM(C188*'Data Links'!$B$17)</f>
        <v>54.708209999999994</v>
      </c>
      <c r="D193" s="66">
        <f>SUM(D188*'Data Links'!$B$17)</f>
        <v>54.708209999999994</v>
      </c>
      <c r="E193" s="66">
        <f>SUM(E188*'Data Links'!$B$17)</f>
        <v>54.708209999999994</v>
      </c>
      <c r="F193" s="66">
        <f>SUM(F188*'Data Links'!$B$17)</f>
        <v>54.708209999999994</v>
      </c>
      <c r="G193" s="66">
        <f>SUM(G188*'Data Links'!$B$17)</f>
        <v>54.708209999999994</v>
      </c>
      <c r="H193" s="66">
        <f>SUM(H188*'Data Links'!$B$17)</f>
        <v>54.708209999999994</v>
      </c>
      <c r="I193" s="66">
        <f>SUM(I188*'Data Links'!$B$17)</f>
        <v>54.708209999999994</v>
      </c>
      <c r="J193" s="66">
        <f>SUM(J188*'Data Links'!$B$17)</f>
        <v>54.708209999999994</v>
      </c>
      <c r="K193" s="66">
        <f>SUM(K188*'Data Links'!$B$17)</f>
        <v>54.708209999999994</v>
      </c>
      <c r="L193" s="66">
        <f>SUM(L188*'Data Links'!$B$17)</f>
        <v>54.708209999999994</v>
      </c>
      <c r="M193" s="66">
        <f>SUM(M188*'Data Links'!$B$17)</f>
        <v>54.708209999999994</v>
      </c>
      <c r="N193" s="66">
        <f>SUM(N188*'Data Links'!$B$17)</f>
        <v>54.708209999999994</v>
      </c>
    </row>
    <row r="194" spans="1:14" s="58" customFormat="1" x14ac:dyDescent="0.2">
      <c r="A194" s="58" t="s">
        <v>144</v>
      </c>
      <c r="B194" s="60"/>
      <c r="C194" s="60">
        <f t="shared" ref="C194:N194" si="49">SUM(C188:C193)</f>
        <v>2213.3319524999997</v>
      </c>
      <c r="D194" s="60">
        <f t="shared" si="49"/>
        <v>2213.3319524999997</v>
      </c>
      <c r="E194" s="60">
        <f t="shared" si="49"/>
        <v>2213.3319524999997</v>
      </c>
      <c r="F194" s="60">
        <f t="shared" si="49"/>
        <v>2213.3319524999997</v>
      </c>
      <c r="G194" s="60">
        <f t="shared" si="49"/>
        <v>2213.3319524999997</v>
      </c>
      <c r="H194" s="60">
        <f t="shared" si="49"/>
        <v>2213.3319524999997</v>
      </c>
      <c r="I194" s="60">
        <f t="shared" si="49"/>
        <v>2213.3319524999997</v>
      </c>
      <c r="J194" s="60">
        <f t="shared" si="49"/>
        <v>2213.3319524999997</v>
      </c>
      <c r="K194" s="60">
        <f t="shared" si="49"/>
        <v>2213.3319524999997</v>
      </c>
      <c r="L194" s="60">
        <f t="shared" si="49"/>
        <v>2213.3319524999997</v>
      </c>
      <c r="M194" s="60">
        <f t="shared" si="49"/>
        <v>2213.3319524999997</v>
      </c>
      <c r="N194" s="60">
        <f t="shared" si="49"/>
        <v>2213.3319524999997</v>
      </c>
    </row>
    <row r="195" spans="1:14" x14ac:dyDescent="0.2">
      <c r="C195" s="60"/>
      <c r="D195" s="66"/>
      <c r="E195" s="66"/>
      <c r="F195" s="66"/>
      <c r="G195" s="66"/>
      <c r="H195" s="66"/>
      <c r="I195" s="66"/>
      <c r="J195" s="66"/>
      <c r="K195" s="66"/>
      <c r="L195" s="66"/>
      <c r="M195" s="66"/>
      <c r="N195" s="66"/>
    </row>
    <row r="196" spans="1:14" x14ac:dyDescent="0.2">
      <c r="C196" s="89" t="str">
        <f>C183</f>
        <v>January</v>
      </c>
      <c r="D196" s="89" t="str">
        <f t="shared" ref="D196:M196" si="50">D183</f>
        <v>February</v>
      </c>
      <c r="E196" s="89" t="str">
        <f t="shared" si="50"/>
        <v>March</v>
      </c>
      <c r="F196" s="89" t="str">
        <f t="shared" si="50"/>
        <v>April</v>
      </c>
      <c r="G196" s="89" t="str">
        <f t="shared" si="50"/>
        <v>May</v>
      </c>
      <c r="H196" s="89" t="str">
        <f t="shared" si="50"/>
        <v>June</v>
      </c>
      <c r="I196" s="89" t="str">
        <f t="shared" si="50"/>
        <v>July</v>
      </c>
      <c r="J196" s="89" t="str">
        <f t="shared" si="50"/>
        <v>August</v>
      </c>
      <c r="K196" s="89" t="str">
        <f t="shared" si="50"/>
        <v>September</v>
      </c>
      <c r="L196" s="89" t="str">
        <f t="shared" si="50"/>
        <v>October</v>
      </c>
      <c r="M196" s="89" t="str">
        <f t="shared" si="50"/>
        <v>November</v>
      </c>
      <c r="N196" s="89" t="str">
        <f>N183</f>
        <v>December</v>
      </c>
    </row>
    <row r="197" spans="1:14" x14ac:dyDescent="0.2">
      <c r="C197" s="72">
        <v>31</v>
      </c>
      <c r="D197" s="72">
        <v>31</v>
      </c>
      <c r="E197" s="72">
        <v>30</v>
      </c>
      <c r="F197" s="72">
        <v>31</v>
      </c>
      <c r="G197" s="72">
        <v>30</v>
      </c>
      <c r="H197" s="72">
        <v>31</v>
      </c>
      <c r="I197" s="72">
        <v>31</v>
      </c>
      <c r="J197" s="72">
        <v>28</v>
      </c>
      <c r="K197" s="72">
        <v>31</v>
      </c>
      <c r="L197" s="72">
        <v>30</v>
      </c>
      <c r="M197" s="72">
        <v>31</v>
      </c>
      <c r="N197" s="71">
        <v>30</v>
      </c>
    </row>
    <row r="198" spans="1:14" x14ac:dyDescent="0.2">
      <c r="B198" s="89" t="s">
        <v>185</v>
      </c>
      <c r="C198" s="78">
        <v>1</v>
      </c>
      <c r="D198" s="78">
        <v>0</v>
      </c>
      <c r="E198" s="78">
        <v>1</v>
      </c>
      <c r="F198" s="78">
        <f t="shared" ref="F198:N198" si="51">F185</f>
        <v>0</v>
      </c>
      <c r="G198" s="78">
        <v>2</v>
      </c>
      <c r="H198" s="78">
        <f t="shared" si="51"/>
        <v>0</v>
      </c>
      <c r="I198" s="78">
        <v>2</v>
      </c>
      <c r="J198" s="78">
        <v>1</v>
      </c>
      <c r="K198" s="78">
        <v>0</v>
      </c>
      <c r="L198" s="78">
        <v>0</v>
      </c>
      <c r="M198" s="78">
        <f t="shared" si="51"/>
        <v>1</v>
      </c>
      <c r="N198" s="78">
        <f t="shared" si="51"/>
        <v>0</v>
      </c>
    </row>
    <row r="199" spans="1:14" x14ac:dyDescent="0.2">
      <c r="B199" s="89" t="s">
        <v>44</v>
      </c>
      <c r="C199" s="49">
        <f>SUM('Program Support Allocations'!$C$31)</f>
        <v>7.0862068965517236E-2</v>
      </c>
      <c r="D199" s="49">
        <f>SUM('Program Support Allocations'!$C$31)</f>
        <v>7.0862068965517236E-2</v>
      </c>
      <c r="E199" s="49">
        <f>SUM('Program Support Allocations'!$C$31)</f>
        <v>7.0862068965517236E-2</v>
      </c>
      <c r="F199" s="49">
        <f>SUM('Program Support Allocations'!$C$31)</f>
        <v>7.0862068965517236E-2</v>
      </c>
      <c r="G199" s="49">
        <f>SUM('Program Support Allocations'!$C$31)</f>
        <v>7.0862068965517236E-2</v>
      </c>
      <c r="H199" s="49">
        <f>SUM('Program Support Allocations'!$C$31)</f>
        <v>7.0862068965517236E-2</v>
      </c>
      <c r="I199" s="49">
        <f>SUM('Program Support Allocations'!$C$31)</f>
        <v>7.0862068965517236E-2</v>
      </c>
      <c r="J199" s="49">
        <f>SUM('Program Support Allocations'!$C$31)</f>
        <v>7.0862068965517236E-2</v>
      </c>
      <c r="K199" s="49">
        <f>SUM('Program Support Allocations'!$C$31)</f>
        <v>7.0862068965517236E-2</v>
      </c>
      <c r="L199" s="49">
        <f>SUM('Program Support Allocations'!$C$31)</f>
        <v>7.0862068965517236E-2</v>
      </c>
      <c r="M199" s="49">
        <f>SUM('Program Support Allocations'!$C$31)</f>
        <v>7.0862068965517236E-2</v>
      </c>
      <c r="N199" s="49">
        <f>SUM('Program Support Allocations'!$C$31)</f>
        <v>7.0862068965517236E-2</v>
      </c>
    </row>
    <row r="200" spans="1:14" x14ac:dyDescent="0.2">
      <c r="B200" s="89" t="s">
        <v>186</v>
      </c>
      <c r="C200" s="53">
        <f>SUM(174*C199)</f>
        <v>12.329999999999998</v>
      </c>
      <c r="D200" s="53">
        <f t="shared" ref="D200:N200" si="52">SUM(174*D199)</f>
        <v>12.329999999999998</v>
      </c>
      <c r="E200" s="53">
        <f t="shared" si="52"/>
        <v>12.329999999999998</v>
      </c>
      <c r="F200" s="53">
        <f t="shared" si="52"/>
        <v>12.329999999999998</v>
      </c>
      <c r="G200" s="53">
        <f t="shared" si="52"/>
        <v>12.329999999999998</v>
      </c>
      <c r="H200" s="53">
        <f t="shared" si="52"/>
        <v>12.329999999999998</v>
      </c>
      <c r="I200" s="53">
        <f t="shared" si="52"/>
        <v>12.329999999999998</v>
      </c>
      <c r="J200" s="53">
        <f t="shared" si="52"/>
        <v>12.329999999999998</v>
      </c>
      <c r="K200" s="53">
        <f t="shared" si="52"/>
        <v>12.329999999999998</v>
      </c>
      <c r="L200" s="53">
        <f t="shared" si="52"/>
        <v>12.329999999999998</v>
      </c>
      <c r="M200" s="53">
        <f t="shared" si="52"/>
        <v>12.329999999999998</v>
      </c>
      <c r="N200" s="53">
        <f t="shared" si="52"/>
        <v>12.329999999999998</v>
      </c>
    </row>
    <row r="201" spans="1:14" x14ac:dyDescent="0.2">
      <c r="A201" s="59" t="s">
        <v>623</v>
      </c>
      <c r="B201" s="78" t="s">
        <v>187</v>
      </c>
      <c r="C201" s="66">
        <f>SUM(C200*$B$202)</f>
        <v>351.77489999999995</v>
      </c>
      <c r="D201" s="66">
        <f t="shared" ref="D201:N201" si="53">SUM(D200*$B$202)</f>
        <v>351.77489999999995</v>
      </c>
      <c r="E201" s="66">
        <f t="shared" si="53"/>
        <v>351.77489999999995</v>
      </c>
      <c r="F201" s="66">
        <f t="shared" si="53"/>
        <v>351.77489999999995</v>
      </c>
      <c r="G201" s="66">
        <f t="shared" si="53"/>
        <v>351.77489999999995</v>
      </c>
      <c r="H201" s="66">
        <f t="shared" si="53"/>
        <v>351.77489999999995</v>
      </c>
      <c r="I201" s="66">
        <f t="shared" si="53"/>
        <v>351.77489999999995</v>
      </c>
      <c r="J201" s="66">
        <f t="shared" si="53"/>
        <v>351.77489999999995</v>
      </c>
      <c r="K201" s="66">
        <f t="shared" si="53"/>
        <v>351.77489999999995</v>
      </c>
      <c r="L201" s="66">
        <f t="shared" si="53"/>
        <v>351.77489999999995</v>
      </c>
      <c r="M201" s="66">
        <f t="shared" si="53"/>
        <v>351.77489999999995</v>
      </c>
      <c r="N201" s="66">
        <f t="shared" si="53"/>
        <v>351.77489999999995</v>
      </c>
    </row>
    <row r="202" spans="1:14" x14ac:dyDescent="0.2">
      <c r="A202" s="59" t="s">
        <v>188</v>
      </c>
      <c r="B202" s="74">
        <v>28.53</v>
      </c>
      <c r="C202" s="66">
        <f>SUM(C201)*'Data Links'!$B$15</f>
        <v>26.910779849999994</v>
      </c>
      <c r="D202" s="66">
        <f>SUM(D201)*'Data Links'!$B$15</f>
        <v>26.910779849999994</v>
      </c>
      <c r="E202" s="66">
        <f>SUM(E201)*'Data Links'!$B$15</f>
        <v>26.910779849999994</v>
      </c>
      <c r="F202" s="66">
        <f>SUM(F201)*'Data Links'!$B$15</f>
        <v>26.910779849999994</v>
      </c>
      <c r="G202" s="66">
        <f>SUM(G201)*'Data Links'!$B$15</f>
        <v>26.910779849999994</v>
      </c>
      <c r="H202" s="66">
        <f>SUM(H201)*'Data Links'!$B$15</f>
        <v>26.910779849999994</v>
      </c>
      <c r="I202" s="66">
        <f>SUM(I201)*'Data Links'!$B$15</f>
        <v>26.910779849999994</v>
      </c>
      <c r="J202" s="66">
        <f>SUM(J201)*'Data Links'!$B$15</f>
        <v>26.910779849999994</v>
      </c>
      <c r="K202" s="66">
        <f>SUM(K201)*'Data Links'!$B$15</f>
        <v>26.910779849999994</v>
      </c>
      <c r="L202" s="66">
        <f>SUM(L201)*'Data Links'!$B$15</f>
        <v>26.910779849999994</v>
      </c>
      <c r="M202" s="66">
        <f>SUM(M201)*'Data Links'!$B$15</f>
        <v>26.910779849999994</v>
      </c>
      <c r="N202" s="66">
        <f>SUM(N201)*'Data Links'!$B$15</f>
        <v>26.910779849999994</v>
      </c>
    </row>
    <row r="203" spans="1:14" x14ac:dyDescent="0.2">
      <c r="A203" s="59" t="s">
        <v>189</v>
      </c>
      <c r="C203" s="66">
        <f>SUM(C201*'Data Links'!$B$13)</f>
        <v>2.1106493999999998</v>
      </c>
      <c r="D203" s="66">
        <f>SUM(D201*'Data Links'!$B$13)</f>
        <v>2.1106493999999998</v>
      </c>
      <c r="E203" s="66">
        <f>SUM(E201*'Data Links'!$B$13)</f>
        <v>2.1106493999999998</v>
      </c>
      <c r="F203" s="66">
        <f>SUM(F201*'Data Links'!$B$13)</f>
        <v>2.1106493999999998</v>
      </c>
      <c r="G203" s="66">
        <f>SUM(G201*'Data Links'!$B$13)</f>
        <v>2.1106493999999998</v>
      </c>
      <c r="H203" s="66">
        <f>SUM(H201*'Data Links'!$B$13)</f>
        <v>2.1106493999999998</v>
      </c>
      <c r="I203" s="66">
        <f>SUM(I201*'Data Links'!$B$13)</f>
        <v>2.1106493999999998</v>
      </c>
      <c r="J203" s="66">
        <f>SUM(J201*'Data Links'!$B$13)</f>
        <v>2.1106493999999998</v>
      </c>
      <c r="K203" s="66">
        <f>SUM(K201*'Data Links'!$B$13)</f>
        <v>2.1106493999999998</v>
      </c>
      <c r="L203" s="66">
        <f>SUM(L201*'Data Links'!$B$13)</f>
        <v>2.1106493999999998</v>
      </c>
      <c r="M203" s="66">
        <f>SUM(M201*'Data Links'!$B$13)</f>
        <v>2.1106493999999998</v>
      </c>
      <c r="N203" s="66">
        <f>SUM(N201*'Data Links'!$B$13)</f>
        <v>2.1106493999999998</v>
      </c>
    </row>
    <row r="204" spans="1:14" x14ac:dyDescent="0.2">
      <c r="A204" s="59" t="s">
        <v>190</v>
      </c>
      <c r="C204" s="66">
        <f>SUM(C200*'Data Links'!$B$8)</f>
        <v>0.95989049999999987</v>
      </c>
      <c r="D204" s="66">
        <f>SUM(D200*'Data Links'!$B$8)</f>
        <v>0.95989049999999987</v>
      </c>
      <c r="E204" s="66">
        <f>SUM(E200*'Data Links'!$B$8)</f>
        <v>0.95989049999999987</v>
      </c>
      <c r="F204" s="66">
        <f>SUM(F200*'Data Links'!$B$8)</f>
        <v>0.95989049999999987</v>
      </c>
      <c r="G204" s="66">
        <f>SUM(G200*'Data Links'!$B$8)</f>
        <v>0.95989049999999987</v>
      </c>
      <c r="H204" s="66">
        <f>SUM(H200*'Data Links'!$B$8)</f>
        <v>0.95989049999999987</v>
      </c>
      <c r="I204" s="66">
        <f>SUM(I200*'Data Links'!$B$8)</f>
        <v>0.95989049999999987</v>
      </c>
      <c r="J204" s="66">
        <f>SUM(J200*'Data Links'!$B$8)</f>
        <v>0.95989049999999987</v>
      </c>
      <c r="K204" s="66">
        <f>SUM(K200*'Data Links'!$B$8)</f>
        <v>0.95989049999999987</v>
      </c>
      <c r="L204" s="66">
        <f>SUM(L200*'Data Links'!$B$8)</f>
        <v>0.95989049999999987</v>
      </c>
      <c r="M204" s="66">
        <f>SUM(M200*'Data Links'!$B$8)</f>
        <v>0.95989049999999987</v>
      </c>
      <c r="N204" s="66">
        <f>SUM(N200*'Data Links'!$B$8)</f>
        <v>0.95989049999999987</v>
      </c>
    </row>
    <row r="205" spans="1:14" x14ac:dyDescent="0.2">
      <c r="A205" s="59" t="s">
        <v>191</v>
      </c>
      <c r="C205" s="66">
        <f>SUM('All Employees'!$P$51)*C199</f>
        <v>30.187241379310343</v>
      </c>
      <c r="D205" s="66">
        <f>SUM('All Employees'!$P$51)*D199</f>
        <v>30.187241379310343</v>
      </c>
      <c r="E205" s="66">
        <f>SUM('All Employees'!$P$51)*E199</f>
        <v>30.187241379310343</v>
      </c>
      <c r="F205" s="66">
        <f>SUM('All Employees'!$P$51)*F199</f>
        <v>30.187241379310343</v>
      </c>
      <c r="G205" s="66">
        <f>SUM('All Employees'!$P$51)*G199</f>
        <v>30.187241379310343</v>
      </c>
      <c r="H205" s="66">
        <f>SUM('All Employees'!$P$51)*H199</f>
        <v>30.187241379310343</v>
      </c>
      <c r="I205" s="66">
        <f>SUM('All Employees'!$P$51)*I199</f>
        <v>30.187241379310343</v>
      </c>
      <c r="J205" s="66">
        <f>SUM('All Employees'!$P$51)*J199</f>
        <v>30.187241379310343</v>
      </c>
      <c r="K205" s="66">
        <f>SUM('All Employees'!$P$51)*K199</f>
        <v>30.187241379310343</v>
      </c>
      <c r="L205" s="66">
        <f>SUM('All Employees'!$P$51)*L199</f>
        <v>30.187241379310343</v>
      </c>
      <c r="M205" s="66">
        <f>SUM('All Employees'!$P$51)*M199</f>
        <v>30.187241379310343</v>
      </c>
      <c r="N205" s="66">
        <f>SUM('All Employees'!$P$51)*N199</f>
        <v>30.187241379310343</v>
      </c>
    </row>
    <row r="206" spans="1:14" x14ac:dyDescent="0.2">
      <c r="A206" s="59" t="s">
        <v>192</v>
      </c>
      <c r="C206" s="66">
        <f>SUM(C201*'Data Links'!$B$17)</f>
        <v>10.553246999999997</v>
      </c>
      <c r="D206" s="66">
        <f>SUM(D201*'Data Links'!$B$17)</f>
        <v>10.553246999999997</v>
      </c>
      <c r="E206" s="66">
        <f>SUM(E201*'Data Links'!$B$17)</f>
        <v>10.553246999999997</v>
      </c>
      <c r="F206" s="66">
        <f>SUM(F201*'Data Links'!$B$17)</f>
        <v>10.553246999999997</v>
      </c>
      <c r="G206" s="66">
        <f>SUM(G201*'Data Links'!$B$17)</f>
        <v>10.553246999999997</v>
      </c>
      <c r="H206" s="66">
        <f>SUM(H201*'Data Links'!$B$17)</f>
        <v>10.553246999999997</v>
      </c>
      <c r="I206" s="66">
        <f>SUM(I201*'Data Links'!$B$17)</f>
        <v>10.553246999999997</v>
      </c>
      <c r="J206" s="66">
        <f>SUM(J201*'Data Links'!$B$17)</f>
        <v>10.553246999999997</v>
      </c>
      <c r="K206" s="66">
        <f>SUM(K201*'Data Links'!$B$17)</f>
        <v>10.553246999999997</v>
      </c>
      <c r="L206" s="66">
        <f>SUM(L201*'Data Links'!$B$17)</f>
        <v>10.553246999999997</v>
      </c>
      <c r="M206" s="66">
        <f>SUM(M201*'Data Links'!$B$17)</f>
        <v>10.553246999999997</v>
      </c>
      <c r="N206" s="66">
        <f>SUM(N201*'Data Links'!$B$17)</f>
        <v>10.553246999999997</v>
      </c>
    </row>
    <row r="207" spans="1:14" s="58" customFormat="1" x14ac:dyDescent="0.2">
      <c r="A207" s="58" t="s">
        <v>144</v>
      </c>
      <c r="B207" s="60"/>
      <c r="C207" s="60">
        <f t="shared" ref="C207:N207" si="54">SUM(C201:C206)</f>
        <v>422.49670812931026</v>
      </c>
      <c r="D207" s="60">
        <f t="shared" si="54"/>
        <v>422.49670812931026</v>
      </c>
      <c r="E207" s="60">
        <f t="shared" si="54"/>
        <v>422.49670812931026</v>
      </c>
      <c r="F207" s="60">
        <f t="shared" si="54"/>
        <v>422.49670812931026</v>
      </c>
      <c r="G207" s="60">
        <f t="shared" si="54"/>
        <v>422.49670812931026</v>
      </c>
      <c r="H207" s="60">
        <f t="shared" si="54"/>
        <v>422.49670812931026</v>
      </c>
      <c r="I207" s="60">
        <f t="shared" si="54"/>
        <v>422.49670812931026</v>
      </c>
      <c r="J207" s="60">
        <f t="shared" si="54"/>
        <v>422.49670812931026</v>
      </c>
      <c r="K207" s="60">
        <f t="shared" si="54"/>
        <v>422.49670812931026</v>
      </c>
      <c r="L207" s="60">
        <f t="shared" si="54"/>
        <v>422.49670812931026</v>
      </c>
      <c r="M207" s="60">
        <f t="shared" si="54"/>
        <v>422.49670812931026</v>
      </c>
      <c r="N207" s="60">
        <f t="shared" si="54"/>
        <v>422.49670812931026</v>
      </c>
    </row>
    <row r="208" spans="1:14" x14ac:dyDescent="0.2">
      <c r="C208" s="60"/>
      <c r="D208" s="66"/>
      <c r="E208" s="66"/>
      <c r="F208" s="66"/>
      <c r="G208" s="66"/>
      <c r="H208" s="66"/>
      <c r="I208" s="66"/>
      <c r="J208" s="66"/>
      <c r="K208" s="66"/>
      <c r="L208" s="66"/>
      <c r="M208" s="66"/>
      <c r="N208" s="66"/>
    </row>
    <row r="209" spans="1:14" x14ac:dyDescent="0.2">
      <c r="C209" s="60"/>
      <c r="D209" s="66"/>
      <c r="E209" s="66"/>
      <c r="F209" s="66"/>
      <c r="G209" s="66"/>
      <c r="H209" s="66"/>
      <c r="I209" s="66"/>
      <c r="J209" s="66"/>
      <c r="K209" s="66"/>
      <c r="L209" s="66"/>
      <c r="M209" s="66"/>
      <c r="N209" s="66"/>
    </row>
    <row r="210" spans="1:14" x14ac:dyDescent="0.2">
      <c r="C210" s="60"/>
      <c r="D210" s="66"/>
      <c r="E210" s="66"/>
      <c r="F210" s="66"/>
      <c r="G210" s="66"/>
      <c r="H210" s="66"/>
      <c r="I210" s="66"/>
      <c r="J210" s="66"/>
      <c r="K210" s="66"/>
      <c r="L210" s="66"/>
      <c r="M210" s="66"/>
      <c r="N210" s="66"/>
    </row>
    <row r="211" spans="1:14" x14ac:dyDescent="0.2">
      <c r="C211" s="60"/>
      <c r="D211" s="66"/>
      <c r="E211" s="66"/>
      <c r="F211" s="66"/>
      <c r="G211" s="66"/>
      <c r="H211" s="66"/>
      <c r="I211" s="66"/>
      <c r="J211" s="66"/>
      <c r="K211" s="66"/>
      <c r="L211" s="66"/>
      <c r="M211" s="66"/>
      <c r="N211" s="66"/>
    </row>
    <row r="212" spans="1:14" x14ac:dyDescent="0.2">
      <c r="A212" s="58" t="s">
        <v>194</v>
      </c>
      <c r="C212" s="60"/>
      <c r="D212" s="66"/>
      <c r="E212" s="66"/>
      <c r="F212" s="66"/>
      <c r="G212" s="66"/>
      <c r="H212" s="66"/>
      <c r="I212" s="66"/>
      <c r="J212" s="66"/>
      <c r="K212" s="66"/>
      <c r="L212" s="66"/>
      <c r="M212" s="66"/>
      <c r="N212" s="66"/>
    </row>
    <row r="213" spans="1:14" x14ac:dyDescent="0.2">
      <c r="A213" s="59" t="s">
        <v>195</v>
      </c>
      <c r="C213" s="66">
        <f>SUM(C110+C123+C136+C149+C162+C175+C188+C201)</f>
        <v>8587.8431999999993</v>
      </c>
      <c r="D213" s="66">
        <f t="shared" ref="D213:N213" si="55">SUM(D110+D123+D136+D149+D162+D175+D188+D201)</f>
        <v>8591.6511487482276</v>
      </c>
      <c r="E213" s="66">
        <f t="shared" si="55"/>
        <v>8583.4856504015115</v>
      </c>
      <c r="F213" s="66">
        <f t="shared" si="55"/>
        <v>8591.6511487482276</v>
      </c>
      <c r="G213" s="66">
        <f t="shared" si="55"/>
        <v>8583.4856504015115</v>
      </c>
      <c r="H213" s="66">
        <f t="shared" si="55"/>
        <v>8591.6511487482276</v>
      </c>
      <c r="I213" s="66">
        <f t="shared" si="55"/>
        <v>8591.6511487482276</v>
      </c>
      <c r="J213" s="66">
        <f t="shared" si="55"/>
        <v>8567.1546537080776</v>
      </c>
      <c r="K213" s="66">
        <f t="shared" si="55"/>
        <v>8591.6511487482276</v>
      </c>
      <c r="L213" s="66">
        <f t="shared" si="55"/>
        <v>8583.4856504015115</v>
      </c>
      <c r="M213" s="66">
        <f t="shared" si="55"/>
        <v>8591.6511487482276</v>
      </c>
      <c r="N213" s="66">
        <f t="shared" si="55"/>
        <v>8583.4856504015115</v>
      </c>
    </row>
    <row r="214" spans="1:14" x14ac:dyDescent="0.2">
      <c r="A214" s="59" t="s">
        <v>22</v>
      </c>
      <c r="C214" s="66">
        <f>SUM(C111+C112+C113+C124+C125+C126+C137+C138+C139+C150+C151+C152+C163+C164+C165+C176+C177+C178+C189+C190+C191+C202+C203+C204)</f>
        <v>742.39996049999991</v>
      </c>
      <c r="D214" s="66">
        <f t="shared" ref="D214:N214" si="56">SUM(D111+D112+D113+D124+D125+D126+D137+D138+D139+D150+D151+D152+D163+D164+D165+D176+D177+D178+D189+D190+D191+D202+D203+D204)</f>
        <v>742.7141162717287</v>
      </c>
      <c r="E214" s="66">
        <f t="shared" si="56"/>
        <v>742.04046265812462</v>
      </c>
      <c r="F214" s="66">
        <f t="shared" si="56"/>
        <v>742.7141162717287</v>
      </c>
      <c r="G214" s="66">
        <f t="shared" si="56"/>
        <v>742.04046265812462</v>
      </c>
      <c r="H214" s="66">
        <f t="shared" si="56"/>
        <v>742.7141162717287</v>
      </c>
      <c r="I214" s="66">
        <f t="shared" si="56"/>
        <v>742.7141162717287</v>
      </c>
      <c r="J214" s="66">
        <f t="shared" si="56"/>
        <v>740.69315543091625</v>
      </c>
      <c r="K214" s="66">
        <f t="shared" si="56"/>
        <v>742.7141162717287</v>
      </c>
      <c r="L214" s="66">
        <f t="shared" si="56"/>
        <v>742.04046265812462</v>
      </c>
      <c r="M214" s="66">
        <f t="shared" si="56"/>
        <v>742.7141162717287</v>
      </c>
      <c r="N214" s="66">
        <f t="shared" si="56"/>
        <v>742.04046265812462</v>
      </c>
    </row>
    <row r="215" spans="1:14" x14ac:dyDescent="0.2">
      <c r="A215" s="59" t="s">
        <v>23</v>
      </c>
      <c r="C215" s="66">
        <f>SUM(C114+C115+C127+C128+C140+C141+C153+C154+C167+C166+C179+C180+C192+C193+C205+C206)</f>
        <v>1238.8296476551725</v>
      </c>
      <c r="D215" s="66">
        <f t="shared" ref="D215:N215" si="57">SUM(D114+D115+D127+D128+D140+D141+D153+D154+D167+D166+D179+D180+D192+D193+D205+D206)</f>
        <v>1238.8296476551725</v>
      </c>
      <c r="E215" s="66">
        <f t="shared" si="57"/>
        <v>1238.8296476551725</v>
      </c>
      <c r="F215" s="66">
        <f t="shared" si="57"/>
        <v>1238.8296476551725</v>
      </c>
      <c r="G215" s="66">
        <f t="shared" si="57"/>
        <v>1238.8296476551725</v>
      </c>
      <c r="H215" s="66">
        <f t="shared" si="57"/>
        <v>1238.8296476551725</v>
      </c>
      <c r="I215" s="66">
        <f t="shared" si="57"/>
        <v>1238.8296476551725</v>
      </c>
      <c r="J215" s="66">
        <f t="shared" si="57"/>
        <v>1238.8296476551725</v>
      </c>
      <c r="K215" s="66">
        <f t="shared" si="57"/>
        <v>1238.8296476551725</v>
      </c>
      <c r="L215" s="66">
        <f t="shared" si="57"/>
        <v>1238.8296476551725</v>
      </c>
      <c r="M215" s="66">
        <f t="shared" si="57"/>
        <v>1238.8296476551725</v>
      </c>
      <c r="N215" s="66">
        <f t="shared" si="57"/>
        <v>1238.8296476551725</v>
      </c>
    </row>
    <row r="216" spans="1:14" s="58" customFormat="1" x14ac:dyDescent="0.2">
      <c r="A216" s="58" t="s">
        <v>196</v>
      </c>
      <c r="B216" s="60"/>
      <c r="C216" s="60">
        <f>SUM(C213:C215)</f>
        <v>10569.072808155172</v>
      </c>
      <c r="D216" s="60">
        <f t="shared" ref="D216:N216" si="58">SUM(D213:D215)</f>
        <v>10573.19491267513</v>
      </c>
      <c r="E216" s="60">
        <f t="shared" si="58"/>
        <v>10564.355760714809</v>
      </c>
      <c r="F216" s="60">
        <f t="shared" si="58"/>
        <v>10573.19491267513</v>
      </c>
      <c r="G216" s="60">
        <f t="shared" si="58"/>
        <v>10564.355760714809</v>
      </c>
      <c r="H216" s="60">
        <f t="shared" si="58"/>
        <v>10573.19491267513</v>
      </c>
      <c r="I216" s="60">
        <f t="shared" si="58"/>
        <v>10573.19491267513</v>
      </c>
      <c r="J216" s="60">
        <f t="shared" si="58"/>
        <v>10546.677456794167</v>
      </c>
      <c r="K216" s="60">
        <f t="shared" si="58"/>
        <v>10573.19491267513</v>
      </c>
      <c r="L216" s="60">
        <f t="shared" si="58"/>
        <v>10564.355760714809</v>
      </c>
      <c r="M216" s="60">
        <f t="shared" si="58"/>
        <v>10573.19491267513</v>
      </c>
      <c r="N216" s="60">
        <f t="shared" si="58"/>
        <v>10564.355760714809</v>
      </c>
    </row>
    <row r="217" spans="1:14" x14ac:dyDescent="0.2">
      <c r="C217" s="60"/>
      <c r="D217" s="66"/>
      <c r="E217" s="66"/>
      <c r="F217" s="66"/>
      <c r="G217" s="66"/>
      <c r="H217" s="66"/>
      <c r="I217" s="66"/>
      <c r="J217" s="66"/>
      <c r="K217" s="66"/>
      <c r="L217" s="66"/>
      <c r="M217" s="66"/>
      <c r="N217" s="66"/>
    </row>
    <row r="218" spans="1:14" x14ac:dyDescent="0.2">
      <c r="C218" s="60"/>
      <c r="D218" s="66"/>
      <c r="E218" s="66"/>
      <c r="F218" s="66"/>
      <c r="G218" s="66"/>
      <c r="H218" s="66"/>
      <c r="I218" s="66"/>
      <c r="J218" s="66"/>
      <c r="K218" s="66"/>
      <c r="L218" s="66"/>
      <c r="M218" s="66"/>
      <c r="N218" s="66"/>
    </row>
    <row r="219" spans="1:14" x14ac:dyDescent="0.2">
      <c r="C219" s="60"/>
      <c r="D219" s="66"/>
      <c r="E219" s="66"/>
      <c r="F219" s="66"/>
      <c r="G219" s="66"/>
      <c r="H219" s="66"/>
      <c r="I219" s="66"/>
      <c r="J219" s="66"/>
      <c r="K219" s="66"/>
      <c r="L219" s="66"/>
      <c r="M219" s="66"/>
      <c r="N219" s="66"/>
    </row>
    <row r="220" spans="1:14" x14ac:dyDescent="0.2">
      <c r="C220" s="60"/>
      <c r="D220" s="66"/>
      <c r="E220" s="66"/>
      <c r="F220" s="66"/>
      <c r="G220" s="66"/>
      <c r="H220" s="66"/>
      <c r="I220" s="66"/>
      <c r="J220" s="66"/>
      <c r="K220" s="66"/>
      <c r="L220" s="66"/>
      <c r="M220" s="66"/>
      <c r="N220" s="66"/>
    </row>
    <row r="221" spans="1:14" x14ac:dyDescent="0.2">
      <c r="A221" s="84"/>
      <c r="B221" s="84"/>
      <c r="C221" s="60"/>
      <c r="D221" s="66"/>
      <c r="E221" s="66"/>
      <c r="F221" s="66"/>
      <c r="G221" s="66"/>
      <c r="H221" s="66"/>
      <c r="I221" s="66"/>
      <c r="J221" s="66"/>
      <c r="K221" s="66"/>
      <c r="L221" s="66"/>
      <c r="M221" s="66"/>
      <c r="N221" s="66"/>
    </row>
    <row r="222" spans="1:14" x14ac:dyDescent="0.2">
      <c r="A222" s="84"/>
      <c r="B222" s="84"/>
      <c r="C222" s="60"/>
      <c r="D222" s="66"/>
      <c r="E222" s="66"/>
      <c r="F222" s="66"/>
      <c r="G222" s="66"/>
      <c r="H222" s="66"/>
      <c r="I222" s="66"/>
      <c r="J222" s="66"/>
      <c r="K222" s="66"/>
      <c r="L222" s="66"/>
      <c r="M222" s="66"/>
      <c r="N222" s="66"/>
    </row>
    <row r="223" spans="1:14" x14ac:dyDescent="0.2">
      <c r="A223" s="84"/>
      <c r="B223" s="84"/>
      <c r="C223" s="60"/>
      <c r="D223" s="66"/>
      <c r="E223" s="66"/>
      <c r="F223" s="66"/>
      <c r="G223" s="66"/>
      <c r="H223" s="66"/>
      <c r="I223" s="66"/>
      <c r="J223" s="66"/>
      <c r="K223" s="66"/>
      <c r="L223" s="66"/>
      <c r="M223" s="66"/>
      <c r="N223" s="66"/>
    </row>
    <row r="224" spans="1:14" x14ac:dyDescent="0.2">
      <c r="A224" s="84"/>
      <c r="B224" s="84"/>
      <c r="C224" s="60"/>
      <c r="D224" s="66"/>
      <c r="E224" s="66"/>
      <c r="F224" s="66"/>
      <c r="G224" s="66"/>
      <c r="H224" s="66"/>
      <c r="I224" s="66"/>
      <c r="J224" s="66"/>
      <c r="K224" s="66"/>
      <c r="L224" s="66"/>
      <c r="M224" s="66"/>
      <c r="N224" s="66"/>
    </row>
    <row r="225" spans="1:14" x14ac:dyDescent="0.2">
      <c r="A225" s="84"/>
      <c r="B225" s="84"/>
      <c r="C225" s="60"/>
      <c r="D225" s="66"/>
      <c r="E225" s="66"/>
      <c r="F225" s="66"/>
      <c r="G225" s="66"/>
      <c r="H225" s="66"/>
      <c r="I225" s="66"/>
      <c r="J225" s="66"/>
      <c r="K225" s="66"/>
      <c r="L225" s="66"/>
      <c r="M225" s="66"/>
      <c r="N225" s="66"/>
    </row>
    <row r="226" spans="1:14" x14ac:dyDescent="0.2">
      <c r="A226" s="84"/>
      <c r="B226" s="84"/>
      <c r="C226" s="60"/>
      <c r="D226" s="66"/>
      <c r="E226" s="66"/>
      <c r="F226" s="66"/>
      <c r="G226" s="66"/>
      <c r="H226" s="66"/>
      <c r="I226" s="66"/>
      <c r="J226" s="66"/>
      <c r="K226" s="66"/>
      <c r="L226" s="66"/>
      <c r="M226" s="66"/>
      <c r="N226" s="66"/>
    </row>
    <row r="227" spans="1:14" x14ac:dyDescent="0.2">
      <c r="A227" s="84"/>
      <c r="B227" s="84"/>
      <c r="C227" s="60"/>
      <c r="D227" s="66"/>
      <c r="E227" s="66"/>
      <c r="F227" s="66"/>
      <c r="G227" s="66"/>
      <c r="H227" s="66"/>
      <c r="I227" s="66"/>
      <c r="J227" s="66"/>
      <c r="K227" s="66"/>
      <c r="L227" s="66"/>
      <c r="M227" s="66"/>
      <c r="N227" s="66"/>
    </row>
    <row r="228" spans="1:14" x14ac:dyDescent="0.2">
      <c r="A228" s="84"/>
      <c r="B228" s="84"/>
      <c r="C228" s="60"/>
      <c r="D228" s="66"/>
      <c r="E228" s="66"/>
      <c r="F228" s="66"/>
      <c r="G228" s="66"/>
      <c r="H228" s="66"/>
      <c r="I228" s="66"/>
      <c r="J228" s="66"/>
      <c r="K228" s="66"/>
      <c r="L228" s="66"/>
      <c r="M228" s="66"/>
      <c r="N228" s="66"/>
    </row>
    <row r="229" spans="1:14" x14ac:dyDescent="0.2">
      <c r="A229" s="84"/>
      <c r="B229" s="84"/>
      <c r="C229" s="60"/>
      <c r="D229" s="66"/>
      <c r="E229" s="66"/>
      <c r="F229" s="66"/>
      <c r="G229" s="66"/>
      <c r="H229" s="66"/>
      <c r="I229" s="66"/>
      <c r="J229" s="66"/>
      <c r="K229" s="66"/>
      <c r="L229" s="66"/>
      <c r="M229" s="66"/>
      <c r="N229" s="66"/>
    </row>
    <row r="230" spans="1:14" x14ac:dyDescent="0.2">
      <c r="A230" s="84"/>
      <c r="B230" s="84"/>
      <c r="C230" s="60"/>
      <c r="D230" s="66"/>
      <c r="E230" s="66"/>
      <c r="F230" s="66"/>
      <c r="G230" s="66"/>
      <c r="H230" s="66"/>
      <c r="I230" s="66"/>
      <c r="J230" s="66"/>
      <c r="K230" s="66"/>
      <c r="L230" s="66"/>
      <c r="M230" s="66"/>
      <c r="N230" s="66"/>
    </row>
    <row r="231" spans="1:14" x14ac:dyDescent="0.2">
      <c r="A231" s="84"/>
      <c r="B231" s="84"/>
      <c r="C231" s="60"/>
      <c r="D231" s="66"/>
      <c r="E231" s="66"/>
      <c r="F231" s="66"/>
      <c r="G231" s="66"/>
      <c r="H231" s="66"/>
      <c r="I231" s="66"/>
      <c r="J231" s="66"/>
      <c r="K231" s="66"/>
      <c r="L231" s="66"/>
      <c r="M231" s="66"/>
      <c r="N231" s="66"/>
    </row>
    <row r="232" spans="1:14" x14ac:dyDescent="0.2">
      <c r="A232" s="84"/>
      <c r="B232" s="84"/>
      <c r="C232" s="60"/>
      <c r="D232" s="66"/>
      <c r="E232" s="66"/>
      <c r="F232" s="66"/>
      <c r="G232" s="66"/>
      <c r="H232" s="66"/>
      <c r="I232" s="66"/>
      <c r="J232" s="66"/>
      <c r="K232" s="66"/>
      <c r="L232" s="66"/>
      <c r="M232" s="66"/>
      <c r="N232" s="66"/>
    </row>
    <row r="233" spans="1:14" x14ac:dyDescent="0.2">
      <c r="A233" s="84"/>
      <c r="B233" s="84"/>
      <c r="C233" s="60"/>
      <c r="D233" s="66"/>
      <c r="E233" s="66"/>
      <c r="F233" s="66"/>
      <c r="G233" s="66"/>
      <c r="H233" s="66"/>
      <c r="I233" s="66"/>
      <c r="J233" s="66"/>
      <c r="K233" s="66"/>
      <c r="L233" s="66"/>
      <c r="M233" s="66"/>
      <c r="N233" s="66"/>
    </row>
    <row r="234" spans="1:14" x14ac:dyDescent="0.2">
      <c r="A234" s="84"/>
      <c r="B234" s="84"/>
      <c r="C234" s="60"/>
      <c r="D234" s="66"/>
      <c r="E234" s="66"/>
      <c r="F234" s="66"/>
      <c r="G234" s="66"/>
      <c r="H234" s="66"/>
      <c r="I234" s="66"/>
      <c r="J234" s="66"/>
      <c r="K234" s="66"/>
      <c r="L234" s="66"/>
      <c r="M234" s="66"/>
      <c r="N234" s="66"/>
    </row>
    <row r="235" spans="1:14" x14ac:dyDescent="0.2">
      <c r="A235" s="84"/>
      <c r="B235" s="84"/>
      <c r="C235" s="60"/>
      <c r="D235" s="66"/>
      <c r="E235" s="66"/>
      <c r="F235" s="66"/>
      <c r="G235" s="66"/>
      <c r="H235" s="66"/>
      <c r="I235" s="66"/>
      <c r="J235" s="66"/>
      <c r="K235" s="66"/>
      <c r="L235" s="66"/>
      <c r="M235" s="66"/>
      <c r="N235" s="66"/>
    </row>
    <row r="236" spans="1:14" x14ac:dyDescent="0.2">
      <c r="A236" s="84"/>
      <c r="B236" s="84"/>
      <c r="C236" s="60"/>
      <c r="D236" s="66"/>
      <c r="E236" s="66"/>
      <c r="F236" s="66"/>
      <c r="G236" s="66"/>
      <c r="H236" s="66"/>
      <c r="I236" s="66"/>
      <c r="J236" s="66"/>
      <c r="K236" s="66"/>
      <c r="L236" s="66"/>
      <c r="M236" s="66"/>
      <c r="N236" s="66"/>
    </row>
    <row r="237" spans="1:14" x14ac:dyDescent="0.2">
      <c r="A237" s="84"/>
      <c r="B237" s="84"/>
      <c r="C237" s="60"/>
      <c r="D237" s="66"/>
      <c r="E237" s="66"/>
      <c r="F237" s="66"/>
      <c r="G237" s="66"/>
      <c r="H237" s="66"/>
      <c r="I237" s="66"/>
      <c r="J237" s="66"/>
      <c r="K237" s="66"/>
      <c r="L237" s="66"/>
      <c r="M237" s="66"/>
      <c r="N237" s="66"/>
    </row>
    <row r="238" spans="1:14" x14ac:dyDescent="0.2">
      <c r="A238" s="84"/>
      <c r="B238" s="84"/>
      <c r="C238" s="60"/>
      <c r="D238" s="66"/>
      <c r="E238" s="66"/>
      <c r="F238" s="66"/>
      <c r="G238" s="66"/>
      <c r="H238" s="66"/>
      <c r="I238" s="66"/>
      <c r="J238" s="66"/>
      <c r="K238" s="66"/>
      <c r="L238" s="66"/>
      <c r="M238" s="66"/>
      <c r="N238" s="66"/>
    </row>
    <row r="239" spans="1:14" x14ac:dyDescent="0.2">
      <c r="A239" s="84"/>
      <c r="B239" s="84"/>
      <c r="C239" s="60"/>
      <c r="D239" s="66"/>
      <c r="E239" s="66"/>
      <c r="F239" s="66"/>
      <c r="G239" s="66"/>
      <c r="H239" s="66"/>
      <c r="I239" s="66"/>
      <c r="J239" s="66"/>
      <c r="K239" s="66"/>
      <c r="L239" s="66"/>
      <c r="M239" s="66"/>
      <c r="N239" s="66"/>
    </row>
    <row r="240" spans="1:14" x14ac:dyDescent="0.2">
      <c r="A240" s="84"/>
      <c r="B240" s="84"/>
      <c r="C240" s="60"/>
      <c r="D240" s="66"/>
      <c r="E240" s="66"/>
      <c r="F240" s="66"/>
      <c r="G240" s="66"/>
      <c r="H240" s="66"/>
      <c r="I240" s="66"/>
      <c r="J240" s="66"/>
      <c r="K240" s="66"/>
      <c r="L240" s="66"/>
      <c r="M240" s="66"/>
      <c r="N240" s="66"/>
    </row>
    <row r="241" spans="1:14" x14ac:dyDescent="0.2">
      <c r="A241" s="84"/>
      <c r="B241" s="84"/>
      <c r="C241" s="60"/>
      <c r="D241" s="66"/>
      <c r="E241" s="66"/>
      <c r="F241" s="66"/>
      <c r="G241" s="66"/>
      <c r="H241" s="66"/>
      <c r="I241" s="66"/>
      <c r="J241" s="66"/>
      <c r="K241" s="66"/>
      <c r="L241" s="66"/>
      <c r="M241" s="66"/>
      <c r="N241" s="66"/>
    </row>
    <row r="242" spans="1:14" x14ac:dyDescent="0.2">
      <c r="A242" s="84"/>
      <c r="B242" s="84"/>
      <c r="C242" s="60"/>
      <c r="D242" s="66"/>
      <c r="E242" s="66"/>
      <c r="F242" s="66"/>
      <c r="G242" s="66"/>
      <c r="H242" s="66"/>
      <c r="I242" s="66"/>
      <c r="J242" s="66"/>
      <c r="K242" s="66"/>
      <c r="L242" s="66"/>
      <c r="M242" s="66"/>
      <c r="N242" s="66"/>
    </row>
    <row r="243" spans="1:14" x14ac:dyDescent="0.2">
      <c r="A243" s="84"/>
      <c r="B243" s="84"/>
      <c r="C243" s="60"/>
      <c r="D243" s="66"/>
      <c r="E243" s="66"/>
      <c r="F243" s="66"/>
      <c r="G243" s="66"/>
      <c r="H243" s="66"/>
      <c r="I243" s="66"/>
      <c r="J243" s="66"/>
      <c r="K243" s="66"/>
      <c r="L243" s="66"/>
      <c r="M243" s="66"/>
      <c r="N243" s="66"/>
    </row>
    <row r="244" spans="1:14" x14ac:dyDescent="0.2">
      <c r="A244" s="84"/>
      <c r="B244" s="84"/>
      <c r="C244" s="60"/>
      <c r="D244" s="66"/>
      <c r="E244" s="66"/>
      <c r="F244" s="66"/>
      <c r="G244" s="66"/>
      <c r="H244" s="66"/>
      <c r="I244" s="66"/>
      <c r="J244" s="66"/>
      <c r="K244" s="66"/>
      <c r="L244" s="66"/>
      <c r="M244" s="66"/>
      <c r="N244" s="66"/>
    </row>
    <row r="245" spans="1:14" x14ac:dyDescent="0.2">
      <c r="A245" s="84"/>
      <c r="B245" s="84"/>
      <c r="C245" s="60"/>
      <c r="D245" s="66"/>
      <c r="E245" s="66"/>
      <c r="F245" s="66"/>
      <c r="G245" s="66"/>
      <c r="H245" s="66"/>
      <c r="I245" s="66"/>
      <c r="J245" s="66"/>
      <c r="K245" s="66"/>
      <c r="L245" s="66"/>
      <c r="M245" s="66"/>
      <c r="N245" s="66"/>
    </row>
    <row r="246" spans="1:14" x14ac:dyDescent="0.2">
      <c r="A246" s="84"/>
      <c r="B246" s="84"/>
      <c r="C246" s="60"/>
      <c r="D246" s="66"/>
      <c r="E246" s="66"/>
      <c r="F246" s="66"/>
      <c r="G246" s="66"/>
      <c r="H246" s="66"/>
      <c r="I246" s="66"/>
      <c r="J246" s="66"/>
      <c r="K246" s="66"/>
      <c r="L246" s="66"/>
      <c r="M246" s="66"/>
      <c r="N246" s="66"/>
    </row>
    <row r="247" spans="1:14" x14ac:dyDescent="0.2">
      <c r="A247" s="84"/>
      <c r="B247" s="84"/>
      <c r="C247" s="60"/>
      <c r="D247" s="66"/>
      <c r="E247" s="66"/>
      <c r="F247" s="66"/>
      <c r="G247" s="66"/>
      <c r="H247" s="66"/>
      <c r="I247" s="66"/>
      <c r="J247" s="66"/>
      <c r="K247" s="66"/>
      <c r="L247" s="66"/>
      <c r="M247" s="66"/>
      <c r="N247" s="66"/>
    </row>
    <row r="248" spans="1:14" x14ac:dyDescent="0.2">
      <c r="A248" s="84"/>
      <c r="B248" s="84"/>
      <c r="C248" s="60"/>
      <c r="D248" s="66"/>
      <c r="E248" s="66"/>
      <c r="F248" s="66"/>
      <c r="G248" s="66"/>
      <c r="H248" s="66"/>
      <c r="I248" s="66"/>
      <c r="J248" s="66"/>
      <c r="K248" s="66"/>
      <c r="L248" s="66"/>
      <c r="M248" s="66"/>
      <c r="N248" s="66"/>
    </row>
    <row r="249" spans="1:14" x14ac:dyDescent="0.2">
      <c r="A249" s="84"/>
      <c r="B249" s="84"/>
      <c r="C249" s="60"/>
      <c r="D249" s="66"/>
      <c r="E249" s="66"/>
      <c r="F249" s="66"/>
      <c r="G249" s="66"/>
      <c r="H249" s="66"/>
      <c r="I249" s="66"/>
      <c r="J249" s="66"/>
      <c r="K249" s="66"/>
      <c r="L249" s="66"/>
      <c r="M249" s="66"/>
      <c r="N249" s="66"/>
    </row>
    <row r="250" spans="1:14" x14ac:dyDescent="0.2">
      <c r="A250" s="84"/>
      <c r="B250" s="84"/>
      <c r="C250" s="60"/>
      <c r="D250" s="66"/>
      <c r="E250" s="66"/>
      <c r="F250" s="66"/>
      <c r="G250" s="66"/>
      <c r="H250" s="66"/>
      <c r="I250" s="66"/>
      <c r="J250" s="66"/>
      <c r="K250" s="66"/>
      <c r="L250" s="66"/>
      <c r="M250" s="66"/>
      <c r="N250" s="66"/>
    </row>
    <row r="251" spans="1:14" x14ac:dyDescent="0.2">
      <c r="A251" s="84"/>
      <c r="B251" s="84"/>
      <c r="C251" s="60"/>
      <c r="D251" s="66"/>
      <c r="E251" s="66"/>
      <c r="F251" s="66"/>
      <c r="G251" s="66"/>
      <c r="H251" s="66"/>
      <c r="I251" s="66"/>
      <c r="J251" s="66"/>
      <c r="K251" s="66"/>
      <c r="L251" s="66"/>
      <c r="M251" s="66"/>
      <c r="N251" s="66"/>
    </row>
    <row r="252" spans="1:14" x14ac:dyDescent="0.2">
      <c r="A252" s="84"/>
      <c r="B252" s="84"/>
      <c r="C252" s="60"/>
      <c r="D252" s="66"/>
      <c r="E252" s="66"/>
      <c r="F252" s="66"/>
      <c r="G252" s="66"/>
      <c r="H252" s="66"/>
      <c r="I252" s="66"/>
      <c r="J252" s="66"/>
      <c r="K252" s="66"/>
      <c r="L252" s="66"/>
      <c r="M252" s="66"/>
      <c r="N252" s="66"/>
    </row>
    <row r="253" spans="1:14" x14ac:dyDescent="0.2">
      <c r="A253" s="84"/>
      <c r="B253" s="84"/>
      <c r="C253" s="60"/>
      <c r="D253" s="66"/>
      <c r="E253" s="66"/>
      <c r="F253" s="66"/>
      <c r="G253" s="66"/>
      <c r="H253" s="66"/>
      <c r="I253" s="66"/>
      <c r="J253" s="66"/>
      <c r="K253" s="66"/>
      <c r="L253" s="66"/>
      <c r="M253" s="66"/>
      <c r="N253" s="66"/>
    </row>
    <row r="254" spans="1:14" x14ac:dyDescent="0.2">
      <c r="A254" s="84"/>
      <c r="B254" s="84"/>
      <c r="C254" s="60"/>
      <c r="D254" s="66"/>
      <c r="E254" s="66"/>
      <c r="F254" s="66"/>
      <c r="G254" s="66"/>
      <c r="H254" s="66"/>
      <c r="I254" s="66"/>
      <c r="J254" s="66"/>
      <c r="K254" s="66"/>
      <c r="L254" s="66"/>
      <c r="M254" s="66"/>
      <c r="N254" s="66"/>
    </row>
    <row r="255" spans="1:14" x14ac:dyDescent="0.2">
      <c r="A255" s="84"/>
      <c r="B255" s="84"/>
      <c r="C255" s="60"/>
      <c r="D255" s="66"/>
      <c r="E255" s="66"/>
      <c r="F255" s="66"/>
      <c r="G255" s="66"/>
      <c r="H255" s="66"/>
      <c r="I255" s="66"/>
      <c r="J255" s="66"/>
      <c r="K255" s="66"/>
      <c r="L255" s="66"/>
      <c r="M255" s="66"/>
      <c r="N255" s="66"/>
    </row>
    <row r="256" spans="1:14" x14ac:dyDescent="0.2">
      <c r="A256" s="84"/>
      <c r="B256" s="84"/>
      <c r="C256" s="60"/>
      <c r="D256" s="66"/>
      <c r="E256" s="66"/>
      <c r="F256" s="66"/>
      <c r="G256" s="66"/>
      <c r="H256" s="66"/>
      <c r="I256" s="66"/>
      <c r="J256" s="66"/>
      <c r="K256" s="66"/>
      <c r="L256" s="66"/>
      <c r="M256" s="66"/>
      <c r="N256" s="66"/>
    </row>
    <row r="257" spans="1:14" x14ac:dyDescent="0.2">
      <c r="A257" s="84"/>
      <c r="B257" s="84"/>
      <c r="C257" s="60"/>
      <c r="D257" s="66"/>
      <c r="E257" s="66"/>
      <c r="F257" s="66"/>
      <c r="G257" s="66"/>
      <c r="H257" s="66"/>
      <c r="I257" s="66"/>
      <c r="J257" s="66"/>
      <c r="K257" s="66"/>
      <c r="L257" s="66"/>
      <c r="M257" s="66"/>
      <c r="N257" s="66"/>
    </row>
    <row r="258" spans="1:14" x14ac:dyDescent="0.2">
      <c r="A258" s="84"/>
      <c r="B258" s="84"/>
      <c r="C258" s="60"/>
      <c r="D258" s="66"/>
      <c r="E258" s="66"/>
      <c r="F258" s="66"/>
      <c r="G258" s="66"/>
      <c r="H258" s="66"/>
      <c r="I258" s="66"/>
      <c r="J258" s="66"/>
      <c r="K258" s="66"/>
      <c r="L258" s="66"/>
      <c r="M258" s="66"/>
      <c r="N258" s="66"/>
    </row>
    <row r="259" spans="1:14" x14ac:dyDescent="0.2">
      <c r="A259" s="84"/>
      <c r="B259" s="84"/>
      <c r="C259" s="60"/>
      <c r="D259" s="66"/>
      <c r="E259" s="66"/>
      <c r="F259" s="66"/>
      <c r="G259" s="66"/>
      <c r="H259" s="66"/>
      <c r="I259" s="66"/>
      <c r="J259" s="66"/>
      <c r="K259" s="66"/>
      <c r="L259" s="66"/>
      <c r="M259" s="66"/>
      <c r="N259" s="66"/>
    </row>
    <row r="260" spans="1:14" x14ac:dyDescent="0.2">
      <c r="A260" s="84"/>
      <c r="B260" s="84"/>
      <c r="C260" s="60"/>
      <c r="D260" s="66"/>
      <c r="E260" s="66"/>
      <c r="F260" s="66"/>
      <c r="G260" s="66"/>
      <c r="H260" s="66"/>
      <c r="I260" s="66"/>
      <c r="J260" s="66"/>
      <c r="K260" s="66"/>
      <c r="L260" s="66"/>
      <c r="M260" s="66"/>
      <c r="N260" s="66"/>
    </row>
    <row r="261" spans="1:14" x14ac:dyDescent="0.2">
      <c r="A261" s="84"/>
      <c r="B261" s="84"/>
      <c r="C261" s="60"/>
      <c r="D261" s="66"/>
      <c r="E261" s="66"/>
      <c r="F261" s="66"/>
      <c r="G261" s="66"/>
      <c r="H261" s="66"/>
      <c r="I261" s="66"/>
      <c r="J261" s="66"/>
      <c r="K261" s="66"/>
      <c r="L261" s="66"/>
      <c r="M261" s="66"/>
      <c r="N261" s="66"/>
    </row>
    <row r="262" spans="1:14" x14ac:dyDescent="0.2">
      <c r="A262" s="84"/>
      <c r="B262" s="84"/>
      <c r="C262" s="60"/>
      <c r="D262" s="66"/>
      <c r="E262" s="66"/>
      <c r="F262" s="66"/>
      <c r="G262" s="66"/>
      <c r="H262" s="66"/>
      <c r="I262" s="66"/>
      <c r="J262" s="66"/>
      <c r="K262" s="66"/>
      <c r="L262" s="66"/>
      <c r="M262" s="66"/>
      <c r="N262" s="66"/>
    </row>
    <row r="263" spans="1:14" x14ac:dyDescent="0.2">
      <c r="A263" s="84"/>
      <c r="B263" s="84"/>
      <c r="C263" s="60"/>
      <c r="D263" s="66"/>
      <c r="E263" s="66"/>
      <c r="F263" s="66"/>
      <c r="G263" s="66"/>
      <c r="H263" s="66"/>
      <c r="I263" s="66"/>
      <c r="J263" s="66"/>
      <c r="K263" s="66"/>
      <c r="L263" s="66"/>
      <c r="M263" s="66"/>
      <c r="N263" s="66"/>
    </row>
    <row r="264" spans="1:14" x14ac:dyDescent="0.2">
      <c r="A264" s="84"/>
      <c r="B264" s="84"/>
      <c r="C264" s="60"/>
      <c r="D264" s="66"/>
      <c r="E264" s="66"/>
      <c r="F264" s="66"/>
      <c r="G264" s="66"/>
      <c r="H264" s="66"/>
      <c r="I264" s="66"/>
      <c r="J264" s="66"/>
      <c r="K264" s="66"/>
      <c r="L264" s="66"/>
      <c r="M264" s="66"/>
      <c r="N264" s="66"/>
    </row>
    <row r="265" spans="1:14" x14ac:dyDescent="0.2">
      <c r="A265" s="84"/>
      <c r="B265" s="84"/>
      <c r="C265" s="60"/>
      <c r="D265" s="66"/>
      <c r="E265" s="66"/>
      <c r="F265" s="66"/>
      <c r="G265" s="66"/>
      <c r="H265" s="66"/>
      <c r="I265" s="66"/>
      <c r="J265" s="66"/>
      <c r="K265" s="66"/>
      <c r="L265" s="66"/>
      <c r="M265" s="66"/>
      <c r="N265" s="66"/>
    </row>
    <row r="266" spans="1:14" x14ac:dyDescent="0.2">
      <c r="A266" s="84"/>
      <c r="B266" s="84"/>
      <c r="C266" s="60"/>
      <c r="D266" s="66"/>
      <c r="E266" s="66"/>
      <c r="F266" s="66"/>
      <c r="G266" s="66"/>
      <c r="H266" s="66"/>
      <c r="I266" s="66"/>
      <c r="J266" s="66"/>
      <c r="K266" s="66"/>
      <c r="L266" s="66"/>
      <c r="M266" s="66"/>
      <c r="N266" s="66"/>
    </row>
    <row r="267" spans="1:14" x14ac:dyDescent="0.2">
      <c r="A267" s="84"/>
      <c r="B267" s="84"/>
      <c r="C267" s="60"/>
      <c r="D267" s="66"/>
      <c r="E267" s="66"/>
      <c r="F267" s="66"/>
      <c r="G267" s="66"/>
      <c r="H267" s="66"/>
      <c r="I267" s="66"/>
      <c r="J267" s="66"/>
      <c r="K267" s="66"/>
      <c r="L267" s="66"/>
      <c r="M267" s="66"/>
      <c r="N267" s="66"/>
    </row>
    <row r="268" spans="1:14" x14ac:dyDescent="0.2">
      <c r="A268" s="84"/>
      <c r="B268" s="84"/>
      <c r="C268" s="60"/>
      <c r="D268" s="66"/>
      <c r="E268" s="66"/>
      <c r="F268" s="66"/>
      <c r="G268" s="66"/>
      <c r="H268" s="66"/>
      <c r="I268" s="66"/>
      <c r="J268" s="66"/>
      <c r="K268" s="66"/>
      <c r="L268" s="66"/>
      <c r="M268" s="66"/>
      <c r="N268" s="66"/>
    </row>
    <row r="269" spans="1:14" x14ac:dyDescent="0.2">
      <c r="A269" s="84"/>
      <c r="B269" s="84"/>
      <c r="C269" s="60"/>
      <c r="D269" s="66"/>
      <c r="E269" s="66"/>
      <c r="F269" s="66"/>
      <c r="G269" s="66"/>
      <c r="H269" s="66"/>
      <c r="I269" s="66"/>
      <c r="J269" s="66"/>
      <c r="K269" s="66"/>
      <c r="L269" s="66"/>
      <c r="M269" s="66"/>
      <c r="N269" s="66"/>
    </row>
    <row r="270" spans="1:14" x14ac:dyDescent="0.2">
      <c r="A270" s="84"/>
      <c r="B270" s="84"/>
      <c r="C270" s="60"/>
      <c r="D270" s="66"/>
      <c r="E270" s="66"/>
      <c r="F270" s="66"/>
      <c r="G270" s="66"/>
      <c r="H270" s="66"/>
      <c r="I270" s="66"/>
      <c r="J270" s="66"/>
      <c r="K270" s="66"/>
      <c r="L270" s="66"/>
      <c r="M270" s="66"/>
      <c r="N270" s="66"/>
    </row>
    <row r="271" spans="1:14" x14ac:dyDescent="0.2">
      <c r="A271" s="84"/>
      <c r="B271" s="84"/>
      <c r="C271" s="60"/>
      <c r="D271" s="66"/>
      <c r="E271" s="66"/>
      <c r="F271" s="66"/>
      <c r="G271" s="66"/>
      <c r="H271" s="66"/>
      <c r="I271" s="66"/>
      <c r="J271" s="66"/>
      <c r="K271" s="66"/>
      <c r="L271" s="66"/>
      <c r="M271" s="66"/>
      <c r="N271" s="66"/>
    </row>
    <row r="272" spans="1:14" x14ac:dyDescent="0.2">
      <c r="A272" s="84"/>
      <c r="B272" s="84"/>
      <c r="C272" s="60"/>
      <c r="D272" s="66"/>
      <c r="E272" s="66"/>
      <c r="F272" s="66"/>
      <c r="G272" s="66"/>
      <c r="H272" s="66"/>
      <c r="I272" s="66"/>
      <c r="J272" s="66"/>
      <c r="K272" s="66"/>
      <c r="L272" s="66"/>
      <c r="M272" s="66"/>
      <c r="N272" s="66"/>
    </row>
    <row r="273" spans="1:14" x14ac:dyDescent="0.2">
      <c r="A273" s="84"/>
      <c r="B273" s="84"/>
      <c r="C273" s="60"/>
      <c r="D273" s="66"/>
      <c r="E273" s="66"/>
      <c r="F273" s="66"/>
      <c r="G273" s="66"/>
      <c r="H273" s="66"/>
      <c r="I273" s="66"/>
      <c r="J273" s="66"/>
      <c r="K273" s="66"/>
      <c r="L273" s="66"/>
      <c r="M273" s="66"/>
      <c r="N273" s="66"/>
    </row>
    <row r="274" spans="1:14" x14ac:dyDescent="0.2">
      <c r="A274" s="84"/>
      <c r="B274" s="84"/>
      <c r="C274" s="60"/>
      <c r="D274" s="66"/>
      <c r="E274" s="66"/>
      <c r="F274" s="66"/>
      <c r="G274" s="66"/>
      <c r="H274" s="66"/>
      <c r="I274" s="66"/>
      <c r="J274" s="66"/>
      <c r="K274" s="66"/>
      <c r="L274" s="66"/>
      <c r="M274" s="66"/>
      <c r="N274" s="66"/>
    </row>
    <row r="275" spans="1:14" x14ac:dyDescent="0.2">
      <c r="A275" s="84"/>
      <c r="B275" s="84"/>
      <c r="C275" s="60"/>
      <c r="D275" s="66"/>
      <c r="E275" s="66"/>
      <c r="F275" s="66"/>
      <c r="G275" s="66"/>
      <c r="H275" s="66"/>
      <c r="I275" s="66"/>
      <c r="J275" s="66"/>
      <c r="K275" s="66"/>
      <c r="L275" s="66"/>
      <c r="M275" s="66"/>
      <c r="N275" s="66"/>
    </row>
    <row r="276" spans="1:14" x14ac:dyDescent="0.2">
      <c r="A276" s="84"/>
      <c r="B276" s="84"/>
      <c r="C276" s="60"/>
      <c r="D276" s="66"/>
      <c r="E276" s="66"/>
      <c r="F276" s="66"/>
      <c r="G276" s="66"/>
      <c r="H276" s="66"/>
      <c r="I276" s="66"/>
      <c r="J276" s="66"/>
      <c r="K276" s="66"/>
      <c r="L276" s="66"/>
      <c r="M276" s="66"/>
      <c r="N276" s="66"/>
    </row>
    <row r="277" spans="1:14" x14ac:dyDescent="0.2">
      <c r="A277" s="84"/>
      <c r="B277" s="84"/>
      <c r="C277" s="60"/>
      <c r="D277" s="66"/>
      <c r="E277" s="66"/>
      <c r="F277" s="66"/>
      <c r="G277" s="66"/>
      <c r="H277" s="66"/>
      <c r="I277" s="66"/>
      <c r="J277" s="66"/>
      <c r="K277" s="66"/>
      <c r="L277" s="66"/>
      <c r="M277" s="66"/>
      <c r="N277" s="66"/>
    </row>
    <row r="278" spans="1:14" x14ac:dyDescent="0.2">
      <c r="A278" s="84"/>
      <c r="B278" s="84"/>
      <c r="C278" s="60"/>
      <c r="D278" s="66"/>
      <c r="E278" s="66"/>
      <c r="F278" s="66"/>
      <c r="G278" s="66"/>
      <c r="H278" s="66"/>
      <c r="I278" s="66"/>
      <c r="J278" s="66"/>
      <c r="K278" s="66"/>
      <c r="L278" s="66"/>
      <c r="M278" s="66"/>
      <c r="N278" s="66"/>
    </row>
    <row r="279" spans="1:14" x14ac:dyDescent="0.2">
      <c r="A279" s="84"/>
      <c r="B279" s="84"/>
      <c r="C279" s="60"/>
      <c r="D279" s="66"/>
      <c r="E279" s="66"/>
      <c r="F279" s="66"/>
      <c r="G279" s="66"/>
      <c r="H279" s="66"/>
      <c r="I279" s="66"/>
      <c r="J279" s="66"/>
      <c r="K279" s="66"/>
      <c r="L279" s="66"/>
      <c r="M279" s="66"/>
      <c r="N279" s="66"/>
    </row>
    <row r="280" spans="1:14" x14ac:dyDescent="0.2">
      <c r="A280" s="84"/>
      <c r="B280" s="84"/>
      <c r="C280" s="60"/>
      <c r="D280" s="66"/>
      <c r="E280" s="66"/>
      <c r="F280" s="66"/>
      <c r="G280" s="66"/>
      <c r="H280" s="66"/>
      <c r="I280" s="66"/>
      <c r="J280" s="66"/>
      <c r="K280" s="66"/>
      <c r="L280" s="66"/>
      <c r="M280" s="66"/>
      <c r="N280" s="66"/>
    </row>
    <row r="281" spans="1:14" x14ac:dyDescent="0.2">
      <c r="A281" s="84"/>
      <c r="B281" s="84"/>
      <c r="C281" s="60"/>
      <c r="D281" s="66"/>
      <c r="E281" s="66"/>
      <c r="F281" s="66"/>
      <c r="G281" s="66"/>
      <c r="H281" s="66"/>
      <c r="I281" s="66"/>
      <c r="J281" s="66"/>
      <c r="K281" s="66"/>
      <c r="L281" s="66"/>
      <c r="M281" s="66"/>
      <c r="N281" s="66"/>
    </row>
    <row r="282" spans="1:14" x14ac:dyDescent="0.2">
      <c r="A282" s="84"/>
      <c r="B282" s="84"/>
      <c r="C282" s="60"/>
      <c r="D282" s="66"/>
      <c r="E282" s="66"/>
      <c r="F282" s="66"/>
      <c r="G282" s="66"/>
      <c r="H282" s="66"/>
      <c r="I282" s="66"/>
      <c r="J282" s="66"/>
      <c r="K282" s="66"/>
      <c r="L282" s="66"/>
      <c r="M282" s="66"/>
      <c r="N282" s="66"/>
    </row>
    <row r="283" spans="1:14" x14ac:dyDescent="0.2">
      <c r="A283" s="84"/>
      <c r="B283" s="84"/>
      <c r="C283" s="60"/>
      <c r="D283" s="66"/>
      <c r="E283" s="66"/>
      <c r="F283" s="66"/>
      <c r="G283" s="66"/>
      <c r="H283" s="66"/>
      <c r="I283" s="66"/>
      <c r="J283" s="66"/>
      <c r="K283" s="66"/>
      <c r="L283" s="66"/>
      <c r="M283" s="66"/>
      <c r="N283" s="66"/>
    </row>
    <row r="284" spans="1:14" x14ac:dyDescent="0.2">
      <c r="A284" s="84"/>
      <c r="B284" s="84"/>
      <c r="C284" s="60"/>
      <c r="D284" s="66"/>
      <c r="E284" s="66"/>
      <c r="F284" s="66"/>
      <c r="G284" s="66"/>
      <c r="H284" s="66"/>
      <c r="I284" s="66"/>
      <c r="J284" s="66"/>
      <c r="K284" s="66"/>
      <c r="L284" s="66"/>
      <c r="M284" s="66"/>
      <c r="N284" s="66"/>
    </row>
    <row r="285" spans="1:14" x14ac:dyDescent="0.2">
      <c r="A285" s="84"/>
      <c r="B285" s="84"/>
      <c r="C285" s="60"/>
      <c r="D285" s="66"/>
      <c r="E285" s="66"/>
      <c r="F285" s="66"/>
      <c r="G285" s="66"/>
      <c r="H285" s="66"/>
      <c r="I285" s="66"/>
      <c r="J285" s="66"/>
      <c r="K285" s="66"/>
      <c r="L285" s="66"/>
      <c r="M285" s="66"/>
      <c r="N285" s="66"/>
    </row>
    <row r="286" spans="1:14" x14ac:dyDescent="0.2">
      <c r="A286" s="84"/>
      <c r="B286" s="84"/>
      <c r="C286" s="60"/>
      <c r="D286" s="66"/>
      <c r="E286" s="66"/>
      <c r="F286" s="66"/>
      <c r="G286" s="66"/>
      <c r="H286" s="66"/>
      <c r="I286" s="66"/>
      <c r="J286" s="66"/>
      <c r="K286" s="66"/>
      <c r="L286" s="66"/>
      <c r="M286" s="66"/>
      <c r="N286" s="66"/>
    </row>
    <row r="287" spans="1:14" x14ac:dyDescent="0.2">
      <c r="A287" s="84"/>
      <c r="B287" s="84"/>
      <c r="C287" s="60"/>
      <c r="D287" s="66"/>
      <c r="E287" s="66"/>
      <c r="F287" s="66"/>
      <c r="G287" s="66"/>
      <c r="H287" s="66"/>
      <c r="I287" s="66"/>
      <c r="J287" s="66"/>
      <c r="K287" s="66"/>
      <c r="L287" s="66"/>
      <c r="M287" s="66"/>
      <c r="N287" s="66"/>
    </row>
    <row r="288" spans="1:14" x14ac:dyDescent="0.2">
      <c r="A288" s="84"/>
      <c r="B288" s="84"/>
      <c r="C288" s="60"/>
      <c r="D288" s="66"/>
      <c r="E288" s="66"/>
      <c r="F288" s="66"/>
      <c r="G288" s="66"/>
      <c r="H288" s="66"/>
      <c r="I288" s="66"/>
      <c r="J288" s="66"/>
      <c r="K288" s="66"/>
      <c r="L288" s="66"/>
      <c r="M288" s="66"/>
      <c r="N288" s="66"/>
    </row>
    <row r="289" spans="1:14" x14ac:dyDescent="0.2">
      <c r="A289" s="84"/>
      <c r="B289" s="84"/>
      <c r="C289" s="60"/>
      <c r="D289" s="66"/>
      <c r="E289" s="66"/>
      <c r="F289" s="66"/>
      <c r="G289" s="66"/>
      <c r="H289" s="66"/>
      <c r="I289" s="66"/>
      <c r="J289" s="66"/>
      <c r="K289" s="66"/>
      <c r="L289" s="66"/>
      <c r="M289" s="66"/>
      <c r="N289" s="66"/>
    </row>
    <row r="290" spans="1:14" x14ac:dyDescent="0.2">
      <c r="A290" s="84"/>
      <c r="B290" s="84"/>
      <c r="C290" s="60"/>
      <c r="D290" s="66"/>
      <c r="E290" s="66"/>
      <c r="F290" s="66"/>
      <c r="G290" s="66"/>
      <c r="H290" s="66"/>
      <c r="I290" s="66"/>
      <c r="J290" s="66"/>
      <c r="K290" s="66"/>
      <c r="L290" s="66"/>
      <c r="M290" s="66"/>
      <c r="N290" s="66"/>
    </row>
    <row r="291" spans="1:14" x14ac:dyDescent="0.2">
      <c r="A291" s="84"/>
      <c r="B291" s="84"/>
      <c r="C291" s="60"/>
      <c r="D291" s="66"/>
      <c r="E291" s="66"/>
      <c r="F291" s="66"/>
      <c r="G291" s="66"/>
      <c r="H291" s="66"/>
      <c r="I291" s="66"/>
      <c r="J291" s="66"/>
      <c r="K291" s="66"/>
      <c r="L291" s="66"/>
      <c r="M291" s="66"/>
      <c r="N291" s="66"/>
    </row>
    <row r="292" spans="1:14" x14ac:dyDescent="0.2">
      <c r="A292" s="84"/>
      <c r="B292" s="84"/>
      <c r="C292" s="60"/>
      <c r="D292" s="66"/>
      <c r="E292" s="66"/>
      <c r="F292" s="66"/>
      <c r="G292" s="66"/>
      <c r="H292" s="66"/>
      <c r="I292" s="66"/>
      <c r="J292" s="66"/>
      <c r="K292" s="66"/>
      <c r="L292" s="66"/>
      <c r="M292" s="66"/>
      <c r="N292" s="66"/>
    </row>
    <row r="293" spans="1:14" x14ac:dyDescent="0.2">
      <c r="A293" s="84"/>
      <c r="B293" s="84"/>
      <c r="C293" s="60"/>
      <c r="D293" s="66"/>
      <c r="E293" s="66"/>
      <c r="F293" s="66"/>
      <c r="G293" s="66"/>
      <c r="H293" s="66"/>
      <c r="I293" s="66"/>
      <c r="J293" s="66"/>
      <c r="K293" s="66"/>
      <c r="L293" s="66"/>
      <c r="M293" s="66"/>
      <c r="N293" s="66"/>
    </row>
    <row r="294" spans="1:14" x14ac:dyDescent="0.2">
      <c r="A294" s="84"/>
      <c r="B294" s="84"/>
      <c r="C294" s="60"/>
      <c r="D294" s="66"/>
      <c r="E294" s="66"/>
      <c r="F294" s="66"/>
      <c r="G294" s="66"/>
      <c r="H294" s="66"/>
      <c r="I294" s="66"/>
      <c r="J294" s="66"/>
      <c r="K294" s="66"/>
      <c r="L294" s="66"/>
      <c r="M294" s="66"/>
      <c r="N294" s="66"/>
    </row>
    <row r="295" spans="1:14" x14ac:dyDescent="0.2">
      <c r="A295" s="84"/>
      <c r="B295" s="84"/>
      <c r="C295" s="60"/>
      <c r="D295" s="66"/>
      <c r="E295" s="66"/>
      <c r="F295" s="66"/>
      <c r="G295" s="66"/>
      <c r="H295" s="66"/>
      <c r="I295" s="66"/>
      <c r="J295" s="66"/>
      <c r="K295" s="66"/>
      <c r="L295" s="66"/>
      <c r="M295" s="66"/>
      <c r="N295" s="66"/>
    </row>
    <row r="296" spans="1:14" x14ac:dyDescent="0.2">
      <c r="A296" s="84"/>
      <c r="B296" s="84"/>
      <c r="C296" s="60"/>
      <c r="D296" s="66"/>
      <c r="E296" s="66"/>
      <c r="F296" s="66"/>
      <c r="G296" s="66"/>
      <c r="H296" s="66"/>
      <c r="I296" s="66"/>
      <c r="J296" s="66"/>
      <c r="K296" s="66"/>
      <c r="L296" s="66"/>
      <c r="M296" s="66"/>
      <c r="N296" s="66"/>
    </row>
    <row r="297" spans="1:14" x14ac:dyDescent="0.2">
      <c r="A297" s="84"/>
      <c r="B297" s="84"/>
      <c r="C297" s="60"/>
      <c r="D297" s="66"/>
      <c r="E297" s="66"/>
      <c r="F297" s="66"/>
      <c r="G297" s="66"/>
      <c r="H297" s="66"/>
      <c r="I297" s="66"/>
      <c r="J297" s="66"/>
      <c r="K297" s="66"/>
      <c r="L297" s="66"/>
      <c r="M297" s="66"/>
      <c r="N297" s="66"/>
    </row>
    <row r="298" spans="1:14" x14ac:dyDescent="0.2">
      <c r="A298" s="84"/>
      <c r="B298" s="84"/>
      <c r="C298" s="60"/>
      <c r="D298" s="66"/>
      <c r="E298" s="66"/>
      <c r="F298" s="66"/>
      <c r="G298" s="66"/>
      <c r="H298" s="66"/>
      <c r="I298" s="66"/>
      <c r="J298" s="66"/>
      <c r="K298" s="66"/>
      <c r="L298" s="66"/>
      <c r="M298" s="66"/>
      <c r="N298" s="66"/>
    </row>
    <row r="299" spans="1:14" x14ac:dyDescent="0.2">
      <c r="A299" s="84"/>
      <c r="B299" s="84"/>
      <c r="C299" s="60"/>
      <c r="D299" s="66"/>
      <c r="E299" s="66"/>
      <c r="F299" s="66"/>
      <c r="G299" s="66"/>
      <c r="H299" s="66"/>
      <c r="I299" s="66"/>
      <c r="J299" s="66"/>
      <c r="K299" s="66"/>
      <c r="L299" s="66"/>
      <c r="M299" s="66"/>
      <c r="N299" s="66"/>
    </row>
    <row r="300" spans="1:14" x14ac:dyDescent="0.2">
      <c r="A300" s="84"/>
      <c r="B300" s="84"/>
      <c r="C300" s="60"/>
      <c r="D300" s="66"/>
      <c r="E300" s="66"/>
      <c r="F300" s="66"/>
      <c r="G300" s="66"/>
      <c r="H300" s="66"/>
      <c r="I300" s="66"/>
      <c r="J300" s="66"/>
      <c r="K300" s="66"/>
      <c r="L300" s="66"/>
      <c r="M300" s="66"/>
      <c r="N300" s="66"/>
    </row>
    <row r="301" spans="1:14" x14ac:dyDescent="0.2">
      <c r="A301" s="84"/>
      <c r="B301" s="84"/>
      <c r="C301" s="60"/>
      <c r="D301" s="66"/>
      <c r="E301" s="66"/>
      <c r="F301" s="66"/>
      <c r="G301" s="66"/>
      <c r="H301" s="66"/>
      <c r="I301" s="66"/>
      <c r="J301" s="66"/>
      <c r="K301" s="66"/>
      <c r="L301" s="66"/>
      <c r="M301" s="66"/>
      <c r="N301" s="66"/>
    </row>
    <row r="302" spans="1:14" x14ac:dyDescent="0.2">
      <c r="A302" s="84"/>
      <c r="B302" s="84"/>
      <c r="C302" s="60"/>
      <c r="D302" s="66"/>
      <c r="E302" s="66"/>
      <c r="F302" s="66"/>
      <c r="G302" s="66"/>
      <c r="H302" s="66"/>
      <c r="I302" s="66"/>
      <c r="J302" s="66"/>
      <c r="K302" s="66"/>
      <c r="L302" s="66"/>
      <c r="M302" s="66"/>
      <c r="N302" s="66"/>
    </row>
    <row r="303" spans="1:14" x14ac:dyDescent="0.2">
      <c r="A303" s="84"/>
      <c r="B303" s="84"/>
      <c r="C303" s="60"/>
      <c r="D303" s="66"/>
      <c r="E303" s="66"/>
      <c r="F303" s="66"/>
      <c r="G303" s="66"/>
      <c r="H303" s="66"/>
      <c r="I303" s="66"/>
      <c r="J303" s="66"/>
      <c r="K303" s="66"/>
      <c r="L303" s="66"/>
      <c r="M303" s="66"/>
      <c r="N303" s="66"/>
    </row>
    <row r="304" spans="1:14" x14ac:dyDescent="0.2">
      <c r="A304" s="84"/>
      <c r="B304" s="84"/>
      <c r="C304" s="60"/>
      <c r="D304" s="66"/>
      <c r="E304" s="66"/>
      <c r="F304" s="66"/>
      <c r="G304" s="66"/>
      <c r="H304" s="66"/>
      <c r="I304" s="66"/>
      <c r="J304" s="66"/>
      <c r="K304" s="66"/>
      <c r="L304" s="66"/>
      <c r="M304" s="66"/>
      <c r="N304" s="66"/>
    </row>
    <row r="305" spans="1:14" x14ac:dyDescent="0.2">
      <c r="A305" s="84"/>
      <c r="B305" s="84"/>
      <c r="C305" s="60"/>
      <c r="D305" s="66"/>
      <c r="E305" s="66"/>
      <c r="F305" s="66"/>
      <c r="G305" s="66"/>
      <c r="H305" s="66"/>
      <c r="I305" s="66"/>
      <c r="J305" s="66"/>
      <c r="K305" s="66"/>
      <c r="L305" s="66"/>
      <c r="M305" s="66"/>
      <c r="N305" s="66"/>
    </row>
    <row r="306" spans="1:14" x14ac:dyDescent="0.2">
      <c r="A306" s="84"/>
      <c r="B306" s="84"/>
      <c r="C306" s="60"/>
      <c r="D306" s="66"/>
      <c r="E306" s="66"/>
      <c r="F306" s="66"/>
      <c r="G306" s="66"/>
      <c r="H306" s="66"/>
      <c r="I306" s="66"/>
      <c r="J306" s="66"/>
      <c r="K306" s="66"/>
      <c r="L306" s="66"/>
      <c r="M306" s="66"/>
      <c r="N306" s="66"/>
    </row>
    <row r="307" spans="1:14" x14ac:dyDescent="0.2">
      <c r="A307" s="84"/>
      <c r="B307" s="84"/>
      <c r="C307" s="60"/>
      <c r="D307" s="66"/>
      <c r="E307" s="66"/>
      <c r="F307" s="66"/>
      <c r="G307" s="66"/>
      <c r="H307" s="66"/>
      <c r="I307" s="66"/>
      <c r="J307" s="66"/>
      <c r="K307" s="66"/>
      <c r="L307" s="66"/>
      <c r="M307" s="66"/>
      <c r="N307" s="66"/>
    </row>
    <row r="308" spans="1:14" x14ac:dyDescent="0.2">
      <c r="A308" s="84"/>
      <c r="B308" s="84"/>
      <c r="C308" s="60"/>
      <c r="D308" s="66"/>
      <c r="E308" s="66"/>
      <c r="F308" s="66"/>
      <c r="G308" s="66"/>
      <c r="H308" s="66"/>
      <c r="I308" s="66"/>
      <c r="J308" s="66"/>
      <c r="K308" s="66"/>
      <c r="L308" s="66"/>
      <c r="M308" s="66"/>
      <c r="N308" s="66"/>
    </row>
    <row r="309" spans="1:14" x14ac:dyDescent="0.2">
      <c r="A309" s="84"/>
      <c r="B309" s="84"/>
      <c r="C309" s="60"/>
      <c r="D309" s="66"/>
      <c r="E309" s="66"/>
      <c r="F309" s="66"/>
      <c r="G309" s="66"/>
      <c r="H309" s="66"/>
      <c r="I309" s="66"/>
      <c r="J309" s="66"/>
      <c r="K309" s="66"/>
      <c r="L309" s="66"/>
      <c r="M309" s="66"/>
      <c r="N309" s="66"/>
    </row>
    <row r="310" spans="1:14" x14ac:dyDescent="0.2">
      <c r="A310" s="84"/>
      <c r="B310" s="84"/>
      <c r="C310" s="60"/>
      <c r="D310" s="66"/>
      <c r="E310" s="66"/>
      <c r="F310" s="66"/>
      <c r="G310" s="66"/>
      <c r="H310" s="66"/>
      <c r="I310" s="66"/>
      <c r="J310" s="66"/>
      <c r="K310" s="66"/>
      <c r="L310" s="66"/>
      <c r="M310" s="66"/>
      <c r="N310" s="66"/>
    </row>
    <row r="311" spans="1:14" x14ac:dyDescent="0.2">
      <c r="A311" s="84"/>
      <c r="B311" s="84"/>
      <c r="C311" s="60"/>
      <c r="D311" s="66"/>
      <c r="E311" s="66"/>
      <c r="F311" s="66"/>
      <c r="G311" s="66"/>
      <c r="H311" s="66"/>
      <c r="I311" s="66"/>
      <c r="J311" s="66"/>
      <c r="K311" s="66"/>
      <c r="L311" s="66"/>
      <c r="M311" s="66"/>
      <c r="N311" s="66"/>
    </row>
    <row r="312" spans="1:14" x14ac:dyDescent="0.2">
      <c r="A312" s="84"/>
      <c r="B312" s="84"/>
      <c r="C312" s="60"/>
      <c r="D312" s="66"/>
      <c r="E312" s="66"/>
      <c r="F312" s="66"/>
      <c r="G312" s="66"/>
      <c r="H312" s="66"/>
      <c r="I312" s="66"/>
      <c r="J312" s="66"/>
      <c r="K312" s="66"/>
      <c r="L312" s="66"/>
      <c r="M312" s="66"/>
      <c r="N312" s="66"/>
    </row>
    <row r="313" spans="1:14" x14ac:dyDescent="0.2">
      <c r="A313" s="84"/>
      <c r="B313" s="84"/>
      <c r="C313" s="60"/>
      <c r="D313" s="66"/>
      <c r="E313" s="66"/>
      <c r="F313" s="66"/>
      <c r="G313" s="66"/>
      <c r="H313" s="66"/>
      <c r="I313" s="66"/>
      <c r="J313" s="66"/>
      <c r="K313" s="66"/>
      <c r="L313" s="66"/>
      <c r="M313" s="66"/>
      <c r="N313" s="66"/>
    </row>
    <row r="314" spans="1:14" x14ac:dyDescent="0.2">
      <c r="A314" s="84"/>
      <c r="B314" s="84"/>
      <c r="C314" s="60"/>
      <c r="D314" s="66"/>
      <c r="E314" s="66"/>
      <c r="F314" s="66"/>
      <c r="G314" s="66"/>
      <c r="H314" s="66"/>
      <c r="I314" s="66"/>
      <c r="J314" s="66"/>
      <c r="K314" s="66"/>
      <c r="L314" s="66"/>
      <c r="M314" s="66"/>
      <c r="N314" s="66"/>
    </row>
    <row r="315" spans="1:14" x14ac:dyDescent="0.2">
      <c r="A315" s="84"/>
      <c r="B315" s="84"/>
      <c r="C315" s="60"/>
      <c r="D315" s="66"/>
      <c r="E315" s="66"/>
      <c r="F315" s="66"/>
      <c r="G315" s="66"/>
      <c r="H315" s="66"/>
      <c r="I315" s="66"/>
      <c r="J315" s="66"/>
      <c r="K315" s="66"/>
      <c r="L315" s="66"/>
      <c r="M315" s="66"/>
      <c r="N315" s="66"/>
    </row>
    <row r="316" spans="1:14" x14ac:dyDescent="0.2">
      <c r="A316" s="84"/>
      <c r="B316" s="84"/>
      <c r="C316" s="60"/>
      <c r="D316" s="66"/>
      <c r="E316" s="66"/>
      <c r="F316" s="66"/>
      <c r="G316" s="66"/>
      <c r="H316" s="66"/>
      <c r="I316" s="66"/>
      <c r="J316" s="66"/>
      <c r="K316" s="66"/>
      <c r="L316" s="66"/>
      <c r="M316" s="66"/>
      <c r="N316" s="66"/>
    </row>
    <row r="317" spans="1:14" x14ac:dyDescent="0.2">
      <c r="A317" s="84"/>
      <c r="B317" s="84"/>
      <c r="C317" s="60"/>
      <c r="D317" s="66"/>
      <c r="E317" s="66"/>
      <c r="F317" s="66"/>
      <c r="G317" s="66"/>
      <c r="H317" s="66"/>
      <c r="I317" s="66"/>
      <c r="J317" s="66"/>
      <c r="K317" s="66"/>
      <c r="L317" s="66"/>
      <c r="M317" s="66"/>
      <c r="N317" s="66"/>
    </row>
    <row r="318" spans="1:14" x14ac:dyDescent="0.2">
      <c r="A318" s="84"/>
      <c r="B318" s="84"/>
      <c r="C318" s="60"/>
      <c r="D318" s="66"/>
      <c r="E318" s="66"/>
      <c r="F318" s="66"/>
      <c r="G318" s="66"/>
      <c r="H318" s="66"/>
      <c r="I318" s="66"/>
      <c r="J318" s="66"/>
      <c r="K318" s="66"/>
      <c r="L318" s="66"/>
      <c r="M318" s="66"/>
      <c r="N318" s="66"/>
    </row>
    <row r="319" spans="1:14" x14ac:dyDescent="0.2">
      <c r="A319" s="84"/>
      <c r="B319" s="84"/>
      <c r="C319" s="60"/>
      <c r="D319" s="66"/>
      <c r="E319" s="66"/>
      <c r="F319" s="66"/>
      <c r="G319" s="66"/>
      <c r="H319" s="66"/>
      <c r="I319" s="66"/>
      <c r="J319" s="66"/>
      <c r="K319" s="66"/>
      <c r="L319" s="66"/>
      <c r="M319" s="66"/>
      <c r="N319" s="66"/>
    </row>
    <row r="320" spans="1:14" x14ac:dyDescent="0.2">
      <c r="A320" s="84"/>
      <c r="B320" s="84"/>
      <c r="C320" s="60"/>
      <c r="D320" s="66"/>
      <c r="E320" s="66"/>
      <c r="F320" s="66"/>
      <c r="G320" s="66"/>
      <c r="H320" s="66"/>
      <c r="I320" s="66"/>
      <c r="J320" s="66"/>
      <c r="K320" s="66"/>
      <c r="L320" s="66"/>
      <c r="M320" s="66"/>
      <c r="N320" s="66"/>
    </row>
    <row r="321" spans="1:14" x14ac:dyDescent="0.2">
      <c r="A321" s="84"/>
      <c r="B321" s="84"/>
      <c r="C321" s="60"/>
      <c r="D321" s="66"/>
      <c r="E321" s="66"/>
      <c r="F321" s="66"/>
      <c r="G321" s="66"/>
      <c r="H321" s="66"/>
      <c r="I321" s="66"/>
      <c r="J321" s="66"/>
      <c r="K321" s="66"/>
      <c r="L321" s="66"/>
      <c r="M321" s="66"/>
      <c r="N321" s="66"/>
    </row>
    <row r="322" spans="1:14" x14ac:dyDescent="0.2">
      <c r="A322" s="84"/>
      <c r="B322" s="84"/>
      <c r="C322" s="60"/>
      <c r="D322" s="66"/>
      <c r="E322" s="66"/>
      <c r="F322" s="66"/>
      <c r="G322" s="66"/>
      <c r="H322" s="66"/>
      <c r="I322" s="66"/>
      <c r="J322" s="66"/>
      <c r="K322" s="66"/>
      <c r="L322" s="66"/>
      <c r="M322" s="66"/>
      <c r="N322" s="66"/>
    </row>
    <row r="323" spans="1:14" x14ac:dyDescent="0.2">
      <c r="A323" s="84"/>
      <c r="B323" s="84"/>
      <c r="C323" s="60"/>
      <c r="D323" s="66"/>
      <c r="E323" s="66"/>
      <c r="F323" s="66"/>
      <c r="G323" s="66"/>
      <c r="H323" s="66"/>
      <c r="I323" s="66"/>
      <c r="J323" s="66"/>
      <c r="K323" s="66"/>
      <c r="L323" s="66"/>
      <c r="M323" s="66"/>
      <c r="N323" s="66"/>
    </row>
    <row r="324" spans="1:14" x14ac:dyDescent="0.2">
      <c r="A324" s="84"/>
      <c r="B324" s="84"/>
      <c r="C324" s="60"/>
      <c r="D324" s="66"/>
      <c r="E324" s="66"/>
      <c r="F324" s="66"/>
      <c r="G324" s="66"/>
      <c r="H324" s="66"/>
      <c r="I324" s="66"/>
      <c r="J324" s="66"/>
      <c r="K324" s="66"/>
      <c r="L324" s="66"/>
      <c r="M324" s="66"/>
      <c r="N324" s="66"/>
    </row>
    <row r="325" spans="1:14" x14ac:dyDescent="0.2">
      <c r="A325" s="84"/>
      <c r="B325" s="84"/>
      <c r="C325" s="60"/>
      <c r="D325" s="66"/>
      <c r="E325" s="66"/>
      <c r="F325" s="66"/>
      <c r="G325" s="66"/>
      <c r="H325" s="66"/>
      <c r="I325" s="66"/>
      <c r="J325" s="66"/>
      <c r="K325" s="66"/>
      <c r="L325" s="66"/>
      <c r="M325" s="66"/>
      <c r="N325" s="66"/>
    </row>
    <row r="326" spans="1:14" x14ac:dyDescent="0.2">
      <c r="A326" s="84"/>
      <c r="B326" s="84"/>
      <c r="C326" s="60"/>
      <c r="D326" s="66"/>
      <c r="E326" s="66"/>
      <c r="F326" s="66"/>
      <c r="G326" s="66"/>
      <c r="H326" s="66"/>
      <c r="I326" s="66"/>
      <c r="J326" s="66"/>
      <c r="K326" s="66"/>
      <c r="L326" s="66"/>
      <c r="M326" s="66"/>
      <c r="N326" s="66"/>
    </row>
    <row r="327" spans="1:14" x14ac:dyDescent="0.2">
      <c r="A327" s="84"/>
      <c r="B327" s="84"/>
      <c r="C327" s="60"/>
      <c r="D327" s="66"/>
      <c r="E327" s="66"/>
      <c r="F327" s="66"/>
      <c r="G327" s="66"/>
      <c r="H327" s="66"/>
      <c r="I327" s="66"/>
      <c r="J327" s="66"/>
      <c r="K327" s="66"/>
      <c r="L327" s="66"/>
      <c r="M327" s="66"/>
      <c r="N327" s="66"/>
    </row>
    <row r="328" spans="1:14" x14ac:dyDescent="0.2">
      <c r="A328" s="84"/>
      <c r="B328" s="84"/>
      <c r="C328" s="60"/>
      <c r="D328" s="66"/>
      <c r="E328" s="66"/>
      <c r="F328" s="66"/>
      <c r="G328" s="66"/>
      <c r="H328" s="66"/>
      <c r="I328" s="66"/>
      <c r="J328" s="66"/>
      <c r="K328" s="66"/>
      <c r="L328" s="66"/>
      <c r="M328" s="66"/>
      <c r="N328" s="66"/>
    </row>
    <row r="329" spans="1:14" x14ac:dyDescent="0.2">
      <c r="A329" s="84"/>
      <c r="B329" s="84"/>
      <c r="C329" s="60"/>
      <c r="D329" s="66"/>
      <c r="E329" s="66"/>
      <c r="F329" s="66"/>
      <c r="G329" s="66"/>
      <c r="H329" s="66"/>
      <c r="I329" s="66"/>
      <c r="J329" s="66"/>
      <c r="K329" s="66"/>
      <c r="L329" s="66"/>
      <c r="M329" s="66"/>
      <c r="N329" s="66"/>
    </row>
    <row r="330" spans="1:14" x14ac:dyDescent="0.2">
      <c r="A330" s="84"/>
      <c r="B330" s="84"/>
      <c r="C330" s="60"/>
      <c r="D330" s="66"/>
      <c r="E330" s="66"/>
      <c r="F330" s="66"/>
      <c r="G330" s="66"/>
      <c r="H330" s="66"/>
      <c r="I330" s="66"/>
      <c r="J330" s="66"/>
      <c r="K330" s="66"/>
      <c r="L330" s="66"/>
      <c r="M330" s="66"/>
      <c r="N330" s="66"/>
    </row>
    <row r="331" spans="1:14" x14ac:dyDescent="0.2">
      <c r="A331" s="84"/>
      <c r="B331" s="84"/>
      <c r="C331" s="60"/>
      <c r="D331" s="66"/>
      <c r="E331" s="66"/>
      <c r="F331" s="66"/>
      <c r="G331" s="66"/>
      <c r="H331" s="66"/>
      <c r="I331" s="66"/>
      <c r="J331" s="66"/>
      <c r="K331" s="66"/>
      <c r="L331" s="66"/>
      <c r="M331" s="66"/>
      <c r="N331" s="66"/>
    </row>
    <row r="332" spans="1:14" x14ac:dyDescent="0.2">
      <c r="A332" s="84"/>
      <c r="B332" s="84"/>
      <c r="C332" s="60"/>
      <c r="D332" s="66"/>
      <c r="E332" s="66"/>
      <c r="F332" s="66"/>
      <c r="G332" s="66"/>
      <c r="H332" s="66"/>
      <c r="I332" s="66"/>
      <c r="J332" s="66"/>
      <c r="K332" s="66"/>
      <c r="L332" s="66"/>
      <c r="M332" s="66"/>
      <c r="N332" s="66"/>
    </row>
    <row r="333" spans="1:14" x14ac:dyDescent="0.2">
      <c r="A333" s="84"/>
      <c r="B333" s="84"/>
      <c r="C333" s="60"/>
      <c r="D333" s="66"/>
      <c r="E333" s="66"/>
      <c r="F333" s="66"/>
      <c r="G333" s="66"/>
      <c r="H333" s="66"/>
      <c r="I333" s="66"/>
      <c r="J333" s="66"/>
      <c r="K333" s="66"/>
      <c r="L333" s="66"/>
      <c r="M333" s="66"/>
      <c r="N333" s="66"/>
    </row>
    <row r="334" spans="1:14" x14ac:dyDescent="0.2">
      <c r="A334" s="84"/>
      <c r="B334" s="84"/>
      <c r="C334" s="60"/>
      <c r="D334" s="66"/>
      <c r="E334" s="66"/>
      <c r="F334" s="66"/>
      <c r="G334" s="66"/>
      <c r="H334" s="66"/>
      <c r="I334" s="66"/>
      <c r="J334" s="66"/>
      <c r="K334" s="66"/>
      <c r="L334" s="66"/>
      <c r="M334" s="66"/>
      <c r="N334" s="66"/>
    </row>
    <row r="335" spans="1:14" x14ac:dyDescent="0.2">
      <c r="A335" s="84"/>
      <c r="B335" s="84"/>
      <c r="C335" s="60"/>
      <c r="D335" s="66"/>
      <c r="E335" s="66"/>
      <c r="F335" s="66"/>
      <c r="G335" s="66"/>
      <c r="H335" s="66"/>
      <c r="I335" s="66"/>
      <c r="J335" s="66"/>
      <c r="K335" s="66"/>
      <c r="L335" s="66"/>
      <c r="M335" s="66"/>
      <c r="N335" s="66"/>
    </row>
    <row r="336" spans="1:14" x14ac:dyDescent="0.2">
      <c r="A336" s="84"/>
      <c r="B336" s="84"/>
      <c r="C336" s="60"/>
      <c r="D336" s="66"/>
      <c r="E336" s="66"/>
      <c r="F336" s="66"/>
      <c r="G336" s="66"/>
      <c r="H336" s="66"/>
      <c r="I336" s="66"/>
      <c r="J336" s="66"/>
      <c r="K336" s="66"/>
      <c r="L336" s="66"/>
      <c r="M336" s="66"/>
      <c r="N336" s="66"/>
    </row>
    <row r="337" spans="1:14" x14ac:dyDescent="0.2">
      <c r="A337" s="84"/>
      <c r="B337" s="84"/>
      <c r="C337" s="60"/>
      <c r="D337" s="66"/>
      <c r="E337" s="66"/>
      <c r="F337" s="66"/>
      <c r="G337" s="66"/>
      <c r="H337" s="66"/>
      <c r="I337" s="66"/>
      <c r="J337" s="66"/>
      <c r="K337" s="66"/>
      <c r="L337" s="66"/>
      <c r="M337" s="66"/>
      <c r="N337" s="66"/>
    </row>
    <row r="338" spans="1:14" x14ac:dyDescent="0.2">
      <c r="A338" s="84"/>
      <c r="B338" s="84"/>
      <c r="C338" s="60"/>
      <c r="D338" s="66"/>
      <c r="E338" s="66"/>
      <c r="F338" s="66"/>
      <c r="G338" s="66"/>
      <c r="H338" s="66"/>
      <c r="I338" s="66"/>
      <c r="J338" s="66"/>
      <c r="K338" s="66"/>
      <c r="L338" s="66"/>
      <c r="M338" s="66"/>
      <c r="N338" s="66"/>
    </row>
    <row r="339" spans="1:14" x14ac:dyDescent="0.2">
      <c r="A339" s="84"/>
      <c r="B339" s="84"/>
      <c r="C339" s="60"/>
      <c r="D339" s="66"/>
      <c r="E339" s="66"/>
      <c r="F339" s="66"/>
      <c r="G339" s="66"/>
      <c r="H339" s="66"/>
      <c r="I339" s="66"/>
      <c r="J339" s="66"/>
      <c r="K339" s="66"/>
      <c r="L339" s="66"/>
      <c r="M339" s="66"/>
      <c r="N339" s="66"/>
    </row>
    <row r="340" spans="1:14" x14ac:dyDescent="0.2">
      <c r="A340" s="84"/>
      <c r="B340" s="84"/>
      <c r="C340" s="60"/>
      <c r="D340" s="66"/>
      <c r="E340" s="66"/>
      <c r="F340" s="66"/>
      <c r="G340" s="66"/>
      <c r="H340" s="66"/>
      <c r="I340" s="66"/>
      <c r="J340" s="66"/>
      <c r="K340" s="66"/>
      <c r="L340" s="66"/>
      <c r="M340" s="66"/>
      <c r="N340" s="66"/>
    </row>
    <row r="341" spans="1:14" x14ac:dyDescent="0.2">
      <c r="A341" s="84"/>
      <c r="B341" s="84"/>
      <c r="C341" s="60"/>
      <c r="D341" s="66"/>
      <c r="E341" s="66"/>
      <c r="F341" s="66"/>
      <c r="G341" s="66"/>
      <c r="H341" s="66"/>
      <c r="I341" s="66"/>
      <c r="J341" s="66"/>
      <c r="K341" s="66"/>
      <c r="L341" s="66"/>
      <c r="M341" s="66"/>
      <c r="N341" s="66"/>
    </row>
    <row r="342" spans="1:14" x14ac:dyDescent="0.2">
      <c r="A342" s="84"/>
      <c r="B342" s="84"/>
      <c r="C342" s="60"/>
      <c r="D342" s="66"/>
      <c r="E342" s="66"/>
      <c r="F342" s="66"/>
      <c r="G342" s="66"/>
      <c r="H342" s="66"/>
      <c r="I342" s="66"/>
      <c r="J342" s="66"/>
      <c r="K342" s="66"/>
      <c r="L342" s="66"/>
      <c r="M342" s="66"/>
      <c r="N342" s="66"/>
    </row>
    <row r="343" spans="1:14" x14ac:dyDescent="0.2">
      <c r="A343" s="84"/>
      <c r="B343" s="84"/>
      <c r="C343" s="60"/>
      <c r="D343" s="66"/>
      <c r="E343" s="66"/>
      <c r="F343" s="66"/>
      <c r="G343" s="66"/>
      <c r="H343" s="66"/>
      <c r="I343" s="66"/>
      <c r="J343" s="66"/>
      <c r="K343" s="66"/>
      <c r="L343" s="66"/>
      <c r="M343" s="66"/>
      <c r="N343" s="66"/>
    </row>
    <row r="344" spans="1:14" x14ac:dyDescent="0.2">
      <c r="A344" s="84"/>
      <c r="B344" s="84"/>
      <c r="C344" s="60"/>
      <c r="D344" s="66"/>
      <c r="E344" s="66"/>
      <c r="F344" s="66"/>
      <c r="G344" s="66"/>
      <c r="H344" s="66"/>
      <c r="I344" s="66"/>
      <c r="J344" s="66"/>
      <c r="K344" s="66"/>
      <c r="L344" s="66"/>
      <c r="M344" s="66"/>
      <c r="N344" s="66"/>
    </row>
    <row r="345" spans="1:14" x14ac:dyDescent="0.2">
      <c r="A345" s="84"/>
      <c r="B345" s="84"/>
      <c r="C345" s="60"/>
      <c r="D345" s="66"/>
      <c r="E345" s="66"/>
      <c r="F345" s="66"/>
      <c r="G345" s="66"/>
      <c r="H345" s="66"/>
      <c r="I345" s="66"/>
      <c r="J345" s="66"/>
      <c r="K345" s="66"/>
      <c r="L345" s="66"/>
      <c r="M345" s="66"/>
      <c r="N345" s="66"/>
    </row>
    <row r="346" spans="1:14" x14ac:dyDescent="0.2">
      <c r="A346" s="84"/>
      <c r="B346" s="84"/>
      <c r="C346" s="60"/>
      <c r="D346" s="66"/>
      <c r="E346" s="66"/>
      <c r="F346" s="66"/>
      <c r="G346" s="66"/>
      <c r="H346" s="66"/>
      <c r="I346" s="66"/>
      <c r="J346" s="66"/>
      <c r="K346" s="66"/>
      <c r="L346" s="66"/>
      <c r="M346" s="66"/>
      <c r="N346" s="66"/>
    </row>
    <row r="347" spans="1:14" x14ac:dyDescent="0.2">
      <c r="A347" s="84"/>
      <c r="B347" s="84"/>
      <c r="C347" s="60"/>
      <c r="D347" s="66"/>
      <c r="E347" s="66"/>
      <c r="F347" s="66"/>
      <c r="G347" s="66"/>
      <c r="H347" s="66"/>
      <c r="I347" s="66"/>
      <c r="J347" s="66"/>
      <c r="K347" s="66"/>
      <c r="L347" s="66"/>
      <c r="M347" s="66"/>
      <c r="N347" s="66"/>
    </row>
    <row r="348" spans="1:14" x14ac:dyDescent="0.2">
      <c r="A348" s="84"/>
      <c r="B348" s="84"/>
      <c r="C348" s="60"/>
      <c r="D348" s="66"/>
      <c r="E348" s="66"/>
      <c r="F348" s="66"/>
      <c r="G348" s="66"/>
      <c r="H348" s="66"/>
      <c r="I348" s="66"/>
      <c r="J348" s="66"/>
      <c r="K348" s="66"/>
      <c r="L348" s="66"/>
      <c r="M348" s="66"/>
      <c r="N348" s="66"/>
    </row>
    <row r="349" spans="1:14" x14ac:dyDescent="0.2">
      <c r="A349" s="84"/>
      <c r="B349" s="84"/>
      <c r="C349" s="60"/>
      <c r="D349" s="66"/>
      <c r="E349" s="66"/>
      <c r="F349" s="66"/>
      <c r="G349" s="66"/>
      <c r="H349" s="66"/>
      <c r="I349" s="66"/>
      <c r="J349" s="66"/>
      <c r="K349" s="66"/>
      <c r="L349" s="66"/>
      <c r="M349" s="66"/>
      <c r="N349" s="66"/>
    </row>
    <row r="350" spans="1:14" x14ac:dyDescent="0.2">
      <c r="A350" s="84"/>
      <c r="B350" s="84"/>
      <c r="C350" s="60"/>
      <c r="D350" s="66"/>
      <c r="E350" s="66"/>
      <c r="F350" s="66"/>
      <c r="G350" s="66"/>
      <c r="H350" s="66"/>
      <c r="I350" s="66"/>
      <c r="J350" s="66"/>
      <c r="K350" s="66"/>
      <c r="L350" s="66"/>
      <c r="M350" s="66"/>
      <c r="N350" s="66"/>
    </row>
    <row r="351" spans="1:14" x14ac:dyDescent="0.2">
      <c r="A351" s="84"/>
      <c r="B351" s="84"/>
      <c r="C351" s="60"/>
      <c r="D351" s="66"/>
      <c r="E351" s="66"/>
      <c r="F351" s="66"/>
      <c r="G351" s="66"/>
      <c r="H351" s="66"/>
      <c r="I351" s="66"/>
      <c r="J351" s="66"/>
      <c r="K351" s="66"/>
      <c r="L351" s="66"/>
      <c r="M351" s="66"/>
      <c r="N351" s="66"/>
    </row>
    <row r="352" spans="1:14" x14ac:dyDescent="0.2">
      <c r="A352" s="84"/>
      <c r="B352" s="84"/>
      <c r="C352" s="60"/>
      <c r="D352" s="66"/>
      <c r="E352" s="66"/>
      <c r="F352" s="66"/>
      <c r="G352" s="66"/>
      <c r="H352" s="66"/>
      <c r="I352" s="66"/>
      <c r="J352" s="66"/>
      <c r="K352" s="66"/>
      <c r="L352" s="66"/>
      <c r="M352" s="66"/>
      <c r="N352" s="66"/>
    </row>
    <row r="353" spans="1:14" x14ac:dyDescent="0.2">
      <c r="A353" s="84"/>
      <c r="B353" s="84"/>
      <c r="C353" s="60"/>
      <c r="D353" s="66"/>
      <c r="E353" s="66"/>
      <c r="F353" s="66"/>
      <c r="G353" s="66"/>
      <c r="H353" s="66"/>
      <c r="I353" s="66"/>
      <c r="J353" s="66"/>
      <c r="K353" s="66"/>
      <c r="L353" s="66"/>
      <c r="M353" s="66"/>
      <c r="N353" s="66"/>
    </row>
    <row r="354" spans="1:14" x14ac:dyDescent="0.2">
      <c r="A354" s="84"/>
      <c r="B354" s="84"/>
      <c r="C354" s="60"/>
      <c r="D354" s="66"/>
      <c r="E354" s="66"/>
      <c r="F354" s="66"/>
      <c r="G354" s="66"/>
      <c r="H354" s="66"/>
      <c r="I354" s="66"/>
      <c r="J354" s="66"/>
      <c r="K354" s="66"/>
      <c r="L354" s="66"/>
      <c r="M354" s="66"/>
      <c r="N354" s="66"/>
    </row>
    <row r="355" spans="1:14" x14ac:dyDescent="0.2">
      <c r="A355" s="84"/>
      <c r="B355" s="84"/>
      <c r="C355" s="60"/>
      <c r="D355" s="66"/>
      <c r="E355" s="66"/>
      <c r="F355" s="66"/>
      <c r="G355" s="66"/>
      <c r="H355" s="66"/>
      <c r="I355" s="66"/>
      <c r="J355" s="66"/>
      <c r="K355" s="66"/>
      <c r="L355" s="66"/>
      <c r="M355" s="66"/>
      <c r="N355" s="66"/>
    </row>
    <row r="356" spans="1:14" x14ac:dyDescent="0.2">
      <c r="A356" s="84"/>
      <c r="B356" s="84"/>
      <c r="C356" s="60"/>
      <c r="D356" s="66"/>
      <c r="E356" s="66"/>
      <c r="F356" s="66"/>
      <c r="G356" s="66"/>
      <c r="H356" s="66"/>
      <c r="I356" s="66"/>
      <c r="J356" s="66"/>
      <c r="K356" s="66"/>
      <c r="L356" s="66"/>
      <c r="M356" s="66"/>
      <c r="N356" s="66"/>
    </row>
    <row r="357" spans="1:14" x14ac:dyDescent="0.2">
      <c r="A357" s="84"/>
      <c r="B357" s="84"/>
      <c r="C357" s="60"/>
      <c r="D357" s="66"/>
      <c r="E357" s="66"/>
      <c r="F357" s="66"/>
      <c r="G357" s="66"/>
      <c r="H357" s="66"/>
      <c r="I357" s="66"/>
      <c r="J357" s="66"/>
      <c r="K357" s="66"/>
      <c r="L357" s="66"/>
      <c r="M357" s="66"/>
      <c r="N357" s="66"/>
    </row>
    <row r="358" spans="1:14" x14ac:dyDescent="0.2">
      <c r="A358" s="84"/>
      <c r="B358" s="84"/>
      <c r="C358" s="60"/>
      <c r="D358" s="66"/>
      <c r="E358" s="66"/>
      <c r="F358" s="66"/>
      <c r="G358" s="66"/>
      <c r="H358" s="66"/>
      <c r="I358" s="66"/>
      <c r="J358" s="66"/>
      <c r="K358" s="66"/>
      <c r="L358" s="66"/>
      <c r="M358" s="66"/>
      <c r="N358" s="66"/>
    </row>
    <row r="359" spans="1:14" x14ac:dyDescent="0.2">
      <c r="A359" s="84"/>
      <c r="B359" s="84"/>
      <c r="C359" s="60"/>
      <c r="D359" s="66"/>
      <c r="E359" s="66"/>
      <c r="F359" s="66"/>
      <c r="G359" s="66"/>
      <c r="H359" s="66"/>
      <c r="I359" s="66"/>
      <c r="J359" s="66"/>
      <c r="K359" s="66"/>
      <c r="L359" s="66"/>
      <c r="M359" s="66"/>
      <c r="N359" s="66"/>
    </row>
    <row r="360" spans="1:14" x14ac:dyDescent="0.2">
      <c r="A360" s="84"/>
      <c r="B360" s="84"/>
      <c r="C360" s="60"/>
      <c r="D360" s="66"/>
      <c r="E360" s="66"/>
      <c r="F360" s="66"/>
      <c r="G360" s="66"/>
      <c r="H360" s="66"/>
      <c r="I360" s="66"/>
      <c r="J360" s="66"/>
      <c r="K360" s="66"/>
      <c r="L360" s="66"/>
      <c r="M360" s="66"/>
      <c r="N360" s="66"/>
    </row>
    <row r="361" spans="1:14" x14ac:dyDescent="0.2">
      <c r="A361" s="84"/>
      <c r="B361" s="84"/>
      <c r="C361" s="60"/>
      <c r="D361" s="66"/>
      <c r="E361" s="66"/>
      <c r="F361" s="66"/>
      <c r="G361" s="66"/>
      <c r="H361" s="66"/>
      <c r="I361" s="66"/>
      <c r="J361" s="66"/>
      <c r="K361" s="66"/>
      <c r="L361" s="66"/>
      <c r="M361" s="66"/>
      <c r="N361" s="66"/>
    </row>
    <row r="362" spans="1:14" x14ac:dyDescent="0.2">
      <c r="A362" s="84"/>
      <c r="B362" s="84"/>
      <c r="C362" s="60"/>
      <c r="D362" s="66"/>
      <c r="E362" s="66"/>
      <c r="F362" s="66"/>
      <c r="G362" s="66"/>
      <c r="H362" s="66"/>
      <c r="I362" s="66"/>
      <c r="J362" s="66"/>
      <c r="K362" s="66"/>
      <c r="L362" s="66"/>
      <c r="M362" s="66"/>
      <c r="N362" s="66"/>
    </row>
    <row r="363" spans="1:14" x14ac:dyDescent="0.2">
      <c r="A363" s="84"/>
      <c r="B363" s="84"/>
      <c r="C363" s="60"/>
      <c r="D363" s="66"/>
      <c r="E363" s="66"/>
      <c r="F363" s="66"/>
      <c r="G363" s="66"/>
      <c r="H363" s="66"/>
      <c r="I363" s="66"/>
      <c r="J363" s="66"/>
      <c r="K363" s="66"/>
      <c r="L363" s="66"/>
      <c r="M363" s="66"/>
      <c r="N363" s="66"/>
    </row>
    <row r="364" spans="1:14" x14ac:dyDescent="0.2">
      <c r="A364" s="84"/>
      <c r="B364" s="84"/>
      <c r="C364" s="60"/>
      <c r="D364" s="66"/>
      <c r="E364" s="66"/>
      <c r="F364" s="66"/>
      <c r="G364" s="66"/>
      <c r="H364" s="66"/>
      <c r="I364" s="66"/>
      <c r="J364" s="66"/>
      <c r="K364" s="66"/>
      <c r="L364" s="66"/>
      <c r="M364" s="66"/>
      <c r="N364" s="66"/>
    </row>
    <row r="365" spans="1:14" x14ac:dyDescent="0.2">
      <c r="A365" s="84"/>
      <c r="B365" s="84"/>
      <c r="C365" s="60"/>
      <c r="D365" s="66"/>
      <c r="E365" s="66"/>
      <c r="F365" s="66"/>
      <c r="G365" s="66"/>
      <c r="H365" s="66"/>
      <c r="I365" s="66"/>
      <c r="J365" s="66"/>
      <c r="K365" s="66"/>
      <c r="L365" s="66"/>
      <c r="M365" s="66"/>
      <c r="N365" s="66"/>
    </row>
    <row r="366" spans="1:14" x14ac:dyDescent="0.2">
      <c r="A366" s="84"/>
      <c r="B366" s="84"/>
      <c r="C366" s="60"/>
      <c r="D366" s="66"/>
      <c r="E366" s="66"/>
      <c r="F366" s="66"/>
      <c r="G366" s="66"/>
      <c r="H366" s="66"/>
      <c r="I366" s="66"/>
      <c r="J366" s="66"/>
      <c r="K366" s="66"/>
      <c r="L366" s="66"/>
      <c r="M366" s="66"/>
      <c r="N366" s="66"/>
    </row>
    <row r="367" spans="1:14" x14ac:dyDescent="0.2">
      <c r="A367" s="84"/>
      <c r="B367" s="84"/>
      <c r="C367" s="60"/>
      <c r="D367" s="66"/>
      <c r="E367" s="66"/>
      <c r="F367" s="66"/>
      <c r="G367" s="66"/>
      <c r="H367" s="66"/>
      <c r="I367" s="66"/>
      <c r="J367" s="66"/>
      <c r="K367" s="66"/>
      <c r="L367" s="66"/>
      <c r="M367" s="66"/>
      <c r="N367" s="66"/>
    </row>
    <row r="368" spans="1:14" x14ac:dyDescent="0.2">
      <c r="A368" s="84"/>
      <c r="B368" s="84"/>
      <c r="C368" s="60"/>
      <c r="D368" s="66"/>
      <c r="E368" s="66"/>
      <c r="F368" s="66"/>
      <c r="G368" s="66"/>
      <c r="H368" s="66"/>
      <c r="I368" s="66"/>
      <c r="J368" s="66"/>
      <c r="K368" s="66"/>
      <c r="L368" s="66"/>
      <c r="M368" s="66"/>
      <c r="N368" s="66"/>
    </row>
    <row r="369" spans="1:14" x14ac:dyDescent="0.2">
      <c r="A369" s="84"/>
      <c r="B369" s="84"/>
      <c r="C369" s="60"/>
      <c r="D369" s="66"/>
      <c r="E369" s="66"/>
      <c r="F369" s="66"/>
      <c r="G369" s="66"/>
      <c r="H369" s="66"/>
      <c r="I369" s="66"/>
      <c r="J369" s="66"/>
      <c r="K369" s="66"/>
      <c r="L369" s="66"/>
      <c r="M369" s="66"/>
      <c r="N369" s="66"/>
    </row>
    <row r="370" spans="1:14" x14ac:dyDescent="0.2">
      <c r="A370" s="84"/>
      <c r="B370" s="84"/>
      <c r="C370" s="60"/>
      <c r="D370" s="66"/>
      <c r="E370" s="66"/>
      <c r="F370" s="66"/>
      <c r="G370" s="66"/>
      <c r="H370" s="66"/>
      <c r="I370" s="66"/>
      <c r="J370" s="66"/>
      <c r="K370" s="66"/>
      <c r="L370" s="66"/>
      <c r="M370" s="66"/>
      <c r="N370" s="66"/>
    </row>
    <row r="371" spans="1:14" x14ac:dyDescent="0.2">
      <c r="A371" s="84"/>
      <c r="B371" s="84"/>
      <c r="C371" s="60"/>
      <c r="D371" s="66"/>
      <c r="E371" s="66"/>
      <c r="F371" s="66"/>
      <c r="G371" s="66"/>
      <c r="H371" s="66"/>
      <c r="I371" s="66"/>
      <c r="J371" s="66"/>
      <c r="K371" s="66"/>
      <c r="L371" s="66"/>
      <c r="M371" s="66"/>
      <c r="N371" s="66"/>
    </row>
    <row r="372" spans="1:14" x14ac:dyDescent="0.2">
      <c r="A372" s="84"/>
      <c r="B372" s="84"/>
      <c r="C372" s="60"/>
      <c r="D372" s="66"/>
      <c r="E372" s="66"/>
      <c r="F372" s="66"/>
      <c r="G372" s="66"/>
      <c r="H372" s="66"/>
      <c r="I372" s="66"/>
      <c r="J372" s="66"/>
      <c r="K372" s="66"/>
      <c r="L372" s="66"/>
      <c r="M372" s="66"/>
      <c r="N372" s="66"/>
    </row>
    <row r="373" spans="1:14" x14ac:dyDescent="0.2">
      <c r="A373" s="84"/>
      <c r="B373" s="84"/>
      <c r="C373" s="60"/>
      <c r="D373" s="66"/>
      <c r="E373" s="66"/>
      <c r="F373" s="66"/>
      <c r="G373" s="66"/>
      <c r="H373" s="66"/>
      <c r="I373" s="66"/>
      <c r="J373" s="66"/>
      <c r="K373" s="66"/>
      <c r="L373" s="66"/>
      <c r="M373" s="66"/>
      <c r="N373" s="66"/>
    </row>
    <row r="374" spans="1:14" x14ac:dyDescent="0.2">
      <c r="A374" s="84"/>
      <c r="B374" s="84"/>
      <c r="C374" s="60"/>
      <c r="D374" s="66"/>
      <c r="E374" s="66"/>
      <c r="F374" s="66"/>
      <c r="G374" s="66"/>
      <c r="H374" s="66"/>
      <c r="I374" s="66"/>
      <c r="J374" s="66"/>
      <c r="K374" s="66"/>
      <c r="L374" s="66"/>
      <c r="M374" s="66"/>
      <c r="N374" s="66"/>
    </row>
    <row r="375" spans="1:14" x14ac:dyDescent="0.2">
      <c r="A375" s="84"/>
      <c r="B375" s="84"/>
      <c r="C375" s="60"/>
      <c r="D375" s="66"/>
      <c r="E375" s="66"/>
      <c r="F375" s="66"/>
      <c r="G375" s="66"/>
      <c r="H375" s="66"/>
      <c r="I375" s="66"/>
      <c r="J375" s="66"/>
      <c r="K375" s="66"/>
      <c r="L375" s="66"/>
      <c r="M375" s="66"/>
      <c r="N375" s="66"/>
    </row>
    <row r="376" spans="1:14" x14ac:dyDescent="0.2">
      <c r="A376" s="84"/>
      <c r="B376" s="84"/>
      <c r="C376" s="60"/>
      <c r="D376" s="66"/>
      <c r="E376" s="66"/>
      <c r="F376" s="66"/>
      <c r="G376" s="66"/>
      <c r="H376" s="66"/>
      <c r="I376" s="66"/>
      <c r="J376" s="66"/>
      <c r="K376" s="66"/>
      <c r="L376" s="66"/>
      <c r="M376" s="66"/>
      <c r="N376" s="66"/>
    </row>
    <row r="377" spans="1:14" x14ac:dyDescent="0.2">
      <c r="A377" s="84"/>
      <c r="B377" s="84"/>
      <c r="C377" s="60"/>
      <c r="D377" s="66"/>
      <c r="E377" s="66"/>
      <c r="F377" s="66"/>
      <c r="G377" s="66"/>
      <c r="H377" s="66"/>
      <c r="I377" s="66"/>
      <c r="J377" s="66"/>
      <c r="K377" s="66"/>
      <c r="L377" s="66"/>
      <c r="M377" s="66"/>
      <c r="N377" s="66"/>
    </row>
    <row r="378" spans="1:14" x14ac:dyDescent="0.2">
      <c r="A378" s="84"/>
      <c r="B378" s="84"/>
      <c r="C378" s="60"/>
      <c r="D378" s="66"/>
      <c r="E378" s="66"/>
      <c r="F378" s="66"/>
      <c r="G378" s="66"/>
      <c r="H378" s="66"/>
      <c r="I378" s="66"/>
      <c r="J378" s="66"/>
      <c r="K378" s="66"/>
      <c r="L378" s="66"/>
      <c r="M378" s="66"/>
      <c r="N378" s="66"/>
    </row>
    <row r="379" spans="1:14" x14ac:dyDescent="0.2">
      <c r="A379" s="84"/>
      <c r="B379" s="84"/>
      <c r="C379" s="60"/>
      <c r="D379" s="66"/>
      <c r="E379" s="66"/>
      <c r="F379" s="66"/>
      <c r="G379" s="66"/>
      <c r="H379" s="66"/>
      <c r="I379" s="66"/>
      <c r="J379" s="66"/>
      <c r="K379" s="66"/>
      <c r="L379" s="66"/>
      <c r="M379" s="66"/>
      <c r="N379" s="66"/>
    </row>
    <row r="380" spans="1:14" x14ac:dyDescent="0.2">
      <c r="A380" s="84"/>
      <c r="B380" s="84"/>
      <c r="C380" s="60"/>
      <c r="D380" s="66"/>
      <c r="E380" s="66"/>
      <c r="F380" s="66"/>
      <c r="G380" s="66"/>
      <c r="H380" s="66"/>
      <c r="I380" s="66"/>
      <c r="J380" s="66"/>
      <c r="K380" s="66"/>
      <c r="L380" s="66"/>
      <c r="M380" s="66"/>
      <c r="N380" s="66"/>
    </row>
    <row r="381" spans="1:14" x14ac:dyDescent="0.2">
      <c r="A381" s="84"/>
      <c r="B381" s="84"/>
      <c r="C381" s="60"/>
      <c r="D381" s="66"/>
      <c r="E381" s="66"/>
      <c r="F381" s="66"/>
      <c r="G381" s="66"/>
      <c r="H381" s="66"/>
      <c r="I381" s="66"/>
      <c r="J381" s="66"/>
      <c r="K381" s="66"/>
      <c r="L381" s="66"/>
      <c r="M381" s="66"/>
      <c r="N381" s="66"/>
    </row>
    <row r="382" spans="1:14" x14ac:dyDescent="0.2">
      <c r="A382" s="84"/>
      <c r="B382" s="84"/>
      <c r="C382" s="60"/>
      <c r="D382" s="66"/>
      <c r="E382" s="66"/>
      <c r="F382" s="66"/>
      <c r="G382" s="66"/>
      <c r="H382" s="66"/>
      <c r="I382" s="66"/>
      <c r="J382" s="66"/>
      <c r="K382" s="66"/>
      <c r="L382" s="66"/>
      <c r="M382" s="66"/>
      <c r="N382" s="66"/>
    </row>
    <row r="383" spans="1:14" x14ac:dyDescent="0.2">
      <c r="A383" s="84"/>
      <c r="B383" s="84"/>
      <c r="C383" s="60"/>
      <c r="D383" s="66"/>
      <c r="E383" s="66"/>
      <c r="F383" s="66"/>
      <c r="G383" s="66"/>
      <c r="H383" s="66"/>
      <c r="I383" s="66"/>
      <c r="J383" s="66"/>
      <c r="K383" s="66"/>
      <c r="L383" s="66"/>
      <c r="M383" s="66"/>
      <c r="N383" s="66"/>
    </row>
    <row r="384" spans="1:14" x14ac:dyDescent="0.2">
      <c r="A384" s="84"/>
      <c r="B384" s="84"/>
      <c r="C384" s="60"/>
      <c r="D384" s="66"/>
      <c r="E384" s="66"/>
      <c r="F384" s="66"/>
      <c r="G384" s="66"/>
      <c r="H384" s="66"/>
      <c r="I384" s="66"/>
      <c r="J384" s="66"/>
      <c r="K384" s="66"/>
      <c r="L384" s="66"/>
      <c r="M384" s="66"/>
      <c r="N384" s="66"/>
    </row>
    <row r="385" spans="1:14" x14ac:dyDescent="0.2">
      <c r="A385" s="84"/>
      <c r="B385" s="84"/>
      <c r="C385" s="60"/>
      <c r="D385" s="66"/>
      <c r="E385" s="66"/>
      <c r="F385" s="66"/>
      <c r="G385" s="66"/>
      <c r="H385" s="66"/>
      <c r="I385" s="66"/>
      <c r="J385" s="66"/>
      <c r="K385" s="66"/>
      <c r="L385" s="66"/>
      <c r="M385" s="66"/>
      <c r="N385" s="66"/>
    </row>
    <row r="386" spans="1:14" x14ac:dyDescent="0.2">
      <c r="A386" s="84"/>
      <c r="B386" s="84"/>
      <c r="C386" s="60"/>
      <c r="D386" s="66"/>
      <c r="E386" s="66"/>
      <c r="F386" s="66"/>
      <c r="G386" s="66"/>
      <c r="H386" s="66"/>
      <c r="I386" s="66"/>
      <c r="J386" s="66"/>
      <c r="K386" s="66"/>
      <c r="L386" s="66"/>
      <c r="M386" s="66"/>
      <c r="N386" s="66"/>
    </row>
    <row r="387" spans="1:14" x14ac:dyDescent="0.2">
      <c r="A387" s="84"/>
      <c r="B387" s="84"/>
      <c r="C387" s="60"/>
      <c r="D387" s="66"/>
      <c r="E387" s="66"/>
      <c r="F387" s="66"/>
      <c r="G387" s="66"/>
      <c r="H387" s="66"/>
      <c r="I387" s="66"/>
      <c r="J387" s="66"/>
      <c r="K387" s="66"/>
      <c r="L387" s="66"/>
      <c r="M387" s="66"/>
      <c r="N387" s="66"/>
    </row>
    <row r="388" spans="1:14" x14ac:dyDescent="0.2">
      <c r="A388" s="84"/>
      <c r="B388" s="84"/>
      <c r="C388" s="60"/>
      <c r="D388" s="66"/>
      <c r="E388" s="66"/>
      <c r="F388" s="66"/>
      <c r="G388" s="66"/>
      <c r="H388" s="66"/>
      <c r="I388" s="66"/>
      <c r="J388" s="66"/>
      <c r="K388" s="66"/>
      <c r="L388" s="66"/>
      <c r="M388" s="66"/>
      <c r="N388" s="66"/>
    </row>
    <row r="389" spans="1:14" x14ac:dyDescent="0.2">
      <c r="A389" s="84"/>
      <c r="B389" s="84"/>
      <c r="C389" s="60"/>
      <c r="D389" s="66"/>
      <c r="E389" s="66"/>
      <c r="F389" s="66"/>
      <c r="G389" s="66"/>
      <c r="H389" s="66"/>
      <c r="I389" s="66"/>
      <c r="J389" s="66"/>
      <c r="K389" s="66"/>
      <c r="L389" s="66"/>
      <c r="M389" s="66"/>
      <c r="N389" s="66"/>
    </row>
    <row r="390" spans="1:14" x14ac:dyDescent="0.2">
      <c r="A390" s="84"/>
      <c r="B390" s="84"/>
      <c r="C390" s="60"/>
      <c r="D390" s="66"/>
      <c r="E390" s="66"/>
      <c r="F390" s="66"/>
      <c r="G390" s="66"/>
      <c r="H390" s="66"/>
      <c r="I390" s="66"/>
      <c r="J390" s="66"/>
      <c r="K390" s="66"/>
      <c r="L390" s="66"/>
      <c r="M390" s="66"/>
      <c r="N390" s="66"/>
    </row>
    <row r="391" spans="1:14" x14ac:dyDescent="0.2">
      <c r="A391" s="84"/>
      <c r="B391" s="84"/>
      <c r="C391" s="60"/>
      <c r="D391" s="66"/>
      <c r="E391" s="66"/>
      <c r="F391" s="66"/>
      <c r="G391" s="66"/>
      <c r="H391" s="66"/>
      <c r="I391" s="66"/>
      <c r="J391" s="66"/>
      <c r="K391" s="66"/>
      <c r="L391" s="66"/>
      <c r="M391" s="66"/>
      <c r="N391" s="66"/>
    </row>
    <row r="392" spans="1:14" x14ac:dyDescent="0.2">
      <c r="A392" s="84"/>
      <c r="B392" s="84"/>
      <c r="C392" s="60"/>
      <c r="D392" s="66"/>
      <c r="E392" s="66"/>
      <c r="F392" s="66"/>
      <c r="G392" s="66"/>
      <c r="H392" s="66"/>
      <c r="I392" s="66"/>
      <c r="J392" s="66"/>
      <c r="K392" s="66"/>
      <c r="L392" s="66"/>
      <c r="M392" s="66"/>
      <c r="N392" s="66"/>
    </row>
    <row r="393" spans="1:14" x14ac:dyDescent="0.2">
      <c r="A393" s="84"/>
      <c r="B393" s="84"/>
      <c r="C393" s="60"/>
      <c r="D393" s="66"/>
      <c r="E393" s="66"/>
      <c r="F393" s="66"/>
      <c r="G393" s="66"/>
      <c r="H393" s="66"/>
      <c r="I393" s="66"/>
      <c r="J393" s="66"/>
      <c r="K393" s="66"/>
      <c r="L393" s="66"/>
      <c r="M393" s="66"/>
      <c r="N393" s="66"/>
    </row>
    <row r="394" spans="1:14" x14ac:dyDescent="0.2">
      <c r="A394" s="84"/>
      <c r="B394" s="84"/>
      <c r="C394" s="60"/>
      <c r="D394" s="66"/>
      <c r="E394" s="66"/>
      <c r="F394" s="66"/>
      <c r="G394" s="66"/>
      <c r="H394" s="66"/>
      <c r="I394" s="66"/>
      <c r="J394" s="66"/>
      <c r="K394" s="66"/>
      <c r="L394" s="66"/>
      <c r="M394" s="66"/>
      <c r="N394" s="66"/>
    </row>
    <row r="395" spans="1:14" x14ac:dyDescent="0.2">
      <c r="A395" s="84"/>
      <c r="B395" s="84"/>
      <c r="C395" s="60"/>
      <c r="D395" s="66"/>
      <c r="E395" s="66"/>
      <c r="F395" s="66"/>
      <c r="G395" s="66"/>
      <c r="H395" s="66"/>
      <c r="I395" s="66"/>
      <c r="J395" s="66"/>
      <c r="K395" s="66"/>
      <c r="L395" s="66"/>
      <c r="M395" s="66"/>
      <c r="N395" s="66"/>
    </row>
    <row r="396" spans="1:14" x14ac:dyDescent="0.2">
      <c r="A396" s="84"/>
      <c r="B396" s="84"/>
      <c r="C396" s="60"/>
      <c r="D396" s="66"/>
      <c r="E396" s="66"/>
      <c r="F396" s="66"/>
      <c r="G396" s="66"/>
      <c r="H396" s="66"/>
      <c r="I396" s="66"/>
      <c r="J396" s="66"/>
      <c r="K396" s="66"/>
      <c r="L396" s="66"/>
      <c r="M396" s="66"/>
      <c r="N396" s="66"/>
    </row>
    <row r="397" spans="1:14" x14ac:dyDescent="0.2">
      <c r="A397" s="84"/>
      <c r="B397" s="84"/>
      <c r="C397" s="60"/>
      <c r="D397" s="66"/>
      <c r="E397" s="66"/>
      <c r="F397" s="66"/>
      <c r="G397" s="66"/>
      <c r="H397" s="66"/>
      <c r="I397" s="66"/>
      <c r="J397" s="66"/>
      <c r="K397" s="66"/>
      <c r="L397" s="66"/>
      <c r="M397" s="66"/>
      <c r="N397" s="66"/>
    </row>
    <row r="398" spans="1:14" x14ac:dyDescent="0.2">
      <c r="A398" s="84"/>
      <c r="B398" s="84"/>
      <c r="C398" s="60"/>
      <c r="D398" s="66"/>
      <c r="E398" s="66"/>
      <c r="F398" s="66"/>
      <c r="G398" s="66"/>
      <c r="H398" s="66"/>
      <c r="I398" s="66"/>
      <c r="J398" s="66"/>
      <c r="K398" s="66"/>
      <c r="L398" s="66"/>
      <c r="M398" s="66"/>
      <c r="N398" s="66"/>
    </row>
    <row r="399" spans="1:14" x14ac:dyDescent="0.2">
      <c r="A399" s="84"/>
      <c r="B399" s="84"/>
      <c r="C399" s="60"/>
      <c r="D399" s="66"/>
      <c r="E399" s="66"/>
      <c r="F399" s="66"/>
      <c r="G399" s="66"/>
      <c r="H399" s="66"/>
      <c r="I399" s="66"/>
      <c r="J399" s="66"/>
      <c r="K399" s="66"/>
      <c r="L399" s="66"/>
      <c r="M399" s="66"/>
      <c r="N399" s="66"/>
    </row>
    <row r="400" spans="1:14" x14ac:dyDescent="0.2">
      <c r="A400" s="84"/>
      <c r="B400" s="84"/>
      <c r="C400" s="60"/>
      <c r="D400" s="66"/>
      <c r="E400" s="66"/>
      <c r="F400" s="66"/>
      <c r="G400" s="66"/>
      <c r="H400" s="66"/>
      <c r="I400" s="66"/>
      <c r="J400" s="66"/>
      <c r="K400" s="66"/>
      <c r="L400" s="66"/>
      <c r="M400" s="66"/>
      <c r="N400" s="66"/>
    </row>
    <row r="401" spans="1:14" x14ac:dyDescent="0.2">
      <c r="A401" s="84"/>
      <c r="B401" s="84"/>
      <c r="C401" s="60"/>
      <c r="D401" s="66"/>
      <c r="E401" s="66"/>
      <c r="F401" s="66"/>
      <c r="G401" s="66"/>
      <c r="H401" s="66"/>
      <c r="I401" s="66"/>
      <c r="J401" s="66"/>
      <c r="K401" s="66"/>
      <c r="L401" s="66"/>
      <c r="M401" s="66"/>
      <c r="N401" s="66"/>
    </row>
    <row r="402" spans="1:14" x14ac:dyDescent="0.2">
      <c r="A402" s="84"/>
      <c r="B402" s="84"/>
      <c r="C402" s="60"/>
      <c r="D402" s="66"/>
      <c r="E402" s="66"/>
      <c r="F402" s="66"/>
      <c r="G402" s="66"/>
      <c r="H402" s="66"/>
      <c r="I402" s="66"/>
      <c r="J402" s="66"/>
      <c r="K402" s="66"/>
      <c r="L402" s="66"/>
      <c r="M402" s="66"/>
      <c r="N402" s="66"/>
    </row>
    <row r="403" spans="1:14" x14ac:dyDescent="0.2">
      <c r="A403" s="84"/>
      <c r="B403" s="84"/>
      <c r="C403" s="60"/>
      <c r="D403" s="66"/>
      <c r="E403" s="66"/>
      <c r="F403" s="66"/>
      <c r="G403" s="66"/>
      <c r="H403" s="66"/>
      <c r="I403" s="66"/>
      <c r="J403" s="66"/>
      <c r="K403" s="66"/>
      <c r="L403" s="66"/>
      <c r="M403" s="66"/>
      <c r="N403" s="66"/>
    </row>
    <row r="404" spans="1:14" x14ac:dyDescent="0.2">
      <c r="A404" s="84"/>
      <c r="B404" s="84"/>
      <c r="C404" s="60"/>
      <c r="D404" s="66"/>
      <c r="E404" s="66"/>
      <c r="F404" s="66"/>
      <c r="G404" s="66"/>
      <c r="H404" s="66"/>
      <c r="I404" s="66"/>
      <c r="J404" s="66"/>
      <c r="K404" s="66"/>
      <c r="L404" s="66"/>
      <c r="M404" s="66"/>
      <c r="N404" s="66"/>
    </row>
    <row r="405" spans="1:14" x14ac:dyDescent="0.2">
      <c r="A405" s="84"/>
      <c r="B405" s="84"/>
      <c r="C405" s="60"/>
      <c r="D405" s="66"/>
      <c r="E405" s="66"/>
      <c r="F405" s="66"/>
      <c r="G405" s="66"/>
      <c r="H405" s="66"/>
      <c r="I405" s="66"/>
      <c r="J405" s="66"/>
      <c r="K405" s="66"/>
      <c r="L405" s="66"/>
      <c r="M405" s="66"/>
      <c r="N405" s="66"/>
    </row>
    <row r="406" spans="1:14" x14ac:dyDescent="0.2">
      <c r="A406" s="84"/>
      <c r="B406" s="84"/>
      <c r="C406" s="60"/>
      <c r="D406" s="66"/>
      <c r="E406" s="66"/>
      <c r="F406" s="66"/>
      <c r="G406" s="66"/>
      <c r="H406" s="66"/>
      <c r="I406" s="66"/>
      <c r="J406" s="66"/>
      <c r="K406" s="66"/>
      <c r="L406" s="66"/>
      <c r="M406" s="66"/>
      <c r="N406" s="66"/>
    </row>
    <row r="407" spans="1:14" x14ac:dyDescent="0.2">
      <c r="A407" s="84"/>
      <c r="B407" s="84"/>
      <c r="C407" s="60"/>
      <c r="D407" s="66"/>
      <c r="E407" s="66"/>
      <c r="F407" s="66"/>
      <c r="G407" s="66"/>
      <c r="H407" s="66"/>
      <c r="I407" s="66"/>
      <c r="J407" s="66"/>
      <c r="K407" s="66"/>
      <c r="L407" s="66"/>
      <c r="M407" s="66"/>
      <c r="N407" s="66"/>
    </row>
    <row r="408" spans="1:14" x14ac:dyDescent="0.2">
      <c r="A408" s="84"/>
      <c r="B408" s="84"/>
      <c r="C408" s="60"/>
      <c r="D408" s="66"/>
      <c r="E408" s="66"/>
      <c r="F408" s="66"/>
      <c r="G408" s="66"/>
      <c r="H408" s="66"/>
      <c r="I408" s="66"/>
      <c r="J408" s="66"/>
      <c r="K408" s="66"/>
      <c r="L408" s="66"/>
      <c r="M408" s="66"/>
      <c r="N408" s="66"/>
    </row>
    <row r="409" spans="1:14" x14ac:dyDescent="0.2">
      <c r="A409" s="84"/>
      <c r="B409" s="84"/>
      <c r="C409" s="60"/>
      <c r="D409" s="66"/>
      <c r="E409" s="66"/>
      <c r="F409" s="66"/>
      <c r="G409" s="66"/>
      <c r="H409" s="66"/>
      <c r="I409" s="66"/>
      <c r="J409" s="66"/>
      <c r="K409" s="66"/>
      <c r="L409" s="66"/>
      <c r="M409" s="66"/>
      <c r="N409" s="66"/>
    </row>
    <row r="410" spans="1:14" x14ac:dyDescent="0.2">
      <c r="A410" s="84"/>
      <c r="B410" s="84"/>
      <c r="C410" s="60"/>
      <c r="D410" s="66"/>
      <c r="E410" s="66"/>
      <c r="F410" s="66"/>
      <c r="G410" s="66"/>
      <c r="H410" s="66"/>
      <c r="I410" s="66"/>
      <c r="J410" s="66"/>
      <c r="K410" s="66"/>
      <c r="L410" s="66"/>
      <c r="M410" s="66"/>
      <c r="N410" s="66"/>
    </row>
    <row r="411" spans="1:14" x14ac:dyDescent="0.2">
      <c r="A411" s="84"/>
      <c r="B411" s="84"/>
      <c r="C411" s="60"/>
      <c r="D411" s="66"/>
      <c r="E411" s="66"/>
      <c r="F411" s="66"/>
      <c r="G411" s="66"/>
      <c r="H411" s="66"/>
      <c r="I411" s="66"/>
      <c r="J411" s="66"/>
      <c r="K411" s="66"/>
      <c r="L411" s="66"/>
      <c r="M411" s="66"/>
      <c r="N411" s="66"/>
    </row>
    <row r="412" spans="1:14" x14ac:dyDescent="0.2">
      <c r="A412" s="84"/>
      <c r="B412" s="84"/>
      <c r="C412" s="60"/>
      <c r="D412" s="66"/>
      <c r="E412" s="66"/>
      <c r="F412" s="66"/>
      <c r="G412" s="66"/>
      <c r="H412" s="66"/>
      <c r="I412" s="66"/>
      <c r="J412" s="66"/>
      <c r="K412" s="66"/>
      <c r="L412" s="66"/>
      <c r="M412" s="66"/>
      <c r="N412" s="66"/>
    </row>
    <row r="413" spans="1:14" x14ac:dyDescent="0.2">
      <c r="A413" s="84"/>
      <c r="B413" s="84"/>
      <c r="C413" s="60"/>
      <c r="D413" s="66"/>
      <c r="E413" s="66"/>
      <c r="F413" s="66"/>
      <c r="G413" s="66"/>
      <c r="H413" s="66"/>
      <c r="I413" s="66"/>
      <c r="J413" s="66"/>
      <c r="K413" s="66"/>
      <c r="L413" s="66"/>
      <c r="M413" s="66"/>
      <c r="N413" s="66"/>
    </row>
    <row r="414" spans="1:14" x14ac:dyDescent="0.2">
      <c r="A414" s="84"/>
      <c r="B414" s="84"/>
      <c r="C414" s="60"/>
      <c r="D414" s="66"/>
      <c r="E414" s="66"/>
      <c r="F414" s="66"/>
      <c r="G414" s="66"/>
      <c r="H414" s="66"/>
      <c r="I414" s="66"/>
      <c r="J414" s="66"/>
      <c r="K414" s="66"/>
      <c r="L414" s="66"/>
      <c r="M414" s="66"/>
      <c r="N414" s="66"/>
    </row>
    <row r="415" spans="1:14" x14ac:dyDescent="0.2">
      <c r="A415" s="84"/>
      <c r="B415" s="84"/>
      <c r="C415" s="60"/>
      <c r="D415" s="66"/>
      <c r="E415" s="66"/>
      <c r="F415" s="66"/>
      <c r="G415" s="66"/>
      <c r="H415" s="66"/>
      <c r="I415" s="66"/>
      <c r="J415" s="66"/>
      <c r="K415" s="66"/>
      <c r="L415" s="66"/>
      <c r="M415" s="66"/>
      <c r="N415" s="66"/>
    </row>
    <row r="416" spans="1:14" x14ac:dyDescent="0.2">
      <c r="A416" s="84"/>
      <c r="B416" s="84"/>
      <c r="C416" s="60"/>
      <c r="D416" s="66"/>
      <c r="E416" s="66"/>
      <c r="F416" s="66"/>
      <c r="G416" s="66"/>
      <c r="H416" s="66"/>
      <c r="I416" s="66"/>
      <c r="J416" s="66"/>
      <c r="K416" s="66"/>
      <c r="L416" s="66"/>
      <c r="M416" s="66"/>
      <c r="N416" s="66"/>
    </row>
    <row r="417" spans="1:14" x14ac:dyDescent="0.2">
      <c r="A417" s="84"/>
      <c r="B417" s="84"/>
      <c r="C417" s="60"/>
      <c r="D417" s="66"/>
      <c r="E417" s="66"/>
      <c r="F417" s="66"/>
      <c r="G417" s="66"/>
      <c r="H417" s="66"/>
      <c r="I417" s="66"/>
      <c r="J417" s="66"/>
      <c r="K417" s="66"/>
      <c r="L417" s="66"/>
      <c r="M417" s="66"/>
      <c r="N417" s="66"/>
    </row>
    <row r="418" spans="1:14" x14ac:dyDescent="0.2">
      <c r="A418" s="84"/>
      <c r="B418" s="84"/>
      <c r="C418" s="60"/>
      <c r="D418" s="66"/>
      <c r="E418" s="66"/>
      <c r="F418" s="66"/>
      <c r="G418" s="66"/>
      <c r="H418" s="66"/>
      <c r="I418" s="66"/>
      <c r="J418" s="66"/>
      <c r="K418" s="66"/>
      <c r="L418" s="66"/>
      <c r="M418" s="66"/>
      <c r="N418" s="66"/>
    </row>
    <row r="419" spans="1:14" x14ac:dyDescent="0.2">
      <c r="A419" s="84"/>
      <c r="B419" s="84"/>
      <c r="C419" s="60"/>
      <c r="D419" s="66"/>
      <c r="E419" s="66"/>
      <c r="F419" s="66"/>
      <c r="G419" s="66"/>
      <c r="H419" s="66"/>
      <c r="I419" s="66"/>
      <c r="J419" s="66"/>
      <c r="K419" s="66"/>
      <c r="L419" s="66"/>
      <c r="M419" s="66"/>
      <c r="N419" s="66"/>
    </row>
    <row r="420" spans="1:14" x14ac:dyDescent="0.2">
      <c r="A420" s="84"/>
      <c r="B420" s="84"/>
      <c r="C420" s="60"/>
      <c r="D420" s="66"/>
      <c r="E420" s="66"/>
      <c r="F420" s="66"/>
      <c r="G420" s="66"/>
      <c r="H420" s="66"/>
      <c r="I420" s="66"/>
      <c r="J420" s="66"/>
      <c r="K420" s="66"/>
      <c r="L420" s="66"/>
      <c r="M420" s="66"/>
      <c r="N420" s="66"/>
    </row>
    <row r="421" spans="1:14" x14ac:dyDescent="0.2">
      <c r="A421" s="84"/>
      <c r="B421" s="84"/>
      <c r="C421" s="60"/>
      <c r="D421" s="66"/>
      <c r="E421" s="66"/>
      <c r="F421" s="66"/>
      <c r="G421" s="66"/>
      <c r="H421" s="66"/>
      <c r="I421" s="66"/>
      <c r="J421" s="66"/>
      <c r="K421" s="66"/>
      <c r="L421" s="66"/>
      <c r="M421" s="66"/>
      <c r="N421" s="66"/>
    </row>
    <row r="422" spans="1:14" x14ac:dyDescent="0.2">
      <c r="A422" s="84"/>
      <c r="B422" s="84"/>
      <c r="C422" s="60"/>
      <c r="D422" s="66"/>
      <c r="E422" s="66"/>
      <c r="F422" s="66"/>
      <c r="G422" s="66"/>
      <c r="H422" s="66"/>
      <c r="I422" s="66"/>
      <c r="J422" s="66"/>
      <c r="K422" s="66"/>
      <c r="L422" s="66"/>
      <c r="M422" s="66"/>
      <c r="N422" s="66"/>
    </row>
    <row r="423" spans="1:14" x14ac:dyDescent="0.2">
      <c r="A423" s="84"/>
      <c r="B423" s="84"/>
      <c r="C423" s="60"/>
      <c r="D423" s="66"/>
      <c r="E423" s="66"/>
      <c r="F423" s="66"/>
      <c r="G423" s="66"/>
      <c r="H423" s="66"/>
      <c r="I423" s="66"/>
      <c r="J423" s="66"/>
      <c r="K423" s="66"/>
      <c r="L423" s="66"/>
      <c r="M423" s="66"/>
      <c r="N423" s="66"/>
    </row>
    <row r="424" spans="1:14" x14ac:dyDescent="0.2">
      <c r="A424" s="84"/>
      <c r="B424" s="84"/>
      <c r="C424" s="60"/>
      <c r="D424" s="66"/>
      <c r="E424" s="66"/>
      <c r="F424" s="66"/>
      <c r="G424" s="66"/>
      <c r="H424" s="66"/>
      <c r="I424" s="66"/>
      <c r="J424" s="66"/>
      <c r="K424" s="66"/>
      <c r="L424" s="66"/>
      <c r="M424" s="66"/>
      <c r="N424" s="66"/>
    </row>
    <row r="425" spans="1:14" x14ac:dyDescent="0.2">
      <c r="A425" s="84"/>
      <c r="B425" s="84"/>
      <c r="C425" s="60"/>
      <c r="D425" s="66"/>
      <c r="E425" s="66"/>
      <c r="F425" s="66"/>
      <c r="G425" s="66"/>
      <c r="H425" s="66"/>
      <c r="I425" s="66"/>
      <c r="J425" s="66"/>
      <c r="K425" s="66"/>
      <c r="L425" s="66"/>
      <c r="M425" s="66"/>
      <c r="N425" s="66"/>
    </row>
    <row r="426" spans="1:14" x14ac:dyDescent="0.2">
      <c r="A426" s="84"/>
      <c r="B426" s="84"/>
      <c r="C426" s="60"/>
      <c r="D426" s="66"/>
      <c r="E426" s="66"/>
      <c r="F426" s="66"/>
      <c r="G426" s="66"/>
      <c r="H426" s="66"/>
      <c r="I426" s="66"/>
      <c r="J426" s="66"/>
      <c r="K426" s="66"/>
      <c r="L426" s="66"/>
      <c r="M426" s="66"/>
      <c r="N426" s="66"/>
    </row>
    <row r="427" spans="1:14" x14ac:dyDescent="0.2">
      <c r="A427" s="84"/>
      <c r="B427" s="84"/>
      <c r="C427" s="60"/>
      <c r="D427" s="66"/>
      <c r="E427" s="66"/>
      <c r="F427" s="66"/>
      <c r="G427" s="66"/>
      <c r="H427" s="66"/>
      <c r="I427" s="66"/>
      <c r="J427" s="66"/>
      <c r="K427" s="66"/>
      <c r="L427" s="66"/>
      <c r="M427" s="66"/>
      <c r="N427" s="66"/>
    </row>
    <row r="428" spans="1:14" x14ac:dyDescent="0.2">
      <c r="A428" s="84"/>
      <c r="B428" s="84"/>
      <c r="C428" s="60"/>
      <c r="D428" s="66"/>
      <c r="E428" s="66"/>
      <c r="F428" s="66"/>
      <c r="G428" s="66"/>
      <c r="H428" s="66"/>
      <c r="I428" s="66"/>
      <c r="J428" s="66"/>
      <c r="K428" s="66"/>
      <c r="L428" s="66"/>
      <c r="M428" s="66"/>
      <c r="N428" s="66"/>
    </row>
    <row r="429" spans="1:14" x14ac:dyDescent="0.2">
      <c r="A429" s="84"/>
      <c r="B429" s="84"/>
      <c r="C429" s="60"/>
      <c r="D429" s="66"/>
      <c r="E429" s="66"/>
      <c r="F429" s="66"/>
      <c r="G429" s="66"/>
      <c r="H429" s="66"/>
      <c r="I429" s="66"/>
      <c r="J429" s="66"/>
      <c r="K429" s="66"/>
      <c r="L429" s="66"/>
      <c r="M429" s="66"/>
      <c r="N429" s="66"/>
    </row>
    <row r="430" spans="1:14" x14ac:dyDescent="0.2">
      <c r="A430" s="84"/>
      <c r="B430" s="84"/>
      <c r="C430" s="60"/>
      <c r="D430" s="66"/>
      <c r="E430" s="66"/>
      <c r="F430" s="66"/>
      <c r="G430" s="66"/>
      <c r="H430" s="66"/>
      <c r="I430" s="66"/>
      <c r="J430" s="66"/>
      <c r="K430" s="66"/>
      <c r="L430" s="66"/>
      <c r="M430" s="66"/>
      <c r="N430" s="66"/>
    </row>
    <row r="431" spans="1:14" x14ac:dyDescent="0.2">
      <c r="A431" s="84"/>
      <c r="B431" s="84"/>
      <c r="C431" s="60"/>
      <c r="D431" s="66"/>
      <c r="E431" s="66"/>
      <c r="F431" s="66"/>
      <c r="G431" s="66"/>
      <c r="H431" s="66"/>
      <c r="I431" s="66"/>
      <c r="J431" s="66"/>
      <c r="K431" s="66"/>
      <c r="L431" s="66"/>
      <c r="M431" s="66"/>
      <c r="N431" s="66"/>
    </row>
    <row r="432" spans="1:14" x14ac:dyDescent="0.2">
      <c r="A432" s="84"/>
      <c r="B432" s="84"/>
      <c r="C432" s="60"/>
      <c r="D432" s="66"/>
      <c r="E432" s="66"/>
      <c r="F432" s="66"/>
      <c r="G432" s="66"/>
      <c r="H432" s="66"/>
      <c r="I432" s="66"/>
      <c r="J432" s="66"/>
      <c r="K432" s="66"/>
      <c r="L432" s="66"/>
      <c r="M432" s="66"/>
      <c r="N432" s="66"/>
    </row>
    <row r="433" spans="1:14" x14ac:dyDescent="0.2">
      <c r="A433" s="84"/>
      <c r="B433" s="84"/>
      <c r="C433" s="60"/>
      <c r="D433" s="66"/>
      <c r="E433" s="66"/>
      <c r="F433" s="66"/>
      <c r="G433" s="66"/>
      <c r="H433" s="66"/>
      <c r="I433" s="66"/>
      <c r="J433" s="66"/>
      <c r="K433" s="66"/>
      <c r="L433" s="66"/>
      <c r="M433" s="66"/>
      <c r="N433" s="66"/>
    </row>
    <row r="434" spans="1:14" x14ac:dyDescent="0.2">
      <c r="A434" s="84"/>
      <c r="B434" s="84"/>
      <c r="C434" s="60"/>
      <c r="D434" s="66"/>
      <c r="E434" s="66"/>
      <c r="F434" s="66"/>
      <c r="G434" s="66"/>
      <c r="H434" s="66"/>
      <c r="I434" s="66"/>
      <c r="J434" s="66"/>
      <c r="K434" s="66"/>
      <c r="L434" s="66"/>
      <c r="M434" s="66"/>
      <c r="N434" s="66"/>
    </row>
    <row r="435" spans="1:14" x14ac:dyDescent="0.2">
      <c r="A435" s="84"/>
      <c r="B435" s="84"/>
      <c r="C435" s="60"/>
      <c r="D435" s="66"/>
      <c r="E435" s="66"/>
      <c r="F435" s="66"/>
      <c r="G435" s="66"/>
      <c r="H435" s="66"/>
      <c r="I435" s="66"/>
      <c r="J435" s="66"/>
      <c r="K435" s="66"/>
      <c r="L435" s="66"/>
      <c r="M435" s="66"/>
      <c r="N435" s="66"/>
    </row>
    <row r="436" spans="1:14" x14ac:dyDescent="0.2">
      <c r="A436" s="84"/>
      <c r="B436" s="84"/>
      <c r="C436" s="60"/>
      <c r="D436" s="66"/>
      <c r="E436" s="66"/>
      <c r="F436" s="66"/>
      <c r="G436" s="66"/>
      <c r="H436" s="66"/>
      <c r="I436" s="66"/>
      <c r="J436" s="66"/>
      <c r="K436" s="66"/>
      <c r="L436" s="66"/>
      <c r="M436" s="66"/>
      <c r="N436" s="66"/>
    </row>
    <row r="437" spans="1:14" x14ac:dyDescent="0.2">
      <c r="A437" s="84"/>
      <c r="B437" s="84"/>
      <c r="C437" s="60"/>
      <c r="D437" s="66"/>
      <c r="E437" s="66"/>
      <c r="F437" s="66"/>
      <c r="G437" s="66"/>
      <c r="H437" s="66"/>
      <c r="I437" s="66"/>
      <c r="J437" s="66"/>
      <c r="K437" s="66"/>
      <c r="L437" s="66"/>
      <c r="M437" s="66"/>
      <c r="N437" s="66"/>
    </row>
    <row r="438" spans="1:14" x14ac:dyDescent="0.2">
      <c r="A438" s="84"/>
      <c r="B438" s="84"/>
      <c r="C438" s="60"/>
      <c r="D438" s="66"/>
      <c r="E438" s="66"/>
      <c r="F438" s="66"/>
      <c r="G438" s="66"/>
      <c r="H438" s="66"/>
      <c r="I438" s="66"/>
      <c r="J438" s="66"/>
      <c r="K438" s="66"/>
      <c r="L438" s="66"/>
      <c r="M438" s="66"/>
      <c r="N438" s="66"/>
    </row>
    <row r="439" spans="1:14" x14ac:dyDescent="0.2">
      <c r="A439" s="84"/>
      <c r="B439" s="84"/>
      <c r="C439" s="60"/>
      <c r="D439" s="66"/>
      <c r="E439" s="66"/>
      <c r="F439" s="66"/>
      <c r="G439" s="66"/>
      <c r="H439" s="66"/>
      <c r="I439" s="66"/>
      <c r="J439" s="66"/>
      <c r="K439" s="66"/>
      <c r="L439" s="66"/>
      <c r="M439" s="66"/>
      <c r="N439" s="66"/>
    </row>
    <row r="440" spans="1:14" x14ac:dyDescent="0.2">
      <c r="A440" s="84"/>
      <c r="B440" s="84"/>
      <c r="C440" s="60"/>
      <c r="D440" s="66"/>
      <c r="E440" s="66"/>
      <c r="F440" s="66"/>
      <c r="G440" s="66"/>
      <c r="H440" s="66"/>
      <c r="I440" s="66"/>
      <c r="J440" s="66"/>
      <c r="K440" s="66"/>
      <c r="L440" s="66"/>
      <c r="M440" s="66"/>
      <c r="N440" s="66"/>
    </row>
    <row r="441" spans="1:14" x14ac:dyDescent="0.2">
      <c r="A441" s="84"/>
      <c r="B441" s="84"/>
      <c r="C441" s="60"/>
      <c r="D441" s="66"/>
      <c r="E441" s="66"/>
      <c r="F441" s="66"/>
      <c r="G441" s="66"/>
      <c r="H441" s="66"/>
      <c r="I441" s="66"/>
      <c r="J441" s="66"/>
      <c r="K441" s="66"/>
      <c r="L441" s="66"/>
      <c r="M441" s="66"/>
      <c r="N441" s="66"/>
    </row>
    <row r="442" spans="1:14" x14ac:dyDescent="0.2">
      <c r="A442" s="84"/>
      <c r="B442" s="84"/>
      <c r="C442" s="60"/>
      <c r="D442" s="66"/>
      <c r="E442" s="66"/>
      <c r="F442" s="66"/>
      <c r="G442" s="66"/>
      <c r="H442" s="66"/>
      <c r="I442" s="66"/>
      <c r="J442" s="66"/>
      <c r="K442" s="66"/>
      <c r="L442" s="66"/>
      <c r="M442" s="66"/>
      <c r="N442" s="66"/>
    </row>
    <row r="443" spans="1:14" x14ac:dyDescent="0.2">
      <c r="A443" s="84"/>
      <c r="B443" s="84"/>
      <c r="C443" s="60"/>
      <c r="D443" s="66"/>
      <c r="E443" s="66"/>
      <c r="F443" s="66"/>
      <c r="G443" s="66"/>
      <c r="H443" s="66"/>
      <c r="I443" s="66"/>
      <c r="J443" s="66"/>
      <c r="K443" s="66"/>
      <c r="L443" s="66"/>
      <c r="M443" s="66"/>
      <c r="N443" s="66"/>
    </row>
    <row r="444" spans="1:14" x14ac:dyDescent="0.2">
      <c r="A444" s="84"/>
      <c r="B444" s="84"/>
      <c r="C444" s="60"/>
      <c r="D444" s="66"/>
      <c r="E444" s="66"/>
      <c r="F444" s="66"/>
      <c r="G444" s="66"/>
      <c r="H444" s="66"/>
      <c r="I444" s="66"/>
      <c r="J444" s="66"/>
      <c r="K444" s="66"/>
      <c r="L444" s="66"/>
      <c r="M444" s="66"/>
      <c r="N444" s="66"/>
    </row>
    <row r="445" spans="1:14" x14ac:dyDescent="0.2">
      <c r="A445" s="84"/>
      <c r="B445" s="84"/>
      <c r="C445" s="60"/>
      <c r="D445" s="66"/>
      <c r="E445" s="66"/>
      <c r="F445" s="66"/>
      <c r="G445" s="66"/>
      <c r="H445" s="66"/>
      <c r="I445" s="66"/>
      <c r="J445" s="66"/>
      <c r="K445" s="66"/>
      <c r="L445" s="66"/>
      <c r="M445" s="66"/>
      <c r="N445" s="66"/>
    </row>
    <row r="446" spans="1:14" x14ac:dyDescent="0.2">
      <c r="A446" s="84"/>
      <c r="B446" s="84"/>
      <c r="C446" s="60"/>
      <c r="D446" s="66"/>
      <c r="E446" s="66"/>
      <c r="F446" s="66"/>
      <c r="G446" s="66"/>
      <c r="H446" s="66"/>
      <c r="I446" s="66"/>
      <c r="J446" s="66"/>
      <c r="K446" s="66"/>
      <c r="L446" s="66"/>
      <c r="M446" s="66"/>
      <c r="N446" s="66"/>
    </row>
    <row r="447" spans="1:14" x14ac:dyDescent="0.2">
      <c r="A447" s="84"/>
      <c r="B447" s="84"/>
      <c r="C447" s="60"/>
      <c r="D447" s="66"/>
      <c r="E447" s="66"/>
      <c r="F447" s="66"/>
      <c r="G447" s="66"/>
      <c r="H447" s="66"/>
      <c r="I447" s="66"/>
      <c r="J447" s="66"/>
      <c r="K447" s="66"/>
      <c r="L447" s="66"/>
      <c r="M447" s="66"/>
      <c r="N447" s="66"/>
    </row>
    <row r="448" spans="1:14" x14ac:dyDescent="0.2">
      <c r="A448" s="84"/>
      <c r="B448" s="84"/>
      <c r="C448" s="60"/>
      <c r="D448" s="66"/>
      <c r="E448" s="66"/>
      <c r="F448" s="66"/>
      <c r="G448" s="66"/>
      <c r="H448" s="66"/>
      <c r="I448" s="66"/>
      <c r="J448" s="66"/>
      <c r="K448" s="66"/>
      <c r="L448" s="66"/>
      <c r="M448" s="66"/>
      <c r="N448" s="66"/>
    </row>
    <row r="449" spans="1:14" x14ac:dyDescent="0.2">
      <c r="A449" s="84"/>
      <c r="B449" s="84"/>
      <c r="C449" s="60"/>
      <c r="D449" s="66"/>
      <c r="E449" s="66"/>
      <c r="F449" s="66"/>
      <c r="G449" s="66"/>
      <c r="H449" s="66"/>
      <c r="I449" s="66"/>
      <c r="J449" s="66"/>
      <c r="K449" s="66"/>
      <c r="L449" s="66"/>
      <c r="M449" s="66"/>
      <c r="N449" s="66"/>
    </row>
    <row r="450" spans="1:14" x14ac:dyDescent="0.2">
      <c r="A450" s="84"/>
      <c r="B450" s="84"/>
      <c r="C450" s="60"/>
      <c r="D450" s="66"/>
      <c r="E450" s="66"/>
      <c r="F450" s="66"/>
      <c r="G450" s="66"/>
      <c r="H450" s="66"/>
      <c r="I450" s="66"/>
      <c r="J450" s="66"/>
      <c r="K450" s="66"/>
      <c r="L450" s="66"/>
      <c r="M450" s="66"/>
      <c r="N450" s="66"/>
    </row>
    <row r="451" spans="1:14" x14ac:dyDescent="0.2">
      <c r="A451" s="84"/>
      <c r="B451" s="84"/>
      <c r="C451" s="60"/>
      <c r="D451" s="66"/>
      <c r="E451" s="66"/>
      <c r="F451" s="66"/>
      <c r="G451" s="66"/>
      <c r="H451" s="66"/>
      <c r="I451" s="66"/>
      <c r="J451" s="66"/>
      <c r="K451" s="66"/>
      <c r="L451" s="66"/>
      <c r="M451" s="66"/>
      <c r="N451" s="66"/>
    </row>
    <row r="452" spans="1:14" x14ac:dyDescent="0.2">
      <c r="A452" s="84"/>
      <c r="B452" s="84"/>
      <c r="C452" s="60"/>
      <c r="D452" s="66"/>
      <c r="E452" s="66"/>
      <c r="F452" s="66"/>
      <c r="G452" s="66"/>
      <c r="H452" s="66"/>
      <c r="I452" s="66"/>
      <c r="J452" s="66"/>
      <c r="K452" s="66"/>
      <c r="L452" s="66"/>
      <c r="M452" s="66"/>
      <c r="N452" s="66"/>
    </row>
    <row r="453" spans="1:14" x14ac:dyDescent="0.2">
      <c r="A453" s="84"/>
      <c r="B453" s="84"/>
      <c r="C453" s="60"/>
      <c r="D453" s="66"/>
      <c r="E453" s="66"/>
      <c r="F453" s="66"/>
      <c r="G453" s="66"/>
      <c r="H453" s="66"/>
      <c r="I453" s="66"/>
      <c r="J453" s="66"/>
      <c r="K453" s="66"/>
      <c r="L453" s="66"/>
      <c r="M453" s="66"/>
      <c r="N453" s="66"/>
    </row>
    <row r="454" spans="1:14" x14ac:dyDescent="0.2">
      <c r="A454" s="84"/>
      <c r="B454" s="84"/>
      <c r="C454" s="60"/>
      <c r="D454" s="66"/>
      <c r="E454" s="66"/>
      <c r="F454" s="66"/>
      <c r="G454" s="66"/>
      <c r="H454" s="66"/>
      <c r="I454" s="66"/>
      <c r="J454" s="66"/>
      <c r="K454" s="66"/>
      <c r="L454" s="66"/>
      <c r="M454" s="66"/>
      <c r="N454" s="66"/>
    </row>
    <row r="455" spans="1:14" x14ac:dyDescent="0.2">
      <c r="A455" s="84"/>
      <c r="B455" s="84"/>
      <c r="C455" s="60"/>
      <c r="D455" s="66"/>
      <c r="E455" s="66"/>
      <c r="F455" s="66"/>
      <c r="G455" s="66"/>
      <c r="H455" s="66"/>
      <c r="I455" s="66"/>
      <c r="J455" s="66"/>
      <c r="K455" s="66"/>
      <c r="L455" s="66"/>
      <c r="M455" s="66"/>
      <c r="N455" s="66"/>
    </row>
    <row r="456" spans="1:14" x14ac:dyDescent="0.2">
      <c r="A456" s="84"/>
      <c r="B456" s="84"/>
      <c r="C456" s="60"/>
      <c r="D456" s="66"/>
      <c r="E456" s="66"/>
      <c r="F456" s="66"/>
      <c r="G456" s="66"/>
      <c r="H456" s="66"/>
      <c r="I456" s="66"/>
      <c r="J456" s="66"/>
      <c r="K456" s="66"/>
      <c r="L456" s="66"/>
      <c r="M456" s="66"/>
      <c r="N456" s="66"/>
    </row>
    <row r="457" spans="1:14" x14ac:dyDescent="0.2">
      <c r="A457" s="84"/>
      <c r="B457" s="84"/>
      <c r="C457" s="60"/>
      <c r="D457" s="66"/>
      <c r="E457" s="66"/>
      <c r="F457" s="66"/>
      <c r="G457" s="66"/>
      <c r="H457" s="66"/>
      <c r="I457" s="66"/>
      <c r="J457" s="66"/>
      <c r="K457" s="66"/>
      <c r="L457" s="66"/>
      <c r="M457" s="66"/>
      <c r="N457" s="66"/>
    </row>
    <row r="458" spans="1:14" x14ac:dyDescent="0.2">
      <c r="A458" s="84"/>
      <c r="B458" s="84"/>
      <c r="C458" s="60"/>
      <c r="D458" s="66"/>
      <c r="E458" s="66"/>
      <c r="F458" s="66"/>
      <c r="G458" s="66"/>
      <c r="H458" s="66"/>
      <c r="I458" s="66"/>
      <c r="J458" s="66"/>
      <c r="K458" s="66"/>
      <c r="L458" s="66"/>
      <c r="M458" s="66"/>
      <c r="N458" s="66"/>
    </row>
    <row r="459" spans="1:14" x14ac:dyDescent="0.2">
      <c r="A459" s="84"/>
      <c r="B459" s="84"/>
      <c r="C459" s="60"/>
      <c r="D459" s="66"/>
      <c r="E459" s="66"/>
      <c r="F459" s="66"/>
      <c r="G459" s="66"/>
      <c r="H459" s="66"/>
      <c r="I459" s="66"/>
      <c r="J459" s="66"/>
      <c r="K459" s="66"/>
      <c r="L459" s="66"/>
      <c r="M459" s="66"/>
      <c r="N459" s="66"/>
    </row>
    <row r="460" spans="1:14" x14ac:dyDescent="0.2">
      <c r="A460" s="84"/>
      <c r="B460" s="84"/>
      <c r="C460" s="60"/>
      <c r="D460" s="66"/>
      <c r="E460" s="66"/>
      <c r="F460" s="66"/>
      <c r="G460" s="66"/>
      <c r="H460" s="66"/>
      <c r="I460" s="66"/>
      <c r="J460" s="66"/>
      <c r="K460" s="66"/>
      <c r="L460" s="66"/>
      <c r="M460" s="66"/>
      <c r="N460" s="66"/>
    </row>
    <row r="461" spans="1:14" x14ac:dyDescent="0.2">
      <c r="A461" s="84"/>
      <c r="B461" s="84"/>
      <c r="C461" s="60"/>
      <c r="D461" s="66"/>
      <c r="E461" s="66"/>
      <c r="F461" s="66"/>
      <c r="G461" s="66"/>
      <c r="H461" s="66"/>
      <c r="I461" s="66"/>
      <c r="J461" s="66"/>
      <c r="K461" s="66"/>
      <c r="L461" s="66"/>
      <c r="M461" s="66"/>
      <c r="N461" s="66"/>
    </row>
    <row r="462" spans="1:14" x14ac:dyDescent="0.2">
      <c r="A462" s="84"/>
      <c r="B462" s="84"/>
      <c r="C462" s="60"/>
      <c r="D462" s="66"/>
      <c r="E462" s="66"/>
      <c r="F462" s="66"/>
      <c r="G462" s="66"/>
      <c r="H462" s="66"/>
      <c r="I462" s="66"/>
      <c r="J462" s="66"/>
      <c r="K462" s="66"/>
      <c r="L462" s="66"/>
      <c r="M462" s="66"/>
      <c r="N462" s="66"/>
    </row>
    <row r="463" spans="1:14" x14ac:dyDescent="0.2">
      <c r="A463" s="84"/>
      <c r="B463" s="84"/>
      <c r="C463" s="60"/>
      <c r="D463" s="66"/>
      <c r="E463" s="66"/>
      <c r="F463" s="66"/>
      <c r="G463" s="66"/>
      <c r="H463" s="66"/>
      <c r="I463" s="66"/>
      <c r="J463" s="66"/>
      <c r="K463" s="66"/>
      <c r="L463" s="66"/>
      <c r="M463" s="66"/>
      <c r="N463" s="66"/>
    </row>
    <row r="464" spans="1:14" x14ac:dyDescent="0.2">
      <c r="A464" s="84"/>
      <c r="B464" s="84"/>
      <c r="C464" s="60"/>
      <c r="D464" s="66"/>
      <c r="E464" s="66"/>
      <c r="F464" s="66"/>
      <c r="G464" s="66"/>
      <c r="H464" s="66"/>
      <c r="I464" s="66"/>
      <c r="J464" s="66"/>
      <c r="K464" s="66"/>
      <c r="L464" s="66"/>
      <c r="M464" s="66"/>
      <c r="N464" s="66"/>
    </row>
    <row r="465" spans="1:14" x14ac:dyDescent="0.2">
      <c r="A465" s="84"/>
      <c r="B465" s="84"/>
      <c r="C465" s="60"/>
      <c r="D465" s="66"/>
      <c r="E465" s="66"/>
      <c r="F465" s="66"/>
      <c r="G465" s="66"/>
      <c r="H465" s="66"/>
      <c r="I465" s="66"/>
      <c r="J465" s="66"/>
      <c r="K465" s="66"/>
      <c r="L465" s="66"/>
      <c r="M465" s="66"/>
      <c r="N465" s="66"/>
    </row>
    <row r="466" spans="1:14" x14ac:dyDescent="0.2">
      <c r="A466" s="84"/>
      <c r="B466" s="84"/>
      <c r="C466" s="60"/>
      <c r="D466" s="66"/>
      <c r="E466" s="66"/>
      <c r="F466" s="66"/>
      <c r="G466" s="66"/>
      <c r="H466" s="66"/>
      <c r="I466" s="66"/>
      <c r="J466" s="66"/>
      <c r="K466" s="66"/>
      <c r="L466" s="66"/>
      <c r="M466" s="66"/>
      <c r="N466" s="66"/>
    </row>
    <row r="467" spans="1:14" x14ac:dyDescent="0.2">
      <c r="A467" s="84"/>
      <c r="B467" s="84"/>
      <c r="C467" s="60"/>
      <c r="D467" s="66"/>
      <c r="E467" s="66"/>
      <c r="F467" s="66"/>
      <c r="G467" s="66"/>
      <c r="H467" s="66"/>
      <c r="I467" s="66"/>
      <c r="J467" s="66"/>
      <c r="K467" s="66"/>
      <c r="L467" s="66"/>
      <c r="M467" s="66"/>
      <c r="N467" s="66"/>
    </row>
    <row r="468" spans="1:14" x14ac:dyDescent="0.2">
      <c r="A468" s="84"/>
      <c r="B468" s="84"/>
      <c r="C468" s="60"/>
      <c r="D468" s="66"/>
      <c r="E468" s="66"/>
      <c r="F468" s="66"/>
      <c r="G468" s="66"/>
      <c r="H468" s="66"/>
      <c r="I468" s="66"/>
      <c r="J468" s="66"/>
      <c r="K468" s="66"/>
      <c r="L468" s="66"/>
      <c r="M468" s="66"/>
      <c r="N468" s="66"/>
    </row>
    <row r="469" spans="1:14" x14ac:dyDescent="0.2">
      <c r="A469" s="84"/>
      <c r="B469" s="84"/>
      <c r="C469" s="60"/>
      <c r="D469" s="66"/>
      <c r="E469" s="66"/>
      <c r="F469" s="66"/>
      <c r="G469" s="66"/>
      <c r="H469" s="66"/>
      <c r="I469" s="66"/>
      <c r="J469" s="66"/>
      <c r="K469" s="66"/>
      <c r="L469" s="66"/>
      <c r="M469" s="66"/>
      <c r="N469" s="66"/>
    </row>
    <row r="470" spans="1:14" x14ac:dyDescent="0.2">
      <c r="A470" s="84"/>
      <c r="B470" s="84"/>
      <c r="C470" s="60"/>
      <c r="D470" s="66"/>
      <c r="E470" s="66"/>
      <c r="F470" s="66"/>
      <c r="G470" s="66"/>
      <c r="H470" s="66"/>
      <c r="I470" s="66"/>
      <c r="J470" s="66"/>
      <c r="K470" s="66"/>
      <c r="L470" s="66"/>
      <c r="M470" s="66"/>
      <c r="N470" s="66"/>
    </row>
    <row r="471" spans="1:14" x14ac:dyDescent="0.2">
      <c r="A471" s="84"/>
      <c r="B471" s="84"/>
      <c r="C471" s="60"/>
      <c r="D471" s="66"/>
      <c r="E471" s="66"/>
      <c r="F471" s="66"/>
      <c r="G471" s="66"/>
      <c r="H471" s="66"/>
      <c r="I471" s="66"/>
      <c r="J471" s="66"/>
      <c r="K471" s="66"/>
      <c r="L471" s="66"/>
      <c r="M471" s="66"/>
      <c r="N471" s="66"/>
    </row>
    <row r="472" spans="1:14" x14ac:dyDescent="0.2">
      <c r="A472" s="84"/>
      <c r="B472" s="84"/>
      <c r="C472" s="60"/>
      <c r="D472" s="66"/>
      <c r="E472" s="66"/>
      <c r="F472" s="66"/>
      <c r="G472" s="66"/>
      <c r="H472" s="66"/>
      <c r="I472" s="66"/>
      <c r="J472" s="66"/>
      <c r="K472" s="66"/>
      <c r="L472" s="66"/>
      <c r="M472" s="66"/>
      <c r="N472" s="66"/>
    </row>
    <row r="473" spans="1:14" x14ac:dyDescent="0.2">
      <c r="A473" s="84"/>
      <c r="B473" s="84"/>
      <c r="C473" s="60"/>
      <c r="D473" s="66"/>
      <c r="E473" s="66"/>
      <c r="F473" s="66"/>
      <c r="G473" s="66"/>
      <c r="H473" s="66"/>
      <c r="I473" s="66"/>
      <c r="J473" s="66"/>
      <c r="K473" s="66"/>
      <c r="L473" s="66"/>
      <c r="M473" s="66"/>
      <c r="N473" s="66"/>
    </row>
    <row r="474" spans="1:14" x14ac:dyDescent="0.2">
      <c r="A474" s="84"/>
      <c r="B474" s="84"/>
      <c r="C474" s="60"/>
      <c r="D474" s="66"/>
      <c r="E474" s="66"/>
      <c r="F474" s="66"/>
      <c r="G474" s="66"/>
      <c r="H474" s="66"/>
      <c r="I474" s="66"/>
      <c r="J474" s="66"/>
      <c r="K474" s="66"/>
      <c r="L474" s="66"/>
      <c r="M474" s="66"/>
      <c r="N474" s="66"/>
    </row>
    <row r="475" spans="1:14" x14ac:dyDescent="0.2">
      <c r="A475" s="84"/>
      <c r="B475" s="84"/>
      <c r="C475" s="60"/>
      <c r="D475" s="66"/>
      <c r="E475" s="66"/>
      <c r="F475" s="66"/>
      <c r="G475" s="66"/>
      <c r="H475" s="66"/>
      <c r="I475" s="66"/>
      <c r="J475" s="66"/>
      <c r="K475" s="66"/>
      <c r="L475" s="66"/>
      <c r="M475" s="66"/>
      <c r="N475" s="66"/>
    </row>
    <row r="476" spans="1:14" x14ac:dyDescent="0.2">
      <c r="A476" s="84"/>
      <c r="B476" s="84"/>
      <c r="C476" s="60"/>
      <c r="D476" s="66"/>
      <c r="E476" s="66"/>
      <c r="F476" s="66"/>
      <c r="G476" s="66"/>
      <c r="H476" s="66"/>
      <c r="I476" s="66"/>
      <c r="J476" s="66"/>
      <c r="K476" s="66"/>
      <c r="L476" s="66"/>
      <c r="M476" s="66"/>
      <c r="N476" s="66"/>
    </row>
    <row r="477" spans="1:14" x14ac:dyDescent="0.2">
      <c r="A477" s="84"/>
      <c r="B477" s="84"/>
      <c r="C477" s="60"/>
      <c r="D477" s="66"/>
      <c r="E477" s="66"/>
      <c r="F477" s="66"/>
      <c r="G477" s="66"/>
      <c r="H477" s="66"/>
      <c r="I477" s="66"/>
      <c r="J477" s="66"/>
      <c r="K477" s="66"/>
      <c r="L477" s="66"/>
      <c r="M477" s="66"/>
      <c r="N477" s="66"/>
    </row>
    <row r="478" spans="1:14" x14ac:dyDescent="0.2">
      <c r="A478" s="84"/>
      <c r="B478" s="84"/>
      <c r="C478" s="60"/>
      <c r="D478" s="66"/>
      <c r="E478" s="66"/>
      <c r="F478" s="66"/>
      <c r="G478" s="66"/>
      <c r="H478" s="66"/>
      <c r="I478" s="66"/>
      <c r="J478" s="66"/>
      <c r="K478" s="66"/>
      <c r="L478" s="66"/>
      <c r="M478" s="66"/>
      <c r="N478" s="66"/>
    </row>
    <row r="479" spans="1:14" x14ac:dyDescent="0.2">
      <c r="A479" s="84"/>
      <c r="B479" s="84"/>
      <c r="C479" s="60"/>
      <c r="D479" s="66"/>
      <c r="E479" s="66"/>
      <c r="F479" s="66"/>
      <c r="G479" s="66"/>
      <c r="H479" s="66"/>
      <c r="I479" s="66"/>
      <c r="J479" s="66"/>
      <c r="K479" s="66"/>
      <c r="L479" s="66"/>
      <c r="M479" s="66"/>
      <c r="N479" s="66"/>
    </row>
    <row r="480" spans="1:14" x14ac:dyDescent="0.2">
      <c r="A480" s="84"/>
      <c r="B480" s="84"/>
      <c r="C480" s="60"/>
      <c r="D480" s="66"/>
      <c r="E480" s="66"/>
      <c r="F480" s="66"/>
      <c r="G480" s="66"/>
      <c r="H480" s="66"/>
      <c r="I480" s="66"/>
      <c r="J480" s="66"/>
      <c r="K480" s="66"/>
      <c r="L480" s="66"/>
      <c r="M480" s="66"/>
      <c r="N480" s="66"/>
    </row>
    <row r="481" spans="1:14" x14ac:dyDescent="0.2">
      <c r="A481" s="84"/>
      <c r="B481" s="84"/>
      <c r="C481" s="60"/>
      <c r="D481" s="66"/>
      <c r="E481" s="66"/>
      <c r="F481" s="66"/>
      <c r="G481" s="66"/>
      <c r="H481" s="66"/>
      <c r="I481" s="66"/>
      <c r="J481" s="66"/>
      <c r="K481" s="66"/>
      <c r="L481" s="66"/>
      <c r="M481" s="66"/>
      <c r="N481" s="66"/>
    </row>
    <row r="482" spans="1:14" x14ac:dyDescent="0.2">
      <c r="A482" s="84"/>
      <c r="B482" s="84"/>
      <c r="C482" s="60"/>
      <c r="D482" s="66"/>
      <c r="E482" s="66"/>
      <c r="F482" s="66"/>
      <c r="G482" s="66"/>
      <c r="H482" s="66"/>
      <c r="I482" s="66"/>
      <c r="J482" s="66"/>
      <c r="K482" s="66"/>
      <c r="L482" s="66"/>
      <c r="M482" s="66"/>
      <c r="N482" s="66"/>
    </row>
    <row r="483" spans="1:14" x14ac:dyDescent="0.2">
      <c r="A483" s="84"/>
      <c r="B483" s="84"/>
      <c r="C483" s="60"/>
      <c r="D483" s="66"/>
      <c r="E483" s="66"/>
      <c r="F483" s="66"/>
      <c r="G483" s="66"/>
      <c r="H483" s="66"/>
      <c r="I483" s="66"/>
      <c r="J483" s="66"/>
      <c r="K483" s="66"/>
      <c r="L483" s="66"/>
      <c r="M483" s="66"/>
      <c r="N483" s="66"/>
    </row>
    <row r="484" spans="1:14" x14ac:dyDescent="0.2">
      <c r="A484" s="84"/>
      <c r="B484" s="84"/>
      <c r="C484" s="60"/>
      <c r="D484" s="66"/>
      <c r="E484" s="66"/>
      <c r="F484" s="66"/>
      <c r="G484" s="66"/>
      <c r="H484" s="66"/>
      <c r="I484" s="66"/>
      <c r="J484" s="66"/>
      <c r="K484" s="66"/>
      <c r="L484" s="66"/>
      <c r="M484" s="66"/>
      <c r="N484" s="66"/>
    </row>
    <row r="485" spans="1:14" x14ac:dyDescent="0.2">
      <c r="A485" s="84"/>
      <c r="B485" s="84"/>
      <c r="C485" s="60"/>
      <c r="D485" s="66"/>
      <c r="E485" s="66"/>
      <c r="F485" s="66"/>
      <c r="G485" s="66"/>
      <c r="H485" s="66"/>
      <c r="I485" s="66"/>
      <c r="J485" s="66"/>
      <c r="K485" s="66"/>
      <c r="L485" s="66"/>
      <c r="M485" s="66"/>
      <c r="N485" s="66"/>
    </row>
    <row r="486" spans="1:14" x14ac:dyDescent="0.2">
      <c r="A486" s="84"/>
      <c r="B486" s="84"/>
      <c r="C486" s="60"/>
      <c r="D486" s="66"/>
      <c r="E486" s="66"/>
      <c r="F486" s="66"/>
      <c r="G486" s="66"/>
      <c r="H486" s="66"/>
      <c r="I486" s="66"/>
      <c r="J486" s="66"/>
      <c r="K486" s="66"/>
      <c r="L486" s="66"/>
      <c r="M486" s="66"/>
      <c r="N486" s="66"/>
    </row>
    <row r="487" spans="1:14" x14ac:dyDescent="0.2">
      <c r="A487" s="84"/>
      <c r="B487" s="84"/>
      <c r="C487" s="60"/>
      <c r="D487" s="66"/>
      <c r="E487" s="66"/>
      <c r="F487" s="66"/>
      <c r="G487" s="66"/>
      <c r="H487" s="66"/>
      <c r="I487" s="66"/>
      <c r="J487" s="66"/>
      <c r="K487" s="66"/>
      <c r="L487" s="66"/>
      <c r="M487" s="66"/>
      <c r="N487" s="66"/>
    </row>
    <row r="488" spans="1:14" x14ac:dyDescent="0.2">
      <c r="A488" s="84"/>
      <c r="B488" s="84"/>
      <c r="C488" s="60"/>
      <c r="D488" s="66"/>
      <c r="E488" s="66"/>
      <c r="F488" s="66"/>
      <c r="G488" s="66"/>
      <c r="H488" s="66"/>
      <c r="I488" s="66"/>
      <c r="J488" s="66"/>
      <c r="K488" s="66"/>
      <c r="L488" s="66"/>
      <c r="M488" s="66"/>
      <c r="N488" s="66"/>
    </row>
    <row r="489" spans="1:14" x14ac:dyDescent="0.2">
      <c r="A489" s="84"/>
      <c r="B489" s="84"/>
      <c r="C489" s="60"/>
      <c r="D489" s="66"/>
      <c r="E489" s="66"/>
      <c r="F489" s="66"/>
      <c r="G489" s="66"/>
      <c r="H489" s="66"/>
      <c r="I489" s="66"/>
      <c r="J489" s="66"/>
      <c r="K489" s="66"/>
      <c r="L489" s="66"/>
      <c r="M489" s="66"/>
      <c r="N489" s="66"/>
    </row>
    <row r="490" spans="1:14" x14ac:dyDescent="0.2">
      <c r="A490" s="84"/>
      <c r="B490" s="84"/>
      <c r="C490" s="60"/>
      <c r="D490" s="66"/>
      <c r="E490" s="66"/>
      <c r="F490" s="66"/>
      <c r="G490" s="66"/>
      <c r="H490" s="66"/>
      <c r="I490" s="66"/>
      <c r="J490" s="66"/>
      <c r="K490" s="66"/>
      <c r="L490" s="66"/>
      <c r="M490" s="66"/>
      <c r="N490" s="66"/>
    </row>
    <row r="491" spans="1:14" x14ac:dyDescent="0.2">
      <c r="A491" s="84"/>
      <c r="B491" s="84"/>
      <c r="C491" s="60"/>
      <c r="D491" s="66"/>
      <c r="E491" s="66"/>
      <c r="F491" s="66"/>
      <c r="G491" s="66"/>
      <c r="H491" s="66"/>
      <c r="I491" s="66"/>
      <c r="J491" s="66"/>
      <c r="K491" s="66"/>
      <c r="L491" s="66"/>
      <c r="M491" s="66"/>
      <c r="N491" s="66"/>
    </row>
    <row r="492" spans="1:14" x14ac:dyDescent="0.2">
      <c r="A492" s="84"/>
      <c r="B492" s="84"/>
      <c r="C492" s="60"/>
      <c r="D492" s="66"/>
      <c r="E492" s="66"/>
      <c r="F492" s="66"/>
      <c r="G492" s="66"/>
      <c r="H492" s="66"/>
      <c r="I492" s="66"/>
      <c r="J492" s="66"/>
      <c r="K492" s="66"/>
      <c r="L492" s="66"/>
      <c r="M492" s="66"/>
      <c r="N492" s="66"/>
    </row>
    <row r="493" spans="1:14" x14ac:dyDescent="0.2">
      <c r="A493" s="84"/>
      <c r="B493" s="84"/>
      <c r="C493" s="60"/>
      <c r="D493" s="66"/>
      <c r="E493" s="66"/>
      <c r="F493" s="66"/>
      <c r="G493" s="66"/>
      <c r="H493" s="66"/>
      <c r="I493" s="66"/>
      <c r="J493" s="66"/>
      <c r="K493" s="66"/>
      <c r="L493" s="66"/>
      <c r="M493" s="66"/>
      <c r="N493" s="66"/>
    </row>
    <row r="494" spans="1:14" x14ac:dyDescent="0.2">
      <c r="A494" s="84"/>
      <c r="B494" s="84"/>
      <c r="C494" s="60"/>
      <c r="D494" s="66"/>
      <c r="E494" s="66"/>
      <c r="F494" s="66"/>
      <c r="G494" s="66"/>
      <c r="H494" s="66"/>
      <c r="I494" s="66"/>
      <c r="J494" s="66"/>
      <c r="K494" s="66"/>
      <c r="L494" s="66"/>
      <c r="M494" s="66"/>
      <c r="N494" s="66"/>
    </row>
    <row r="495" spans="1:14" x14ac:dyDescent="0.2">
      <c r="A495" s="84"/>
      <c r="B495" s="84"/>
      <c r="C495" s="60"/>
      <c r="D495" s="66"/>
      <c r="E495" s="66"/>
      <c r="F495" s="66"/>
      <c r="G495" s="66"/>
      <c r="H495" s="66"/>
      <c r="I495" s="66"/>
      <c r="J495" s="66"/>
      <c r="K495" s="66"/>
      <c r="L495" s="66"/>
      <c r="M495" s="66"/>
      <c r="N495" s="66"/>
    </row>
    <row r="496" spans="1:14" x14ac:dyDescent="0.2">
      <c r="A496" s="84"/>
      <c r="B496" s="84"/>
      <c r="C496" s="60"/>
      <c r="D496" s="66"/>
      <c r="E496" s="66"/>
      <c r="F496" s="66"/>
      <c r="G496" s="66"/>
      <c r="H496" s="66"/>
      <c r="I496" s="66"/>
      <c r="J496" s="66"/>
      <c r="K496" s="66"/>
      <c r="L496" s="66"/>
      <c r="M496" s="66"/>
      <c r="N496" s="66"/>
    </row>
    <row r="497" spans="1:14" x14ac:dyDescent="0.2">
      <c r="A497" s="84"/>
      <c r="B497" s="84"/>
      <c r="C497" s="60"/>
      <c r="D497" s="66"/>
      <c r="E497" s="66"/>
      <c r="F497" s="66"/>
      <c r="G497" s="66"/>
      <c r="H497" s="66"/>
      <c r="I497" s="66"/>
      <c r="J497" s="66"/>
      <c r="K497" s="66"/>
      <c r="L497" s="66"/>
      <c r="M497" s="66"/>
      <c r="N497" s="66"/>
    </row>
    <row r="498" spans="1:14" x14ac:dyDescent="0.2">
      <c r="A498" s="84"/>
      <c r="B498" s="84"/>
      <c r="C498" s="60"/>
      <c r="D498" s="66"/>
      <c r="E498" s="66"/>
      <c r="F498" s="66"/>
      <c r="G498" s="66"/>
      <c r="H498" s="66"/>
      <c r="I498" s="66"/>
      <c r="J498" s="66"/>
      <c r="K498" s="66"/>
      <c r="L498" s="66"/>
      <c r="M498" s="66"/>
      <c r="N498" s="66"/>
    </row>
    <row r="499" spans="1:14" x14ac:dyDescent="0.2">
      <c r="A499" s="84"/>
      <c r="B499" s="84"/>
      <c r="C499" s="60"/>
      <c r="D499" s="66"/>
      <c r="E499" s="66"/>
      <c r="F499" s="66"/>
      <c r="G499" s="66"/>
      <c r="H499" s="66"/>
      <c r="I499" s="66"/>
      <c r="J499" s="66"/>
      <c r="K499" s="66"/>
      <c r="L499" s="66"/>
      <c r="M499" s="66"/>
      <c r="N499" s="66"/>
    </row>
    <row r="500" spans="1:14" x14ac:dyDescent="0.2">
      <c r="A500" s="84"/>
      <c r="B500" s="84"/>
      <c r="C500" s="60"/>
      <c r="D500" s="66"/>
      <c r="E500" s="66"/>
      <c r="F500" s="66"/>
      <c r="G500" s="66"/>
      <c r="H500" s="66"/>
      <c r="I500" s="66"/>
      <c r="J500" s="66"/>
      <c r="K500" s="66"/>
      <c r="L500" s="66"/>
      <c r="M500" s="66"/>
      <c r="N500" s="66"/>
    </row>
    <row r="501" spans="1:14" x14ac:dyDescent="0.2">
      <c r="A501" s="84"/>
      <c r="B501" s="84"/>
      <c r="C501" s="60"/>
      <c r="D501" s="66"/>
      <c r="E501" s="66"/>
      <c r="F501" s="66"/>
      <c r="G501" s="66"/>
      <c r="H501" s="66"/>
      <c r="I501" s="66"/>
      <c r="J501" s="66"/>
      <c r="K501" s="66"/>
      <c r="L501" s="66"/>
      <c r="M501" s="66"/>
      <c r="N501" s="66"/>
    </row>
    <row r="502" spans="1:14" x14ac:dyDescent="0.2">
      <c r="A502" s="84"/>
      <c r="B502" s="84"/>
      <c r="C502" s="60"/>
      <c r="D502" s="66"/>
      <c r="E502" s="66"/>
      <c r="F502" s="66"/>
      <c r="G502" s="66"/>
      <c r="H502" s="66"/>
      <c r="I502" s="66"/>
      <c r="J502" s="66"/>
      <c r="K502" s="66"/>
      <c r="L502" s="66"/>
      <c r="M502" s="66"/>
      <c r="N502" s="66"/>
    </row>
    <row r="503" spans="1:14" x14ac:dyDescent="0.2">
      <c r="A503" s="84"/>
      <c r="B503" s="84"/>
      <c r="C503" s="60"/>
      <c r="D503" s="66"/>
      <c r="E503" s="66"/>
      <c r="F503" s="66"/>
      <c r="G503" s="66"/>
      <c r="H503" s="66"/>
      <c r="I503" s="66"/>
      <c r="J503" s="66"/>
      <c r="K503" s="66"/>
      <c r="L503" s="66"/>
      <c r="M503" s="66"/>
      <c r="N503" s="66"/>
    </row>
    <row r="504" spans="1:14" x14ac:dyDescent="0.2">
      <c r="A504" s="84"/>
      <c r="B504" s="84"/>
      <c r="C504" s="60"/>
      <c r="D504" s="66"/>
      <c r="E504" s="66"/>
      <c r="F504" s="66"/>
      <c r="G504" s="66"/>
      <c r="H504" s="66"/>
      <c r="I504" s="66"/>
      <c r="J504" s="66"/>
      <c r="K504" s="66"/>
      <c r="L504" s="66"/>
      <c r="M504" s="66"/>
      <c r="N504" s="66"/>
    </row>
    <row r="505" spans="1:14" x14ac:dyDescent="0.2">
      <c r="A505" s="84"/>
      <c r="B505" s="84"/>
      <c r="C505" s="60"/>
      <c r="D505" s="66"/>
      <c r="E505" s="66"/>
      <c r="F505" s="66"/>
      <c r="G505" s="66"/>
      <c r="H505" s="66"/>
      <c r="I505" s="66"/>
      <c r="J505" s="66"/>
      <c r="K505" s="66"/>
      <c r="L505" s="66"/>
      <c r="M505" s="66"/>
      <c r="N505" s="66"/>
    </row>
    <row r="506" spans="1:14" x14ac:dyDescent="0.2">
      <c r="A506" s="84"/>
      <c r="B506" s="84"/>
      <c r="C506" s="60"/>
      <c r="D506" s="66"/>
      <c r="E506" s="66"/>
      <c r="F506" s="66"/>
      <c r="G506" s="66"/>
      <c r="H506" s="66"/>
      <c r="I506" s="66"/>
      <c r="J506" s="66"/>
      <c r="K506" s="66"/>
      <c r="L506" s="66"/>
      <c r="M506" s="66"/>
      <c r="N506" s="66"/>
    </row>
    <row r="507" spans="1:14" x14ac:dyDescent="0.2">
      <c r="A507" s="84"/>
      <c r="B507" s="84"/>
      <c r="C507" s="60"/>
      <c r="D507" s="66"/>
      <c r="E507" s="66"/>
      <c r="F507" s="66"/>
      <c r="G507" s="66"/>
      <c r="H507" s="66"/>
      <c r="I507" s="66"/>
      <c r="J507" s="66"/>
      <c r="K507" s="66"/>
      <c r="L507" s="66"/>
      <c r="M507" s="66"/>
      <c r="N507" s="66"/>
    </row>
    <row r="508" spans="1:14" x14ac:dyDescent="0.2">
      <c r="A508" s="84"/>
      <c r="B508" s="84"/>
      <c r="C508" s="60"/>
      <c r="D508" s="66"/>
      <c r="E508" s="66"/>
      <c r="F508" s="66"/>
      <c r="G508" s="66"/>
      <c r="H508" s="66"/>
      <c r="I508" s="66"/>
      <c r="J508" s="66"/>
      <c r="K508" s="66"/>
      <c r="L508" s="66"/>
      <c r="M508" s="66"/>
      <c r="N508" s="66"/>
    </row>
    <row r="509" spans="1:14" x14ac:dyDescent="0.2">
      <c r="A509" s="84"/>
      <c r="B509" s="84"/>
      <c r="C509" s="60"/>
      <c r="D509" s="66"/>
      <c r="E509" s="66"/>
      <c r="F509" s="66"/>
      <c r="G509" s="66"/>
      <c r="H509" s="66"/>
      <c r="I509" s="66"/>
      <c r="J509" s="66"/>
      <c r="K509" s="66"/>
      <c r="L509" s="66"/>
      <c r="M509" s="66"/>
      <c r="N509" s="66"/>
    </row>
    <row r="510" spans="1:14" x14ac:dyDescent="0.2">
      <c r="A510" s="84"/>
      <c r="B510" s="84"/>
      <c r="C510" s="60"/>
      <c r="D510" s="66"/>
      <c r="E510" s="66"/>
      <c r="F510" s="66"/>
      <c r="G510" s="66"/>
      <c r="H510" s="66"/>
      <c r="I510" s="66"/>
      <c r="J510" s="66"/>
      <c r="K510" s="66"/>
      <c r="L510" s="66"/>
      <c r="M510" s="66"/>
      <c r="N510" s="66"/>
    </row>
    <row r="511" spans="1:14" x14ac:dyDescent="0.2">
      <c r="A511" s="84"/>
      <c r="B511" s="84"/>
      <c r="C511" s="60"/>
      <c r="D511" s="66"/>
      <c r="E511" s="66"/>
      <c r="F511" s="66"/>
      <c r="G511" s="66"/>
      <c r="H511" s="66"/>
      <c r="I511" s="66"/>
      <c r="J511" s="66"/>
      <c r="K511" s="66"/>
      <c r="L511" s="66"/>
      <c r="M511" s="66"/>
      <c r="N511" s="66"/>
    </row>
    <row r="512" spans="1:14" x14ac:dyDescent="0.2">
      <c r="A512" s="84"/>
      <c r="B512" s="84"/>
      <c r="C512" s="60"/>
      <c r="D512" s="66"/>
      <c r="E512" s="66"/>
      <c r="F512" s="66"/>
      <c r="G512" s="66"/>
      <c r="H512" s="66"/>
      <c r="I512" s="66"/>
      <c r="J512" s="66"/>
      <c r="K512" s="66"/>
      <c r="L512" s="66"/>
      <c r="M512" s="66"/>
      <c r="N512" s="66"/>
    </row>
    <row r="513" spans="1:14" x14ac:dyDescent="0.2">
      <c r="A513" s="84"/>
      <c r="B513" s="84"/>
      <c r="C513" s="60"/>
      <c r="D513" s="66"/>
      <c r="E513" s="66"/>
      <c r="F513" s="66"/>
      <c r="G513" s="66"/>
      <c r="H513" s="66"/>
      <c r="I513" s="66"/>
      <c r="J513" s="66"/>
      <c r="K513" s="66"/>
      <c r="L513" s="66"/>
      <c r="M513" s="66"/>
      <c r="N513" s="66"/>
    </row>
    <row r="514" spans="1:14" x14ac:dyDescent="0.2">
      <c r="A514" s="84"/>
      <c r="B514" s="84"/>
      <c r="C514" s="60"/>
      <c r="D514" s="66"/>
      <c r="E514" s="66"/>
      <c r="F514" s="66"/>
      <c r="G514" s="66"/>
      <c r="H514" s="66"/>
      <c r="I514" s="66"/>
      <c r="J514" s="66"/>
      <c r="K514" s="66"/>
      <c r="L514" s="66"/>
      <c r="M514" s="66"/>
      <c r="N514" s="66"/>
    </row>
    <row r="515" spans="1:14" x14ac:dyDescent="0.2">
      <c r="A515" s="84"/>
      <c r="B515" s="84"/>
      <c r="C515" s="60"/>
      <c r="D515" s="66"/>
      <c r="E515" s="66"/>
      <c r="F515" s="66"/>
      <c r="G515" s="66"/>
      <c r="H515" s="66"/>
      <c r="I515" s="66"/>
      <c r="J515" s="66"/>
      <c r="K515" s="66"/>
      <c r="L515" s="66"/>
      <c r="M515" s="66"/>
      <c r="N515" s="66"/>
    </row>
    <row r="516" spans="1:14" x14ac:dyDescent="0.2">
      <c r="A516" s="84"/>
      <c r="B516" s="84"/>
      <c r="C516" s="60"/>
      <c r="D516" s="66"/>
      <c r="E516" s="66"/>
      <c r="F516" s="66"/>
      <c r="G516" s="66"/>
      <c r="H516" s="66"/>
      <c r="I516" s="66"/>
      <c r="J516" s="66"/>
      <c r="K516" s="66"/>
      <c r="L516" s="66"/>
      <c r="M516" s="66"/>
      <c r="N516" s="66"/>
    </row>
    <row r="517" spans="1:14" x14ac:dyDescent="0.2">
      <c r="A517" s="84"/>
      <c r="B517" s="84"/>
      <c r="C517" s="60"/>
      <c r="D517" s="66"/>
      <c r="E517" s="66"/>
      <c r="F517" s="66"/>
      <c r="G517" s="66"/>
      <c r="H517" s="66"/>
      <c r="I517" s="66"/>
      <c r="J517" s="66"/>
      <c r="K517" s="66"/>
      <c r="L517" s="66"/>
      <c r="M517" s="66"/>
      <c r="N517" s="66"/>
    </row>
    <row r="518" spans="1:14" x14ac:dyDescent="0.2">
      <c r="A518" s="84"/>
      <c r="B518" s="84"/>
      <c r="C518" s="60"/>
      <c r="D518" s="66"/>
      <c r="E518" s="66"/>
      <c r="F518" s="66"/>
      <c r="G518" s="66"/>
      <c r="H518" s="66"/>
      <c r="I518" s="66"/>
      <c r="J518" s="66"/>
      <c r="K518" s="66"/>
      <c r="L518" s="66"/>
      <c r="M518" s="66"/>
      <c r="N518" s="66"/>
    </row>
    <row r="519" spans="1:14" x14ac:dyDescent="0.2">
      <c r="A519" s="84"/>
      <c r="B519" s="84"/>
      <c r="C519" s="60"/>
      <c r="D519" s="66"/>
      <c r="E519" s="66"/>
      <c r="F519" s="66"/>
      <c r="G519" s="66"/>
      <c r="H519" s="66"/>
      <c r="I519" s="66"/>
      <c r="J519" s="66"/>
      <c r="K519" s="66"/>
      <c r="L519" s="66"/>
      <c r="M519" s="66"/>
      <c r="N519" s="66"/>
    </row>
    <row r="520" spans="1:14" x14ac:dyDescent="0.2">
      <c r="A520" s="84"/>
      <c r="B520" s="84"/>
      <c r="C520" s="60"/>
      <c r="D520" s="66"/>
      <c r="E520" s="66"/>
      <c r="F520" s="66"/>
      <c r="G520" s="66"/>
      <c r="H520" s="66"/>
      <c r="I520" s="66"/>
      <c r="J520" s="66"/>
      <c r="K520" s="66"/>
      <c r="L520" s="66"/>
      <c r="M520" s="66"/>
      <c r="N520" s="66"/>
    </row>
    <row r="521" spans="1:14" x14ac:dyDescent="0.2">
      <c r="A521" s="84"/>
      <c r="B521" s="84"/>
      <c r="C521" s="60"/>
      <c r="D521" s="66"/>
      <c r="E521" s="66"/>
      <c r="F521" s="66"/>
      <c r="G521" s="66"/>
      <c r="H521" s="66"/>
      <c r="I521" s="66"/>
      <c r="J521" s="66"/>
      <c r="K521" s="66"/>
      <c r="L521" s="66"/>
      <c r="M521" s="66"/>
      <c r="N521" s="66"/>
    </row>
    <row r="522" spans="1:14" x14ac:dyDescent="0.2">
      <c r="A522" s="84"/>
      <c r="B522" s="84"/>
      <c r="C522" s="60"/>
      <c r="D522" s="66"/>
      <c r="E522" s="66"/>
      <c r="F522" s="66"/>
      <c r="G522" s="66"/>
      <c r="H522" s="66"/>
      <c r="I522" s="66"/>
      <c r="J522" s="66"/>
      <c r="K522" s="66"/>
      <c r="L522" s="66"/>
      <c r="M522" s="66"/>
      <c r="N522" s="66"/>
    </row>
    <row r="523" spans="1:14" x14ac:dyDescent="0.2">
      <c r="A523" s="84"/>
      <c r="B523" s="84"/>
      <c r="C523" s="60"/>
      <c r="D523" s="66"/>
      <c r="E523" s="66"/>
      <c r="F523" s="66"/>
      <c r="G523" s="66"/>
      <c r="H523" s="66"/>
      <c r="I523" s="66"/>
      <c r="J523" s="66"/>
      <c r="K523" s="66"/>
      <c r="L523" s="66"/>
      <c r="M523" s="66"/>
      <c r="N523" s="66"/>
    </row>
    <row r="524" spans="1:14" x14ac:dyDescent="0.2">
      <c r="A524" s="84"/>
      <c r="B524" s="84"/>
      <c r="C524" s="60"/>
      <c r="D524" s="66"/>
      <c r="E524" s="66"/>
      <c r="F524" s="66"/>
      <c r="G524" s="66"/>
      <c r="H524" s="66"/>
      <c r="I524" s="66"/>
      <c r="J524" s="66"/>
      <c r="K524" s="66"/>
      <c r="L524" s="66"/>
      <c r="M524" s="66"/>
      <c r="N524" s="66"/>
    </row>
    <row r="525" spans="1:14" x14ac:dyDescent="0.2">
      <c r="A525" s="84"/>
      <c r="B525" s="84"/>
      <c r="C525" s="60"/>
      <c r="D525" s="66"/>
      <c r="E525" s="66"/>
      <c r="F525" s="66"/>
      <c r="G525" s="66"/>
      <c r="H525" s="66"/>
      <c r="I525" s="66"/>
      <c r="J525" s="66"/>
      <c r="K525" s="66"/>
      <c r="L525" s="66"/>
      <c r="M525" s="66"/>
      <c r="N525" s="66"/>
    </row>
    <row r="526" spans="1:14" x14ac:dyDescent="0.2">
      <c r="A526" s="84"/>
      <c r="B526" s="84"/>
      <c r="C526" s="60"/>
      <c r="D526" s="66"/>
      <c r="E526" s="66"/>
      <c r="F526" s="66"/>
      <c r="G526" s="66"/>
      <c r="H526" s="66"/>
      <c r="I526" s="66"/>
      <c r="J526" s="66"/>
      <c r="K526" s="66"/>
      <c r="L526" s="66"/>
      <c r="M526" s="66"/>
      <c r="N526" s="66"/>
    </row>
    <row r="527" spans="1:14" x14ac:dyDescent="0.2">
      <c r="A527" s="84"/>
      <c r="B527" s="84"/>
      <c r="C527" s="60"/>
      <c r="D527" s="66"/>
      <c r="E527" s="66"/>
      <c r="F527" s="66"/>
      <c r="G527" s="66"/>
      <c r="H527" s="66"/>
      <c r="I527" s="66"/>
      <c r="J527" s="66"/>
      <c r="K527" s="66"/>
      <c r="L527" s="66"/>
      <c r="M527" s="66"/>
      <c r="N527" s="66"/>
    </row>
    <row r="528" spans="1:14" x14ac:dyDescent="0.2">
      <c r="A528" s="84"/>
      <c r="B528" s="84"/>
      <c r="C528" s="60"/>
      <c r="D528" s="66"/>
      <c r="E528" s="66"/>
      <c r="F528" s="66"/>
      <c r="G528" s="66"/>
      <c r="H528" s="66"/>
      <c r="I528" s="66"/>
      <c r="J528" s="66"/>
      <c r="K528" s="66"/>
      <c r="L528" s="66"/>
      <c r="M528" s="66"/>
      <c r="N528" s="66"/>
    </row>
    <row r="529" spans="1:14" x14ac:dyDescent="0.2">
      <c r="A529" s="84"/>
      <c r="B529" s="84"/>
      <c r="C529" s="60"/>
      <c r="D529" s="66"/>
      <c r="E529" s="66"/>
      <c r="F529" s="66"/>
      <c r="G529" s="66"/>
      <c r="H529" s="66"/>
      <c r="I529" s="66"/>
      <c r="J529" s="66"/>
      <c r="K529" s="66"/>
      <c r="L529" s="66"/>
      <c r="M529" s="66"/>
      <c r="N529" s="66"/>
    </row>
    <row r="530" spans="1:14" x14ac:dyDescent="0.2">
      <c r="A530" s="84"/>
      <c r="B530" s="84"/>
      <c r="C530" s="60"/>
      <c r="D530" s="66"/>
      <c r="E530" s="66"/>
      <c r="F530" s="66"/>
      <c r="G530" s="66"/>
      <c r="H530" s="66"/>
      <c r="I530" s="66"/>
      <c r="J530" s="66"/>
      <c r="K530" s="66"/>
      <c r="L530" s="66"/>
      <c r="M530" s="66"/>
      <c r="N530" s="66"/>
    </row>
    <row r="531" spans="1:14" x14ac:dyDescent="0.2">
      <c r="A531" s="84"/>
      <c r="B531" s="84"/>
      <c r="C531" s="60"/>
      <c r="D531" s="66"/>
      <c r="E531" s="66"/>
      <c r="F531" s="66"/>
      <c r="G531" s="66"/>
      <c r="H531" s="66"/>
      <c r="I531" s="66"/>
      <c r="J531" s="66"/>
      <c r="K531" s="66"/>
      <c r="L531" s="66"/>
      <c r="M531" s="66"/>
      <c r="N531" s="66"/>
    </row>
    <row r="532" spans="1:14" x14ac:dyDescent="0.2">
      <c r="A532" s="84"/>
      <c r="B532" s="84"/>
      <c r="C532" s="60"/>
      <c r="D532" s="66"/>
      <c r="E532" s="66"/>
      <c r="F532" s="66"/>
      <c r="G532" s="66"/>
      <c r="H532" s="66"/>
      <c r="I532" s="66"/>
      <c r="J532" s="66"/>
      <c r="K532" s="66"/>
      <c r="L532" s="66"/>
      <c r="M532" s="66"/>
      <c r="N532" s="66"/>
    </row>
    <row r="533" spans="1:14" x14ac:dyDescent="0.2">
      <c r="A533" s="84"/>
      <c r="B533" s="84"/>
      <c r="C533" s="60"/>
      <c r="D533" s="66"/>
      <c r="E533" s="66"/>
      <c r="F533" s="66"/>
      <c r="G533" s="66"/>
      <c r="H533" s="66"/>
      <c r="I533" s="66"/>
      <c r="J533" s="66"/>
      <c r="K533" s="66"/>
      <c r="L533" s="66"/>
      <c r="M533" s="66"/>
      <c r="N533" s="66"/>
    </row>
    <row r="534" spans="1:14" x14ac:dyDescent="0.2">
      <c r="A534" s="84"/>
      <c r="B534" s="84"/>
      <c r="C534" s="60"/>
      <c r="D534" s="66"/>
      <c r="E534" s="66"/>
      <c r="F534" s="66"/>
      <c r="G534" s="66"/>
      <c r="H534" s="66"/>
      <c r="I534" s="66"/>
      <c r="J534" s="66"/>
      <c r="K534" s="66"/>
      <c r="L534" s="66"/>
      <c r="M534" s="66"/>
      <c r="N534" s="66"/>
    </row>
    <row r="535" spans="1:14" x14ac:dyDescent="0.2">
      <c r="A535" s="84"/>
      <c r="B535" s="84"/>
      <c r="C535" s="60"/>
      <c r="D535" s="66"/>
      <c r="E535" s="66"/>
      <c r="F535" s="66"/>
      <c r="G535" s="66"/>
      <c r="H535" s="66"/>
      <c r="I535" s="66"/>
      <c r="J535" s="66"/>
      <c r="K535" s="66"/>
      <c r="L535" s="66"/>
      <c r="M535" s="66"/>
      <c r="N535" s="66"/>
    </row>
    <row r="536" spans="1:14" x14ac:dyDescent="0.2">
      <c r="A536" s="84"/>
      <c r="B536" s="84"/>
      <c r="C536" s="60"/>
      <c r="D536" s="66"/>
      <c r="E536" s="66"/>
      <c r="F536" s="66"/>
      <c r="G536" s="66"/>
      <c r="H536" s="66"/>
      <c r="I536" s="66"/>
      <c r="J536" s="66"/>
      <c r="K536" s="66"/>
      <c r="L536" s="66"/>
      <c r="M536" s="66"/>
      <c r="N536" s="66"/>
    </row>
    <row r="537" spans="1:14" x14ac:dyDescent="0.2">
      <c r="A537" s="84"/>
      <c r="B537" s="84"/>
      <c r="C537" s="60"/>
      <c r="D537" s="66"/>
      <c r="E537" s="66"/>
      <c r="F537" s="66"/>
      <c r="G537" s="66"/>
      <c r="H537" s="66"/>
      <c r="I537" s="66"/>
      <c r="J537" s="66"/>
      <c r="K537" s="66"/>
      <c r="L537" s="66"/>
      <c r="M537" s="66"/>
      <c r="N537" s="66"/>
    </row>
    <row r="538" spans="1:14" x14ac:dyDescent="0.2">
      <c r="A538" s="84"/>
      <c r="B538" s="84"/>
      <c r="C538" s="60"/>
      <c r="D538" s="66"/>
      <c r="E538" s="66"/>
      <c r="F538" s="66"/>
      <c r="G538" s="66"/>
      <c r="H538" s="66"/>
      <c r="I538" s="66"/>
      <c r="J538" s="66"/>
      <c r="K538" s="66"/>
      <c r="L538" s="66"/>
      <c r="M538" s="66"/>
      <c r="N538" s="66"/>
    </row>
    <row r="539" spans="1:14" x14ac:dyDescent="0.2">
      <c r="A539" s="84"/>
      <c r="B539" s="84"/>
      <c r="C539" s="60"/>
      <c r="D539" s="66"/>
      <c r="E539" s="66"/>
      <c r="F539" s="66"/>
      <c r="G539" s="66"/>
      <c r="H539" s="66"/>
      <c r="I539" s="66"/>
      <c r="J539" s="66"/>
      <c r="K539" s="66"/>
      <c r="L539" s="66"/>
      <c r="M539" s="66"/>
      <c r="N539" s="66"/>
    </row>
    <row r="540" spans="1:14" x14ac:dyDescent="0.2">
      <c r="A540" s="84"/>
      <c r="B540" s="84"/>
      <c r="C540" s="60"/>
      <c r="D540" s="66"/>
      <c r="E540" s="66"/>
      <c r="F540" s="66"/>
      <c r="G540" s="66"/>
      <c r="H540" s="66"/>
      <c r="I540" s="66"/>
      <c r="J540" s="66"/>
      <c r="K540" s="66"/>
      <c r="L540" s="66"/>
      <c r="M540" s="66"/>
      <c r="N540" s="66"/>
    </row>
    <row r="541" spans="1:14" x14ac:dyDescent="0.2">
      <c r="A541" s="84"/>
      <c r="B541" s="84"/>
      <c r="C541" s="60"/>
      <c r="D541" s="66"/>
      <c r="E541" s="66"/>
      <c r="F541" s="66"/>
      <c r="G541" s="66"/>
      <c r="H541" s="66"/>
      <c r="I541" s="66"/>
      <c r="J541" s="66"/>
      <c r="K541" s="66"/>
      <c r="L541" s="66"/>
      <c r="M541" s="66"/>
      <c r="N541" s="66"/>
    </row>
    <row r="542" spans="1:14" x14ac:dyDescent="0.2">
      <c r="A542" s="84"/>
      <c r="B542" s="84"/>
      <c r="C542" s="60"/>
      <c r="D542" s="66"/>
      <c r="E542" s="66"/>
      <c r="F542" s="66"/>
      <c r="G542" s="66"/>
      <c r="H542" s="66"/>
      <c r="I542" s="66"/>
      <c r="J542" s="66"/>
      <c r="K542" s="66"/>
      <c r="L542" s="66"/>
      <c r="M542" s="66"/>
      <c r="N542" s="66"/>
    </row>
    <row r="543" spans="1:14" x14ac:dyDescent="0.2">
      <c r="A543" s="84"/>
      <c r="B543" s="84"/>
      <c r="C543" s="60"/>
      <c r="D543" s="66"/>
      <c r="E543" s="66"/>
      <c r="F543" s="66"/>
      <c r="G543" s="66"/>
      <c r="H543" s="66"/>
      <c r="I543" s="66"/>
      <c r="J543" s="66"/>
      <c r="K543" s="66"/>
      <c r="L543" s="66"/>
      <c r="M543" s="66"/>
      <c r="N543" s="66"/>
    </row>
    <row r="544" spans="1:14" x14ac:dyDescent="0.2">
      <c r="A544" s="84"/>
      <c r="B544" s="84"/>
      <c r="C544" s="60"/>
      <c r="D544" s="66"/>
      <c r="E544" s="66"/>
      <c r="F544" s="66"/>
      <c r="G544" s="66"/>
      <c r="H544" s="66"/>
      <c r="I544" s="66"/>
      <c r="J544" s="66"/>
      <c r="K544" s="66"/>
      <c r="L544" s="66"/>
      <c r="M544" s="66"/>
      <c r="N544" s="66"/>
    </row>
    <row r="545" spans="1:14" x14ac:dyDescent="0.2">
      <c r="A545" s="84"/>
      <c r="B545" s="84"/>
      <c r="C545" s="60"/>
      <c r="D545" s="66"/>
      <c r="E545" s="66"/>
      <c r="F545" s="66"/>
      <c r="G545" s="66"/>
      <c r="H545" s="66"/>
      <c r="I545" s="66"/>
      <c r="J545" s="66"/>
      <c r="K545" s="66"/>
      <c r="L545" s="66"/>
      <c r="M545" s="66"/>
      <c r="N545" s="66"/>
    </row>
    <row r="546" spans="1:14" x14ac:dyDescent="0.2">
      <c r="A546" s="84"/>
      <c r="B546" s="84"/>
      <c r="C546" s="60"/>
      <c r="D546" s="66"/>
      <c r="E546" s="66"/>
      <c r="F546" s="66"/>
      <c r="G546" s="66"/>
      <c r="H546" s="66"/>
      <c r="I546" s="66"/>
      <c r="J546" s="66"/>
      <c r="K546" s="66"/>
      <c r="L546" s="66"/>
      <c r="M546" s="66"/>
      <c r="N546" s="66"/>
    </row>
    <row r="547" spans="1:14" x14ac:dyDescent="0.2">
      <c r="A547" s="84"/>
      <c r="B547" s="84"/>
      <c r="C547" s="60"/>
      <c r="D547" s="66"/>
      <c r="E547" s="66"/>
      <c r="F547" s="66"/>
      <c r="G547" s="66"/>
      <c r="H547" s="66"/>
      <c r="I547" s="66"/>
      <c r="J547" s="66"/>
      <c r="K547" s="66"/>
      <c r="L547" s="66"/>
      <c r="M547" s="66"/>
      <c r="N547" s="66"/>
    </row>
    <row r="548" spans="1:14" x14ac:dyDescent="0.2">
      <c r="A548" s="84"/>
      <c r="B548" s="84"/>
      <c r="C548" s="60"/>
      <c r="D548" s="66"/>
      <c r="E548" s="66"/>
      <c r="F548" s="66"/>
      <c r="G548" s="66"/>
      <c r="H548" s="66"/>
      <c r="I548" s="66"/>
      <c r="J548" s="66"/>
      <c r="K548" s="66"/>
      <c r="L548" s="66"/>
      <c r="M548" s="66"/>
      <c r="N548" s="66"/>
    </row>
    <row r="549" spans="1:14" x14ac:dyDescent="0.2">
      <c r="A549" s="84"/>
      <c r="B549" s="84"/>
      <c r="C549" s="60"/>
      <c r="D549" s="66"/>
      <c r="E549" s="66"/>
      <c r="F549" s="66"/>
      <c r="G549" s="66"/>
      <c r="H549" s="66"/>
      <c r="I549" s="66"/>
      <c r="J549" s="66"/>
      <c r="K549" s="66"/>
      <c r="L549" s="66"/>
      <c r="M549" s="66"/>
      <c r="N549" s="66"/>
    </row>
    <row r="550" spans="1:14" x14ac:dyDescent="0.2">
      <c r="A550" s="84"/>
      <c r="B550" s="84"/>
      <c r="C550" s="60"/>
      <c r="D550" s="66"/>
      <c r="E550" s="66"/>
      <c r="F550" s="66"/>
      <c r="G550" s="66"/>
      <c r="H550" s="66"/>
      <c r="I550" s="66"/>
      <c r="J550" s="66"/>
      <c r="K550" s="66"/>
      <c r="L550" s="66"/>
      <c r="M550" s="66"/>
      <c r="N550" s="66"/>
    </row>
    <row r="551" spans="1:14" x14ac:dyDescent="0.2">
      <c r="A551" s="84"/>
      <c r="B551" s="84"/>
      <c r="C551" s="60"/>
      <c r="D551" s="66"/>
      <c r="E551" s="66"/>
      <c r="F551" s="66"/>
      <c r="G551" s="66"/>
      <c r="H551" s="66"/>
      <c r="I551" s="66"/>
      <c r="J551" s="66"/>
      <c r="K551" s="66"/>
      <c r="L551" s="66"/>
      <c r="M551" s="66"/>
      <c r="N551" s="66"/>
    </row>
    <row r="552" spans="1:14" x14ac:dyDescent="0.2">
      <c r="A552" s="84"/>
      <c r="B552" s="84"/>
      <c r="C552" s="60"/>
      <c r="D552" s="66"/>
      <c r="E552" s="66"/>
      <c r="F552" s="66"/>
      <c r="G552" s="66"/>
      <c r="H552" s="66"/>
      <c r="I552" s="66"/>
      <c r="J552" s="66"/>
      <c r="K552" s="66"/>
      <c r="L552" s="66"/>
      <c r="M552" s="66"/>
      <c r="N552" s="66"/>
    </row>
    <row r="553" spans="1:14" x14ac:dyDescent="0.2">
      <c r="A553" s="84"/>
      <c r="B553" s="84"/>
      <c r="C553" s="60"/>
      <c r="D553" s="66"/>
      <c r="E553" s="66"/>
      <c r="F553" s="66"/>
      <c r="G553" s="66"/>
      <c r="H553" s="66"/>
      <c r="I553" s="66"/>
      <c r="J553" s="66"/>
      <c r="K553" s="66"/>
      <c r="L553" s="66"/>
      <c r="M553" s="66"/>
      <c r="N553" s="66"/>
    </row>
    <row r="554" spans="1:14" x14ac:dyDescent="0.2">
      <c r="A554" s="84"/>
      <c r="B554" s="84"/>
      <c r="C554" s="60"/>
      <c r="D554" s="66"/>
      <c r="E554" s="66"/>
      <c r="F554" s="66"/>
      <c r="G554" s="66"/>
      <c r="H554" s="66"/>
      <c r="I554" s="66"/>
      <c r="J554" s="66"/>
      <c r="K554" s="66"/>
      <c r="L554" s="66"/>
      <c r="M554" s="66"/>
      <c r="N554" s="66"/>
    </row>
    <row r="555" spans="1:14" x14ac:dyDescent="0.2">
      <c r="A555" s="84"/>
      <c r="B555" s="84"/>
      <c r="C555" s="60"/>
      <c r="D555" s="66"/>
      <c r="E555" s="66"/>
      <c r="F555" s="66"/>
      <c r="G555" s="66"/>
      <c r="H555" s="66"/>
      <c r="I555" s="66"/>
      <c r="J555" s="66"/>
      <c r="K555" s="66"/>
      <c r="L555" s="66"/>
      <c r="M555" s="66"/>
      <c r="N555" s="66"/>
    </row>
    <row r="556" spans="1:14" x14ac:dyDescent="0.2">
      <c r="A556" s="84"/>
      <c r="B556" s="84"/>
      <c r="C556" s="60"/>
      <c r="D556" s="66"/>
      <c r="E556" s="66"/>
      <c r="F556" s="66"/>
      <c r="G556" s="66"/>
      <c r="H556" s="66"/>
      <c r="I556" s="66"/>
      <c r="J556" s="66"/>
      <c r="K556" s="66"/>
      <c r="L556" s="66"/>
      <c r="M556" s="66"/>
      <c r="N556" s="66"/>
    </row>
    <row r="557" spans="1:14" x14ac:dyDescent="0.2">
      <c r="A557" s="84"/>
      <c r="B557" s="84"/>
      <c r="C557" s="60"/>
      <c r="D557" s="66"/>
      <c r="E557" s="66"/>
      <c r="F557" s="66"/>
      <c r="G557" s="66"/>
      <c r="H557" s="66"/>
      <c r="I557" s="66"/>
      <c r="J557" s="66"/>
      <c r="K557" s="66"/>
      <c r="L557" s="66"/>
      <c r="M557" s="66"/>
      <c r="N557" s="66"/>
    </row>
    <row r="558" spans="1:14" x14ac:dyDescent="0.2">
      <c r="A558" s="84"/>
      <c r="B558" s="84"/>
      <c r="C558" s="60"/>
      <c r="D558" s="66"/>
      <c r="E558" s="66"/>
      <c r="F558" s="66"/>
      <c r="G558" s="66"/>
      <c r="H558" s="66"/>
      <c r="I558" s="66"/>
      <c r="J558" s="66"/>
      <c r="K558" s="66"/>
      <c r="L558" s="66"/>
      <c r="M558" s="66"/>
      <c r="N558" s="66"/>
    </row>
    <row r="559" spans="1:14" x14ac:dyDescent="0.2">
      <c r="A559" s="84"/>
      <c r="B559" s="84"/>
      <c r="C559" s="60"/>
      <c r="D559" s="66"/>
      <c r="E559" s="66"/>
      <c r="F559" s="66"/>
      <c r="G559" s="66"/>
      <c r="H559" s="66"/>
      <c r="I559" s="66"/>
      <c r="J559" s="66"/>
      <c r="K559" s="66"/>
      <c r="L559" s="66"/>
      <c r="M559" s="66"/>
      <c r="N559" s="66"/>
    </row>
    <row r="560" spans="1:14" x14ac:dyDescent="0.2">
      <c r="A560" s="84"/>
      <c r="B560" s="84"/>
      <c r="C560" s="60"/>
      <c r="D560" s="66"/>
      <c r="E560" s="66"/>
      <c r="F560" s="66"/>
      <c r="G560" s="66"/>
      <c r="H560" s="66"/>
      <c r="I560" s="66"/>
      <c r="J560" s="66"/>
      <c r="K560" s="66"/>
      <c r="L560" s="66"/>
      <c r="M560" s="66"/>
      <c r="N560" s="66"/>
    </row>
    <row r="561" spans="1:14" x14ac:dyDescent="0.2">
      <c r="A561" s="84"/>
      <c r="B561" s="84"/>
      <c r="C561" s="60"/>
      <c r="D561" s="66"/>
      <c r="E561" s="66"/>
      <c r="F561" s="66"/>
      <c r="G561" s="66"/>
      <c r="H561" s="66"/>
      <c r="I561" s="66"/>
      <c r="J561" s="66"/>
      <c r="K561" s="66"/>
      <c r="L561" s="66"/>
      <c r="M561" s="66"/>
      <c r="N561" s="66"/>
    </row>
    <row r="562" spans="1:14" x14ac:dyDescent="0.2">
      <c r="A562" s="84"/>
      <c r="B562" s="84"/>
      <c r="C562" s="60"/>
      <c r="D562" s="66"/>
      <c r="E562" s="66"/>
      <c r="F562" s="66"/>
      <c r="G562" s="66"/>
      <c r="H562" s="66"/>
      <c r="I562" s="66"/>
      <c r="J562" s="66"/>
      <c r="K562" s="66"/>
      <c r="L562" s="66"/>
      <c r="M562" s="66"/>
      <c r="N562" s="66"/>
    </row>
    <row r="563" spans="1:14" x14ac:dyDescent="0.2">
      <c r="A563" s="84"/>
      <c r="B563" s="84"/>
      <c r="C563" s="60"/>
      <c r="D563" s="66"/>
      <c r="E563" s="66"/>
      <c r="F563" s="66"/>
      <c r="G563" s="66"/>
      <c r="H563" s="66"/>
      <c r="I563" s="66"/>
      <c r="J563" s="66"/>
      <c r="K563" s="66"/>
      <c r="L563" s="66"/>
      <c r="M563" s="66"/>
      <c r="N563" s="66"/>
    </row>
    <row r="564" spans="1:14" x14ac:dyDescent="0.2">
      <c r="A564" s="84"/>
      <c r="B564" s="84"/>
      <c r="C564" s="60"/>
      <c r="D564" s="66"/>
      <c r="E564" s="66"/>
      <c r="F564" s="66"/>
      <c r="G564" s="66"/>
      <c r="H564" s="66"/>
      <c r="I564" s="66"/>
      <c r="J564" s="66"/>
      <c r="K564" s="66"/>
      <c r="L564" s="66"/>
      <c r="M564" s="66"/>
      <c r="N564" s="66"/>
    </row>
    <row r="565" spans="1:14" x14ac:dyDescent="0.2">
      <c r="A565" s="84"/>
      <c r="B565" s="84"/>
      <c r="C565" s="60"/>
      <c r="D565" s="66"/>
      <c r="E565" s="66"/>
      <c r="F565" s="66"/>
      <c r="G565" s="66"/>
      <c r="H565" s="66"/>
      <c r="I565" s="66"/>
      <c r="J565" s="66"/>
      <c r="K565" s="66"/>
      <c r="L565" s="66"/>
      <c r="M565" s="66"/>
      <c r="N565" s="66"/>
    </row>
    <row r="566" spans="1:14" x14ac:dyDescent="0.2">
      <c r="A566" s="84"/>
      <c r="B566" s="84"/>
      <c r="C566" s="60"/>
      <c r="D566" s="66"/>
      <c r="E566" s="66"/>
      <c r="F566" s="66"/>
      <c r="G566" s="66"/>
      <c r="H566" s="66"/>
      <c r="I566" s="66"/>
      <c r="J566" s="66"/>
      <c r="K566" s="66"/>
      <c r="L566" s="66"/>
      <c r="M566" s="66"/>
      <c r="N566" s="66"/>
    </row>
    <row r="567" spans="1:14" x14ac:dyDescent="0.2">
      <c r="A567" s="84"/>
      <c r="B567" s="84"/>
      <c r="C567" s="60"/>
      <c r="D567" s="66"/>
      <c r="E567" s="66"/>
      <c r="F567" s="66"/>
      <c r="G567" s="66"/>
      <c r="H567" s="66"/>
      <c r="I567" s="66"/>
      <c r="J567" s="66"/>
      <c r="K567" s="66"/>
      <c r="L567" s="66"/>
      <c r="M567" s="66"/>
      <c r="N567" s="66"/>
    </row>
    <row r="568" spans="1:14" x14ac:dyDescent="0.2">
      <c r="A568" s="84"/>
      <c r="B568" s="84"/>
      <c r="C568" s="60"/>
      <c r="D568" s="66"/>
      <c r="E568" s="66"/>
      <c r="F568" s="66"/>
      <c r="G568" s="66"/>
      <c r="H568" s="66"/>
      <c r="I568" s="66"/>
      <c r="J568" s="66"/>
      <c r="K568" s="66"/>
      <c r="L568" s="66"/>
      <c r="M568" s="66"/>
      <c r="N568" s="66"/>
    </row>
    <row r="569" spans="1:14" x14ac:dyDescent="0.2">
      <c r="A569" s="84"/>
      <c r="B569" s="84"/>
      <c r="C569" s="60"/>
      <c r="D569" s="66"/>
      <c r="E569" s="66"/>
      <c r="F569" s="66"/>
      <c r="G569" s="66"/>
      <c r="H569" s="66"/>
      <c r="I569" s="66"/>
      <c r="J569" s="66"/>
      <c r="K569" s="66"/>
      <c r="L569" s="66"/>
      <c r="M569" s="66"/>
      <c r="N569" s="66"/>
    </row>
    <row r="570" spans="1:14" x14ac:dyDescent="0.2">
      <c r="A570" s="84"/>
      <c r="B570" s="84"/>
      <c r="C570" s="60"/>
      <c r="D570" s="66"/>
      <c r="E570" s="66"/>
      <c r="F570" s="66"/>
      <c r="G570" s="66"/>
      <c r="H570" s="66"/>
      <c r="I570" s="66"/>
      <c r="J570" s="66"/>
      <c r="K570" s="66"/>
      <c r="L570" s="66"/>
      <c r="M570" s="66"/>
      <c r="N570" s="66"/>
    </row>
    <row r="571" spans="1:14" x14ac:dyDescent="0.2">
      <c r="A571" s="84"/>
      <c r="B571" s="84"/>
      <c r="C571" s="60"/>
      <c r="D571" s="66"/>
      <c r="E571" s="66"/>
      <c r="F571" s="66"/>
      <c r="G571" s="66"/>
      <c r="H571" s="66"/>
      <c r="I571" s="66"/>
      <c r="J571" s="66"/>
      <c r="K571" s="66"/>
      <c r="L571" s="66"/>
      <c r="M571" s="66"/>
      <c r="N571" s="66"/>
    </row>
    <row r="572" spans="1:14" x14ac:dyDescent="0.2">
      <c r="A572" s="84"/>
      <c r="B572" s="84"/>
      <c r="C572" s="60"/>
      <c r="D572" s="66"/>
      <c r="E572" s="66"/>
      <c r="F572" s="66"/>
      <c r="G572" s="66"/>
      <c r="H572" s="66"/>
      <c r="I572" s="66"/>
      <c r="J572" s="66"/>
      <c r="K572" s="66"/>
      <c r="L572" s="66"/>
      <c r="M572" s="66"/>
      <c r="N572" s="66"/>
    </row>
    <row r="573" spans="1:14" x14ac:dyDescent="0.2">
      <c r="A573" s="84"/>
      <c r="B573" s="84"/>
      <c r="C573" s="60"/>
      <c r="D573" s="66"/>
      <c r="E573" s="66"/>
      <c r="F573" s="66"/>
      <c r="G573" s="66"/>
      <c r="H573" s="66"/>
      <c r="I573" s="66"/>
      <c r="J573" s="66"/>
      <c r="K573" s="66"/>
      <c r="L573" s="66"/>
      <c r="M573" s="66"/>
      <c r="N573" s="66"/>
    </row>
    <row r="574" spans="1:14" x14ac:dyDescent="0.2">
      <c r="A574" s="84"/>
      <c r="B574" s="84"/>
      <c r="C574" s="60"/>
      <c r="D574" s="66"/>
      <c r="E574" s="66"/>
      <c r="F574" s="66"/>
      <c r="G574" s="66"/>
      <c r="H574" s="66"/>
      <c r="I574" s="66"/>
      <c r="J574" s="66"/>
      <c r="K574" s="66"/>
      <c r="L574" s="66"/>
      <c r="M574" s="66"/>
      <c r="N574" s="66"/>
    </row>
    <row r="575" spans="1:14" x14ac:dyDescent="0.2">
      <c r="A575" s="84"/>
      <c r="B575" s="84"/>
      <c r="C575" s="60"/>
      <c r="D575" s="66"/>
      <c r="E575" s="66"/>
      <c r="F575" s="66"/>
      <c r="G575" s="66"/>
      <c r="H575" s="66"/>
      <c r="I575" s="66"/>
      <c r="J575" s="66"/>
      <c r="K575" s="66"/>
      <c r="L575" s="66"/>
      <c r="M575" s="66"/>
      <c r="N575" s="66"/>
    </row>
    <row r="576" spans="1:14" x14ac:dyDescent="0.2">
      <c r="A576" s="84"/>
      <c r="B576" s="84"/>
      <c r="C576" s="60"/>
      <c r="D576" s="66"/>
      <c r="E576" s="66"/>
      <c r="F576" s="66"/>
      <c r="G576" s="66"/>
      <c r="H576" s="66"/>
      <c r="I576" s="66"/>
      <c r="J576" s="66"/>
      <c r="K576" s="66"/>
      <c r="L576" s="66"/>
      <c r="M576" s="66"/>
      <c r="N576" s="66"/>
    </row>
    <row r="577" spans="1:14" x14ac:dyDescent="0.2">
      <c r="A577" s="84"/>
      <c r="B577" s="84"/>
      <c r="C577" s="60"/>
      <c r="D577" s="66"/>
      <c r="E577" s="66"/>
      <c r="F577" s="66"/>
      <c r="G577" s="66"/>
      <c r="H577" s="66"/>
      <c r="I577" s="66"/>
      <c r="J577" s="66"/>
      <c r="K577" s="66"/>
      <c r="L577" s="66"/>
      <c r="M577" s="66"/>
      <c r="N577" s="66"/>
    </row>
    <row r="578" spans="1:14" x14ac:dyDescent="0.2">
      <c r="A578" s="84"/>
      <c r="B578" s="84"/>
      <c r="C578" s="60"/>
      <c r="D578" s="66"/>
      <c r="E578" s="66"/>
      <c r="F578" s="66"/>
      <c r="G578" s="66"/>
      <c r="H578" s="66"/>
      <c r="I578" s="66"/>
      <c r="J578" s="66"/>
      <c r="K578" s="66"/>
      <c r="L578" s="66"/>
      <c r="M578" s="66"/>
      <c r="N578" s="66"/>
    </row>
    <row r="579" spans="1:14" x14ac:dyDescent="0.2">
      <c r="A579" s="84"/>
      <c r="B579" s="84"/>
      <c r="C579" s="60"/>
      <c r="D579" s="66"/>
      <c r="E579" s="66"/>
      <c r="F579" s="66"/>
      <c r="G579" s="66"/>
      <c r="H579" s="66"/>
      <c r="I579" s="66"/>
      <c r="J579" s="66"/>
      <c r="K579" s="66"/>
      <c r="L579" s="66"/>
      <c r="M579" s="66"/>
      <c r="N579" s="66"/>
    </row>
    <row r="580" spans="1:14" x14ac:dyDescent="0.2">
      <c r="A580" s="84"/>
      <c r="B580" s="84"/>
      <c r="C580" s="60"/>
      <c r="D580" s="66"/>
      <c r="E580" s="66"/>
      <c r="F580" s="66"/>
      <c r="G580" s="66"/>
      <c r="H580" s="66"/>
      <c r="I580" s="66"/>
      <c r="J580" s="66"/>
      <c r="K580" s="66"/>
      <c r="L580" s="66"/>
      <c r="M580" s="66"/>
      <c r="N580" s="66"/>
    </row>
    <row r="581" spans="1:14" x14ac:dyDescent="0.2">
      <c r="A581" s="84"/>
      <c r="B581" s="84"/>
      <c r="C581" s="60"/>
      <c r="D581" s="66"/>
      <c r="E581" s="66"/>
      <c r="F581" s="66"/>
      <c r="G581" s="66"/>
      <c r="H581" s="66"/>
      <c r="I581" s="66"/>
      <c r="J581" s="66"/>
      <c r="K581" s="66"/>
      <c r="L581" s="66"/>
      <c r="M581" s="66"/>
      <c r="N581" s="66"/>
    </row>
    <row r="582" spans="1:14" x14ac:dyDescent="0.2">
      <c r="A582" s="84"/>
      <c r="B582" s="84"/>
      <c r="C582" s="60"/>
      <c r="D582" s="66"/>
      <c r="E582" s="66"/>
      <c r="F582" s="66"/>
      <c r="G582" s="66"/>
      <c r="H582" s="66"/>
      <c r="I582" s="66"/>
      <c r="J582" s="66"/>
      <c r="K582" s="66"/>
      <c r="L582" s="66"/>
      <c r="M582" s="66"/>
      <c r="N582" s="66"/>
    </row>
    <row r="583" spans="1:14" x14ac:dyDescent="0.2">
      <c r="A583" s="84"/>
      <c r="B583" s="84"/>
      <c r="C583" s="60"/>
      <c r="D583" s="66"/>
      <c r="E583" s="66"/>
      <c r="F583" s="66"/>
      <c r="G583" s="66"/>
      <c r="H583" s="66"/>
      <c r="I583" s="66"/>
      <c r="J583" s="66"/>
      <c r="K583" s="66"/>
      <c r="L583" s="66"/>
      <c r="M583" s="66"/>
      <c r="N583" s="66"/>
    </row>
    <row r="584" spans="1:14" x14ac:dyDescent="0.2">
      <c r="A584" s="84"/>
      <c r="B584" s="84"/>
      <c r="C584" s="60"/>
      <c r="D584" s="66"/>
      <c r="E584" s="66"/>
      <c r="F584" s="66"/>
      <c r="G584" s="66"/>
      <c r="H584" s="66"/>
      <c r="I584" s="66"/>
      <c r="J584" s="66"/>
      <c r="K584" s="66"/>
      <c r="L584" s="66"/>
      <c r="M584" s="66"/>
      <c r="N584" s="66"/>
    </row>
    <row r="585" spans="1:14" x14ac:dyDescent="0.2">
      <c r="A585" s="84"/>
      <c r="B585" s="84"/>
      <c r="C585" s="60"/>
      <c r="D585" s="66"/>
      <c r="E585" s="66"/>
      <c r="F585" s="66"/>
      <c r="G585" s="66"/>
      <c r="H585" s="66"/>
      <c r="I585" s="66"/>
      <c r="J585" s="66"/>
      <c r="K585" s="66"/>
      <c r="L585" s="66"/>
      <c r="M585" s="66"/>
      <c r="N585" s="66"/>
    </row>
    <row r="586" spans="1:14" x14ac:dyDescent="0.2">
      <c r="A586" s="84"/>
      <c r="B586" s="84"/>
      <c r="C586" s="60"/>
      <c r="D586" s="66"/>
      <c r="E586" s="66"/>
      <c r="F586" s="66"/>
      <c r="G586" s="66"/>
      <c r="H586" s="66"/>
      <c r="I586" s="66"/>
      <c r="J586" s="66"/>
      <c r="K586" s="66"/>
      <c r="L586" s="66"/>
      <c r="M586" s="66"/>
      <c r="N586" s="66"/>
    </row>
    <row r="587" spans="1:14" x14ac:dyDescent="0.2">
      <c r="A587" s="84"/>
      <c r="B587" s="84"/>
      <c r="C587" s="60"/>
      <c r="D587" s="66"/>
      <c r="E587" s="66"/>
      <c r="F587" s="66"/>
      <c r="G587" s="66"/>
      <c r="H587" s="66"/>
      <c r="I587" s="66"/>
      <c r="J587" s="66"/>
      <c r="K587" s="66"/>
      <c r="L587" s="66"/>
      <c r="M587" s="66"/>
      <c r="N587" s="66"/>
    </row>
    <row r="588" spans="1:14" x14ac:dyDescent="0.2">
      <c r="A588" s="84"/>
      <c r="B588" s="84"/>
      <c r="C588" s="60"/>
      <c r="D588" s="66"/>
      <c r="E588" s="66"/>
      <c r="F588" s="66"/>
      <c r="G588" s="66"/>
      <c r="H588" s="66"/>
      <c r="I588" s="66"/>
      <c r="J588" s="66"/>
      <c r="K588" s="66"/>
      <c r="L588" s="66"/>
      <c r="M588" s="66"/>
      <c r="N588" s="66"/>
    </row>
    <row r="589" spans="1:14" x14ac:dyDescent="0.2">
      <c r="A589" s="84"/>
      <c r="B589" s="84"/>
      <c r="C589" s="60"/>
      <c r="D589" s="66"/>
      <c r="E589" s="66"/>
      <c r="F589" s="66"/>
      <c r="G589" s="66"/>
      <c r="H589" s="66"/>
      <c r="I589" s="66"/>
      <c r="J589" s="66"/>
      <c r="K589" s="66"/>
      <c r="L589" s="66"/>
      <c r="M589" s="66"/>
      <c r="N589" s="66"/>
    </row>
    <row r="590" spans="1:14" x14ac:dyDescent="0.2">
      <c r="A590" s="84"/>
      <c r="B590" s="84"/>
      <c r="C590" s="60"/>
      <c r="D590" s="66"/>
      <c r="E590" s="66"/>
      <c r="F590" s="66"/>
      <c r="G590" s="66"/>
      <c r="H590" s="66"/>
      <c r="I590" s="66"/>
      <c r="J590" s="66"/>
      <c r="K590" s="66"/>
      <c r="L590" s="66"/>
      <c r="M590" s="66"/>
      <c r="N590" s="66"/>
    </row>
    <row r="591" spans="1:14" x14ac:dyDescent="0.2">
      <c r="A591" s="84"/>
      <c r="B591" s="84"/>
      <c r="C591" s="60"/>
      <c r="D591" s="66"/>
      <c r="E591" s="66"/>
      <c r="F591" s="66"/>
      <c r="G591" s="66"/>
      <c r="H591" s="66"/>
      <c r="I591" s="66"/>
      <c r="J591" s="66"/>
      <c r="K591" s="66"/>
      <c r="L591" s="66"/>
      <c r="M591" s="66"/>
      <c r="N591" s="66"/>
    </row>
    <row r="592" spans="1:14" x14ac:dyDescent="0.2">
      <c r="A592" s="84"/>
      <c r="B592" s="84"/>
      <c r="C592" s="60"/>
      <c r="D592" s="66"/>
      <c r="E592" s="66"/>
      <c r="F592" s="66"/>
      <c r="G592" s="66"/>
      <c r="H592" s="66"/>
      <c r="I592" s="66"/>
      <c r="J592" s="66"/>
      <c r="K592" s="66"/>
      <c r="L592" s="66"/>
      <c r="M592" s="66"/>
      <c r="N592" s="66"/>
    </row>
    <row r="593" spans="1:14" x14ac:dyDescent="0.2">
      <c r="A593" s="84"/>
      <c r="B593" s="84"/>
      <c r="C593" s="60"/>
      <c r="D593" s="66"/>
      <c r="E593" s="66"/>
      <c r="F593" s="66"/>
      <c r="G593" s="66"/>
      <c r="H593" s="66"/>
      <c r="I593" s="66"/>
      <c r="J593" s="66"/>
      <c r="K593" s="66"/>
      <c r="L593" s="66"/>
      <c r="M593" s="66"/>
      <c r="N593" s="66"/>
    </row>
    <row r="594" spans="1:14" x14ac:dyDescent="0.2">
      <c r="A594" s="84"/>
      <c r="B594" s="84"/>
      <c r="C594" s="60"/>
      <c r="D594" s="66"/>
      <c r="E594" s="66"/>
      <c r="F594" s="66"/>
      <c r="G594" s="66"/>
      <c r="H594" s="66"/>
      <c r="I594" s="66"/>
      <c r="J594" s="66"/>
      <c r="K594" s="66"/>
      <c r="L594" s="66"/>
      <c r="M594" s="66"/>
      <c r="N594" s="66"/>
    </row>
    <row r="595" spans="1:14" x14ac:dyDescent="0.2">
      <c r="A595" s="84"/>
      <c r="B595" s="84"/>
      <c r="C595" s="60"/>
      <c r="D595" s="66"/>
      <c r="E595" s="66"/>
      <c r="F595" s="66"/>
      <c r="G595" s="66"/>
      <c r="H595" s="66"/>
      <c r="I595" s="66"/>
      <c r="J595" s="66"/>
      <c r="K595" s="66"/>
      <c r="L595" s="66"/>
      <c r="M595" s="66"/>
      <c r="N595" s="66"/>
    </row>
    <row r="596" spans="1:14" x14ac:dyDescent="0.2">
      <c r="A596" s="84"/>
      <c r="B596" s="84"/>
      <c r="C596" s="60"/>
      <c r="D596" s="66"/>
      <c r="E596" s="66"/>
      <c r="F596" s="66"/>
      <c r="G596" s="66"/>
      <c r="H596" s="66"/>
      <c r="I596" s="66"/>
      <c r="J596" s="66"/>
      <c r="K596" s="66"/>
      <c r="L596" s="66"/>
      <c r="M596" s="66"/>
      <c r="N596" s="66"/>
    </row>
    <row r="597" spans="1:14" x14ac:dyDescent="0.2">
      <c r="A597" s="84"/>
      <c r="B597" s="84"/>
      <c r="C597" s="60"/>
      <c r="D597" s="66"/>
      <c r="E597" s="66"/>
      <c r="F597" s="66"/>
      <c r="G597" s="66"/>
      <c r="H597" s="66"/>
      <c r="I597" s="66"/>
      <c r="J597" s="66"/>
      <c r="K597" s="66"/>
      <c r="L597" s="66"/>
      <c r="M597" s="66"/>
      <c r="N597" s="66"/>
    </row>
    <row r="598" spans="1:14" x14ac:dyDescent="0.2">
      <c r="A598" s="84"/>
      <c r="B598" s="84"/>
      <c r="C598" s="60"/>
      <c r="D598" s="66"/>
      <c r="E598" s="66"/>
      <c r="F598" s="66"/>
      <c r="G598" s="66"/>
      <c r="H598" s="66"/>
      <c r="I598" s="66"/>
      <c r="J598" s="66"/>
      <c r="K598" s="66"/>
      <c r="L598" s="66"/>
      <c r="M598" s="66"/>
      <c r="N598" s="66"/>
    </row>
    <row r="599" spans="1:14" x14ac:dyDescent="0.2">
      <c r="A599" s="84"/>
      <c r="B599" s="84"/>
      <c r="C599" s="60"/>
      <c r="D599" s="66"/>
      <c r="E599" s="66"/>
      <c r="F599" s="66"/>
      <c r="G599" s="66"/>
      <c r="H599" s="66"/>
      <c r="I599" s="66"/>
      <c r="J599" s="66"/>
      <c r="K599" s="66"/>
      <c r="L599" s="66"/>
      <c r="M599" s="66"/>
      <c r="N599" s="66"/>
    </row>
    <row r="600" spans="1:14" x14ac:dyDescent="0.2">
      <c r="A600" s="84"/>
      <c r="B600" s="84"/>
      <c r="C600" s="60"/>
      <c r="D600" s="66"/>
      <c r="E600" s="66"/>
      <c r="F600" s="66"/>
      <c r="G600" s="66"/>
      <c r="H600" s="66"/>
      <c r="I600" s="66"/>
      <c r="J600" s="66"/>
      <c r="K600" s="66"/>
      <c r="L600" s="66"/>
      <c r="M600" s="66"/>
      <c r="N600" s="66"/>
    </row>
    <row r="601" spans="1:14" x14ac:dyDescent="0.2">
      <c r="A601" s="84"/>
      <c r="B601" s="84"/>
      <c r="C601" s="60"/>
      <c r="D601" s="66"/>
      <c r="E601" s="66"/>
      <c r="F601" s="66"/>
      <c r="G601" s="66"/>
      <c r="H601" s="66"/>
      <c r="I601" s="66"/>
      <c r="J601" s="66"/>
      <c r="K601" s="66"/>
      <c r="L601" s="66"/>
      <c r="M601" s="66"/>
      <c r="N601" s="66"/>
    </row>
    <row r="602" spans="1:14" x14ac:dyDescent="0.2">
      <c r="A602" s="84"/>
      <c r="B602" s="84"/>
      <c r="C602" s="60"/>
      <c r="D602" s="66"/>
      <c r="E602" s="66"/>
      <c r="F602" s="66"/>
      <c r="G602" s="66"/>
      <c r="H602" s="66"/>
      <c r="I602" s="66"/>
      <c r="J602" s="66"/>
      <c r="K602" s="66"/>
      <c r="L602" s="66"/>
      <c r="M602" s="66"/>
      <c r="N602" s="66"/>
    </row>
    <row r="603" spans="1:14" x14ac:dyDescent="0.2">
      <c r="A603" s="84"/>
      <c r="B603" s="84"/>
      <c r="C603" s="60"/>
      <c r="D603" s="66"/>
      <c r="E603" s="66"/>
      <c r="F603" s="66"/>
      <c r="G603" s="66"/>
      <c r="H603" s="66"/>
      <c r="I603" s="66"/>
      <c r="J603" s="66"/>
      <c r="K603" s="66"/>
      <c r="L603" s="66"/>
      <c r="M603" s="66"/>
      <c r="N603" s="66"/>
    </row>
    <row r="604" spans="1:14" x14ac:dyDescent="0.2">
      <c r="A604" s="84"/>
      <c r="B604" s="84"/>
      <c r="C604" s="60"/>
      <c r="D604" s="66"/>
      <c r="E604" s="66"/>
      <c r="F604" s="66"/>
      <c r="G604" s="66"/>
      <c r="H604" s="66"/>
      <c r="I604" s="66"/>
      <c r="J604" s="66"/>
      <c r="K604" s="66"/>
      <c r="L604" s="66"/>
      <c r="M604" s="66"/>
      <c r="N604" s="66"/>
    </row>
    <row r="605" spans="1:14" x14ac:dyDescent="0.2">
      <c r="A605" s="84"/>
      <c r="B605" s="84"/>
      <c r="C605" s="60"/>
      <c r="D605" s="66"/>
      <c r="E605" s="66"/>
      <c r="F605" s="66"/>
      <c r="G605" s="66"/>
      <c r="H605" s="66"/>
      <c r="I605" s="66"/>
      <c r="J605" s="66"/>
      <c r="K605" s="66"/>
      <c r="L605" s="66"/>
      <c r="M605" s="66"/>
      <c r="N605" s="66"/>
    </row>
    <row r="606" spans="1:14" x14ac:dyDescent="0.2">
      <c r="A606" s="84"/>
      <c r="B606" s="84"/>
      <c r="C606" s="60"/>
      <c r="D606" s="66"/>
      <c r="E606" s="66"/>
      <c r="F606" s="66"/>
      <c r="G606" s="66"/>
      <c r="H606" s="66"/>
      <c r="I606" s="66"/>
      <c r="J606" s="66"/>
      <c r="K606" s="66"/>
      <c r="L606" s="66"/>
      <c r="M606" s="66"/>
      <c r="N606" s="66"/>
    </row>
    <row r="607" spans="1:14" x14ac:dyDescent="0.2">
      <c r="A607" s="84"/>
      <c r="B607" s="84"/>
      <c r="C607" s="60"/>
      <c r="D607" s="66"/>
      <c r="E607" s="66"/>
      <c r="F607" s="66"/>
      <c r="G607" s="66"/>
      <c r="H607" s="66"/>
      <c r="I607" s="66"/>
      <c r="J607" s="66"/>
      <c r="K607" s="66"/>
      <c r="L607" s="66"/>
      <c r="M607" s="66"/>
      <c r="N607" s="66"/>
    </row>
    <row r="608" spans="1:14" x14ac:dyDescent="0.2">
      <c r="A608" s="84"/>
      <c r="B608" s="84"/>
      <c r="C608" s="60"/>
      <c r="D608" s="66"/>
      <c r="E608" s="66"/>
      <c r="F608" s="66"/>
      <c r="G608" s="66"/>
      <c r="H608" s="66"/>
      <c r="I608" s="66"/>
      <c r="J608" s="66"/>
      <c r="K608" s="66"/>
      <c r="L608" s="66"/>
      <c r="M608" s="66"/>
      <c r="N608" s="66"/>
    </row>
    <row r="609" spans="1:14" x14ac:dyDescent="0.2">
      <c r="A609" s="84"/>
      <c r="B609" s="84"/>
      <c r="C609" s="60"/>
      <c r="D609" s="66"/>
      <c r="E609" s="66"/>
      <c r="F609" s="66"/>
      <c r="G609" s="66"/>
      <c r="H609" s="66"/>
      <c r="I609" s="66"/>
      <c r="J609" s="66"/>
      <c r="K609" s="66"/>
      <c r="L609" s="66"/>
      <c r="M609" s="66"/>
      <c r="N609" s="66"/>
    </row>
    <row r="610" spans="1:14" x14ac:dyDescent="0.2">
      <c r="A610" s="84"/>
      <c r="B610" s="84"/>
      <c r="C610" s="60"/>
      <c r="D610" s="66"/>
      <c r="E610" s="66"/>
      <c r="F610" s="66"/>
      <c r="G610" s="66"/>
      <c r="H610" s="66"/>
      <c r="I610" s="66"/>
      <c r="J610" s="66"/>
      <c r="K610" s="66"/>
      <c r="L610" s="66"/>
      <c r="M610" s="66"/>
      <c r="N610" s="66"/>
    </row>
    <row r="611" spans="1:14" x14ac:dyDescent="0.2">
      <c r="A611" s="84"/>
      <c r="B611" s="84"/>
      <c r="C611" s="60"/>
      <c r="D611" s="66"/>
      <c r="E611" s="66"/>
      <c r="F611" s="66"/>
      <c r="G611" s="66"/>
      <c r="H611" s="66"/>
      <c r="I611" s="66"/>
      <c r="J611" s="66"/>
      <c r="K611" s="66"/>
      <c r="L611" s="66"/>
      <c r="M611" s="66"/>
      <c r="N611" s="66"/>
    </row>
    <row r="612" spans="1:14" x14ac:dyDescent="0.2">
      <c r="A612" s="84"/>
      <c r="B612" s="84"/>
      <c r="C612" s="60"/>
      <c r="D612" s="66"/>
      <c r="E612" s="66"/>
      <c r="F612" s="66"/>
      <c r="G612" s="66"/>
      <c r="H612" s="66"/>
      <c r="I612" s="66"/>
      <c r="J612" s="66"/>
      <c r="K612" s="66"/>
      <c r="L612" s="66"/>
      <c r="M612" s="66"/>
      <c r="N612" s="66"/>
    </row>
    <row r="613" spans="1:14" x14ac:dyDescent="0.2">
      <c r="A613" s="84"/>
      <c r="B613" s="84"/>
      <c r="C613" s="60"/>
      <c r="D613" s="66"/>
      <c r="E613" s="66"/>
      <c r="F613" s="66"/>
      <c r="G613" s="66"/>
      <c r="H613" s="66"/>
      <c r="I613" s="66"/>
      <c r="J613" s="66"/>
      <c r="K613" s="66"/>
      <c r="L613" s="66"/>
      <c r="M613" s="66"/>
      <c r="N613" s="66"/>
    </row>
    <row r="614" spans="1:14" x14ac:dyDescent="0.2">
      <c r="A614" s="84"/>
      <c r="B614" s="84"/>
      <c r="C614" s="60"/>
      <c r="D614" s="66"/>
      <c r="E614" s="66"/>
      <c r="F614" s="66"/>
      <c r="G614" s="66"/>
      <c r="H614" s="66"/>
      <c r="I614" s="66"/>
      <c r="J614" s="66"/>
      <c r="K614" s="66"/>
      <c r="L614" s="66"/>
      <c r="M614" s="66"/>
      <c r="N614" s="66"/>
    </row>
    <row r="615" spans="1:14" x14ac:dyDescent="0.2">
      <c r="A615" s="84"/>
      <c r="B615" s="84"/>
      <c r="C615" s="60"/>
      <c r="D615" s="66"/>
      <c r="E615" s="66"/>
      <c r="F615" s="66"/>
      <c r="G615" s="66"/>
      <c r="H615" s="66"/>
      <c r="I615" s="66"/>
      <c r="J615" s="66"/>
      <c r="K615" s="66"/>
      <c r="L615" s="66"/>
      <c r="M615" s="66"/>
      <c r="N615" s="66"/>
    </row>
    <row r="616" spans="1:14" x14ac:dyDescent="0.2">
      <c r="A616" s="84"/>
      <c r="B616" s="84"/>
      <c r="C616" s="60"/>
      <c r="D616" s="66"/>
      <c r="E616" s="66"/>
      <c r="F616" s="66"/>
      <c r="G616" s="66"/>
      <c r="H616" s="66"/>
      <c r="I616" s="66"/>
      <c r="J616" s="66"/>
      <c r="K616" s="66"/>
      <c r="L616" s="66"/>
      <c r="M616" s="66"/>
      <c r="N616" s="66"/>
    </row>
    <row r="617" spans="1:14" x14ac:dyDescent="0.2">
      <c r="A617" s="84"/>
      <c r="B617" s="84"/>
      <c r="C617" s="60"/>
      <c r="D617" s="66"/>
      <c r="E617" s="66"/>
      <c r="F617" s="66"/>
      <c r="G617" s="66"/>
      <c r="H617" s="66"/>
      <c r="I617" s="66"/>
      <c r="J617" s="66"/>
      <c r="K617" s="66"/>
      <c r="L617" s="66"/>
      <c r="M617" s="66"/>
      <c r="N617" s="66"/>
    </row>
    <row r="618" spans="1:14" x14ac:dyDescent="0.2">
      <c r="A618" s="84"/>
      <c r="B618" s="84"/>
      <c r="C618" s="60"/>
      <c r="D618" s="66"/>
      <c r="E618" s="66"/>
      <c r="F618" s="66"/>
      <c r="G618" s="66"/>
      <c r="H618" s="66"/>
      <c r="I618" s="66"/>
      <c r="J618" s="66"/>
      <c r="K618" s="66"/>
      <c r="L618" s="66"/>
      <c r="M618" s="66"/>
      <c r="N618" s="66"/>
    </row>
    <row r="619" spans="1:14" x14ac:dyDescent="0.2">
      <c r="A619" s="84"/>
      <c r="B619" s="84"/>
      <c r="C619" s="60"/>
      <c r="D619" s="66"/>
      <c r="E619" s="66"/>
      <c r="F619" s="66"/>
      <c r="G619" s="66"/>
      <c r="H619" s="66"/>
      <c r="I619" s="66"/>
      <c r="J619" s="66"/>
      <c r="K619" s="66"/>
      <c r="L619" s="66"/>
      <c r="M619" s="66"/>
      <c r="N619" s="66"/>
    </row>
    <row r="620" spans="1:14" x14ac:dyDescent="0.2">
      <c r="A620" s="84"/>
      <c r="B620" s="84"/>
      <c r="C620" s="60"/>
      <c r="D620" s="66"/>
      <c r="E620" s="66"/>
      <c r="F620" s="66"/>
      <c r="G620" s="66"/>
      <c r="H620" s="66"/>
      <c r="I620" s="66"/>
      <c r="J620" s="66"/>
      <c r="K620" s="66"/>
      <c r="L620" s="66"/>
      <c r="M620" s="66"/>
      <c r="N620" s="66"/>
    </row>
    <row r="621" spans="1:14" x14ac:dyDescent="0.2">
      <c r="A621" s="84"/>
      <c r="B621" s="84"/>
      <c r="C621" s="60"/>
      <c r="D621" s="66"/>
      <c r="E621" s="66"/>
      <c r="F621" s="66"/>
      <c r="G621" s="66"/>
      <c r="H621" s="66"/>
      <c r="I621" s="66"/>
      <c r="J621" s="66"/>
      <c r="K621" s="66"/>
      <c r="L621" s="66"/>
      <c r="M621" s="66"/>
      <c r="N621" s="66"/>
    </row>
    <row r="622" spans="1:14" x14ac:dyDescent="0.2">
      <c r="A622" s="84"/>
      <c r="B622" s="84"/>
      <c r="C622" s="60"/>
      <c r="D622" s="66"/>
      <c r="E622" s="66"/>
      <c r="F622" s="66"/>
      <c r="G622" s="66"/>
      <c r="H622" s="66"/>
      <c r="I622" s="66"/>
      <c r="J622" s="66"/>
      <c r="K622" s="66"/>
      <c r="L622" s="66"/>
      <c r="M622" s="66"/>
      <c r="N622" s="66"/>
    </row>
    <row r="623" spans="1:14" x14ac:dyDescent="0.2">
      <c r="A623" s="84"/>
      <c r="B623" s="84"/>
      <c r="C623" s="60"/>
      <c r="D623" s="66"/>
      <c r="E623" s="66"/>
      <c r="F623" s="66"/>
      <c r="G623" s="66"/>
      <c r="H623" s="66"/>
      <c r="I623" s="66"/>
      <c r="J623" s="66"/>
      <c r="K623" s="66"/>
      <c r="L623" s="66"/>
      <c r="M623" s="66"/>
      <c r="N623" s="66"/>
    </row>
    <row r="624" spans="1:14" x14ac:dyDescent="0.2">
      <c r="A624" s="84"/>
      <c r="B624" s="84"/>
      <c r="C624" s="60"/>
      <c r="D624" s="66"/>
      <c r="E624" s="66"/>
      <c r="F624" s="66"/>
      <c r="G624" s="66"/>
      <c r="H624" s="66"/>
      <c r="I624" s="66"/>
      <c r="J624" s="66"/>
      <c r="K624" s="66"/>
      <c r="L624" s="66"/>
      <c r="M624" s="66"/>
      <c r="N624" s="66"/>
    </row>
    <row r="625" spans="1:14" x14ac:dyDescent="0.2">
      <c r="A625" s="84"/>
      <c r="B625" s="84"/>
      <c r="C625" s="60"/>
      <c r="D625" s="66"/>
      <c r="E625" s="66"/>
      <c r="F625" s="66"/>
      <c r="G625" s="66"/>
      <c r="H625" s="66"/>
      <c r="I625" s="66"/>
      <c r="J625" s="66"/>
      <c r="K625" s="66"/>
      <c r="L625" s="66"/>
      <c r="M625" s="66"/>
      <c r="N625" s="66"/>
    </row>
    <row r="626" spans="1:14" x14ac:dyDescent="0.2">
      <c r="A626" s="84"/>
      <c r="B626" s="84"/>
      <c r="C626" s="60"/>
      <c r="D626" s="66"/>
      <c r="E626" s="66"/>
      <c r="F626" s="66"/>
      <c r="G626" s="66"/>
      <c r="H626" s="66"/>
      <c r="I626" s="66"/>
      <c r="J626" s="66"/>
      <c r="K626" s="66"/>
      <c r="L626" s="66"/>
      <c r="M626" s="66"/>
      <c r="N626" s="66"/>
    </row>
    <row r="627" spans="1:14" x14ac:dyDescent="0.2">
      <c r="A627" s="84"/>
      <c r="B627" s="84"/>
      <c r="C627" s="60"/>
      <c r="D627" s="66"/>
      <c r="E627" s="66"/>
      <c r="F627" s="66"/>
      <c r="G627" s="66"/>
      <c r="H627" s="66"/>
      <c r="I627" s="66"/>
      <c r="J627" s="66"/>
      <c r="K627" s="66"/>
      <c r="L627" s="66"/>
      <c r="M627" s="66"/>
      <c r="N627" s="66"/>
    </row>
    <row r="628" spans="1:14" x14ac:dyDescent="0.2">
      <c r="A628" s="84"/>
      <c r="B628" s="84"/>
      <c r="C628" s="60"/>
      <c r="D628" s="66"/>
      <c r="E628" s="66"/>
      <c r="F628" s="66"/>
      <c r="G628" s="66"/>
      <c r="H628" s="66"/>
      <c r="I628" s="66"/>
      <c r="J628" s="66"/>
      <c r="K628" s="66"/>
      <c r="L628" s="66"/>
      <c r="M628" s="66"/>
      <c r="N628" s="66"/>
    </row>
    <row r="629" spans="1:14" x14ac:dyDescent="0.2">
      <c r="A629" s="84"/>
      <c r="B629" s="84"/>
      <c r="C629" s="60"/>
      <c r="D629" s="66"/>
      <c r="E629" s="66"/>
      <c r="F629" s="66"/>
      <c r="G629" s="66"/>
      <c r="H629" s="66"/>
      <c r="I629" s="66"/>
      <c r="J629" s="66"/>
      <c r="K629" s="66"/>
      <c r="L629" s="66"/>
      <c r="M629" s="66"/>
      <c r="N629" s="66"/>
    </row>
    <row r="630" spans="1:14" x14ac:dyDescent="0.2">
      <c r="A630" s="84"/>
      <c r="B630" s="84"/>
      <c r="C630" s="60"/>
      <c r="D630" s="66"/>
      <c r="E630" s="66"/>
      <c r="F630" s="66"/>
      <c r="G630" s="66"/>
      <c r="H630" s="66"/>
      <c r="I630" s="66"/>
      <c r="J630" s="66"/>
      <c r="K630" s="66"/>
      <c r="L630" s="66"/>
      <c r="M630" s="66"/>
      <c r="N630" s="66"/>
    </row>
    <row r="631" spans="1:14" x14ac:dyDescent="0.2">
      <c r="A631" s="84"/>
      <c r="B631" s="84"/>
      <c r="C631" s="60"/>
      <c r="D631" s="66"/>
      <c r="E631" s="66"/>
      <c r="F631" s="66"/>
      <c r="G631" s="66"/>
      <c r="H631" s="66"/>
      <c r="I631" s="66"/>
      <c r="J631" s="66"/>
      <c r="K631" s="66"/>
      <c r="L631" s="66"/>
      <c r="M631" s="66"/>
      <c r="N631" s="66"/>
    </row>
    <row r="632" spans="1:14" x14ac:dyDescent="0.2">
      <c r="A632" s="84"/>
      <c r="B632" s="84"/>
      <c r="C632" s="60"/>
      <c r="D632" s="66"/>
      <c r="E632" s="66"/>
      <c r="F632" s="66"/>
      <c r="G632" s="66"/>
      <c r="H632" s="66"/>
      <c r="I632" s="66"/>
      <c r="J632" s="66"/>
      <c r="K632" s="66"/>
      <c r="L632" s="66"/>
      <c r="M632" s="66"/>
      <c r="N632" s="66"/>
    </row>
    <row r="633" spans="1:14" x14ac:dyDescent="0.2">
      <c r="A633" s="84"/>
      <c r="B633" s="84"/>
      <c r="C633" s="60"/>
      <c r="D633" s="66"/>
      <c r="E633" s="66"/>
      <c r="F633" s="66"/>
      <c r="G633" s="66"/>
      <c r="H633" s="66"/>
      <c r="I633" s="66"/>
      <c r="J633" s="66"/>
      <c r="K633" s="66"/>
      <c r="L633" s="66"/>
      <c r="M633" s="66"/>
      <c r="N633" s="66"/>
    </row>
    <row r="634" spans="1:14" x14ac:dyDescent="0.2">
      <c r="A634" s="84"/>
      <c r="B634" s="84"/>
      <c r="C634" s="60"/>
      <c r="D634" s="66"/>
      <c r="E634" s="66"/>
      <c r="F634" s="66"/>
      <c r="G634" s="66"/>
      <c r="H634" s="66"/>
      <c r="I634" s="66"/>
      <c r="J634" s="66"/>
      <c r="K634" s="66"/>
      <c r="L634" s="66"/>
      <c r="M634" s="66"/>
      <c r="N634" s="66"/>
    </row>
    <row r="635" spans="1:14" x14ac:dyDescent="0.2">
      <c r="A635" s="84"/>
      <c r="B635" s="84"/>
      <c r="C635" s="60"/>
      <c r="D635" s="66"/>
      <c r="E635" s="66"/>
      <c r="F635" s="66"/>
      <c r="G635" s="66"/>
      <c r="H635" s="66"/>
      <c r="I635" s="66"/>
      <c r="J635" s="66"/>
      <c r="K635" s="66"/>
      <c r="L635" s="66"/>
      <c r="M635" s="66"/>
      <c r="N635" s="66"/>
    </row>
    <row r="636" spans="1:14" x14ac:dyDescent="0.2">
      <c r="A636" s="84"/>
      <c r="B636" s="84"/>
      <c r="C636" s="60"/>
      <c r="D636" s="66"/>
      <c r="E636" s="66"/>
      <c r="F636" s="66"/>
      <c r="G636" s="66"/>
      <c r="H636" s="66"/>
      <c r="I636" s="66"/>
      <c r="J636" s="66"/>
      <c r="K636" s="66"/>
      <c r="L636" s="66"/>
      <c r="M636" s="66"/>
      <c r="N636" s="66"/>
    </row>
    <row r="637" spans="1:14" x14ac:dyDescent="0.2">
      <c r="A637" s="84"/>
      <c r="B637" s="84"/>
      <c r="C637" s="60"/>
      <c r="D637" s="66"/>
      <c r="E637" s="66"/>
      <c r="F637" s="66"/>
      <c r="G637" s="66"/>
      <c r="H637" s="66"/>
      <c r="I637" s="66"/>
      <c r="J637" s="66"/>
      <c r="K637" s="66"/>
      <c r="L637" s="66"/>
      <c r="M637" s="66"/>
      <c r="N637" s="66"/>
    </row>
    <row r="638" spans="1:14" x14ac:dyDescent="0.2">
      <c r="A638" s="84"/>
      <c r="B638" s="84"/>
      <c r="C638" s="60"/>
      <c r="D638" s="66"/>
      <c r="E638" s="66"/>
      <c r="F638" s="66"/>
      <c r="G638" s="66"/>
      <c r="H638" s="66"/>
      <c r="I638" s="66"/>
      <c r="J638" s="66"/>
      <c r="K638" s="66"/>
      <c r="L638" s="66"/>
      <c r="M638" s="66"/>
      <c r="N638" s="66"/>
    </row>
    <row r="639" spans="1:14" x14ac:dyDescent="0.2">
      <c r="A639" s="84"/>
      <c r="B639" s="84"/>
      <c r="C639" s="60"/>
      <c r="D639" s="66"/>
      <c r="E639" s="66"/>
      <c r="F639" s="66"/>
      <c r="G639" s="66"/>
      <c r="H639" s="66"/>
      <c r="I639" s="66"/>
      <c r="J639" s="66"/>
      <c r="K639" s="66"/>
      <c r="L639" s="66"/>
      <c r="M639" s="66"/>
      <c r="N639" s="66"/>
    </row>
    <row r="640" spans="1:14" x14ac:dyDescent="0.2">
      <c r="A640" s="84"/>
      <c r="B640" s="84"/>
      <c r="C640" s="60"/>
      <c r="D640" s="66"/>
      <c r="E640" s="66"/>
      <c r="F640" s="66"/>
      <c r="G640" s="66"/>
      <c r="H640" s="66"/>
      <c r="I640" s="66"/>
      <c r="J640" s="66"/>
      <c r="K640" s="66"/>
      <c r="L640" s="66"/>
      <c r="M640" s="66"/>
      <c r="N640" s="66"/>
    </row>
    <row r="641" spans="1:14" x14ac:dyDescent="0.2">
      <c r="A641" s="84"/>
      <c r="B641" s="84"/>
      <c r="C641" s="60"/>
      <c r="D641" s="66"/>
      <c r="E641" s="66"/>
      <c r="F641" s="66"/>
      <c r="G641" s="66"/>
      <c r="H641" s="66"/>
      <c r="I641" s="66"/>
      <c r="J641" s="66"/>
      <c r="K641" s="66"/>
      <c r="L641" s="66"/>
      <c r="M641" s="66"/>
      <c r="N641" s="66"/>
    </row>
    <row r="642" spans="1:14" x14ac:dyDescent="0.2">
      <c r="A642" s="84"/>
      <c r="B642" s="84"/>
      <c r="C642" s="60"/>
      <c r="D642" s="66"/>
      <c r="E642" s="66"/>
      <c r="F642" s="66"/>
      <c r="G642" s="66"/>
      <c r="H642" s="66"/>
      <c r="I642" s="66"/>
      <c r="J642" s="66"/>
      <c r="K642" s="66"/>
      <c r="L642" s="66"/>
      <c r="M642" s="66"/>
      <c r="N642" s="66"/>
    </row>
    <row r="643" spans="1:14" x14ac:dyDescent="0.2">
      <c r="A643" s="84"/>
      <c r="B643" s="84"/>
      <c r="C643" s="60"/>
      <c r="D643" s="66"/>
      <c r="E643" s="66"/>
      <c r="F643" s="66"/>
      <c r="G643" s="66"/>
      <c r="H643" s="66"/>
      <c r="I643" s="66"/>
      <c r="J643" s="66"/>
      <c r="K643" s="66"/>
      <c r="L643" s="66"/>
      <c r="M643" s="66"/>
      <c r="N643" s="66"/>
    </row>
    <row r="644" spans="1:14" x14ac:dyDescent="0.2">
      <c r="A644" s="84"/>
      <c r="B644" s="84"/>
      <c r="C644" s="60"/>
      <c r="D644" s="66"/>
      <c r="E644" s="66"/>
      <c r="F644" s="66"/>
      <c r="G644" s="66"/>
      <c r="H644" s="66"/>
      <c r="I644" s="66"/>
      <c r="J644" s="66"/>
      <c r="K644" s="66"/>
      <c r="L644" s="66"/>
      <c r="M644" s="66"/>
      <c r="N644" s="66"/>
    </row>
    <row r="645" spans="1:14" x14ac:dyDescent="0.2">
      <c r="A645" s="84"/>
      <c r="B645" s="84"/>
      <c r="C645" s="60"/>
      <c r="D645" s="66"/>
      <c r="E645" s="66"/>
      <c r="F645" s="66"/>
      <c r="G645" s="66"/>
      <c r="H645" s="66"/>
      <c r="I645" s="66"/>
      <c r="J645" s="66"/>
      <c r="K645" s="66"/>
      <c r="L645" s="66"/>
      <c r="M645" s="66"/>
      <c r="N645" s="66"/>
    </row>
    <row r="646" spans="1:14" x14ac:dyDescent="0.2">
      <c r="A646" s="84"/>
      <c r="B646" s="84"/>
      <c r="C646" s="60"/>
      <c r="D646" s="66"/>
      <c r="E646" s="66"/>
      <c r="F646" s="66"/>
      <c r="G646" s="66"/>
      <c r="H646" s="66"/>
      <c r="I646" s="66"/>
      <c r="J646" s="66"/>
      <c r="K646" s="66"/>
      <c r="L646" s="66"/>
      <c r="M646" s="66"/>
      <c r="N646" s="66"/>
    </row>
    <row r="647" spans="1:14" x14ac:dyDescent="0.2">
      <c r="A647" s="84"/>
      <c r="B647" s="84"/>
      <c r="C647" s="60"/>
      <c r="D647" s="66"/>
      <c r="E647" s="66"/>
      <c r="F647" s="66"/>
      <c r="G647" s="66"/>
      <c r="H647" s="66"/>
      <c r="I647" s="66"/>
      <c r="J647" s="66"/>
      <c r="K647" s="66"/>
      <c r="L647" s="66"/>
      <c r="M647" s="66"/>
      <c r="N647" s="66"/>
    </row>
    <row r="648" spans="1:14" x14ac:dyDescent="0.2">
      <c r="A648" s="84"/>
      <c r="B648" s="84"/>
      <c r="C648" s="60"/>
      <c r="D648" s="66"/>
      <c r="E648" s="66"/>
      <c r="F648" s="66"/>
      <c r="G648" s="66"/>
      <c r="H648" s="66"/>
      <c r="I648" s="66"/>
      <c r="J648" s="66"/>
      <c r="K648" s="66"/>
      <c r="L648" s="66"/>
      <c r="M648" s="66"/>
      <c r="N648" s="66"/>
    </row>
    <row r="649" spans="1:14" x14ac:dyDescent="0.2">
      <c r="A649" s="84"/>
      <c r="B649" s="84"/>
      <c r="C649" s="60"/>
      <c r="D649" s="66"/>
      <c r="E649" s="66"/>
      <c r="F649" s="66"/>
      <c r="G649" s="66"/>
      <c r="H649" s="66"/>
      <c r="I649" s="66"/>
      <c r="J649" s="66"/>
      <c r="K649" s="66"/>
      <c r="L649" s="66"/>
      <c r="M649" s="66"/>
      <c r="N649" s="66"/>
    </row>
    <row r="650" spans="1:14" x14ac:dyDescent="0.2">
      <c r="A650" s="84"/>
      <c r="B650" s="84"/>
      <c r="C650" s="60"/>
      <c r="D650" s="66"/>
      <c r="E650" s="66"/>
      <c r="F650" s="66"/>
      <c r="G650" s="66"/>
      <c r="H650" s="66"/>
      <c r="I650" s="66"/>
      <c r="J650" s="66"/>
      <c r="K650" s="66"/>
      <c r="L650" s="66"/>
      <c r="M650" s="66"/>
      <c r="N650" s="66"/>
    </row>
    <row r="651" spans="1:14" x14ac:dyDescent="0.2">
      <c r="A651" s="84"/>
      <c r="B651" s="84"/>
      <c r="C651" s="60"/>
      <c r="D651" s="66"/>
      <c r="E651" s="66"/>
      <c r="F651" s="66"/>
      <c r="G651" s="66"/>
      <c r="H651" s="66"/>
      <c r="I651" s="66"/>
      <c r="J651" s="66"/>
      <c r="K651" s="66"/>
      <c r="L651" s="66"/>
      <c r="M651" s="66"/>
      <c r="N651" s="66"/>
    </row>
    <row r="652" spans="1:14" x14ac:dyDescent="0.2">
      <c r="A652" s="84"/>
      <c r="B652" s="84"/>
      <c r="C652" s="60"/>
      <c r="D652" s="66"/>
      <c r="E652" s="66"/>
      <c r="F652" s="66"/>
      <c r="G652" s="66"/>
      <c r="H652" s="66"/>
      <c r="I652" s="66"/>
      <c r="J652" s="66"/>
      <c r="K652" s="66"/>
      <c r="L652" s="66"/>
      <c r="M652" s="66"/>
      <c r="N652" s="66"/>
    </row>
    <row r="653" spans="1:14" x14ac:dyDescent="0.2">
      <c r="A653" s="84"/>
      <c r="B653" s="84"/>
      <c r="C653" s="60"/>
      <c r="D653" s="66"/>
      <c r="E653" s="66"/>
      <c r="F653" s="66"/>
      <c r="G653" s="66"/>
      <c r="H653" s="66"/>
      <c r="I653" s="66"/>
      <c r="J653" s="66"/>
      <c r="K653" s="66"/>
      <c r="L653" s="66"/>
      <c r="M653" s="66"/>
      <c r="N653" s="66"/>
    </row>
    <row r="654" spans="1:14" x14ac:dyDescent="0.2">
      <c r="A654" s="84"/>
      <c r="B654" s="84"/>
      <c r="C654" s="60"/>
      <c r="D654" s="66"/>
      <c r="E654" s="66"/>
      <c r="F654" s="66"/>
      <c r="G654" s="66"/>
      <c r="H654" s="66"/>
      <c r="I654" s="66"/>
      <c r="J654" s="66"/>
      <c r="K654" s="66"/>
      <c r="L654" s="66"/>
      <c r="M654" s="66"/>
      <c r="N654" s="66"/>
    </row>
    <row r="655" spans="1:14" x14ac:dyDescent="0.2">
      <c r="A655" s="84"/>
      <c r="B655" s="84"/>
      <c r="C655" s="60"/>
      <c r="D655" s="66"/>
      <c r="E655" s="66"/>
      <c r="F655" s="66"/>
      <c r="G655" s="66"/>
      <c r="H655" s="66"/>
      <c r="I655" s="66"/>
      <c r="J655" s="66"/>
      <c r="K655" s="66"/>
      <c r="L655" s="66"/>
      <c r="M655" s="66"/>
      <c r="N655" s="66"/>
    </row>
    <row r="656" spans="1:14" x14ac:dyDescent="0.2">
      <c r="A656" s="84"/>
      <c r="B656" s="84"/>
      <c r="C656" s="60"/>
      <c r="D656" s="66"/>
      <c r="E656" s="66"/>
      <c r="F656" s="66"/>
      <c r="G656" s="66"/>
      <c r="H656" s="66"/>
      <c r="I656" s="66"/>
      <c r="J656" s="66"/>
      <c r="K656" s="66"/>
      <c r="L656" s="66"/>
      <c r="M656" s="66"/>
      <c r="N656" s="66"/>
    </row>
    <row r="657" spans="1:14" x14ac:dyDescent="0.2">
      <c r="A657" s="84"/>
      <c r="B657" s="84"/>
      <c r="C657" s="60"/>
      <c r="D657" s="66"/>
      <c r="E657" s="66"/>
      <c r="F657" s="66"/>
      <c r="G657" s="66"/>
      <c r="H657" s="66"/>
      <c r="I657" s="66"/>
      <c r="J657" s="66"/>
      <c r="K657" s="66"/>
      <c r="L657" s="66"/>
      <c r="M657" s="66"/>
      <c r="N657" s="66"/>
    </row>
    <row r="658" spans="1:14" x14ac:dyDescent="0.2">
      <c r="A658" s="84"/>
      <c r="B658" s="84"/>
      <c r="C658" s="60"/>
      <c r="D658" s="66"/>
      <c r="E658" s="66"/>
      <c r="F658" s="66"/>
      <c r="G658" s="66"/>
      <c r="H658" s="66"/>
      <c r="I658" s="66"/>
      <c r="J658" s="66"/>
      <c r="K658" s="66"/>
      <c r="L658" s="66"/>
      <c r="M658" s="66"/>
      <c r="N658" s="66"/>
    </row>
    <row r="659" spans="1:14" x14ac:dyDescent="0.2">
      <c r="A659" s="84"/>
      <c r="B659" s="84"/>
      <c r="C659" s="60"/>
      <c r="D659" s="66"/>
      <c r="E659" s="66"/>
      <c r="F659" s="66"/>
      <c r="G659" s="66"/>
      <c r="H659" s="66"/>
      <c r="I659" s="66"/>
      <c r="J659" s="66"/>
      <c r="K659" s="66"/>
      <c r="L659" s="66"/>
      <c r="M659" s="66"/>
      <c r="N659" s="66"/>
    </row>
    <row r="660" spans="1:14" x14ac:dyDescent="0.2">
      <c r="A660" s="84"/>
      <c r="B660" s="84"/>
      <c r="C660" s="60"/>
      <c r="D660" s="66"/>
      <c r="E660" s="66"/>
      <c r="F660" s="66"/>
      <c r="G660" s="66"/>
      <c r="H660" s="66"/>
      <c r="I660" s="66"/>
      <c r="J660" s="66"/>
      <c r="K660" s="66"/>
      <c r="L660" s="66"/>
      <c r="M660" s="66"/>
      <c r="N660" s="66"/>
    </row>
    <row r="661" spans="1:14" x14ac:dyDescent="0.2">
      <c r="A661" s="84"/>
      <c r="B661" s="84"/>
      <c r="C661" s="60"/>
      <c r="D661" s="66"/>
      <c r="E661" s="66"/>
      <c r="F661" s="66"/>
      <c r="G661" s="66"/>
      <c r="H661" s="66"/>
      <c r="I661" s="66"/>
      <c r="J661" s="66"/>
      <c r="K661" s="66"/>
      <c r="L661" s="66"/>
      <c r="M661" s="66"/>
      <c r="N661" s="66"/>
    </row>
    <row r="662" spans="1:14" x14ac:dyDescent="0.2">
      <c r="A662" s="84"/>
      <c r="B662" s="84"/>
      <c r="C662" s="60"/>
      <c r="D662" s="66"/>
      <c r="E662" s="66"/>
      <c r="F662" s="66"/>
      <c r="G662" s="66"/>
      <c r="H662" s="66"/>
      <c r="I662" s="66"/>
      <c r="J662" s="66"/>
      <c r="K662" s="66"/>
      <c r="L662" s="66"/>
      <c r="M662" s="66"/>
      <c r="N662" s="66"/>
    </row>
    <row r="663" spans="1:14" x14ac:dyDescent="0.2">
      <c r="A663" s="84"/>
      <c r="B663" s="84"/>
      <c r="C663" s="60"/>
      <c r="D663" s="66"/>
      <c r="E663" s="66"/>
      <c r="F663" s="66"/>
      <c r="G663" s="66"/>
      <c r="H663" s="66"/>
      <c r="I663" s="66"/>
      <c r="J663" s="66"/>
      <c r="K663" s="66"/>
      <c r="L663" s="66"/>
      <c r="M663" s="66"/>
      <c r="N663" s="66"/>
    </row>
    <row r="664" spans="1:14" x14ac:dyDescent="0.2">
      <c r="A664" s="84"/>
      <c r="B664" s="84"/>
      <c r="C664" s="60"/>
      <c r="D664" s="66"/>
      <c r="E664" s="66"/>
      <c r="F664" s="66"/>
      <c r="G664" s="66"/>
      <c r="H664" s="66"/>
      <c r="I664" s="66"/>
      <c r="J664" s="66"/>
      <c r="K664" s="66"/>
      <c r="L664" s="66"/>
      <c r="M664" s="66"/>
      <c r="N664" s="66"/>
    </row>
    <row r="665" spans="1:14" x14ac:dyDescent="0.2">
      <c r="A665" s="84"/>
      <c r="B665" s="84"/>
      <c r="C665" s="60"/>
      <c r="D665" s="66"/>
      <c r="E665" s="66"/>
      <c r="F665" s="66"/>
      <c r="G665" s="66"/>
      <c r="H665" s="66"/>
      <c r="I665" s="66"/>
      <c r="J665" s="66"/>
      <c r="K665" s="66"/>
      <c r="L665" s="66"/>
      <c r="M665" s="66"/>
      <c r="N665" s="66"/>
    </row>
    <row r="666" spans="1:14" x14ac:dyDescent="0.2">
      <c r="A666" s="84"/>
      <c r="B666" s="84"/>
      <c r="C666" s="60"/>
      <c r="D666" s="66"/>
      <c r="E666" s="66"/>
      <c r="F666" s="66"/>
      <c r="G666" s="66"/>
      <c r="H666" s="66"/>
      <c r="I666" s="66"/>
      <c r="J666" s="66"/>
      <c r="K666" s="66"/>
      <c r="L666" s="66"/>
      <c r="M666" s="66"/>
      <c r="N666" s="66"/>
    </row>
    <row r="667" spans="1:14" x14ac:dyDescent="0.2">
      <c r="A667" s="84"/>
      <c r="B667" s="84"/>
      <c r="C667" s="60"/>
      <c r="D667" s="66"/>
      <c r="E667" s="66"/>
      <c r="F667" s="66"/>
      <c r="G667" s="66"/>
      <c r="H667" s="66"/>
      <c r="I667" s="66"/>
      <c r="J667" s="66"/>
      <c r="K667" s="66"/>
      <c r="L667" s="66"/>
      <c r="M667" s="66"/>
      <c r="N667" s="66"/>
    </row>
    <row r="668" spans="1:14" x14ac:dyDescent="0.2">
      <c r="A668" s="84"/>
      <c r="B668" s="84"/>
      <c r="C668" s="60"/>
      <c r="D668" s="66"/>
      <c r="E668" s="66"/>
      <c r="F668" s="66"/>
      <c r="G668" s="66"/>
      <c r="H668" s="66"/>
      <c r="I668" s="66"/>
      <c r="J668" s="66"/>
      <c r="K668" s="66"/>
      <c r="L668" s="66"/>
      <c r="M668" s="66"/>
      <c r="N668" s="66"/>
    </row>
    <row r="669" spans="1:14" x14ac:dyDescent="0.2">
      <c r="A669" s="84"/>
      <c r="B669" s="84"/>
      <c r="C669" s="60"/>
      <c r="D669" s="66"/>
      <c r="E669" s="66"/>
      <c r="F669" s="66"/>
      <c r="G669" s="66"/>
      <c r="H669" s="66"/>
      <c r="I669" s="66"/>
      <c r="J669" s="66"/>
      <c r="K669" s="66"/>
      <c r="L669" s="66"/>
      <c r="M669" s="66"/>
      <c r="N669" s="66"/>
    </row>
    <row r="670" spans="1:14" x14ac:dyDescent="0.2">
      <c r="A670" s="84"/>
      <c r="B670" s="84"/>
      <c r="C670" s="60"/>
      <c r="D670" s="66"/>
      <c r="E670" s="66"/>
      <c r="F670" s="66"/>
      <c r="G670" s="66"/>
      <c r="H670" s="66"/>
      <c r="I670" s="66"/>
      <c r="J670" s="66"/>
      <c r="K670" s="66"/>
      <c r="L670" s="66"/>
      <c r="M670" s="66"/>
      <c r="N670" s="66"/>
    </row>
    <row r="671" spans="1:14" x14ac:dyDescent="0.2">
      <c r="A671" s="84"/>
      <c r="B671" s="84"/>
      <c r="C671" s="60"/>
      <c r="D671" s="66"/>
      <c r="E671" s="66"/>
      <c r="F671" s="66"/>
      <c r="G671" s="66"/>
      <c r="H671" s="66"/>
      <c r="I671" s="66"/>
      <c r="J671" s="66"/>
      <c r="K671" s="66"/>
      <c r="L671" s="66"/>
      <c r="M671" s="66"/>
      <c r="N671" s="66"/>
    </row>
    <row r="672" spans="1:14" x14ac:dyDescent="0.2">
      <c r="A672" s="84"/>
      <c r="B672" s="84"/>
      <c r="C672" s="60"/>
      <c r="D672" s="66"/>
      <c r="E672" s="66"/>
      <c r="F672" s="66"/>
      <c r="G672" s="66"/>
      <c r="H672" s="66"/>
      <c r="I672" s="66"/>
      <c r="J672" s="66"/>
      <c r="K672" s="66"/>
      <c r="L672" s="66"/>
      <c r="M672" s="66"/>
      <c r="N672" s="66"/>
    </row>
    <row r="673" spans="1:14" x14ac:dyDescent="0.2">
      <c r="A673" s="84"/>
      <c r="B673" s="84"/>
      <c r="C673" s="60"/>
      <c r="D673" s="66"/>
      <c r="E673" s="66"/>
      <c r="F673" s="66"/>
      <c r="G673" s="66"/>
      <c r="H673" s="66"/>
      <c r="I673" s="66"/>
      <c r="J673" s="66"/>
      <c r="K673" s="66"/>
      <c r="L673" s="66"/>
      <c r="M673" s="66"/>
      <c r="N673" s="66"/>
    </row>
    <row r="674" spans="1:14" x14ac:dyDescent="0.2">
      <c r="A674" s="84"/>
      <c r="B674" s="84"/>
      <c r="C674" s="60"/>
      <c r="D674" s="66"/>
      <c r="E674" s="66"/>
      <c r="F674" s="66"/>
      <c r="G674" s="66"/>
      <c r="H674" s="66"/>
      <c r="I674" s="66"/>
      <c r="J674" s="66"/>
      <c r="K674" s="66"/>
      <c r="L674" s="66"/>
      <c r="M674" s="66"/>
      <c r="N674" s="66"/>
    </row>
    <row r="675" spans="1:14" x14ac:dyDescent="0.2">
      <c r="A675" s="84"/>
      <c r="B675" s="84"/>
      <c r="C675" s="60"/>
      <c r="D675" s="66"/>
      <c r="E675" s="66"/>
      <c r="F675" s="66"/>
      <c r="G675" s="66"/>
      <c r="H675" s="66"/>
      <c r="I675" s="66"/>
      <c r="J675" s="66"/>
      <c r="K675" s="66"/>
      <c r="L675" s="66"/>
      <c r="M675" s="66"/>
      <c r="N675" s="66"/>
    </row>
    <row r="676" spans="1:14" x14ac:dyDescent="0.2">
      <c r="A676" s="84"/>
      <c r="B676" s="84"/>
      <c r="C676" s="60"/>
      <c r="D676" s="66"/>
      <c r="E676" s="66"/>
      <c r="F676" s="66"/>
      <c r="G676" s="66"/>
      <c r="H676" s="66"/>
      <c r="I676" s="66"/>
      <c r="J676" s="66"/>
      <c r="K676" s="66"/>
      <c r="L676" s="66"/>
      <c r="M676" s="66"/>
      <c r="N676" s="66"/>
    </row>
    <row r="677" spans="1:14" x14ac:dyDescent="0.2">
      <c r="A677" s="84"/>
      <c r="B677" s="84"/>
      <c r="C677" s="60"/>
      <c r="D677" s="66"/>
      <c r="E677" s="66"/>
      <c r="F677" s="66"/>
      <c r="G677" s="66"/>
      <c r="H677" s="66"/>
      <c r="I677" s="66"/>
      <c r="J677" s="66"/>
      <c r="K677" s="66"/>
      <c r="L677" s="66"/>
      <c r="M677" s="66"/>
      <c r="N677" s="66"/>
    </row>
    <row r="678" spans="1:14" x14ac:dyDescent="0.2">
      <c r="A678" s="84"/>
      <c r="B678" s="84"/>
      <c r="C678" s="60"/>
      <c r="D678" s="66"/>
      <c r="E678" s="66"/>
      <c r="F678" s="66"/>
      <c r="G678" s="66"/>
      <c r="H678" s="66"/>
      <c r="I678" s="66"/>
      <c r="J678" s="66"/>
      <c r="K678" s="66"/>
      <c r="L678" s="66"/>
      <c r="M678" s="66"/>
      <c r="N678" s="66"/>
    </row>
    <row r="679" spans="1:14" x14ac:dyDescent="0.2">
      <c r="A679" s="84"/>
      <c r="B679" s="84"/>
      <c r="C679" s="60"/>
      <c r="D679" s="66"/>
      <c r="E679" s="66"/>
      <c r="F679" s="66"/>
      <c r="G679" s="66"/>
      <c r="H679" s="66"/>
      <c r="I679" s="66"/>
      <c r="J679" s="66"/>
      <c r="K679" s="66"/>
      <c r="L679" s="66"/>
      <c r="M679" s="66"/>
      <c r="N679" s="66"/>
    </row>
    <row r="680" spans="1:14" x14ac:dyDescent="0.2">
      <c r="A680" s="84"/>
      <c r="B680" s="84"/>
      <c r="C680" s="60"/>
      <c r="D680" s="66"/>
      <c r="E680" s="66"/>
      <c r="F680" s="66"/>
      <c r="G680" s="66"/>
      <c r="H680" s="66"/>
      <c r="I680" s="66"/>
      <c r="J680" s="66"/>
      <c r="K680" s="66"/>
      <c r="L680" s="66"/>
      <c r="M680" s="66"/>
      <c r="N680" s="66"/>
    </row>
    <row r="681" spans="1:14" x14ac:dyDescent="0.2">
      <c r="A681" s="84"/>
      <c r="B681" s="84"/>
      <c r="C681" s="60"/>
      <c r="D681" s="66"/>
      <c r="E681" s="66"/>
      <c r="F681" s="66"/>
      <c r="G681" s="66"/>
      <c r="H681" s="66"/>
      <c r="I681" s="66"/>
      <c r="J681" s="66"/>
      <c r="K681" s="66"/>
      <c r="L681" s="66"/>
      <c r="M681" s="66"/>
      <c r="N681" s="66"/>
    </row>
    <row r="682" spans="1:14" x14ac:dyDescent="0.2">
      <c r="A682" s="84"/>
      <c r="B682" s="84"/>
      <c r="C682" s="60"/>
      <c r="D682" s="66"/>
      <c r="E682" s="66"/>
      <c r="F682" s="66"/>
      <c r="G682" s="66"/>
      <c r="H682" s="66"/>
      <c r="I682" s="66"/>
      <c r="J682" s="66"/>
      <c r="K682" s="66"/>
      <c r="L682" s="66"/>
      <c r="M682" s="66"/>
      <c r="N682" s="66"/>
    </row>
    <row r="683" spans="1:14" x14ac:dyDescent="0.2">
      <c r="A683" s="84"/>
      <c r="B683" s="84"/>
      <c r="C683" s="60"/>
      <c r="D683" s="66"/>
      <c r="E683" s="66"/>
      <c r="F683" s="66"/>
      <c r="G683" s="66"/>
      <c r="H683" s="66"/>
      <c r="I683" s="66"/>
      <c r="J683" s="66"/>
      <c r="K683" s="66"/>
      <c r="L683" s="66"/>
      <c r="M683" s="66"/>
      <c r="N683" s="66"/>
    </row>
    <row r="684" spans="1:14" x14ac:dyDescent="0.2">
      <c r="A684" s="84"/>
      <c r="B684" s="84"/>
      <c r="C684" s="60"/>
      <c r="D684" s="66"/>
      <c r="E684" s="66"/>
      <c r="F684" s="66"/>
      <c r="G684" s="66"/>
      <c r="H684" s="66"/>
      <c r="I684" s="66"/>
      <c r="J684" s="66"/>
      <c r="K684" s="66"/>
      <c r="L684" s="66"/>
      <c r="M684" s="66"/>
      <c r="N684" s="66"/>
    </row>
    <row r="685" spans="1:14" x14ac:dyDescent="0.2">
      <c r="A685" s="84"/>
      <c r="B685" s="84"/>
      <c r="C685" s="60"/>
      <c r="D685" s="66"/>
      <c r="E685" s="66"/>
      <c r="F685" s="66"/>
      <c r="G685" s="66"/>
      <c r="H685" s="66"/>
      <c r="I685" s="66"/>
      <c r="J685" s="66"/>
      <c r="K685" s="66"/>
      <c r="L685" s="66"/>
      <c r="M685" s="66"/>
      <c r="N685" s="66"/>
    </row>
    <row r="686" spans="1:14" x14ac:dyDescent="0.2">
      <c r="A686" s="84"/>
      <c r="B686" s="84"/>
      <c r="C686" s="60"/>
      <c r="D686" s="66"/>
      <c r="E686" s="66"/>
      <c r="F686" s="66"/>
      <c r="G686" s="66"/>
      <c r="H686" s="66"/>
      <c r="I686" s="66"/>
      <c r="J686" s="66"/>
      <c r="K686" s="66"/>
      <c r="L686" s="66"/>
      <c r="M686" s="66"/>
      <c r="N686" s="66"/>
    </row>
    <row r="687" spans="1:14" x14ac:dyDescent="0.2">
      <c r="A687" s="84"/>
      <c r="B687" s="84"/>
      <c r="C687" s="60"/>
      <c r="D687" s="66"/>
      <c r="E687" s="66"/>
      <c r="F687" s="66"/>
      <c r="G687" s="66"/>
      <c r="H687" s="66"/>
      <c r="I687" s="66"/>
      <c r="J687" s="66"/>
      <c r="K687" s="66"/>
      <c r="L687" s="66"/>
      <c r="M687" s="66"/>
      <c r="N687" s="66"/>
    </row>
    <row r="688" spans="1:14" x14ac:dyDescent="0.2">
      <c r="A688" s="84"/>
      <c r="B688" s="84"/>
      <c r="C688" s="60"/>
      <c r="D688" s="66"/>
      <c r="E688" s="66"/>
      <c r="F688" s="66"/>
      <c r="G688" s="66"/>
      <c r="H688" s="66"/>
      <c r="I688" s="66"/>
      <c r="J688" s="66"/>
      <c r="K688" s="66"/>
      <c r="L688" s="66"/>
      <c r="M688" s="66"/>
      <c r="N688" s="66"/>
    </row>
    <row r="689" spans="1:14" x14ac:dyDescent="0.2">
      <c r="A689" s="84"/>
      <c r="B689" s="84"/>
      <c r="C689" s="60"/>
      <c r="D689" s="66"/>
      <c r="E689" s="66"/>
      <c r="F689" s="66"/>
      <c r="G689" s="66"/>
      <c r="H689" s="66"/>
      <c r="I689" s="66"/>
      <c r="J689" s="66"/>
      <c r="K689" s="66"/>
      <c r="L689" s="66"/>
      <c r="M689" s="66"/>
      <c r="N689" s="66"/>
    </row>
    <row r="690" spans="1:14" x14ac:dyDescent="0.2">
      <c r="A690" s="84"/>
      <c r="B690" s="84"/>
      <c r="C690" s="60"/>
      <c r="D690" s="66"/>
      <c r="E690" s="66"/>
      <c r="F690" s="66"/>
      <c r="G690" s="66"/>
      <c r="H690" s="66"/>
      <c r="I690" s="66"/>
      <c r="J690" s="66"/>
      <c r="K690" s="66"/>
      <c r="L690" s="66"/>
      <c r="M690" s="66"/>
      <c r="N690" s="66"/>
    </row>
    <row r="691" spans="1:14" x14ac:dyDescent="0.2">
      <c r="A691" s="84"/>
      <c r="B691" s="84"/>
      <c r="C691" s="60"/>
      <c r="D691" s="66"/>
      <c r="E691" s="66"/>
      <c r="F691" s="66"/>
      <c r="G691" s="66"/>
      <c r="H691" s="66"/>
      <c r="I691" s="66"/>
      <c r="J691" s="66"/>
      <c r="K691" s="66"/>
      <c r="L691" s="66"/>
      <c r="M691" s="66"/>
      <c r="N691" s="66"/>
    </row>
    <row r="692" spans="1:14" x14ac:dyDescent="0.2">
      <c r="A692" s="84"/>
      <c r="B692" s="84"/>
      <c r="C692" s="60"/>
      <c r="D692" s="66"/>
      <c r="E692" s="66"/>
      <c r="F692" s="66"/>
      <c r="G692" s="66"/>
      <c r="H692" s="66"/>
      <c r="I692" s="66"/>
      <c r="J692" s="66"/>
      <c r="K692" s="66"/>
      <c r="L692" s="66"/>
      <c r="M692" s="66"/>
      <c r="N692" s="66"/>
    </row>
    <row r="693" spans="1:14" x14ac:dyDescent="0.2">
      <c r="A693" s="84"/>
      <c r="B693" s="84"/>
      <c r="C693" s="60"/>
      <c r="D693" s="66"/>
      <c r="E693" s="66"/>
      <c r="F693" s="66"/>
      <c r="G693" s="66"/>
      <c r="H693" s="66"/>
      <c r="I693" s="66"/>
      <c r="J693" s="66"/>
      <c r="K693" s="66"/>
      <c r="L693" s="66"/>
      <c r="M693" s="66"/>
      <c r="N693" s="66"/>
    </row>
    <row r="694" spans="1:14" x14ac:dyDescent="0.2">
      <c r="A694" s="84"/>
      <c r="B694" s="84"/>
      <c r="C694" s="60"/>
      <c r="D694" s="66"/>
      <c r="E694" s="66"/>
      <c r="F694" s="66"/>
      <c r="G694" s="66"/>
      <c r="H694" s="66"/>
      <c r="I694" s="66"/>
      <c r="J694" s="66"/>
      <c r="K694" s="66"/>
      <c r="L694" s="66"/>
      <c r="M694" s="66"/>
      <c r="N694" s="66"/>
    </row>
    <row r="695" spans="1:14" x14ac:dyDescent="0.2">
      <c r="A695" s="84"/>
      <c r="B695" s="84"/>
      <c r="C695" s="60"/>
      <c r="D695" s="66"/>
      <c r="E695" s="66"/>
      <c r="F695" s="66"/>
      <c r="G695" s="66"/>
      <c r="H695" s="66"/>
      <c r="I695" s="66"/>
      <c r="J695" s="66"/>
      <c r="K695" s="66"/>
      <c r="L695" s="66"/>
      <c r="M695" s="66"/>
      <c r="N695" s="66"/>
    </row>
    <row r="696" spans="1:14" x14ac:dyDescent="0.2">
      <c r="A696" s="84"/>
      <c r="B696" s="84"/>
      <c r="C696" s="60"/>
      <c r="D696" s="66"/>
      <c r="E696" s="66"/>
      <c r="F696" s="66"/>
      <c r="G696" s="66"/>
      <c r="H696" s="66"/>
      <c r="I696" s="66"/>
      <c r="J696" s="66"/>
      <c r="K696" s="66"/>
      <c r="L696" s="66"/>
      <c r="M696" s="66"/>
      <c r="N696" s="66"/>
    </row>
    <row r="697" spans="1:14" x14ac:dyDescent="0.2">
      <c r="A697" s="84"/>
      <c r="B697" s="84"/>
      <c r="C697" s="60"/>
      <c r="D697" s="66"/>
      <c r="E697" s="66"/>
      <c r="F697" s="66"/>
      <c r="G697" s="66"/>
      <c r="H697" s="66"/>
      <c r="I697" s="66"/>
      <c r="J697" s="66"/>
      <c r="K697" s="66"/>
      <c r="L697" s="66"/>
      <c r="M697" s="66"/>
      <c r="N697" s="66"/>
    </row>
    <row r="698" spans="1:14" x14ac:dyDescent="0.2">
      <c r="A698" s="84"/>
      <c r="B698" s="84"/>
      <c r="C698" s="60"/>
      <c r="D698" s="66"/>
      <c r="E698" s="66"/>
      <c r="F698" s="66"/>
      <c r="G698" s="66"/>
      <c r="H698" s="66"/>
      <c r="I698" s="66"/>
      <c r="J698" s="66"/>
      <c r="K698" s="66"/>
      <c r="L698" s="66"/>
      <c r="M698" s="66"/>
      <c r="N698" s="66"/>
    </row>
    <row r="699" spans="1:14" x14ac:dyDescent="0.2">
      <c r="A699" s="84"/>
      <c r="B699" s="84"/>
      <c r="C699" s="60"/>
      <c r="D699" s="66"/>
      <c r="E699" s="66"/>
      <c r="F699" s="66"/>
      <c r="G699" s="66"/>
      <c r="H699" s="66"/>
      <c r="I699" s="66"/>
      <c r="J699" s="66"/>
      <c r="K699" s="66"/>
      <c r="L699" s="66"/>
      <c r="M699" s="66"/>
      <c r="N699" s="66"/>
    </row>
    <row r="700" spans="1:14" x14ac:dyDescent="0.2">
      <c r="A700" s="84"/>
      <c r="B700" s="84"/>
      <c r="C700" s="60"/>
      <c r="D700" s="66"/>
      <c r="E700" s="66"/>
      <c r="F700" s="66"/>
      <c r="G700" s="66"/>
      <c r="H700" s="66"/>
      <c r="I700" s="66"/>
      <c r="J700" s="66"/>
      <c r="K700" s="66"/>
      <c r="L700" s="66"/>
      <c r="M700" s="66"/>
      <c r="N700" s="66"/>
    </row>
    <row r="701" spans="1:14" x14ac:dyDescent="0.2">
      <c r="A701" s="84"/>
      <c r="B701" s="84"/>
      <c r="C701" s="60"/>
      <c r="D701" s="66"/>
      <c r="E701" s="66"/>
      <c r="F701" s="66"/>
      <c r="G701" s="66"/>
      <c r="H701" s="66"/>
      <c r="I701" s="66"/>
      <c r="J701" s="66"/>
      <c r="K701" s="66"/>
      <c r="L701" s="66"/>
      <c r="M701" s="66"/>
      <c r="N701" s="66"/>
    </row>
    <row r="702" spans="1:14" x14ac:dyDescent="0.2">
      <c r="A702" s="84"/>
      <c r="B702" s="84"/>
      <c r="C702" s="60"/>
      <c r="D702" s="66"/>
      <c r="E702" s="66"/>
      <c r="F702" s="66"/>
      <c r="G702" s="66"/>
      <c r="H702" s="66"/>
      <c r="I702" s="66"/>
      <c r="J702" s="66"/>
      <c r="K702" s="66"/>
      <c r="L702" s="66"/>
      <c r="M702" s="66"/>
      <c r="N702" s="66"/>
    </row>
    <row r="703" spans="1:14" x14ac:dyDescent="0.2">
      <c r="A703" s="84"/>
      <c r="B703" s="84"/>
      <c r="C703" s="60"/>
      <c r="D703" s="66"/>
      <c r="E703" s="66"/>
      <c r="F703" s="66"/>
      <c r="G703" s="66"/>
      <c r="H703" s="66"/>
      <c r="I703" s="66"/>
      <c r="J703" s="66"/>
      <c r="K703" s="66"/>
      <c r="L703" s="66"/>
      <c r="M703" s="66"/>
      <c r="N703" s="66"/>
    </row>
    <row r="704" spans="1:14" x14ac:dyDescent="0.2">
      <c r="A704" s="84"/>
      <c r="B704" s="84"/>
      <c r="C704" s="60"/>
      <c r="D704" s="66"/>
      <c r="E704" s="66"/>
      <c r="F704" s="66"/>
      <c r="G704" s="66"/>
      <c r="H704" s="66"/>
      <c r="I704" s="66"/>
      <c r="J704" s="66"/>
      <c r="K704" s="66"/>
      <c r="L704" s="66"/>
      <c r="M704" s="66"/>
      <c r="N704" s="66"/>
    </row>
    <row r="705" spans="1:14" x14ac:dyDescent="0.2">
      <c r="A705" s="84"/>
      <c r="B705" s="84"/>
      <c r="C705" s="60"/>
      <c r="D705" s="66"/>
      <c r="E705" s="66"/>
      <c r="F705" s="66"/>
      <c r="G705" s="66"/>
      <c r="H705" s="66"/>
      <c r="I705" s="66"/>
      <c r="J705" s="66"/>
      <c r="K705" s="66"/>
      <c r="L705" s="66"/>
      <c r="M705" s="66"/>
      <c r="N705" s="66"/>
    </row>
    <row r="706" spans="1:14" x14ac:dyDescent="0.2">
      <c r="A706" s="84"/>
      <c r="B706" s="84"/>
      <c r="C706" s="60"/>
      <c r="D706" s="66"/>
      <c r="E706" s="66"/>
      <c r="F706" s="66"/>
      <c r="G706" s="66"/>
      <c r="H706" s="66"/>
      <c r="I706" s="66"/>
      <c r="J706" s="66"/>
      <c r="K706" s="66"/>
      <c r="L706" s="66"/>
      <c r="M706" s="66"/>
      <c r="N706" s="66"/>
    </row>
    <row r="707" spans="1:14" x14ac:dyDescent="0.2">
      <c r="A707" s="84"/>
      <c r="B707" s="84"/>
      <c r="C707" s="60"/>
      <c r="D707" s="66"/>
      <c r="E707" s="66"/>
      <c r="F707" s="66"/>
      <c r="G707" s="66"/>
      <c r="H707" s="66"/>
      <c r="I707" s="66"/>
      <c r="J707" s="66"/>
      <c r="K707" s="66"/>
      <c r="L707" s="66"/>
      <c r="M707" s="66"/>
      <c r="N707" s="66"/>
    </row>
    <row r="708" spans="1:14" x14ac:dyDescent="0.2">
      <c r="A708" s="84"/>
      <c r="B708" s="84"/>
      <c r="C708" s="60"/>
      <c r="D708" s="66"/>
      <c r="E708" s="66"/>
      <c r="F708" s="66"/>
      <c r="G708" s="66"/>
      <c r="H708" s="66"/>
      <c r="I708" s="66"/>
      <c r="J708" s="66"/>
      <c r="K708" s="66"/>
      <c r="L708" s="66"/>
      <c r="M708" s="66"/>
      <c r="N708" s="66"/>
    </row>
    <row r="709" spans="1:14" x14ac:dyDescent="0.2">
      <c r="A709" s="84"/>
      <c r="B709" s="84"/>
      <c r="C709" s="60"/>
      <c r="D709" s="66"/>
      <c r="E709" s="66"/>
      <c r="F709" s="66"/>
      <c r="G709" s="66"/>
      <c r="H709" s="66"/>
      <c r="I709" s="66"/>
      <c r="J709" s="66"/>
      <c r="K709" s="66"/>
      <c r="L709" s="66"/>
      <c r="M709" s="66"/>
      <c r="N709" s="66"/>
    </row>
    <row r="710" spans="1:14" x14ac:dyDescent="0.2">
      <c r="A710" s="84"/>
      <c r="B710" s="84"/>
      <c r="C710" s="60"/>
      <c r="D710" s="66"/>
      <c r="E710" s="66"/>
      <c r="F710" s="66"/>
      <c r="G710" s="66"/>
      <c r="H710" s="66"/>
      <c r="I710" s="66"/>
      <c r="J710" s="66"/>
      <c r="K710" s="66"/>
      <c r="L710" s="66"/>
      <c r="M710" s="66"/>
      <c r="N710" s="66"/>
    </row>
    <row r="711" spans="1:14" x14ac:dyDescent="0.2">
      <c r="A711" s="84"/>
      <c r="B711" s="84"/>
      <c r="C711" s="60"/>
      <c r="D711" s="66"/>
      <c r="E711" s="66"/>
      <c r="F711" s="66"/>
      <c r="G711" s="66"/>
      <c r="H711" s="66"/>
      <c r="I711" s="66"/>
      <c r="J711" s="66"/>
      <c r="K711" s="66"/>
      <c r="L711" s="66"/>
      <c r="M711" s="66"/>
      <c r="N711" s="66"/>
    </row>
    <row r="712" spans="1:14" x14ac:dyDescent="0.2">
      <c r="A712" s="84"/>
      <c r="B712" s="84"/>
      <c r="C712" s="60"/>
      <c r="D712" s="66"/>
      <c r="E712" s="66"/>
      <c r="F712" s="66"/>
      <c r="G712" s="66"/>
      <c r="H712" s="66"/>
      <c r="I712" s="66"/>
      <c r="J712" s="66"/>
      <c r="K712" s="66"/>
      <c r="L712" s="66"/>
      <c r="M712" s="66"/>
      <c r="N712" s="66"/>
    </row>
    <row r="713" spans="1:14" x14ac:dyDescent="0.2">
      <c r="A713" s="84"/>
      <c r="B713" s="84"/>
      <c r="C713" s="60"/>
      <c r="D713" s="66"/>
      <c r="E713" s="66"/>
      <c r="F713" s="66"/>
      <c r="G713" s="66"/>
      <c r="H713" s="66"/>
      <c r="I713" s="66"/>
      <c r="J713" s="66"/>
      <c r="K713" s="66"/>
      <c r="L713" s="66"/>
      <c r="M713" s="66"/>
      <c r="N713" s="66"/>
    </row>
    <row r="714" spans="1:14" x14ac:dyDescent="0.2">
      <c r="A714" s="84"/>
      <c r="B714" s="84"/>
      <c r="C714" s="60"/>
      <c r="D714" s="66"/>
      <c r="E714" s="66"/>
      <c r="F714" s="66"/>
      <c r="G714" s="66"/>
      <c r="H714" s="66"/>
      <c r="I714" s="66"/>
      <c r="J714" s="66"/>
      <c r="K714" s="66"/>
      <c r="L714" s="66"/>
      <c r="M714" s="66"/>
      <c r="N714" s="66"/>
    </row>
    <row r="715" spans="1:14" x14ac:dyDescent="0.2">
      <c r="A715" s="84"/>
      <c r="B715" s="84"/>
      <c r="C715" s="60"/>
      <c r="D715" s="66"/>
      <c r="E715" s="66"/>
      <c r="F715" s="66"/>
      <c r="G715" s="66"/>
      <c r="H715" s="66"/>
      <c r="I715" s="66"/>
      <c r="J715" s="66"/>
      <c r="K715" s="66"/>
      <c r="L715" s="66"/>
      <c r="M715" s="66"/>
      <c r="N715" s="66"/>
    </row>
    <row r="716" spans="1:14" x14ac:dyDescent="0.2">
      <c r="A716" s="84"/>
      <c r="B716" s="84"/>
      <c r="C716" s="60"/>
      <c r="D716" s="66"/>
      <c r="E716" s="66"/>
      <c r="F716" s="66"/>
      <c r="G716" s="66"/>
      <c r="H716" s="66"/>
      <c r="I716" s="66"/>
      <c r="J716" s="66"/>
      <c r="K716" s="66"/>
      <c r="L716" s="66"/>
      <c r="M716" s="66"/>
      <c r="N716" s="66"/>
    </row>
    <row r="717" spans="1:14" x14ac:dyDescent="0.2">
      <c r="A717" s="84"/>
      <c r="B717" s="84"/>
      <c r="C717" s="60"/>
      <c r="D717" s="66"/>
      <c r="E717" s="66"/>
      <c r="F717" s="66"/>
      <c r="G717" s="66"/>
      <c r="H717" s="66"/>
      <c r="I717" s="66"/>
      <c r="J717" s="66"/>
      <c r="K717" s="66"/>
      <c r="L717" s="66"/>
      <c r="M717" s="66"/>
      <c r="N717" s="66"/>
    </row>
    <row r="718" spans="1:14" x14ac:dyDescent="0.2">
      <c r="A718" s="84"/>
      <c r="B718" s="84"/>
      <c r="C718" s="60"/>
      <c r="D718" s="66"/>
      <c r="E718" s="66"/>
      <c r="F718" s="66"/>
      <c r="G718" s="66"/>
      <c r="H718" s="66"/>
      <c r="I718" s="66"/>
      <c r="J718" s="66"/>
      <c r="K718" s="66"/>
      <c r="L718" s="66"/>
      <c r="M718" s="66"/>
      <c r="N718" s="66"/>
    </row>
    <row r="719" spans="1:14" x14ac:dyDescent="0.2">
      <c r="A719" s="84"/>
      <c r="B719" s="84"/>
      <c r="C719" s="60"/>
      <c r="D719" s="66"/>
      <c r="E719" s="66"/>
      <c r="F719" s="66"/>
      <c r="G719" s="66"/>
      <c r="H719" s="66"/>
      <c r="I719" s="66"/>
      <c r="J719" s="66"/>
      <c r="K719" s="66"/>
      <c r="L719" s="66"/>
      <c r="M719" s="66"/>
      <c r="N719" s="66"/>
    </row>
    <row r="720" spans="1:14" x14ac:dyDescent="0.2">
      <c r="A720" s="84"/>
      <c r="B720" s="84"/>
      <c r="C720" s="60"/>
      <c r="D720" s="66"/>
      <c r="E720" s="66"/>
      <c r="F720" s="66"/>
      <c r="G720" s="66"/>
      <c r="H720" s="66"/>
      <c r="I720" s="66"/>
      <c r="J720" s="66"/>
      <c r="K720" s="66"/>
      <c r="L720" s="66"/>
      <c r="M720" s="66"/>
      <c r="N720" s="66"/>
    </row>
    <row r="721" spans="1:14" x14ac:dyDescent="0.2">
      <c r="A721" s="84"/>
      <c r="B721" s="84"/>
      <c r="C721" s="60"/>
      <c r="D721" s="66"/>
      <c r="E721" s="66"/>
      <c r="F721" s="66"/>
      <c r="G721" s="66"/>
      <c r="H721" s="66"/>
      <c r="I721" s="66"/>
      <c r="J721" s="66"/>
      <c r="K721" s="66"/>
      <c r="L721" s="66"/>
      <c r="M721" s="66"/>
      <c r="N721" s="66"/>
    </row>
    <row r="722" spans="1:14" x14ac:dyDescent="0.2">
      <c r="A722" s="84"/>
      <c r="B722" s="84"/>
      <c r="C722" s="60"/>
      <c r="D722" s="66"/>
      <c r="E722" s="66"/>
      <c r="F722" s="66"/>
      <c r="G722" s="66"/>
      <c r="H722" s="66"/>
      <c r="I722" s="66"/>
      <c r="J722" s="66"/>
      <c r="K722" s="66"/>
      <c r="L722" s="66"/>
      <c r="M722" s="66"/>
      <c r="N722" s="66"/>
    </row>
    <row r="723" spans="1:14" x14ac:dyDescent="0.2">
      <c r="A723" s="84"/>
      <c r="B723" s="84"/>
      <c r="C723" s="60"/>
      <c r="D723" s="66"/>
      <c r="E723" s="66"/>
      <c r="F723" s="66"/>
      <c r="G723" s="66"/>
      <c r="H723" s="66"/>
      <c r="I723" s="66"/>
      <c r="J723" s="66"/>
      <c r="K723" s="66"/>
      <c r="L723" s="66"/>
      <c r="M723" s="66"/>
      <c r="N723" s="66"/>
    </row>
    <row r="724" spans="1:14" x14ac:dyDescent="0.2">
      <c r="A724" s="84"/>
      <c r="B724" s="84"/>
      <c r="C724" s="60"/>
      <c r="D724" s="66"/>
      <c r="E724" s="66"/>
      <c r="F724" s="66"/>
      <c r="G724" s="66"/>
      <c r="H724" s="66"/>
      <c r="I724" s="66"/>
      <c r="J724" s="66"/>
      <c r="K724" s="66"/>
      <c r="L724" s="66"/>
      <c r="M724" s="66"/>
      <c r="N724" s="66"/>
    </row>
    <row r="725" spans="1:14" x14ac:dyDescent="0.2">
      <c r="A725" s="84"/>
      <c r="B725" s="84"/>
      <c r="C725" s="60"/>
      <c r="D725" s="66"/>
      <c r="E725" s="66"/>
      <c r="F725" s="66"/>
      <c r="G725" s="66"/>
      <c r="H725" s="66"/>
      <c r="I725" s="66"/>
      <c r="J725" s="66"/>
      <c r="K725" s="66"/>
      <c r="L725" s="66"/>
      <c r="M725" s="66"/>
      <c r="N725" s="66"/>
    </row>
    <row r="726" spans="1:14" x14ac:dyDescent="0.2">
      <c r="A726" s="84"/>
      <c r="B726" s="84"/>
      <c r="C726" s="60"/>
      <c r="D726" s="66"/>
      <c r="E726" s="66"/>
      <c r="F726" s="66"/>
      <c r="G726" s="66"/>
      <c r="H726" s="66"/>
      <c r="I726" s="66"/>
      <c r="J726" s="66"/>
      <c r="K726" s="66"/>
      <c r="L726" s="66"/>
      <c r="M726" s="66"/>
      <c r="N726" s="66"/>
    </row>
    <row r="727" spans="1:14" x14ac:dyDescent="0.2">
      <c r="A727" s="84"/>
      <c r="B727" s="84"/>
      <c r="C727" s="60"/>
      <c r="D727" s="66"/>
      <c r="E727" s="66"/>
      <c r="F727" s="66"/>
      <c r="G727" s="66"/>
      <c r="H727" s="66"/>
      <c r="I727" s="66"/>
      <c r="J727" s="66"/>
      <c r="K727" s="66"/>
      <c r="L727" s="66"/>
      <c r="M727" s="66"/>
      <c r="N727" s="66"/>
    </row>
    <row r="728" spans="1:14" x14ac:dyDescent="0.2">
      <c r="A728" s="84"/>
      <c r="B728" s="84"/>
      <c r="C728" s="60"/>
      <c r="D728" s="66"/>
      <c r="E728" s="66"/>
      <c r="F728" s="66"/>
      <c r="G728" s="66"/>
      <c r="H728" s="66"/>
      <c r="I728" s="66"/>
      <c r="J728" s="66"/>
      <c r="K728" s="66"/>
      <c r="L728" s="66"/>
      <c r="M728" s="66"/>
      <c r="N728" s="66"/>
    </row>
    <row r="729" spans="1:14" x14ac:dyDescent="0.2">
      <c r="A729" s="84"/>
      <c r="B729" s="84"/>
      <c r="C729" s="60"/>
      <c r="D729" s="66"/>
      <c r="E729" s="66"/>
      <c r="F729" s="66"/>
      <c r="G729" s="66"/>
      <c r="H729" s="66"/>
      <c r="I729" s="66"/>
      <c r="J729" s="66"/>
      <c r="K729" s="66"/>
      <c r="L729" s="66"/>
      <c r="M729" s="66"/>
      <c r="N729" s="66"/>
    </row>
    <row r="730" spans="1:14" x14ac:dyDescent="0.2">
      <c r="A730" s="84"/>
      <c r="B730" s="84"/>
      <c r="C730" s="60"/>
      <c r="D730" s="66"/>
      <c r="E730" s="66"/>
      <c r="F730" s="66"/>
      <c r="G730" s="66"/>
      <c r="H730" s="66"/>
      <c r="I730" s="66"/>
      <c r="J730" s="66"/>
      <c r="K730" s="66"/>
      <c r="L730" s="66"/>
      <c r="M730" s="66"/>
      <c r="N730" s="66"/>
    </row>
    <row r="731" spans="1:14" x14ac:dyDescent="0.2">
      <c r="A731" s="84"/>
      <c r="B731" s="84"/>
      <c r="C731" s="60"/>
      <c r="D731" s="66"/>
      <c r="E731" s="66"/>
      <c r="F731" s="66"/>
      <c r="G731" s="66"/>
      <c r="H731" s="66"/>
      <c r="I731" s="66"/>
      <c r="J731" s="66"/>
      <c r="K731" s="66"/>
      <c r="L731" s="66"/>
      <c r="M731" s="66"/>
      <c r="N731" s="66"/>
    </row>
    <row r="732" spans="1:14" x14ac:dyDescent="0.2">
      <c r="A732" s="84"/>
      <c r="B732" s="84"/>
      <c r="C732" s="60"/>
      <c r="D732" s="66"/>
      <c r="E732" s="66"/>
      <c r="F732" s="66"/>
      <c r="G732" s="66"/>
      <c r="H732" s="66"/>
      <c r="I732" s="66"/>
      <c r="J732" s="66"/>
      <c r="K732" s="66"/>
      <c r="L732" s="66"/>
      <c r="M732" s="66"/>
      <c r="N732" s="66"/>
    </row>
    <row r="733" spans="1:14" x14ac:dyDescent="0.2">
      <c r="A733" s="84"/>
      <c r="B733" s="84"/>
      <c r="C733" s="60"/>
      <c r="D733" s="66"/>
      <c r="E733" s="66"/>
      <c r="F733" s="66"/>
      <c r="G733" s="66"/>
      <c r="H733" s="66"/>
      <c r="I733" s="66"/>
      <c r="J733" s="66"/>
      <c r="K733" s="66"/>
      <c r="L733" s="66"/>
      <c r="M733" s="66"/>
      <c r="N733" s="66"/>
    </row>
    <row r="734" spans="1:14" x14ac:dyDescent="0.2">
      <c r="A734" s="84"/>
      <c r="B734" s="84"/>
      <c r="C734" s="60"/>
      <c r="D734" s="66"/>
      <c r="E734" s="66"/>
      <c r="F734" s="66"/>
      <c r="G734" s="66"/>
      <c r="H734" s="66"/>
      <c r="I734" s="66"/>
      <c r="J734" s="66"/>
      <c r="K734" s="66"/>
      <c r="L734" s="66"/>
      <c r="M734" s="66"/>
      <c r="N734" s="66"/>
    </row>
    <row r="735" spans="1:14" x14ac:dyDescent="0.2">
      <c r="A735" s="84"/>
      <c r="B735" s="84"/>
      <c r="C735" s="60"/>
      <c r="D735" s="66"/>
      <c r="E735" s="66"/>
      <c r="F735" s="66"/>
      <c r="G735" s="66"/>
      <c r="H735" s="66"/>
      <c r="I735" s="66"/>
      <c r="J735" s="66"/>
      <c r="K735" s="66"/>
      <c r="L735" s="66"/>
      <c r="M735" s="66"/>
      <c r="N735" s="66"/>
    </row>
    <row r="736" spans="1:14" x14ac:dyDescent="0.2">
      <c r="A736" s="84"/>
      <c r="B736" s="84"/>
      <c r="C736" s="60"/>
      <c r="D736" s="66"/>
      <c r="E736" s="66"/>
      <c r="F736" s="66"/>
      <c r="G736" s="66"/>
      <c r="H736" s="66"/>
      <c r="I736" s="66"/>
      <c r="J736" s="66"/>
      <c r="K736" s="66"/>
      <c r="L736" s="66"/>
      <c r="M736" s="66"/>
      <c r="N736" s="66"/>
    </row>
    <row r="737" spans="1:14" x14ac:dyDescent="0.2">
      <c r="A737" s="84"/>
      <c r="B737" s="84"/>
      <c r="C737" s="60"/>
      <c r="D737" s="66"/>
      <c r="E737" s="66"/>
      <c r="F737" s="66"/>
      <c r="G737" s="66"/>
      <c r="H737" s="66"/>
      <c r="I737" s="66"/>
      <c r="J737" s="66"/>
      <c r="K737" s="66"/>
      <c r="L737" s="66"/>
      <c r="M737" s="66"/>
      <c r="N737" s="66"/>
    </row>
    <row r="738" spans="1:14" x14ac:dyDescent="0.2">
      <c r="A738" s="84"/>
      <c r="B738" s="84"/>
      <c r="C738" s="60"/>
      <c r="D738" s="66"/>
      <c r="E738" s="66"/>
      <c r="F738" s="66"/>
      <c r="G738" s="66"/>
      <c r="H738" s="66"/>
      <c r="I738" s="66"/>
      <c r="J738" s="66"/>
      <c r="K738" s="66"/>
      <c r="L738" s="66"/>
      <c r="M738" s="66"/>
      <c r="N738" s="66"/>
    </row>
    <row r="739" spans="1:14" x14ac:dyDescent="0.2">
      <c r="A739" s="84"/>
      <c r="B739" s="84"/>
      <c r="C739" s="60"/>
      <c r="D739" s="66"/>
      <c r="E739" s="66"/>
      <c r="F739" s="66"/>
      <c r="G739" s="66"/>
      <c r="H739" s="66"/>
      <c r="I739" s="66"/>
      <c r="J739" s="66"/>
      <c r="K739" s="66"/>
      <c r="L739" s="66"/>
      <c r="M739" s="66"/>
      <c r="N739" s="66"/>
    </row>
    <row r="740" spans="1:14" x14ac:dyDescent="0.2">
      <c r="A740" s="84"/>
      <c r="B740" s="84"/>
      <c r="C740" s="60"/>
      <c r="D740" s="66"/>
      <c r="E740" s="66"/>
      <c r="F740" s="66"/>
      <c r="G740" s="66"/>
      <c r="H740" s="66"/>
      <c r="I740" s="66"/>
      <c r="J740" s="66"/>
      <c r="K740" s="66"/>
      <c r="L740" s="66"/>
      <c r="M740" s="66"/>
      <c r="N740" s="66"/>
    </row>
    <row r="741" spans="1:14" x14ac:dyDescent="0.2">
      <c r="A741" s="84"/>
      <c r="B741" s="84"/>
      <c r="C741" s="60"/>
      <c r="D741" s="66"/>
      <c r="E741" s="66"/>
      <c r="F741" s="66"/>
      <c r="G741" s="66"/>
      <c r="H741" s="66"/>
      <c r="I741" s="66"/>
      <c r="J741" s="66"/>
      <c r="K741" s="66"/>
      <c r="L741" s="66"/>
      <c r="M741" s="66"/>
      <c r="N741" s="66"/>
    </row>
    <row r="742" spans="1:14" x14ac:dyDescent="0.2">
      <c r="A742" s="84"/>
      <c r="B742" s="84"/>
      <c r="C742" s="60"/>
      <c r="D742" s="66"/>
      <c r="E742" s="66"/>
      <c r="F742" s="66"/>
      <c r="G742" s="66"/>
      <c r="H742" s="66"/>
      <c r="I742" s="66"/>
      <c r="J742" s="66"/>
      <c r="K742" s="66"/>
      <c r="L742" s="66"/>
      <c r="M742" s="66"/>
      <c r="N742" s="66"/>
    </row>
    <row r="743" spans="1:14" x14ac:dyDescent="0.2">
      <c r="A743" s="84"/>
      <c r="B743" s="84"/>
      <c r="C743" s="60"/>
      <c r="D743" s="66"/>
      <c r="E743" s="66"/>
      <c r="F743" s="66"/>
      <c r="G743" s="66"/>
      <c r="H743" s="66"/>
      <c r="I743" s="66"/>
      <c r="J743" s="66"/>
      <c r="K743" s="66"/>
      <c r="L743" s="66"/>
      <c r="M743" s="66"/>
      <c r="N743" s="66"/>
    </row>
    <row r="744" spans="1:14" x14ac:dyDescent="0.2">
      <c r="A744" s="84"/>
      <c r="B744" s="84"/>
      <c r="C744" s="60"/>
      <c r="D744" s="66"/>
      <c r="E744" s="66"/>
      <c r="F744" s="66"/>
      <c r="G744" s="66"/>
      <c r="H744" s="66"/>
      <c r="I744" s="66"/>
      <c r="J744" s="66"/>
      <c r="K744" s="66"/>
      <c r="L744" s="66"/>
      <c r="M744" s="66"/>
      <c r="N744" s="66"/>
    </row>
    <row r="745" spans="1:14" x14ac:dyDescent="0.2">
      <c r="A745" s="84"/>
      <c r="B745" s="84"/>
      <c r="C745" s="60"/>
      <c r="D745" s="66"/>
      <c r="E745" s="66"/>
      <c r="F745" s="66"/>
      <c r="G745" s="66"/>
      <c r="H745" s="66"/>
      <c r="I745" s="66"/>
      <c r="J745" s="66"/>
      <c r="K745" s="66"/>
      <c r="L745" s="66"/>
      <c r="M745" s="66"/>
      <c r="N745" s="66"/>
    </row>
    <row r="746" spans="1:14" x14ac:dyDescent="0.2">
      <c r="A746" s="84"/>
      <c r="B746" s="84"/>
      <c r="C746" s="60"/>
      <c r="D746" s="66"/>
      <c r="E746" s="66"/>
      <c r="F746" s="66"/>
      <c r="G746" s="66"/>
      <c r="H746" s="66"/>
      <c r="I746" s="66"/>
      <c r="J746" s="66"/>
      <c r="K746" s="66"/>
      <c r="L746" s="66"/>
      <c r="M746" s="66"/>
      <c r="N746" s="66"/>
    </row>
    <row r="747" spans="1:14" x14ac:dyDescent="0.2">
      <c r="A747" s="84"/>
      <c r="B747" s="84"/>
      <c r="C747" s="60"/>
      <c r="D747" s="66"/>
      <c r="E747" s="66"/>
      <c r="F747" s="66"/>
      <c r="G747" s="66"/>
      <c r="H747" s="66"/>
      <c r="I747" s="66"/>
      <c r="J747" s="66"/>
      <c r="K747" s="66"/>
      <c r="L747" s="66"/>
      <c r="M747" s="66"/>
      <c r="N747" s="66"/>
    </row>
    <row r="748" spans="1:14" x14ac:dyDescent="0.2">
      <c r="A748" s="84"/>
      <c r="B748" s="84"/>
      <c r="C748" s="60"/>
      <c r="D748" s="66"/>
      <c r="E748" s="66"/>
      <c r="F748" s="66"/>
      <c r="G748" s="66"/>
      <c r="H748" s="66"/>
      <c r="I748" s="66"/>
      <c r="J748" s="66"/>
      <c r="K748" s="66"/>
      <c r="L748" s="66"/>
      <c r="M748" s="66"/>
      <c r="N748" s="66"/>
    </row>
    <row r="749" spans="1:14" x14ac:dyDescent="0.2">
      <c r="A749" s="84"/>
      <c r="B749" s="84"/>
      <c r="C749" s="60"/>
      <c r="D749" s="66"/>
      <c r="E749" s="66"/>
      <c r="F749" s="66"/>
      <c r="G749" s="66"/>
      <c r="H749" s="66"/>
      <c r="I749" s="66"/>
      <c r="J749" s="66"/>
      <c r="K749" s="66"/>
      <c r="L749" s="66"/>
      <c r="M749" s="66"/>
      <c r="N749" s="66"/>
    </row>
    <row r="750" spans="1:14" x14ac:dyDescent="0.2">
      <c r="A750" s="84"/>
      <c r="B750" s="84"/>
      <c r="C750" s="60"/>
      <c r="D750" s="66"/>
      <c r="E750" s="66"/>
      <c r="F750" s="66"/>
      <c r="G750" s="66"/>
      <c r="H750" s="66"/>
      <c r="I750" s="66"/>
      <c r="J750" s="66"/>
      <c r="K750" s="66"/>
      <c r="L750" s="66"/>
      <c r="M750" s="66"/>
      <c r="N750" s="66"/>
    </row>
    <row r="751" spans="1:14" x14ac:dyDescent="0.2">
      <c r="A751" s="84"/>
      <c r="B751" s="84"/>
      <c r="C751" s="60"/>
      <c r="D751" s="66"/>
      <c r="E751" s="66"/>
      <c r="F751" s="66"/>
      <c r="G751" s="66"/>
      <c r="H751" s="66"/>
      <c r="I751" s="66"/>
      <c r="J751" s="66"/>
      <c r="K751" s="66"/>
      <c r="L751" s="66"/>
      <c r="M751" s="66"/>
      <c r="N751" s="66"/>
    </row>
    <row r="752" spans="1:14" x14ac:dyDescent="0.2">
      <c r="A752" s="84"/>
      <c r="B752" s="84"/>
      <c r="C752" s="60"/>
      <c r="D752" s="66"/>
      <c r="E752" s="66"/>
      <c r="F752" s="66"/>
      <c r="G752" s="66"/>
      <c r="H752" s="66"/>
      <c r="I752" s="66"/>
      <c r="J752" s="66"/>
      <c r="K752" s="66"/>
      <c r="L752" s="66"/>
      <c r="M752" s="66"/>
      <c r="N752" s="66"/>
    </row>
    <row r="753" spans="1:14" x14ac:dyDescent="0.2">
      <c r="A753" s="84"/>
      <c r="B753" s="84"/>
      <c r="C753" s="60"/>
      <c r="D753" s="66"/>
      <c r="E753" s="66"/>
      <c r="F753" s="66"/>
      <c r="G753" s="66"/>
      <c r="H753" s="66"/>
      <c r="I753" s="66"/>
      <c r="J753" s="66"/>
      <c r="K753" s="66"/>
      <c r="L753" s="66"/>
      <c r="M753" s="66"/>
      <c r="N753" s="66"/>
    </row>
    <row r="754" spans="1:14" x14ac:dyDescent="0.2">
      <c r="A754" s="84"/>
      <c r="B754" s="84"/>
      <c r="C754" s="60"/>
      <c r="D754" s="66"/>
      <c r="E754" s="66"/>
      <c r="F754" s="66"/>
      <c r="G754" s="66"/>
      <c r="H754" s="66"/>
      <c r="I754" s="66"/>
      <c r="J754" s="66"/>
      <c r="K754" s="66"/>
      <c r="L754" s="66"/>
      <c r="M754" s="66"/>
      <c r="N754" s="66"/>
    </row>
    <row r="755" spans="1:14" x14ac:dyDescent="0.2">
      <c r="A755" s="84"/>
      <c r="B755" s="84"/>
      <c r="C755" s="60"/>
      <c r="D755" s="66"/>
      <c r="E755" s="66"/>
      <c r="F755" s="66"/>
      <c r="G755" s="66"/>
      <c r="H755" s="66"/>
      <c r="I755" s="66"/>
      <c r="J755" s="66"/>
      <c r="K755" s="66"/>
      <c r="L755" s="66"/>
      <c r="M755" s="66"/>
      <c r="N755" s="66"/>
    </row>
    <row r="756" spans="1:14" x14ac:dyDescent="0.2">
      <c r="A756" s="84"/>
      <c r="B756" s="84"/>
      <c r="C756" s="60"/>
      <c r="D756" s="66"/>
      <c r="E756" s="66"/>
      <c r="F756" s="66"/>
      <c r="G756" s="66"/>
      <c r="H756" s="66"/>
      <c r="I756" s="66"/>
      <c r="J756" s="66"/>
      <c r="K756" s="66"/>
      <c r="L756" s="66"/>
      <c r="M756" s="66"/>
      <c r="N756" s="66"/>
    </row>
    <row r="757" spans="1:14" x14ac:dyDescent="0.2">
      <c r="A757" s="84"/>
      <c r="B757" s="84"/>
      <c r="C757" s="60"/>
      <c r="D757" s="66"/>
      <c r="E757" s="66"/>
      <c r="F757" s="66"/>
      <c r="G757" s="66"/>
      <c r="H757" s="66"/>
      <c r="I757" s="66"/>
      <c r="J757" s="66"/>
      <c r="K757" s="66"/>
      <c r="L757" s="66"/>
      <c r="M757" s="66"/>
      <c r="N757" s="66"/>
    </row>
    <row r="758" spans="1:14" x14ac:dyDescent="0.2">
      <c r="A758" s="84"/>
      <c r="B758" s="84"/>
      <c r="C758" s="60"/>
      <c r="D758" s="66"/>
      <c r="E758" s="66"/>
      <c r="F758" s="66"/>
      <c r="G758" s="66"/>
      <c r="H758" s="66"/>
      <c r="I758" s="66"/>
      <c r="J758" s="66"/>
      <c r="K758" s="66"/>
      <c r="L758" s="66"/>
      <c r="M758" s="66"/>
      <c r="N758" s="66"/>
    </row>
    <row r="759" spans="1:14" x14ac:dyDescent="0.2">
      <c r="A759" s="84"/>
      <c r="B759" s="84"/>
      <c r="C759" s="60"/>
      <c r="D759" s="66"/>
      <c r="E759" s="66"/>
      <c r="F759" s="66"/>
      <c r="G759" s="66"/>
      <c r="H759" s="66"/>
      <c r="I759" s="66"/>
      <c r="J759" s="66"/>
      <c r="K759" s="66"/>
      <c r="L759" s="66"/>
      <c r="M759" s="66"/>
      <c r="N759" s="66"/>
    </row>
    <row r="760" spans="1:14" x14ac:dyDescent="0.2">
      <c r="A760" s="84"/>
      <c r="B760" s="84"/>
      <c r="C760" s="60"/>
      <c r="D760" s="66"/>
      <c r="E760" s="66"/>
      <c r="F760" s="66"/>
      <c r="G760" s="66"/>
      <c r="H760" s="66"/>
      <c r="I760" s="66"/>
      <c r="J760" s="66"/>
      <c r="K760" s="66"/>
      <c r="L760" s="66"/>
      <c r="M760" s="66"/>
      <c r="N760" s="66"/>
    </row>
    <row r="761" spans="1:14" x14ac:dyDescent="0.2">
      <c r="A761" s="84"/>
      <c r="B761" s="84"/>
      <c r="C761" s="60"/>
      <c r="D761" s="66"/>
      <c r="E761" s="66"/>
      <c r="F761" s="66"/>
      <c r="G761" s="66"/>
      <c r="H761" s="66"/>
      <c r="I761" s="66"/>
      <c r="J761" s="66"/>
      <c r="K761" s="66"/>
      <c r="L761" s="66"/>
      <c r="M761" s="66"/>
      <c r="N761" s="66"/>
    </row>
    <row r="762" spans="1:14" x14ac:dyDescent="0.2">
      <c r="A762" s="84"/>
      <c r="B762" s="84"/>
      <c r="C762" s="60"/>
      <c r="D762" s="66"/>
      <c r="E762" s="66"/>
      <c r="F762" s="66"/>
      <c r="G762" s="66"/>
      <c r="H762" s="66"/>
      <c r="I762" s="66"/>
      <c r="J762" s="66"/>
      <c r="K762" s="66"/>
      <c r="L762" s="66"/>
      <c r="M762" s="66"/>
      <c r="N762" s="66"/>
    </row>
    <row r="763" spans="1:14" x14ac:dyDescent="0.2">
      <c r="A763" s="84"/>
      <c r="B763" s="84"/>
      <c r="C763" s="60"/>
      <c r="D763" s="66"/>
      <c r="E763" s="66"/>
      <c r="F763" s="66"/>
      <c r="G763" s="66"/>
      <c r="H763" s="66"/>
      <c r="I763" s="66"/>
      <c r="J763" s="66"/>
      <c r="K763" s="66"/>
      <c r="L763" s="66"/>
      <c r="M763" s="66"/>
      <c r="N763" s="66"/>
    </row>
    <row r="764" spans="1:14" x14ac:dyDescent="0.2">
      <c r="A764" s="84"/>
      <c r="B764" s="84"/>
      <c r="C764" s="60"/>
      <c r="D764" s="66"/>
      <c r="E764" s="66"/>
      <c r="F764" s="66"/>
      <c r="G764" s="66"/>
      <c r="H764" s="66"/>
      <c r="I764" s="66"/>
      <c r="J764" s="66"/>
      <c r="K764" s="66"/>
      <c r="L764" s="66"/>
      <c r="M764" s="66"/>
      <c r="N764" s="66"/>
    </row>
    <row r="765" spans="1:14" x14ac:dyDescent="0.2">
      <c r="A765" s="84"/>
      <c r="B765" s="84"/>
      <c r="C765" s="60"/>
      <c r="D765" s="66"/>
      <c r="E765" s="66"/>
      <c r="F765" s="66"/>
      <c r="G765" s="66"/>
      <c r="H765" s="66"/>
      <c r="I765" s="66"/>
      <c r="J765" s="66"/>
      <c r="K765" s="66"/>
      <c r="L765" s="66"/>
      <c r="M765" s="66"/>
      <c r="N765" s="66"/>
    </row>
    <row r="766" spans="1:14" x14ac:dyDescent="0.2">
      <c r="A766" s="84"/>
      <c r="B766" s="84"/>
      <c r="C766" s="60"/>
      <c r="D766" s="66"/>
      <c r="E766" s="66"/>
      <c r="F766" s="66"/>
      <c r="G766" s="66"/>
      <c r="H766" s="66"/>
      <c r="I766" s="66"/>
      <c r="J766" s="66"/>
      <c r="K766" s="66"/>
      <c r="L766" s="66"/>
      <c r="M766" s="66"/>
      <c r="N766" s="66"/>
    </row>
    <row r="767" spans="1:14" x14ac:dyDescent="0.2">
      <c r="A767" s="84"/>
      <c r="B767" s="84"/>
      <c r="C767" s="60"/>
      <c r="D767" s="66"/>
      <c r="E767" s="66"/>
      <c r="F767" s="66"/>
      <c r="G767" s="66"/>
      <c r="H767" s="66"/>
      <c r="I767" s="66"/>
      <c r="J767" s="66"/>
      <c r="K767" s="66"/>
      <c r="L767" s="66"/>
      <c r="M767" s="66"/>
      <c r="N767" s="66"/>
    </row>
    <row r="768" spans="1:14" x14ac:dyDescent="0.2">
      <c r="A768" s="84"/>
      <c r="B768" s="84"/>
      <c r="C768" s="60"/>
      <c r="D768" s="66"/>
      <c r="E768" s="66"/>
      <c r="F768" s="66"/>
      <c r="G768" s="66"/>
      <c r="H768" s="66"/>
      <c r="I768" s="66"/>
      <c r="J768" s="66"/>
      <c r="K768" s="66"/>
      <c r="L768" s="66"/>
      <c r="M768" s="66"/>
      <c r="N768" s="66"/>
    </row>
    <row r="769" spans="1:14" x14ac:dyDescent="0.2">
      <c r="A769" s="84"/>
      <c r="B769" s="84"/>
      <c r="C769" s="60"/>
      <c r="D769" s="66"/>
      <c r="E769" s="66"/>
      <c r="F769" s="66"/>
      <c r="G769" s="66"/>
      <c r="H769" s="66"/>
      <c r="I769" s="66"/>
      <c r="J769" s="66"/>
      <c r="K769" s="66"/>
      <c r="L769" s="66"/>
      <c r="M769" s="66"/>
      <c r="N769" s="66"/>
    </row>
    <row r="770" spans="1:14" x14ac:dyDescent="0.2">
      <c r="A770" s="84"/>
      <c r="B770" s="84"/>
      <c r="C770" s="60"/>
      <c r="D770" s="66"/>
      <c r="E770" s="66"/>
      <c r="F770" s="66"/>
      <c r="G770" s="66"/>
      <c r="H770" s="66"/>
      <c r="I770" s="66"/>
      <c r="J770" s="66"/>
      <c r="K770" s="66"/>
      <c r="L770" s="66"/>
      <c r="M770" s="66"/>
      <c r="N770" s="66"/>
    </row>
    <row r="771" spans="1:14" x14ac:dyDescent="0.2">
      <c r="A771" s="84"/>
      <c r="B771" s="84"/>
      <c r="C771" s="60"/>
      <c r="D771" s="66"/>
      <c r="E771" s="66"/>
      <c r="F771" s="66"/>
      <c r="G771" s="66"/>
      <c r="H771" s="66"/>
      <c r="I771" s="66"/>
      <c r="J771" s="66"/>
      <c r="K771" s="66"/>
      <c r="L771" s="66"/>
      <c r="M771" s="66"/>
      <c r="N771" s="66"/>
    </row>
    <row r="772" spans="1:14" x14ac:dyDescent="0.2">
      <c r="A772" s="84"/>
      <c r="B772" s="84"/>
      <c r="C772" s="60"/>
      <c r="D772" s="66"/>
      <c r="E772" s="66"/>
      <c r="F772" s="66"/>
      <c r="G772" s="66"/>
      <c r="H772" s="66"/>
      <c r="I772" s="66"/>
      <c r="J772" s="66"/>
      <c r="K772" s="66"/>
      <c r="L772" s="66"/>
      <c r="M772" s="66"/>
      <c r="N772" s="66"/>
    </row>
    <row r="773" spans="1:14" x14ac:dyDescent="0.2">
      <c r="A773" s="84"/>
      <c r="B773" s="84"/>
      <c r="C773" s="60"/>
      <c r="D773" s="66"/>
      <c r="E773" s="66"/>
      <c r="F773" s="66"/>
      <c r="G773" s="66"/>
      <c r="H773" s="66"/>
      <c r="I773" s="66"/>
      <c r="J773" s="66"/>
      <c r="K773" s="66"/>
      <c r="L773" s="66"/>
      <c r="M773" s="66"/>
      <c r="N773" s="66"/>
    </row>
    <row r="774" spans="1:14" x14ac:dyDescent="0.2">
      <c r="A774" s="84"/>
      <c r="B774" s="84"/>
      <c r="C774" s="60"/>
      <c r="D774" s="66"/>
      <c r="E774" s="66"/>
      <c r="F774" s="66"/>
      <c r="G774" s="66"/>
      <c r="H774" s="66"/>
      <c r="I774" s="66"/>
      <c r="J774" s="66"/>
      <c r="K774" s="66"/>
      <c r="L774" s="66"/>
      <c r="M774" s="66"/>
      <c r="N774" s="66"/>
    </row>
    <row r="775" spans="1:14" x14ac:dyDescent="0.2">
      <c r="A775" s="84"/>
      <c r="B775" s="84"/>
      <c r="C775" s="60"/>
      <c r="D775" s="66"/>
      <c r="E775" s="66"/>
      <c r="F775" s="66"/>
      <c r="G775" s="66"/>
      <c r="H775" s="66"/>
      <c r="I775" s="66"/>
      <c r="J775" s="66"/>
      <c r="K775" s="66"/>
      <c r="L775" s="66"/>
      <c r="M775" s="66"/>
      <c r="N775" s="66"/>
    </row>
    <row r="776" spans="1:14" x14ac:dyDescent="0.2">
      <c r="A776" s="84"/>
      <c r="B776" s="84"/>
      <c r="C776" s="60"/>
      <c r="D776" s="66"/>
      <c r="E776" s="66"/>
      <c r="F776" s="66"/>
      <c r="G776" s="66"/>
      <c r="H776" s="66"/>
      <c r="I776" s="66"/>
      <c r="J776" s="66"/>
      <c r="K776" s="66"/>
      <c r="L776" s="66"/>
      <c r="M776" s="66"/>
      <c r="N776" s="66"/>
    </row>
    <row r="777" spans="1:14" x14ac:dyDescent="0.2">
      <c r="A777" s="84"/>
      <c r="B777" s="84"/>
      <c r="C777" s="60"/>
      <c r="D777" s="66"/>
      <c r="E777" s="66"/>
      <c r="F777" s="66"/>
      <c r="G777" s="66"/>
      <c r="H777" s="66"/>
      <c r="I777" s="66"/>
      <c r="J777" s="66"/>
      <c r="K777" s="66"/>
      <c r="L777" s="66"/>
      <c r="M777" s="66"/>
      <c r="N777" s="66"/>
    </row>
    <row r="778" spans="1:14" x14ac:dyDescent="0.2">
      <c r="A778" s="84"/>
      <c r="B778" s="84"/>
      <c r="C778" s="60"/>
      <c r="D778" s="66"/>
      <c r="E778" s="66"/>
      <c r="F778" s="66"/>
      <c r="G778" s="66"/>
      <c r="H778" s="66"/>
      <c r="I778" s="66"/>
      <c r="J778" s="66"/>
      <c r="K778" s="66"/>
      <c r="L778" s="66"/>
      <c r="M778" s="66"/>
      <c r="N778" s="66"/>
    </row>
    <row r="779" spans="1:14" x14ac:dyDescent="0.2">
      <c r="A779" s="84"/>
      <c r="B779" s="84"/>
      <c r="C779" s="60"/>
      <c r="D779" s="66"/>
      <c r="E779" s="66"/>
      <c r="F779" s="66"/>
      <c r="G779" s="66"/>
      <c r="H779" s="66"/>
      <c r="I779" s="66"/>
      <c r="J779" s="66"/>
      <c r="K779" s="66"/>
      <c r="L779" s="66"/>
      <c r="M779" s="66"/>
      <c r="N779" s="66"/>
    </row>
    <row r="780" spans="1:14" x14ac:dyDescent="0.2">
      <c r="A780" s="84"/>
      <c r="B780" s="84"/>
      <c r="C780" s="60"/>
      <c r="D780" s="66"/>
      <c r="E780" s="66"/>
      <c r="F780" s="66"/>
      <c r="G780" s="66"/>
      <c r="H780" s="66"/>
      <c r="I780" s="66"/>
      <c r="J780" s="66"/>
      <c r="K780" s="66"/>
      <c r="L780" s="66"/>
      <c r="M780" s="66"/>
      <c r="N780" s="66"/>
    </row>
    <row r="781" spans="1:14" x14ac:dyDescent="0.2">
      <c r="A781" s="84"/>
      <c r="B781" s="84"/>
      <c r="C781" s="60"/>
      <c r="D781" s="66"/>
      <c r="E781" s="66"/>
      <c r="F781" s="66"/>
      <c r="G781" s="66"/>
      <c r="H781" s="66"/>
      <c r="I781" s="66"/>
      <c r="J781" s="66"/>
      <c r="K781" s="66"/>
      <c r="L781" s="66"/>
      <c r="M781" s="66"/>
      <c r="N781" s="66"/>
    </row>
    <row r="782" spans="1:14" x14ac:dyDescent="0.2">
      <c r="A782" s="84"/>
      <c r="B782" s="84"/>
      <c r="C782" s="60"/>
      <c r="D782" s="66"/>
      <c r="E782" s="66"/>
      <c r="F782" s="66"/>
      <c r="G782" s="66"/>
      <c r="H782" s="66"/>
      <c r="I782" s="66"/>
      <c r="J782" s="66"/>
      <c r="K782" s="66"/>
      <c r="L782" s="66"/>
      <c r="M782" s="66"/>
      <c r="N782" s="66"/>
    </row>
    <row r="783" spans="1:14" x14ac:dyDescent="0.2">
      <c r="A783" s="84"/>
      <c r="B783" s="84"/>
      <c r="C783" s="60"/>
      <c r="D783" s="66"/>
      <c r="E783" s="66"/>
      <c r="F783" s="66"/>
      <c r="G783" s="66"/>
      <c r="H783" s="66"/>
      <c r="I783" s="66"/>
      <c r="J783" s="66"/>
      <c r="K783" s="66"/>
      <c r="L783" s="66"/>
      <c r="M783" s="66"/>
      <c r="N783" s="66"/>
    </row>
    <row r="784" spans="1:14" x14ac:dyDescent="0.2">
      <c r="A784" s="84"/>
      <c r="B784" s="84"/>
      <c r="C784" s="60"/>
      <c r="D784" s="66"/>
      <c r="E784" s="66"/>
      <c r="F784" s="66"/>
      <c r="G784" s="66"/>
      <c r="H784" s="66"/>
      <c r="I784" s="66"/>
      <c r="J784" s="66"/>
      <c r="K784" s="66"/>
      <c r="L784" s="66"/>
      <c r="M784" s="66"/>
      <c r="N784" s="66"/>
    </row>
    <row r="785" spans="1:14" x14ac:dyDescent="0.2">
      <c r="A785" s="84"/>
      <c r="B785" s="84"/>
      <c r="C785" s="60"/>
      <c r="D785" s="66"/>
      <c r="E785" s="66"/>
      <c r="F785" s="66"/>
      <c r="G785" s="66"/>
      <c r="H785" s="66"/>
      <c r="I785" s="66"/>
      <c r="J785" s="66"/>
      <c r="K785" s="66"/>
      <c r="L785" s="66"/>
      <c r="M785" s="66"/>
      <c r="N785" s="66"/>
    </row>
    <row r="786" spans="1:14" x14ac:dyDescent="0.2">
      <c r="A786" s="84"/>
      <c r="B786" s="84"/>
      <c r="C786" s="60"/>
      <c r="D786" s="66"/>
      <c r="E786" s="66"/>
      <c r="F786" s="66"/>
      <c r="G786" s="66"/>
      <c r="H786" s="66"/>
      <c r="I786" s="66"/>
      <c r="J786" s="66"/>
      <c r="K786" s="66"/>
      <c r="L786" s="66"/>
      <c r="M786" s="66"/>
      <c r="N786" s="66"/>
    </row>
    <row r="787" spans="1:14" x14ac:dyDescent="0.2">
      <c r="A787" s="84"/>
      <c r="B787" s="84"/>
      <c r="C787" s="60"/>
      <c r="D787" s="66"/>
      <c r="E787" s="66"/>
      <c r="F787" s="66"/>
      <c r="G787" s="66"/>
      <c r="H787" s="66"/>
      <c r="I787" s="66"/>
      <c r="J787" s="66"/>
      <c r="K787" s="66"/>
      <c r="L787" s="66"/>
      <c r="M787" s="66"/>
      <c r="N787" s="66"/>
    </row>
    <row r="788" spans="1:14" x14ac:dyDescent="0.2">
      <c r="A788" s="84"/>
      <c r="B788" s="84"/>
      <c r="C788" s="60"/>
      <c r="D788" s="66"/>
      <c r="E788" s="66"/>
      <c r="F788" s="66"/>
      <c r="G788" s="66"/>
      <c r="H788" s="66"/>
      <c r="I788" s="66"/>
      <c r="J788" s="66"/>
      <c r="K788" s="66"/>
      <c r="L788" s="66"/>
      <c r="M788" s="66"/>
      <c r="N788" s="66"/>
    </row>
    <row r="789" spans="1:14" x14ac:dyDescent="0.2">
      <c r="A789" s="84"/>
      <c r="B789" s="84"/>
      <c r="C789" s="60"/>
      <c r="D789" s="66"/>
      <c r="E789" s="66"/>
      <c r="F789" s="66"/>
      <c r="G789" s="66"/>
      <c r="H789" s="66"/>
      <c r="I789" s="66"/>
      <c r="J789" s="66"/>
      <c r="K789" s="66"/>
      <c r="L789" s="66"/>
      <c r="M789" s="66"/>
      <c r="N789" s="66"/>
    </row>
    <row r="790" spans="1:14" x14ac:dyDescent="0.2">
      <c r="A790" s="84"/>
      <c r="B790" s="84"/>
      <c r="C790" s="60"/>
      <c r="D790" s="66"/>
      <c r="E790" s="66"/>
      <c r="F790" s="66"/>
      <c r="G790" s="66"/>
      <c r="H790" s="66"/>
      <c r="I790" s="66"/>
      <c r="J790" s="66"/>
      <c r="K790" s="66"/>
      <c r="L790" s="66"/>
      <c r="M790" s="66"/>
      <c r="N790" s="66"/>
    </row>
    <row r="791" spans="1:14" x14ac:dyDescent="0.2">
      <c r="A791" s="84"/>
      <c r="B791" s="84"/>
      <c r="C791" s="60"/>
      <c r="D791" s="66"/>
      <c r="E791" s="66"/>
      <c r="F791" s="66"/>
      <c r="G791" s="66"/>
      <c r="H791" s="66"/>
      <c r="I791" s="66"/>
      <c r="J791" s="66"/>
      <c r="K791" s="66"/>
      <c r="L791" s="66"/>
      <c r="M791" s="66"/>
      <c r="N791" s="66"/>
    </row>
    <row r="792" spans="1:14" x14ac:dyDescent="0.2">
      <c r="A792" s="84"/>
      <c r="B792" s="84"/>
      <c r="C792" s="60"/>
      <c r="D792" s="66"/>
      <c r="E792" s="66"/>
      <c r="F792" s="66"/>
      <c r="G792" s="66"/>
      <c r="H792" s="66"/>
      <c r="I792" s="66"/>
      <c r="J792" s="66"/>
      <c r="K792" s="66"/>
      <c r="L792" s="66"/>
      <c r="M792" s="66"/>
      <c r="N792" s="66"/>
    </row>
    <row r="793" spans="1:14" x14ac:dyDescent="0.2">
      <c r="A793" s="84"/>
      <c r="B793" s="84"/>
      <c r="C793" s="60"/>
      <c r="D793" s="66"/>
      <c r="E793" s="66"/>
      <c r="F793" s="66"/>
      <c r="G793" s="66"/>
      <c r="H793" s="66"/>
      <c r="I793" s="66"/>
      <c r="J793" s="66"/>
      <c r="K793" s="66"/>
      <c r="L793" s="66"/>
      <c r="M793" s="66"/>
      <c r="N793" s="66"/>
    </row>
    <row r="794" spans="1:14" x14ac:dyDescent="0.2">
      <c r="A794" s="84"/>
      <c r="B794" s="84"/>
      <c r="C794" s="60"/>
      <c r="D794" s="66"/>
      <c r="E794" s="66"/>
      <c r="F794" s="66"/>
      <c r="G794" s="66"/>
      <c r="H794" s="66"/>
      <c r="I794" s="66"/>
      <c r="J794" s="66"/>
      <c r="K794" s="66"/>
      <c r="L794" s="66"/>
      <c r="M794" s="66"/>
      <c r="N794" s="66"/>
    </row>
    <row r="795" spans="1:14" x14ac:dyDescent="0.2">
      <c r="A795" s="84"/>
      <c r="B795" s="84"/>
      <c r="C795" s="60"/>
      <c r="D795" s="66"/>
      <c r="E795" s="66"/>
      <c r="F795" s="66"/>
      <c r="G795" s="66"/>
      <c r="H795" s="66"/>
      <c r="I795" s="66"/>
      <c r="J795" s="66"/>
      <c r="K795" s="66"/>
      <c r="L795" s="66"/>
      <c r="M795" s="66"/>
      <c r="N795" s="66"/>
    </row>
    <row r="796" spans="1:14" x14ac:dyDescent="0.2">
      <c r="A796" s="84"/>
      <c r="B796" s="84"/>
      <c r="C796" s="60"/>
      <c r="D796" s="66"/>
      <c r="E796" s="66"/>
      <c r="F796" s="66"/>
      <c r="G796" s="66"/>
      <c r="H796" s="66"/>
      <c r="I796" s="66"/>
      <c r="J796" s="66"/>
      <c r="K796" s="66"/>
      <c r="L796" s="66"/>
      <c r="M796" s="66"/>
      <c r="N796" s="66"/>
    </row>
    <row r="797" spans="1:14" x14ac:dyDescent="0.2">
      <c r="A797" s="84"/>
      <c r="B797" s="84"/>
      <c r="C797" s="60"/>
      <c r="D797" s="66"/>
      <c r="E797" s="66"/>
      <c r="F797" s="66"/>
      <c r="G797" s="66"/>
      <c r="H797" s="66"/>
      <c r="I797" s="66"/>
      <c r="J797" s="66"/>
      <c r="K797" s="66"/>
      <c r="L797" s="66"/>
      <c r="M797" s="66"/>
      <c r="N797" s="66"/>
    </row>
    <row r="798" spans="1:14" x14ac:dyDescent="0.2">
      <c r="A798" s="84"/>
      <c r="B798" s="84"/>
      <c r="C798" s="60"/>
      <c r="D798" s="66"/>
      <c r="E798" s="66"/>
      <c r="F798" s="66"/>
      <c r="G798" s="66"/>
      <c r="H798" s="66"/>
      <c r="I798" s="66"/>
      <c r="J798" s="66"/>
      <c r="K798" s="66"/>
      <c r="L798" s="66"/>
      <c r="M798" s="66"/>
      <c r="N798" s="66"/>
    </row>
    <row r="799" spans="1:14" x14ac:dyDescent="0.2">
      <c r="A799" s="84"/>
      <c r="B799" s="84"/>
      <c r="C799" s="60"/>
      <c r="D799" s="66"/>
      <c r="E799" s="66"/>
      <c r="F799" s="66"/>
      <c r="G799" s="66"/>
      <c r="H799" s="66"/>
      <c r="I799" s="66"/>
      <c r="J799" s="66"/>
      <c r="K799" s="66"/>
      <c r="L799" s="66"/>
      <c r="M799" s="66"/>
      <c r="N799" s="66"/>
    </row>
    <row r="800" spans="1:14" x14ac:dyDescent="0.2">
      <c r="A800" s="84"/>
      <c r="B800" s="84"/>
      <c r="C800" s="60"/>
      <c r="D800" s="66"/>
      <c r="E800" s="66"/>
      <c r="F800" s="66"/>
      <c r="G800" s="66"/>
      <c r="H800" s="66"/>
      <c r="I800" s="66"/>
      <c r="J800" s="66"/>
      <c r="K800" s="66"/>
      <c r="L800" s="66"/>
      <c r="M800" s="66"/>
      <c r="N800" s="66"/>
    </row>
    <row r="801" spans="1:14" x14ac:dyDescent="0.2">
      <c r="A801" s="84"/>
      <c r="B801" s="84"/>
      <c r="C801" s="60"/>
      <c r="D801" s="66"/>
      <c r="E801" s="66"/>
      <c r="F801" s="66"/>
      <c r="G801" s="66"/>
      <c r="H801" s="66"/>
      <c r="I801" s="66"/>
      <c r="J801" s="66"/>
      <c r="K801" s="66"/>
      <c r="L801" s="66"/>
      <c r="M801" s="66"/>
      <c r="N801" s="66"/>
    </row>
    <row r="802" spans="1:14" x14ac:dyDescent="0.2">
      <c r="A802" s="84"/>
      <c r="B802" s="84"/>
      <c r="C802" s="60"/>
      <c r="D802" s="66"/>
      <c r="E802" s="66"/>
      <c r="F802" s="66"/>
      <c r="G802" s="66"/>
      <c r="H802" s="66"/>
      <c r="I802" s="66"/>
      <c r="J802" s="66"/>
      <c r="K802" s="66"/>
      <c r="L802" s="66"/>
      <c r="M802" s="66"/>
      <c r="N802" s="66"/>
    </row>
    <row r="803" spans="1:14" x14ac:dyDescent="0.2">
      <c r="A803" s="84"/>
      <c r="B803" s="84"/>
      <c r="C803" s="60"/>
      <c r="D803" s="66"/>
      <c r="E803" s="66"/>
      <c r="F803" s="66"/>
      <c r="G803" s="66"/>
      <c r="H803" s="66"/>
      <c r="I803" s="66"/>
      <c r="J803" s="66"/>
      <c r="K803" s="66"/>
      <c r="L803" s="66"/>
      <c r="M803" s="66"/>
      <c r="N803" s="66"/>
    </row>
    <row r="804" spans="1:14" x14ac:dyDescent="0.2">
      <c r="A804" s="84"/>
      <c r="B804" s="84"/>
      <c r="C804" s="60"/>
      <c r="D804" s="66"/>
      <c r="E804" s="66"/>
      <c r="F804" s="66"/>
      <c r="G804" s="66"/>
      <c r="H804" s="66"/>
      <c r="I804" s="66"/>
      <c r="J804" s="66"/>
      <c r="K804" s="66"/>
      <c r="L804" s="66"/>
      <c r="M804" s="66"/>
      <c r="N804" s="66"/>
    </row>
    <row r="805" spans="1:14" x14ac:dyDescent="0.2">
      <c r="A805" s="84"/>
      <c r="B805" s="84"/>
      <c r="C805" s="60"/>
      <c r="D805" s="66"/>
      <c r="E805" s="66"/>
      <c r="F805" s="66"/>
      <c r="G805" s="66"/>
      <c r="H805" s="66"/>
      <c r="I805" s="66"/>
      <c r="J805" s="66"/>
      <c r="K805" s="66"/>
      <c r="L805" s="66"/>
      <c r="M805" s="66"/>
      <c r="N805" s="66"/>
    </row>
    <row r="806" spans="1:14" x14ac:dyDescent="0.2">
      <c r="A806" s="84"/>
      <c r="B806" s="84"/>
      <c r="C806" s="60"/>
      <c r="D806" s="66"/>
      <c r="E806" s="66"/>
      <c r="F806" s="66"/>
      <c r="G806" s="66"/>
      <c r="H806" s="66"/>
      <c r="I806" s="66"/>
      <c r="J806" s="66"/>
      <c r="K806" s="66"/>
      <c r="L806" s="66"/>
      <c r="M806" s="66"/>
      <c r="N806" s="66"/>
    </row>
    <row r="807" spans="1:14" x14ac:dyDescent="0.2">
      <c r="A807" s="84"/>
      <c r="B807" s="84"/>
      <c r="C807" s="60"/>
      <c r="D807" s="66"/>
      <c r="E807" s="66"/>
      <c r="F807" s="66"/>
      <c r="G807" s="66"/>
      <c r="H807" s="66"/>
      <c r="I807" s="66"/>
      <c r="J807" s="66"/>
      <c r="K807" s="66"/>
      <c r="L807" s="66"/>
      <c r="M807" s="66"/>
      <c r="N807" s="66"/>
    </row>
    <row r="808" spans="1:14" x14ac:dyDescent="0.2">
      <c r="A808" s="84"/>
      <c r="B808" s="84"/>
      <c r="C808" s="60"/>
      <c r="D808" s="66"/>
      <c r="E808" s="66"/>
      <c r="F808" s="66"/>
      <c r="G808" s="66"/>
      <c r="H808" s="66"/>
      <c r="I808" s="66"/>
      <c r="J808" s="66"/>
      <c r="K808" s="66"/>
      <c r="L808" s="66"/>
      <c r="M808" s="66"/>
      <c r="N808" s="66"/>
    </row>
    <row r="809" spans="1:14" x14ac:dyDescent="0.2">
      <c r="A809" s="84"/>
      <c r="B809" s="84"/>
      <c r="C809" s="60"/>
      <c r="D809" s="66"/>
      <c r="E809" s="66"/>
      <c r="F809" s="66"/>
      <c r="G809" s="66"/>
      <c r="H809" s="66"/>
      <c r="I809" s="66"/>
      <c r="J809" s="66"/>
      <c r="K809" s="66"/>
      <c r="L809" s="66"/>
      <c r="M809" s="66"/>
      <c r="N809" s="66"/>
    </row>
    <row r="810" spans="1:14" x14ac:dyDescent="0.2">
      <c r="A810" s="84"/>
      <c r="B810" s="84"/>
      <c r="C810" s="60"/>
      <c r="D810" s="66"/>
      <c r="E810" s="66"/>
      <c r="F810" s="66"/>
      <c r="G810" s="66"/>
      <c r="H810" s="66"/>
      <c r="I810" s="66"/>
      <c r="J810" s="66"/>
      <c r="K810" s="66"/>
      <c r="L810" s="66"/>
      <c r="M810" s="66"/>
      <c r="N810" s="66"/>
    </row>
    <row r="811" spans="1:14" x14ac:dyDescent="0.2">
      <c r="A811" s="84"/>
      <c r="B811" s="84"/>
      <c r="C811" s="60"/>
      <c r="D811" s="66"/>
      <c r="E811" s="66"/>
      <c r="F811" s="66"/>
      <c r="G811" s="66"/>
      <c r="H811" s="66"/>
      <c r="I811" s="66"/>
      <c r="J811" s="66"/>
      <c r="K811" s="66"/>
      <c r="L811" s="66"/>
      <c r="M811" s="66"/>
      <c r="N811" s="66"/>
    </row>
    <row r="812" spans="1:14" x14ac:dyDescent="0.2">
      <c r="A812" s="84"/>
      <c r="B812" s="84"/>
      <c r="C812" s="60"/>
      <c r="D812" s="66"/>
      <c r="E812" s="66"/>
      <c r="F812" s="66"/>
      <c r="G812" s="66"/>
      <c r="H812" s="66"/>
      <c r="I812" s="66"/>
      <c r="J812" s="66"/>
      <c r="K812" s="66"/>
      <c r="L812" s="66"/>
      <c r="M812" s="66"/>
      <c r="N812" s="66"/>
    </row>
    <row r="813" spans="1:14" x14ac:dyDescent="0.2">
      <c r="A813" s="84"/>
      <c r="B813" s="84"/>
      <c r="C813" s="60"/>
      <c r="D813" s="66"/>
      <c r="E813" s="66"/>
      <c r="F813" s="66"/>
      <c r="G813" s="66"/>
      <c r="H813" s="66"/>
      <c r="I813" s="66"/>
      <c r="J813" s="66"/>
      <c r="K813" s="66"/>
      <c r="L813" s="66"/>
      <c r="M813" s="66"/>
      <c r="N813" s="66"/>
    </row>
    <row r="814" spans="1:14" x14ac:dyDescent="0.2">
      <c r="A814" s="84"/>
      <c r="B814" s="84"/>
      <c r="C814" s="60"/>
      <c r="D814" s="66"/>
      <c r="E814" s="66"/>
      <c r="F814" s="66"/>
      <c r="G814" s="66"/>
      <c r="H814" s="66"/>
      <c r="I814" s="66"/>
      <c r="J814" s="66"/>
      <c r="K814" s="66"/>
      <c r="L814" s="66"/>
      <c r="M814" s="66"/>
      <c r="N814" s="66"/>
    </row>
    <row r="815" spans="1:14" x14ac:dyDescent="0.2">
      <c r="A815" s="84"/>
      <c r="B815" s="84"/>
      <c r="C815" s="60"/>
      <c r="D815" s="66"/>
      <c r="E815" s="66"/>
      <c r="F815" s="66"/>
      <c r="G815" s="66"/>
      <c r="H815" s="66"/>
      <c r="I815" s="66"/>
      <c r="J815" s="66"/>
      <c r="K815" s="66"/>
      <c r="L815" s="66"/>
      <c r="M815" s="66"/>
      <c r="N815" s="66"/>
    </row>
    <row r="816" spans="1:14" x14ac:dyDescent="0.2">
      <c r="A816" s="84"/>
      <c r="B816" s="84"/>
      <c r="C816" s="60"/>
      <c r="D816" s="66"/>
      <c r="E816" s="66"/>
      <c r="F816" s="66"/>
      <c r="G816" s="66"/>
      <c r="H816" s="66"/>
      <c r="I816" s="66"/>
      <c r="J816" s="66"/>
      <c r="K816" s="66"/>
      <c r="L816" s="66"/>
      <c r="M816" s="66"/>
      <c r="N816" s="66"/>
    </row>
    <row r="817" spans="1:14" x14ac:dyDescent="0.2">
      <c r="A817" s="84"/>
      <c r="B817" s="84"/>
      <c r="C817" s="60"/>
      <c r="D817" s="66"/>
      <c r="E817" s="66"/>
      <c r="F817" s="66"/>
      <c r="G817" s="66"/>
      <c r="H817" s="66"/>
      <c r="I817" s="66"/>
      <c r="J817" s="66"/>
      <c r="K817" s="66"/>
      <c r="L817" s="66"/>
      <c r="M817" s="66"/>
      <c r="N817" s="66"/>
    </row>
    <row r="818" spans="1:14" x14ac:dyDescent="0.2">
      <c r="A818" s="84"/>
      <c r="B818" s="84"/>
      <c r="C818" s="60"/>
      <c r="D818" s="66"/>
      <c r="E818" s="66"/>
      <c r="F818" s="66"/>
      <c r="G818" s="66"/>
      <c r="H818" s="66"/>
      <c r="I818" s="66"/>
      <c r="J818" s="66"/>
      <c r="K818" s="66"/>
      <c r="L818" s="66"/>
      <c r="M818" s="66"/>
      <c r="N818" s="66"/>
    </row>
    <row r="819" spans="1:14" x14ac:dyDescent="0.2">
      <c r="A819" s="84"/>
      <c r="B819" s="84"/>
      <c r="C819" s="60"/>
      <c r="D819" s="66"/>
      <c r="E819" s="66"/>
      <c r="F819" s="66"/>
      <c r="G819" s="66"/>
      <c r="H819" s="66"/>
      <c r="I819" s="66"/>
      <c r="J819" s="66"/>
      <c r="K819" s="66"/>
      <c r="L819" s="66"/>
      <c r="M819" s="66"/>
      <c r="N819" s="66"/>
    </row>
    <row r="820" spans="1:14" x14ac:dyDescent="0.2">
      <c r="A820" s="84"/>
      <c r="B820" s="84"/>
      <c r="C820" s="60"/>
      <c r="D820" s="66"/>
      <c r="E820" s="66"/>
      <c r="F820" s="66"/>
      <c r="G820" s="66"/>
      <c r="H820" s="66"/>
      <c r="I820" s="66"/>
      <c r="J820" s="66"/>
      <c r="K820" s="66"/>
      <c r="L820" s="66"/>
      <c r="M820" s="66"/>
      <c r="N820" s="66"/>
    </row>
    <row r="821" spans="1:14" x14ac:dyDescent="0.2">
      <c r="A821" s="84"/>
      <c r="B821" s="84"/>
      <c r="C821" s="60"/>
      <c r="D821" s="66"/>
      <c r="E821" s="66"/>
      <c r="F821" s="66"/>
      <c r="G821" s="66"/>
      <c r="H821" s="66"/>
      <c r="I821" s="66"/>
      <c r="J821" s="66"/>
      <c r="K821" s="66"/>
      <c r="L821" s="66"/>
      <c r="M821" s="66"/>
      <c r="N821" s="66"/>
    </row>
    <row r="822" spans="1:14" x14ac:dyDescent="0.2">
      <c r="A822" s="84"/>
      <c r="B822" s="84"/>
      <c r="C822" s="60"/>
      <c r="D822" s="66"/>
      <c r="E822" s="66"/>
      <c r="F822" s="66"/>
      <c r="G822" s="66"/>
      <c r="H822" s="66"/>
      <c r="I822" s="66"/>
      <c r="J822" s="66"/>
      <c r="K822" s="66"/>
      <c r="L822" s="66"/>
      <c r="M822" s="66"/>
      <c r="N822" s="66"/>
    </row>
    <row r="823" spans="1:14" x14ac:dyDescent="0.2">
      <c r="A823" s="84"/>
      <c r="B823" s="84"/>
      <c r="C823" s="60"/>
      <c r="D823" s="66"/>
      <c r="E823" s="66"/>
      <c r="F823" s="66"/>
      <c r="G823" s="66"/>
      <c r="H823" s="66"/>
      <c r="I823" s="66"/>
      <c r="J823" s="66"/>
      <c r="K823" s="66"/>
      <c r="L823" s="66"/>
      <c r="M823" s="66"/>
      <c r="N823" s="66"/>
    </row>
    <row r="824" spans="1:14" x14ac:dyDescent="0.2">
      <c r="A824" s="84"/>
      <c r="B824" s="84"/>
      <c r="C824" s="60"/>
      <c r="D824" s="66"/>
      <c r="E824" s="66"/>
      <c r="F824" s="66"/>
      <c r="G824" s="66"/>
      <c r="H824" s="66"/>
      <c r="I824" s="66"/>
      <c r="J824" s="66"/>
      <c r="K824" s="66"/>
      <c r="L824" s="66"/>
      <c r="M824" s="66"/>
      <c r="N824" s="66"/>
    </row>
    <row r="825" spans="1:14" x14ac:dyDescent="0.2">
      <c r="A825" s="84"/>
      <c r="B825" s="84"/>
      <c r="C825" s="60"/>
      <c r="D825" s="66"/>
      <c r="E825" s="66"/>
      <c r="F825" s="66"/>
      <c r="G825" s="66"/>
      <c r="H825" s="66"/>
      <c r="I825" s="66"/>
      <c r="J825" s="66"/>
      <c r="K825" s="66"/>
      <c r="L825" s="66"/>
      <c r="M825" s="66"/>
      <c r="N825" s="66"/>
    </row>
    <row r="826" spans="1:14" x14ac:dyDescent="0.2">
      <c r="A826" s="84"/>
      <c r="B826" s="84"/>
      <c r="C826" s="60"/>
      <c r="D826" s="66"/>
      <c r="E826" s="66"/>
      <c r="F826" s="66"/>
      <c r="G826" s="66"/>
      <c r="H826" s="66"/>
      <c r="I826" s="66"/>
      <c r="J826" s="66"/>
      <c r="K826" s="66"/>
      <c r="L826" s="66"/>
      <c r="M826" s="66"/>
      <c r="N826" s="66"/>
    </row>
    <row r="827" spans="1:14" x14ac:dyDescent="0.2">
      <c r="A827" s="84"/>
      <c r="B827" s="84"/>
      <c r="C827" s="60"/>
      <c r="D827" s="66"/>
      <c r="E827" s="66"/>
      <c r="F827" s="66"/>
      <c r="G827" s="66"/>
      <c r="H827" s="66"/>
      <c r="I827" s="66"/>
      <c r="J827" s="66"/>
      <c r="K827" s="66"/>
      <c r="L827" s="66"/>
      <c r="M827" s="66"/>
      <c r="N827" s="66"/>
    </row>
    <row r="828" spans="1:14" x14ac:dyDescent="0.2">
      <c r="A828" s="84"/>
      <c r="B828" s="84"/>
      <c r="C828" s="60"/>
      <c r="D828" s="66"/>
      <c r="E828" s="66"/>
      <c r="F828" s="66"/>
      <c r="G828" s="66"/>
      <c r="H828" s="66"/>
      <c r="I828" s="66"/>
      <c r="J828" s="66"/>
      <c r="K828" s="66"/>
      <c r="L828" s="66"/>
      <c r="M828" s="66"/>
      <c r="N828" s="66"/>
    </row>
    <row r="829" spans="1:14" x14ac:dyDescent="0.2">
      <c r="A829" s="84"/>
      <c r="B829" s="84"/>
      <c r="C829" s="60"/>
      <c r="D829" s="66"/>
      <c r="E829" s="66"/>
      <c r="F829" s="66"/>
      <c r="G829" s="66"/>
      <c r="H829" s="66"/>
      <c r="I829" s="66"/>
      <c r="J829" s="66"/>
      <c r="K829" s="66"/>
      <c r="L829" s="66"/>
      <c r="M829" s="66"/>
      <c r="N829" s="66"/>
    </row>
    <row r="830" spans="1:14" x14ac:dyDescent="0.2">
      <c r="A830" s="84"/>
      <c r="B830" s="84"/>
      <c r="C830" s="60"/>
      <c r="D830" s="66"/>
      <c r="E830" s="66"/>
      <c r="F830" s="66"/>
      <c r="G830" s="66"/>
      <c r="H830" s="66"/>
      <c r="I830" s="66"/>
      <c r="J830" s="66"/>
      <c r="K830" s="66"/>
      <c r="L830" s="66"/>
      <c r="M830" s="66"/>
      <c r="N830" s="66"/>
    </row>
    <row r="831" spans="1:14" x14ac:dyDescent="0.2">
      <c r="A831" s="84"/>
      <c r="B831" s="84"/>
      <c r="C831" s="60"/>
      <c r="D831" s="66"/>
      <c r="E831" s="66"/>
      <c r="F831" s="66"/>
      <c r="G831" s="66"/>
      <c r="H831" s="66"/>
      <c r="I831" s="66"/>
      <c r="J831" s="66"/>
      <c r="K831" s="66"/>
      <c r="L831" s="66"/>
      <c r="M831" s="66"/>
      <c r="N831" s="66"/>
    </row>
    <row r="832" spans="1:14" x14ac:dyDescent="0.2">
      <c r="A832" s="84"/>
      <c r="B832" s="84"/>
      <c r="C832" s="60"/>
      <c r="D832" s="66"/>
      <c r="E832" s="66"/>
      <c r="F832" s="66"/>
      <c r="G832" s="66"/>
      <c r="H832" s="66"/>
      <c r="I832" s="66"/>
      <c r="J832" s="66"/>
      <c r="K832" s="66"/>
      <c r="L832" s="66"/>
      <c r="M832" s="66"/>
      <c r="N832" s="66"/>
    </row>
    <row r="833" spans="1:14" x14ac:dyDescent="0.2">
      <c r="A833" s="84"/>
      <c r="B833" s="84"/>
      <c r="C833" s="60"/>
      <c r="D833" s="66"/>
      <c r="E833" s="66"/>
      <c r="F833" s="66"/>
      <c r="G833" s="66"/>
      <c r="H833" s="66"/>
      <c r="I833" s="66"/>
      <c r="J833" s="66"/>
      <c r="K833" s="66"/>
      <c r="L833" s="66"/>
      <c r="M833" s="66"/>
      <c r="N833" s="66"/>
    </row>
    <row r="834" spans="1:14" x14ac:dyDescent="0.2">
      <c r="A834" s="84"/>
      <c r="B834" s="84"/>
      <c r="C834" s="60"/>
      <c r="D834" s="66"/>
      <c r="E834" s="66"/>
      <c r="F834" s="66"/>
      <c r="G834" s="66"/>
      <c r="H834" s="66"/>
      <c r="I834" s="66"/>
      <c r="J834" s="66"/>
      <c r="K834" s="66"/>
      <c r="L834" s="66"/>
      <c r="M834" s="66"/>
      <c r="N834" s="66"/>
    </row>
    <row r="835" spans="1:14" x14ac:dyDescent="0.2">
      <c r="A835" s="84"/>
      <c r="B835" s="84"/>
      <c r="C835" s="60"/>
      <c r="D835" s="66"/>
      <c r="E835" s="66"/>
      <c r="F835" s="66"/>
      <c r="G835" s="66"/>
      <c r="H835" s="66"/>
      <c r="I835" s="66"/>
      <c r="J835" s="66"/>
      <c r="K835" s="66"/>
      <c r="L835" s="66"/>
      <c r="M835" s="66"/>
      <c r="N835" s="66"/>
    </row>
    <row r="836" spans="1:14" x14ac:dyDescent="0.2">
      <c r="A836" s="84"/>
      <c r="B836" s="84"/>
      <c r="C836" s="60"/>
      <c r="D836" s="66"/>
      <c r="E836" s="66"/>
      <c r="F836" s="66"/>
      <c r="G836" s="66"/>
      <c r="H836" s="66"/>
      <c r="I836" s="66"/>
      <c r="J836" s="66"/>
      <c r="K836" s="66"/>
      <c r="L836" s="66"/>
      <c r="M836" s="66"/>
      <c r="N836" s="66"/>
    </row>
    <row r="837" spans="1:14" x14ac:dyDescent="0.2">
      <c r="A837" s="84"/>
      <c r="B837" s="84"/>
      <c r="C837" s="60"/>
      <c r="D837" s="66"/>
      <c r="E837" s="66"/>
      <c r="F837" s="66"/>
      <c r="G837" s="66"/>
      <c r="H837" s="66"/>
      <c r="I837" s="66"/>
      <c r="J837" s="66"/>
      <c r="K837" s="66"/>
      <c r="L837" s="66"/>
      <c r="M837" s="66"/>
      <c r="N837" s="66"/>
    </row>
    <row r="838" spans="1:14" x14ac:dyDescent="0.2">
      <c r="A838" s="84"/>
      <c r="B838" s="84"/>
      <c r="C838" s="60"/>
      <c r="D838" s="66"/>
      <c r="E838" s="66"/>
      <c r="F838" s="66"/>
      <c r="G838" s="66"/>
      <c r="H838" s="66"/>
      <c r="I838" s="66"/>
      <c r="J838" s="66"/>
      <c r="K838" s="66"/>
      <c r="L838" s="66"/>
      <c r="M838" s="66"/>
      <c r="N838" s="66"/>
    </row>
    <row r="839" spans="1:14" x14ac:dyDescent="0.2">
      <c r="A839" s="84"/>
      <c r="B839" s="84"/>
      <c r="C839" s="60"/>
      <c r="D839" s="66"/>
      <c r="E839" s="66"/>
      <c r="F839" s="66"/>
      <c r="G839" s="66"/>
      <c r="H839" s="66"/>
      <c r="I839" s="66"/>
      <c r="J839" s="66"/>
      <c r="K839" s="66"/>
      <c r="L839" s="66"/>
      <c r="M839" s="66"/>
      <c r="N839" s="66"/>
    </row>
    <row r="840" spans="1:14" x14ac:dyDescent="0.2">
      <c r="A840" s="84"/>
      <c r="B840" s="84"/>
      <c r="C840" s="60"/>
      <c r="D840" s="66"/>
      <c r="E840" s="66"/>
      <c r="F840" s="66"/>
      <c r="G840" s="66"/>
      <c r="H840" s="66"/>
      <c r="I840" s="66"/>
      <c r="J840" s="66"/>
      <c r="K840" s="66"/>
      <c r="L840" s="66"/>
      <c r="M840" s="66"/>
      <c r="N840" s="66"/>
    </row>
    <row r="841" spans="1:14" x14ac:dyDescent="0.2">
      <c r="A841" s="84"/>
      <c r="B841" s="84"/>
      <c r="C841" s="60"/>
      <c r="D841" s="66"/>
      <c r="E841" s="66"/>
      <c r="F841" s="66"/>
      <c r="G841" s="66"/>
      <c r="H841" s="66"/>
      <c r="I841" s="66"/>
      <c r="J841" s="66"/>
      <c r="K841" s="66"/>
      <c r="L841" s="66"/>
      <c r="M841" s="66"/>
      <c r="N841" s="66"/>
    </row>
    <row r="842" spans="1:14" x14ac:dyDescent="0.2">
      <c r="A842" s="84"/>
      <c r="B842" s="84"/>
      <c r="C842" s="60"/>
      <c r="D842" s="66"/>
      <c r="E842" s="66"/>
      <c r="F842" s="66"/>
      <c r="G842" s="66"/>
      <c r="H842" s="66"/>
      <c r="I842" s="66"/>
      <c r="J842" s="66"/>
      <c r="K842" s="66"/>
      <c r="L842" s="66"/>
      <c r="M842" s="66"/>
      <c r="N842" s="66"/>
    </row>
    <row r="843" spans="1:14" x14ac:dyDescent="0.2">
      <c r="A843" s="84"/>
      <c r="B843" s="84"/>
      <c r="C843" s="60"/>
      <c r="D843" s="66"/>
      <c r="E843" s="66"/>
      <c r="F843" s="66"/>
      <c r="G843" s="66"/>
      <c r="H843" s="66"/>
      <c r="I843" s="66"/>
      <c r="J843" s="66"/>
      <c r="K843" s="66"/>
      <c r="L843" s="66"/>
      <c r="M843" s="66"/>
      <c r="N843" s="66"/>
    </row>
    <row r="844" spans="1:14" x14ac:dyDescent="0.2">
      <c r="A844" s="84"/>
      <c r="B844" s="84"/>
      <c r="C844" s="60"/>
      <c r="D844" s="66"/>
      <c r="E844" s="66"/>
      <c r="F844" s="66"/>
      <c r="G844" s="66"/>
      <c r="H844" s="66"/>
      <c r="I844" s="66"/>
      <c r="J844" s="66"/>
      <c r="K844" s="66"/>
      <c r="L844" s="66"/>
      <c r="M844" s="66"/>
      <c r="N844" s="66"/>
    </row>
    <row r="845" spans="1:14" x14ac:dyDescent="0.2">
      <c r="A845" s="84"/>
      <c r="B845" s="84"/>
      <c r="C845" s="60"/>
      <c r="D845" s="66"/>
      <c r="E845" s="66"/>
      <c r="F845" s="66"/>
      <c r="G845" s="66"/>
      <c r="H845" s="66"/>
      <c r="I845" s="66"/>
      <c r="J845" s="66"/>
      <c r="K845" s="66"/>
      <c r="L845" s="66"/>
      <c r="M845" s="66"/>
      <c r="N845" s="66"/>
    </row>
    <row r="846" spans="1:14" x14ac:dyDescent="0.2">
      <c r="A846" s="84"/>
      <c r="B846" s="84"/>
      <c r="C846" s="60"/>
      <c r="D846" s="66"/>
      <c r="E846" s="66"/>
      <c r="F846" s="66"/>
      <c r="G846" s="66"/>
      <c r="H846" s="66"/>
      <c r="I846" s="66"/>
      <c r="J846" s="66"/>
      <c r="K846" s="66"/>
      <c r="L846" s="66"/>
      <c r="M846" s="66"/>
      <c r="N846" s="66"/>
    </row>
    <row r="847" spans="1:14" x14ac:dyDescent="0.2">
      <c r="A847" s="84"/>
      <c r="B847" s="84"/>
      <c r="C847" s="60"/>
      <c r="D847" s="66"/>
      <c r="E847" s="66"/>
      <c r="F847" s="66"/>
      <c r="G847" s="66"/>
      <c r="H847" s="66"/>
      <c r="I847" s="66"/>
      <c r="J847" s="66"/>
      <c r="K847" s="66"/>
      <c r="L847" s="66"/>
      <c r="M847" s="66"/>
      <c r="N847" s="66"/>
    </row>
    <row r="848" spans="1:14" x14ac:dyDescent="0.2">
      <c r="A848" s="84"/>
      <c r="B848" s="84"/>
      <c r="C848" s="60"/>
      <c r="D848" s="66"/>
      <c r="E848" s="66"/>
      <c r="F848" s="66"/>
      <c r="G848" s="66"/>
      <c r="H848" s="66"/>
      <c r="I848" s="66"/>
      <c r="J848" s="66"/>
      <c r="K848" s="66"/>
      <c r="L848" s="66"/>
      <c r="M848" s="66"/>
      <c r="N848" s="66"/>
    </row>
    <row r="849" spans="1:14" x14ac:dyDescent="0.2">
      <c r="A849" s="84"/>
      <c r="B849" s="84"/>
      <c r="C849" s="60"/>
      <c r="D849" s="66"/>
      <c r="E849" s="66"/>
      <c r="F849" s="66"/>
      <c r="G849" s="66"/>
      <c r="H849" s="66"/>
      <c r="I849" s="66"/>
      <c r="J849" s="66"/>
      <c r="K849" s="66"/>
      <c r="L849" s="66"/>
      <c r="M849" s="66"/>
      <c r="N849" s="66"/>
    </row>
    <row r="850" spans="1:14" x14ac:dyDescent="0.2">
      <c r="A850" s="84"/>
      <c r="B850" s="84"/>
      <c r="C850" s="60"/>
      <c r="D850" s="66"/>
      <c r="E850" s="66"/>
      <c r="F850" s="66"/>
      <c r="G850" s="66"/>
      <c r="H850" s="66"/>
      <c r="I850" s="66"/>
      <c r="J850" s="66"/>
      <c r="K850" s="66"/>
      <c r="L850" s="66"/>
      <c r="M850" s="66"/>
      <c r="N850" s="66"/>
    </row>
    <row r="851" spans="1:14" x14ac:dyDescent="0.2">
      <c r="A851" s="84"/>
      <c r="B851" s="84"/>
      <c r="C851" s="60"/>
      <c r="D851" s="66"/>
      <c r="E851" s="66"/>
      <c r="F851" s="66"/>
      <c r="G851" s="66"/>
      <c r="H851" s="66"/>
      <c r="I851" s="66"/>
      <c r="J851" s="66"/>
      <c r="K851" s="66"/>
      <c r="L851" s="66"/>
      <c r="M851" s="66"/>
      <c r="N851" s="66"/>
    </row>
    <row r="852" spans="1:14" x14ac:dyDescent="0.2">
      <c r="A852" s="84"/>
      <c r="B852" s="84"/>
      <c r="C852" s="60"/>
      <c r="D852" s="66"/>
      <c r="E852" s="66"/>
      <c r="F852" s="66"/>
      <c r="G852" s="66"/>
      <c r="H852" s="66"/>
      <c r="I852" s="66"/>
      <c r="J852" s="66"/>
      <c r="K852" s="66"/>
      <c r="L852" s="66"/>
      <c r="M852" s="66"/>
      <c r="N852" s="66"/>
    </row>
    <row r="853" spans="1:14" x14ac:dyDescent="0.2">
      <c r="A853" s="84"/>
      <c r="B853" s="84"/>
      <c r="C853" s="60"/>
      <c r="D853" s="66"/>
      <c r="E853" s="66"/>
      <c r="F853" s="66"/>
      <c r="G853" s="66"/>
      <c r="H853" s="66"/>
      <c r="I853" s="66"/>
      <c r="J853" s="66"/>
      <c r="K853" s="66"/>
      <c r="L853" s="66"/>
      <c r="M853" s="66"/>
      <c r="N853" s="66"/>
    </row>
    <row r="854" spans="1:14" x14ac:dyDescent="0.2">
      <c r="A854" s="84"/>
      <c r="B854" s="84"/>
      <c r="C854" s="60"/>
      <c r="D854" s="66"/>
      <c r="E854" s="66"/>
      <c r="F854" s="66"/>
      <c r="G854" s="66"/>
      <c r="H854" s="66"/>
      <c r="I854" s="66"/>
      <c r="J854" s="66"/>
      <c r="K854" s="66"/>
      <c r="L854" s="66"/>
      <c r="M854" s="66"/>
      <c r="N854" s="66"/>
    </row>
    <row r="855" spans="1:14" x14ac:dyDescent="0.2">
      <c r="A855" s="84"/>
      <c r="B855" s="84"/>
      <c r="C855" s="60"/>
      <c r="D855" s="66"/>
      <c r="E855" s="66"/>
      <c r="F855" s="66"/>
      <c r="G855" s="66"/>
      <c r="H855" s="66"/>
      <c r="I855" s="66"/>
      <c r="J855" s="66"/>
      <c r="K855" s="66"/>
      <c r="L855" s="66"/>
      <c r="M855" s="66"/>
      <c r="N855" s="66"/>
    </row>
    <row r="856" spans="1:14" x14ac:dyDescent="0.2">
      <c r="A856" s="84"/>
      <c r="B856" s="84"/>
      <c r="C856" s="60"/>
      <c r="D856" s="66"/>
      <c r="E856" s="66"/>
      <c r="F856" s="66"/>
      <c r="G856" s="66"/>
      <c r="H856" s="66"/>
      <c r="I856" s="66"/>
      <c r="J856" s="66"/>
      <c r="K856" s="66"/>
      <c r="L856" s="66"/>
      <c r="M856" s="66"/>
      <c r="N856" s="66"/>
    </row>
    <row r="857" spans="1:14" x14ac:dyDescent="0.2">
      <c r="A857" s="84"/>
      <c r="B857" s="84"/>
      <c r="C857" s="60"/>
      <c r="D857" s="66"/>
      <c r="E857" s="66"/>
      <c r="F857" s="66"/>
      <c r="G857" s="66"/>
      <c r="H857" s="66"/>
      <c r="I857" s="66"/>
      <c r="J857" s="66"/>
      <c r="K857" s="66"/>
      <c r="L857" s="66"/>
      <c r="M857" s="66"/>
      <c r="N857" s="66"/>
    </row>
    <row r="858" spans="1:14" x14ac:dyDescent="0.2">
      <c r="A858" s="84"/>
      <c r="B858" s="84"/>
      <c r="C858" s="60"/>
      <c r="D858" s="66"/>
      <c r="E858" s="66"/>
      <c r="F858" s="66"/>
      <c r="G858" s="66"/>
      <c r="H858" s="66"/>
      <c r="I858" s="66"/>
      <c r="J858" s="66"/>
      <c r="K858" s="66"/>
      <c r="L858" s="66"/>
      <c r="M858" s="66"/>
      <c r="N858" s="66"/>
    </row>
    <row r="859" spans="1:14" x14ac:dyDescent="0.2">
      <c r="A859" s="84"/>
      <c r="B859" s="84"/>
      <c r="C859" s="60"/>
      <c r="D859" s="66"/>
      <c r="E859" s="66"/>
      <c r="F859" s="66"/>
      <c r="G859" s="66"/>
      <c r="H859" s="66"/>
      <c r="I859" s="66"/>
      <c r="J859" s="66"/>
      <c r="K859" s="66"/>
      <c r="L859" s="66"/>
      <c r="M859" s="66"/>
      <c r="N859" s="66"/>
    </row>
    <row r="860" spans="1:14" x14ac:dyDescent="0.2">
      <c r="A860" s="84"/>
      <c r="B860" s="84"/>
      <c r="C860" s="60"/>
      <c r="D860" s="66"/>
      <c r="E860" s="66"/>
      <c r="F860" s="66"/>
      <c r="G860" s="66"/>
      <c r="H860" s="66"/>
      <c r="I860" s="66"/>
      <c r="J860" s="66"/>
      <c r="K860" s="66"/>
      <c r="L860" s="66"/>
      <c r="M860" s="66"/>
      <c r="N860" s="66"/>
    </row>
    <row r="861" spans="1:14" x14ac:dyDescent="0.2">
      <c r="A861" s="84"/>
      <c r="B861" s="84"/>
      <c r="C861" s="60"/>
      <c r="D861" s="66"/>
      <c r="E861" s="66"/>
      <c r="F861" s="66"/>
      <c r="G861" s="66"/>
      <c r="H861" s="66"/>
      <c r="I861" s="66"/>
      <c r="J861" s="66"/>
      <c r="K861" s="66"/>
      <c r="L861" s="66"/>
      <c r="M861" s="66"/>
      <c r="N861" s="66"/>
    </row>
    <row r="862" spans="1:14" x14ac:dyDescent="0.2">
      <c r="A862" s="84"/>
      <c r="B862" s="84"/>
      <c r="C862" s="60"/>
      <c r="D862" s="66"/>
      <c r="E862" s="66"/>
      <c r="F862" s="66"/>
      <c r="G862" s="66"/>
      <c r="H862" s="66"/>
      <c r="I862" s="66"/>
      <c r="J862" s="66"/>
      <c r="K862" s="66"/>
      <c r="L862" s="66"/>
      <c r="M862" s="66"/>
      <c r="N862" s="66"/>
    </row>
    <row r="863" spans="1:14" x14ac:dyDescent="0.2">
      <c r="A863" s="84"/>
      <c r="B863" s="84"/>
      <c r="C863" s="60"/>
      <c r="D863" s="66"/>
      <c r="E863" s="66"/>
      <c r="F863" s="66"/>
      <c r="G863" s="66"/>
      <c r="H863" s="66"/>
      <c r="I863" s="66"/>
      <c r="J863" s="66"/>
      <c r="K863" s="66"/>
      <c r="L863" s="66"/>
      <c r="M863" s="66"/>
      <c r="N863" s="66"/>
    </row>
    <row r="864" spans="1:14" x14ac:dyDescent="0.2">
      <c r="A864" s="84"/>
      <c r="B864" s="84"/>
      <c r="C864" s="60"/>
      <c r="D864" s="66"/>
      <c r="E864" s="66"/>
      <c r="F864" s="66"/>
      <c r="G864" s="66"/>
      <c r="H864" s="66"/>
      <c r="I864" s="66"/>
      <c r="J864" s="66"/>
      <c r="K864" s="66"/>
      <c r="L864" s="66"/>
      <c r="M864" s="66"/>
      <c r="N864" s="66"/>
    </row>
    <row r="865" spans="1:14" x14ac:dyDescent="0.2">
      <c r="A865" s="84"/>
      <c r="B865" s="84"/>
      <c r="C865" s="60"/>
      <c r="D865" s="66"/>
      <c r="E865" s="66"/>
      <c r="F865" s="66"/>
      <c r="G865" s="66"/>
      <c r="H865" s="66"/>
      <c r="I865" s="66"/>
      <c r="J865" s="66"/>
      <c r="K865" s="66"/>
      <c r="L865" s="66"/>
      <c r="M865" s="66"/>
      <c r="N865" s="66"/>
    </row>
    <row r="866" spans="1:14" x14ac:dyDescent="0.2">
      <c r="A866" s="84"/>
      <c r="B866" s="84"/>
      <c r="C866" s="60"/>
      <c r="D866" s="66"/>
      <c r="E866" s="66"/>
      <c r="F866" s="66"/>
      <c r="G866" s="66"/>
      <c r="H866" s="66"/>
      <c r="I866" s="66"/>
      <c r="J866" s="66"/>
      <c r="K866" s="66"/>
      <c r="L866" s="66"/>
      <c r="M866" s="66"/>
      <c r="N866" s="66"/>
    </row>
    <row r="867" spans="1:14" x14ac:dyDescent="0.2">
      <c r="A867" s="84"/>
      <c r="B867" s="84"/>
      <c r="C867" s="60"/>
      <c r="D867" s="66"/>
      <c r="E867" s="66"/>
      <c r="F867" s="66"/>
      <c r="G867" s="66"/>
      <c r="H867" s="66"/>
      <c r="I867" s="66"/>
      <c r="J867" s="66"/>
      <c r="K867" s="66"/>
      <c r="L867" s="66"/>
      <c r="M867" s="66"/>
      <c r="N867" s="66"/>
    </row>
    <row r="868" spans="1:14" x14ac:dyDescent="0.2">
      <c r="A868" s="84"/>
      <c r="B868" s="84"/>
      <c r="C868" s="60"/>
      <c r="D868" s="66"/>
      <c r="E868" s="66"/>
      <c r="F868" s="66"/>
      <c r="G868" s="66"/>
      <c r="H868" s="66"/>
      <c r="I868" s="66"/>
      <c r="J868" s="66"/>
      <c r="K868" s="66"/>
      <c r="L868" s="66"/>
      <c r="M868" s="66"/>
      <c r="N868" s="66"/>
    </row>
    <row r="869" spans="1:14" x14ac:dyDescent="0.2">
      <c r="A869" s="84"/>
      <c r="B869" s="84"/>
      <c r="C869" s="60"/>
      <c r="D869" s="66"/>
      <c r="E869" s="66"/>
      <c r="F869" s="66"/>
      <c r="G869" s="66"/>
      <c r="H869" s="66"/>
      <c r="I869" s="66"/>
      <c r="J869" s="66"/>
      <c r="K869" s="66"/>
      <c r="L869" s="66"/>
      <c r="M869" s="66"/>
      <c r="N869" s="66"/>
    </row>
    <row r="870" spans="1:14" x14ac:dyDescent="0.2">
      <c r="A870" s="84"/>
      <c r="B870" s="84"/>
      <c r="C870" s="60"/>
      <c r="D870" s="66"/>
      <c r="E870" s="66"/>
      <c r="F870" s="66"/>
      <c r="G870" s="66"/>
      <c r="H870" s="66"/>
      <c r="I870" s="66"/>
      <c r="J870" s="66"/>
      <c r="K870" s="66"/>
      <c r="L870" s="66"/>
      <c r="M870" s="66"/>
      <c r="N870" s="66"/>
    </row>
    <row r="871" spans="1:14" x14ac:dyDescent="0.2">
      <c r="A871" s="84"/>
      <c r="B871" s="84"/>
      <c r="C871" s="60"/>
      <c r="D871" s="66"/>
      <c r="E871" s="66"/>
      <c r="F871" s="66"/>
      <c r="G871" s="66"/>
      <c r="H871" s="66"/>
      <c r="I871" s="66"/>
      <c r="J871" s="66"/>
      <c r="K871" s="66"/>
      <c r="L871" s="66"/>
      <c r="M871" s="66"/>
      <c r="N871" s="66"/>
    </row>
    <row r="872" spans="1:14" x14ac:dyDescent="0.2">
      <c r="A872" s="84"/>
      <c r="B872" s="84"/>
      <c r="C872" s="60"/>
      <c r="D872" s="66"/>
      <c r="E872" s="66"/>
      <c r="F872" s="66"/>
      <c r="G872" s="66"/>
      <c r="H872" s="66"/>
      <c r="I872" s="66"/>
      <c r="J872" s="66"/>
      <c r="K872" s="66"/>
      <c r="L872" s="66"/>
      <c r="M872" s="66"/>
      <c r="N872" s="66"/>
    </row>
    <row r="873" spans="1:14" x14ac:dyDescent="0.2">
      <c r="A873" s="84"/>
      <c r="B873" s="84"/>
      <c r="C873" s="60"/>
      <c r="D873" s="66"/>
      <c r="E873" s="66"/>
      <c r="F873" s="66"/>
      <c r="G873" s="66"/>
      <c r="H873" s="66"/>
      <c r="I873" s="66"/>
      <c r="J873" s="66"/>
      <c r="K873" s="66"/>
      <c r="L873" s="66"/>
      <c r="M873" s="66"/>
      <c r="N873" s="66"/>
    </row>
    <row r="874" spans="1:14" x14ac:dyDescent="0.2">
      <c r="A874" s="84"/>
      <c r="B874" s="84"/>
      <c r="C874" s="60"/>
      <c r="D874" s="66"/>
      <c r="E874" s="66"/>
      <c r="F874" s="66"/>
      <c r="G874" s="66"/>
      <c r="H874" s="66"/>
      <c r="I874" s="66"/>
      <c r="J874" s="66"/>
      <c r="K874" s="66"/>
      <c r="L874" s="66"/>
      <c r="M874" s="66"/>
      <c r="N874" s="66"/>
    </row>
    <row r="875" spans="1:14" x14ac:dyDescent="0.2">
      <c r="A875" s="84"/>
      <c r="B875" s="84"/>
      <c r="C875" s="60"/>
      <c r="D875" s="66"/>
      <c r="E875" s="66"/>
      <c r="F875" s="66"/>
      <c r="G875" s="66"/>
      <c r="H875" s="66"/>
      <c r="I875" s="66"/>
      <c r="J875" s="66"/>
      <c r="K875" s="66"/>
      <c r="L875" s="66"/>
      <c r="M875" s="66"/>
      <c r="N875" s="66"/>
    </row>
    <row r="876" spans="1:14" x14ac:dyDescent="0.2">
      <c r="A876" s="84"/>
      <c r="B876" s="84"/>
      <c r="C876" s="60"/>
      <c r="D876" s="66"/>
      <c r="E876" s="66"/>
      <c r="F876" s="66"/>
      <c r="G876" s="66"/>
      <c r="H876" s="66"/>
      <c r="I876" s="66"/>
      <c r="J876" s="66"/>
      <c r="K876" s="66"/>
      <c r="L876" s="66"/>
      <c r="M876" s="66"/>
      <c r="N876" s="66"/>
    </row>
    <row r="877" spans="1:14" x14ac:dyDescent="0.2">
      <c r="A877" s="84"/>
      <c r="B877" s="84"/>
      <c r="C877" s="60"/>
      <c r="D877" s="66"/>
      <c r="E877" s="66"/>
      <c r="F877" s="66"/>
      <c r="G877" s="66"/>
      <c r="H877" s="66"/>
      <c r="I877" s="66"/>
      <c r="J877" s="66"/>
      <c r="K877" s="66"/>
      <c r="L877" s="66"/>
      <c r="M877" s="66"/>
      <c r="N877" s="66"/>
    </row>
    <row r="878" spans="1:14" x14ac:dyDescent="0.2">
      <c r="A878" s="84"/>
      <c r="B878" s="84"/>
      <c r="C878" s="60"/>
      <c r="D878" s="66"/>
      <c r="E878" s="66"/>
      <c r="F878" s="66"/>
      <c r="G878" s="66"/>
      <c r="H878" s="66"/>
      <c r="I878" s="66"/>
      <c r="J878" s="66"/>
      <c r="K878" s="66"/>
      <c r="L878" s="66"/>
      <c r="M878" s="66"/>
      <c r="N878" s="66"/>
    </row>
    <row r="879" spans="1:14" x14ac:dyDescent="0.2">
      <c r="A879" s="84"/>
      <c r="B879" s="84"/>
      <c r="C879" s="60"/>
      <c r="D879" s="66"/>
      <c r="E879" s="66"/>
      <c r="F879" s="66"/>
      <c r="G879" s="66"/>
      <c r="H879" s="66"/>
      <c r="I879" s="66"/>
      <c r="J879" s="66"/>
      <c r="K879" s="66"/>
      <c r="L879" s="66"/>
      <c r="M879" s="66"/>
      <c r="N879" s="66"/>
    </row>
    <row r="880" spans="1:14" x14ac:dyDescent="0.2">
      <c r="A880" s="84"/>
      <c r="B880" s="84"/>
      <c r="C880" s="60"/>
      <c r="D880" s="66"/>
      <c r="E880" s="66"/>
      <c r="F880" s="66"/>
      <c r="G880" s="66"/>
      <c r="H880" s="66"/>
      <c r="I880" s="66"/>
      <c r="J880" s="66"/>
      <c r="K880" s="66"/>
      <c r="L880" s="66"/>
      <c r="M880" s="66"/>
      <c r="N880" s="66"/>
    </row>
    <row r="881" spans="1:14" x14ac:dyDescent="0.2">
      <c r="A881" s="84"/>
      <c r="B881" s="84"/>
      <c r="C881" s="60"/>
      <c r="D881" s="66"/>
      <c r="E881" s="66"/>
      <c r="F881" s="66"/>
      <c r="G881" s="66"/>
      <c r="H881" s="66"/>
      <c r="I881" s="66"/>
      <c r="J881" s="66"/>
      <c r="K881" s="66"/>
      <c r="L881" s="66"/>
      <c r="M881" s="66"/>
      <c r="N881" s="66"/>
    </row>
    <row r="882" spans="1:14" x14ac:dyDescent="0.2">
      <c r="A882" s="84"/>
      <c r="B882" s="84"/>
      <c r="C882" s="60"/>
      <c r="D882" s="66"/>
      <c r="E882" s="66"/>
      <c r="F882" s="66"/>
      <c r="G882" s="66"/>
      <c r="H882" s="66"/>
      <c r="I882" s="66"/>
      <c r="J882" s="66"/>
      <c r="K882" s="66"/>
      <c r="L882" s="66"/>
      <c r="M882" s="66"/>
      <c r="N882" s="66"/>
    </row>
    <row r="883" spans="1:14" x14ac:dyDescent="0.2">
      <c r="A883" s="84"/>
      <c r="B883" s="84"/>
      <c r="C883" s="60"/>
      <c r="D883" s="66"/>
      <c r="E883" s="66"/>
      <c r="F883" s="66"/>
      <c r="G883" s="66"/>
      <c r="H883" s="66"/>
      <c r="I883" s="66"/>
      <c r="J883" s="66"/>
      <c r="K883" s="66"/>
      <c r="L883" s="66"/>
      <c r="M883" s="66"/>
      <c r="N883" s="66"/>
    </row>
    <row r="884" spans="1:14" x14ac:dyDescent="0.2">
      <c r="A884" s="84"/>
      <c r="B884" s="84"/>
      <c r="C884" s="60"/>
      <c r="D884" s="66"/>
      <c r="E884" s="66"/>
      <c r="F884" s="66"/>
      <c r="G884" s="66"/>
      <c r="H884" s="66"/>
      <c r="I884" s="66"/>
      <c r="J884" s="66"/>
      <c r="K884" s="66"/>
      <c r="L884" s="66"/>
      <c r="M884" s="66"/>
      <c r="N884" s="66"/>
    </row>
    <row r="885" spans="1:14" x14ac:dyDescent="0.2">
      <c r="A885" s="84"/>
      <c r="B885" s="84"/>
      <c r="C885" s="60"/>
      <c r="D885" s="66"/>
      <c r="E885" s="66"/>
      <c r="F885" s="66"/>
      <c r="G885" s="66"/>
      <c r="H885" s="66"/>
      <c r="I885" s="66"/>
      <c r="J885" s="66"/>
      <c r="K885" s="66"/>
      <c r="L885" s="66"/>
      <c r="M885" s="66"/>
      <c r="N885" s="66"/>
    </row>
    <row r="886" spans="1:14" x14ac:dyDescent="0.2">
      <c r="A886" s="84"/>
      <c r="B886" s="84"/>
      <c r="C886" s="60"/>
      <c r="D886" s="66"/>
      <c r="E886" s="66"/>
      <c r="F886" s="66"/>
      <c r="G886" s="66"/>
      <c r="H886" s="66"/>
      <c r="I886" s="66"/>
      <c r="J886" s="66"/>
      <c r="K886" s="66"/>
      <c r="L886" s="66"/>
      <c r="M886" s="66"/>
      <c r="N886" s="66"/>
    </row>
    <row r="887" spans="1:14" x14ac:dyDescent="0.2">
      <c r="A887" s="84"/>
      <c r="B887" s="84"/>
      <c r="C887" s="60"/>
      <c r="D887" s="66"/>
      <c r="E887" s="66"/>
      <c r="F887" s="66"/>
      <c r="G887" s="66"/>
      <c r="H887" s="66"/>
      <c r="I887" s="66"/>
      <c r="J887" s="66"/>
      <c r="K887" s="66"/>
      <c r="L887" s="66"/>
      <c r="M887" s="66"/>
      <c r="N887" s="66"/>
    </row>
    <row r="888" spans="1:14" x14ac:dyDescent="0.2">
      <c r="A888" s="84"/>
      <c r="B888" s="84"/>
      <c r="C888" s="60"/>
      <c r="D888" s="66"/>
      <c r="E888" s="66"/>
      <c r="F888" s="66"/>
      <c r="G888" s="66"/>
      <c r="H888" s="66"/>
      <c r="I888" s="66"/>
      <c r="J888" s="66"/>
      <c r="K888" s="66"/>
      <c r="L888" s="66"/>
      <c r="M888" s="66"/>
      <c r="N888" s="66"/>
    </row>
    <row r="889" spans="1:14" x14ac:dyDescent="0.2">
      <c r="A889" s="84"/>
      <c r="B889" s="84"/>
      <c r="C889" s="60"/>
      <c r="D889" s="66"/>
      <c r="E889" s="66"/>
      <c r="F889" s="66"/>
      <c r="G889" s="66"/>
      <c r="H889" s="66"/>
      <c r="I889" s="66"/>
      <c r="J889" s="66"/>
      <c r="K889" s="66"/>
      <c r="L889" s="66"/>
      <c r="M889" s="66"/>
      <c r="N889" s="66"/>
    </row>
    <row r="890" spans="1:14" x14ac:dyDescent="0.2">
      <c r="A890" s="84"/>
      <c r="B890" s="84"/>
      <c r="C890" s="60"/>
      <c r="D890" s="66"/>
      <c r="E890" s="66"/>
      <c r="F890" s="66"/>
      <c r="G890" s="66"/>
      <c r="H890" s="66"/>
      <c r="I890" s="66"/>
      <c r="J890" s="66"/>
      <c r="K890" s="66"/>
      <c r="L890" s="66"/>
      <c r="M890" s="66"/>
      <c r="N890" s="66"/>
    </row>
    <row r="891" spans="1:14" x14ac:dyDescent="0.2">
      <c r="A891" s="84"/>
      <c r="B891" s="84"/>
      <c r="C891" s="60"/>
      <c r="D891" s="66"/>
      <c r="E891" s="66"/>
      <c r="F891" s="66"/>
      <c r="G891" s="66"/>
      <c r="H891" s="66"/>
      <c r="I891" s="66"/>
      <c r="J891" s="66"/>
      <c r="K891" s="66"/>
      <c r="L891" s="66"/>
      <c r="M891" s="66"/>
      <c r="N891" s="66"/>
    </row>
    <row r="892" spans="1:14" x14ac:dyDescent="0.2">
      <c r="A892" s="84"/>
      <c r="B892" s="84"/>
      <c r="C892" s="60"/>
      <c r="D892" s="66"/>
      <c r="E892" s="66"/>
      <c r="F892" s="66"/>
      <c r="G892" s="66"/>
      <c r="H892" s="66"/>
      <c r="I892" s="66"/>
      <c r="J892" s="66"/>
      <c r="K892" s="66"/>
      <c r="L892" s="66"/>
      <c r="M892" s="66"/>
      <c r="N892" s="66"/>
    </row>
    <row r="893" spans="1:14" x14ac:dyDescent="0.2">
      <c r="A893" s="84"/>
      <c r="B893" s="84"/>
      <c r="C893" s="60"/>
      <c r="D893" s="66"/>
      <c r="E893" s="66"/>
      <c r="F893" s="66"/>
      <c r="G893" s="66"/>
      <c r="H893" s="66"/>
      <c r="I893" s="66"/>
      <c r="J893" s="66"/>
      <c r="K893" s="66"/>
      <c r="L893" s="66"/>
      <c r="M893" s="66"/>
      <c r="N893" s="66"/>
    </row>
    <row r="894" spans="1:14" x14ac:dyDescent="0.2">
      <c r="A894" s="84"/>
      <c r="B894" s="84"/>
      <c r="C894" s="60"/>
      <c r="D894" s="66"/>
      <c r="E894" s="66"/>
      <c r="F894" s="66"/>
      <c r="G894" s="66"/>
      <c r="H894" s="66"/>
      <c r="I894" s="66"/>
      <c r="J894" s="66"/>
      <c r="K894" s="66"/>
      <c r="L894" s="66"/>
      <c r="M894" s="66"/>
      <c r="N894" s="66"/>
    </row>
    <row r="895" spans="1:14" x14ac:dyDescent="0.2">
      <c r="A895" s="84"/>
      <c r="B895" s="84"/>
      <c r="C895" s="60"/>
      <c r="D895" s="66"/>
      <c r="E895" s="66"/>
      <c r="F895" s="66"/>
      <c r="G895" s="66"/>
      <c r="H895" s="66"/>
      <c r="I895" s="66"/>
      <c r="J895" s="66"/>
      <c r="K895" s="66"/>
      <c r="L895" s="66"/>
      <c r="M895" s="66"/>
      <c r="N895" s="66"/>
    </row>
    <row r="896" spans="1:14" x14ac:dyDescent="0.2">
      <c r="A896" s="84"/>
      <c r="B896" s="84"/>
      <c r="C896" s="60"/>
      <c r="D896" s="66"/>
      <c r="E896" s="66"/>
      <c r="F896" s="66"/>
      <c r="G896" s="66"/>
      <c r="H896" s="66"/>
      <c r="I896" s="66"/>
      <c r="J896" s="66"/>
      <c r="K896" s="66"/>
      <c r="L896" s="66"/>
      <c r="M896" s="66"/>
      <c r="N896" s="66"/>
    </row>
    <row r="897" spans="1:14" x14ac:dyDescent="0.2">
      <c r="A897" s="84"/>
      <c r="B897" s="84"/>
      <c r="C897" s="60"/>
      <c r="D897" s="66"/>
      <c r="E897" s="66"/>
      <c r="F897" s="66"/>
      <c r="G897" s="66"/>
      <c r="H897" s="66"/>
      <c r="I897" s="66"/>
      <c r="J897" s="66"/>
      <c r="K897" s="66"/>
      <c r="L897" s="66"/>
      <c r="M897" s="66"/>
      <c r="N897" s="66"/>
    </row>
    <row r="898" spans="1:14" x14ac:dyDescent="0.2">
      <c r="A898" s="84"/>
      <c r="B898" s="84"/>
      <c r="C898" s="60"/>
      <c r="D898" s="66"/>
      <c r="E898" s="66"/>
      <c r="F898" s="66"/>
      <c r="G898" s="66"/>
      <c r="H898" s="66"/>
      <c r="I898" s="66"/>
      <c r="J898" s="66"/>
      <c r="K898" s="66"/>
      <c r="L898" s="66"/>
      <c r="M898" s="66"/>
      <c r="N898" s="66"/>
    </row>
    <row r="899" spans="1:14" x14ac:dyDescent="0.2">
      <c r="A899" s="84"/>
      <c r="B899" s="84"/>
      <c r="C899" s="60"/>
      <c r="D899" s="66"/>
      <c r="E899" s="66"/>
      <c r="F899" s="66"/>
      <c r="G899" s="66"/>
      <c r="H899" s="66"/>
      <c r="I899" s="66"/>
      <c r="J899" s="66"/>
      <c r="K899" s="66"/>
      <c r="L899" s="66"/>
      <c r="M899" s="66"/>
      <c r="N899" s="66"/>
    </row>
    <row r="900" spans="1:14" x14ac:dyDescent="0.2">
      <c r="A900" s="84"/>
      <c r="B900" s="84"/>
      <c r="C900" s="60"/>
      <c r="D900" s="66"/>
      <c r="E900" s="66"/>
      <c r="F900" s="66"/>
      <c r="G900" s="66"/>
      <c r="H900" s="66"/>
      <c r="I900" s="66"/>
      <c r="J900" s="66"/>
      <c r="K900" s="66"/>
      <c r="L900" s="66"/>
      <c r="M900" s="66"/>
      <c r="N900" s="66"/>
    </row>
    <row r="901" spans="1:14" x14ac:dyDescent="0.2">
      <c r="A901" s="84"/>
      <c r="B901" s="84"/>
      <c r="C901" s="60"/>
      <c r="D901" s="66"/>
      <c r="E901" s="66"/>
      <c r="F901" s="66"/>
      <c r="G901" s="66"/>
      <c r="H901" s="66"/>
      <c r="I901" s="66"/>
      <c r="J901" s="66"/>
      <c r="K901" s="66"/>
      <c r="L901" s="66"/>
      <c r="M901" s="66"/>
      <c r="N901" s="66"/>
    </row>
    <row r="902" spans="1:14" x14ac:dyDescent="0.2">
      <c r="A902" s="84"/>
      <c r="B902" s="84"/>
      <c r="C902" s="60"/>
      <c r="D902" s="66"/>
      <c r="E902" s="66"/>
      <c r="F902" s="66"/>
      <c r="G902" s="66"/>
      <c r="H902" s="66"/>
      <c r="I902" s="66"/>
      <c r="J902" s="66"/>
      <c r="K902" s="66"/>
      <c r="L902" s="66"/>
      <c r="M902" s="66"/>
      <c r="N902" s="66"/>
    </row>
    <row r="903" spans="1:14" x14ac:dyDescent="0.2">
      <c r="A903" s="84"/>
      <c r="B903" s="84"/>
      <c r="C903" s="60"/>
      <c r="D903" s="66"/>
      <c r="E903" s="66"/>
      <c r="F903" s="66"/>
      <c r="G903" s="66"/>
      <c r="H903" s="66"/>
      <c r="I903" s="66"/>
      <c r="J903" s="66"/>
      <c r="K903" s="66"/>
      <c r="L903" s="66"/>
      <c r="M903" s="66"/>
      <c r="N903" s="66"/>
    </row>
    <row r="904" spans="1:14" x14ac:dyDescent="0.2">
      <c r="A904" s="84"/>
      <c r="B904" s="84"/>
      <c r="C904" s="60"/>
      <c r="D904" s="66"/>
      <c r="E904" s="66"/>
      <c r="F904" s="66"/>
      <c r="G904" s="66"/>
      <c r="H904" s="66"/>
      <c r="I904" s="66"/>
      <c r="J904" s="66"/>
      <c r="K904" s="66"/>
      <c r="L904" s="66"/>
      <c r="M904" s="66"/>
      <c r="N904" s="66"/>
    </row>
    <row r="905" spans="1:14" x14ac:dyDescent="0.2">
      <c r="A905" s="84"/>
      <c r="B905" s="84"/>
      <c r="C905" s="60"/>
      <c r="D905" s="66"/>
      <c r="E905" s="66"/>
      <c r="F905" s="66"/>
      <c r="G905" s="66"/>
      <c r="H905" s="66"/>
      <c r="I905" s="66"/>
      <c r="J905" s="66"/>
      <c r="K905" s="66"/>
      <c r="L905" s="66"/>
      <c r="M905" s="66"/>
      <c r="N905" s="66"/>
    </row>
    <row r="906" spans="1:14" x14ac:dyDescent="0.2">
      <c r="A906" s="84"/>
      <c r="B906" s="84"/>
      <c r="C906" s="60"/>
      <c r="D906" s="66"/>
      <c r="E906" s="66"/>
      <c r="F906" s="66"/>
      <c r="G906" s="66"/>
      <c r="H906" s="66"/>
      <c r="I906" s="66"/>
      <c r="J906" s="66"/>
      <c r="K906" s="66"/>
      <c r="L906" s="66"/>
      <c r="M906" s="66"/>
      <c r="N906" s="66"/>
    </row>
    <row r="907" spans="1:14" x14ac:dyDescent="0.2">
      <c r="A907" s="84"/>
      <c r="B907" s="84"/>
      <c r="C907" s="60"/>
      <c r="D907" s="66"/>
      <c r="E907" s="66"/>
      <c r="F907" s="66"/>
      <c r="G907" s="66"/>
      <c r="H907" s="66"/>
      <c r="I907" s="66"/>
      <c r="J907" s="66"/>
      <c r="K907" s="66"/>
      <c r="L907" s="66"/>
      <c r="M907" s="66"/>
      <c r="N907" s="66"/>
    </row>
    <row r="908" spans="1:14" x14ac:dyDescent="0.2">
      <c r="A908" s="84"/>
      <c r="B908" s="84"/>
      <c r="C908" s="60"/>
      <c r="D908" s="66"/>
      <c r="E908" s="66"/>
      <c r="F908" s="66"/>
      <c r="G908" s="66"/>
      <c r="H908" s="66"/>
      <c r="I908" s="66"/>
      <c r="J908" s="66"/>
      <c r="K908" s="66"/>
      <c r="L908" s="66"/>
      <c r="M908" s="66"/>
      <c r="N908" s="66"/>
    </row>
    <row r="909" spans="1:14" x14ac:dyDescent="0.2">
      <c r="A909" s="84"/>
      <c r="B909" s="84"/>
      <c r="C909" s="60"/>
      <c r="D909" s="66"/>
      <c r="E909" s="66"/>
      <c r="F909" s="66"/>
      <c r="G909" s="66"/>
      <c r="H909" s="66"/>
      <c r="I909" s="66"/>
      <c r="J909" s="66"/>
      <c r="K909" s="66"/>
      <c r="L909" s="66"/>
      <c r="M909" s="66"/>
      <c r="N909" s="66"/>
    </row>
    <row r="910" spans="1:14" x14ac:dyDescent="0.2">
      <c r="A910" s="84"/>
      <c r="B910" s="84"/>
      <c r="C910" s="60"/>
      <c r="D910" s="66"/>
      <c r="E910" s="66"/>
      <c r="F910" s="66"/>
      <c r="G910" s="66"/>
      <c r="H910" s="66"/>
      <c r="I910" s="66"/>
      <c r="J910" s="66"/>
      <c r="K910" s="66"/>
      <c r="L910" s="66"/>
      <c r="M910" s="66"/>
      <c r="N910" s="66"/>
    </row>
    <row r="911" spans="1:14" x14ac:dyDescent="0.2">
      <c r="A911" s="84"/>
      <c r="B911" s="84"/>
      <c r="C911" s="60"/>
      <c r="D911" s="66"/>
      <c r="E911" s="66"/>
      <c r="F911" s="66"/>
      <c r="G911" s="66"/>
      <c r="H911" s="66"/>
      <c r="I911" s="66"/>
      <c r="J911" s="66"/>
      <c r="K911" s="66"/>
      <c r="L911" s="66"/>
      <c r="M911" s="66"/>
      <c r="N911" s="66"/>
    </row>
    <row r="912" spans="1:14" x14ac:dyDescent="0.2">
      <c r="A912" s="84"/>
      <c r="B912" s="84"/>
      <c r="C912" s="60"/>
      <c r="D912" s="66"/>
      <c r="E912" s="66"/>
      <c r="F912" s="66"/>
      <c r="G912" s="66"/>
      <c r="H912" s="66"/>
      <c r="I912" s="66"/>
      <c r="J912" s="66"/>
      <c r="K912" s="66"/>
      <c r="L912" s="66"/>
      <c r="M912" s="66"/>
      <c r="N912" s="66"/>
    </row>
    <row r="913" spans="1:14" x14ac:dyDescent="0.2">
      <c r="A913" s="84"/>
      <c r="B913" s="84"/>
      <c r="C913" s="60"/>
      <c r="D913" s="66"/>
      <c r="E913" s="66"/>
      <c r="F913" s="66"/>
      <c r="G913" s="66"/>
      <c r="H913" s="66"/>
      <c r="I913" s="66"/>
      <c r="J913" s="66"/>
      <c r="K913" s="66"/>
      <c r="L913" s="66"/>
      <c r="M913" s="66"/>
      <c r="N913" s="66"/>
    </row>
    <row r="914" spans="1:14" x14ac:dyDescent="0.2">
      <c r="A914" s="84"/>
      <c r="B914" s="84"/>
      <c r="C914" s="60"/>
      <c r="D914" s="66"/>
      <c r="E914" s="66"/>
      <c r="F914" s="66"/>
      <c r="G914" s="66"/>
      <c r="H914" s="66"/>
      <c r="I914" s="66"/>
      <c r="J914" s="66"/>
      <c r="K914" s="66"/>
      <c r="L914" s="66"/>
      <c r="M914" s="66"/>
      <c r="N914" s="66"/>
    </row>
    <row r="915" spans="1:14" x14ac:dyDescent="0.2">
      <c r="A915" s="84"/>
      <c r="B915" s="84"/>
      <c r="C915" s="60"/>
      <c r="D915" s="66"/>
      <c r="E915" s="66"/>
      <c r="F915" s="66"/>
      <c r="G915" s="66"/>
      <c r="H915" s="66"/>
      <c r="I915" s="66"/>
      <c r="J915" s="66"/>
      <c r="K915" s="66"/>
      <c r="L915" s="66"/>
      <c r="M915" s="66"/>
      <c r="N915" s="66"/>
    </row>
    <row r="916" spans="1:14" x14ac:dyDescent="0.2">
      <c r="A916" s="84"/>
      <c r="B916" s="84"/>
      <c r="C916" s="60"/>
      <c r="D916" s="66"/>
      <c r="E916" s="66"/>
      <c r="F916" s="66"/>
      <c r="G916" s="66"/>
      <c r="H916" s="66"/>
      <c r="I916" s="66"/>
      <c r="J916" s="66"/>
      <c r="K916" s="66"/>
      <c r="L916" s="66"/>
      <c r="M916" s="66"/>
      <c r="N916" s="66"/>
    </row>
    <row r="917" spans="1:14" x14ac:dyDescent="0.2">
      <c r="A917" s="84"/>
      <c r="B917" s="84"/>
      <c r="C917" s="60"/>
      <c r="D917" s="66"/>
      <c r="E917" s="66"/>
      <c r="F917" s="66"/>
      <c r="G917" s="66"/>
      <c r="H917" s="66"/>
      <c r="I917" s="66"/>
      <c r="J917" s="66"/>
      <c r="K917" s="66"/>
      <c r="L917" s="66"/>
      <c r="M917" s="66"/>
      <c r="N917" s="66"/>
    </row>
    <row r="918" spans="1:14" x14ac:dyDescent="0.2">
      <c r="A918" s="84"/>
      <c r="B918" s="84"/>
      <c r="C918" s="60"/>
      <c r="D918" s="66"/>
      <c r="E918" s="66"/>
      <c r="F918" s="66"/>
      <c r="G918" s="66"/>
      <c r="H918" s="66"/>
      <c r="I918" s="66"/>
      <c r="J918" s="66"/>
      <c r="K918" s="66"/>
      <c r="L918" s="66"/>
      <c r="M918" s="66"/>
      <c r="N918" s="66"/>
    </row>
    <row r="919" spans="1:14" x14ac:dyDescent="0.2">
      <c r="A919" s="84"/>
      <c r="B919" s="84"/>
      <c r="C919" s="60"/>
      <c r="D919" s="66"/>
      <c r="E919" s="66"/>
      <c r="F919" s="66"/>
      <c r="G919" s="66"/>
      <c r="H919" s="66"/>
      <c r="I919" s="66"/>
      <c r="J919" s="66"/>
      <c r="K919" s="66"/>
      <c r="L919" s="66"/>
      <c r="M919" s="66"/>
      <c r="N919" s="66"/>
    </row>
    <row r="920" spans="1:14" x14ac:dyDescent="0.2">
      <c r="A920" s="84"/>
      <c r="B920" s="84"/>
      <c r="C920" s="60"/>
      <c r="D920" s="66"/>
      <c r="E920" s="66"/>
      <c r="F920" s="66"/>
      <c r="G920" s="66"/>
      <c r="H920" s="66"/>
      <c r="I920" s="66"/>
      <c r="J920" s="66"/>
      <c r="K920" s="66"/>
      <c r="L920" s="66"/>
      <c r="M920" s="66"/>
      <c r="N920" s="66"/>
    </row>
    <row r="921" spans="1:14" x14ac:dyDescent="0.2">
      <c r="A921" s="84"/>
      <c r="B921" s="84"/>
      <c r="C921" s="60"/>
      <c r="D921" s="66"/>
      <c r="E921" s="66"/>
      <c r="F921" s="66"/>
      <c r="G921" s="66"/>
      <c r="H921" s="66"/>
      <c r="I921" s="66"/>
      <c r="J921" s="66"/>
      <c r="K921" s="66"/>
      <c r="L921" s="66"/>
      <c r="M921" s="66"/>
      <c r="N921" s="66"/>
    </row>
    <row r="922" spans="1:14" x14ac:dyDescent="0.2">
      <c r="A922" s="84"/>
      <c r="B922" s="84"/>
      <c r="C922" s="60"/>
      <c r="D922" s="66"/>
      <c r="E922" s="66"/>
      <c r="F922" s="66"/>
      <c r="G922" s="66"/>
      <c r="H922" s="66"/>
      <c r="I922" s="66"/>
      <c r="J922" s="66"/>
      <c r="K922" s="66"/>
      <c r="L922" s="66"/>
      <c r="M922" s="66"/>
      <c r="N922" s="66"/>
    </row>
    <row r="923" spans="1:14" x14ac:dyDescent="0.2">
      <c r="A923" s="84"/>
      <c r="B923" s="84"/>
      <c r="C923" s="60"/>
      <c r="D923" s="66"/>
      <c r="E923" s="66"/>
      <c r="F923" s="66"/>
      <c r="G923" s="66"/>
      <c r="H923" s="66"/>
      <c r="I923" s="66"/>
      <c r="J923" s="66"/>
      <c r="K923" s="66"/>
      <c r="L923" s="66"/>
      <c r="M923" s="66"/>
      <c r="N923" s="66"/>
    </row>
    <row r="924" spans="1:14" x14ac:dyDescent="0.2">
      <c r="A924" s="84"/>
      <c r="B924" s="84"/>
      <c r="C924" s="60"/>
      <c r="D924" s="66"/>
      <c r="E924" s="66"/>
      <c r="F924" s="66"/>
      <c r="G924" s="66"/>
      <c r="H924" s="66"/>
      <c r="I924" s="66"/>
      <c r="J924" s="66"/>
      <c r="K924" s="66"/>
      <c r="L924" s="66"/>
      <c r="M924" s="66"/>
      <c r="N924" s="66"/>
    </row>
    <row r="925" spans="1:14" x14ac:dyDescent="0.2">
      <c r="A925" s="84"/>
      <c r="B925" s="84"/>
      <c r="C925" s="60"/>
      <c r="D925" s="66"/>
      <c r="E925" s="66"/>
      <c r="F925" s="66"/>
      <c r="G925" s="66"/>
      <c r="H925" s="66"/>
      <c r="I925" s="66"/>
      <c r="J925" s="66"/>
      <c r="K925" s="66"/>
      <c r="L925" s="66"/>
      <c r="M925" s="66"/>
      <c r="N925" s="66"/>
    </row>
    <row r="926" spans="1:14" x14ac:dyDescent="0.2">
      <c r="A926" s="84"/>
      <c r="B926" s="84"/>
      <c r="C926" s="60"/>
      <c r="D926" s="66"/>
      <c r="E926" s="66"/>
      <c r="F926" s="66"/>
      <c r="G926" s="66"/>
      <c r="H926" s="66"/>
      <c r="I926" s="66"/>
      <c r="J926" s="66"/>
      <c r="K926" s="66"/>
      <c r="L926" s="66"/>
      <c r="M926" s="66"/>
      <c r="N926" s="66"/>
    </row>
    <row r="927" spans="1:14" x14ac:dyDescent="0.2">
      <c r="A927" s="84"/>
      <c r="B927" s="84"/>
      <c r="C927" s="60"/>
      <c r="D927" s="66"/>
      <c r="E927" s="66"/>
      <c r="F927" s="66"/>
      <c r="G927" s="66"/>
      <c r="H927" s="66"/>
      <c r="I927" s="66"/>
      <c r="J927" s="66"/>
      <c r="K927" s="66"/>
      <c r="L927" s="66"/>
      <c r="M927" s="66"/>
      <c r="N927" s="66"/>
    </row>
    <row r="928" spans="1:14" x14ac:dyDescent="0.2">
      <c r="A928" s="84"/>
      <c r="B928" s="84"/>
      <c r="C928" s="60"/>
      <c r="D928" s="66"/>
      <c r="E928" s="66"/>
      <c r="F928" s="66"/>
      <c r="G928" s="66"/>
      <c r="H928" s="66"/>
      <c r="I928" s="66"/>
      <c r="J928" s="66"/>
      <c r="K928" s="66"/>
      <c r="L928" s="66"/>
      <c r="M928" s="66"/>
      <c r="N928" s="66"/>
    </row>
    <row r="929" spans="1:14" x14ac:dyDescent="0.2">
      <c r="A929" s="84"/>
      <c r="B929" s="84"/>
      <c r="C929" s="60"/>
      <c r="D929" s="66"/>
      <c r="E929" s="66"/>
      <c r="F929" s="66"/>
      <c r="G929" s="66"/>
      <c r="H929" s="66"/>
      <c r="I929" s="66"/>
      <c r="J929" s="66"/>
      <c r="K929" s="66"/>
      <c r="L929" s="66"/>
      <c r="M929" s="66"/>
      <c r="N929" s="66"/>
    </row>
    <row r="930" spans="1:14" x14ac:dyDescent="0.2">
      <c r="A930" s="84"/>
      <c r="B930" s="84"/>
      <c r="C930" s="60"/>
      <c r="D930" s="66"/>
      <c r="E930" s="66"/>
      <c r="F930" s="66"/>
      <c r="G930" s="66"/>
      <c r="H930" s="66"/>
      <c r="I930" s="66"/>
      <c r="J930" s="66"/>
      <c r="K930" s="66"/>
      <c r="L930" s="66"/>
      <c r="M930" s="66"/>
      <c r="N930" s="66"/>
    </row>
    <row r="931" spans="1:14" x14ac:dyDescent="0.2">
      <c r="A931" s="84"/>
      <c r="B931" s="84"/>
      <c r="C931" s="60"/>
      <c r="D931" s="66"/>
      <c r="E931" s="66"/>
      <c r="F931" s="66"/>
      <c r="G931" s="66"/>
      <c r="H931" s="66"/>
      <c r="I931" s="66"/>
      <c r="J931" s="66"/>
      <c r="K931" s="66"/>
      <c r="L931" s="66"/>
      <c r="M931" s="66"/>
      <c r="N931" s="66"/>
    </row>
    <row r="932" spans="1:14" x14ac:dyDescent="0.2">
      <c r="A932" s="84"/>
      <c r="B932" s="84"/>
      <c r="C932" s="60"/>
      <c r="D932" s="66"/>
      <c r="E932" s="66"/>
      <c r="F932" s="66"/>
      <c r="G932" s="66"/>
      <c r="H932" s="66"/>
      <c r="I932" s="66"/>
      <c r="J932" s="66"/>
      <c r="K932" s="66"/>
      <c r="L932" s="66"/>
      <c r="M932" s="66"/>
      <c r="N932" s="66"/>
    </row>
    <row r="933" spans="1:14" x14ac:dyDescent="0.2">
      <c r="A933" s="84"/>
      <c r="B933" s="84"/>
      <c r="C933" s="60"/>
      <c r="D933" s="66"/>
      <c r="E933" s="66"/>
      <c r="F933" s="66"/>
      <c r="G933" s="66"/>
      <c r="H933" s="66"/>
      <c r="I933" s="66"/>
      <c r="J933" s="66"/>
      <c r="K933" s="66"/>
      <c r="L933" s="66"/>
      <c r="M933" s="66"/>
      <c r="N933" s="66"/>
    </row>
    <row r="934" spans="1:14" x14ac:dyDescent="0.2">
      <c r="A934" s="84"/>
      <c r="B934" s="84"/>
      <c r="C934" s="60"/>
      <c r="D934" s="66"/>
      <c r="E934" s="66"/>
      <c r="F934" s="66"/>
      <c r="G934" s="66"/>
      <c r="H934" s="66"/>
      <c r="I934" s="66"/>
      <c r="J934" s="66"/>
      <c r="K934" s="66"/>
      <c r="L934" s="66"/>
      <c r="M934" s="66"/>
      <c r="N934" s="66"/>
    </row>
    <row r="935" spans="1:14" x14ac:dyDescent="0.2">
      <c r="A935" s="84"/>
      <c r="B935" s="84"/>
      <c r="C935" s="60"/>
      <c r="D935" s="66"/>
      <c r="E935" s="66"/>
      <c r="F935" s="66"/>
      <c r="G935" s="66"/>
      <c r="H935" s="66"/>
      <c r="I935" s="66"/>
      <c r="J935" s="66"/>
      <c r="K935" s="66"/>
      <c r="L935" s="66"/>
      <c r="M935" s="66"/>
      <c r="N935" s="66"/>
    </row>
    <row r="936" spans="1:14" x14ac:dyDescent="0.2">
      <c r="A936" s="84"/>
      <c r="B936" s="84"/>
      <c r="C936" s="60"/>
      <c r="D936" s="66"/>
      <c r="E936" s="66"/>
      <c r="F936" s="66"/>
      <c r="G936" s="66"/>
      <c r="H936" s="66"/>
      <c r="I936" s="66"/>
      <c r="J936" s="66"/>
      <c r="K936" s="66"/>
      <c r="L936" s="66"/>
      <c r="M936" s="66"/>
      <c r="N936" s="66"/>
    </row>
    <row r="937" spans="1:14" x14ac:dyDescent="0.2">
      <c r="A937" s="84"/>
      <c r="B937" s="84"/>
      <c r="C937" s="60"/>
      <c r="D937" s="66"/>
      <c r="E937" s="66"/>
      <c r="F937" s="66"/>
      <c r="G937" s="66"/>
      <c r="H937" s="66"/>
      <c r="I937" s="66"/>
      <c r="J937" s="66"/>
      <c r="K937" s="66"/>
      <c r="L937" s="66"/>
      <c r="M937" s="66"/>
      <c r="N937" s="66"/>
    </row>
    <row r="938" spans="1:14" x14ac:dyDescent="0.2">
      <c r="A938" s="84"/>
      <c r="B938" s="84"/>
      <c r="C938" s="60"/>
      <c r="D938" s="66"/>
      <c r="E938" s="66"/>
      <c r="F938" s="66"/>
      <c r="G938" s="66"/>
      <c r="H938" s="66"/>
      <c r="I938" s="66"/>
      <c r="J938" s="66"/>
      <c r="K938" s="66"/>
      <c r="L938" s="66"/>
      <c r="M938" s="66"/>
      <c r="N938" s="66"/>
    </row>
    <row r="939" spans="1:14" x14ac:dyDescent="0.2">
      <c r="A939" s="84"/>
      <c r="B939" s="84"/>
      <c r="C939" s="60"/>
      <c r="D939" s="66"/>
      <c r="E939" s="66"/>
      <c r="F939" s="66"/>
      <c r="G939" s="66"/>
      <c r="H939" s="66"/>
      <c r="I939" s="66"/>
      <c r="J939" s="66"/>
      <c r="K939" s="66"/>
      <c r="L939" s="66"/>
      <c r="M939" s="66"/>
      <c r="N939" s="66"/>
    </row>
    <row r="940" spans="1:14" x14ac:dyDescent="0.2">
      <c r="A940" s="84"/>
      <c r="B940" s="84"/>
      <c r="C940" s="60"/>
      <c r="D940" s="66"/>
      <c r="E940" s="66"/>
      <c r="F940" s="66"/>
      <c r="G940" s="66"/>
      <c r="H940" s="66"/>
      <c r="I940" s="66"/>
      <c r="J940" s="66"/>
      <c r="K940" s="66"/>
      <c r="L940" s="66"/>
      <c r="M940" s="66"/>
      <c r="N940" s="66"/>
    </row>
    <row r="941" spans="1:14" x14ac:dyDescent="0.2">
      <c r="A941" s="84"/>
      <c r="B941" s="84"/>
      <c r="C941" s="60"/>
      <c r="D941" s="66"/>
      <c r="E941" s="66"/>
      <c r="F941" s="66"/>
      <c r="G941" s="66"/>
      <c r="H941" s="66"/>
      <c r="I941" s="66"/>
      <c r="J941" s="66"/>
      <c r="K941" s="66"/>
      <c r="L941" s="66"/>
      <c r="M941" s="66"/>
      <c r="N941" s="66"/>
    </row>
    <row r="942" spans="1:14" x14ac:dyDescent="0.2">
      <c r="A942" s="84"/>
      <c r="B942" s="84"/>
      <c r="C942" s="60"/>
      <c r="D942" s="66"/>
      <c r="E942" s="66"/>
      <c r="F942" s="66"/>
      <c r="G942" s="66"/>
      <c r="H942" s="66"/>
      <c r="I942" s="66"/>
      <c r="J942" s="66"/>
      <c r="K942" s="66"/>
      <c r="L942" s="66"/>
      <c r="M942" s="66"/>
      <c r="N942" s="66"/>
    </row>
    <row r="943" spans="1:14" x14ac:dyDescent="0.2">
      <c r="A943" s="84"/>
      <c r="B943" s="84"/>
      <c r="C943" s="60"/>
      <c r="D943" s="66"/>
      <c r="E943" s="66"/>
      <c r="F943" s="66"/>
      <c r="G943" s="66"/>
      <c r="H943" s="66"/>
      <c r="I943" s="66"/>
      <c r="J943" s="66"/>
      <c r="K943" s="66"/>
      <c r="L943" s="66"/>
      <c r="M943" s="66"/>
      <c r="N943" s="66"/>
    </row>
    <row r="944" spans="1:14" x14ac:dyDescent="0.2">
      <c r="A944" s="84"/>
      <c r="B944" s="84"/>
      <c r="C944" s="60"/>
      <c r="D944" s="66"/>
      <c r="E944" s="66"/>
      <c r="F944" s="66"/>
      <c r="G944" s="66"/>
      <c r="H944" s="66"/>
      <c r="I944" s="66"/>
      <c r="J944" s="66"/>
      <c r="K944" s="66"/>
      <c r="L944" s="66"/>
      <c r="M944" s="66"/>
      <c r="N944" s="66"/>
    </row>
    <row r="945" spans="1:14" x14ac:dyDescent="0.2">
      <c r="A945" s="84"/>
      <c r="B945" s="84"/>
      <c r="C945" s="60"/>
      <c r="D945" s="66"/>
      <c r="E945" s="66"/>
      <c r="F945" s="66"/>
      <c r="G945" s="66"/>
      <c r="H945" s="66"/>
      <c r="I945" s="66"/>
      <c r="J945" s="66"/>
      <c r="K945" s="66"/>
      <c r="L945" s="66"/>
      <c r="M945" s="66"/>
      <c r="N945" s="66"/>
    </row>
    <row r="946" spans="1:14" x14ac:dyDescent="0.2">
      <c r="A946" s="84"/>
      <c r="B946" s="84"/>
      <c r="C946" s="60"/>
      <c r="D946" s="66"/>
      <c r="E946" s="66"/>
      <c r="F946" s="66"/>
      <c r="G946" s="66"/>
      <c r="H946" s="66"/>
      <c r="I946" s="66"/>
      <c r="J946" s="66"/>
      <c r="K946" s="66"/>
      <c r="L946" s="66"/>
      <c r="M946" s="66"/>
      <c r="N946" s="66"/>
    </row>
    <row r="947" spans="1:14" x14ac:dyDescent="0.2">
      <c r="A947" s="84"/>
      <c r="B947" s="84"/>
      <c r="C947" s="60"/>
      <c r="D947" s="66"/>
      <c r="E947" s="66"/>
      <c r="F947" s="66"/>
      <c r="G947" s="66"/>
      <c r="H947" s="66"/>
      <c r="I947" s="66"/>
      <c r="J947" s="66"/>
      <c r="K947" s="66"/>
      <c r="L947" s="66"/>
      <c r="M947" s="66"/>
      <c r="N947" s="66"/>
    </row>
    <row r="948" spans="1:14" x14ac:dyDescent="0.2">
      <c r="A948" s="84"/>
      <c r="B948" s="84"/>
      <c r="C948" s="60"/>
      <c r="D948" s="66"/>
      <c r="E948" s="66"/>
      <c r="F948" s="66"/>
      <c r="G948" s="66"/>
      <c r="H948" s="66"/>
      <c r="I948" s="66"/>
      <c r="J948" s="66"/>
      <c r="K948" s="66"/>
      <c r="L948" s="66"/>
      <c r="M948" s="66"/>
      <c r="N948" s="66"/>
    </row>
    <row r="949" spans="1:14" x14ac:dyDescent="0.2">
      <c r="A949" s="84"/>
      <c r="B949" s="84"/>
      <c r="C949" s="60"/>
      <c r="D949" s="66"/>
      <c r="E949" s="66"/>
      <c r="F949" s="66"/>
      <c r="G949" s="66"/>
      <c r="H949" s="66"/>
      <c r="I949" s="66"/>
      <c r="J949" s="66"/>
      <c r="K949" s="66"/>
      <c r="L949" s="66"/>
      <c r="M949" s="66"/>
      <c r="N949" s="66"/>
    </row>
    <row r="950" spans="1:14" x14ac:dyDescent="0.2">
      <c r="A950" s="84"/>
      <c r="B950" s="84"/>
      <c r="C950" s="60"/>
      <c r="D950" s="66"/>
      <c r="E950" s="66"/>
      <c r="F950" s="66"/>
      <c r="G950" s="66"/>
      <c r="H950" s="66"/>
      <c r="I950" s="66"/>
      <c r="J950" s="66"/>
      <c r="K950" s="66"/>
      <c r="L950" s="66"/>
      <c r="M950" s="66"/>
      <c r="N950" s="66"/>
    </row>
    <row r="951" spans="1:14" x14ac:dyDescent="0.2">
      <c r="A951" s="84"/>
      <c r="B951" s="84"/>
      <c r="C951" s="60"/>
      <c r="D951" s="66"/>
      <c r="E951" s="66"/>
      <c r="F951" s="66"/>
      <c r="G951" s="66"/>
      <c r="H951" s="66"/>
      <c r="I951" s="66"/>
      <c r="J951" s="66"/>
      <c r="K951" s="66"/>
      <c r="L951" s="66"/>
      <c r="M951" s="66"/>
      <c r="N951" s="66"/>
    </row>
    <row r="952" spans="1:14" x14ac:dyDescent="0.2">
      <c r="A952" s="84"/>
      <c r="B952" s="84"/>
      <c r="C952" s="60"/>
      <c r="D952" s="66"/>
      <c r="E952" s="66"/>
      <c r="F952" s="66"/>
      <c r="G952" s="66"/>
      <c r="H952" s="66"/>
      <c r="I952" s="66"/>
      <c r="J952" s="66"/>
      <c r="K952" s="66"/>
      <c r="L952" s="66"/>
      <c r="M952" s="66"/>
      <c r="N952" s="66"/>
    </row>
    <row r="953" spans="1:14" x14ac:dyDescent="0.2">
      <c r="A953" s="84"/>
      <c r="B953" s="84"/>
      <c r="C953" s="60"/>
      <c r="D953" s="66"/>
      <c r="E953" s="66"/>
      <c r="F953" s="66"/>
      <c r="G953" s="66"/>
      <c r="H953" s="66"/>
      <c r="I953" s="66"/>
      <c r="J953" s="66"/>
      <c r="K953" s="66"/>
      <c r="L953" s="66"/>
      <c r="M953" s="66"/>
      <c r="N953" s="66"/>
    </row>
    <row r="954" spans="1:14" x14ac:dyDescent="0.2">
      <c r="A954" s="84"/>
      <c r="B954" s="84"/>
      <c r="C954" s="60"/>
      <c r="D954" s="66"/>
      <c r="E954" s="66"/>
      <c r="F954" s="66"/>
      <c r="G954" s="66"/>
      <c r="H954" s="66"/>
      <c r="I954" s="66"/>
      <c r="J954" s="66"/>
      <c r="K954" s="66"/>
      <c r="L954" s="66"/>
      <c r="M954" s="66"/>
      <c r="N954" s="66"/>
    </row>
    <row r="955" spans="1:14" x14ac:dyDescent="0.2">
      <c r="A955" s="84"/>
      <c r="B955" s="84"/>
      <c r="C955" s="60"/>
      <c r="D955" s="66"/>
      <c r="E955" s="66"/>
      <c r="F955" s="66"/>
      <c r="G955" s="66"/>
      <c r="H955" s="66"/>
      <c r="I955" s="66"/>
      <c r="J955" s="66"/>
      <c r="K955" s="66"/>
      <c r="L955" s="66"/>
      <c r="M955" s="66"/>
      <c r="N955" s="66"/>
    </row>
    <row r="956" spans="1:14" x14ac:dyDescent="0.2">
      <c r="A956" s="84"/>
      <c r="B956" s="84"/>
      <c r="C956" s="60"/>
      <c r="D956" s="66"/>
      <c r="E956" s="66"/>
      <c r="F956" s="66"/>
      <c r="G956" s="66"/>
      <c r="H956" s="66"/>
      <c r="I956" s="66"/>
      <c r="J956" s="66"/>
      <c r="K956" s="66"/>
      <c r="L956" s="66"/>
      <c r="M956" s="66"/>
      <c r="N956" s="66"/>
    </row>
    <row r="957" spans="1:14" x14ac:dyDescent="0.2">
      <c r="A957" s="84"/>
      <c r="B957" s="84"/>
      <c r="C957" s="60"/>
      <c r="D957" s="66"/>
      <c r="E957" s="66"/>
      <c r="F957" s="66"/>
      <c r="G957" s="66"/>
      <c r="H957" s="66"/>
      <c r="I957" s="66"/>
      <c r="J957" s="66"/>
      <c r="K957" s="66"/>
      <c r="L957" s="66"/>
      <c r="M957" s="66"/>
      <c r="N957" s="66"/>
    </row>
    <row r="958" spans="1:14" x14ac:dyDescent="0.2">
      <c r="A958" s="84"/>
      <c r="B958" s="84"/>
      <c r="C958" s="60"/>
      <c r="D958" s="66"/>
      <c r="E958" s="66"/>
      <c r="F958" s="66"/>
      <c r="G958" s="66"/>
      <c r="H958" s="66"/>
      <c r="I958" s="66"/>
      <c r="J958" s="66"/>
      <c r="K958" s="66"/>
      <c r="L958" s="66"/>
      <c r="M958" s="66"/>
      <c r="N958" s="66"/>
    </row>
    <row r="959" spans="1:14" x14ac:dyDescent="0.2">
      <c r="A959" s="84"/>
      <c r="B959" s="84"/>
      <c r="C959" s="60"/>
      <c r="D959" s="66"/>
      <c r="E959" s="66"/>
      <c r="F959" s="66"/>
      <c r="G959" s="66"/>
      <c r="H959" s="66"/>
      <c r="I959" s="66"/>
      <c r="J959" s="66"/>
      <c r="K959" s="66"/>
      <c r="L959" s="66"/>
      <c r="M959" s="66"/>
      <c r="N959" s="66"/>
    </row>
    <row r="960" spans="1:14" x14ac:dyDescent="0.2">
      <c r="A960" s="84"/>
      <c r="B960" s="84"/>
      <c r="C960" s="60"/>
      <c r="D960" s="66"/>
      <c r="E960" s="66"/>
      <c r="F960" s="66"/>
      <c r="G960" s="66"/>
      <c r="H960" s="66"/>
      <c r="I960" s="66"/>
      <c r="J960" s="66"/>
      <c r="K960" s="66"/>
      <c r="L960" s="66"/>
      <c r="M960" s="66"/>
      <c r="N960" s="66"/>
    </row>
    <row r="961" spans="1:14" x14ac:dyDescent="0.2">
      <c r="A961" s="84"/>
      <c r="B961" s="84"/>
      <c r="C961" s="60"/>
      <c r="D961" s="66"/>
      <c r="E961" s="66"/>
      <c r="F961" s="66"/>
      <c r="G961" s="66"/>
      <c r="H961" s="66"/>
      <c r="I961" s="66"/>
      <c r="J961" s="66"/>
      <c r="K961" s="66"/>
      <c r="L961" s="66"/>
      <c r="M961" s="66"/>
      <c r="N961" s="66"/>
    </row>
    <row r="962" spans="1:14" x14ac:dyDescent="0.2">
      <c r="A962" s="84"/>
      <c r="B962" s="84"/>
      <c r="C962" s="60"/>
      <c r="D962" s="66"/>
      <c r="E962" s="66"/>
      <c r="F962" s="66"/>
      <c r="G962" s="66"/>
      <c r="H962" s="66"/>
      <c r="I962" s="66"/>
      <c r="J962" s="66"/>
      <c r="K962" s="66"/>
      <c r="L962" s="66"/>
      <c r="M962" s="66"/>
      <c r="N962" s="66"/>
    </row>
    <row r="963" spans="1:14" x14ac:dyDescent="0.2">
      <c r="A963" s="84"/>
      <c r="B963" s="84"/>
      <c r="C963" s="60"/>
      <c r="D963" s="66"/>
      <c r="E963" s="66"/>
      <c r="F963" s="66"/>
      <c r="G963" s="66"/>
      <c r="H963" s="66"/>
      <c r="I963" s="66"/>
      <c r="J963" s="66"/>
      <c r="K963" s="66"/>
      <c r="L963" s="66"/>
      <c r="M963" s="66"/>
      <c r="N963" s="66"/>
    </row>
    <row r="964" spans="1:14" x14ac:dyDescent="0.2">
      <c r="A964" s="84"/>
      <c r="B964" s="84"/>
      <c r="C964" s="60"/>
      <c r="D964" s="66"/>
      <c r="E964" s="66"/>
      <c r="F964" s="66"/>
      <c r="G964" s="66"/>
      <c r="H964" s="66"/>
      <c r="I964" s="66"/>
      <c r="J964" s="66"/>
      <c r="K964" s="66"/>
      <c r="L964" s="66"/>
      <c r="M964" s="66"/>
      <c r="N964" s="66"/>
    </row>
    <row r="965" spans="1:14" x14ac:dyDescent="0.2">
      <c r="A965" s="84"/>
      <c r="B965" s="84"/>
      <c r="C965" s="60"/>
      <c r="D965" s="66"/>
      <c r="E965" s="66"/>
      <c r="F965" s="66"/>
      <c r="G965" s="66"/>
      <c r="H965" s="66"/>
      <c r="I965" s="66"/>
      <c r="J965" s="66"/>
      <c r="K965" s="66"/>
      <c r="L965" s="66"/>
      <c r="M965" s="66"/>
      <c r="N965" s="66"/>
    </row>
    <row r="966" spans="1:14" x14ac:dyDescent="0.2">
      <c r="A966" s="84"/>
      <c r="B966" s="84"/>
      <c r="C966" s="60"/>
      <c r="D966" s="66"/>
      <c r="E966" s="66"/>
      <c r="F966" s="66"/>
      <c r="G966" s="66"/>
      <c r="H966" s="66"/>
      <c r="I966" s="66"/>
      <c r="J966" s="66"/>
      <c r="K966" s="66"/>
      <c r="L966" s="66"/>
      <c r="M966" s="66"/>
      <c r="N966" s="66"/>
    </row>
    <row r="967" spans="1:14" x14ac:dyDescent="0.2">
      <c r="A967" s="84"/>
      <c r="B967" s="84"/>
      <c r="C967" s="60"/>
      <c r="D967" s="66"/>
      <c r="E967" s="66"/>
      <c r="F967" s="66"/>
      <c r="G967" s="66"/>
      <c r="H967" s="66"/>
      <c r="I967" s="66"/>
      <c r="J967" s="66"/>
      <c r="K967" s="66"/>
      <c r="L967" s="66"/>
      <c r="M967" s="66"/>
      <c r="N967" s="66"/>
    </row>
    <row r="968" spans="1:14" x14ac:dyDescent="0.2">
      <c r="A968" s="84"/>
      <c r="B968" s="84"/>
      <c r="C968" s="60"/>
      <c r="D968" s="66"/>
      <c r="E968" s="66"/>
      <c r="F968" s="66"/>
      <c r="G968" s="66"/>
      <c r="H968" s="66"/>
      <c r="I968" s="66"/>
      <c r="J968" s="66"/>
      <c r="K968" s="66"/>
      <c r="L968" s="66"/>
      <c r="M968" s="66"/>
      <c r="N968" s="66"/>
    </row>
    <row r="969" spans="1:14" x14ac:dyDescent="0.2">
      <c r="A969" s="84"/>
      <c r="B969" s="84"/>
      <c r="C969" s="60"/>
      <c r="D969" s="66"/>
      <c r="E969" s="66"/>
      <c r="F969" s="66"/>
      <c r="G969" s="66"/>
      <c r="H969" s="66"/>
      <c r="I969" s="66"/>
      <c r="J969" s="66"/>
      <c r="K969" s="66"/>
      <c r="L969" s="66"/>
      <c r="M969" s="66"/>
      <c r="N969" s="66"/>
    </row>
    <row r="970" spans="1:14" x14ac:dyDescent="0.2">
      <c r="A970" s="84"/>
      <c r="B970" s="84"/>
      <c r="C970" s="60"/>
      <c r="D970" s="66"/>
      <c r="E970" s="66"/>
      <c r="F970" s="66"/>
      <c r="G970" s="66"/>
      <c r="H970" s="66"/>
      <c r="I970" s="66"/>
      <c r="J970" s="66"/>
      <c r="K970" s="66"/>
      <c r="L970" s="66"/>
      <c r="M970" s="66"/>
      <c r="N970" s="66"/>
    </row>
    <row r="971" spans="1:14" x14ac:dyDescent="0.2">
      <c r="A971" s="84"/>
      <c r="B971" s="84"/>
      <c r="C971" s="60"/>
      <c r="D971" s="66"/>
      <c r="E971" s="66"/>
      <c r="F971" s="66"/>
      <c r="G971" s="66"/>
      <c r="H971" s="66"/>
      <c r="I971" s="66"/>
      <c r="J971" s="66"/>
      <c r="K971" s="66"/>
      <c r="L971" s="66"/>
      <c r="M971" s="66"/>
      <c r="N971" s="66"/>
    </row>
    <row r="972" spans="1:14" x14ac:dyDescent="0.2">
      <c r="A972" s="84"/>
      <c r="B972" s="84"/>
      <c r="C972" s="60"/>
      <c r="D972" s="66"/>
      <c r="E972" s="66"/>
      <c r="F972" s="66"/>
      <c r="G972" s="66"/>
      <c r="H972" s="66"/>
      <c r="I972" s="66"/>
      <c r="J972" s="66"/>
      <c r="K972" s="66"/>
      <c r="L972" s="66"/>
      <c r="M972" s="66"/>
      <c r="N972" s="66"/>
    </row>
    <row r="973" spans="1:14" x14ac:dyDescent="0.2">
      <c r="A973" s="84"/>
      <c r="B973" s="84"/>
      <c r="C973" s="60"/>
      <c r="D973" s="66"/>
      <c r="E973" s="66"/>
      <c r="F973" s="66"/>
      <c r="G973" s="66"/>
      <c r="H973" s="66"/>
      <c r="I973" s="66"/>
      <c r="J973" s="66"/>
      <c r="K973" s="66"/>
      <c r="L973" s="66"/>
      <c r="M973" s="66"/>
      <c r="N973" s="66"/>
    </row>
    <row r="974" spans="1:14" x14ac:dyDescent="0.2">
      <c r="A974" s="84"/>
      <c r="B974" s="84"/>
      <c r="C974" s="60"/>
      <c r="D974" s="66"/>
      <c r="E974" s="66"/>
      <c r="F974" s="66"/>
      <c r="G974" s="66"/>
      <c r="H974" s="66"/>
      <c r="I974" s="66"/>
      <c r="J974" s="66"/>
      <c r="K974" s="66"/>
      <c r="L974" s="66"/>
      <c r="M974" s="66"/>
      <c r="N974" s="66"/>
    </row>
    <row r="975" spans="1:14" x14ac:dyDescent="0.2">
      <c r="A975" s="84"/>
      <c r="B975" s="84"/>
      <c r="C975" s="60"/>
      <c r="D975" s="66"/>
      <c r="E975" s="66"/>
      <c r="F975" s="66"/>
      <c r="G975" s="66"/>
      <c r="H975" s="66"/>
      <c r="I975" s="66"/>
      <c r="J975" s="66"/>
      <c r="K975" s="66"/>
      <c r="L975" s="66"/>
      <c r="M975" s="66"/>
      <c r="N975" s="66"/>
    </row>
    <row r="976" spans="1:14" x14ac:dyDescent="0.2">
      <c r="A976" s="84"/>
      <c r="B976" s="84"/>
      <c r="C976" s="60"/>
      <c r="D976" s="66"/>
      <c r="E976" s="66"/>
      <c r="F976" s="66"/>
      <c r="G976" s="66"/>
      <c r="H976" s="66"/>
      <c r="I976" s="66"/>
      <c r="J976" s="66"/>
      <c r="K976" s="66"/>
      <c r="L976" s="66"/>
      <c r="M976" s="66"/>
      <c r="N976" s="66"/>
    </row>
    <row r="977" spans="1:14" x14ac:dyDescent="0.2">
      <c r="A977" s="84"/>
      <c r="B977" s="84"/>
      <c r="C977" s="60"/>
      <c r="D977" s="66"/>
      <c r="E977" s="66"/>
      <c r="F977" s="66"/>
      <c r="G977" s="66"/>
      <c r="H977" s="66"/>
      <c r="I977" s="66"/>
      <c r="J977" s="66"/>
      <c r="K977" s="66"/>
      <c r="L977" s="66"/>
      <c r="M977" s="66"/>
      <c r="N977" s="66"/>
    </row>
    <row r="978" spans="1:14" x14ac:dyDescent="0.2">
      <c r="A978" s="84"/>
      <c r="B978" s="84"/>
      <c r="C978" s="60"/>
      <c r="D978" s="66"/>
      <c r="E978" s="66"/>
      <c r="F978" s="66"/>
      <c r="G978" s="66"/>
      <c r="H978" s="66"/>
      <c r="I978" s="66"/>
      <c r="J978" s="66"/>
      <c r="K978" s="66"/>
      <c r="L978" s="66"/>
      <c r="M978" s="66"/>
      <c r="N978" s="66"/>
    </row>
    <row r="979" spans="1:14" x14ac:dyDescent="0.2">
      <c r="A979" s="84"/>
      <c r="B979" s="84"/>
      <c r="C979" s="60"/>
      <c r="D979" s="66"/>
      <c r="E979" s="66"/>
      <c r="F979" s="66"/>
      <c r="G979" s="66"/>
      <c r="H979" s="66"/>
      <c r="I979" s="66"/>
      <c r="J979" s="66"/>
      <c r="K979" s="66"/>
      <c r="L979" s="66"/>
      <c r="M979" s="66"/>
      <c r="N979" s="66"/>
    </row>
    <row r="980" spans="1:14" x14ac:dyDescent="0.2">
      <c r="A980" s="84"/>
      <c r="B980" s="84"/>
      <c r="C980" s="60"/>
      <c r="D980" s="66"/>
      <c r="E980" s="66"/>
      <c r="F980" s="66"/>
      <c r="G980" s="66"/>
      <c r="H980" s="66"/>
      <c r="I980" s="66"/>
      <c r="J980" s="66"/>
      <c r="K980" s="66"/>
      <c r="L980" s="66"/>
      <c r="M980" s="66"/>
      <c r="N980" s="66"/>
    </row>
    <row r="981" spans="1:14" x14ac:dyDescent="0.2">
      <c r="A981" s="84"/>
      <c r="B981" s="84"/>
      <c r="C981" s="60"/>
      <c r="D981" s="66"/>
      <c r="E981" s="66"/>
      <c r="F981" s="66"/>
      <c r="G981" s="66"/>
      <c r="H981" s="66"/>
      <c r="I981" s="66"/>
      <c r="J981" s="66"/>
      <c r="K981" s="66"/>
      <c r="L981" s="66"/>
      <c r="M981" s="66"/>
      <c r="N981" s="66"/>
    </row>
    <row r="982" spans="1:14" x14ac:dyDescent="0.2">
      <c r="A982" s="84"/>
      <c r="B982" s="84"/>
      <c r="C982" s="60"/>
      <c r="D982" s="66"/>
      <c r="E982" s="66"/>
      <c r="F982" s="66"/>
      <c r="G982" s="66"/>
      <c r="H982" s="66"/>
      <c r="I982" s="66"/>
      <c r="J982" s="66"/>
      <c r="K982" s="66"/>
      <c r="L982" s="66"/>
      <c r="M982" s="66"/>
      <c r="N982" s="66"/>
    </row>
    <row r="983" spans="1:14" x14ac:dyDescent="0.2">
      <c r="A983" s="84"/>
      <c r="B983" s="84"/>
      <c r="C983" s="60"/>
      <c r="D983" s="66"/>
      <c r="E983" s="66"/>
      <c r="F983" s="66"/>
      <c r="G983" s="66"/>
      <c r="H983" s="66"/>
      <c r="I983" s="66"/>
      <c r="J983" s="66"/>
      <c r="K983" s="66"/>
      <c r="L983" s="66"/>
      <c r="M983" s="66"/>
      <c r="N983" s="66"/>
    </row>
    <row r="984" spans="1:14" x14ac:dyDescent="0.2">
      <c r="A984" s="84"/>
      <c r="B984" s="84"/>
      <c r="C984" s="60"/>
      <c r="D984" s="66"/>
      <c r="E984" s="66"/>
      <c r="F984" s="66"/>
      <c r="G984" s="66"/>
      <c r="H984" s="66"/>
      <c r="I984" s="66"/>
      <c r="J984" s="66"/>
      <c r="K984" s="66"/>
      <c r="L984" s="66"/>
      <c r="M984" s="66"/>
      <c r="N984" s="66"/>
    </row>
    <row r="985" spans="1:14" x14ac:dyDescent="0.2">
      <c r="A985" s="84"/>
      <c r="B985" s="84"/>
      <c r="C985" s="60"/>
      <c r="D985" s="66"/>
      <c r="E985" s="66"/>
      <c r="F985" s="66"/>
      <c r="G985" s="66"/>
      <c r="H985" s="66"/>
      <c r="I985" s="66"/>
      <c r="J985" s="66"/>
      <c r="K985" s="66"/>
      <c r="L985" s="66"/>
      <c r="M985" s="66"/>
      <c r="N985" s="66"/>
    </row>
    <row r="986" spans="1:14" x14ac:dyDescent="0.2">
      <c r="A986" s="84"/>
      <c r="B986" s="84"/>
      <c r="C986" s="60"/>
      <c r="D986" s="66"/>
      <c r="E986" s="66"/>
      <c r="F986" s="66"/>
      <c r="G986" s="66"/>
      <c r="H986" s="66"/>
      <c r="I986" s="66"/>
      <c r="J986" s="66"/>
      <c r="K986" s="66"/>
      <c r="L986" s="66"/>
      <c r="M986" s="66"/>
      <c r="N986" s="66"/>
    </row>
    <row r="987" spans="1:14" x14ac:dyDescent="0.2">
      <c r="A987" s="84"/>
      <c r="B987" s="84"/>
      <c r="C987" s="60"/>
      <c r="D987" s="66"/>
      <c r="E987" s="66"/>
      <c r="F987" s="66"/>
      <c r="G987" s="66"/>
      <c r="H987" s="66"/>
      <c r="I987" s="66"/>
      <c r="J987" s="66"/>
      <c r="K987" s="66"/>
      <c r="L987" s="66"/>
      <c r="M987" s="66"/>
      <c r="N987" s="66"/>
    </row>
    <row r="988" spans="1:14" x14ac:dyDescent="0.2">
      <c r="A988" s="84"/>
      <c r="B988" s="84"/>
      <c r="C988" s="60"/>
      <c r="D988" s="66"/>
      <c r="E988" s="66"/>
      <c r="F988" s="66"/>
      <c r="G988" s="66"/>
      <c r="H988" s="66"/>
      <c r="I988" s="66"/>
      <c r="J988" s="66"/>
      <c r="K988" s="66"/>
      <c r="L988" s="66"/>
      <c r="M988" s="66"/>
      <c r="N988" s="66"/>
    </row>
    <row r="989" spans="1:14" x14ac:dyDescent="0.2">
      <c r="A989" s="84"/>
      <c r="B989" s="84"/>
      <c r="C989" s="60"/>
      <c r="D989" s="66"/>
      <c r="E989" s="66"/>
      <c r="F989" s="66"/>
      <c r="G989" s="66"/>
      <c r="H989" s="66"/>
      <c r="I989" s="66"/>
      <c r="J989" s="66"/>
      <c r="K989" s="66"/>
      <c r="L989" s="66"/>
      <c r="M989" s="66"/>
      <c r="N989" s="66"/>
    </row>
    <row r="990" spans="1:14" x14ac:dyDescent="0.2">
      <c r="A990" s="84"/>
      <c r="B990" s="84"/>
      <c r="C990" s="60"/>
      <c r="D990" s="66"/>
      <c r="E990" s="66"/>
      <c r="F990" s="66"/>
      <c r="G990" s="66"/>
      <c r="H990" s="66"/>
      <c r="I990" s="66"/>
      <c r="J990" s="66"/>
      <c r="K990" s="66"/>
      <c r="L990" s="66"/>
      <c r="M990" s="66"/>
      <c r="N990" s="66"/>
    </row>
    <row r="991" spans="1:14" x14ac:dyDescent="0.2">
      <c r="A991" s="84"/>
      <c r="B991" s="84"/>
      <c r="C991" s="60"/>
      <c r="D991" s="66"/>
      <c r="E991" s="66"/>
      <c r="F991" s="66"/>
      <c r="G991" s="66"/>
      <c r="H991" s="66"/>
      <c r="I991" s="66"/>
      <c r="J991" s="66"/>
      <c r="K991" s="66"/>
      <c r="L991" s="66"/>
      <c r="M991" s="66"/>
      <c r="N991" s="66"/>
    </row>
    <row r="992" spans="1:14" x14ac:dyDescent="0.2">
      <c r="A992" s="84"/>
      <c r="B992" s="84"/>
      <c r="C992" s="60"/>
      <c r="D992" s="66"/>
      <c r="E992" s="66"/>
      <c r="F992" s="66"/>
      <c r="G992" s="66"/>
      <c r="H992" s="66"/>
      <c r="I992" s="66"/>
      <c r="J992" s="66"/>
      <c r="K992" s="66"/>
      <c r="L992" s="66"/>
      <c r="M992" s="66"/>
      <c r="N992" s="66"/>
    </row>
    <row r="993" spans="1:14" x14ac:dyDescent="0.2">
      <c r="A993" s="84"/>
      <c r="B993" s="84"/>
      <c r="C993" s="60"/>
      <c r="D993" s="66"/>
      <c r="E993" s="66"/>
      <c r="F993" s="66"/>
      <c r="G993" s="66"/>
      <c r="H993" s="66"/>
      <c r="I993" s="66"/>
      <c r="J993" s="66"/>
      <c r="K993" s="66"/>
      <c r="L993" s="66"/>
      <c r="M993" s="66"/>
      <c r="N993" s="66"/>
    </row>
    <row r="994" spans="1:14" x14ac:dyDescent="0.2">
      <c r="A994" s="84"/>
      <c r="B994" s="84"/>
      <c r="C994" s="60"/>
      <c r="D994" s="66"/>
      <c r="E994" s="66"/>
      <c r="F994" s="66"/>
      <c r="G994" s="66"/>
      <c r="H994" s="66"/>
      <c r="I994" s="66"/>
      <c r="J994" s="66"/>
      <c r="K994" s="66"/>
      <c r="L994" s="66"/>
      <c r="M994" s="66"/>
      <c r="N994" s="66"/>
    </row>
    <row r="995" spans="1:14" x14ac:dyDescent="0.2">
      <c r="A995" s="84"/>
      <c r="B995" s="84"/>
      <c r="C995" s="60"/>
      <c r="D995" s="66"/>
      <c r="E995" s="66"/>
      <c r="F995" s="66"/>
      <c r="G995" s="66"/>
      <c r="H995" s="66"/>
      <c r="I995" s="66"/>
      <c r="J995" s="66"/>
      <c r="K995" s="66"/>
      <c r="L995" s="66"/>
      <c r="M995" s="66"/>
      <c r="N995" s="66"/>
    </row>
    <row r="996" spans="1:14" x14ac:dyDescent="0.2">
      <c r="A996" s="84"/>
      <c r="B996" s="84"/>
      <c r="C996" s="60"/>
      <c r="D996" s="66"/>
      <c r="E996" s="66"/>
      <c r="F996" s="66"/>
      <c r="G996" s="66"/>
      <c r="H996" s="66"/>
      <c r="I996" s="66"/>
      <c r="J996" s="66"/>
      <c r="K996" s="66"/>
      <c r="L996" s="66"/>
      <c r="M996" s="66"/>
      <c r="N996" s="66"/>
    </row>
    <row r="997" spans="1:14" x14ac:dyDescent="0.2">
      <c r="A997" s="84"/>
      <c r="B997" s="84"/>
      <c r="C997" s="60"/>
      <c r="D997" s="66"/>
      <c r="E997" s="66"/>
      <c r="F997" s="66"/>
      <c r="G997" s="66"/>
      <c r="H997" s="66"/>
      <c r="I997" s="66"/>
      <c r="J997" s="66"/>
      <c r="K997" s="66"/>
      <c r="L997" s="66"/>
      <c r="M997" s="66"/>
      <c r="N997" s="66"/>
    </row>
    <row r="998" spans="1:14" x14ac:dyDescent="0.2">
      <c r="A998" s="84"/>
      <c r="B998" s="84"/>
      <c r="C998" s="60"/>
      <c r="D998" s="66"/>
      <c r="E998" s="66"/>
      <c r="F998" s="66"/>
      <c r="G998" s="66"/>
      <c r="H998" s="66"/>
      <c r="I998" s="66"/>
      <c r="J998" s="66"/>
      <c r="K998" s="66"/>
      <c r="L998" s="66"/>
      <c r="M998" s="66"/>
      <c r="N998" s="66"/>
    </row>
    <row r="999" spans="1:14" x14ac:dyDescent="0.2">
      <c r="A999" s="84"/>
      <c r="B999" s="84"/>
      <c r="C999" s="60"/>
      <c r="D999" s="66"/>
      <c r="E999" s="66"/>
      <c r="F999" s="66"/>
      <c r="G999" s="66"/>
      <c r="H999" s="66"/>
      <c r="I999" s="66"/>
      <c r="J999" s="66"/>
      <c r="K999" s="66"/>
      <c r="L999" s="66"/>
      <c r="M999" s="66"/>
      <c r="N999" s="66"/>
    </row>
    <row r="1000" spans="1:14" x14ac:dyDescent="0.2">
      <c r="A1000" s="84"/>
      <c r="B1000" s="84"/>
      <c r="C1000" s="60"/>
      <c r="D1000" s="66"/>
      <c r="E1000" s="66"/>
      <c r="F1000" s="66"/>
      <c r="G1000" s="66"/>
      <c r="H1000" s="66"/>
      <c r="I1000" s="66"/>
      <c r="J1000" s="66"/>
      <c r="K1000" s="66"/>
      <c r="L1000" s="66"/>
      <c r="M1000" s="66"/>
      <c r="N1000" s="66"/>
    </row>
    <row r="1001" spans="1:14" x14ac:dyDescent="0.2">
      <c r="A1001" s="84"/>
      <c r="B1001" s="84"/>
      <c r="C1001" s="60"/>
      <c r="D1001" s="66"/>
      <c r="E1001" s="66"/>
      <c r="F1001" s="66"/>
      <c r="G1001" s="66"/>
      <c r="H1001" s="66"/>
      <c r="I1001" s="66"/>
      <c r="J1001" s="66"/>
      <c r="K1001" s="66"/>
      <c r="L1001" s="66"/>
      <c r="M1001" s="66"/>
      <c r="N1001" s="66"/>
    </row>
    <row r="1002" spans="1:14" x14ac:dyDescent="0.2">
      <c r="A1002" s="84"/>
      <c r="B1002" s="84"/>
      <c r="C1002" s="60"/>
      <c r="D1002" s="66"/>
      <c r="E1002" s="66"/>
      <c r="F1002" s="66"/>
      <c r="G1002" s="66"/>
      <c r="H1002" s="66"/>
      <c r="I1002" s="66"/>
      <c r="J1002" s="66"/>
      <c r="K1002" s="66"/>
      <c r="L1002" s="66"/>
      <c r="M1002" s="66"/>
      <c r="N1002" s="66"/>
    </row>
    <row r="1003" spans="1:14" x14ac:dyDescent="0.2">
      <c r="A1003" s="84"/>
      <c r="B1003" s="84"/>
      <c r="C1003" s="60"/>
      <c r="D1003" s="66"/>
      <c r="E1003" s="66"/>
      <c r="F1003" s="66"/>
      <c r="G1003" s="66"/>
      <c r="H1003" s="66"/>
      <c r="I1003" s="66"/>
      <c r="J1003" s="66"/>
      <c r="K1003" s="66"/>
      <c r="L1003" s="66"/>
      <c r="M1003" s="66"/>
      <c r="N1003" s="66"/>
    </row>
    <row r="1004" spans="1:14" x14ac:dyDescent="0.2">
      <c r="A1004" s="84"/>
      <c r="B1004" s="84"/>
      <c r="C1004" s="60"/>
      <c r="D1004" s="66"/>
      <c r="E1004" s="66"/>
      <c r="F1004" s="66"/>
      <c r="G1004" s="66"/>
      <c r="H1004" s="66"/>
      <c r="I1004" s="66"/>
      <c r="J1004" s="66"/>
      <c r="K1004" s="66"/>
      <c r="L1004" s="66"/>
      <c r="M1004" s="66"/>
      <c r="N1004" s="66"/>
    </row>
    <row r="1005" spans="1:14" x14ac:dyDescent="0.2">
      <c r="A1005" s="84"/>
      <c r="B1005" s="84"/>
      <c r="C1005" s="60"/>
      <c r="D1005" s="66"/>
      <c r="E1005" s="66"/>
      <c r="F1005" s="66"/>
      <c r="G1005" s="66"/>
      <c r="H1005" s="66"/>
      <c r="I1005" s="66"/>
      <c r="J1005" s="66"/>
      <c r="K1005" s="66"/>
      <c r="L1005" s="66"/>
      <c r="M1005" s="66"/>
      <c r="N1005" s="66"/>
    </row>
    <row r="1006" spans="1:14" x14ac:dyDescent="0.2">
      <c r="A1006" s="84"/>
      <c r="B1006" s="84"/>
      <c r="C1006" s="60"/>
      <c r="D1006" s="66"/>
      <c r="E1006" s="66"/>
      <c r="F1006" s="66"/>
      <c r="G1006" s="66"/>
      <c r="H1006" s="66"/>
      <c r="I1006" s="66"/>
      <c r="J1006" s="66"/>
      <c r="K1006" s="66"/>
      <c r="L1006" s="66"/>
      <c r="M1006" s="66"/>
      <c r="N1006" s="66"/>
    </row>
    <row r="1007" spans="1:14" x14ac:dyDescent="0.2">
      <c r="A1007" s="84"/>
      <c r="B1007" s="84"/>
      <c r="C1007" s="60"/>
      <c r="D1007" s="66"/>
      <c r="E1007" s="66"/>
      <c r="F1007" s="66"/>
      <c r="G1007" s="66"/>
      <c r="H1007" s="66"/>
      <c r="I1007" s="66"/>
      <c r="J1007" s="66"/>
      <c r="K1007" s="66"/>
      <c r="L1007" s="66"/>
      <c r="M1007" s="66"/>
      <c r="N1007" s="66"/>
    </row>
    <row r="1008" spans="1:14" x14ac:dyDescent="0.2">
      <c r="A1008" s="84"/>
      <c r="B1008" s="84"/>
      <c r="C1008" s="60"/>
      <c r="D1008" s="66"/>
      <c r="E1008" s="66"/>
      <c r="F1008" s="66"/>
      <c r="G1008" s="66"/>
      <c r="H1008" s="66"/>
      <c r="I1008" s="66"/>
      <c r="J1008" s="66"/>
      <c r="K1008" s="66"/>
      <c r="L1008" s="66"/>
      <c r="M1008" s="66"/>
      <c r="N1008" s="66"/>
    </row>
    <row r="1009" spans="1:14" x14ac:dyDescent="0.2">
      <c r="A1009" s="84"/>
      <c r="B1009" s="84"/>
      <c r="C1009" s="60"/>
      <c r="D1009" s="66"/>
      <c r="E1009" s="66"/>
      <c r="F1009" s="66"/>
      <c r="G1009" s="66"/>
      <c r="H1009" s="66"/>
      <c r="I1009" s="66"/>
      <c r="J1009" s="66"/>
      <c r="K1009" s="66"/>
      <c r="L1009" s="66"/>
      <c r="M1009" s="66"/>
      <c r="N1009" s="66"/>
    </row>
    <row r="1010" spans="1:14" x14ac:dyDescent="0.2">
      <c r="A1010" s="84"/>
      <c r="B1010" s="84"/>
      <c r="C1010" s="60"/>
      <c r="D1010" s="66"/>
      <c r="E1010" s="66"/>
      <c r="F1010" s="66"/>
      <c r="G1010" s="66"/>
      <c r="H1010" s="66"/>
      <c r="I1010" s="66"/>
      <c r="J1010" s="66"/>
      <c r="K1010" s="66"/>
      <c r="L1010" s="66"/>
      <c r="M1010" s="66"/>
      <c r="N1010" s="66"/>
    </row>
    <row r="1011" spans="1:14" x14ac:dyDescent="0.2">
      <c r="A1011" s="84"/>
      <c r="B1011" s="84"/>
      <c r="C1011" s="60"/>
      <c r="D1011" s="66"/>
      <c r="E1011" s="66"/>
      <c r="F1011" s="66"/>
      <c r="G1011" s="66"/>
      <c r="H1011" s="66"/>
      <c r="I1011" s="66"/>
      <c r="J1011" s="66"/>
      <c r="K1011" s="66"/>
      <c r="L1011" s="66"/>
      <c r="M1011" s="66"/>
      <c r="N1011" s="66"/>
    </row>
    <row r="1012" spans="1:14" x14ac:dyDescent="0.2">
      <c r="A1012" s="84"/>
      <c r="B1012" s="84"/>
      <c r="C1012" s="60"/>
      <c r="D1012" s="66"/>
      <c r="E1012" s="66"/>
      <c r="F1012" s="66"/>
      <c r="G1012" s="66"/>
      <c r="H1012" s="66"/>
      <c r="I1012" s="66"/>
      <c r="J1012" s="66"/>
      <c r="K1012" s="66"/>
      <c r="L1012" s="66"/>
      <c r="M1012" s="66"/>
      <c r="N1012" s="66"/>
    </row>
    <row r="1013" spans="1:14" x14ac:dyDescent="0.2">
      <c r="A1013" s="84"/>
      <c r="B1013" s="84"/>
      <c r="C1013" s="60"/>
      <c r="D1013" s="66"/>
      <c r="E1013" s="66"/>
      <c r="F1013" s="66"/>
      <c r="G1013" s="66"/>
      <c r="H1013" s="66"/>
      <c r="I1013" s="66"/>
      <c r="J1013" s="66"/>
      <c r="K1013" s="66"/>
      <c r="L1013" s="66"/>
      <c r="M1013" s="66"/>
      <c r="N1013" s="66"/>
    </row>
    <row r="1014" spans="1:14" x14ac:dyDescent="0.2">
      <c r="A1014" s="84"/>
      <c r="B1014" s="84"/>
      <c r="C1014" s="60"/>
      <c r="D1014" s="66"/>
      <c r="E1014" s="66"/>
      <c r="F1014" s="66"/>
      <c r="G1014" s="66"/>
      <c r="H1014" s="66"/>
      <c r="I1014" s="66"/>
      <c r="J1014" s="66"/>
      <c r="K1014" s="66"/>
      <c r="L1014" s="66"/>
      <c r="M1014" s="66"/>
      <c r="N1014" s="66"/>
    </row>
    <row r="1015" spans="1:14" x14ac:dyDescent="0.2">
      <c r="A1015" s="84"/>
      <c r="B1015" s="84"/>
      <c r="C1015" s="60"/>
      <c r="D1015" s="66"/>
      <c r="E1015" s="66"/>
      <c r="F1015" s="66"/>
      <c r="G1015" s="66"/>
      <c r="H1015" s="66"/>
      <c r="I1015" s="66"/>
      <c r="J1015" s="66"/>
      <c r="K1015" s="66"/>
      <c r="L1015" s="66"/>
      <c r="M1015" s="66"/>
      <c r="N1015" s="66"/>
    </row>
    <row r="1016" spans="1:14" x14ac:dyDescent="0.2">
      <c r="A1016" s="84"/>
      <c r="B1016" s="84"/>
      <c r="C1016" s="60"/>
      <c r="D1016" s="66"/>
      <c r="E1016" s="66"/>
      <c r="F1016" s="66"/>
      <c r="G1016" s="66"/>
      <c r="H1016" s="66"/>
      <c r="I1016" s="66"/>
      <c r="J1016" s="66"/>
      <c r="K1016" s="66"/>
      <c r="L1016" s="66"/>
      <c r="M1016" s="66"/>
      <c r="N1016" s="66"/>
    </row>
    <row r="1017" spans="1:14" x14ac:dyDescent="0.2">
      <c r="A1017" s="84"/>
      <c r="B1017" s="84"/>
      <c r="C1017" s="60"/>
      <c r="D1017" s="66"/>
      <c r="E1017" s="66"/>
      <c r="F1017" s="66"/>
      <c r="G1017" s="66"/>
      <c r="H1017" s="66"/>
      <c r="I1017" s="66"/>
      <c r="J1017" s="66"/>
      <c r="K1017" s="66"/>
      <c r="L1017" s="66"/>
      <c r="M1017" s="66"/>
      <c r="N1017" s="66"/>
    </row>
    <row r="1018" spans="1:14" x14ac:dyDescent="0.2">
      <c r="A1018" s="84"/>
      <c r="B1018" s="84"/>
      <c r="C1018" s="60"/>
      <c r="D1018" s="66"/>
      <c r="E1018" s="66"/>
      <c r="F1018" s="66"/>
      <c r="G1018" s="66"/>
      <c r="H1018" s="66"/>
      <c r="I1018" s="66"/>
      <c r="J1018" s="66"/>
      <c r="K1018" s="66"/>
      <c r="L1018" s="66"/>
      <c r="M1018" s="66"/>
      <c r="N1018" s="66"/>
    </row>
    <row r="1019" spans="1:14" x14ac:dyDescent="0.2">
      <c r="A1019" s="84"/>
      <c r="B1019" s="84"/>
      <c r="C1019" s="60"/>
      <c r="D1019" s="66"/>
      <c r="E1019" s="66"/>
      <c r="F1019" s="66"/>
      <c r="G1019" s="66"/>
      <c r="H1019" s="66"/>
      <c r="I1019" s="66"/>
      <c r="J1019" s="66"/>
      <c r="K1019" s="66"/>
      <c r="L1019" s="66"/>
      <c r="M1019" s="66"/>
      <c r="N1019" s="66"/>
    </row>
    <row r="1020" spans="1:14" x14ac:dyDescent="0.2">
      <c r="A1020" s="84"/>
      <c r="B1020" s="84"/>
      <c r="C1020" s="60"/>
      <c r="D1020" s="66"/>
      <c r="E1020" s="66"/>
      <c r="F1020" s="66"/>
      <c r="G1020" s="66"/>
      <c r="H1020" s="66"/>
      <c r="I1020" s="66"/>
      <c r="J1020" s="66"/>
      <c r="K1020" s="66"/>
      <c r="L1020" s="66"/>
      <c r="M1020" s="66"/>
      <c r="N1020" s="66"/>
    </row>
    <row r="1021" spans="1:14" x14ac:dyDescent="0.2">
      <c r="A1021" s="84"/>
      <c r="B1021" s="84"/>
      <c r="C1021" s="60"/>
      <c r="D1021" s="66"/>
      <c r="E1021" s="66"/>
      <c r="F1021" s="66"/>
      <c r="G1021" s="66"/>
      <c r="H1021" s="66"/>
      <c r="I1021" s="66"/>
      <c r="J1021" s="66"/>
      <c r="K1021" s="66"/>
      <c r="L1021" s="66"/>
      <c r="M1021" s="66"/>
      <c r="N1021" s="66"/>
    </row>
    <row r="1022" spans="1:14" x14ac:dyDescent="0.2">
      <c r="A1022" s="84"/>
      <c r="B1022" s="84"/>
      <c r="C1022" s="60"/>
      <c r="D1022" s="66"/>
      <c r="E1022" s="66"/>
      <c r="F1022" s="66"/>
      <c r="G1022" s="66"/>
      <c r="H1022" s="66"/>
      <c r="I1022" s="66"/>
      <c r="J1022" s="66"/>
      <c r="K1022" s="66"/>
      <c r="L1022" s="66"/>
      <c r="M1022" s="66"/>
      <c r="N1022" s="66"/>
    </row>
    <row r="1023" spans="1:14" x14ac:dyDescent="0.2">
      <c r="A1023" s="84"/>
      <c r="B1023" s="84"/>
      <c r="C1023" s="60"/>
      <c r="D1023" s="66"/>
      <c r="E1023" s="66"/>
      <c r="F1023" s="66"/>
      <c r="G1023" s="66"/>
      <c r="H1023" s="66"/>
      <c r="I1023" s="66"/>
      <c r="J1023" s="66"/>
      <c r="K1023" s="66"/>
      <c r="L1023" s="66"/>
      <c r="M1023" s="66"/>
      <c r="N1023" s="66"/>
    </row>
    <row r="1024" spans="1:14" x14ac:dyDescent="0.2">
      <c r="A1024" s="84"/>
      <c r="B1024" s="84"/>
      <c r="C1024" s="60"/>
      <c r="D1024" s="66"/>
      <c r="E1024" s="66"/>
      <c r="F1024" s="66"/>
      <c r="G1024" s="66"/>
      <c r="H1024" s="66"/>
      <c r="I1024" s="66"/>
      <c r="J1024" s="66"/>
      <c r="K1024" s="66"/>
      <c r="L1024" s="66"/>
      <c r="M1024" s="66"/>
      <c r="N1024" s="66"/>
    </row>
    <row r="1025" spans="1:14" x14ac:dyDescent="0.2">
      <c r="A1025" s="84"/>
      <c r="B1025" s="84"/>
      <c r="C1025" s="60"/>
      <c r="D1025" s="66"/>
      <c r="E1025" s="66"/>
      <c r="F1025" s="66"/>
      <c r="G1025" s="66"/>
      <c r="H1025" s="66"/>
      <c r="I1025" s="66"/>
      <c r="J1025" s="66"/>
      <c r="K1025" s="66"/>
      <c r="L1025" s="66"/>
      <c r="M1025" s="66"/>
      <c r="N1025" s="66"/>
    </row>
    <row r="1026" spans="1:14" x14ac:dyDescent="0.2">
      <c r="A1026" s="84"/>
      <c r="B1026" s="84"/>
      <c r="C1026" s="60"/>
      <c r="D1026" s="66"/>
      <c r="E1026" s="66"/>
      <c r="F1026" s="66"/>
      <c r="G1026" s="66"/>
      <c r="H1026" s="66"/>
      <c r="I1026" s="66"/>
      <c r="J1026" s="66"/>
      <c r="K1026" s="66"/>
      <c r="L1026" s="66"/>
      <c r="M1026" s="66"/>
      <c r="N1026" s="66"/>
    </row>
    <row r="1027" spans="1:14" x14ac:dyDescent="0.2">
      <c r="A1027" s="84"/>
      <c r="B1027" s="84"/>
      <c r="C1027" s="60"/>
      <c r="D1027" s="66"/>
      <c r="E1027" s="66"/>
      <c r="F1027" s="66"/>
      <c r="G1027" s="66"/>
      <c r="H1027" s="66"/>
      <c r="I1027" s="66"/>
      <c r="J1027" s="66"/>
      <c r="K1027" s="66"/>
      <c r="L1027" s="66"/>
      <c r="M1027" s="66"/>
      <c r="N1027" s="66"/>
    </row>
    <row r="1028" spans="1:14" x14ac:dyDescent="0.2">
      <c r="A1028" s="84"/>
      <c r="B1028" s="84"/>
      <c r="C1028" s="60"/>
      <c r="D1028" s="66"/>
      <c r="E1028" s="66"/>
      <c r="F1028" s="66"/>
      <c r="G1028" s="66"/>
      <c r="H1028" s="66"/>
      <c r="I1028" s="66"/>
      <c r="J1028" s="66"/>
      <c r="K1028" s="66"/>
      <c r="L1028" s="66"/>
      <c r="M1028" s="66"/>
      <c r="N1028" s="66"/>
    </row>
    <row r="1029" spans="1:14" x14ac:dyDescent="0.2">
      <c r="A1029" s="84"/>
      <c r="B1029" s="84"/>
      <c r="C1029" s="60"/>
      <c r="D1029" s="66"/>
      <c r="E1029" s="66"/>
      <c r="F1029" s="66"/>
      <c r="G1029" s="66"/>
      <c r="H1029" s="66"/>
      <c r="I1029" s="66"/>
      <c r="J1029" s="66"/>
      <c r="K1029" s="66"/>
      <c r="L1029" s="66"/>
      <c r="M1029" s="66"/>
      <c r="N1029" s="66"/>
    </row>
    <row r="1030" spans="1:14" x14ac:dyDescent="0.2">
      <c r="A1030" s="84"/>
      <c r="B1030" s="84"/>
      <c r="C1030" s="60"/>
      <c r="D1030" s="66"/>
      <c r="E1030" s="66"/>
      <c r="F1030" s="66"/>
      <c r="G1030" s="66"/>
      <c r="H1030" s="66"/>
      <c r="I1030" s="66"/>
      <c r="J1030" s="66"/>
      <c r="K1030" s="66"/>
      <c r="L1030" s="66"/>
      <c r="M1030" s="66"/>
      <c r="N1030" s="66"/>
    </row>
    <row r="1031" spans="1:14" x14ac:dyDescent="0.2">
      <c r="A1031" s="84"/>
      <c r="B1031" s="84"/>
      <c r="C1031" s="60"/>
      <c r="D1031" s="66"/>
      <c r="E1031" s="66"/>
      <c r="F1031" s="66"/>
      <c r="G1031" s="66"/>
      <c r="H1031" s="66"/>
      <c r="I1031" s="66"/>
      <c r="J1031" s="66"/>
      <c r="K1031" s="66"/>
      <c r="L1031" s="66"/>
      <c r="M1031" s="66"/>
      <c r="N1031" s="66"/>
    </row>
    <row r="1032" spans="1:14" x14ac:dyDescent="0.2">
      <c r="A1032" s="84"/>
      <c r="B1032" s="84"/>
      <c r="C1032" s="60"/>
      <c r="D1032" s="66"/>
      <c r="E1032" s="66"/>
      <c r="F1032" s="66"/>
      <c r="G1032" s="66"/>
      <c r="H1032" s="66"/>
      <c r="I1032" s="66"/>
      <c r="J1032" s="66"/>
      <c r="K1032" s="66"/>
      <c r="L1032" s="66"/>
      <c r="M1032" s="66"/>
      <c r="N1032" s="66"/>
    </row>
    <row r="1033" spans="1:14" x14ac:dyDescent="0.2">
      <c r="A1033" s="84"/>
      <c r="B1033" s="84"/>
      <c r="C1033" s="60"/>
      <c r="D1033" s="66"/>
      <c r="E1033" s="66"/>
      <c r="F1033" s="66"/>
      <c r="G1033" s="66"/>
      <c r="H1033" s="66"/>
      <c r="I1033" s="66"/>
      <c r="J1033" s="66"/>
      <c r="K1033" s="66"/>
      <c r="L1033" s="66"/>
      <c r="M1033" s="66"/>
      <c r="N1033" s="66"/>
    </row>
    <row r="1034" spans="1:14" x14ac:dyDescent="0.2">
      <c r="A1034" s="84"/>
      <c r="B1034" s="84"/>
      <c r="C1034" s="60"/>
      <c r="D1034" s="66"/>
      <c r="E1034" s="66"/>
      <c r="F1034" s="66"/>
      <c r="G1034" s="66"/>
      <c r="H1034" s="66"/>
      <c r="I1034" s="66"/>
      <c r="J1034" s="66"/>
      <c r="K1034" s="66"/>
      <c r="L1034" s="66"/>
      <c r="M1034" s="66"/>
      <c r="N1034" s="66"/>
    </row>
    <row r="1035" spans="1:14" x14ac:dyDescent="0.2">
      <c r="A1035" s="84"/>
      <c r="B1035" s="84"/>
      <c r="C1035" s="60"/>
      <c r="D1035" s="66"/>
      <c r="E1035" s="66"/>
      <c r="F1035" s="66"/>
      <c r="G1035" s="66"/>
      <c r="H1035" s="66"/>
      <c r="I1035" s="66"/>
      <c r="J1035" s="66"/>
      <c r="K1035" s="66"/>
      <c r="L1035" s="66"/>
      <c r="M1035" s="66"/>
      <c r="N1035" s="66"/>
    </row>
    <row r="1036" spans="1:14" x14ac:dyDescent="0.2">
      <c r="A1036" s="84"/>
      <c r="B1036" s="84"/>
      <c r="C1036" s="60"/>
      <c r="D1036" s="66"/>
      <c r="E1036" s="66"/>
      <c r="F1036" s="66"/>
      <c r="G1036" s="66"/>
      <c r="H1036" s="66"/>
      <c r="I1036" s="66"/>
      <c r="J1036" s="66"/>
      <c r="K1036" s="66"/>
      <c r="L1036" s="66"/>
      <c r="M1036" s="66"/>
      <c r="N1036" s="66"/>
    </row>
    <row r="1037" spans="1:14" x14ac:dyDescent="0.2">
      <c r="A1037" s="84"/>
      <c r="B1037" s="84"/>
      <c r="C1037" s="60"/>
      <c r="D1037" s="66"/>
      <c r="E1037" s="66"/>
      <c r="F1037" s="66"/>
      <c r="G1037" s="66"/>
      <c r="H1037" s="66"/>
      <c r="I1037" s="66"/>
      <c r="J1037" s="66"/>
      <c r="K1037" s="66"/>
      <c r="L1037" s="66"/>
      <c r="M1037" s="66"/>
      <c r="N1037" s="66"/>
    </row>
    <row r="1038" spans="1:14" x14ac:dyDescent="0.2">
      <c r="A1038" s="84"/>
      <c r="B1038" s="84"/>
      <c r="C1038" s="60"/>
      <c r="D1038" s="66"/>
      <c r="E1038" s="66"/>
      <c r="F1038" s="66"/>
      <c r="G1038" s="66"/>
      <c r="H1038" s="66"/>
      <c r="I1038" s="66"/>
      <c r="J1038" s="66"/>
      <c r="K1038" s="66"/>
      <c r="L1038" s="66"/>
      <c r="M1038" s="66"/>
      <c r="N1038" s="66"/>
    </row>
    <row r="1039" spans="1:14" x14ac:dyDescent="0.2">
      <c r="A1039" s="84"/>
      <c r="B1039" s="84"/>
      <c r="C1039" s="60"/>
      <c r="D1039" s="66"/>
      <c r="E1039" s="66"/>
      <c r="F1039" s="66"/>
      <c r="G1039" s="66"/>
      <c r="H1039" s="66"/>
      <c r="I1039" s="66"/>
      <c r="J1039" s="66"/>
      <c r="K1039" s="66"/>
      <c r="L1039" s="66"/>
      <c r="M1039" s="66"/>
      <c r="N1039" s="66"/>
    </row>
    <row r="1040" spans="1:14" x14ac:dyDescent="0.2">
      <c r="A1040" s="84"/>
      <c r="B1040" s="84"/>
      <c r="C1040" s="60"/>
      <c r="D1040" s="66"/>
      <c r="E1040" s="66"/>
      <c r="F1040" s="66"/>
      <c r="G1040" s="66"/>
      <c r="H1040" s="66"/>
      <c r="I1040" s="66"/>
      <c r="J1040" s="66"/>
      <c r="K1040" s="66"/>
      <c r="L1040" s="66"/>
      <c r="M1040" s="66"/>
      <c r="N1040" s="66"/>
    </row>
    <row r="1041" spans="1:14" x14ac:dyDescent="0.2">
      <c r="A1041" s="84"/>
      <c r="B1041" s="84"/>
      <c r="C1041" s="60"/>
      <c r="D1041" s="66"/>
      <c r="E1041" s="66"/>
      <c r="F1041" s="66"/>
      <c r="G1041" s="66"/>
      <c r="H1041" s="66"/>
      <c r="I1041" s="66"/>
      <c r="J1041" s="66"/>
      <c r="K1041" s="66"/>
      <c r="L1041" s="66"/>
      <c r="M1041" s="66"/>
      <c r="N1041" s="66"/>
    </row>
    <row r="1042" spans="1:14" x14ac:dyDescent="0.2">
      <c r="A1042" s="84"/>
      <c r="B1042" s="84"/>
      <c r="C1042" s="60"/>
      <c r="D1042" s="66"/>
      <c r="E1042" s="66"/>
      <c r="F1042" s="66"/>
      <c r="G1042" s="66"/>
      <c r="H1042" s="66"/>
      <c r="I1042" s="66"/>
      <c r="J1042" s="66"/>
      <c r="K1042" s="66"/>
      <c r="L1042" s="66"/>
      <c r="M1042" s="66"/>
      <c r="N1042" s="66"/>
    </row>
    <row r="1043" spans="1:14" x14ac:dyDescent="0.2">
      <c r="A1043" s="84"/>
      <c r="B1043" s="84"/>
      <c r="C1043" s="60"/>
      <c r="D1043" s="66"/>
      <c r="E1043" s="66"/>
      <c r="F1043" s="66"/>
      <c r="G1043" s="66"/>
      <c r="H1043" s="66"/>
      <c r="I1043" s="66"/>
      <c r="J1043" s="66"/>
      <c r="K1043" s="66"/>
      <c r="L1043" s="66"/>
      <c r="M1043" s="66"/>
      <c r="N1043" s="66"/>
    </row>
    <row r="1044" spans="1:14" x14ac:dyDescent="0.2">
      <c r="A1044" s="84"/>
      <c r="B1044" s="84"/>
      <c r="C1044" s="60"/>
      <c r="D1044" s="66"/>
      <c r="E1044" s="66"/>
      <c r="F1044" s="66"/>
      <c r="G1044" s="66"/>
      <c r="H1044" s="66"/>
      <c r="I1044" s="66"/>
      <c r="J1044" s="66"/>
      <c r="K1044" s="66"/>
      <c r="L1044" s="66"/>
      <c r="M1044" s="66"/>
      <c r="N1044" s="66"/>
    </row>
    <row r="1045" spans="1:14" x14ac:dyDescent="0.2">
      <c r="A1045" s="84"/>
      <c r="B1045" s="84"/>
      <c r="C1045" s="60"/>
      <c r="D1045" s="66"/>
      <c r="E1045" s="66"/>
      <c r="F1045" s="66"/>
      <c r="G1045" s="66"/>
      <c r="H1045" s="66"/>
      <c r="I1045" s="66"/>
      <c r="J1045" s="66"/>
      <c r="K1045" s="66"/>
      <c r="L1045" s="66"/>
      <c r="M1045" s="66"/>
      <c r="N1045" s="66"/>
    </row>
    <row r="1046" spans="1:14" x14ac:dyDescent="0.2">
      <c r="A1046" s="84"/>
      <c r="B1046" s="84"/>
      <c r="C1046" s="60"/>
      <c r="D1046" s="66"/>
      <c r="E1046" s="66"/>
      <c r="F1046" s="66"/>
      <c r="G1046" s="66"/>
      <c r="H1046" s="66"/>
      <c r="I1046" s="66"/>
      <c r="J1046" s="66"/>
      <c r="K1046" s="66"/>
      <c r="L1046" s="66"/>
      <c r="M1046" s="66"/>
      <c r="N1046" s="66"/>
    </row>
    <row r="1047" spans="1:14" x14ac:dyDescent="0.2">
      <c r="A1047" s="84"/>
      <c r="B1047" s="84"/>
      <c r="C1047" s="60"/>
      <c r="D1047" s="66"/>
      <c r="E1047" s="66"/>
      <c r="F1047" s="66"/>
      <c r="G1047" s="66"/>
      <c r="H1047" s="66"/>
      <c r="I1047" s="66"/>
      <c r="J1047" s="66"/>
      <c r="K1047" s="66"/>
      <c r="L1047" s="66"/>
      <c r="M1047" s="66"/>
      <c r="N1047" s="66"/>
    </row>
    <row r="1048" spans="1:14" x14ac:dyDescent="0.2">
      <c r="A1048" s="84"/>
      <c r="B1048" s="84"/>
      <c r="C1048" s="60"/>
      <c r="D1048" s="66"/>
      <c r="E1048" s="66"/>
      <c r="F1048" s="66"/>
      <c r="G1048" s="66"/>
      <c r="H1048" s="66"/>
      <c r="I1048" s="66"/>
      <c r="J1048" s="66"/>
      <c r="K1048" s="66"/>
      <c r="L1048" s="66"/>
      <c r="M1048" s="66"/>
      <c r="N1048" s="66"/>
    </row>
    <row r="1049" spans="1:14" x14ac:dyDescent="0.2">
      <c r="A1049" s="84"/>
      <c r="B1049" s="84"/>
      <c r="C1049" s="60"/>
      <c r="D1049" s="66"/>
      <c r="E1049" s="66"/>
      <c r="F1049" s="66"/>
      <c r="G1049" s="66"/>
      <c r="H1049" s="66"/>
      <c r="I1049" s="66"/>
      <c r="J1049" s="66"/>
      <c r="K1049" s="66"/>
      <c r="L1049" s="66"/>
      <c r="M1049" s="66"/>
      <c r="N1049" s="66"/>
    </row>
    <row r="1050" spans="1:14" x14ac:dyDescent="0.2">
      <c r="A1050" s="84"/>
      <c r="B1050" s="84"/>
      <c r="C1050" s="60"/>
      <c r="D1050" s="66"/>
      <c r="E1050" s="66"/>
      <c r="F1050" s="66"/>
      <c r="G1050" s="66"/>
      <c r="H1050" s="66"/>
      <c r="I1050" s="66"/>
      <c r="J1050" s="66"/>
      <c r="K1050" s="66"/>
      <c r="L1050" s="66"/>
      <c r="M1050" s="66"/>
      <c r="N1050" s="66"/>
    </row>
    <row r="1051" spans="1:14" x14ac:dyDescent="0.2">
      <c r="A1051" s="84"/>
      <c r="B1051" s="84"/>
      <c r="C1051" s="60"/>
      <c r="D1051" s="66"/>
      <c r="E1051" s="66"/>
      <c r="F1051" s="66"/>
      <c r="G1051" s="66"/>
      <c r="H1051" s="66"/>
      <c r="I1051" s="66"/>
      <c r="J1051" s="66"/>
      <c r="K1051" s="66"/>
      <c r="L1051" s="66"/>
      <c r="M1051" s="66"/>
      <c r="N1051" s="66"/>
    </row>
    <row r="1052" spans="1:14" x14ac:dyDescent="0.2">
      <c r="A1052" s="84"/>
      <c r="B1052" s="84"/>
      <c r="C1052" s="60"/>
      <c r="D1052" s="66"/>
      <c r="E1052" s="66"/>
      <c r="F1052" s="66"/>
      <c r="G1052" s="66"/>
      <c r="H1052" s="66"/>
      <c r="I1052" s="66"/>
      <c r="J1052" s="66"/>
      <c r="K1052" s="66"/>
      <c r="L1052" s="66"/>
      <c r="M1052" s="66"/>
      <c r="N1052" s="66"/>
    </row>
    <row r="1053" spans="1:14" x14ac:dyDescent="0.2">
      <c r="A1053" s="84"/>
      <c r="B1053" s="84"/>
      <c r="C1053" s="60"/>
      <c r="D1053" s="66"/>
      <c r="E1053" s="66"/>
      <c r="F1053" s="66"/>
      <c r="G1053" s="66"/>
      <c r="H1053" s="66"/>
      <c r="I1053" s="66"/>
      <c r="J1053" s="66"/>
      <c r="K1053" s="66"/>
      <c r="L1053" s="66"/>
      <c r="M1053" s="66"/>
      <c r="N1053" s="66"/>
    </row>
    <row r="1054" spans="1:14" x14ac:dyDescent="0.2">
      <c r="A1054" s="84"/>
      <c r="B1054" s="84"/>
      <c r="C1054" s="60"/>
      <c r="D1054" s="66"/>
      <c r="E1054" s="66"/>
      <c r="F1054" s="66"/>
      <c r="G1054" s="66"/>
      <c r="H1054" s="66"/>
      <c r="I1054" s="66"/>
      <c r="J1054" s="66"/>
      <c r="K1054" s="66"/>
      <c r="L1054" s="66"/>
      <c r="M1054" s="66"/>
      <c r="N1054" s="66"/>
    </row>
    <row r="1055" spans="1:14" x14ac:dyDescent="0.2">
      <c r="A1055" s="84"/>
      <c r="B1055" s="84"/>
      <c r="C1055" s="60"/>
      <c r="D1055" s="66"/>
      <c r="E1055" s="66"/>
      <c r="F1055" s="66"/>
      <c r="G1055" s="66"/>
      <c r="H1055" s="66"/>
      <c r="I1055" s="66"/>
      <c r="J1055" s="66"/>
      <c r="K1055" s="66"/>
      <c r="L1055" s="66"/>
      <c r="M1055" s="66"/>
      <c r="N1055" s="66"/>
    </row>
    <row r="1056" spans="1:14" x14ac:dyDescent="0.2">
      <c r="A1056" s="84"/>
      <c r="B1056" s="84"/>
      <c r="C1056" s="60"/>
      <c r="D1056" s="66"/>
      <c r="E1056" s="66"/>
      <c r="F1056" s="66"/>
      <c r="G1056" s="66"/>
      <c r="H1056" s="66"/>
      <c r="I1056" s="66"/>
      <c r="J1056" s="66"/>
      <c r="K1056" s="66"/>
      <c r="L1056" s="66"/>
      <c r="M1056" s="66"/>
      <c r="N1056" s="66"/>
    </row>
    <row r="1057" spans="1:14" x14ac:dyDescent="0.2">
      <c r="A1057" s="84"/>
      <c r="B1057" s="84"/>
      <c r="C1057" s="60"/>
      <c r="D1057" s="66"/>
      <c r="E1057" s="66"/>
      <c r="F1057" s="66"/>
      <c r="G1057" s="66"/>
      <c r="H1057" s="66"/>
      <c r="I1057" s="66"/>
      <c r="J1057" s="66"/>
      <c r="K1057" s="66"/>
      <c r="L1057" s="66"/>
      <c r="M1057" s="66"/>
      <c r="N1057" s="66"/>
    </row>
    <row r="1058" spans="1:14" x14ac:dyDescent="0.2">
      <c r="A1058" s="84"/>
      <c r="B1058" s="84"/>
      <c r="C1058" s="60"/>
      <c r="D1058" s="66"/>
      <c r="E1058" s="66"/>
      <c r="F1058" s="66"/>
      <c r="G1058" s="66"/>
      <c r="H1058" s="66"/>
      <c r="I1058" s="66"/>
      <c r="J1058" s="66"/>
      <c r="K1058" s="66"/>
      <c r="L1058" s="66"/>
      <c r="M1058" s="66"/>
      <c r="N1058" s="66"/>
    </row>
    <row r="1059" spans="1:14" x14ac:dyDescent="0.2">
      <c r="A1059" s="84"/>
      <c r="B1059" s="84"/>
      <c r="C1059" s="60"/>
      <c r="D1059" s="66"/>
      <c r="E1059" s="66"/>
      <c r="F1059" s="66"/>
      <c r="G1059" s="66"/>
      <c r="H1059" s="66"/>
      <c r="I1059" s="66"/>
      <c r="J1059" s="66"/>
      <c r="K1059" s="66"/>
      <c r="L1059" s="66"/>
      <c r="M1059" s="66"/>
      <c r="N1059" s="66"/>
    </row>
    <row r="1060" spans="1:14" x14ac:dyDescent="0.2">
      <c r="A1060" s="84"/>
      <c r="B1060" s="84"/>
      <c r="C1060" s="60"/>
      <c r="D1060" s="66"/>
      <c r="E1060" s="66"/>
      <c r="F1060" s="66"/>
      <c r="G1060" s="66"/>
      <c r="H1060" s="66"/>
      <c r="I1060" s="66"/>
      <c r="J1060" s="66"/>
      <c r="K1060" s="66"/>
      <c r="L1060" s="66"/>
      <c r="M1060" s="66"/>
      <c r="N1060" s="66"/>
    </row>
    <row r="1061" spans="1:14" x14ac:dyDescent="0.2">
      <c r="A1061" s="84"/>
      <c r="B1061" s="84"/>
      <c r="C1061" s="60"/>
      <c r="D1061" s="66"/>
      <c r="E1061" s="66"/>
      <c r="F1061" s="66"/>
      <c r="G1061" s="66"/>
      <c r="H1061" s="66"/>
      <c r="I1061" s="66"/>
      <c r="J1061" s="66"/>
      <c r="K1061" s="66"/>
      <c r="L1061" s="66"/>
      <c r="M1061" s="66"/>
      <c r="N1061" s="66"/>
    </row>
    <row r="1062" spans="1:14" x14ac:dyDescent="0.2">
      <c r="A1062" s="84"/>
      <c r="B1062" s="84"/>
      <c r="C1062" s="60"/>
      <c r="D1062" s="66"/>
      <c r="E1062" s="66"/>
      <c r="F1062" s="66"/>
      <c r="G1062" s="66"/>
      <c r="H1062" s="66"/>
      <c r="I1062" s="66"/>
      <c r="J1062" s="66"/>
      <c r="K1062" s="66"/>
      <c r="L1062" s="66"/>
      <c r="M1062" s="66"/>
      <c r="N1062" s="66"/>
    </row>
    <row r="1063" spans="1:14" x14ac:dyDescent="0.2">
      <c r="A1063" s="84"/>
      <c r="B1063" s="84"/>
      <c r="C1063" s="60"/>
      <c r="D1063" s="66"/>
      <c r="E1063" s="66"/>
      <c r="F1063" s="66"/>
      <c r="G1063" s="66"/>
      <c r="H1063" s="66"/>
      <c r="I1063" s="66"/>
      <c r="J1063" s="66"/>
      <c r="K1063" s="66"/>
      <c r="L1063" s="66"/>
      <c r="M1063" s="66"/>
      <c r="N1063" s="66"/>
    </row>
    <row r="1064" spans="1:14" x14ac:dyDescent="0.2">
      <c r="A1064" s="84"/>
      <c r="B1064" s="84"/>
      <c r="C1064" s="60"/>
      <c r="D1064" s="66"/>
      <c r="E1064" s="66"/>
      <c r="F1064" s="66"/>
      <c r="G1064" s="66"/>
      <c r="H1064" s="66"/>
      <c r="I1064" s="66"/>
      <c r="J1064" s="66"/>
      <c r="K1064" s="66"/>
      <c r="L1064" s="66"/>
      <c r="M1064" s="66"/>
      <c r="N1064" s="66"/>
    </row>
    <row r="1065" spans="1:14" x14ac:dyDescent="0.2">
      <c r="A1065" s="84"/>
      <c r="B1065" s="84"/>
      <c r="C1065" s="60"/>
      <c r="D1065" s="66"/>
      <c r="E1065" s="66"/>
      <c r="F1065" s="66"/>
      <c r="G1065" s="66"/>
      <c r="H1065" s="66"/>
      <c r="I1065" s="66"/>
      <c r="J1065" s="66"/>
      <c r="K1065" s="66"/>
      <c r="L1065" s="66"/>
      <c r="M1065" s="66"/>
      <c r="N1065" s="66"/>
    </row>
    <row r="1066" spans="1:14" x14ac:dyDescent="0.2">
      <c r="A1066" s="84"/>
      <c r="B1066" s="84"/>
      <c r="C1066" s="60"/>
      <c r="D1066" s="66"/>
      <c r="E1066" s="66"/>
      <c r="F1066" s="66"/>
      <c r="G1066" s="66"/>
      <c r="H1066" s="66"/>
      <c r="I1066" s="66"/>
      <c r="J1066" s="66"/>
      <c r="K1066" s="66"/>
      <c r="L1066" s="66"/>
      <c r="M1066" s="66"/>
      <c r="N1066" s="66"/>
    </row>
    <row r="1067" spans="1:14" x14ac:dyDescent="0.2">
      <c r="A1067" s="84"/>
      <c r="B1067" s="84"/>
      <c r="C1067" s="60"/>
      <c r="D1067" s="66"/>
      <c r="E1067" s="66"/>
      <c r="F1067" s="66"/>
      <c r="G1067" s="66"/>
      <c r="H1067" s="66"/>
      <c r="I1067" s="66"/>
      <c r="J1067" s="66"/>
      <c r="K1067" s="66"/>
      <c r="L1067" s="66"/>
      <c r="M1067" s="66"/>
      <c r="N1067" s="66"/>
    </row>
    <row r="1068" spans="1:14" x14ac:dyDescent="0.2">
      <c r="A1068" s="84"/>
      <c r="B1068" s="84"/>
      <c r="C1068" s="60"/>
      <c r="D1068" s="66"/>
      <c r="E1068" s="66"/>
      <c r="F1068" s="66"/>
      <c r="G1068" s="66"/>
      <c r="H1068" s="66"/>
      <c r="I1068" s="66"/>
      <c r="J1068" s="66"/>
      <c r="K1068" s="66"/>
      <c r="L1068" s="66"/>
      <c r="M1068" s="66"/>
      <c r="N1068" s="66"/>
    </row>
    <row r="1069" spans="1:14" x14ac:dyDescent="0.2">
      <c r="A1069" s="84"/>
      <c r="B1069" s="84"/>
      <c r="C1069" s="60"/>
      <c r="D1069" s="66"/>
      <c r="E1069" s="66"/>
      <c r="F1069" s="66"/>
      <c r="G1069" s="66"/>
      <c r="H1069" s="66"/>
      <c r="I1069" s="66"/>
      <c r="J1069" s="66"/>
      <c r="K1069" s="66"/>
      <c r="L1069" s="66"/>
      <c r="M1069" s="66"/>
      <c r="N1069" s="66"/>
    </row>
    <row r="1070" spans="1:14" x14ac:dyDescent="0.2">
      <c r="A1070" s="84"/>
      <c r="B1070" s="84"/>
      <c r="C1070" s="60"/>
      <c r="D1070" s="66"/>
      <c r="E1070" s="66"/>
      <c r="F1070" s="66"/>
      <c r="G1070" s="66"/>
      <c r="H1070" s="66"/>
      <c r="I1070" s="66"/>
      <c r="J1070" s="66"/>
      <c r="K1070" s="66"/>
      <c r="L1070" s="66"/>
      <c r="M1070" s="66"/>
      <c r="N1070" s="66"/>
    </row>
    <row r="1071" spans="1:14" x14ac:dyDescent="0.2">
      <c r="A1071" s="84"/>
      <c r="B1071" s="84"/>
      <c r="C1071" s="60"/>
      <c r="D1071" s="66"/>
      <c r="E1071" s="66"/>
      <c r="F1071" s="66"/>
      <c r="G1071" s="66"/>
      <c r="H1071" s="66"/>
      <c r="I1071" s="66"/>
      <c r="J1071" s="66"/>
      <c r="K1071" s="66"/>
      <c r="L1071" s="66"/>
      <c r="M1071" s="66"/>
      <c r="N1071" s="66"/>
    </row>
    <row r="1072" spans="1:14" x14ac:dyDescent="0.2">
      <c r="A1072" s="84"/>
      <c r="B1072" s="84"/>
      <c r="C1072" s="60"/>
      <c r="D1072" s="66"/>
      <c r="E1072" s="66"/>
      <c r="F1072" s="66"/>
      <c r="G1072" s="66"/>
      <c r="H1072" s="66"/>
      <c r="I1072" s="66"/>
      <c r="J1072" s="66"/>
      <c r="K1072" s="66"/>
      <c r="L1072" s="66"/>
      <c r="M1072" s="66"/>
      <c r="N1072" s="66"/>
    </row>
    <row r="1073" spans="1:14" x14ac:dyDescent="0.2">
      <c r="A1073" s="84"/>
      <c r="B1073" s="84"/>
      <c r="C1073" s="60"/>
      <c r="D1073" s="66"/>
      <c r="E1073" s="66"/>
      <c r="F1073" s="66"/>
      <c r="G1073" s="66"/>
      <c r="H1073" s="66"/>
      <c r="I1073" s="66"/>
      <c r="J1073" s="66"/>
      <c r="K1073" s="66"/>
      <c r="L1073" s="66"/>
      <c r="M1073" s="66"/>
      <c r="N1073" s="66"/>
    </row>
    <row r="1074" spans="1:14" x14ac:dyDescent="0.2">
      <c r="A1074" s="84"/>
      <c r="B1074" s="84"/>
      <c r="C1074" s="60"/>
      <c r="D1074" s="66"/>
      <c r="E1074" s="66"/>
      <c r="F1074" s="66"/>
      <c r="G1074" s="66"/>
      <c r="H1074" s="66"/>
      <c r="I1074" s="66"/>
      <c r="J1074" s="66"/>
      <c r="K1074" s="66"/>
      <c r="L1074" s="66"/>
      <c r="M1074" s="66"/>
      <c r="N1074" s="66"/>
    </row>
    <row r="1075" spans="1:14" x14ac:dyDescent="0.2">
      <c r="A1075" s="84"/>
      <c r="B1075" s="84"/>
      <c r="C1075" s="60"/>
      <c r="D1075" s="66"/>
      <c r="E1075" s="66"/>
      <c r="F1075" s="66"/>
      <c r="G1075" s="66"/>
      <c r="H1075" s="66"/>
      <c r="I1075" s="66"/>
      <c r="J1075" s="66"/>
      <c r="K1075" s="66"/>
      <c r="L1075" s="66"/>
      <c r="M1075" s="66"/>
      <c r="N1075" s="66"/>
    </row>
    <row r="1076" spans="1:14" x14ac:dyDescent="0.2">
      <c r="A1076" s="84"/>
      <c r="B1076" s="84"/>
      <c r="C1076" s="60"/>
      <c r="D1076" s="66"/>
      <c r="E1076" s="66"/>
      <c r="F1076" s="66"/>
      <c r="G1076" s="66"/>
      <c r="H1076" s="66"/>
      <c r="I1076" s="66"/>
      <c r="J1076" s="66"/>
      <c r="K1076" s="66"/>
      <c r="L1076" s="66"/>
      <c r="M1076" s="66"/>
      <c r="N1076" s="66"/>
    </row>
    <row r="1077" spans="1:14" x14ac:dyDescent="0.2">
      <c r="A1077" s="84"/>
      <c r="B1077" s="84"/>
      <c r="C1077" s="60"/>
      <c r="D1077" s="66"/>
      <c r="E1077" s="66"/>
      <c r="F1077" s="66"/>
      <c r="G1077" s="66"/>
      <c r="H1077" s="66"/>
      <c r="I1077" s="66"/>
      <c r="J1077" s="66"/>
      <c r="K1077" s="66"/>
      <c r="L1077" s="66"/>
      <c r="M1077" s="66"/>
      <c r="N1077" s="66"/>
    </row>
    <row r="1078" spans="1:14" x14ac:dyDescent="0.2">
      <c r="A1078" s="84"/>
      <c r="B1078" s="84"/>
      <c r="C1078" s="60"/>
      <c r="D1078" s="66"/>
      <c r="E1078" s="66"/>
      <c r="F1078" s="66"/>
      <c r="G1078" s="66"/>
      <c r="H1078" s="66"/>
      <c r="I1078" s="66"/>
      <c r="J1078" s="66"/>
      <c r="K1078" s="66"/>
      <c r="L1078" s="66"/>
      <c r="M1078" s="66"/>
      <c r="N1078" s="66"/>
    </row>
    <row r="1079" spans="1:14" x14ac:dyDescent="0.2">
      <c r="A1079" s="84"/>
      <c r="B1079" s="84"/>
      <c r="C1079" s="60"/>
      <c r="D1079" s="66"/>
      <c r="E1079" s="66"/>
      <c r="F1079" s="66"/>
      <c r="G1079" s="66"/>
      <c r="H1079" s="66"/>
      <c r="I1079" s="66"/>
      <c r="J1079" s="66"/>
      <c r="K1079" s="66"/>
      <c r="L1079" s="66"/>
      <c r="M1079" s="66"/>
      <c r="N1079" s="66"/>
    </row>
    <row r="1080" spans="1:14" x14ac:dyDescent="0.2">
      <c r="A1080" s="84"/>
      <c r="B1080" s="84"/>
      <c r="C1080" s="60"/>
      <c r="D1080" s="66"/>
      <c r="E1080" s="66"/>
      <c r="F1080" s="66"/>
      <c r="G1080" s="66"/>
      <c r="H1080" s="66"/>
      <c r="I1080" s="66"/>
      <c r="J1080" s="66"/>
      <c r="K1080" s="66"/>
      <c r="L1080" s="66"/>
      <c r="M1080" s="66"/>
      <c r="N1080" s="66"/>
    </row>
    <row r="1081" spans="1:14" x14ac:dyDescent="0.2">
      <c r="A1081" s="84"/>
      <c r="B1081" s="84"/>
      <c r="C1081" s="60"/>
      <c r="D1081" s="66"/>
      <c r="E1081" s="66"/>
      <c r="F1081" s="66"/>
      <c r="G1081" s="66"/>
      <c r="H1081" s="66"/>
      <c r="I1081" s="66"/>
      <c r="J1081" s="66"/>
      <c r="K1081" s="66"/>
      <c r="L1081" s="66"/>
      <c r="M1081" s="66"/>
      <c r="N1081" s="66"/>
    </row>
    <row r="1082" spans="1:14" x14ac:dyDescent="0.2">
      <c r="A1082" s="84"/>
      <c r="B1082" s="84"/>
      <c r="C1082" s="60"/>
      <c r="D1082" s="66"/>
      <c r="E1082" s="66"/>
      <c r="F1082" s="66"/>
      <c r="G1082" s="66"/>
      <c r="H1082" s="66"/>
      <c r="I1082" s="66"/>
      <c r="J1082" s="66"/>
      <c r="K1082" s="66"/>
      <c r="L1082" s="66"/>
      <c r="M1082" s="66"/>
      <c r="N1082" s="66"/>
    </row>
    <row r="1083" spans="1:14" x14ac:dyDescent="0.2">
      <c r="A1083" s="84"/>
      <c r="B1083" s="84"/>
      <c r="C1083" s="60"/>
      <c r="D1083" s="66"/>
      <c r="E1083" s="66"/>
      <c r="F1083" s="66"/>
      <c r="G1083" s="66"/>
      <c r="H1083" s="66"/>
      <c r="I1083" s="66"/>
      <c r="J1083" s="66"/>
      <c r="K1083" s="66"/>
      <c r="L1083" s="66"/>
      <c r="M1083" s="66"/>
      <c r="N1083" s="66"/>
    </row>
    <row r="1084" spans="1:14" x14ac:dyDescent="0.2">
      <c r="A1084" s="84"/>
      <c r="B1084" s="84"/>
      <c r="C1084" s="60"/>
      <c r="D1084" s="66"/>
      <c r="E1084" s="66"/>
      <c r="F1084" s="66"/>
      <c r="G1084" s="66"/>
      <c r="H1084" s="66"/>
      <c r="I1084" s="66"/>
      <c r="J1084" s="66"/>
      <c r="K1084" s="66"/>
      <c r="L1084" s="66"/>
      <c r="M1084" s="66"/>
      <c r="N1084" s="66"/>
    </row>
    <row r="1085" spans="1:14" x14ac:dyDescent="0.2">
      <c r="A1085" s="84"/>
      <c r="B1085" s="84"/>
      <c r="C1085" s="60"/>
      <c r="D1085" s="66"/>
      <c r="E1085" s="66"/>
      <c r="F1085" s="66"/>
      <c r="G1085" s="66"/>
      <c r="H1085" s="66"/>
      <c r="I1085" s="66"/>
      <c r="J1085" s="66"/>
      <c r="K1085" s="66"/>
      <c r="L1085" s="66"/>
      <c r="M1085" s="66"/>
      <c r="N1085" s="66"/>
    </row>
    <row r="1086" spans="1:14" x14ac:dyDescent="0.2">
      <c r="A1086" s="84"/>
      <c r="B1086" s="84"/>
      <c r="C1086" s="60"/>
      <c r="D1086" s="66"/>
      <c r="E1086" s="66"/>
      <c r="F1086" s="66"/>
      <c r="G1086" s="66"/>
      <c r="H1086" s="66"/>
      <c r="I1086" s="66"/>
      <c r="J1086" s="66"/>
      <c r="K1086" s="66"/>
      <c r="L1086" s="66"/>
      <c r="M1086" s="66"/>
      <c r="N1086" s="66"/>
    </row>
    <row r="1087" spans="1:14" x14ac:dyDescent="0.2">
      <c r="A1087" s="84"/>
      <c r="B1087" s="84"/>
      <c r="C1087" s="60"/>
      <c r="D1087" s="66"/>
      <c r="E1087" s="66"/>
      <c r="F1087" s="66"/>
      <c r="G1087" s="66"/>
      <c r="H1087" s="66"/>
      <c r="I1087" s="66"/>
      <c r="J1087" s="66"/>
      <c r="K1087" s="66"/>
      <c r="L1087" s="66"/>
      <c r="M1087" s="66"/>
      <c r="N1087" s="66"/>
    </row>
    <row r="1088" spans="1:14" x14ac:dyDescent="0.2">
      <c r="A1088" s="84"/>
      <c r="B1088" s="84"/>
      <c r="C1088" s="60"/>
      <c r="D1088" s="66"/>
      <c r="E1088" s="66"/>
      <c r="F1088" s="66"/>
      <c r="G1088" s="66"/>
      <c r="H1088" s="66"/>
      <c r="I1088" s="66"/>
      <c r="J1088" s="66"/>
      <c r="K1088" s="66"/>
      <c r="L1088" s="66"/>
      <c r="M1088" s="66"/>
      <c r="N1088" s="66"/>
    </row>
    <row r="1089" spans="1:14" x14ac:dyDescent="0.2">
      <c r="A1089" s="84"/>
      <c r="B1089" s="84"/>
      <c r="C1089" s="60"/>
      <c r="D1089" s="66"/>
      <c r="E1089" s="66"/>
      <c r="F1089" s="66"/>
      <c r="G1089" s="66"/>
      <c r="H1089" s="66"/>
      <c r="I1089" s="66"/>
      <c r="J1089" s="66"/>
      <c r="K1089" s="66"/>
      <c r="L1089" s="66"/>
      <c r="M1089" s="66"/>
      <c r="N1089" s="66"/>
    </row>
    <row r="1090" spans="1:14" x14ac:dyDescent="0.2">
      <c r="A1090" s="84"/>
      <c r="B1090" s="84"/>
      <c r="C1090" s="60"/>
      <c r="D1090" s="66"/>
      <c r="E1090" s="66"/>
      <c r="F1090" s="66"/>
      <c r="G1090" s="66"/>
      <c r="H1090" s="66"/>
      <c r="I1090" s="66"/>
      <c r="J1090" s="66"/>
      <c r="K1090" s="66"/>
      <c r="L1090" s="66"/>
      <c r="M1090" s="66"/>
      <c r="N1090" s="66"/>
    </row>
    <row r="1091" spans="1:14" x14ac:dyDescent="0.2">
      <c r="A1091" s="84"/>
      <c r="B1091" s="84"/>
      <c r="C1091" s="60"/>
      <c r="D1091" s="66"/>
      <c r="E1091" s="66"/>
      <c r="F1091" s="66"/>
      <c r="G1091" s="66"/>
      <c r="H1091" s="66"/>
      <c r="I1091" s="66"/>
      <c r="J1091" s="66"/>
      <c r="K1091" s="66"/>
      <c r="L1091" s="66"/>
      <c r="M1091" s="66"/>
      <c r="N1091" s="66"/>
    </row>
    <row r="1092" spans="1:14" x14ac:dyDescent="0.2">
      <c r="A1092" s="84"/>
      <c r="B1092" s="84"/>
      <c r="C1092" s="60"/>
      <c r="D1092" s="66"/>
      <c r="E1092" s="66"/>
      <c r="F1092" s="66"/>
      <c r="G1092" s="66"/>
      <c r="H1092" s="66"/>
      <c r="I1092" s="66"/>
      <c r="J1092" s="66"/>
      <c r="K1092" s="66"/>
      <c r="L1092" s="66"/>
      <c r="M1092" s="66"/>
      <c r="N1092" s="66"/>
    </row>
    <row r="1093" spans="1:14" x14ac:dyDescent="0.2">
      <c r="A1093" s="84"/>
      <c r="B1093" s="84"/>
      <c r="C1093" s="60"/>
      <c r="D1093" s="66"/>
      <c r="E1093" s="66"/>
      <c r="F1093" s="66"/>
      <c r="G1093" s="66"/>
      <c r="H1093" s="66"/>
      <c r="I1093" s="66"/>
      <c r="J1093" s="66"/>
      <c r="K1093" s="66"/>
      <c r="L1093" s="66"/>
      <c r="M1093" s="66"/>
      <c r="N1093" s="66"/>
    </row>
    <row r="1094" spans="1:14" x14ac:dyDescent="0.2">
      <c r="A1094" s="84"/>
      <c r="B1094" s="84"/>
      <c r="C1094" s="60"/>
      <c r="D1094" s="66"/>
      <c r="E1094" s="66"/>
      <c r="F1094" s="66"/>
      <c r="G1094" s="66"/>
      <c r="H1094" s="66"/>
      <c r="I1094" s="66"/>
      <c r="J1094" s="66"/>
      <c r="K1094" s="66"/>
      <c r="L1094" s="66"/>
      <c r="M1094" s="66"/>
      <c r="N1094" s="66"/>
    </row>
    <row r="1095" spans="1:14" x14ac:dyDescent="0.2">
      <c r="A1095" s="84"/>
      <c r="B1095" s="84"/>
      <c r="C1095" s="60"/>
      <c r="D1095" s="66"/>
      <c r="E1095" s="66"/>
      <c r="F1095" s="66"/>
      <c r="G1095" s="66"/>
      <c r="H1095" s="66"/>
      <c r="I1095" s="66"/>
      <c r="J1095" s="66"/>
      <c r="K1095" s="66"/>
      <c r="L1095" s="66"/>
      <c r="M1095" s="66"/>
      <c r="N1095" s="66"/>
    </row>
    <row r="1096" spans="1:14" x14ac:dyDescent="0.2">
      <c r="A1096" s="84"/>
      <c r="B1096" s="84"/>
      <c r="C1096" s="60"/>
      <c r="D1096" s="66"/>
      <c r="E1096" s="66"/>
      <c r="F1096" s="66"/>
      <c r="G1096" s="66"/>
      <c r="H1096" s="66"/>
      <c r="I1096" s="66"/>
      <c r="J1096" s="66"/>
      <c r="K1096" s="66"/>
      <c r="L1096" s="66"/>
      <c r="M1096" s="66"/>
      <c r="N1096" s="66"/>
    </row>
    <row r="1097" spans="1:14" x14ac:dyDescent="0.2">
      <c r="A1097" s="84"/>
      <c r="B1097" s="84"/>
      <c r="C1097" s="60"/>
      <c r="D1097" s="66"/>
      <c r="E1097" s="66"/>
      <c r="F1097" s="66"/>
      <c r="G1097" s="66"/>
      <c r="H1097" s="66"/>
      <c r="I1097" s="66"/>
      <c r="J1097" s="66"/>
      <c r="K1097" s="66"/>
      <c r="L1097" s="66"/>
      <c r="M1097" s="66"/>
      <c r="N1097" s="66"/>
    </row>
    <row r="1098" spans="1:14" x14ac:dyDescent="0.2">
      <c r="A1098" s="84"/>
      <c r="B1098" s="84"/>
      <c r="C1098" s="60"/>
      <c r="D1098" s="66"/>
      <c r="E1098" s="66"/>
      <c r="F1098" s="66"/>
      <c r="G1098" s="66"/>
      <c r="H1098" s="66"/>
      <c r="I1098" s="66"/>
      <c r="J1098" s="66"/>
      <c r="K1098" s="66"/>
      <c r="L1098" s="66"/>
      <c r="M1098" s="66"/>
      <c r="N1098" s="66"/>
    </row>
    <row r="1099" spans="1:14" x14ac:dyDescent="0.2">
      <c r="A1099" s="84"/>
      <c r="B1099" s="84"/>
      <c r="C1099" s="60"/>
      <c r="D1099" s="66"/>
      <c r="E1099" s="66"/>
      <c r="F1099" s="66"/>
      <c r="G1099" s="66"/>
      <c r="H1099" s="66"/>
      <c r="I1099" s="66"/>
      <c r="J1099" s="66"/>
      <c r="K1099" s="66"/>
      <c r="L1099" s="66"/>
      <c r="M1099" s="66"/>
      <c r="N1099" s="66"/>
    </row>
    <row r="1100" spans="1:14" x14ac:dyDescent="0.2">
      <c r="A1100" s="84"/>
      <c r="B1100" s="84"/>
      <c r="C1100" s="60"/>
      <c r="D1100" s="66"/>
      <c r="E1100" s="66"/>
      <c r="F1100" s="66"/>
      <c r="G1100" s="66"/>
      <c r="H1100" s="66"/>
      <c r="I1100" s="66"/>
      <c r="J1100" s="66"/>
      <c r="K1100" s="66"/>
      <c r="L1100" s="66"/>
      <c r="M1100" s="66"/>
      <c r="N1100" s="66"/>
    </row>
    <row r="1101" spans="1:14" x14ac:dyDescent="0.2">
      <c r="A1101" s="84"/>
      <c r="B1101" s="84"/>
      <c r="C1101" s="60"/>
      <c r="D1101" s="66"/>
      <c r="E1101" s="66"/>
      <c r="F1101" s="66"/>
      <c r="G1101" s="66"/>
      <c r="H1101" s="66"/>
      <c r="I1101" s="66"/>
      <c r="J1101" s="66"/>
      <c r="K1101" s="66"/>
      <c r="L1101" s="66"/>
      <c r="M1101" s="66"/>
      <c r="N1101" s="66"/>
    </row>
    <row r="1102" spans="1:14" x14ac:dyDescent="0.2">
      <c r="A1102" s="84"/>
      <c r="B1102" s="84"/>
      <c r="C1102" s="60"/>
      <c r="D1102" s="66"/>
      <c r="E1102" s="66"/>
      <c r="F1102" s="66"/>
      <c r="G1102" s="66"/>
      <c r="H1102" s="66"/>
      <c r="I1102" s="66"/>
      <c r="J1102" s="66"/>
      <c r="K1102" s="66"/>
      <c r="L1102" s="66"/>
      <c r="M1102" s="66"/>
      <c r="N1102" s="66"/>
    </row>
    <row r="1103" spans="1:14" x14ac:dyDescent="0.2">
      <c r="A1103" s="84"/>
      <c r="B1103" s="84"/>
      <c r="C1103" s="60"/>
      <c r="D1103" s="66"/>
      <c r="E1103" s="66"/>
      <c r="F1103" s="66"/>
      <c r="G1103" s="66"/>
      <c r="H1103" s="66"/>
      <c r="I1103" s="66"/>
      <c r="J1103" s="66"/>
      <c r="K1103" s="66"/>
      <c r="L1103" s="66"/>
      <c r="M1103" s="66"/>
      <c r="N1103" s="66"/>
    </row>
    <row r="1104" spans="1:14" x14ac:dyDescent="0.2">
      <c r="A1104" s="84"/>
      <c r="B1104" s="84"/>
      <c r="C1104" s="60"/>
      <c r="D1104" s="66"/>
      <c r="E1104" s="66"/>
      <c r="F1104" s="66"/>
      <c r="G1104" s="66"/>
      <c r="H1104" s="66"/>
      <c r="I1104" s="66"/>
      <c r="J1104" s="66"/>
      <c r="K1104" s="66"/>
      <c r="L1104" s="66"/>
      <c r="M1104" s="66"/>
      <c r="N1104" s="66"/>
    </row>
    <row r="1105" spans="1:14" x14ac:dyDescent="0.2">
      <c r="A1105" s="84"/>
      <c r="B1105" s="84"/>
      <c r="C1105" s="60"/>
      <c r="D1105" s="66"/>
      <c r="E1105" s="66"/>
      <c r="F1105" s="66"/>
      <c r="G1105" s="66"/>
      <c r="H1105" s="66"/>
      <c r="I1105" s="66"/>
      <c r="J1105" s="66"/>
      <c r="K1105" s="66"/>
      <c r="L1105" s="66"/>
      <c r="M1105" s="66"/>
      <c r="N1105" s="66"/>
    </row>
    <row r="1106" spans="1:14" x14ac:dyDescent="0.2">
      <c r="A1106" s="84"/>
      <c r="B1106" s="84"/>
      <c r="C1106" s="60"/>
      <c r="D1106" s="66"/>
      <c r="E1106" s="66"/>
      <c r="F1106" s="66"/>
      <c r="G1106" s="66"/>
      <c r="H1106" s="66"/>
      <c r="I1106" s="66"/>
      <c r="J1106" s="66"/>
      <c r="K1106" s="66"/>
      <c r="L1106" s="66"/>
      <c r="M1106" s="66"/>
      <c r="N1106" s="66"/>
    </row>
    <row r="1107" spans="1:14" x14ac:dyDescent="0.2">
      <c r="A1107" s="84"/>
      <c r="B1107" s="84"/>
      <c r="C1107" s="60"/>
      <c r="D1107" s="66"/>
      <c r="E1107" s="66"/>
      <c r="F1107" s="66"/>
      <c r="G1107" s="66"/>
      <c r="H1107" s="66"/>
      <c r="I1107" s="66"/>
      <c r="J1107" s="66"/>
      <c r="K1107" s="66"/>
      <c r="L1107" s="66"/>
      <c r="M1107" s="66"/>
      <c r="N1107" s="66"/>
    </row>
    <row r="1108" spans="1:14" x14ac:dyDescent="0.2">
      <c r="A1108" s="84"/>
      <c r="B1108" s="84"/>
      <c r="C1108" s="60"/>
      <c r="D1108" s="66"/>
      <c r="E1108" s="66"/>
      <c r="F1108" s="66"/>
      <c r="G1108" s="66"/>
      <c r="H1108" s="66"/>
      <c r="I1108" s="66"/>
      <c r="J1108" s="66"/>
      <c r="K1108" s="66"/>
      <c r="L1108" s="66"/>
      <c r="M1108" s="66"/>
      <c r="N1108" s="66"/>
    </row>
    <row r="1109" spans="1:14" x14ac:dyDescent="0.2">
      <c r="A1109" s="84"/>
      <c r="B1109" s="84"/>
      <c r="C1109" s="60"/>
      <c r="D1109" s="66"/>
      <c r="E1109" s="66"/>
      <c r="F1109" s="66"/>
      <c r="G1109" s="66"/>
      <c r="H1109" s="66"/>
      <c r="I1109" s="66"/>
      <c r="J1109" s="66"/>
      <c r="K1109" s="66"/>
      <c r="L1109" s="66"/>
      <c r="M1109" s="66"/>
      <c r="N1109" s="66"/>
    </row>
    <row r="1110" spans="1:14" x14ac:dyDescent="0.2">
      <c r="A1110" s="84"/>
      <c r="B1110" s="84"/>
      <c r="C1110" s="60"/>
      <c r="D1110" s="66"/>
      <c r="E1110" s="66"/>
      <c r="F1110" s="66"/>
      <c r="G1110" s="66"/>
      <c r="H1110" s="66"/>
      <c r="I1110" s="66"/>
      <c r="J1110" s="66"/>
      <c r="K1110" s="66"/>
      <c r="L1110" s="66"/>
      <c r="M1110" s="66"/>
      <c r="N1110" s="66"/>
    </row>
    <row r="1111" spans="1:14" x14ac:dyDescent="0.2">
      <c r="A1111" s="84"/>
      <c r="B1111" s="84"/>
      <c r="C1111" s="60"/>
      <c r="D1111" s="66"/>
      <c r="E1111" s="66"/>
      <c r="F1111" s="66"/>
      <c r="G1111" s="66"/>
      <c r="H1111" s="66"/>
      <c r="I1111" s="66"/>
      <c r="J1111" s="66"/>
      <c r="K1111" s="66"/>
      <c r="L1111" s="66"/>
      <c r="M1111" s="66"/>
      <c r="N1111" s="66"/>
    </row>
    <row r="1112" spans="1:14" x14ac:dyDescent="0.2">
      <c r="A1112" s="84"/>
      <c r="B1112" s="84"/>
      <c r="C1112" s="60"/>
      <c r="D1112" s="66"/>
      <c r="E1112" s="66"/>
      <c r="F1112" s="66"/>
      <c r="G1112" s="66"/>
      <c r="H1112" s="66"/>
      <c r="I1112" s="66"/>
      <c r="J1112" s="66"/>
      <c r="K1112" s="66"/>
      <c r="L1112" s="66"/>
      <c r="M1112" s="66"/>
      <c r="N1112" s="66"/>
    </row>
    <row r="1113" spans="1:14" x14ac:dyDescent="0.2">
      <c r="A1113" s="84"/>
      <c r="B1113" s="84"/>
      <c r="C1113" s="60"/>
      <c r="D1113" s="66"/>
      <c r="E1113" s="66"/>
      <c r="F1113" s="66"/>
      <c r="G1113" s="66"/>
      <c r="H1113" s="66"/>
      <c r="I1113" s="66"/>
      <c r="J1113" s="66"/>
      <c r="K1113" s="66"/>
      <c r="L1113" s="66"/>
      <c r="M1113" s="66"/>
      <c r="N1113" s="66"/>
    </row>
    <row r="1114" spans="1:14" x14ac:dyDescent="0.2">
      <c r="A1114" s="84"/>
      <c r="B1114" s="84"/>
      <c r="C1114" s="60"/>
      <c r="D1114" s="66"/>
      <c r="E1114" s="66"/>
      <c r="F1114" s="66"/>
      <c r="G1114" s="66"/>
      <c r="H1114" s="66"/>
      <c r="I1114" s="66"/>
      <c r="J1114" s="66"/>
      <c r="K1114" s="66"/>
      <c r="L1114" s="66"/>
      <c r="M1114" s="66"/>
      <c r="N1114" s="66"/>
    </row>
    <row r="1115" spans="1:14" x14ac:dyDescent="0.2">
      <c r="A1115" s="84"/>
      <c r="B1115" s="84"/>
      <c r="C1115" s="60"/>
      <c r="D1115" s="66"/>
      <c r="E1115" s="66"/>
      <c r="F1115" s="66"/>
      <c r="G1115" s="66"/>
      <c r="H1115" s="66"/>
      <c r="I1115" s="66"/>
      <c r="J1115" s="66"/>
      <c r="K1115" s="66"/>
      <c r="L1115" s="66"/>
      <c r="M1115" s="66"/>
      <c r="N1115" s="66"/>
    </row>
    <row r="1116" spans="1:14" x14ac:dyDescent="0.2">
      <c r="A1116" s="84"/>
      <c r="B1116" s="84"/>
      <c r="C1116" s="60"/>
      <c r="D1116" s="66"/>
      <c r="E1116" s="66"/>
      <c r="F1116" s="66"/>
      <c r="G1116" s="66"/>
      <c r="H1116" s="66"/>
      <c r="I1116" s="66"/>
      <c r="J1116" s="66"/>
      <c r="K1116" s="66"/>
      <c r="L1116" s="66"/>
      <c r="M1116" s="66"/>
      <c r="N1116" s="66"/>
    </row>
    <row r="1117" spans="1:14" x14ac:dyDescent="0.2">
      <c r="A1117" s="84"/>
      <c r="B1117" s="84"/>
      <c r="C1117" s="60"/>
      <c r="D1117" s="66"/>
      <c r="E1117" s="66"/>
      <c r="F1117" s="66"/>
      <c r="G1117" s="66"/>
      <c r="H1117" s="66"/>
      <c r="I1117" s="66"/>
      <c r="J1117" s="66"/>
      <c r="K1117" s="66"/>
      <c r="L1117" s="66"/>
      <c r="M1117" s="66"/>
      <c r="N1117" s="66"/>
    </row>
    <row r="1118" spans="1:14" x14ac:dyDescent="0.2">
      <c r="A1118" s="84"/>
      <c r="B1118" s="84"/>
      <c r="C1118" s="60"/>
      <c r="D1118" s="66"/>
      <c r="E1118" s="66"/>
      <c r="F1118" s="66"/>
      <c r="G1118" s="66"/>
      <c r="H1118" s="66"/>
      <c r="I1118" s="66"/>
      <c r="J1118" s="66"/>
      <c r="K1118" s="66"/>
      <c r="L1118" s="66"/>
      <c r="M1118" s="66"/>
      <c r="N1118" s="66"/>
    </row>
    <row r="1119" spans="1:14" x14ac:dyDescent="0.2">
      <c r="A1119" s="84"/>
      <c r="B1119" s="84"/>
      <c r="C1119" s="60"/>
      <c r="D1119" s="66"/>
      <c r="E1119" s="66"/>
      <c r="F1119" s="66"/>
      <c r="G1119" s="66"/>
      <c r="H1119" s="66"/>
      <c r="I1119" s="66"/>
      <c r="J1119" s="66"/>
      <c r="K1119" s="66"/>
      <c r="L1119" s="66"/>
      <c r="M1119" s="66"/>
      <c r="N1119" s="66"/>
    </row>
    <row r="1120" spans="1:14" x14ac:dyDescent="0.2">
      <c r="A1120" s="84"/>
      <c r="B1120" s="84"/>
      <c r="C1120" s="60"/>
      <c r="D1120" s="66"/>
      <c r="E1120" s="66"/>
      <c r="F1120" s="66"/>
      <c r="G1120" s="66"/>
      <c r="H1120" s="66"/>
      <c r="I1120" s="66"/>
      <c r="J1120" s="66"/>
      <c r="K1120" s="66"/>
      <c r="L1120" s="66"/>
      <c r="M1120" s="66"/>
      <c r="N1120" s="66"/>
    </row>
    <row r="1121" spans="1:14" x14ac:dyDescent="0.2">
      <c r="A1121" s="84"/>
      <c r="B1121" s="84"/>
      <c r="C1121" s="60"/>
      <c r="D1121" s="66"/>
      <c r="E1121" s="66"/>
      <c r="F1121" s="66"/>
      <c r="G1121" s="66"/>
      <c r="H1121" s="66"/>
      <c r="I1121" s="66"/>
      <c r="J1121" s="66"/>
      <c r="K1121" s="66"/>
      <c r="L1121" s="66"/>
      <c r="M1121" s="66"/>
      <c r="N1121" s="66"/>
    </row>
    <row r="1122" spans="1:14" x14ac:dyDescent="0.2">
      <c r="A1122" s="84"/>
      <c r="B1122" s="84"/>
      <c r="C1122" s="60"/>
      <c r="D1122" s="66"/>
      <c r="E1122" s="66"/>
      <c r="F1122" s="66"/>
      <c r="G1122" s="66"/>
      <c r="H1122" s="66"/>
      <c r="I1122" s="66"/>
      <c r="J1122" s="66"/>
      <c r="K1122" s="66"/>
      <c r="L1122" s="66"/>
      <c r="M1122" s="66"/>
      <c r="N1122" s="66"/>
    </row>
    <row r="1123" spans="1:14" x14ac:dyDescent="0.2">
      <c r="A1123" s="84"/>
      <c r="B1123" s="84"/>
      <c r="C1123" s="60"/>
      <c r="D1123" s="66"/>
      <c r="E1123" s="66"/>
      <c r="F1123" s="66"/>
      <c r="G1123" s="66"/>
      <c r="H1123" s="66"/>
      <c r="I1123" s="66"/>
      <c r="J1123" s="66"/>
      <c r="K1123" s="66"/>
      <c r="L1123" s="66"/>
      <c r="M1123" s="66"/>
      <c r="N1123" s="66"/>
    </row>
    <row r="1124" spans="1:14" x14ac:dyDescent="0.2">
      <c r="A1124" s="84"/>
      <c r="B1124" s="84"/>
      <c r="C1124" s="60"/>
      <c r="D1124" s="66"/>
      <c r="E1124" s="66"/>
      <c r="F1124" s="66"/>
      <c r="G1124" s="66"/>
      <c r="H1124" s="66"/>
      <c r="I1124" s="66"/>
      <c r="J1124" s="66"/>
      <c r="K1124" s="66"/>
      <c r="L1124" s="66"/>
      <c r="M1124" s="66"/>
      <c r="N1124" s="66"/>
    </row>
    <row r="1125" spans="1:14" x14ac:dyDescent="0.2">
      <c r="A1125" s="84"/>
      <c r="B1125" s="84"/>
      <c r="C1125" s="60"/>
      <c r="D1125" s="66"/>
      <c r="E1125" s="66"/>
      <c r="F1125" s="66"/>
      <c r="G1125" s="66"/>
      <c r="H1125" s="66"/>
      <c r="I1125" s="66"/>
      <c r="J1125" s="66"/>
      <c r="K1125" s="66"/>
      <c r="L1125" s="66"/>
      <c r="M1125" s="66"/>
      <c r="N1125" s="66"/>
    </row>
    <row r="1126" spans="1:14" x14ac:dyDescent="0.2">
      <c r="A1126" s="84"/>
      <c r="B1126" s="84"/>
      <c r="C1126" s="60"/>
      <c r="D1126" s="66"/>
      <c r="E1126" s="66"/>
      <c r="F1126" s="66"/>
      <c r="G1126" s="66"/>
      <c r="H1126" s="66"/>
      <c r="I1126" s="66"/>
      <c r="J1126" s="66"/>
      <c r="K1126" s="66"/>
      <c r="L1126" s="66"/>
      <c r="M1126" s="66"/>
      <c r="N1126" s="66"/>
    </row>
    <row r="1127" spans="1:14" x14ac:dyDescent="0.2">
      <c r="A1127" s="84"/>
      <c r="B1127" s="84"/>
      <c r="C1127" s="60"/>
      <c r="D1127" s="66"/>
      <c r="E1127" s="66"/>
      <c r="F1127" s="66"/>
      <c r="G1127" s="66"/>
      <c r="H1127" s="66"/>
      <c r="I1127" s="66"/>
      <c r="J1127" s="66"/>
      <c r="K1127" s="66"/>
      <c r="L1127" s="66"/>
      <c r="M1127" s="66"/>
      <c r="N1127" s="66"/>
    </row>
    <row r="1128" spans="1:14" x14ac:dyDescent="0.2">
      <c r="A1128" s="84"/>
      <c r="B1128" s="84"/>
      <c r="C1128" s="60"/>
      <c r="D1128" s="66"/>
      <c r="E1128" s="66"/>
      <c r="F1128" s="66"/>
      <c r="G1128" s="66"/>
      <c r="H1128" s="66"/>
      <c r="I1128" s="66"/>
      <c r="J1128" s="66"/>
      <c r="K1128" s="66"/>
      <c r="L1128" s="66"/>
      <c r="M1128" s="66"/>
      <c r="N1128" s="66"/>
    </row>
    <row r="1129" spans="1:14" x14ac:dyDescent="0.2">
      <c r="A1129" s="84"/>
      <c r="B1129" s="84"/>
      <c r="C1129" s="60"/>
      <c r="D1129" s="66"/>
      <c r="E1129" s="66"/>
      <c r="F1129" s="66"/>
      <c r="G1129" s="66"/>
      <c r="H1129" s="66"/>
      <c r="I1129" s="66"/>
      <c r="J1129" s="66"/>
      <c r="K1129" s="66"/>
      <c r="L1129" s="66"/>
      <c r="M1129" s="66"/>
      <c r="N1129" s="66"/>
    </row>
    <row r="1130" spans="1:14" x14ac:dyDescent="0.2">
      <c r="A1130" s="84"/>
      <c r="B1130" s="84"/>
      <c r="C1130" s="60"/>
      <c r="D1130" s="66"/>
      <c r="E1130" s="66"/>
      <c r="F1130" s="66"/>
      <c r="G1130" s="66"/>
      <c r="H1130" s="66"/>
      <c r="I1130" s="66"/>
      <c r="J1130" s="66"/>
      <c r="K1130" s="66"/>
      <c r="L1130" s="66"/>
      <c r="M1130" s="66"/>
      <c r="N1130" s="66"/>
    </row>
    <row r="1131" spans="1:14" x14ac:dyDescent="0.2">
      <c r="A1131" s="84"/>
      <c r="B1131" s="84"/>
      <c r="C1131" s="60"/>
      <c r="D1131" s="66"/>
      <c r="E1131" s="66"/>
      <c r="F1131" s="66"/>
      <c r="G1131" s="66"/>
      <c r="H1131" s="66"/>
      <c r="I1131" s="66"/>
      <c r="J1131" s="66"/>
      <c r="K1131" s="66"/>
      <c r="L1131" s="66"/>
      <c r="M1131" s="66"/>
      <c r="N1131" s="66"/>
    </row>
    <row r="1132" spans="1:14" x14ac:dyDescent="0.2">
      <c r="A1132" s="84"/>
      <c r="B1132" s="84"/>
      <c r="C1132" s="60"/>
      <c r="D1132" s="66"/>
      <c r="E1132" s="66"/>
      <c r="F1132" s="66"/>
      <c r="G1132" s="66"/>
      <c r="H1132" s="66"/>
      <c r="I1132" s="66"/>
      <c r="J1132" s="66"/>
      <c r="K1132" s="66"/>
      <c r="L1132" s="66"/>
      <c r="M1132" s="66"/>
      <c r="N1132" s="66"/>
    </row>
    <row r="1133" spans="1:14" x14ac:dyDescent="0.2">
      <c r="A1133" s="84"/>
      <c r="B1133" s="84"/>
      <c r="C1133" s="60"/>
      <c r="D1133" s="66"/>
      <c r="E1133" s="66"/>
      <c r="F1133" s="66"/>
      <c r="G1133" s="66"/>
      <c r="H1133" s="66"/>
      <c r="I1133" s="66"/>
      <c r="J1133" s="66"/>
      <c r="K1133" s="66"/>
      <c r="L1133" s="66"/>
      <c r="M1133" s="66"/>
      <c r="N1133" s="66"/>
    </row>
    <row r="1134" spans="1:14" x14ac:dyDescent="0.2">
      <c r="A1134" s="84"/>
      <c r="B1134" s="84"/>
      <c r="C1134" s="60"/>
      <c r="D1134" s="66"/>
      <c r="E1134" s="66"/>
      <c r="F1134" s="66"/>
      <c r="G1134" s="66"/>
      <c r="H1134" s="66"/>
      <c r="I1134" s="66"/>
      <c r="J1134" s="66"/>
      <c r="K1134" s="66"/>
      <c r="L1134" s="66"/>
      <c r="M1134" s="66"/>
      <c r="N1134" s="66"/>
    </row>
    <row r="1135" spans="1:14" x14ac:dyDescent="0.2">
      <c r="A1135" s="84"/>
      <c r="B1135" s="84"/>
      <c r="C1135" s="60"/>
      <c r="D1135" s="66"/>
      <c r="E1135" s="66"/>
      <c r="F1135" s="66"/>
      <c r="G1135" s="66"/>
      <c r="H1135" s="66"/>
      <c r="I1135" s="66"/>
      <c r="J1135" s="66"/>
      <c r="K1135" s="66"/>
      <c r="L1135" s="66"/>
      <c r="M1135" s="66"/>
      <c r="N1135" s="66"/>
    </row>
    <row r="1136" spans="1:14" x14ac:dyDescent="0.2">
      <c r="A1136" s="84"/>
      <c r="B1136" s="84"/>
      <c r="C1136" s="60"/>
      <c r="D1136" s="66"/>
      <c r="E1136" s="66"/>
      <c r="F1136" s="66"/>
      <c r="G1136" s="66"/>
      <c r="H1136" s="66"/>
      <c r="I1136" s="66"/>
      <c r="J1136" s="66"/>
      <c r="K1136" s="66"/>
      <c r="L1136" s="66"/>
      <c r="M1136" s="66"/>
      <c r="N1136" s="66"/>
    </row>
    <row r="1137" spans="1:14" x14ac:dyDescent="0.2">
      <c r="A1137" s="84"/>
      <c r="B1137" s="84"/>
      <c r="C1137" s="60"/>
      <c r="D1137" s="66"/>
      <c r="E1137" s="66"/>
      <c r="F1137" s="66"/>
      <c r="G1137" s="66"/>
      <c r="H1137" s="66"/>
      <c r="I1137" s="66"/>
      <c r="J1137" s="66"/>
      <c r="K1137" s="66"/>
      <c r="L1137" s="66"/>
      <c r="M1137" s="66"/>
      <c r="N1137" s="66"/>
    </row>
    <row r="1138" spans="1:14" x14ac:dyDescent="0.2">
      <c r="A1138" s="84"/>
      <c r="B1138" s="84"/>
      <c r="C1138" s="60"/>
      <c r="D1138" s="66"/>
      <c r="E1138" s="66"/>
      <c r="F1138" s="66"/>
      <c r="G1138" s="66"/>
      <c r="H1138" s="66"/>
      <c r="I1138" s="66"/>
      <c r="J1138" s="66"/>
      <c r="K1138" s="66"/>
      <c r="L1138" s="66"/>
      <c r="M1138" s="66"/>
      <c r="N1138" s="66"/>
    </row>
    <row r="1139" spans="1:14" x14ac:dyDescent="0.2">
      <c r="A1139" s="84"/>
      <c r="B1139" s="84"/>
      <c r="C1139" s="60"/>
      <c r="D1139" s="66"/>
      <c r="E1139" s="66"/>
      <c r="F1139" s="66"/>
      <c r="G1139" s="66"/>
      <c r="H1139" s="66"/>
      <c r="I1139" s="66"/>
      <c r="J1139" s="66"/>
      <c r="K1139" s="66"/>
      <c r="L1139" s="66"/>
      <c r="M1139" s="66"/>
      <c r="N1139" s="66"/>
    </row>
    <row r="1140" spans="1:14" x14ac:dyDescent="0.2">
      <c r="A1140" s="84"/>
      <c r="B1140" s="84"/>
      <c r="C1140" s="60"/>
      <c r="D1140" s="66"/>
      <c r="E1140" s="66"/>
      <c r="F1140" s="66"/>
      <c r="G1140" s="66"/>
      <c r="H1140" s="66"/>
      <c r="I1140" s="66"/>
      <c r="J1140" s="66"/>
      <c r="K1140" s="66"/>
      <c r="L1140" s="66"/>
      <c r="M1140" s="66"/>
      <c r="N1140" s="66"/>
    </row>
    <row r="1141" spans="1:14" x14ac:dyDescent="0.2">
      <c r="A1141" s="84"/>
      <c r="B1141" s="84"/>
      <c r="C1141" s="60"/>
      <c r="D1141" s="66"/>
      <c r="E1141" s="66"/>
      <c r="F1141" s="66"/>
      <c r="G1141" s="66"/>
      <c r="H1141" s="66"/>
      <c r="I1141" s="66"/>
      <c r="J1141" s="66"/>
      <c r="K1141" s="66"/>
      <c r="L1141" s="66"/>
      <c r="M1141" s="66"/>
      <c r="N1141" s="66"/>
    </row>
    <row r="1142" spans="1:14" x14ac:dyDescent="0.2">
      <c r="A1142" s="84"/>
      <c r="B1142" s="84"/>
      <c r="C1142" s="60"/>
      <c r="D1142" s="66"/>
      <c r="E1142" s="66"/>
      <c r="F1142" s="66"/>
      <c r="G1142" s="66"/>
      <c r="H1142" s="66"/>
      <c r="I1142" s="66"/>
      <c r="J1142" s="66"/>
      <c r="K1142" s="66"/>
      <c r="L1142" s="66"/>
      <c r="M1142" s="66"/>
      <c r="N1142" s="66"/>
    </row>
    <row r="1143" spans="1:14" x14ac:dyDescent="0.2">
      <c r="A1143" s="84"/>
      <c r="B1143" s="84"/>
      <c r="C1143" s="60"/>
      <c r="D1143" s="66"/>
      <c r="E1143" s="66"/>
      <c r="F1143" s="66"/>
      <c r="G1143" s="66"/>
      <c r="H1143" s="66"/>
      <c r="I1143" s="66"/>
      <c r="J1143" s="66"/>
      <c r="K1143" s="66"/>
      <c r="L1143" s="66"/>
      <c r="M1143" s="66"/>
      <c r="N1143" s="66"/>
    </row>
    <row r="1144" spans="1:14" x14ac:dyDescent="0.2">
      <c r="A1144" s="84"/>
      <c r="B1144" s="84"/>
      <c r="C1144" s="60"/>
      <c r="D1144" s="66"/>
      <c r="E1144" s="66"/>
      <c r="F1144" s="66"/>
      <c r="G1144" s="66"/>
      <c r="H1144" s="66"/>
      <c r="I1144" s="66"/>
      <c r="J1144" s="66"/>
      <c r="K1144" s="66"/>
      <c r="L1144" s="66"/>
      <c r="M1144" s="66"/>
      <c r="N1144" s="66"/>
    </row>
    <row r="1145" spans="1:14" x14ac:dyDescent="0.2">
      <c r="A1145" s="84"/>
      <c r="B1145" s="84"/>
      <c r="C1145" s="60"/>
      <c r="D1145" s="66"/>
      <c r="E1145" s="66"/>
      <c r="F1145" s="66"/>
      <c r="G1145" s="66"/>
      <c r="H1145" s="66"/>
      <c r="I1145" s="66"/>
      <c r="J1145" s="66"/>
      <c r="K1145" s="66"/>
      <c r="L1145" s="66"/>
      <c r="M1145" s="66"/>
      <c r="N1145" s="66"/>
    </row>
    <row r="1146" spans="1:14" x14ac:dyDescent="0.2">
      <c r="A1146" s="84"/>
      <c r="B1146" s="84"/>
      <c r="C1146" s="60"/>
      <c r="D1146" s="66"/>
      <c r="E1146" s="66"/>
      <c r="F1146" s="66"/>
      <c r="G1146" s="66"/>
      <c r="H1146" s="66"/>
      <c r="I1146" s="66"/>
      <c r="J1146" s="66"/>
      <c r="K1146" s="66"/>
      <c r="L1146" s="66"/>
      <c r="M1146" s="66"/>
      <c r="N1146" s="66"/>
    </row>
    <row r="1147" spans="1:14" x14ac:dyDescent="0.2">
      <c r="A1147" s="84"/>
      <c r="B1147" s="84"/>
      <c r="C1147" s="60"/>
      <c r="D1147" s="66"/>
      <c r="E1147" s="66"/>
      <c r="F1147" s="66"/>
      <c r="G1147" s="66"/>
      <c r="H1147" s="66"/>
      <c r="I1147" s="66"/>
      <c r="J1147" s="66"/>
      <c r="K1147" s="66"/>
      <c r="L1147" s="66"/>
      <c r="M1147" s="66"/>
      <c r="N1147" s="66"/>
    </row>
    <row r="1148" spans="1:14" x14ac:dyDescent="0.2">
      <c r="A1148" s="84"/>
      <c r="B1148" s="84"/>
      <c r="C1148" s="60"/>
      <c r="D1148" s="66"/>
      <c r="E1148" s="66"/>
      <c r="F1148" s="66"/>
      <c r="G1148" s="66"/>
      <c r="H1148" s="66"/>
      <c r="I1148" s="66"/>
      <c r="J1148" s="66"/>
      <c r="K1148" s="66"/>
      <c r="L1148" s="66"/>
      <c r="M1148" s="66"/>
      <c r="N1148" s="66"/>
    </row>
    <row r="1149" spans="1:14" x14ac:dyDescent="0.2">
      <c r="A1149" s="84"/>
      <c r="B1149" s="84"/>
      <c r="C1149" s="60"/>
      <c r="D1149" s="66"/>
      <c r="E1149" s="66"/>
      <c r="F1149" s="66"/>
      <c r="G1149" s="66"/>
      <c r="H1149" s="66"/>
      <c r="I1149" s="66"/>
      <c r="J1149" s="66"/>
      <c r="K1149" s="66"/>
      <c r="L1149" s="66"/>
      <c r="M1149" s="66"/>
      <c r="N1149" s="66"/>
    </row>
    <row r="1150" spans="1:14" x14ac:dyDescent="0.2">
      <c r="A1150" s="84"/>
      <c r="B1150" s="84"/>
      <c r="C1150" s="60"/>
      <c r="D1150" s="66"/>
      <c r="E1150" s="66"/>
      <c r="F1150" s="66"/>
      <c r="G1150" s="66"/>
      <c r="H1150" s="66"/>
      <c r="I1150" s="66"/>
      <c r="J1150" s="66"/>
      <c r="K1150" s="66"/>
      <c r="L1150" s="66"/>
      <c r="M1150" s="66"/>
      <c r="N1150" s="66"/>
    </row>
    <row r="1151" spans="1:14" x14ac:dyDescent="0.2">
      <c r="A1151" s="84"/>
      <c r="B1151" s="84"/>
      <c r="C1151" s="60"/>
      <c r="D1151" s="66"/>
      <c r="E1151" s="66"/>
      <c r="F1151" s="66"/>
      <c r="G1151" s="66"/>
      <c r="H1151" s="66"/>
      <c r="I1151" s="66"/>
      <c r="J1151" s="66"/>
      <c r="K1151" s="66"/>
      <c r="L1151" s="66"/>
      <c r="M1151" s="66"/>
      <c r="N1151" s="66"/>
    </row>
    <row r="1152" spans="1:14" x14ac:dyDescent="0.2">
      <c r="A1152" s="84"/>
      <c r="B1152" s="84"/>
      <c r="C1152" s="60"/>
      <c r="D1152" s="66"/>
      <c r="E1152" s="66"/>
      <c r="F1152" s="66"/>
      <c r="G1152" s="66"/>
      <c r="H1152" s="66"/>
      <c r="I1152" s="66"/>
      <c r="J1152" s="66"/>
      <c r="K1152" s="66"/>
      <c r="L1152" s="66"/>
      <c r="M1152" s="66"/>
      <c r="N1152" s="66"/>
    </row>
    <row r="1153" spans="1:14" x14ac:dyDescent="0.2">
      <c r="A1153" s="84"/>
      <c r="B1153" s="84"/>
      <c r="C1153" s="60"/>
      <c r="D1153" s="66"/>
      <c r="E1153" s="66"/>
      <c r="F1153" s="66"/>
      <c r="G1153" s="66"/>
      <c r="H1153" s="66"/>
      <c r="I1153" s="66"/>
      <c r="J1153" s="66"/>
      <c r="K1153" s="66"/>
      <c r="L1153" s="66"/>
      <c r="M1153" s="66"/>
      <c r="N1153" s="66"/>
    </row>
    <row r="1154" spans="1:14" x14ac:dyDescent="0.2">
      <c r="A1154" s="84"/>
      <c r="B1154" s="84"/>
      <c r="C1154" s="60"/>
      <c r="D1154" s="66"/>
      <c r="E1154" s="66"/>
      <c r="F1154" s="66"/>
      <c r="G1154" s="66"/>
      <c r="H1154" s="66"/>
      <c r="I1154" s="66"/>
      <c r="J1154" s="66"/>
      <c r="K1154" s="66"/>
      <c r="L1154" s="66"/>
      <c r="M1154" s="66"/>
      <c r="N1154" s="66"/>
    </row>
    <row r="1155" spans="1:14" x14ac:dyDescent="0.2">
      <c r="A1155" s="84"/>
      <c r="B1155" s="84"/>
      <c r="C1155" s="60"/>
      <c r="D1155" s="66"/>
      <c r="E1155" s="66"/>
      <c r="F1155" s="66"/>
      <c r="G1155" s="66"/>
      <c r="H1155" s="66"/>
      <c r="I1155" s="66"/>
      <c r="J1155" s="66"/>
      <c r="K1155" s="66"/>
      <c r="L1155" s="66"/>
      <c r="M1155" s="66"/>
      <c r="N1155" s="66"/>
    </row>
    <row r="1156" spans="1:14" x14ac:dyDescent="0.2">
      <c r="A1156" s="84"/>
      <c r="B1156" s="84"/>
      <c r="C1156" s="60"/>
      <c r="D1156" s="66"/>
      <c r="E1156" s="66"/>
      <c r="F1156" s="66"/>
      <c r="G1156" s="66"/>
      <c r="H1156" s="66"/>
      <c r="I1156" s="66"/>
      <c r="J1156" s="66"/>
      <c r="K1156" s="66"/>
      <c r="L1156" s="66"/>
      <c r="M1156" s="66"/>
      <c r="N1156" s="66"/>
    </row>
    <row r="1157" spans="1:14" x14ac:dyDescent="0.2">
      <c r="A1157" s="84"/>
      <c r="B1157" s="84"/>
      <c r="C1157" s="60"/>
      <c r="D1157" s="66"/>
      <c r="E1157" s="66"/>
      <c r="F1157" s="66"/>
      <c r="G1157" s="66"/>
      <c r="H1157" s="66"/>
      <c r="I1157" s="66"/>
      <c r="J1157" s="66"/>
      <c r="K1157" s="66"/>
      <c r="L1157" s="66"/>
      <c r="M1157" s="66"/>
      <c r="N1157" s="66"/>
    </row>
    <row r="1158" spans="1:14" x14ac:dyDescent="0.2">
      <c r="A1158" s="84"/>
      <c r="B1158" s="84"/>
      <c r="C1158" s="60"/>
      <c r="D1158" s="66"/>
      <c r="E1158" s="66"/>
      <c r="F1158" s="66"/>
      <c r="G1158" s="66"/>
      <c r="H1158" s="66"/>
      <c r="I1158" s="66"/>
      <c r="J1158" s="66"/>
      <c r="K1158" s="66"/>
      <c r="L1158" s="66"/>
      <c r="M1158" s="66"/>
      <c r="N1158" s="66"/>
    </row>
    <row r="1159" spans="1:14" x14ac:dyDescent="0.2">
      <c r="A1159" s="84"/>
      <c r="B1159" s="84"/>
      <c r="C1159" s="60"/>
      <c r="D1159" s="66"/>
      <c r="E1159" s="66"/>
      <c r="F1159" s="66"/>
      <c r="G1159" s="66"/>
      <c r="H1159" s="66"/>
      <c r="I1159" s="66"/>
      <c r="J1159" s="66"/>
      <c r="K1159" s="66"/>
      <c r="L1159" s="66"/>
      <c r="M1159" s="66"/>
      <c r="N1159" s="66"/>
    </row>
    <row r="1160" spans="1:14" x14ac:dyDescent="0.2">
      <c r="A1160" s="84"/>
      <c r="B1160" s="84"/>
      <c r="C1160" s="60"/>
      <c r="D1160" s="66"/>
      <c r="E1160" s="66"/>
      <c r="F1160" s="66"/>
      <c r="G1160" s="66"/>
      <c r="H1160" s="66"/>
      <c r="I1160" s="66"/>
      <c r="J1160" s="66"/>
      <c r="K1160" s="66"/>
      <c r="L1160" s="66"/>
      <c r="M1160" s="66"/>
      <c r="N1160" s="66"/>
    </row>
    <row r="1161" spans="1:14" x14ac:dyDescent="0.2">
      <c r="A1161" s="84"/>
      <c r="B1161" s="84"/>
      <c r="C1161" s="60"/>
      <c r="D1161" s="66"/>
      <c r="E1161" s="66"/>
      <c r="F1161" s="66"/>
      <c r="G1161" s="66"/>
      <c r="H1161" s="66"/>
      <c r="I1161" s="66"/>
      <c r="J1161" s="66"/>
      <c r="K1161" s="66"/>
      <c r="L1161" s="66"/>
      <c r="M1161" s="66"/>
      <c r="N1161" s="66"/>
    </row>
    <row r="1162" spans="1:14" x14ac:dyDescent="0.2">
      <c r="A1162" s="84"/>
      <c r="B1162" s="84"/>
      <c r="C1162" s="60"/>
      <c r="D1162" s="66"/>
      <c r="E1162" s="66"/>
      <c r="F1162" s="66"/>
      <c r="G1162" s="66"/>
      <c r="H1162" s="66"/>
      <c r="I1162" s="66"/>
      <c r="J1162" s="66"/>
      <c r="K1162" s="66"/>
      <c r="L1162" s="66"/>
      <c r="M1162" s="66"/>
      <c r="N1162" s="66"/>
    </row>
    <row r="1163" spans="1:14" x14ac:dyDescent="0.2">
      <c r="A1163" s="84"/>
      <c r="B1163" s="84"/>
      <c r="C1163" s="60"/>
      <c r="D1163" s="66"/>
      <c r="E1163" s="66"/>
      <c r="F1163" s="66"/>
      <c r="G1163" s="66"/>
      <c r="H1163" s="66"/>
      <c r="I1163" s="66"/>
      <c r="J1163" s="66"/>
      <c r="K1163" s="66"/>
      <c r="L1163" s="66"/>
      <c r="M1163" s="66"/>
      <c r="N1163" s="66"/>
    </row>
    <row r="1164" spans="1:14" x14ac:dyDescent="0.2">
      <c r="A1164" s="84"/>
      <c r="B1164" s="84"/>
      <c r="C1164" s="60"/>
      <c r="D1164" s="66"/>
      <c r="E1164" s="66"/>
      <c r="F1164" s="66"/>
      <c r="G1164" s="66"/>
      <c r="H1164" s="66"/>
      <c r="I1164" s="66"/>
      <c r="J1164" s="66"/>
      <c r="K1164" s="66"/>
      <c r="L1164" s="66"/>
      <c r="M1164" s="66"/>
      <c r="N1164" s="66"/>
    </row>
    <row r="1165" spans="1:14" x14ac:dyDescent="0.2">
      <c r="A1165" s="84"/>
      <c r="B1165" s="84"/>
      <c r="C1165" s="60"/>
      <c r="D1165" s="66"/>
      <c r="E1165" s="66"/>
      <c r="F1165" s="66"/>
      <c r="G1165" s="66"/>
      <c r="H1165" s="66"/>
      <c r="I1165" s="66"/>
      <c r="J1165" s="66"/>
      <c r="K1165" s="66"/>
      <c r="L1165" s="66"/>
      <c r="M1165" s="66"/>
      <c r="N1165" s="66"/>
    </row>
    <row r="1166" spans="1:14" x14ac:dyDescent="0.2">
      <c r="A1166" s="84"/>
      <c r="B1166" s="84"/>
      <c r="C1166" s="60"/>
      <c r="D1166" s="66"/>
      <c r="E1166" s="66"/>
      <c r="F1166" s="66"/>
      <c r="G1166" s="66"/>
      <c r="H1166" s="66"/>
      <c r="I1166" s="66"/>
      <c r="J1166" s="66"/>
      <c r="K1166" s="66"/>
      <c r="L1166" s="66"/>
      <c r="M1166" s="66"/>
      <c r="N1166" s="66"/>
    </row>
    <row r="1167" spans="1:14" x14ac:dyDescent="0.2">
      <c r="A1167" s="84"/>
      <c r="B1167" s="84"/>
      <c r="C1167" s="60"/>
      <c r="D1167" s="66"/>
      <c r="E1167" s="66"/>
      <c r="F1167" s="66"/>
      <c r="G1167" s="66"/>
      <c r="H1167" s="66"/>
      <c r="I1167" s="66"/>
      <c r="J1167" s="66"/>
      <c r="K1167" s="66"/>
      <c r="L1167" s="66"/>
      <c r="M1167" s="66"/>
      <c r="N1167" s="66"/>
    </row>
    <row r="1168" spans="1:14" x14ac:dyDescent="0.2">
      <c r="A1168" s="84"/>
      <c r="B1168" s="84"/>
      <c r="C1168" s="60"/>
      <c r="D1168" s="66"/>
      <c r="E1168" s="66"/>
      <c r="F1168" s="66"/>
      <c r="G1168" s="66"/>
      <c r="H1168" s="66"/>
      <c r="I1168" s="66"/>
      <c r="J1168" s="66"/>
      <c r="K1168" s="66"/>
      <c r="L1168" s="66"/>
      <c r="M1168" s="66"/>
      <c r="N1168" s="66"/>
    </row>
    <row r="1169" spans="1:14" x14ac:dyDescent="0.2">
      <c r="A1169" s="84"/>
      <c r="B1169" s="84"/>
      <c r="C1169" s="60"/>
      <c r="D1169" s="66"/>
      <c r="E1169" s="66"/>
      <c r="F1169" s="66"/>
      <c r="G1169" s="66"/>
      <c r="H1169" s="66"/>
      <c r="I1169" s="66"/>
      <c r="J1169" s="66"/>
      <c r="K1169" s="66"/>
      <c r="L1169" s="66"/>
      <c r="M1169" s="66"/>
      <c r="N1169" s="66"/>
    </row>
    <row r="1170" spans="1:14" x14ac:dyDescent="0.2">
      <c r="A1170" s="84"/>
      <c r="B1170" s="84"/>
      <c r="C1170" s="60"/>
      <c r="D1170" s="66"/>
      <c r="E1170" s="66"/>
      <c r="F1170" s="66"/>
      <c r="G1170" s="66"/>
      <c r="H1170" s="66"/>
      <c r="I1170" s="66"/>
      <c r="J1170" s="66"/>
      <c r="K1170" s="66"/>
      <c r="L1170" s="66"/>
      <c r="M1170" s="66"/>
      <c r="N1170" s="66"/>
    </row>
    <row r="1171" spans="1:14" x14ac:dyDescent="0.2">
      <c r="A1171" s="84"/>
      <c r="B1171" s="84"/>
      <c r="C1171" s="60"/>
      <c r="D1171" s="66"/>
      <c r="E1171" s="66"/>
      <c r="F1171" s="66"/>
      <c r="G1171" s="66"/>
      <c r="H1171" s="66"/>
      <c r="I1171" s="66"/>
      <c r="J1171" s="66"/>
      <c r="K1171" s="66"/>
      <c r="L1171" s="66"/>
      <c r="M1171" s="66"/>
      <c r="N1171" s="66"/>
    </row>
    <row r="1172" spans="1:14" x14ac:dyDescent="0.2">
      <c r="A1172" s="84"/>
      <c r="B1172" s="84"/>
      <c r="C1172" s="60"/>
      <c r="D1172" s="66"/>
      <c r="E1172" s="66"/>
      <c r="F1172" s="66"/>
      <c r="G1172" s="66"/>
      <c r="H1172" s="66"/>
      <c r="I1172" s="66"/>
      <c r="J1172" s="66"/>
      <c r="K1172" s="66"/>
      <c r="L1172" s="66"/>
      <c r="M1172" s="66"/>
      <c r="N1172" s="66"/>
    </row>
    <row r="1173" spans="1:14" x14ac:dyDescent="0.2">
      <c r="A1173" s="84"/>
      <c r="B1173" s="84"/>
      <c r="C1173" s="60"/>
      <c r="D1173" s="66"/>
      <c r="E1173" s="66"/>
      <c r="F1173" s="66"/>
      <c r="G1173" s="66"/>
      <c r="H1173" s="66"/>
      <c r="I1173" s="66"/>
      <c r="J1173" s="66"/>
      <c r="K1173" s="66"/>
      <c r="L1173" s="66"/>
      <c r="M1173" s="66"/>
      <c r="N1173" s="66"/>
    </row>
    <row r="1174" spans="1:14" x14ac:dyDescent="0.2">
      <c r="A1174" s="84"/>
      <c r="B1174" s="84"/>
      <c r="C1174" s="60"/>
      <c r="D1174" s="66"/>
      <c r="E1174" s="66"/>
      <c r="F1174" s="66"/>
      <c r="G1174" s="66"/>
      <c r="H1174" s="66"/>
      <c r="I1174" s="66"/>
      <c r="J1174" s="66"/>
      <c r="K1174" s="66"/>
      <c r="L1174" s="66"/>
      <c r="M1174" s="66"/>
      <c r="N1174" s="66"/>
    </row>
    <row r="1175" spans="1:14" x14ac:dyDescent="0.2">
      <c r="A1175" s="84"/>
      <c r="B1175" s="84"/>
      <c r="C1175" s="60"/>
      <c r="D1175" s="66"/>
      <c r="E1175" s="66"/>
      <c r="F1175" s="66"/>
      <c r="G1175" s="66"/>
      <c r="H1175" s="66"/>
      <c r="I1175" s="66"/>
      <c r="J1175" s="66"/>
      <c r="K1175" s="66"/>
      <c r="L1175" s="66"/>
      <c r="M1175" s="66"/>
      <c r="N1175" s="66"/>
    </row>
    <row r="1176" spans="1:14" x14ac:dyDescent="0.2">
      <c r="A1176" s="84"/>
      <c r="B1176" s="84"/>
      <c r="C1176" s="60"/>
      <c r="D1176" s="66"/>
      <c r="E1176" s="66"/>
      <c r="F1176" s="66"/>
      <c r="G1176" s="66"/>
      <c r="H1176" s="66"/>
      <c r="I1176" s="66"/>
      <c r="J1176" s="66"/>
      <c r="K1176" s="66"/>
      <c r="L1176" s="66"/>
      <c r="M1176" s="66"/>
      <c r="N1176" s="66"/>
    </row>
    <row r="1177" spans="1:14" x14ac:dyDescent="0.2">
      <c r="A1177" s="84"/>
      <c r="B1177" s="84"/>
      <c r="C1177" s="60"/>
      <c r="D1177" s="66"/>
      <c r="E1177" s="66"/>
      <c r="F1177" s="66"/>
      <c r="G1177" s="66"/>
      <c r="H1177" s="66"/>
      <c r="I1177" s="66"/>
      <c r="J1177" s="66"/>
      <c r="K1177" s="66"/>
      <c r="L1177" s="66"/>
      <c r="M1177" s="66"/>
      <c r="N1177" s="66"/>
    </row>
    <row r="1178" spans="1:14" x14ac:dyDescent="0.2">
      <c r="A1178" s="84"/>
      <c r="B1178" s="84"/>
      <c r="C1178" s="60"/>
      <c r="D1178" s="66"/>
      <c r="E1178" s="66"/>
      <c r="F1178" s="66"/>
      <c r="G1178" s="66"/>
      <c r="H1178" s="66"/>
      <c r="I1178" s="66"/>
      <c r="J1178" s="66"/>
      <c r="K1178" s="66"/>
      <c r="L1178" s="66"/>
      <c r="M1178" s="66"/>
      <c r="N1178" s="66"/>
    </row>
    <row r="1179" spans="1:14" x14ac:dyDescent="0.2">
      <c r="A1179" s="84"/>
      <c r="B1179" s="84"/>
      <c r="C1179" s="60"/>
      <c r="D1179" s="66"/>
      <c r="E1179" s="66"/>
      <c r="F1179" s="66"/>
      <c r="G1179" s="66"/>
      <c r="H1179" s="66"/>
      <c r="I1179" s="66"/>
      <c r="J1179" s="66"/>
      <c r="K1179" s="66"/>
      <c r="L1179" s="66"/>
      <c r="M1179" s="66"/>
      <c r="N1179" s="66"/>
    </row>
    <row r="1180" spans="1:14" x14ac:dyDescent="0.2">
      <c r="A1180" s="84"/>
      <c r="B1180" s="84"/>
      <c r="C1180" s="60"/>
      <c r="D1180" s="66"/>
      <c r="E1180" s="66"/>
      <c r="F1180" s="66"/>
      <c r="G1180" s="66"/>
      <c r="H1180" s="66"/>
      <c r="I1180" s="66"/>
      <c r="J1180" s="66"/>
      <c r="K1180" s="66"/>
      <c r="L1180" s="66"/>
      <c r="M1180" s="66"/>
      <c r="N1180" s="66"/>
    </row>
    <row r="1181" spans="1:14" x14ac:dyDescent="0.2">
      <c r="A1181" s="84"/>
      <c r="B1181" s="84"/>
      <c r="C1181" s="60"/>
      <c r="D1181" s="66"/>
      <c r="E1181" s="66"/>
      <c r="F1181" s="66"/>
      <c r="G1181" s="66"/>
      <c r="H1181" s="66"/>
      <c r="I1181" s="66"/>
      <c r="J1181" s="66"/>
      <c r="K1181" s="66"/>
      <c r="L1181" s="66"/>
      <c r="M1181" s="66"/>
      <c r="N1181" s="66"/>
    </row>
    <row r="1182" spans="1:14" x14ac:dyDescent="0.2">
      <c r="A1182" s="84"/>
      <c r="B1182" s="84"/>
      <c r="C1182" s="60"/>
      <c r="D1182" s="66"/>
      <c r="E1182" s="66"/>
      <c r="F1182" s="66"/>
      <c r="G1182" s="66"/>
      <c r="H1182" s="66"/>
      <c r="I1182" s="66"/>
      <c r="J1182" s="66"/>
      <c r="K1182" s="66"/>
      <c r="L1182" s="66"/>
      <c r="M1182" s="66"/>
      <c r="N1182" s="66"/>
    </row>
    <row r="1183" spans="1:14" x14ac:dyDescent="0.2">
      <c r="A1183" s="84"/>
      <c r="B1183" s="84"/>
      <c r="C1183" s="60"/>
      <c r="D1183" s="66"/>
      <c r="E1183" s="66"/>
      <c r="F1183" s="66"/>
      <c r="G1183" s="66"/>
      <c r="H1183" s="66"/>
      <c r="I1183" s="66"/>
      <c r="J1183" s="66"/>
      <c r="K1183" s="66"/>
      <c r="L1183" s="66"/>
      <c r="M1183" s="66"/>
      <c r="N1183" s="66"/>
    </row>
    <row r="1184" spans="1:14" x14ac:dyDescent="0.2">
      <c r="A1184" s="84"/>
      <c r="B1184" s="84"/>
      <c r="C1184" s="60"/>
      <c r="D1184" s="66"/>
      <c r="E1184" s="66"/>
      <c r="F1184" s="66"/>
      <c r="G1184" s="66"/>
      <c r="H1184" s="66"/>
      <c r="I1184" s="66"/>
      <c r="J1184" s="66"/>
      <c r="K1184" s="66"/>
      <c r="L1184" s="66"/>
      <c r="M1184" s="66"/>
      <c r="N1184" s="66"/>
    </row>
    <row r="1185" spans="1:14" x14ac:dyDescent="0.2">
      <c r="A1185" s="84"/>
      <c r="B1185" s="84"/>
      <c r="C1185" s="60"/>
      <c r="D1185" s="66"/>
      <c r="E1185" s="66"/>
      <c r="F1185" s="66"/>
      <c r="G1185" s="66"/>
      <c r="H1185" s="66"/>
      <c r="I1185" s="66"/>
      <c r="J1185" s="66"/>
      <c r="K1185" s="66"/>
      <c r="L1185" s="66"/>
      <c r="M1185" s="66"/>
      <c r="N1185" s="66"/>
    </row>
    <row r="1186" spans="1:14" x14ac:dyDescent="0.2">
      <c r="A1186" s="84"/>
      <c r="B1186" s="84"/>
      <c r="C1186" s="60"/>
      <c r="D1186" s="66"/>
      <c r="E1186" s="66"/>
      <c r="F1186" s="66"/>
      <c r="G1186" s="66"/>
      <c r="H1186" s="66"/>
      <c r="I1186" s="66"/>
      <c r="J1186" s="66"/>
      <c r="K1186" s="66"/>
      <c r="L1186" s="66"/>
      <c r="M1186" s="66"/>
      <c r="N1186" s="66"/>
    </row>
    <row r="1187" spans="1:14" x14ac:dyDescent="0.2">
      <c r="A1187" s="84"/>
      <c r="B1187" s="84"/>
      <c r="C1187" s="60"/>
      <c r="D1187" s="66"/>
      <c r="E1187" s="66"/>
      <c r="F1187" s="66"/>
      <c r="G1187" s="66"/>
      <c r="H1187" s="66"/>
      <c r="I1187" s="66"/>
      <c r="J1187" s="66"/>
      <c r="K1187" s="66"/>
      <c r="L1187" s="66"/>
      <c r="M1187" s="66"/>
      <c r="N1187" s="66"/>
    </row>
    <row r="1188" spans="1:14" x14ac:dyDescent="0.2">
      <c r="A1188" s="84"/>
      <c r="B1188" s="84"/>
      <c r="C1188" s="60"/>
      <c r="D1188" s="66"/>
      <c r="E1188" s="66"/>
      <c r="F1188" s="66"/>
      <c r="G1188" s="66"/>
      <c r="H1188" s="66"/>
      <c r="I1188" s="66"/>
      <c r="J1188" s="66"/>
      <c r="K1188" s="66"/>
      <c r="L1188" s="66"/>
      <c r="M1188" s="66"/>
      <c r="N1188" s="66"/>
    </row>
    <row r="1189" spans="1:14" x14ac:dyDescent="0.2">
      <c r="A1189" s="84"/>
      <c r="B1189" s="84"/>
      <c r="C1189" s="60"/>
      <c r="D1189" s="66"/>
      <c r="E1189" s="66"/>
      <c r="F1189" s="66"/>
      <c r="G1189" s="66"/>
      <c r="H1189" s="66"/>
      <c r="I1189" s="66"/>
      <c r="J1189" s="66"/>
      <c r="K1189" s="66"/>
      <c r="L1189" s="66"/>
      <c r="M1189" s="66"/>
      <c r="N1189" s="66"/>
    </row>
    <row r="1190" spans="1:14" x14ac:dyDescent="0.2">
      <c r="A1190" s="84"/>
      <c r="B1190" s="84"/>
      <c r="C1190" s="60"/>
      <c r="D1190" s="66"/>
      <c r="E1190" s="66"/>
      <c r="F1190" s="66"/>
      <c r="G1190" s="66"/>
      <c r="H1190" s="66"/>
      <c r="I1190" s="66"/>
      <c r="J1190" s="66"/>
      <c r="K1190" s="66"/>
      <c r="L1190" s="66"/>
      <c r="M1190" s="66"/>
      <c r="N1190" s="66"/>
    </row>
    <row r="1191" spans="1:14" x14ac:dyDescent="0.2">
      <c r="A1191" s="84"/>
      <c r="B1191" s="84"/>
      <c r="C1191" s="60"/>
      <c r="D1191" s="66"/>
      <c r="E1191" s="66"/>
      <c r="F1191" s="66"/>
      <c r="G1191" s="66"/>
      <c r="H1191" s="66"/>
      <c r="I1191" s="66"/>
      <c r="J1191" s="66"/>
      <c r="K1191" s="66"/>
      <c r="L1191" s="66"/>
      <c r="M1191" s="66"/>
      <c r="N1191" s="66"/>
    </row>
    <row r="1192" spans="1:14" x14ac:dyDescent="0.2">
      <c r="A1192" s="84"/>
      <c r="B1192" s="84"/>
      <c r="C1192" s="60"/>
      <c r="D1192" s="66"/>
      <c r="E1192" s="66"/>
      <c r="F1192" s="66"/>
      <c r="G1192" s="66"/>
      <c r="H1192" s="66"/>
      <c r="I1192" s="66"/>
      <c r="J1192" s="66"/>
      <c r="K1192" s="66"/>
      <c r="L1192" s="66"/>
      <c r="M1192" s="66"/>
      <c r="N1192" s="66"/>
    </row>
    <row r="1193" spans="1:14" x14ac:dyDescent="0.2">
      <c r="A1193" s="84"/>
      <c r="B1193" s="84"/>
      <c r="C1193" s="60"/>
      <c r="D1193" s="66"/>
      <c r="E1193" s="66"/>
      <c r="F1193" s="66"/>
      <c r="G1193" s="66"/>
      <c r="H1193" s="66"/>
      <c r="I1193" s="66"/>
      <c r="J1193" s="66"/>
      <c r="K1193" s="66"/>
      <c r="L1193" s="66"/>
      <c r="M1193" s="66"/>
      <c r="N1193" s="66"/>
    </row>
    <row r="1194" spans="1:14" x14ac:dyDescent="0.2">
      <c r="A1194" s="84"/>
      <c r="B1194" s="84"/>
      <c r="C1194" s="60"/>
      <c r="D1194" s="66"/>
      <c r="E1194" s="66"/>
      <c r="F1194" s="66"/>
      <c r="G1194" s="66"/>
      <c r="H1194" s="66"/>
      <c r="I1194" s="66"/>
      <c r="J1194" s="66"/>
      <c r="K1194" s="66"/>
      <c r="L1194" s="66"/>
      <c r="M1194" s="66"/>
      <c r="N1194" s="66"/>
    </row>
    <row r="1195" spans="1:14" x14ac:dyDescent="0.2">
      <c r="A1195" s="84"/>
      <c r="B1195" s="84"/>
      <c r="C1195" s="60"/>
      <c r="D1195" s="66"/>
      <c r="E1195" s="66"/>
      <c r="F1195" s="66"/>
      <c r="G1195" s="66"/>
      <c r="H1195" s="66"/>
      <c r="I1195" s="66"/>
      <c r="J1195" s="66"/>
      <c r="K1195" s="66"/>
      <c r="L1195" s="66"/>
      <c r="M1195" s="66"/>
      <c r="N1195" s="66"/>
    </row>
    <row r="1196" spans="1:14" x14ac:dyDescent="0.2">
      <c r="A1196" s="84"/>
      <c r="B1196" s="84"/>
      <c r="C1196" s="60"/>
      <c r="D1196" s="66"/>
      <c r="E1196" s="66"/>
      <c r="F1196" s="66"/>
      <c r="G1196" s="66"/>
      <c r="H1196" s="66"/>
      <c r="I1196" s="66"/>
      <c r="J1196" s="66"/>
      <c r="K1196" s="66"/>
      <c r="L1196" s="66"/>
      <c r="M1196" s="66"/>
      <c r="N1196" s="66"/>
    </row>
    <row r="1197" spans="1:14" x14ac:dyDescent="0.2">
      <c r="A1197" s="84"/>
      <c r="B1197" s="84"/>
      <c r="C1197" s="60"/>
      <c r="D1197" s="66"/>
      <c r="E1197" s="66"/>
      <c r="F1197" s="66"/>
      <c r="G1197" s="66"/>
      <c r="H1197" s="66"/>
      <c r="I1197" s="66"/>
      <c r="J1197" s="66"/>
      <c r="K1197" s="66"/>
      <c r="L1197" s="66"/>
      <c r="M1197" s="66"/>
      <c r="N1197" s="66"/>
    </row>
    <row r="1198" spans="1:14" x14ac:dyDescent="0.2">
      <c r="A1198" s="84"/>
      <c r="B1198" s="84"/>
      <c r="C1198" s="60"/>
      <c r="D1198" s="66"/>
      <c r="E1198" s="66"/>
      <c r="F1198" s="66"/>
      <c r="G1198" s="66"/>
      <c r="H1198" s="66"/>
      <c r="I1198" s="66"/>
      <c r="J1198" s="66"/>
      <c r="K1198" s="66"/>
      <c r="L1198" s="66"/>
      <c r="M1198" s="66"/>
      <c r="N1198" s="66"/>
    </row>
    <row r="1199" spans="1:14" x14ac:dyDescent="0.2">
      <c r="A1199" s="84"/>
      <c r="B1199" s="84"/>
      <c r="C1199" s="60"/>
      <c r="D1199" s="66"/>
      <c r="E1199" s="66"/>
      <c r="F1199" s="66"/>
      <c r="G1199" s="66"/>
      <c r="H1199" s="66"/>
      <c r="I1199" s="66"/>
      <c r="J1199" s="66"/>
      <c r="K1199" s="66"/>
      <c r="L1199" s="66"/>
      <c r="M1199" s="66"/>
      <c r="N1199" s="66"/>
    </row>
    <row r="1200" spans="1:14" x14ac:dyDescent="0.2">
      <c r="A1200" s="84"/>
      <c r="B1200" s="84"/>
      <c r="C1200" s="60"/>
      <c r="D1200" s="66"/>
      <c r="E1200" s="66"/>
      <c r="F1200" s="66"/>
      <c r="G1200" s="66"/>
      <c r="H1200" s="66"/>
      <c r="I1200" s="66"/>
      <c r="J1200" s="66"/>
      <c r="K1200" s="66"/>
      <c r="L1200" s="66"/>
      <c r="M1200" s="66"/>
      <c r="N1200" s="66"/>
    </row>
    <row r="1201" spans="1:14" x14ac:dyDescent="0.2">
      <c r="A1201" s="84"/>
      <c r="B1201" s="84"/>
      <c r="C1201" s="60"/>
      <c r="D1201" s="66"/>
      <c r="E1201" s="66"/>
      <c r="F1201" s="66"/>
      <c r="G1201" s="66"/>
      <c r="H1201" s="66"/>
      <c r="I1201" s="66"/>
      <c r="J1201" s="66"/>
      <c r="K1201" s="66"/>
      <c r="L1201" s="66"/>
      <c r="M1201" s="66"/>
      <c r="N1201" s="66"/>
    </row>
    <row r="1202" spans="1:14" x14ac:dyDescent="0.2">
      <c r="A1202" s="84"/>
      <c r="B1202" s="84"/>
      <c r="C1202" s="60"/>
      <c r="D1202" s="66"/>
      <c r="E1202" s="66"/>
      <c r="F1202" s="66"/>
      <c r="G1202" s="66"/>
      <c r="H1202" s="66"/>
      <c r="I1202" s="66"/>
      <c r="J1202" s="66"/>
      <c r="K1202" s="66"/>
      <c r="L1202" s="66"/>
      <c r="M1202" s="66"/>
      <c r="N1202" s="66"/>
    </row>
    <row r="1203" spans="1:14" x14ac:dyDescent="0.2">
      <c r="A1203" s="84"/>
      <c r="B1203" s="84"/>
      <c r="C1203" s="60"/>
      <c r="D1203" s="66"/>
      <c r="E1203" s="66"/>
      <c r="F1203" s="66"/>
      <c r="G1203" s="66"/>
      <c r="H1203" s="66"/>
      <c r="I1203" s="66"/>
      <c r="J1203" s="66"/>
      <c r="K1203" s="66"/>
      <c r="L1203" s="66"/>
      <c r="M1203" s="66"/>
      <c r="N1203" s="66"/>
    </row>
    <row r="1204" spans="1:14" x14ac:dyDescent="0.2">
      <c r="A1204" s="84"/>
      <c r="B1204" s="84"/>
      <c r="C1204" s="60"/>
      <c r="D1204" s="66"/>
      <c r="E1204" s="66"/>
      <c r="F1204" s="66"/>
      <c r="G1204" s="66"/>
      <c r="H1204" s="66"/>
      <c r="I1204" s="66"/>
      <c r="J1204" s="66"/>
      <c r="K1204" s="66"/>
      <c r="L1204" s="66"/>
      <c r="M1204" s="66"/>
      <c r="N1204" s="66"/>
    </row>
    <row r="1205" spans="1:14" x14ac:dyDescent="0.2">
      <c r="A1205" s="84"/>
      <c r="B1205" s="84"/>
      <c r="C1205" s="60"/>
      <c r="D1205" s="66"/>
      <c r="E1205" s="66"/>
      <c r="F1205" s="66"/>
      <c r="G1205" s="66"/>
      <c r="H1205" s="66"/>
      <c r="I1205" s="66"/>
      <c r="J1205" s="66"/>
      <c r="K1205" s="66"/>
      <c r="L1205" s="66"/>
      <c r="M1205" s="66"/>
      <c r="N1205" s="66"/>
    </row>
    <row r="1206" spans="1:14" x14ac:dyDescent="0.2">
      <c r="A1206" s="84"/>
      <c r="B1206" s="84"/>
      <c r="C1206" s="60"/>
      <c r="D1206" s="66"/>
      <c r="E1206" s="66"/>
      <c r="F1206" s="66"/>
      <c r="G1206" s="66"/>
      <c r="H1206" s="66"/>
      <c r="I1206" s="66"/>
      <c r="J1206" s="66"/>
      <c r="K1206" s="66"/>
      <c r="L1206" s="66"/>
      <c r="M1206" s="66"/>
      <c r="N1206" s="66"/>
    </row>
    <row r="1207" spans="1:14" x14ac:dyDescent="0.2">
      <c r="A1207" s="84"/>
      <c r="B1207" s="84"/>
      <c r="C1207" s="60"/>
      <c r="D1207" s="66"/>
      <c r="E1207" s="66"/>
      <c r="F1207" s="66"/>
      <c r="G1207" s="66"/>
      <c r="H1207" s="66"/>
      <c r="I1207" s="66"/>
      <c r="J1207" s="66"/>
      <c r="K1207" s="66"/>
      <c r="L1207" s="66"/>
      <c r="M1207" s="66"/>
      <c r="N1207" s="66"/>
    </row>
    <row r="1208" spans="1:14" x14ac:dyDescent="0.2">
      <c r="A1208" s="84"/>
      <c r="B1208" s="84"/>
      <c r="C1208" s="60"/>
      <c r="D1208" s="66"/>
      <c r="E1208" s="66"/>
      <c r="F1208" s="66"/>
      <c r="G1208" s="66"/>
      <c r="H1208" s="66"/>
      <c r="I1208" s="66"/>
      <c r="J1208" s="66"/>
      <c r="K1208" s="66"/>
      <c r="L1208" s="66"/>
      <c r="M1208" s="66"/>
      <c r="N1208" s="66"/>
    </row>
    <row r="1209" spans="1:14" x14ac:dyDescent="0.2">
      <c r="A1209" s="84"/>
      <c r="B1209" s="84"/>
      <c r="C1209" s="60"/>
      <c r="D1209" s="66"/>
      <c r="E1209" s="66"/>
      <c r="F1209" s="66"/>
      <c r="G1209" s="66"/>
      <c r="H1209" s="66"/>
      <c r="I1209" s="66"/>
      <c r="J1209" s="66"/>
      <c r="K1209" s="66"/>
      <c r="L1209" s="66"/>
      <c r="M1209" s="66"/>
      <c r="N1209" s="66"/>
    </row>
    <row r="1210" spans="1:14" x14ac:dyDescent="0.2">
      <c r="A1210" s="84"/>
      <c r="B1210" s="84"/>
      <c r="C1210" s="60"/>
      <c r="D1210" s="66"/>
      <c r="E1210" s="66"/>
      <c r="F1210" s="66"/>
      <c r="G1210" s="66"/>
      <c r="H1210" s="66"/>
      <c r="I1210" s="66"/>
      <c r="J1210" s="66"/>
      <c r="K1210" s="66"/>
      <c r="L1210" s="66"/>
      <c r="M1210" s="66"/>
      <c r="N1210" s="66"/>
    </row>
  </sheetData>
  <pageMargins left="0.25" right="0.25" top="0.75" bottom="0.75" header="0.3" footer="0.3"/>
  <pageSetup scale="79" fitToHeight="0" orientation="landscape" r:id="rId1"/>
  <headerFooter>
    <oddFooter>&amp;LRev &amp;D&amp;C&amp;P</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1211"/>
  <sheetViews>
    <sheetView topLeftCell="A181" workbookViewId="0">
      <selection sqref="A1:N217"/>
    </sheetView>
  </sheetViews>
  <sheetFormatPr defaultColWidth="9" defaultRowHeight="12.75" x14ac:dyDescent="0.2"/>
  <cols>
    <col min="1" max="1" width="39.375" style="59" customWidth="1"/>
    <col min="2" max="2" width="9.5" style="60" customWidth="1"/>
    <col min="3" max="4" width="9" style="84" customWidth="1"/>
    <col min="5" max="16384" width="9" style="84"/>
  </cols>
  <sheetData>
    <row r="1" spans="1:16" s="58" customFormat="1" ht="13.5" thickBot="1" x14ac:dyDescent="0.25">
      <c r="A1" s="67" t="str">
        <f>CMS!A1</f>
        <v>Northwest Youth Services Budget - 2018 - APPROVED BY BOARD NOV 30, 2017</v>
      </c>
      <c r="B1" s="79"/>
      <c r="C1" s="67"/>
      <c r="D1" s="67"/>
      <c r="E1" s="67"/>
      <c r="F1" s="67"/>
      <c r="G1" s="67"/>
      <c r="H1" s="67"/>
      <c r="I1" s="67"/>
      <c r="J1" s="67"/>
      <c r="K1" s="67"/>
      <c r="L1" s="67"/>
      <c r="M1" s="67"/>
      <c r="N1" s="67"/>
    </row>
    <row r="2" spans="1:16" s="58" customFormat="1" x14ac:dyDescent="0.2">
      <c r="A2" s="80"/>
      <c r="B2" s="81"/>
    </row>
    <row r="3" spans="1:16" s="58" customFormat="1" x14ac:dyDescent="0.2">
      <c r="A3" s="81" t="s">
        <v>235</v>
      </c>
      <c r="B3" s="81"/>
    </row>
    <row r="5" spans="1:16" s="70" customFormat="1" ht="13.5" thickBot="1" x14ac:dyDescent="0.25">
      <c r="A5" s="82" t="s">
        <v>143</v>
      </c>
      <c r="B5" s="83" t="s">
        <v>144</v>
      </c>
      <c r="C5" s="83" t="str">
        <f>CMS!C5</f>
        <v>January</v>
      </c>
      <c r="D5" s="83" t="str">
        <f>CMS!D5</f>
        <v>February</v>
      </c>
      <c r="E5" s="83" t="str">
        <f>CMS!E5</f>
        <v>March</v>
      </c>
      <c r="F5" s="83" t="str">
        <f>CMS!F5</f>
        <v>April</v>
      </c>
      <c r="G5" s="83" t="str">
        <f>CMS!G5</f>
        <v>May</v>
      </c>
      <c r="H5" s="83" t="str">
        <f>CMS!H5</f>
        <v>June</v>
      </c>
      <c r="I5" s="83" t="str">
        <f>CMS!I5</f>
        <v>July</v>
      </c>
      <c r="J5" s="83" t="str">
        <f>CMS!J5</f>
        <v>August</v>
      </c>
      <c r="K5" s="83" t="str">
        <f>CMS!K5</f>
        <v>September</v>
      </c>
      <c r="L5" s="83" t="str">
        <f>CMS!L5</f>
        <v>October</v>
      </c>
      <c r="M5" s="83" t="str">
        <f>CMS!M5</f>
        <v>November</v>
      </c>
      <c r="N5" s="83" t="str">
        <f>CMS!N5</f>
        <v>December</v>
      </c>
    </row>
    <row r="6" spans="1:16" s="70" customFormat="1" x14ac:dyDescent="0.2">
      <c r="A6" s="28"/>
      <c r="B6" s="86"/>
      <c r="C6" s="86"/>
      <c r="D6" s="26"/>
      <c r="E6" s="26"/>
      <c r="F6" s="26"/>
      <c r="G6" s="26"/>
      <c r="H6" s="26"/>
      <c r="I6" s="26"/>
      <c r="J6" s="26"/>
      <c r="K6" s="26"/>
      <c r="L6" s="26"/>
      <c r="M6" s="26"/>
      <c r="N6" s="26"/>
    </row>
    <row r="7" spans="1:16" s="70" customFormat="1" x14ac:dyDescent="0.2">
      <c r="A7" s="58" t="s">
        <v>14</v>
      </c>
      <c r="B7" s="60"/>
      <c r="C7" s="60"/>
      <c r="D7" s="94"/>
      <c r="E7" s="94"/>
      <c r="F7" s="94"/>
      <c r="G7" s="94"/>
      <c r="H7" s="94"/>
      <c r="I7" s="94"/>
      <c r="J7" s="94"/>
      <c r="K7" s="94"/>
      <c r="L7" s="94"/>
      <c r="M7" s="94"/>
      <c r="N7" s="94"/>
    </row>
    <row r="8" spans="1:16" x14ac:dyDescent="0.2">
      <c r="A8" s="90" t="s">
        <v>331</v>
      </c>
      <c r="B8" s="419">
        <f>SUM(C8:N8)</f>
        <v>25899.999999999996</v>
      </c>
      <c r="C8" s="93">
        <f>SUM(25900/12)</f>
        <v>2158.3333333333335</v>
      </c>
      <c r="D8" s="93">
        <f t="shared" ref="D8:N8" si="0">SUM(25900/12)</f>
        <v>2158.3333333333335</v>
      </c>
      <c r="E8" s="93">
        <f t="shared" si="0"/>
        <v>2158.3333333333335</v>
      </c>
      <c r="F8" s="93">
        <f t="shared" si="0"/>
        <v>2158.3333333333335</v>
      </c>
      <c r="G8" s="93">
        <f t="shared" si="0"/>
        <v>2158.3333333333335</v>
      </c>
      <c r="H8" s="93">
        <f t="shared" si="0"/>
        <v>2158.3333333333335</v>
      </c>
      <c r="I8" s="93">
        <f t="shared" si="0"/>
        <v>2158.3333333333335</v>
      </c>
      <c r="J8" s="93">
        <f t="shared" si="0"/>
        <v>2158.3333333333335</v>
      </c>
      <c r="K8" s="93">
        <f t="shared" si="0"/>
        <v>2158.3333333333335</v>
      </c>
      <c r="L8" s="93">
        <f t="shared" si="0"/>
        <v>2158.3333333333335</v>
      </c>
      <c r="M8" s="93">
        <f t="shared" si="0"/>
        <v>2158.3333333333335</v>
      </c>
      <c r="N8" s="93">
        <f t="shared" si="0"/>
        <v>2158.3333333333335</v>
      </c>
      <c r="O8" s="362"/>
      <c r="P8" s="101"/>
    </row>
    <row r="9" spans="1:16" x14ac:dyDescent="0.2">
      <c r="A9" s="61" t="s">
        <v>521</v>
      </c>
      <c r="B9" s="63">
        <f>SUM(C9:N9)</f>
        <v>14887.5</v>
      </c>
      <c r="C9" s="62">
        <f>SUM(29775/12)</f>
        <v>2481.25</v>
      </c>
      <c r="D9" s="62">
        <f t="shared" ref="D9:H9" si="1">SUM(29775/12)</f>
        <v>2481.25</v>
      </c>
      <c r="E9" s="62">
        <f t="shared" si="1"/>
        <v>2481.25</v>
      </c>
      <c r="F9" s="62">
        <f t="shared" si="1"/>
        <v>2481.25</v>
      </c>
      <c r="G9" s="62">
        <f t="shared" si="1"/>
        <v>2481.25</v>
      </c>
      <c r="H9" s="62">
        <f t="shared" si="1"/>
        <v>2481.25</v>
      </c>
      <c r="I9" s="62"/>
      <c r="J9" s="93"/>
      <c r="K9" s="93"/>
      <c r="L9" s="93"/>
      <c r="M9" s="93"/>
      <c r="N9" s="93"/>
      <c r="O9" s="363"/>
      <c r="P9" s="364"/>
    </row>
    <row r="10" spans="1:16" hidden="1" x14ac:dyDescent="0.2">
      <c r="A10" s="61" t="s">
        <v>145</v>
      </c>
      <c r="B10" s="63">
        <f t="shared" ref="B10:B44" si="2">SUM(C10:N10)</f>
        <v>0</v>
      </c>
      <c r="C10" s="62"/>
      <c r="D10" s="62"/>
      <c r="E10" s="62"/>
      <c r="F10" s="62"/>
      <c r="G10" s="62"/>
      <c r="H10" s="62"/>
      <c r="I10" s="62"/>
      <c r="J10" s="62"/>
      <c r="K10" s="62"/>
      <c r="L10" s="62"/>
      <c r="M10" s="62"/>
      <c r="N10" s="62"/>
    </row>
    <row r="11" spans="1:16" hidden="1" x14ac:dyDescent="0.2">
      <c r="A11" s="61" t="s">
        <v>145</v>
      </c>
      <c r="B11" s="63">
        <f t="shared" si="2"/>
        <v>0</v>
      </c>
      <c r="C11" s="62"/>
      <c r="D11" s="62"/>
      <c r="E11" s="62"/>
      <c r="F11" s="62"/>
      <c r="G11" s="62"/>
      <c r="H11" s="62"/>
      <c r="I11" s="62"/>
      <c r="J11" s="93"/>
      <c r="K11" s="93"/>
      <c r="L11" s="93"/>
      <c r="M11" s="93"/>
      <c r="N11" s="93"/>
    </row>
    <row r="12" spans="1:16" hidden="1" x14ac:dyDescent="0.2">
      <c r="A12" s="61" t="s">
        <v>145</v>
      </c>
      <c r="B12" s="63">
        <f t="shared" si="2"/>
        <v>0</v>
      </c>
      <c r="C12" s="62"/>
      <c r="D12" s="62"/>
      <c r="E12" s="62"/>
      <c r="F12" s="62"/>
      <c r="G12" s="62"/>
      <c r="H12" s="62"/>
      <c r="I12" s="62"/>
      <c r="J12" s="93"/>
      <c r="K12" s="93"/>
      <c r="L12" s="93"/>
      <c r="M12" s="93"/>
      <c r="N12" s="93"/>
    </row>
    <row r="13" spans="1:16" hidden="1" x14ac:dyDescent="0.2">
      <c r="A13" s="61" t="s">
        <v>145</v>
      </c>
      <c r="B13" s="63">
        <f t="shared" si="2"/>
        <v>0</v>
      </c>
      <c r="C13" s="62"/>
      <c r="D13" s="62"/>
      <c r="E13" s="62"/>
      <c r="F13" s="62"/>
      <c r="G13" s="62"/>
      <c r="H13" s="62"/>
      <c r="I13" s="62"/>
      <c r="J13" s="62"/>
      <c r="K13" s="62"/>
      <c r="L13" s="62"/>
      <c r="M13" s="62"/>
      <c r="N13" s="62"/>
    </row>
    <row r="14" spans="1:16" hidden="1" x14ac:dyDescent="0.2">
      <c r="A14" s="61" t="s">
        <v>145</v>
      </c>
      <c r="B14" s="63">
        <f t="shared" si="2"/>
        <v>0</v>
      </c>
      <c r="C14" s="62"/>
      <c r="D14" s="62"/>
      <c r="E14" s="62"/>
      <c r="F14" s="62"/>
      <c r="G14" s="62"/>
      <c r="H14" s="62"/>
      <c r="I14" s="62"/>
      <c r="J14" s="62"/>
      <c r="K14" s="62"/>
      <c r="L14" s="62"/>
      <c r="M14" s="62"/>
      <c r="N14" s="62"/>
    </row>
    <row r="15" spans="1:16" hidden="1" x14ac:dyDescent="0.2">
      <c r="A15" s="61" t="s">
        <v>145</v>
      </c>
      <c r="B15" s="63">
        <f t="shared" si="2"/>
        <v>0</v>
      </c>
      <c r="C15" s="62"/>
      <c r="D15" s="62"/>
      <c r="E15" s="62"/>
      <c r="F15" s="62"/>
      <c r="G15" s="62"/>
      <c r="H15" s="62"/>
      <c r="I15" s="62"/>
      <c r="J15" s="62"/>
      <c r="K15" s="62"/>
      <c r="L15" s="62"/>
      <c r="M15" s="62"/>
      <c r="N15" s="62"/>
    </row>
    <row r="16" spans="1:16" hidden="1" x14ac:dyDescent="0.2">
      <c r="A16" s="61" t="s">
        <v>145</v>
      </c>
      <c r="B16" s="63">
        <f t="shared" si="2"/>
        <v>0</v>
      </c>
      <c r="C16" s="62"/>
      <c r="D16" s="62"/>
      <c r="E16" s="62"/>
      <c r="F16" s="62"/>
      <c r="G16" s="62"/>
      <c r="H16" s="62"/>
      <c r="I16" s="62"/>
      <c r="J16" s="62"/>
      <c r="K16" s="62"/>
      <c r="L16" s="62"/>
      <c r="M16" s="62"/>
      <c r="N16" s="62"/>
    </row>
    <row r="17" spans="1:14" hidden="1" x14ac:dyDescent="0.2">
      <c r="A17" s="61" t="s">
        <v>145</v>
      </c>
      <c r="B17" s="63">
        <f t="shared" si="2"/>
        <v>0</v>
      </c>
      <c r="C17" s="62"/>
      <c r="D17" s="62"/>
      <c r="E17" s="62"/>
      <c r="F17" s="62"/>
      <c r="G17" s="62"/>
      <c r="H17" s="62"/>
      <c r="I17" s="62"/>
      <c r="J17" s="62"/>
      <c r="K17" s="62"/>
      <c r="L17" s="62"/>
      <c r="M17" s="62"/>
      <c r="N17" s="62"/>
    </row>
    <row r="18" spans="1:14" hidden="1" x14ac:dyDescent="0.2">
      <c r="A18" s="61" t="s">
        <v>145</v>
      </c>
      <c r="B18" s="63">
        <f t="shared" si="2"/>
        <v>0</v>
      </c>
      <c r="C18" s="62"/>
      <c r="D18" s="62"/>
      <c r="E18" s="62"/>
      <c r="F18" s="62"/>
      <c r="G18" s="62"/>
      <c r="H18" s="62"/>
      <c r="I18" s="62"/>
      <c r="J18" s="62"/>
      <c r="K18" s="62"/>
      <c r="L18" s="62"/>
      <c r="M18" s="62"/>
      <c r="N18" s="62"/>
    </row>
    <row r="19" spans="1:14" hidden="1" x14ac:dyDescent="0.2">
      <c r="A19" s="61" t="s">
        <v>145</v>
      </c>
      <c r="B19" s="63">
        <f t="shared" si="2"/>
        <v>0</v>
      </c>
      <c r="C19" s="62"/>
      <c r="D19" s="62"/>
      <c r="E19" s="62"/>
      <c r="F19" s="62"/>
      <c r="G19" s="62"/>
      <c r="H19" s="62"/>
      <c r="I19" s="62"/>
      <c r="J19" s="62"/>
      <c r="K19" s="62"/>
      <c r="L19" s="62"/>
      <c r="M19" s="62"/>
      <c r="N19" s="62"/>
    </row>
    <row r="20" spans="1:14" hidden="1" x14ac:dyDescent="0.2">
      <c r="A20" s="61" t="s">
        <v>145</v>
      </c>
      <c r="B20" s="63">
        <f t="shared" si="2"/>
        <v>0</v>
      </c>
      <c r="C20" s="62"/>
      <c r="D20" s="62"/>
      <c r="E20" s="62"/>
      <c r="F20" s="62"/>
      <c r="G20" s="62"/>
      <c r="H20" s="62"/>
      <c r="I20" s="62"/>
      <c r="J20" s="62"/>
      <c r="K20" s="62"/>
      <c r="L20" s="62"/>
      <c r="M20" s="62"/>
      <c r="N20" s="62"/>
    </row>
    <row r="21" spans="1:14" hidden="1" x14ac:dyDescent="0.2">
      <c r="A21" s="61" t="s">
        <v>145</v>
      </c>
      <c r="B21" s="63">
        <f t="shared" si="2"/>
        <v>0</v>
      </c>
      <c r="C21" s="62"/>
      <c r="D21" s="62"/>
      <c r="E21" s="62"/>
      <c r="F21" s="62"/>
      <c r="G21" s="62"/>
      <c r="H21" s="62"/>
      <c r="I21" s="62"/>
      <c r="J21" s="62"/>
      <c r="K21" s="62"/>
      <c r="L21" s="62"/>
      <c r="M21" s="62"/>
      <c r="N21" s="62"/>
    </row>
    <row r="22" spans="1:14" hidden="1" x14ac:dyDescent="0.2">
      <c r="A22" s="61" t="s">
        <v>145</v>
      </c>
      <c r="B22" s="63">
        <f t="shared" si="2"/>
        <v>0</v>
      </c>
      <c r="C22" s="62"/>
      <c r="D22" s="62"/>
      <c r="E22" s="62"/>
      <c r="F22" s="62"/>
      <c r="G22" s="62"/>
      <c r="H22" s="62"/>
      <c r="I22" s="62"/>
      <c r="J22" s="62"/>
      <c r="K22" s="62"/>
      <c r="L22" s="62"/>
      <c r="M22" s="62"/>
      <c r="N22" s="62"/>
    </row>
    <row r="23" spans="1:14" x14ac:dyDescent="0.2">
      <c r="A23" s="90" t="s">
        <v>374</v>
      </c>
      <c r="B23" s="63">
        <f t="shared" si="2"/>
        <v>0</v>
      </c>
      <c r="C23" s="62"/>
      <c r="D23" s="62"/>
      <c r="E23" s="62"/>
      <c r="F23" s="62"/>
      <c r="G23" s="62"/>
      <c r="H23" s="62"/>
      <c r="I23" s="62"/>
      <c r="J23" s="62"/>
      <c r="K23" s="62"/>
      <c r="L23" s="62"/>
      <c r="M23" s="62"/>
      <c r="N23" s="62"/>
    </row>
    <row r="24" spans="1:14" x14ac:dyDescent="0.2">
      <c r="A24" s="90" t="s">
        <v>332</v>
      </c>
      <c r="B24" s="63">
        <f t="shared" si="2"/>
        <v>10000</v>
      </c>
      <c r="C24" s="62"/>
      <c r="D24" s="62"/>
      <c r="E24" s="62"/>
      <c r="F24" s="62"/>
      <c r="G24" s="62">
        <v>10000</v>
      </c>
      <c r="H24" s="62"/>
      <c r="I24" s="62"/>
      <c r="J24" s="62"/>
      <c r="K24" s="62"/>
      <c r="L24" s="62"/>
      <c r="M24" s="62"/>
      <c r="N24" s="62"/>
    </row>
    <row r="25" spans="1:14" x14ac:dyDescent="0.2">
      <c r="A25" s="90" t="s">
        <v>333</v>
      </c>
      <c r="B25" s="419">
        <f t="shared" si="2"/>
        <v>0</v>
      </c>
      <c r="C25" s="93"/>
      <c r="D25" s="93"/>
      <c r="E25" s="93"/>
      <c r="F25" s="93"/>
      <c r="G25" s="93"/>
      <c r="H25" s="93"/>
      <c r="I25" s="93"/>
      <c r="J25" s="93"/>
      <c r="K25" s="361"/>
      <c r="L25" s="361"/>
      <c r="M25" s="361"/>
      <c r="N25" s="361"/>
    </row>
    <row r="26" spans="1:14" x14ac:dyDescent="0.2">
      <c r="A26" s="90" t="s">
        <v>523</v>
      </c>
      <c r="B26" s="419">
        <f t="shared" si="2"/>
        <v>0</v>
      </c>
      <c r="C26" s="93"/>
      <c r="D26" s="93"/>
      <c r="E26" s="93"/>
      <c r="F26" s="93"/>
      <c r="G26" s="93"/>
      <c r="H26" s="93"/>
      <c r="I26" s="93"/>
      <c r="J26" s="93"/>
      <c r="K26" s="93"/>
      <c r="L26" s="62"/>
      <c r="M26" s="62"/>
      <c r="N26" s="62"/>
    </row>
    <row r="27" spans="1:14" x14ac:dyDescent="0.2">
      <c r="A27" s="90" t="s">
        <v>522</v>
      </c>
      <c r="B27" s="419">
        <f t="shared" si="2"/>
        <v>10000</v>
      </c>
      <c r="C27" s="93"/>
      <c r="D27" s="93"/>
      <c r="E27" s="93">
        <f>10000/6</f>
        <v>1666.6666666666667</v>
      </c>
      <c r="F27" s="93">
        <f>10000/6</f>
        <v>1666.6666666666667</v>
      </c>
      <c r="G27" s="93">
        <f t="shared" ref="G27:J27" si="3">10000/6</f>
        <v>1666.6666666666667</v>
      </c>
      <c r="H27" s="93">
        <f t="shared" si="3"/>
        <v>1666.6666666666667</v>
      </c>
      <c r="I27" s="93">
        <f t="shared" si="3"/>
        <v>1666.6666666666667</v>
      </c>
      <c r="J27" s="93">
        <f t="shared" si="3"/>
        <v>1666.6666666666667</v>
      </c>
      <c r="K27" s="93"/>
      <c r="L27" s="93"/>
      <c r="M27" s="93"/>
      <c r="N27" s="93"/>
    </row>
    <row r="28" spans="1:14" hidden="1" x14ac:dyDescent="0.2">
      <c r="A28" s="90" t="s">
        <v>146</v>
      </c>
      <c r="B28" s="419">
        <f t="shared" si="2"/>
        <v>0</v>
      </c>
      <c r="C28" s="93"/>
      <c r="D28" s="93"/>
      <c r="E28" s="93"/>
      <c r="F28" s="93"/>
      <c r="G28" s="93"/>
      <c r="H28" s="93"/>
      <c r="I28" s="93"/>
      <c r="J28" s="93"/>
      <c r="K28" s="93"/>
      <c r="L28" s="62"/>
      <c r="M28" s="62"/>
      <c r="N28" s="62"/>
    </row>
    <row r="29" spans="1:14" hidden="1" x14ac:dyDescent="0.2">
      <c r="A29" s="90" t="s">
        <v>146</v>
      </c>
      <c r="B29" s="419">
        <f t="shared" si="2"/>
        <v>0</v>
      </c>
      <c r="C29" s="93"/>
      <c r="D29" s="93"/>
      <c r="E29" s="93"/>
      <c r="F29" s="93"/>
      <c r="G29" s="93"/>
      <c r="H29" s="93"/>
      <c r="I29" s="93"/>
      <c r="J29" s="93"/>
      <c r="K29" s="93"/>
      <c r="L29" s="62"/>
      <c r="M29" s="62"/>
      <c r="N29" s="62"/>
    </row>
    <row r="30" spans="1:14" hidden="1" x14ac:dyDescent="0.2">
      <c r="A30" s="90" t="s">
        <v>146</v>
      </c>
      <c r="B30" s="419">
        <f t="shared" si="2"/>
        <v>0</v>
      </c>
      <c r="C30" s="93"/>
      <c r="D30" s="93"/>
      <c r="E30" s="93"/>
      <c r="F30" s="93"/>
      <c r="G30" s="93"/>
      <c r="H30" s="93"/>
      <c r="I30" s="93"/>
      <c r="J30" s="93"/>
      <c r="K30" s="93"/>
      <c r="L30" s="62"/>
      <c r="M30" s="62"/>
      <c r="N30" s="62"/>
    </row>
    <row r="31" spans="1:14" hidden="1" x14ac:dyDescent="0.2">
      <c r="A31" s="90" t="s">
        <v>146</v>
      </c>
      <c r="B31" s="419">
        <f t="shared" si="2"/>
        <v>0</v>
      </c>
      <c r="C31" s="93"/>
      <c r="D31" s="93"/>
      <c r="E31" s="93"/>
      <c r="F31" s="93"/>
      <c r="G31" s="93"/>
      <c r="H31" s="93"/>
      <c r="I31" s="93"/>
      <c r="J31" s="93"/>
      <c r="K31" s="93"/>
      <c r="L31" s="62"/>
      <c r="M31" s="62"/>
      <c r="N31" s="62"/>
    </row>
    <row r="32" spans="1:14" hidden="1" x14ac:dyDescent="0.2">
      <c r="A32" s="90" t="s">
        <v>146</v>
      </c>
      <c r="B32" s="419">
        <f t="shared" si="2"/>
        <v>0</v>
      </c>
      <c r="C32" s="93"/>
      <c r="D32" s="93"/>
      <c r="E32" s="93"/>
      <c r="F32" s="93"/>
      <c r="G32" s="93"/>
      <c r="H32" s="93"/>
      <c r="I32" s="93"/>
      <c r="J32" s="93"/>
      <c r="K32" s="93"/>
      <c r="L32" s="62"/>
      <c r="M32" s="62"/>
      <c r="N32" s="62"/>
    </row>
    <row r="33" spans="1:14" hidden="1" x14ac:dyDescent="0.2">
      <c r="A33" s="90" t="s">
        <v>146</v>
      </c>
      <c r="B33" s="419">
        <f t="shared" si="2"/>
        <v>0</v>
      </c>
      <c r="C33" s="93"/>
      <c r="D33" s="93"/>
      <c r="E33" s="93"/>
      <c r="F33" s="93"/>
      <c r="G33" s="93"/>
      <c r="H33" s="93"/>
      <c r="I33" s="93"/>
      <c r="J33" s="93"/>
      <c r="K33" s="93"/>
      <c r="L33" s="62"/>
      <c r="M33" s="62"/>
      <c r="N33" s="62"/>
    </row>
    <row r="34" spans="1:14" hidden="1" x14ac:dyDescent="0.2">
      <c r="A34" s="90" t="s">
        <v>146</v>
      </c>
      <c r="B34" s="419">
        <f t="shared" si="2"/>
        <v>0</v>
      </c>
      <c r="C34" s="93"/>
      <c r="D34" s="93"/>
      <c r="E34" s="93"/>
      <c r="F34" s="93"/>
      <c r="G34" s="93"/>
      <c r="H34" s="93"/>
      <c r="I34" s="93"/>
      <c r="J34" s="93"/>
      <c r="K34" s="93"/>
      <c r="L34" s="62"/>
      <c r="M34" s="62"/>
      <c r="N34" s="62"/>
    </row>
    <row r="35" spans="1:14" hidden="1" x14ac:dyDescent="0.2">
      <c r="A35" s="90" t="s">
        <v>146</v>
      </c>
      <c r="B35" s="419">
        <f t="shared" si="2"/>
        <v>0</v>
      </c>
      <c r="C35" s="93"/>
      <c r="D35" s="93"/>
      <c r="E35" s="93"/>
      <c r="F35" s="93"/>
      <c r="G35" s="93"/>
      <c r="H35" s="93"/>
      <c r="I35" s="93"/>
      <c r="J35" s="93"/>
      <c r="K35" s="93"/>
      <c r="L35" s="62"/>
      <c r="M35" s="62"/>
      <c r="N35" s="62"/>
    </row>
    <row r="36" spans="1:14" hidden="1" x14ac:dyDescent="0.2">
      <c r="A36" s="90" t="s">
        <v>146</v>
      </c>
      <c r="B36" s="419">
        <f t="shared" si="2"/>
        <v>0</v>
      </c>
      <c r="C36" s="93"/>
      <c r="D36" s="93"/>
      <c r="E36" s="93"/>
      <c r="F36" s="93"/>
      <c r="G36" s="93"/>
      <c r="H36" s="93"/>
      <c r="I36" s="93"/>
      <c r="J36" s="93"/>
      <c r="K36" s="93"/>
      <c r="L36" s="62"/>
      <c r="M36" s="62"/>
      <c r="N36" s="62"/>
    </row>
    <row r="37" spans="1:14" x14ac:dyDescent="0.2">
      <c r="A37" s="90" t="s">
        <v>413</v>
      </c>
      <c r="B37" s="419">
        <f t="shared" si="2"/>
        <v>2500</v>
      </c>
      <c r="C37" s="93"/>
      <c r="D37" s="93"/>
      <c r="E37" s="93"/>
      <c r="F37" s="93"/>
      <c r="G37" s="93"/>
      <c r="H37" s="93"/>
      <c r="I37" s="93">
        <v>2500</v>
      </c>
      <c r="J37" s="93"/>
      <c r="K37" s="93"/>
      <c r="L37" s="62"/>
      <c r="M37" s="62"/>
      <c r="N37" s="62"/>
    </row>
    <row r="38" spans="1:14" hidden="1" x14ac:dyDescent="0.2">
      <c r="A38" s="90" t="s">
        <v>146</v>
      </c>
      <c r="B38" s="419">
        <f t="shared" si="2"/>
        <v>0</v>
      </c>
      <c r="C38" s="93"/>
      <c r="D38" s="93"/>
      <c r="E38" s="93"/>
      <c r="F38" s="93"/>
      <c r="G38" s="93"/>
      <c r="H38" s="93"/>
      <c r="I38" s="93"/>
      <c r="J38" s="93"/>
      <c r="K38" s="93"/>
      <c r="L38" s="62"/>
      <c r="M38" s="62"/>
      <c r="N38" s="62"/>
    </row>
    <row r="39" spans="1:14" x14ac:dyDescent="0.2">
      <c r="A39" s="61" t="s">
        <v>16</v>
      </c>
      <c r="B39" s="63">
        <f t="shared" si="2"/>
        <v>0</v>
      </c>
      <c r="C39" s="62"/>
      <c r="D39" s="62"/>
      <c r="E39" s="62"/>
      <c r="F39" s="62"/>
      <c r="G39" s="62"/>
      <c r="H39" s="62"/>
      <c r="I39" s="62"/>
      <c r="J39" s="62"/>
      <c r="K39" s="62"/>
      <c r="L39" s="62"/>
      <c r="M39" s="62"/>
      <c r="N39" s="62"/>
    </row>
    <row r="40" spans="1:14" x14ac:dyDescent="0.2">
      <c r="A40" s="61" t="s">
        <v>17</v>
      </c>
      <c r="B40" s="63">
        <f t="shared" si="2"/>
        <v>0</v>
      </c>
      <c r="C40" s="62"/>
      <c r="D40" s="62"/>
      <c r="E40" s="62"/>
      <c r="F40" s="62"/>
      <c r="G40" s="62"/>
      <c r="H40" s="62"/>
      <c r="I40" s="62"/>
      <c r="J40" s="62"/>
      <c r="K40" s="62"/>
      <c r="L40" s="62"/>
      <c r="M40" s="62"/>
      <c r="N40" s="62"/>
    </row>
    <row r="41" spans="1:14" x14ac:dyDescent="0.2">
      <c r="A41" s="61" t="s">
        <v>147</v>
      </c>
      <c r="B41" s="63">
        <f t="shared" si="2"/>
        <v>1500</v>
      </c>
      <c r="C41" s="62">
        <v>125</v>
      </c>
      <c r="D41" s="62">
        <v>125</v>
      </c>
      <c r="E41" s="62">
        <v>125</v>
      </c>
      <c r="F41" s="62">
        <v>125</v>
      </c>
      <c r="G41" s="62">
        <v>125</v>
      </c>
      <c r="H41" s="62">
        <v>125</v>
      </c>
      <c r="I41" s="62">
        <v>125</v>
      </c>
      <c r="J41" s="62">
        <v>125</v>
      </c>
      <c r="K41" s="62">
        <v>125</v>
      </c>
      <c r="L41" s="62">
        <v>125</v>
      </c>
      <c r="M41" s="62">
        <v>125</v>
      </c>
      <c r="N41" s="62">
        <v>125</v>
      </c>
    </row>
    <row r="42" spans="1:14" x14ac:dyDescent="0.2">
      <c r="A42" s="61" t="s">
        <v>148</v>
      </c>
      <c r="B42" s="63">
        <f t="shared" si="2"/>
        <v>0</v>
      </c>
      <c r="C42" s="62"/>
      <c r="D42" s="62"/>
      <c r="E42" s="62"/>
      <c r="F42" s="62"/>
      <c r="G42" s="62"/>
      <c r="H42" s="62"/>
      <c r="I42" s="62"/>
      <c r="J42" s="62"/>
      <c r="K42" s="62"/>
      <c r="L42" s="62"/>
      <c r="M42" s="62"/>
      <c r="N42" s="62"/>
    </row>
    <row r="43" spans="1:14" x14ac:dyDescent="0.2">
      <c r="A43" s="61" t="s">
        <v>149</v>
      </c>
      <c r="B43" s="63">
        <f t="shared" si="2"/>
        <v>0</v>
      </c>
      <c r="C43" s="62"/>
      <c r="D43" s="62"/>
      <c r="E43" s="62"/>
      <c r="F43" s="62"/>
      <c r="G43" s="62"/>
      <c r="H43" s="62"/>
      <c r="I43" s="62"/>
      <c r="J43" s="62"/>
      <c r="K43" s="62"/>
      <c r="L43" s="62"/>
      <c r="M43" s="62"/>
      <c r="N43" s="62"/>
    </row>
    <row r="44" spans="1:14" x14ac:dyDescent="0.2">
      <c r="A44" s="61" t="s">
        <v>150</v>
      </c>
      <c r="B44" s="63">
        <f t="shared" si="2"/>
        <v>0</v>
      </c>
      <c r="C44" s="62"/>
      <c r="D44" s="62"/>
      <c r="E44" s="62"/>
      <c r="F44" s="62"/>
      <c r="G44" s="62"/>
      <c r="H44" s="62"/>
      <c r="I44" s="62"/>
      <c r="J44" s="62"/>
      <c r="K44" s="62"/>
      <c r="L44" s="62"/>
      <c r="M44" s="62"/>
      <c r="N44" s="62"/>
    </row>
    <row r="45" spans="1:14" ht="13.5" thickBot="1" x14ac:dyDescent="0.25">
      <c r="A45" s="61" t="s">
        <v>18</v>
      </c>
      <c r="B45" s="63">
        <f>SUM(C45:N45)</f>
        <v>0</v>
      </c>
      <c r="C45" s="62"/>
      <c r="D45" s="62"/>
      <c r="E45" s="62"/>
      <c r="F45" s="62"/>
      <c r="G45" s="62"/>
      <c r="H45" s="62"/>
      <c r="I45" s="62"/>
      <c r="J45" s="62"/>
      <c r="K45" s="62"/>
      <c r="L45" s="62"/>
      <c r="M45" s="62"/>
      <c r="N45" s="62"/>
    </row>
    <row r="46" spans="1:14" x14ac:dyDescent="0.2">
      <c r="A46" s="64" t="s">
        <v>151</v>
      </c>
      <c r="B46" s="65">
        <f t="shared" ref="B46:N46" si="4">SUM(B8:B45)</f>
        <v>64787.5</v>
      </c>
      <c r="C46" s="65">
        <f t="shared" si="4"/>
        <v>4764.5833333333339</v>
      </c>
      <c r="D46" s="65">
        <f t="shared" si="4"/>
        <v>4764.5833333333339</v>
      </c>
      <c r="E46" s="65">
        <f t="shared" si="4"/>
        <v>6431.2500000000009</v>
      </c>
      <c r="F46" s="65">
        <f t="shared" si="4"/>
        <v>6431.2500000000009</v>
      </c>
      <c r="G46" s="65">
        <f t="shared" si="4"/>
        <v>16431.25</v>
      </c>
      <c r="H46" s="65">
        <f t="shared" si="4"/>
        <v>6431.2500000000009</v>
      </c>
      <c r="I46" s="65">
        <f t="shared" si="4"/>
        <v>6450</v>
      </c>
      <c r="J46" s="65">
        <f t="shared" si="4"/>
        <v>3950</v>
      </c>
      <c r="K46" s="65">
        <f t="shared" si="4"/>
        <v>2283.3333333333335</v>
      </c>
      <c r="L46" s="65">
        <f t="shared" si="4"/>
        <v>2283.3333333333335</v>
      </c>
      <c r="M46" s="65">
        <f t="shared" si="4"/>
        <v>2283.3333333333335</v>
      </c>
      <c r="N46" s="65">
        <f t="shared" si="4"/>
        <v>2283.3333333333335</v>
      </c>
    </row>
    <row r="47" spans="1:14" x14ac:dyDescent="0.2">
      <c r="C47" s="60"/>
      <c r="D47" s="66"/>
      <c r="E47" s="66"/>
      <c r="F47" s="66"/>
      <c r="G47" s="66"/>
      <c r="H47" s="66"/>
      <c r="I47" s="66"/>
      <c r="J47" s="66"/>
      <c r="K47" s="66"/>
      <c r="L47" s="66"/>
      <c r="M47" s="66"/>
      <c r="N47" s="66"/>
    </row>
    <row r="48" spans="1:14" x14ac:dyDescent="0.2">
      <c r="A48" s="58"/>
      <c r="C48" s="60"/>
      <c r="D48" s="100"/>
      <c r="E48" s="100"/>
      <c r="F48" s="100"/>
      <c r="G48" s="100"/>
      <c r="H48" s="100"/>
      <c r="I48" s="100"/>
      <c r="J48" s="100"/>
      <c r="K48" s="100"/>
      <c r="L48" s="100"/>
      <c r="M48" s="100"/>
      <c r="N48" s="100"/>
    </row>
    <row r="49" spans="1:15" x14ac:dyDescent="0.2">
      <c r="A49" s="58" t="s">
        <v>152</v>
      </c>
      <c r="B49" s="85"/>
      <c r="C49" s="85"/>
      <c r="D49" s="85"/>
      <c r="E49" s="85"/>
      <c r="F49" s="85"/>
      <c r="G49" s="85"/>
      <c r="H49" s="85"/>
      <c r="I49" s="85"/>
      <c r="J49" s="85"/>
      <c r="K49" s="85"/>
      <c r="L49" s="85"/>
      <c r="M49" s="85"/>
      <c r="N49" s="85"/>
    </row>
    <row r="50" spans="1:15" x14ac:dyDescent="0.2">
      <c r="A50" s="61" t="s">
        <v>153</v>
      </c>
      <c r="B50" s="63">
        <f>SUM(C50:N50)</f>
        <v>43548.015599999992</v>
      </c>
      <c r="C50" s="62">
        <f>SUM(C214)</f>
        <v>3340.5962999999997</v>
      </c>
      <c r="D50" s="62">
        <f t="shared" ref="D50:N52" si="5">SUM(D214)</f>
        <v>3340.5962999999997</v>
      </c>
      <c r="E50" s="62">
        <f t="shared" si="5"/>
        <v>3340.5962999999997</v>
      </c>
      <c r="F50" s="62">
        <f t="shared" si="5"/>
        <v>3340.5962999999997</v>
      </c>
      <c r="G50" s="62">
        <f t="shared" si="5"/>
        <v>3340.5962999999997</v>
      </c>
      <c r="H50" s="62">
        <f t="shared" si="5"/>
        <v>5005.7762999999995</v>
      </c>
      <c r="I50" s="62">
        <f t="shared" si="5"/>
        <v>4699.9712999999992</v>
      </c>
      <c r="J50" s="62">
        <f t="shared" si="5"/>
        <v>4699.9712999999992</v>
      </c>
      <c r="K50" s="62">
        <f t="shared" si="5"/>
        <v>3184.8662999999997</v>
      </c>
      <c r="L50" s="62">
        <f t="shared" si="5"/>
        <v>3184.8662999999997</v>
      </c>
      <c r="M50" s="62">
        <f t="shared" si="5"/>
        <v>3034.7912999999999</v>
      </c>
      <c r="N50" s="62">
        <f t="shared" si="5"/>
        <v>3034.7912999999999</v>
      </c>
    </row>
    <row r="51" spans="1:15" x14ac:dyDescent="0.2">
      <c r="A51" s="61" t="s">
        <v>22</v>
      </c>
      <c r="B51" s="63">
        <f>SUM(C51:N51)</f>
        <v>3787.7909309999995</v>
      </c>
      <c r="C51" s="62">
        <f>SUM(C215)</f>
        <v>289.75621724999996</v>
      </c>
      <c r="D51" s="62">
        <f t="shared" si="5"/>
        <v>289.75621724999996</v>
      </c>
      <c r="E51" s="62">
        <f t="shared" si="5"/>
        <v>289.75621724999996</v>
      </c>
      <c r="F51" s="62">
        <f t="shared" si="5"/>
        <v>289.75621724999996</v>
      </c>
      <c r="G51" s="62">
        <f t="shared" si="5"/>
        <v>289.75621724999996</v>
      </c>
      <c r="H51" s="62">
        <f t="shared" si="5"/>
        <v>437.56391024999999</v>
      </c>
      <c r="I51" s="62">
        <f t="shared" si="5"/>
        <v>410.98040775000004</v>
      </c>
      <c r="J51" s="62">
        <f t="shared" si="5"/>
        <v>410.98040775000004</v>
      </c>
      <c r="K51" s="62">
        <f t="shared" si="5"/>
        <v>276.56984474999996</v>
      </c>
      <c r="L51" s="62">
        <f t="shared" si="5"/>
        <v>276.56984474999996</v>
      </c>
      <c r="M51" s="62">
        <f t="shared" si="5"/>
        <v>263.17271475000001</v>
      </c>
      <c r="N51" s="62">
        <f t="shared" si="5"/>
        <v>263.17271475000001</v>
      </c>
    </row>
    <row r="52" spans="1:15" s="101" customFormat="1" ht="13.5" thickBot="1" x14ac:dyDescent="0.25">
      <c r="A52" s="90" t="s">
        <v>23</v>
      </c>
      <c r="B52" s="63">
        <f>SUM(C52:N52)</f>
        <v>1700.1710942068971</v>
      </c>
      <c r="C52" s="62">
        <f>SUM(C216)</f>
        <v>143.83417451724139</v>
      </c>
      <c r="D52" s="62">
        <f t="shared" si="5"/>
        <v>143.83417451724139</v>
      </c>
      <c r="E52" s="62">
        <f t="shared" si="5"/>
        <v>143.83417451724139</v>
      </c>
      <c r="F52" s="62">
        <f t="shared" ref="F52:N52" si="6">SUM(F216)</f>
        <v>143.83417451724139</v>
      </c>
      <c r="G52" s="62">
        <f t="shared" si="6"/>
        <v>143.83417451724139</v>
      </c>
      <c r="H52" s="62">
        <f t="shared" si="6"/>
        <v>153.56947451724139</v>
      </c>
      <c r="I52" s="62">
        <f t="shared" si="6"/>
        <v>144.39532451724139</v>
      </c>
      <c r="J52" s="62">
        <f t="shared" si="6"/>
        <v>144.39532451724139</v>
      </c>
      <c r="K52" s="62">
        <f t="shared" si="6"/>
        <v>134.6600245172414</v>
      </c>
      <c r="L52" s="62">
        <f t="shared" si="6"/>
        <v>134.6600245172414</v>
      </c>
      <c r="M52" s="62">
        <f t="shared" si="6"/>
        <v>134.6600245172414</v>
      </c>
      <c r="N52" s="62">
        <f t="shared" si="6"/>
        <v>134.6600245172414</v>
      </c>
    </row>
    <row r="53" spans="1:15" x14ac:dyDescent="0.2">
      <c r="A53" s="64" t="s">
        <v>154</v>
      </c>
      <c r="B53" s="65">
        <f>SUM(B50:B52)</f>
        <v>49035.977625206891</v>
      </c>
      <c r="C53" s="65">
        <f>SUM(C50:C52)</f>
        <v>3774.186691767241</v>
      </c>
      <c r="D53" s="65">
        <f t="shared" ref="D53:N53" si="7">SUM(D50:D52)</f>
        <v>3774.186691767241</v>
      </c>
      <c r="E53" s="65">
        <f t="shared" si="7"/>
        <v>3774.186691767241</v>
      </c>
      <c r="F53" s="65">
        <f t="shared" si="7"/>
        <v>3774.186691767241</v>
      </c>
      <c r="G53" s="65">
        <f t="shared" si="7"/>
        <v>3774.186691767241</v>
      </c>
      <c r="H53" s="65">
        <f t="shared" si="7"/>
        <v>5596.9096847672408</v>
      </c>
      <c r="I53" s="65">
        <f t="shared" si="7"/>
        <v>5255.347032267241</v>
      </c>
      <c r="J53" s="65">
        <f t="shared" si="7"/>
        <v>5255.347032267241</v>
      </c>
      <c r="K53" s="65">
        <f t="shared" si="7"/>
        <v>3596.0961692672408</v>
      </c>
      <c r="L53" s="65">
        <f t="shared" si="7"/>
        <v>3596.0961692672408</v>
      </c>
      <c r="M53" s="65">
        <f t="shared" si="7"/>
        <v>3432.6240392672412</v>
      </c>
      <c r="N53" s="65">
        <f t="shared" si="7"/>
        <v>3432.6240392672412</v>
      </c>
      <c r="O53" s="140">
        <f>SUM(C217:N217)</f>
        <v>49035.977625206891</v>
      </c>
    </row>
    <row r="54" spans="1:15" x14ac:dyDescent="0.2">
      <c r="C54" s="60"/>
      <c r="D54" s="66"/>
      <c r="E54" s="66"/>
      <c r="F54" s="66"/>
      <c r="G54" s="66"/>
      <c r="H54" s="66"/>
      <c r="I54" s="66"/>
      <c r="J54" s="66"/>
      <c r="K54" s="66"/>
      <c r="L54" s="66"/>
      <c r="M54" s="66"/>
      <c r="N54" s="66"/>
    </row>
    <row r="55" spans="1:15" x14ac:dyDescent="0.2">
      <c r="C55" s="60"/>
      <c r="D55" s="66"/>
      <c r="E55" s="66"/>
      <c r="F55" s="66"/>
      <c r="G55" s="66"/>
      <c r="H55" s="66"/>
      <c r="I55" s="66"/>
      <c r="J55" s="66"/>
      <c r="K55" s="66"/>
      <c r="L55" s="66"/>
      <c r="M55" s="66"/>
      <c r="N55" s="66"/>
    </row>
    <row r="56" spans="1:15" x14ac:dyDescent="0.2">
      <c r="A56" s="58" t="s">
        <v>155</v>
      </c>
      <c r="C56" s="60"/>
      <c r="D56" s="66"/>
      <c r="E56" s="66"/>
      <c r="F56" s="66"/>
      <c r="G56" s="66"/>
      <c r="H56" s="66"/>
      <c r="I56" s="66"/>
      <c r="J56" s="66"/>
      <c r="K56" s="66"/>
      <c r="L56" s="66"/>
      <c r="M56" s="66"/>
      <c r="N56" s="66"/>
    </row>
    <row r="57" spans="1:15" x14ac:dyDescent="0.2">
      <c r="A57" s="61" t="str">
        <f>CMS!A57</f>
        <v>Training</v>
      </c>
      <c r="B57" s="63">
        <f>SUM(C57:N57)</f>
        <v>300</v>
      </c>
      <c r="C57" s="62">
        <f>SUM(300/12)</f>
        <v>25</v>
      </c>
      <c r="D57" s="62">
        <f t="shared" ref="D57:N57" si="8">SUM(300/12)</f>
        <v>25</v>
      </c>
      <c r="E57" s="62">
        <f t="shared" si="8"/>
        <v>25</v>
      </c>
      <c r="F57" s="62">
        <f t="shared" si="8"/>
        <v>25</v>
      </c>
      <c r="G57" s="62">
        <f t="shared" si="8"/>
        <v>25</v>
      </c>
      <c r="H57" s="62">
        <f t="shared" si="8"/>
        <v>25</v>
      </c>
      <c r="I57" s="62">
        <f t="shared" si="8"/>
        <v>25</v>
      </c>
      <c r="J57" s="62">
        <f t="shared" si="8"/>
        <v>25</v>
      </c>
      <c r="K57" s="62">
        <f t="shared" si="8"/>
        <v>25</v>
      </c>
      <c r="L57" s="62">
        <f t="shared" si="8"/>
        <v>25</v>
      </c>
      <c r="M57" s="62">
        <f t="shared" si="8"/>
        <v>25</v>
      </c>
      <c r="N57" s="62">
        <f t="shared" si="8"/>
        <v>25</v>
      </c>
    </row>
    <row r="58" spans="1:15" x14ac:dyDescent="0.2">
      <c r="A58" s="61" t="str">
        <f>CMS!A58</f>
        <v>Travel</v>
      </c>
      <c r="B58" s="248">
        <f>SUM(C58:N58)</f>
        <v>300</v>
      </c>
      <c r="C58" s="62">
        <v>25</v>
      </c>
      <c r="D58" s="62">
        <v>25</v>
      </c>
      <c r="E58" s="62">
        <v>25</v>
      </c>
      <c r="F58" s="62">
        <v>25</v>
      </c>
      <c r="G58" s="62">
        <v>25</v>
      </c>
      <c r="H58" s="62">
        <v>25</v>
      </c>
      <c r="I58" s="62">
        <v>25</v>
      </c>
      <c r="J58" s="62">
        <v>25</v>
      </c>
      <c r="K58" s="62">
        <v>25</v>
      </c>
      <c r="L58" s="62">
        <v>25</v>
      </c>
      <c r="M58" s="62">
        <v>25</v>
      </c>
      <c r="N58" s="62">
        <v>25</v>
      </c>
    </row>
    <row r="59" spans="1:15" x14ac:dyDescent="0.2">
      <c r="A59" s="61" t="str">
        <f>CMS!A59</f>
        <v>Recognition</v>
      </c>
      <c r="B59" s="63">
        <f>SUM(C59:N59)</f>
        <v>0</v>
      </c>
      <c r="C59" s="62"/>
      <c r="D59" s="62"/>
      <c r="E59" s="62"/>
      <c r="F59" s="62"/>
      <c r="G59" s="62"/>
      <c r="H59" s="62"/>
      <c r="I59" s="62"/>
      <c r="J59" s="62"/>
      <c r="K59" s="62"/>
      <c r="L59" s="62"/>
      <c r="M59" s="62"/>
      <c r="N59" s="62"/>
    </row>
    <row r="60" spans="1:15" x14ac:dyDescent="0.2">
      <c r="A60" s="61" t="str">
        <f>CMS!A60</f>
        <v>Communications</v>
      </c>
      <c r="B60" s="63">
        <f t="shared" ref="B60:B82" si="9">SUM(C60:N60)</f>
        <v>1020</v>
      </c>
      <c r="C60" s="62">
        <v>85</v>
      </c>
      <c r="D60" s="62">
        <v>85</v>
      </c>
      <c r="E60" s="62">
        <v>85</v>
      </c>
      <c r="F60" s="62">
        <v>85</v>
      </c>
      <c r="G60" s="62">
        <v>85</v>
      </c>
      <c r="H60" s="62">
        <v>85</v>
      </c>
      <c r="I60" s="62">
        <v>85</v>
      </c>
      <c r="J60" s="62">
        <v>85</v>
      </c>
      <c r="K60" s="62">
        <v>85</v>
      </c>
      <c r="L60" s="62">
        <v>85</v>
      </c>
      <c r="M60" s="62">
        <v>85</v>
      </c>
      <c r="N60" s="62">
        <v>85</v>
      </c>
    </row>
    <row r="61" spans="1:15" x14ac:dyDescent="0.2">
      <c r="A61" s="61" t="str">
        <f>CMS!A61</f>
        <v>Dues &amp; Subscriptions</v>
      </c>
      <c r="B61" s="63">
        <f t="shared" si="9"/>
        <v>0</v>
      </c>
      <c r="C61" s="62"/>
      <c r="D61" s="93"/>
      <c r="E61" s="62"/>
      <c r="F61" s="62"/>
      <c r="G61" s="62"/>
      <c r="H61" s="62"/>
      <c r="I61" s="62"/>
      <c r="J61" s="62"/>
      <c r="K61" s="62"/>
      <c r="L61" s="62"/>
      <c r="M61" s="62"/>
      <c r="N61" s="62"/>
    </row>
    <row r="62" spans="1:15" x14ac:dyDescent="0.2">
      <c r="A62" s="61" t="str">
        <f>CMS!A62</f>
        <v>Liability Insurance</v>
      </c>
      <c r="B62" s="63">
        <f t="shared" si="9"/>
        <v>572.29389493573774</v>
      </c>
      <c r="C62" s="62">
        <f>SUM('Data Links'!$B$5/'All Employees'!$I$65)/12*C103</f>
        <v>65.324448290533795</v>
      </c>
      <c r="D62" s="62">
        <f>SUM('Data Links'!$B$5/'All Employees'!$I$65)/12*D103</f>
        <v>65.324448290533795</v>
      </c>
      <c r="E62" s="62">
        <f>SUM('Data Links'!$B$5/'All Employees'!$I$65)/12*E103</f>
        <v>65.324448290533795</v>
      </c>
      <c r="F62" s="62">
        <f>SUM('Data Links'!$B$5/'All Employees'!$I$65)/12*F103</f>
        <v>65.324448290533795</v>
      </c>
      <c r="G62" s="62">
        <f>SUM('Data Links'!$B$5/'All Employees'!$I$65)/12*G103</f>
        <v>65.324448290533795</v>
      </c>
      <c r="H62" s="365">
        <f>H30</f>
        <v>0</v>
      </c>
      <c r="I62" s="365">
        <f>I30</f>
        <v>0</v>
      </c>
      <c r="J62" s="365">
        <f>J30</f>
        <v>0</v>
      </c>
      <c r="K62" s="62">
        <f>SUM('Data Links'!$B$5/'All Employees'!$I$65)/12*K103</f>
        <v>63.761834322627166</v>
      </c>
      <c r="L62" s="62">
        <f>SUM('Data Links'!$B$5/'All Employees'!$I$65)/12*L103</f>
        <v>63.761834322627166</v>
      </c>
      <c r="M62" s="62">
        <f>SUM('Data Links'!$B$5/'All Employees'!$I$65)/12*M103</f>
        <v>59.073992418907252</v>
      </c>
      <c r="N62" s="62">
        <f>SUM('Data Links'!$B$5/'All Employees'!$I$65)/12*N103</f>
        <v>59.073992418907252</v>
      </c>
    </row>
    <row r="63" spans="1:15" x14ac:dyDescent="0.2">
      <c r="A63" s="61" t="str">
        <f>CMS!A63</f>
        <v>Professional Services</v>
      </c>
      <c r="B63" s="63">
        <f t="shared" si="9"/>
        <v>2500</v>
      </c>
      <c r="C63" s="62"/>
      <c r="D63" s="62"/>
      <c r="E63" s="62"/>
      <c r="F63" s="62"/>
      <c r="G63" s="62"/>
      <c r="H63" s="62"/>
      <c r="I63" s="62">
        <v>2500</v>
      </c>
      <c r="J63" s="62"/>
      <c r="K63" s="62"/>
      <c r="L63" s="62"/>
      <c r="M63" s="62"/>
      <c r="N63" s="62"/>
    </row>
    <row r="64" spans="1:15" x14ac:dyDescent="0.2">
      <c r="A64" s="61" t="str">
        <f>CMS!A64</f>
        <v>Legal Fees</v>
      </c>
      <c r="B64" s="63">
        <f t="shared" si="9"/>
        <v>0</v>
      </c>
      <c r="C64" s="62"/>
      <c r="D64" s="62"/>
      <c r="E64" s="62"/>
      <c r="F64" s="62"/>
      <c r="G64" s="62"/>
      <c r="H64" s="62"/>
      <c r="I64" s="62"/>
      <c r="J64" s="62"/>
      <c r="K64" s="62"/>
      <c r="L64" s="62"/>
      <c r="M64" s="62"/>
      <c r="N64" s="62"/>
    </row>
    <row r="65" spans="1:14" x14ac:dyDescent="0.2">
      <c r="A65" s="61" t="str">
        <f>CMS!A65</f>
        <v>Technical Services</v>
      </c>
      <c r="B65" s="63">
        <f t="shared" si="9"/>
        <v>60</v>
      </c>
      <c r="C65" s="62">
        <v>5</v>
      </c>
      <c r="D65" s="62">
        <v>5</v>
      </c>
      <c r="E65" s="62">
        <v>5</v>
      </c>
      <c r="F65" s="62">
        <v>5</v>
      </c>
      <c r="G65" s="62">
        <v>5</v>
      </c>
      <c r="H65" s="62">
        <v>5</v>
      </c>
      <c r="I65" s="62">
        <v>5</v>
      </c>
      <c r="J65" s="62">
        <v>5</v>
      </c>
      <c r="K65" s="62">
        <v>5</v>
      </c>
      <c r="L65" s="62">
        <v>5</v>
      </c>
      <c r="M65" s="62">
        <v>5</v>
      </c>
      <c r="N65" s="62">
        <v>5</v>
      </c>
    </row>
    <row r="66" spans="1:14" x14ac:dyDescent="0.2">
      <c r="A66" s="61" t="str">
        <f>CMS!A66</f>
        <v>Taxes/Licenses &amp; Permits</v>
      </c>
      <c r="B66" s="63">
        <f t="shared" si="9"/>
        <v>0</v>
      </c>
      <c r="C66" s="62"/>
      <c r="D66" s="62"/>
      <c r="E66" s="62"/>
      <c r="F66" s="93"/>
      <c r="G66" s="62"/>
      <c r="H66" s="62"/>
      <c r="I66" s="62"/>
      <c r="J66" s="62"/>
      <c r="K66" s="62"/>
      <c r="L66" s="62"/>
      <c r="M66" s="62"/>
      <c r="N66" s="62"/>
    </row>
    <row r="67" spans="1:14" x14ac:dyDescent="0.2">
      <c r="A67" s="61" t="str">
        <f>CMS!A67</f>
        <v>Small Tools &amp; Equip</v>
      </c>
      <c r="B67" s="63">
        <f t="shared" si="9"/>
        <v>399.99999999999994</v>
      </c>
      <c r="C67" s="62">
        <f>SUM(400/12)</f>
        <v>33.333333333333336</v>
      </c>
      <c r="D67" s="62">
        <f t="shared" ref="D67:N67" si="10">SUM(400/12)</f>
        <v>33.333333333333336</v>
      </c>
      <c r="E67" s="62">
        <f t="shared" si="10"/>
        <v>33.333333333333336</v>
      </c>
      <c r="F67" s="62">
        <f t="shared" si="10"/>
        <v>33.333333333333336</v>
      </c>
      <c r="G67" s="62">
        <f t="shared" si="10"/>
        <v>33.333333333333336</v>
      </c>
      <c r="H67" s="62">
        <f t="shared" si="10"/>
        <v>33.333333333333336</v>
      </c>
      <c r="I67" s="62">
        <f t="shared" si="10"/>
        <v>33.333333333333336</v>
      </c>
      <c r="J67" s="62">
        <f t="shared" si="10"/>
        <v>33.333333333333336</v>
      </c>
      <c r="K67" s="62">
        <f t="shared" si="10"/>
        <v>33.333333333333336</v>
      </c>
      <c r="L67" s="62">
        <f t="shared" si="10"/>
        <v>33.333333333333336</v>
      </c>
      <c r="M67" s="62">
        <f t="shared" si="10"/>
        <v>33.333333333333336</v>
      </c>
      <c r="N67" s="62">
        <f t="shared" si="10"/>
        <v>33.333333333333336</v>
      </c>
    </row>
    <row r="68" spans="1:14" x14ac:dyDescent="0.2">
      <c r="A68" s="61" t="str">
        <f>CMS!A68</f>
        <v>Office Supplies</v>
      </c>
      <c r="B68" s="63">
        <f t="shared" si="9"/>
        <v>250.00000000000003</v>
      </c>
      <c r="C68" s="62">
        <f>SUM(250/12)</f>
        <v>20.833333333333332</v>
      </c>
      <c r="D68" s="62">
        <f t="shared" ref="D68:N68" si="11">SUM(250/12)</f>
        <v>20.833333333333332</v>
      </c>
      <c r="E68" s="62">
        <f t="shared" si="11"/>
        <v>20.833333333333332</v>
      </c>
      <c r="F68" s="62">
        <f t="shared" si="11"/>
        <v>20.833333333333332</v>
      </c>
      <c r="G68" s="62">
        <f t="shared" si="11"/>
        <v>20.833333333333332</v>
      </c>
      <c r="H68" s="62">
        <f t="shared" si="11"/>
        <v>20.833333333333332</v>
      </c>
      <c r="I68" s="62">
        <f t="shared" si="11"/>
        <v>20.833333333333332</v>
      </c>
      <c r="J68" s="62">
        <f t="shared" si="11"/>
        <v>20.833333333333332</v>
      </c>
      <c r="K68" s="62">
        <f t="shared" si="11"/>
        <v>20.833333333333332</v>
      </c>
      <c r="L68" s="62">
        <f t="shared" si="11"/>
        <v>20.833333333333332</v>
      </c>
      <c r="M68" s="62">
        <f t="shared" si="11"/>
        <v>20.833333333333332</v>
      </c>
      <c r="N68" s="62">
        <f t="shared" si="11"/>
        <v>20.833333333333332</v>
      </c>
    </row>
    <row r="69" spans="1:14" x14ac:dyDescent="0.2">
      <c r="A69" s="61" t="str">
        <f>CMS!A69</f>
        <v>Program Supplies</v>
      </c>
      <c r="B69" s="63">
        <f t="shared" si="9"/>
        <v>500.00000000000006</v>
      </c>
      <c r="C69" s="62">
        <f>SUM(500/12)</f>
        <v>41.666666666666664</v>
      </c>
      <c r="D69" s="62">
        <f t="shared" ref="D69:N69" si="12">SUM(500/12)</f>
        <v>41.666666666666664</v>
      </c>
      <c r="E69" s="62">
        <f t="shared" si="12"/>
        <v>41.666666666666664</v>
      </c>
      <c r="F69" s="62">
        <f t="shared" si="12"/>
        <v>41.666666666666664</v>
      </c>
      <c r="G69" s="62">
        <f t="shared" si="12"/>
        <v>41.666666666666664</v>
      </c>
      <c r="H69" s="62">
        <f t="shared" si="12"/>
        <v>41.666666666666664</v>
      </c>
      <c r="I69" s="62">
        <f t="shared" si="12"/>
        <v>41.666666666666664</v>
      </c>
      <c r="J69" s="62">
        <f t="shared" si="12"/>
        <v>41.666666666666664</v>
      </c>
      <c r="K69" s="62">
        <f t="shared" si="12"/>
        <v>41.666666666666664</v>
      </c>
      <c r="L69" s="62">
        <f t="shared" si="12"/>
        <v>41.666666666666664</v>
      </c>
      <c r="M69" s="62">
        <f t="shared" si="12"/>
        <v>41.666666666666664</v>
      </c>
      <c r="N69" s="62">
        <f t="shared" si="12"/>
        <v>41.666666666666664</v>
      </c>
    </row>
    <row r="70" spans="1:14" x14ac:dyDescent="0.2">
      <c r="A70" s="61" t="str">
        <f>CMS!A70</f>
        <v>Advertising</v>
      </c>
      <c r="B70" s="63">
        <f t="shared" si="9"/>
        <v>0</v>
      </c>
      <c r="C70" s="62"/>
      <c r="D70" s="62"/>
      <c r="E70" s="62"/>
      <c r="F70" s="62"/>
      <c r="G70" s="62"/>
      <c r="H70" s="62"/>
      <c r="I70" s="62"/>
      <c r="J70" s="62"/>
      <c r="K70" s="62"/>
      <c r="L70" s="62"/>
      <c r="M70" s="62"/>
      <c r="N70" s="62"/>
    </row>
    <row r="71" spans="1:14" x14ac:dyDescent="0.2">
      <c r="A71" s="61" t="str">
        <f>CMS!A71</f>
        <v>Repairs &amp; Maintenance</v>
      </c>
      <c r="B71" s="63">
        <f t="shared" si="9"/>
        <v>399.99999999999994</v>
      </c>
      <c r="C71" s="62">
        <f>SUM(400/12)</f>
        <v>33.333333333333336</v>
      </c>
      <c r="D71" s="62">
        <f t="shared" ref="D71:N71" si="13">SUM(400/12)</f>
        <v>33.333333333333336</v>
      </c>
      <c r="E71" s="62">
        <f t="shared" si="13"/>
        <v>33.333333333333336</v>
      </c>
      <c r="F71" s="62">
        <f t="shared" si="13"/>
        <v>33.333333333333336</v>
      </c>
      <c r="G71" s="62">
        <f t="shared" si="13"/>
        <v>33.333333333333336</v>
      </c>
      <c r="H71" s="62">
        <f t="shared" si="13"/>
        <v>33.333333333333336</v>
      </c>
      <c r="I71" s="62">
        <f t="shared" si="13"/>
        <v>33.333333333333336</v>
      </c>
      <c r="J71" s="62">
        <f t="shared" si="13"/>
        <v>33.333333333333336</v>
      </c>
      <c r="K71" s="62">
        <f t="shared" si="13"/>
        <v>33.333333333333336</v>
      </c>
      <c r="L71" s="62">
        <f t="shared" si="13"/>
        <v>33.333333333333336</v>
      </c>
      <c r="M71" s="62">
        <f t="shared" si="13"/>
        <v>33.333333333333336</v>
      </c>
      <c r="N71" s="62">
        <f t="shared" si="13"/>
        <v>33.333333333333336</v>
      </c>
    </row>
    <row r="72" spans="1:14" x14ac:dyDescent="0.2">
      <c r="A72" s="61" t="str">
        <f>CMS!A72</f>
        <v>Client Expense</v>
      </c>
      <c r="B72" s="63">
        <f t="shared" si="9"/>
        <v>0</v>
      </c>
      <c r="C72" s="62"/>
      <c r="D72" s="62"/>
      <c r="E72" s="62"/>
      <c r="F72" s="62"/>
      <c r="G72" s="62"/>
      <c r="H72" s="62"/>
      <c r="I72" s="62"/>
      <c r="J72" s="62"/>
      <c r="K72" s="62"/>
      <c r="L72" s="62"/>
      <c r="M72" s="62"/>
      <c r="N72" s="62"/>
    </row>
    <row r="73" spans="1:14" x14ac:dyDescent="0.2">
      <c r="A73" s="61" t="str">
        <f>CMS!A73</f>
        <v>Printing</v>
      </c>
      <c r="B73" s="63">
        <f t="shared" si="9"/>
        <v>0</v>
      </c>
      <c r="C73" s="62"/>
      <c r="D73" s="62"/>
      <c r="E73" s="62"/>
      <c r="F73" s="62"/>
      <c r="G73" s="62"/>
      <c r="H73" s="62"/>
      <c r="I73" s="62"/>
      <c r="J73" s="62"/>
      <c r="K73" s="62"/>
      <c r="L73" s="62"/>
      <c r="M73" s="62"/>
      <c r="N73" s="62"/>
    </row>
    <row r="74" spans="1:14" x14ac:dyDescent="0.2">
      <c r="A74" s="61" t="str">
        <f>CMS!A74</f>
        <v>Postage</v>
      </c>
      <c r="B74" s="63">
        <f t="shared" si="9"/>
        <v>60</v>
      </c>
      <c r="C74" s="62">
        <v>5</v>
      </c>
      <c r="D74" s="62">
        <v>5</v>
      </c>
      <c r="E74" s="62">
        <v>5</v>
      </c>
      <c r="F74" s="62">
        <v>5</v>
      </c>
      <c r="G74" s="62">
        <v>5</v>
      </c>
      <c r="H74" s="62">
        <v>5</v>
      </c>
      <c r="I74" s="62">
        <v>5</v>
      </c>
      <c r="J74" s="62">
        <v>5</v>
      </c>
      <c r="K74" s="62">
        <v>5</v>
      </c>
      <c r="L74" s="62">
        <v>5</v>
      </c>
      <c r="M74" s="62">
        <v>5</v>
      </c>
      <c r="N74" s="62">
        <v>5</v>
      </c>
    </row>
    <row r="75" spans="1:14" ht="15" customHeight="1" x14ac:dyDescent="0.2">
      <c r="A75" s="90" t="str">
        <f>CMS!A75</f>
        <v>Rent/Lease Expense</v>
      </c>
      <c r="B75" s="63">
        <f t="shared" si="9"/>
        <v>0</v>
      </c>
      <c r="C75" s="62"/>
      <c r="D75" s="62"/>
      <c r="E75" s="62"/>
      <c r="F75" s="62"/>
      <c r="G75" s="62"/>
      <c r="H75" s="62"/>
      <c r="I75" s="62"/>
      <c r="J75" s="62"/>
      <c r="K75" s="62"/>
      <c r="L75" s="62"/>
      <c r="M75" s="62"/>
      <c r="N75" s="62"/>
    </row>
    <row r="76" spans="1:14" x14ac:dyDescent="0.2">
      <c r="A76" s="61" t="str">
        <f>CMS!A76</f>
        <v>Utilities</v>
      </c>
      <c r="B76" s="63">
        <f t="shared" si="9"/>
        <v>940</v>
      </c>
      <c r="C76" s="62"/>
      <c r="D76" s="62"/>
      <c r="E76" s="62"/>
      <c r="F76" s="62">
        <v>70</v>
      </c>
      <c r="G76" s="62">
        <v>200</v>
      </c>
      <c r="H76" s="62">
        <v>200</v>
      </c>
      <c r="I76" s="62">
        <v>200</v>
      </c>
      <c r="J76" s="62">
        <v>200</v>
      </c>
      <c r="K76" s="62">
        <v>70</v>
      </c>
      <c r="L76" s="62"/>
      <c r="M76" s="62"/>
      <c r="N76" s="62"/>
    </row>
    <row r="77" spans="1:14" x14ac:dyDescent="0.2">
      <c r="A77" s="61" t="str">
        <f>CMS!A77</f>
        <v>Bank Fees/Late Fees</v>
      </c>
      <c r="B77" s="63">
        <f t="shared" si="9"/>
        <v>0</v>
      </c>
      <c r="C77" s="62"/>
      <c r="D77" s="62"/>
      <c r="E77" s="62"/>
      <c r="F77" s="62"/>
      <c r="G77" s="62"/>
      <c r="H77" s="62"/>
      <c r="I77" s="62"/>
      <c r="J77" s="62"/>
      <c r="K77" s="62"/>
      <c r="L77" s="62"/>
      <c r="M77" s="62"/>
      <c r="N77" s="62"/>
    </row>
    <row r="78" spans="1:14" x14ac:dyDescent="0.2">
      <c r="A78" s="61" t="str">
        <f>CMS!A78</f>
        <v>Bad Debt Expense</v>
      </c>
      <c r="B78" s="63">
        <f t="shared" si="9"/>
        <v>0</v>
      </c>
      <c r="C78" s="62"/>
      <c r="D78" s="62"/>
      <c r="E78" s="62"/>
      <c r="F78" s="62"/>
      <c r="G78" s="62"/>
      <c r="H78" s="62"/>
      <c r="I78" s="62"/>
      <c r="J78" s="62"/>
      <c r="K78" s="62"/>
      <c r="L78" s="62"/>
      <c r="M78" s="62"/>
      <c r="N78" s="62"/>
    </row>
    <row r="79" spans="1:14" x14ac:dyDescent="0.2">
      <c r="A79" s="61" t="str">
        <f>CMS!A79</f>
        <v>Interest Expense</v>
      </c>
      <c r="B79" s="63">
        <f t="shared" si="9"/>
        <v>0</v>
      </c>
      <c r="C79" s="62"/>
      <c r="D79" s="62"/>
      <c r="E79" s="62"/>
      <c r="F79" s="62"/>
      <c r="G79" s="62"/>
      <c r="H79" s="62"/>
      <c r="I79" s="62"/>
      <c r="J79" s="62"/>
      <c r="K79" s="62"/>
      <c r="L79" s="62"/>
      <c r="M79" s="62"/>
      <c r="N79" s="62"/>
    </row>
    <row r="80" spans="1:14" x14ac:dyDescent="0.2">
      <c r="A80" s="61" t="str">
        <f>CMS!A80</f>
        <v>Meeting Expense</v>
      </c>
      <c r="B80" s="63">
        <f t="shared" si="9"/>
        <v>0</v>
      </c>
      <c r="C80" s="62"/>
      <c r="D80" s="62"/>
      <c r="E80" s="62"/>
      <c r="F80" s="62"/>
      <c r="G80" s="62"/>
      <c r="H80" s="62"/>
      <c r="I80" s="62"/>
      <c r="J80" s="62"/>
      <c r="K80" s="62"/>
      <c r="L80" s="62"/>
      <c r="M80" s="62"/>
      <c r="N80" s="62"/>
    </row>
    <row r="81" spans="1:14" x14ac:dyDescent="0.2">
      <c r="A81" s="61" t="str">
        <f>CMS!A81</f>
        <v>In Kind Expense</v>
      </c>
      <c r="B81" s="63">
        <f t="shared" si="9"/>
        <v>1500</v>
      </c>
      <c r="C81" s="62">
        <f>C41</f>
        <v>125</v>
      </c>
      <c r="D81" s="62">
        <f t="shared" ref="D81:N81" si="14">D41</f>
        <v>125</v>
      </c>
      <c r="E81" s="62">
        <f t="shared" si="14"/>
        <v>125</v>
      </c>
      <c r="F81" s="62">
        <f t="shared" si="14"/>
        <v>125</v>
      </c>
      <c r="G81" s="62">
        <f t="shared" si="14"/>
        <v>125</v>
      </c>
      <c r="H81" s="62">
        <f t="shared" si="14"/>
        <v>125</v>
      </c>
      <c r="I81" s="62">
        <f t="shared" si="14"/>
        <v>125</v>
      </c>
      <c r="J81" s="62">
        <f t="shared" si="14"/>
        <v>125</v>
      </c>
      <c r="K81" s="62">
        <f t="shared" si="14"/>
        <v>125</v>
      </c>
      <c r="L81" s="62">
        <f t="shared" si="14"/>
        <v>125</v>
      </c>
      <c r="M81" s="62">
        <f t="shared" si="14"/>
        <v>125</v>
      </c>
      <c r="N81" s="62">
        <f t="shared" si="14"/>
        <v>125</v>
      </c>
    </row>
    <row r="82" spans="1:14" s="101" customFormat="1" ht="13.5" thickBot="1" x14ac:dyDescent="0.25">
      <c r="A82" s="61" t="str">
        <f>CMS!A82</f>
        <v>Misc Expense</v>
      </c>
      <c r="B82" s="63">
        <f t="shared" si="9"/>
        <v>0</v>
      </c>
      <c r="C82" s="62"/>
      <c r="D82" s="62"/>
      <c r="E82" s="62"/>
      <c r="F82" s="62"/>
      <c r="G82" s="62"/>
      <c r="H82" s="62"/>
      <c r="I82" s="62"/>
      <c r="J82" s="62"/>
      <c r="K82" s="62"/>
      <c r="L82" s="62"/>
      <c r="M82" s="62"/>
      <c r="N82" s="62"/>
    </row>
    <row r="83" spans="1:14" x14ac:dyDescent="0.2">
      <c r="A83" s="64" t="s">
        <v>24</v>
      </c>
      <c r="B83" s="65">
        <f>SUM(B57:B82)</f>
        <v>8802.2938949357376</v>
      </c>
      <c r="C83" s="357">
        <f t="shared" ref="C83:N83" si="15">SUM(C57:C82)</f>
        <v>464.49111495720047</v>
      </c>
      <c r="D83" s="357">
        <f t="shared" si="15"/>
        <v>464.49111495720047</v>
      </c>
      <c r="E83" s="357">
        <f t="shared" si="15"/>
        <v>464.49111495720047</v>
      </c>
      <c r="F83" s="357">
        <f t="shared" si="15"/>
        <v>534.49111495720047</v>
      </c>
      <c r="G83" s="357">
        <f t="shared" si="15"/>
        <v>664.49111495720047</v>
      </c>
      <c r="H83" s="357">
        <f t="shared" si="15"/>
        <v>599.16666666666674</v>
      </c>
      <c r="I83" s="357">
        <f t="shared" si="15"/>
        <v>3099.166666666667</v>
      </c>
      <c r="J83" s="357">
        <f t="shared" si="15"/>
        <v>599.16666666666674</v>
      </c>
      <c r="K83" s="357">
        <f t="shared" si="15"/>
        <v>532.92850098929387</v>
      </c>
      <c r="L83" s="357">
        <f t="shared" si="15"/>
        <v>462.92850098929387</v>
      </c>
      <c r="M83" s="357">
        <f t="shared" si="15"/>
        <v>458.24065908557395</v>
      </c>
      <c r="N83" s="357">
        <f t="shared" si="15"/>
        <v>458.24065908557395</v>
      </c>
    </row>
    <row r="84" spans="1:14" x14ac:dyDescent="0.2">
      <c r="C84" s="60"/>
      <c r="D84" s="66"/>
      <c r="E84" s="66"/>
      <c r="F84" s="66"/>
      <c r="G84" s="66"/>
      <c r="H84" s="66"/>
      <c r="I84" s="66"/>
      <c r="J84" s="66"/>
      <c r="K84" s="66"/>
      <c r="L84" s="66"/>
      <c r="M84" s="66"/>
      <c r="N84" s="66"/>
    </row>
    <row r="85" spans="1:14" x14ac:dyDescent="0.2">
      <c r="C85" s="60"/>
      <c r="D85" s="66"/>
      <c r="E85" s="66"/>
      <c r="F85" s="66"/>
      <c r="G85" s="66"/>
      <c r="H85" s="66"/>
      <c r="I85" s="66"/>
      <c r="J85" s="66"/>
      <c r="K85" s="66"/>
      <c r="L85" s="66"/>
      <c r="M85" s="66"/>
      <c r="N85" s="66"/>
    </row>
    <row r="86" spans="1:14" x14ac:dyDescent="0.2">
      <c r="A86" s="58" t="s">
        <v>25</v>
      </c>
      <c r="C86" s="60"/>
      <c r="D86" s="66"/>
      <c r="E86" s="66"/>
      <c r="F86" s="66"/>
      <c r="G86" s="66"/>
      <c r="H86" s="66"/>
      <c r="I86" s="66"/>
      <c r="J86" s="66"/>
      <c r="K86" s="66"/>
      <c r="L86" s="66"/>
      <c r="M86" s="66"/>
      <c r="N86" s="66"/>
    </row>
    <row r="87" spans="1:14" x14ac:dyDescent="0.2">
      <c r="A87" s="61" t="s">
        <v>329</v>
      </c>
      <c r="B87" s="63">
        <f>SUM(C87:N87)</f>
        <v>-6449.8775613425732</v>
      </c>
      <c r="C87" s="62">
        <f>SUM('CMS &amp; Fundraising Allocations'!B56)</f>
        <v>-606.05914762220345</v>
      </c>
      <c r="D87" s="62">
        <f>SUM('CMS &amp; Fundraising Allocations'!C56)</f>
        <v>-1044.7579102050738</v>
      </c>
      <c r="E87" s="62">
        <f>SUM('CMS &amp; Fundraising Allocations'!D56)</f>
        <v>-1565.3356728555455</v>
      </c>
      <c r="F87" s="62">
        <f>SUM('CMS &amp; Fundraising Allocations'!E56)</f>
        <v>-1045.9014716585318</v>
      </c>
      <c r="G87" s="62">
        <f>SUM('CMS &amp; Fundraising Allocations'!F56)</f>
        <v>-993.26905576312197</v>
      </c>
      <c r="H87" s="62">
        <f>SUM('CMS &amp; Fundraising Allocations'!G56)</f>
        <v>-2062.7564889237183</v>
      </c>
      <c r="I87" s="62">
        <f>SUM('CMS &amp; Fundraising Allocations'!H56)</f>
        <v>-447.77452882888974</v>
      </c>
      <c r="J87" s="62">
        <f>SUM('CMS &amp; Fundraising Allocations'!I56)</f>
        <v>-1644.1537749335646</v>
      </c>
      <c r="K87" s="62">
        <f>SUM('CMS &amp; Fundraising Allocations'!J56)</f>
        <v>-1000.6235086713909</v>
      </c>
      <c r="L87" s="62">
        <f>SUM('CMS &amp; Fundraising Allocations'!K56)</f>
        <v>-882.75209880821274</v>
      </c>
      <c r="M87" s="62">
        <f>SUM('CMS &amp; Fundraising Allocations'!L56)</f>
        <v>793.00561298765183</v>
      </c>
      <c r="N87" s="62">
        <f>SUM('CMS &amp; Fundraising Allocations'!M56)</f>
        <v>4050.5004839400285</v>
      </c>
    </row>
    <row r="88" spans="1:14" x14ac:dyDescent="0.2">
      <c r="A88" s="61" t="s">
        <v>330</v>
      </c>
      <c r="B88" s="63">
        <f>SUM(C88:N88)</f>
        <v>-1584.8558523213883</v>
      </c>
      <c r="C88" s="63">
        <f>SUM(-'1020 N State Allocations'!B51)</f>
        <v>-119.0966718608794</v>
      </c>
      <c r="D88" s="63">
        <f>SUM(-'1020 N State Allocations'!C51)</f>
        <v>-119.0966718608794</v>
      </c>
      <c r="E88" s="63">
        <f>SUM(-'1020 N State Allocations'!D51)</f>
        <v>-119.0966718608794</v>
      </c>
      <c r="F88" s="63">
        <f>SUM(-'1020 N State Allocations'!E51)</f>
        <v>-119.48326424619148</v>
      </c>
      <c r="G88" s="63">
        <f>SUM(-'1020 N State Allocations'!F51)</f>
        <v>-118.52145125354374</v>
      </c>
      <c r="H88" s="63">
        <f>SUM(-'1020 N State Allocations'!G51)</f>
        <v>-200.86337682787214</v>
      </c>
      <c r="I88" s="63">
        <f>SUM(-'1020 N State Allocations'!H51)</f>
        <v>-184.57772290963501</v>
      </c>
      <c r="J88" s="63">
        <f>SUM(-'1020 N State Allocations'!I51)</f>
        <v>-184.57772290963501</v>
      </c>
      <c r="K88" s="63">
        <f>SUM(-'1020 N State Allocations'!J51)</f>
        <v>-108.76933221749171</v>
      </c>
      <c r="L88" s="63">
        <f>SUM(-'1020 N State Allocations'!K51)</f>
        <v>-108.76933221749171</v>
      </c>
      <c r="M88" s="63">
        <f>SUM(-'1020 N State Allocations'!L51)</f>
        <v>-101.00181707844479</v>
      </c>
      <c r="N88" s="63">
        <f>SUM(-'1020 N State Allocations'!M51)</f>
        <v>-101.00181707844479</v>
      </c>
    </row>
    <row r="89" spans="1:14" ht="13.5" thickBot="1" x14ac:dyDescent="0.25">
      <c r="A89" s="61"/>
      <c r="B89" s="63">
        <f>SUM(C89:N89)</f>
        <v>0</v>
      </c>
      <c r="C89" s="63"/>
      <c r="D89" s="62"/>
      <c r="E89" s="62"/>
      <c r="F89" s="62"/>
      <c r="G89" s="62"/>
      <c r="H89" s="62"/>
      <c r="I89" s="62"/>
      <c r="J89" s="62"/>
      <c r="K89" s="62"/>
      <c r="L89" s="62"/>
      <c r="M89" s="62"/>
      <c r="N89" s="62"/>
    </row>
    <row r="90" spans="1:14" x14ac:dyDescent="0.2">
      <c r="A90" s="64" t="s">
        <v>26</v>
      </c>
      <c r="B90" s="65">
        <f t="shared" ref="B90:N90" si="16">SUM(B87:B89)</f>
        <v>-8034.733413663962</v>
      </c>
      <c r="C90" s="65">
        <f t="shared" si="16"/>
        <v>-725.15581948308284</v>
      </c>
      <c r="D90" s="65">
        <f t="shared" si="16"/>
        <v>-1163.8545820659533</v>
      </c>
      <c r="E90" s="65">
        <f t="shared" si="16"/>
        <v>-1684.432344716425</v>
      </c>
      <c r="F90" s="65">
        <f t="shared" si="16"/>
        <v>-1165.3847359047234</v>
      </c>
      <c r="G90" s="65">
        <f t="shared" si="16"/>
        <v>-1111.7905070166657</v>
      </c>
      <c r="H90" s="65">
        <f t="shared" si="16"/>
        <v>-2263.6198657515906</v>
      </c>
      <c r="I90" s="65">
        <f t="shared" si="16"/>
        <v>-632.35225173852473</v>
      </c>
      <c r="J90" s="65">
        <f t="shared" si="16"/>
        <v>-1828.7314978431996</v>
      </c>
      <c r="K90" s="65">
        <f t="shared" si="16"/>
        <v>-1109.3928408888826</v>
      </c>
      <c r="L90" s="65">
        <f t="shared" si="16"/>
        <v>-991.52143102570449</v>
      </c>
      <c r="M90" s="65">
        <f t="shared" si="16"/>
        <v>692.00379590920704</v>
      </c>
      <c r="N90" s="65">
        <f t="shared" si="16"/>
        <v>3949.4986668615838</v>
      </c>
    </row>
    <row r="91" spans="1:14" x14ac:dyDescent="0.2">
      <c r="B91" s="206"/>
      <c r="C91" s="60"/>
      <c r="D91" s="60"/>
      <c r="E91" s="60"/>
      <c r="F91" s="60"/>
      <c r="G91" s="60"/>
      <c r="H91" s="60"/>
      <c r="I91" s="60"/>
      <c r="J91" s="60"/>
      <c r="K91" s="60"/>
      <c r="L91" s="60"/>
      <c r="M91" s="60"/>
      <c r="N91" s="60"/>
    </row>
    <row r="92" spans="1:14" x14ac:dyDescent="0.2">
      <c r="A92" s="265" t="s">
        <v>405</v>
      </c>
      <c r="B92" s="268"/>
      <c r="C92" s="266">
        <f>SUM(C46-C53-C83-C90)</f>
        <v>1251.0613460919753</v>
      </c>
      <c r="D92" s="266">
        <f t="shared" ref="D92:N92" si="17">SUM(D46-D53-D83-D90)</f>
        <v>1689.7601086748459</v>
      </c>
      <c r="E92" s="266">
        <f t="shared" si="17"/>
        <v>3877.0045379919848</v>
      </c>
      <c r="F92" s="266">
        <f t="shared" si="17"/>
        <v>3287.9569291802827</v>
      </c>
      <c r="G92" s="266">
        <f t="shared" si="17"/>
        <v>13104.362700292224</v>
      </c>
      <c r="H92" s="266">
        <f t="shared" si="17"/>
        <v>2498.7935143176837</v>
      </c>
      <c r="I92" s="266">
        <f t="shared" si="17"/>
        <v>-1272.1614471953833</v>
      </c>
      <c r="J92" s="266">
        <f t="shared" si="17"/>
        <v>-75.782201090708213</v>
      </c>
      <c r="K92" s="266">
        <f t="shared" si="17"/>
        <v>-736.29849603431853</v>
      </c>
      <c r="L92" s="266">
        <f t="shared" si="17"/>
        <v>-784.16990589749662</v>
      </c>
      <c r="M92" s="266">
        <f t="shared" si="17"/>
        <v>-2299.5351609286886</v>
      </c>
      <c r="N92" s="267">
        <f t="shared" si="17"/>
        <v>-5557.030031881066</v>
      </c>
    </row>
    <row r="93" spans="1:14" x14ac:dyDescent="0.2">
      <c r="B93" s="206"/>
      <c r="C93" s="60"/>
      <c r="D93" s="60"/>
      <c r="E93" s="60"/>
      <c r="F93" s="60"/>
      <c r="G93" s="60"/>
      <c r="H93" s="60"/>
      <c r="I93" s="60"/>
      <c r="J93" s="60"/>
      <c r="K93" s="60"/>
      <c r="L93" s="60"/>
      <c r="M93" s="60"/>
      <c r="N93" s="60"/>
    </row>
    <row r="94" spans="1:14" x14ac:dyDescent="0.2">
      <c r="B94" s="206"/>
      <c r="C94" s="60"/>
      <c r="D94" s="60"/>
      <c r="E94" s="60"/>
      <c r="F94" s="60"/>
      <c r="G94" s="60"/>
      <c r="H94" s="60"/>
      <c r="I94" s="60"/>
      <c r="J94" s="60"/>
      <c r="K94" s="60"/>
      <c r="L94" s="60"/>
      <c r="M94" s="60"/>
      <c r="N94" s="60"/>
    </row>
    <row r="95" spans="1:14" x14ac:dyDescent="0.2">
      <c r="B95" s="86" t="str">
        <f>B5</f>
        <v>Total</v>
      </c>
      <c r="C95" s="86"/>
      <c r="D95" s="66"/>
      <c r="E95" s="66"/>
      <c r="F95" s="66"/>
      <c r="G95" s="66"/>
      <c r="H95" s="66"/>
      <c r="I95" s="66"/>
      <c r="J95" s="66"/>
      <c r="K95" s="66"/>
      <c r="L95" s="66"/>
      <c r="M95" s="66"/>
      <c r="N95" s="66"/>
    </row>
    <row r="96" spans="1:14" x14ac:dyDescent="0.2">
      <c r="A96" s="58" t="s">
        <v>31</v>
      </c>
      <c r="B96" s="60">
        <f>SUM(B46)</f>
        <v>64787.5</v>
      </c>
      <c r="C96" s="81"/>
      <c r="D96" s="66"/>
      <c r="E96" s="66"/>
      <c r="F96" s="66"/>
      <c r="G96" s="66"/>
      <c r="H96" s="66"/>
      <c r="I96" s="66"/>
      <c r="J96" s="73"/>
      <c r="K96" s="66"/>
      <c r="L96" s="66"/>
      <c r="M96" s="207"/>
      <c r="N96" s="66"/>
    </row>
    <row r="97" spans="1:14" x14ac:dyDescent="0.2">
      <c r="A97" s="58" t="s">
        <v>32</v>
      </c>
      <c r="B97" s="60">
        <f>-B53</f>
        <v>-49035.977625206891</v>
      </c>
      <c r="C97" s="81"/>
      <c r="D97" s="66"/>
      <c r="E97" s="66"/>
      <c r="F97" s="66"/>
      <c r="G97" s="66"/>
      <c r="H97" s="66"/>
      <c r="I97" s="66"/>
      <c r="J97" s="73"/>
      <c r="K97" s="66"/>
      <c r="L97" s="66"/>
      <c r="M97" s="207"/>
      <c r="N97" s="66"/>
    </row>
    <row r="98" spans="1:14" x14ac:dyDescent="0.2">
      <c r="A98" s="58" t="s">
        <v>33</v>
      </c>
      <c r="B98" s="60">
        <f>SUM(-B83)</f>
        <v>-8802.2938949357376</v>
      </c>
      <c r="C98" s="81"/>
      <c r="D98" s="66"/>
      <c r="E98" s="210"/>
      <c r="F98" s="210"/>
      <c r="G98" s="210"/>
      <c r="H98" s="210"/>
      <c r="I98" s="66"/>
      <c r="J98" s="73"/>
      <c r="K98" s="66"/>
      <c r="L98" s="66"/>
      <c r="M98" s="66"/>
      <c r="N98" s="66"/>
    </row>
    <row r="99" spans="1:14" x14ac:dyDescent="0.2">
      <c r="A99" s="58" t="s">
        <v>182</v>
      </c>
      <c r="B99" s="60">
        <f>SUM(B90)</f>
        <v>-8034.733413663962</v>
      </c>
      <c r="C99" s="81"/>
      <c r="D99" s="66"/>
      <c r="E99" s="210"/>
      <c r="F99" s="210"/>
      <c r="G99" s="210"/>
      <c r="H99" s="210"/>
      <c r="I99" s="66"/>
      <c r="J99" s="73"/>
      <c r="K99" s="66"/>
      <c r="L99" s="66"/>
      <c r="M99" s="66"/>
      <c r="N99" s="66"/>
    </row>
    <row r="100" spans="1:14" x14ac:dyDescent="0.2">
      <c r="A100" s="87" t="s">
        <v>35</v>
      </c>
      <c r="B100" s="88">
        <f>SUM(B96:B99)</f>
        <v>-1085.504933806591</v>
      </c>
      <c r="C100" s="81"/>
      <c r="D100" s="426"/>
      <c r="E100" s="73"/>
      <c r="F100" s="66"/>
      <c r="G100" s="81"/>
      <c r="H100" s="81"/>
      <c r="I100" s="66"/>
      <c r="J100" s="73"/>
      <c r="K100" s="66"/>
      <c r="L100" s="66"/>
      <c r="M100" s="66"/>
      <c r="N100" s="66"/>
    </row>
    <row r="101" spans="1:14" x14ac:dyDescent="0.2">
      <c r="C101" s="203"/>
      <c r="D101" s="203"/>
      <c r="E101" s="203"/>
      <c r="F101" s="203"/>
      <c r="G101" s="203"/>
      <c r="H101" s="203"/>
      <c r="I101" s="203"/>
      <c r="J101" s="73"/>
      <c r="K101" s="66"/>
      <c r="L101" s="66"/>
      <c r="M101" s="66"/>
      <c r="N101" s="66"/>
    </row>
    <row r="102" spans="1:14" x14ac:dyDescent="0.2">
      <c r="C102" s="60"/>
      <c r="D102" s="66"/>
      <c r="E102" s="66"/>
      <c r="F102" s="66"/>
      <c r="G102" s="66"/>
      <c r="H102" s="66"/>
      <c r="I102" s="66"/>
      <c r="J102" s="66"/>
      <c r="K102" s="66"/>
      <c r="L102" s="66"/>
      <c r="M102" s="66"/>
      <c r="N102" s="66"/>
    </row>
    <row r="103" spans="1:14" x14ac:dyDescent="0.2">
      <c r="A103" s="58"/>
      <c r="B103" s="60" t="s">
        <v>183</v>
      </c>
      <c r="C103" s="75">
        <f>SUM(C109+C122+C135+C148+C161+C174+C187+C200)</f>
        <v>1.0451149425287356</v>
      </c>
      <c r="D103" s="75">
        <f t="shared" ref="D103:N103" si="18">SUM(D109+D122+D135+D148+D161+D174+D187+D200)</f>
        <v>1.0451149425287356</v>
      </c>
      <c r="E103" s="75">
        <f t="shared" si="18"/>
        <v>1.0451149425287356</v>
      </c>
      <c r="F103" s="75">
        <f t="shared" si="18"/>
        <v>1.0451149425287356</v>
      </c>
      <c r="G103" s="75">
        <f t="shared" si="18"/>
        <v>1.0451149425287356</v>
      </c>
      <c r="H103" s="75">
        <f t="shared" si="18"/>
        <v>1.8151149425287358</v>
      </c>
      <c r="I103" s="75">
        <f t="shared" si="18"/>
        <v>1.7151149425287358</v>
      </c>
      <c r="J103" s="75">
        <f t="shared" si="18"/>
        <v>1.7151149425287358</v>
      </c>
      <c r="K103" s="75">
        <f t="shared" si="18"/>
        <v>1.0201149425287357</v>
      </c>
      <c r="L103" s="75">
        <f t="shared" si="18"/>
        <v>1.0201149425287357</v>
      </c>
      <c r="M103" s="75">
        <f t="shared" si="18"/>
        <v>0.94511494252873574</v>
      </c>
      <c r="N103" s="75">
        <f t="shared" si="18"/>
        <v>0.94511494252873574</v>
      </c>
    </row>
    <row r="104" spans="1:14" x14ac:dyDescent="0.2">
      <c r="A104" s="58"/>
      <c r="C104" s="73"/>
      <c r="D104" s="66"/>
      <c r="E104" s="66"/>
      <c r="F104" s="66"/>
      <c r="G104" s="66"/>
      <c r="H104" s="66"/>
      <c r="I104" s="66"/>
      <c r="J104" s="66"/>
      <c r="K104" s="66"/>
      <c r="L104" s="66"/>
      <c r="M104" s="66"/>
    </row>
    <row r="105" spans="1:14" x14ac:dyDescent="0.2">
      <c r="A105" s="116" t="s">
        <v>184</v>
      </c>
      <c r="B105" s="92"/>
      <c r="C105" s="25"/>
      <c r="D105" s="91"/>
      <c r="E105" s="91"/>
      <c r="F105" s="91"/>
      <c r="G105" s="91"/>
      <c r="H105" s="91"/>
      <c r="I105" s="91"/>
      <c r="J105" s="91"/>
      <c r="K105" s="91"/>
      <c r="L105" s="91"/>
      <c r="M105" s="91"/>
      <c r="N105" s="27"/>
    </row>
    <row r="106" spans="1:14" x14ac:dyDescent="0.2">
      <c r="C106" s="89" t="str">
        <f t="shared" ref="C106:N106" si="19">C5</f>
        <v>January</v>
      </c>
      <c r="D106" s="89" t="str">
        <f t="shared" si="19"/>
        <v>February</v>
      </c>
      <c r="E106" s="89" t="str">
        <f t="shared" si="19"/>
        <v>March</v>
      </c>
      <c r="F106" s="89" t="str">
        <f t="shared" si="19"/>
        <v>April</v>
      </c>
      <c r="G106" s="89" t="str">
        <f t="shared" si="19"/>
        <v>May</v>
      </c>
      <c r="H106" s="89" t="str">
        <f t="shared" si="19"/>
        <v>June</v>
      </c>
      <c r="I106" s="89" t="str">
        <f t="shared" si="19"/>
        <v>July</v>
      </c>
      <c r="J106" s="89" t="str">
        <f t="shared" si="19"/>
        <v>August</v>
      </c>
      <c r="K106" s="89" t="str">
        <f t="shared" si="19"/>
        <v>September</v>
      </c>
      <c r="L106" s="89" t="str">
        <f t="shared" si="19"/>
        <v>October</v>
      </c>
      <c r="M106" s="89" t="str">
        <f t="shared" si="19"/>
        <v>November</v>
      </c>
      <c r="N106" s="89" t="str">
        <f t="shared" si="19"/>
        <v>December</v>
      </c>
    </row>
    <row r="107" spans="1:14" x14ac:dyDescent="0.2">
      <c r="C107" s="72">
        <v>31</v>
      </c>
      <c r="D107" s="72">
        <v>31</v>
      </c>
      <c r="E107" s="72">
        <v>30</v>
      </c>
      <c r="F107" s="72">
        <v>31</v>
      </c>
      <c r="G107" s="72">
        <v>30</v>
      </c>
      <c r="H107" s="72">
        <v>31</v>
      </c>
      <c r="I107" s="72">
        <v>31</v>
      </c>
      <c r="J107" s="72">
        <v>28</v>
      </c>
      <c r="K107" s="72">
        <v>31</v>
      </c>
      <c r="L107" s="72">
        <v>30</v>
      </c>
      <c r="M107" s="72">
        <v>31</v>
      </c>
      <c r="N107" s="71">
        <v>30</v>
      </c>
    </row>
    <row r="108" spans="1:14" x14ac:dyDescent="0.2">
      <c r="B108" s="89" t="s">
        <v>185</v>
      </c>
      <c r="C108" s="78">
        <v>1</v>
      </c>
      <c r="D108" s="78">
        <v>0</v>
      </c>
      <c r="E108" s="78">
        <v>1</v>
      </c>
      <c r="F108" s="78">
        <f>F95</f>
        <v>0</v>
      </c>
      <c r="G108" s="78">
        <v>2</v>
      </c>
      <c r="H108" s="78">
        <f>H95</f>
        <v>0</v>
      </c>
      <c r="I108" s="78">
        <v>2</v>
      </c>
      <c r="J108" s="78">
        <v>1</v>
      </c>
      <c r="K108" s="78">
        <v>0</v>
      </c>
      <c r="L108" s="78">
        <v>0</v>
      </c>
      <c r="M108" s="78">
        <v>1</v>
      </c>
      <c r="N108" s="78">
        <f>N95</f>
        <v>0</v>
      </c>
    </row>
    <row r="109" spans="1:14" x14ac:dyDescent="0.2">
      <c r="B109" s="89" t="s">
        <v>44</v>
      </c>
      <c r="C109" s="49">
        <v>0.38</v>
      </c>
      <c r="D109" s="49">
        <v>0.38</v>
      </c>
      <c r="E109" s="49">
        <v>0.38</v>
      </c>
      <c r="F109" s="49">
        <v>0.38</v>
      </c>
      <c r="G109" s="49">
        <v>0.38</v>
      </c>
      <c r="H109" s="49">
        <v>0.38</v>
      </c>
      <c r="I109" s="49">
        <v>0.33</v>
      </c>
      <c r="J109" s="49">
        <v>0.33</v>
      </c>
      <c r="K109" s="49">
        <v>0.33</v>
      </c>
      <c r="L109" s="49">
        <v>0.33</v>
      </c>
      <c r="M109" s="49">
        <v>0.33</v>
      </c>
      <c r="N109" s="49">
        <v>0.33</v>
      </c>
    </row>
    <row r="110" spans="1:14" x14ac:dyDescent="0.2">
      <c r="B110" s="89" t="s">
        <v>186</v>
      </c>
      <c r="C110" s="53">
        <f>SUM(174*C109)</f>
        <v>66.12</v>
      </c>
      <c r="D110" s="53">
        <f t="shared" ref="D110:N110" si="20">SUM(174*D109)</f>
        <v>66.12</v>
      </c>
      <c r="E110" s="53">
        <f t="shared" si="20"/>
        <v>66.12</v>
      </c>
      <c r="F110" s="53">
        <f t="shared" si="20"/>
        <v>66.12</v>
      </c>
      <c r="G110" s="53">
        <f t="shared" si="20"/>
        <v>66.12</v>
      </c>
      <c r="H110" s="53">
        <f t="shared" si="20"/>
        <v>66.12</v>
      </c>
      <c r="I110" s="53">
        <f t="shared" si="20"/>
        <v>57.42</v>
      </c>
      <c r="J110" s="53">
        <f t="shared" si="20"/>
        <v>57.42</v>
      </c>
      <c r="K110" s="53">
        <f t="shared" si="20"/>
        <v>57.42</v>
      </c>
      <c r="L110" s="53">
        <f t="shared" si="20"/>
        <v>57.42</v>
      </c>
      <c r="M110" s="53">
        <f t="shared" si="20"/>
        <v>57.42</v>
      </c>
      <c r="N110" s="53">
        <f t="shared" si="20"/>
        <v>57.42</v>
      </c>
    </row>
    <row r="111" spans="1:14" x14ac:dyDescent="0.2">
      <c r="A111" s="59" t="s">
        <v>275</v>
      </c>
      <c r="B111" s="78" t="s">
        <v>256</v>
      </c>
      <c r="C111" s="66">
        <f>SUM(C110*$B$112)</f>
        <v>1090.98</v>
      </c>
      <c r="D111" s="66">
        <f t="shared" ref="D111:N111" si="21">SUM(D110*$B$112)</f>
        <v>1090.98</v>
      </c>
      <c r="E111" s="66">
        <f t="shared" si="21"/>
        <v>1090.98</v>
      </c>
      <c r="F111" s="66">
        <f t="shared" si="21"/>
        <v>1090.98</v>
      </c>
      <c r="G111" s="66">
        <f t="shared" si="21"/>
        <v>1090.98</v>
      </c>
      <c r="H111" s="66">
        <f t="shared" si="21"/>
        <v>1090.98</v>
      </c>
      <c r="I111" s="66">
        <f t="shared" si="21"/>
        <v>947.43000000000006</v>
      </c>
      <c r="J111" s="66">
        <f t="shared" si="21"/>
        <v>947.43000000000006</v>
      </c>
      <c r="K111" s="66">
        <f t="shared" si="21"/>
        <v>947.43000000000006</v>
      </c>
      <c r="L111" s="66">
        <f t="shared" si="21"/>
        <v>947.43000000000006</v>
      </c>
      <c r="M111" s="66">
        <f t="shared" si="21"/>
        <v>947.43000000000006</v>
      </c>
      <c r="N111" s="66">
        <f t="shared" si="21"/>
        <v>947.43000000000006</v>
      </c>
    </row>
    <row r="112" spans="1:14" x14ac:dyDescent="0.2">
      <c r="A112" s="59" t="s">
        <v>188</v>
      </c>
      <c r="B112" s="74">
        <v>16.5</v>
      </c>
      <c r="C112" s="66">
        <f>SUM(C111)*'Data Links'!$B$15</f>
        <v>83.459969999999998</v>
      </c>
      <c r="D112" s="66">
        <f>SUM(D111)*'Data Links'!$B$15</f>
        <v>83.459969999999998</v>
      </c>
      <c r="E112" s="66">
        <f>SUM(E111)*'Data Links'!$B$15</f>
        <v>83.459969999999998</v>
      </c>
      <c r="F112" s="66">
        <f>SUM(F111)*'Data Links'!$B$15</f>
        <v>83.459969999999998</v>
      </c>
      <c r="G112" s="66">
        <f>SUM(G111)*'Data Links'!$B$15</f>
        <v>83.459969999999998</v>
      </c>
      <c r="H112" s="66">
        <f>SUM(H111)*'Data Links'!$B$15</f>
        <v>83.459969999999998</v>
      </c>
      <c r="I112" s="66">
        <f>SUM(I111)*'Data Links'!$B$15</f>
        <v>72.478395000000006</v>
      </c>
      <c r="J112" s="66">
        <f>SUM(J111)*'Data Links'!$B$15</f>
        <v>72.478395000000006</v>
      </c>
      <c r="K112" s="66">
        <f>SUM(K111)*'Data Links'!$B$15</f>
        <v>72.478395000000006</v>
      </c>
      <c r="L112" s="66">
        <f>SUM(L111)*'Data Links'!$B$15</f>
        <v>72.478395000000006</v>
      </c>
      <c r="M112" s="66">
        <f>SUM(M111)*'Data Links'!$B$15</f>
        <v>72.478395000000006</v>
      </c>
      <c r="N112" s="66">
        <f>SUM(N111)*'Data Links'!$B$15</f>
        <v>72.478395000000006</v>
      </c>
    </row>
    <row r="113" spans="1:14" x14ac:dyDescent="0.2">
      <c r="A113" s="59" t="s">
        <v>189</v>
      </c>
      <c r="B113" s="74">
        <v>15.3</v>
      </c>
      <c r="C113" s="66">
        <f>SUM(C111*'Data Links'!$B$13)</f>
        <v>6.5458800000000004</v>
      </c>
      <c r="D113" s="66">
        <f>SUM(D111*'Data Links'!$B$13)</f>
        <v>6.5458800000000004</v>
      </c>
      <c r="E113" s="66">
        <f>SUM(E111*'Data Links'!$B$13)</f>
        <v>6.5458800000000004</v>
      </c>
      <c r="F113" s="66">
        <f>SUM(F111*'Data Links'!$B$13)</f>
        <v>6.5458800000000004</v>
      </c>
      <c r="G113" s="66">
        <f>SUM(G111*'Data Links'!$B$13)</f>
        <v>6.5458800000000004</v>
      </c>
      <c r="H113" s="66">
        <f>SUM(H111*'Data Links'!$B$13)</f>
        <v>6.5458800000000004</v>
      </c>
      <c r="I113" s="66">
        <f>SUM(I111*'Data Links'!$B$13)</f>
        <v>5.6845800000000004</v>
      </c>
      <c r="J113" s="66">
        <f>SUM(J111*'Data Links'!$B$13)</f>
        <v>5.6845800000000004</v>
      </c>
      <c r="K113" s="66">
        <f>SUM(K111*'Data Links'!$B$13)</f>
        <v>5.6845800000000004</v>
      </c>
      <c r="L113" s="66">
        <f>SUM(L111*'Data Links'!$B$13)</f>
        <v>5.6845800000000004</v>
      </c>
      <c r="M113" s="66">
        <f>SUM(M111*'Data Links'!$B$13)</f>
        <v>5.6845800000000004</v>
      </c>
      <c r="N113" s="66">
        <f>SUM(N111*'Data Links'!$B$13)</f>
        <v>5.6845800000000004</v>
      </c>
    </row>
    <row r="114" spans="1:14" x14ac:dyDescent="0.2">
      <c r="A114" s="59" t="s">
        <v>190</v>
      </c>
      <c r="C114" s="66">
        <f>SUM(C110*'Data Links'!$B$8)</f>
        <v>5.1474420000000007</v>
      </c>
      <c r="D114" s="66">
        <f>SUM(D110*'Data Links'!$B$8)</f>
        <v>5.1474420000000007</v>
      </c>
      <c r="E114" s="66">
        <f>SUM(E110*'Data Links'!$B$8)</f>
        <v>5.1474420000000007</v>
      </c>
      <c r="F114" s="66">
        <f>SUM(F110*'Data Links'!$B$8)</f>
        <v>5.1474420000000007</v>
      </c>
      <c r="G114" s="66">
        <f>SUM(G110*'Data Links'!$B$8)</f>
        <v>5.1474420000000007</v>
      </c>
      <c r="H114" s="66">
        <f>SUM(H110*'Data Links'!$B$8)</f>
        <v>5.1474420000000007</v>
      </c>
      <c r="I114" s="66">
        <f>SUM(I110*'Data Links'!$B$8)</f>
        <v>4.4701469999999999</v>
      </c>
      <c r="J114" s="66">
        <f>SUM(J110*'Data Links'!$B$8)</f>
        <v>4.4701469999999999</v>
      </c>
      <c r="K114" s="66">
        <f>SUM(K110*'Data Links'!$B$8)</f>
        <v>4.4701469999999999</v>
      </c>
      <c r="L114" s="66">
        <f>SUM(L110*'Data Links'!$B$8)</f>
        <v>4.4701469999999999</v>
      </c>
      <c r="M114" s="66">
        <f>SUM(M110*'Data Links'!$B$8)</f>
        <v>4.4701469999999999</v>
      </c>
      <c r="N114" s="66">
        <f>SUM(N110*'Data Links'!$B$8)</f>
        <v>4.4701469999999999</v>
      </c>
    </row>
    <row r="115" spans="1:14" x14ac:dyDescent="0.2">
      <c r="A115" s="59" t="s">
        <v>191</v>
      </c>
      <c r="C115" s="66"/>
      <c r="D115" s="66"/>
      <c r="E115" s="66"/>
      <c r="F115" s="66"/>
      <c r="G115" s="66"/>
      <c r="H115" s="66"/>
      <c r="I115" s="66"/>
      <c r="J115" s="66"/>
      <c r="K115" s="66"/>
      <c r="L115" s="66"/>
      <c r="M115" s="66"/>
      <c r="N115" s="66"/>
    </row>
    <row r="116" spans="1:14" x14ac:dyDescent="0.2">
      <c r="A116" s="59" t="s">
        <v>192</v>
      </c>
      <c r="C116" s="66">
        <f>SUM(C111*'Data Links'!$B$17)</f>
        <v>32.729399999999998</v>
      </c>
      <c r="D116" s="66">
        <f>SUM(D111*'Data Links'!$B$17)</f>
        <v>32.729399999999998</v>
      </c>
      <c r="E116" s="66">
        <f>SUM(E111*'Data Links'!$B$17)</f>
        <v>32.729399999999998</v>
      </c>
      <c r="F116" s="66">
        <f>SUM(F111*'Data Links'!$B$17)</f>
        <v>32.729399999999998</v>
      </c>
      <c r="G116" s="66">
        <f>SUM(G111*'Data Links'!$B$17)</f>
        <v>32.729399999999998</v>
      </c>
      <c r="H116" s="66">
        <f>SUM(H111*'Data Links'!$B$17)</f>
        <v>32.729399999999998</v>
      </c>
      <c r="I116" s="66">
        <f>SUM(I111*'Data Links'!$B$17)</f>
        <v>28.422900000000002</v>
      </c>
      <c r="J116" s="66">
        <f>SUM(J111*'Data Links'!$B$17)</f>
        <v>28.422900000000002</v>
      </c>
      <c r="K116" s="66">
        <f>SUM(K111*'Data Links'!$B$17)</f>
        <v>28.422900000000002</v>
      </c>
      <c r="L116" s="66">
        <f>SUM(L111*'Data Links'!$B$17)</f>
        <v>28.422900000000002</v>
      </c>
      <c r="M116" s="66">
        <f>SUM(M111*'Data Links'!$B$17)</f>
        <v>28.422900000000002</v>
      </c>
      <c r="N116" s="66">
        <f>SUM(N111*'Data Links'!$B$17)</f>
        <v>28.422900000000002</v>
      </c>
    </row>
    <row r="117" spans="1:14" s="58" customFormat="1" x14ac:dyDescent="0.2">
      <c r="A117" s="58" t="s">
        <v>144</v>
      </c>
      <c r="B117" s="60"/>
      <c r="C117" s="60">
        <f t="shared" ref="C117:N117" si="22">SUM(C111:C116)</f>
        <v>1218.8626919999997</v>
      </c>
      <c r="D117" s="60">
        <f t="shared" si="22"/>
        <v>1218.8626919999997</v>
      </c>
      <c r="E117" s="60">
        <f t="shared" si="22"/>
        <v>1218.8626919999997</v>
      </c>
      <c r="F117" s="60">
        <f t="shared" si="22"/>
        <v>1218.8626919999997</v>
      </c>
      <c r="G117" s="60">
        <f t="shared" si="22"/>
        <v>1218.8626919999997</v>
      </c>
      <c r="H117" s="60">
        <f t="shared" si="22"/>
        <v>1218.8626919999997</v>
      </c>
      <c r="I117" s="60">
        <f t="shared" si="22"/>
        <v>1058.486022</v>
      </c>
      <c r="J117" s="60">
        <f t="shared" si="22"/>
        <v>1058.486022</v>
      </c>
      <c r="K117" s="60">
        <f t="shared" si="22"/>
        <v>1058.486022</v>
      </c>
      <c r="L117" s="60">
        <f t="shared" si="22"/>
        <v>1058.486022</v>
      </c>
      <c r="M117" s="60">
        <f t="shared" si="22"/>
        <v>1058.486022</v>
      </c>
      <c r="N117" s="60">
        <f t="shared" si="22"/>
        <v>1058.486022</v>
      </c>
    </row>
    <row r="118" spans="1:14" x14ac:dyDescent="0.2">
      <c r="C118" s="60"/>
      <c r="D118" s="66"/>
      <c r="E118" s="66"/>
      <c r="F118" s="66"/>
      <c r="G118" s="66"/>
      <c r="H118" s="66"/>
      <c r="I118" s="66"/>
      <c r="J118" s="66"/>
      <c r="K118" s="66"/>
      <c r="L118" s="66"/>
      <c r="M118" s="66"/>
      <c r="N118" s="66"/>
    </row>
    <row r="119" spans="1:14" x14ac:dyDescent="0.2">
      <c r="C119" s="89" t="str">
        <f>C106</f>
        <v>January</v>
      </c>
      <c r="D119" s="89" t="str">
        <f t="shared" ref="D119:N119" si="23">D106</f>
        <v>February</v>
      </c>
      <c r="E119" s="89" t="str">
        <f t="shared" si="23"/>
        <v>March</v>
      </c>
      <c r="F119" s="89" t="str">
        <f t="shared" si="23"/>
        <v>April</v>
      </c>
      <c r="G119" s="89" t="str">
        <f t="shared" si="23"/>
        <v>May</v>
      </c>
      <c r="H119" s="89" t="str">
        <f t="shared" si="23"/>
        <v>June</v>
      </c>
      <c r="I119" s="89" t="str">
        <f t="shared" si="23"/>
        <v>July</v>
      </c>
      <c r="J119" s="89" t="str">
        <f t="shared" si="23"/>
        <v>August</v>
      </c>
      <c r="K119" s="89" t="str">
        <f t="shared" si="23"/>
        <v>September</v>
      </c>
      <c r="L119" s="89" t="str">
        <f t="shared" si="23"/>
        <v>October</v>
      </c>
      <c r="M119" s="89" t="str">
        <f t="shared" si="23"/>
        <v>November</v>
      </c>
      <c r="N119" s="89" t="str">
        <f t="shared" si="23"/>
        <v>December</v>
      </c>
    </row>
    <row r="120" spans="1:14" x14ac:dyDescent="0.2">
      <c r="C120" s="72">
        <v>31</v>
      </c>
      <c r="D120" s="72">
        <v>31</v>
      </c>
      <c r="E120" s="72">
        <v>30</v>
      </c>
      <c r="F120" s="72">
        <v>31</v>
      </c>
      <c r="G120" s="72">
        <v>30</v>
      </c>
      <c r="H120" s="72">
        <v>31</v>
      </c>
      <c r="I120" s="72">
        <v>31</v>
      </c>
      <c r="J120" s="72">
        <v>28</v>
      </c>
      <c r="K120" s="72">
        <v>31</v>
      </c>
      <c r="L120" s="72">
        <v>30</v>
      </c>
      <c r="M120" s="72">
        <v>31</v>
      </c>
      <c r="N120" s="71">
        <v>30</v>
      </c>
    </row>
    <row r="121" spans="1:14" x14ac:dyDescent="0.2">
      <c r="B121" s="89" t="s">
        <v>185</v>
      </c>
      <c r="C121" s="78">
        <v>1</v>
      </c>
      <c r="D121" s="78">
        <v>0</v>
      </c>
      <c r="E121" s="78">
        <v>1</v>
      </c>
      <c r="F121" s="78">
        <f>F108</f>
        <v>0</v>
      </c>
      <c r="G121" s="78">
        <v>2</v>
      </c>
      <c r="H121" s="78">
        <f>H108</f>
        <v>0</v>
      </c>
      <c r="I121" s="78">
        <v>2</v>
      </c>
      <c r="J121" s="78">
        <v>1</v>
      </c>
      <c r="K121" s="78">
        <v>0</v>
      </c>
      <c r="L121" s="78">
        <v>0</v>
      </c>
      <c r="M121" s="78">
        <v>1</v>
      </c>
      <c r="N121" s="78">
        <f>N108</f>
        <v>0</v>
      </c>
    </row>
    <row r="122" spans="1:14" x14ac:dyDescent="0.2">
      <c r="B122" s="89" t="s">
        <v>44</v>
      </c>
      <c r="C122" s="49">
        <v>0.55000000000000004</v>
      </c>
      <c r="D122" s="49">
        <v>0.55000000000000004</v>
      </c>
      <c r="E122" s="49">
        <v>0.55000000000000004</v>
      </c>
      <c r="F122" s="49">
        <v>0.55000000000000004</v>
      </c>
      <c r="G122" s="49">
        <v>0.55000000000000004</v>
      </c>
      <c r="H122" s="49">
        <v>0.65</v>
      </c>
      <c r="I122" s="49">
        <v>0.6</v>
      </c>
      <c r="J122" s="49">
        <v>0.6</v>
      </c>
      <c r="K122" s="49">
        <v>0.5</v>
      </c>
      <c r="L122" s="49">
        <v>0.5</v>
      </c>
      <c r="M122" s="49">
        <v>0.5</v>
      </c>
      <c r="N122" s="49">
        <v>0.5</v>
      </c>
    </row>
    <row r="123" spans="1:14" x14ac:dyDescent="0.2">
      <c r="B123" s="89" t="s">
        <v>186</v>
      </c>
      <c r="C123" s="53">
        <f>SUM(174*C122)</f>
        <v>95.7</v>
      </c>
      <c r="D123" s="53">
        <f t="shared" ref="D123:N123" si="24">SUM(174*D122)</f>
        <v>95.7</v>
      </c>
      <c r="E123" s="53">
        <f t="shared" si="24"/>
        <v>95.7</v>
      </c>
      <c r="F123" s="53">
        <f t="shared" si="24"/>
        <v>95.7</v>
      </c>
      <c r="G123" s="53">
        <f t="shared" si="24"/>
        <v>95.7</v>
      </c>
      <c r="H123" s="53">
        <f t="shared" si="24"/>
        <v>113.10000000000001</v>
      </c>
      <c r="I123" s="53">
        <f t="shared" si="24"/>
        <v>104.39999999999999</v>
      </c>
      <c r="J123" s="53">
        <f t="shared" si="24"/>
        <v>104.39999999999999</v>
      </c>
      <c r="K123" s="53">
        <f t="shared" si="24"/>
        <v>87</v>
      </c>
      <c r="L123" s="53">
        <f t="shared" si="24"/>
        <v>87</v>
      </c>
      <c r="M123" s="53">
        <f t="shared" si="24"/>
        <v>87</v>
      </c>
      <c r="N123" s="53">
        <f t="shared" si="24"/>
        <v>87</v>
      </c>
    </row>
    <row r="124" spans="1:14" x14ac:dyDescent="0.2">
      <c r="A124" s="147" t="s">
        <v>276</v>
      </c>
      <c r="B124" s="78" t="s">
        <v>271</v>
      </c>
      <c r="C124" s="66">
        <f>SUM(C123*$B$125)</f>
        <v>1784.8049999999998</v>
      </c>
      <c r="D124" s="66">
        <f t="shared" ref="D124:N124" si="25">SUM(D123*$B$125)</f>
        <v>1784.8049999999998</v>
      </c>
      <c r="E124" s="66">
        <f t="shared" si="25"/>
        <v>1784.8049999999998</v>
      </c>
      <c r="F124" s="66">
        <f t="shared" si="25"/>
        <v>1784.8049999999998</v>
      </c>
      <c r="G124" s="66">
        <f t="shared" si="25"/>
        <v>1784.8049999999998</v>
      </c>
      <c r="H124" s="66">
        <f t="shared" si="25"/>
        <v>2109.3150000000001</v>
      </c>
      <c r="I124" s="66">
        <f t="shared" si="25"/>
        <v>1947.0599999999997</v>
      </c>
      <c r="J124" s="66">
        <f t="shared" si="25"/>
        <v>1947.0599999999997</v>
      </c>
      <c r="K124" s="66">
        <f t="shared" si="25"/>
        <v>1622.55</v>
      </c>
      <c r="L124" s="66">
        <f t="shared" si="25"/>
        <v>1622.55</v>
      </c>
      <c r="M124" s="66">
        <f t="shared" si="25"/>
        <v>1622.55</v>
      </c>
      <c r="N124" s="66">
        <f t="shared" si="25"/>
        <v>1622.55</v>
      </c>
    </row>
    <row r="125" spans="1:14" x14ac:dyDescent="0.2">
      <c r="A125" s="59" t="s">
        <v>188</v>
      </c>
      <c r="B125" s="74">
        <v>18.649999999999999</v>
      </c>
      <c r="C125" s="66">
        <f>SUM(C124)*'Data Links'!$B$15</f>
        <v>136.53758249999998</v>
      </c>
      <c r="D125" s="66">
        <f>SUM(D124)*'Data Links'!$B$15</f>
        <v>136.53758249999998</v>
      </c>
      <c r="E125" s="66">
        <f>SUM(E124)*'Data Links'!$B$15</f>
        <v>136.53758249999998</v>
      </c>
      <c r="F125" s="66">
        <f>SUM(F124)*'Data Links'!$B$15</f>
        <v>136.53758249999998</v>
      </c>
      <c r="G125" s="66">
        <f>SUM(G124)*'Data Links'!$B$15</f>
        <v>136.53758249999998</v>
      </c>
      <c r="H125" s="66">
        <f>SUM(H124)*'Data Links'!$B$15</f>
        <v>161.36259749999999</v>
      </c>
      <c r="I125" s="66">
        <f>SUM(I124)*'Data Links'!$B$15</f>
        <v>148.95008999999999</v>
      </c>
      <c r="J125" s="66">
        <f>SUM(J124)*'Data Links'!$B$15</f>
        <v>148.95008999999999</v>
      </c>
      <c r="K125" s="66">
        <f>SUM(K124)*'Data Links'!$B$15</f>
        <v>124.125075</v>
      </c>
      <c r="L125" s="66">
        <f>SUM(L124)*'Data Links'!$B$15</f>
        <v>124.125075</v>
      </c>
      <c r="M125" s="66">
        <f>SUM(M124)*'Data Links'!$B$15</f>
        <v>124.125075</v>
      </c>
      <c r="N125" s="66">
        <f>SUM(N124)*'Data Links'!$B$15</f>
        <v>124.125075</v>
      </c>
    </row>
    <row r="126" spans="1:14" x14ac:dyDescent="0.2">
      <c r="A126" s="59" t="s">
        <v>189</v>
      </c>
      <c r="C126" s="66">
        <f>SUM(C124*'Data Links'!$B$13)</f>
        <v>10.708829999999999</v>
      </c>
      <c r="D126" s="66">
        <f>SUM(D124*'Data Links'!$B$13)</f>
        <v>10.708829999999999</v>
      </c>
      <c r="E126" s="66">
        <f>SUM(E124*'Data Links'!$B$13)</f>
        <v>10.708829999999999</v>
      </c>
      <c r="F126" s="66">
        <f>SUM(F124*'Data Links'!$B$13)</f>
        <v>10.708829999999999</v>
      </c>
      <c r="G126" s="66">
        <f>SUM(G124*'Data Links'!$B$13)</f>
        <v>10.708829999999999</v>
      </c>
      <c r="H126" s="66">
        <f>SUM(H124*'Data Links'!$B$13)</f>
        <v>12.655890000000001</v>
      </c>
      <c r="I126" s="66">
        <f>SUM(I124*'Data Links'!$B$13)</f>
        <v>11.682359999999999</v>
      </c>
      <c r="J126" s="66">
        <f>SUM(J124*'Data Links'!$B$13)</f>
        <v>11.682359999999999</v>
      </c>
      <c r="K126" s="66">
        <f>SUM(K124*'Data Links'!$B$13)</f>
        <v>9.7353000000000005</v>
      </c>
      <c r="L126" s="66">
        <f>SUM(L124*'Data Links'!$B$13)</f>
        <v>9.7353000000000005</v>
      </c>
      <c r="M126" s="66">
        <f>SUM(M124*'Data Links'!$B$13)</f>
        <v>9.7353000000000005</v>
      </c>
      <c r="N126" s="66">
        <f>SUM(N124*'Data Links'!$B$13)</f>
        <v>9.7353000000000005</v>
      </c>
    </row>
    <row r="127" spans="1:14" x14ac:dyDescent="0.2">
      <c r="A127" s="59" t="s">
        <v>190</v>
      </c>
      <c r="C127" s="66">
        <f>SUM(C123*'Data Links'!$B$8)</f>
        <v>7.4502450000000007</v>
      </c>
      <c r="D127" s="66">
        <f>SUM(D123*'Data Links'!$B$8)</f>
        <v>7.4502450000000007</v>
      </c>
      <c r="E127" s="66">
        <f>SUM(E123*'Data Links'!$B$8)</f>
        <v>7.4502450000000007</v>
      </c>
      <c r="F127" s="66">
        <f>SUM(F123*'Data Links'!$B$8)</f>
        <v>7.4502450000000007</v>
      </c>
      <c r="G127" s="66">
        <f>SUM(G123*'Data Links'!$B$8)</f>
        <v>7.4502450000000007</v>
      </c>
      <c r="H127" s="66">
        <f>SUM(H123*'Data Links'!$B$8)</f>
        <v>8.8048350000000006</v>
      </c>
      <c r="I127" s="66">
        <f>SUM(I123*'Data Links'!$B$8)</f>
        <v>8.1275399999999998</v>
      </c>
      <c r="J127" s="66">
        <f>SUM(J123*'Data Links'!$B$8)</f>
        <v>8.1275399999999998</v>
      </c>
      <c r="K127" s="66">
        <f>SUM(K123*'Data Links'!$B$8)</f>
        <v>6.7729499999999998</v>
      </c>
      <c r="L127" s="66">
        <f>SUM(L123*'Data Links'!$B$8)</f>
        <v>6.7729499999999998</v>
      </c>
      <c r="M127" s="66">
        <f>SUM(M123*'Data Links'!$B$8)</f>
        <v>6.7729499999999998</v>
      </c>
      <c r="N127" s="66">
        <f>SUM(N123*'Data Links'!$B$8)</f>
        <v>6.7729499999999998</v>
      </c>
    </row>
    <row r="128" spans="1:14" x14ac:dyDescent="0.2">
      <c r="A128" s="59" t="s">
        <v>191</v>
      </c>
      <c r="C128" s="210"/>
      <c r="D128" s="210"/>
      <c r="E128" s="210"/>
      <c r="F128" s="210"/>
      <c r="G128" s="210"/>
      <c r="H128" s="210"/>
      <c r="I128" s="210"/>
      <c r="J128" s="210"/>
      <c r="K128" s="210"/>
      <c r="L128" s="210"/>
      <c r="M128" s="210"/>
      <c r="N128" s="210"/>
    </row>
    <row r="129" spans="1:14" x14ac:dyDescent="0.2">
      <c r="A129" s="59" t="s">
        <v>192</v>
      </c>
      <c r="C129" s="66">
        <f>SUM(C124*'Data Links'!$B$17)</f>
        <v>53.544149999999995</v>
      </c>
      <c r="D129" s="66">
        <f>SUM(D124*'Data Links'!$B$17)</f>
        <v>53.544149999999995</v>
      </c>
      <c r="E129" s="66">
        <f>SUM(E124*'Data Links'!$B$17)</f>
        <v>53.544149999999995</v>
      </c>
      <c r="F129" s="66">
        <f>SUM(F124*'Data Links'!$B$17)</f>
        <v>53.544149999999995</v>
      </c>
      <c r="G129" s="66">
        <f>SUM(G124*'Data Links'!$B$17)</f>
        <v>53.544149999999995</v>
      </c>
      <c r="H129" s="66">
        <f>SUM(H124*'Data Links'!$B$17)</f>
        <v>63.279449999999997</v>
      </c>
      <c r="I129" s="66">
        <f>SUM(I124*'Data Links'!$B$17)</f>
        <v>58.411799999999992</v>
      </c>
      <c r="J129" s="66">
        <f>SUM(J124*'Data Links'!$B$17)</f>
        <v>58.411799999999992</v>
      </c>
      <c r="K129" s="66">
        <f>SUM(K124*'Data Links'!$B$17)</f>
        <v>48.676499999999997</v>
      </c>
      <c r="L129" s="66">
        <f>SUM(L124*'Data Links'!$B$17)</f>
        <v>48.676499999999997</v>
      </c>
      <c r="M129" s="66">
        <f>SUM(M124*'Data Links'!$B$17)</f>
        <v>48.676499999999997</v>
      </c>
      <c r="N129" s="66">
        <f>SUM(N124*'Data Links'!$B$17)</f>
        <v>48.676499999999997</v>
      </c>
    </row>
    <row r="130" spans="1:14" s="58" customFormat="1" x14ac:dyDescent="0.2">
      <c r="A130" s="58" t="s">
        <v>144</v>
      </c>
      <c r="B130" s="60"/>
      <c r="C130" s="360">
        <f t="shared" ref="C130:N130" si="26">SUM(C124:C129)</f>
        <v>1993.0458074999999</v>
      </c>
      <c r="D130" s="360">
        <f t="shared" si="26"/>
        <v>1993.0458074999999</v>
      </c>
      <c r="E130" s="360">
        <f t="shared" si="26"/>
        <v>1993.0458074999999</v>
      </c>
      <c r="F130" s="360">
        <f t="shared" si="26"/>
        <v>1993.0458074999999</v>
      </c>
      <c r="G130" s="360">
        <f t="shared" si="26"/>
        <v>1993.0458074999999</v>
      </c>
      <c r="H130" s="360">
        <f t="shared" si="26"/>
        <v>2355.4177725</v>
      </c>
      <c r="I130" s="360">
        <f t="shared" si="26"/>
        <v>2174.2317899999994</v>
      </c>
      <c r="J130" s="360">
        <f t="shared" si="26"/>
        <v>2174.2317899999994</v>
      </c>
      <c r="K130" s="360">
        <f t="shared" si="26"/>
        <v>1811.859825</v>
      </c>
      <c r="L130" s="360">
        <f t="shared" si="26"/>
        <v>1811.859825</v>
      </c>
      <c r="M130" s="360">
        <f t="shared" si="26"/>
        <v>1811.859825</v>
      </c>
      <c r="N130" s="360">
        <f t="shared" si="26"/>
        <v>1811.859825</v>
      </c>
    </row>
    <row r="131" spans="1:14" x14ac:dyDescent="0.2">
      <c r="C131" s="60"/>
      <c r="D131" s="66"/>
      <c r="E131" s="66"/>
      <c r="F131" s="66"/>
      <c r="G131" s="66"/>
      <c r="H131" s="66"/>
      <c r="I131" s="66"/>
      <c r="J131" s="66"/>
      <c r="K131" s="66"/>
      <c r="L131" s="66"/>
      <c r="M131" s="66"/>
      <c r="N131" s="66"/>
    </row>
    <row r="132" spans="1:14" x14ac:dyDescent="0.2">
      <c r="C132" s="89" t="str">
        <f>C119</f>
        <v>January</v>
      </c>
      <c r="D132" s="89" t="str">
        <f t="shared" ref="D132:N132" si="27">D119</f>
        <v>February</v>
      </c>
      <c r="E132" s="89" t="str">
        <f t="shared" si="27"/>
        <v>March</v>
      </c>
      <c r="F132" s="89" t="str">
        <f t="shared" si="27"/>
        <v>April</v>
      </c>
      <c r="G132" s="89" t="str">
        <f t="shared" si="27"/>
        <v>May</v>
      </c>
      <c r="H132" s="89" t="str">
        <f t="shared" si="27"/>
        <v>June</v>
      </c>
      <c r="I132" s="89" t="str">
        <f t="shared" si="27"/>
        <v>July</v>
      </c>
      <c r="J132" s="89" t="str">
        <f t="shared" si="27"/>
        <v>August</v>
      </c>
      <c r="K132" s="89" t="str">
        <f t="shared" si="27"/>
        <v>September</v>
      </c>
      <c r="L132" s="89" t="str">
        <f t="shared" si="27"/>
        <v>October</v>
      </c>
      <c r="M132" s="89" t="str">
        <f t="shared" si="27"/>
        <v>November</v>
      </c>
      <c r="N132" s="89" t="str">
        <f t="shared" si="27"/>
        <v>December</v>
      </c>
    </row>
    <row r="133" spans="1:14" x14ac:dyDescent="0.2">
      <c r="C133" s="72">
        <v>31</v>
      </c>
      <c r="D133" s="72">
        <v>31</v>
      </c>
      <c r="E133" s="72">
        <v>30</v>
      </c>
      <c r="F133" s="72">
        <v>31</v>
      </c>
      <c r="G133" s="72">
        <v>30</v>
      </c>
      <c r="H133" s="72">
        <v>31</v>
      </c>
      <c r="I133" s="72">
        <v>31</v>
      </c>
      <c r="J133" s="72">
        <v>28</v>
      </c>
      <c r="K133" s="72">
        <v>31</v>
      </c>
      <c r="L133" s="72">
        <v>30</v>
      </c>
      <c r="M133" s="72">
        <v>31</v>
      </c>
      <c r="N133" s="71">
        <v>30</v>
      </c>
    </row>
    <row r="134" spans="1:14" x14ac:dyDescent="0.2">
      <c r="B134" s="89" t="s">
        <v>185</v>
      </c>
      <c r="C134" s="78">
        <f t="shared" ref="C134:N134" si="28">C121</f>
        <v>1</v>
      </c>
      <c r="D134" s="78">
        <f t="shared" si="28"/>
        <v>0</v>
      </c>
      <c r="E134" s="78">
        <f t="shared" si="28"/>
        <v>1</v>
      </c>
      <c r="F134" s="78">
        <f t="shared" si="28"/>
        <v>0</v>
      </c>
      <c r="G134" s="78">
        <f t="shared" si="28"/>
        <v>2</v>
      </c>
      <c r="H134" s="78">
        <f t="shared" si="28"/>
        <v>0</v>
      </c>
      <c r="I134" s="78">
        <f t="shared" si="28"/>
        <v>2</v>
      </c>
      <c r="J134" s="78">
        <f t="shared" si="28"/>
        <v>1</v>
      </c>
      <c r="K134" s="78">
        <f t="shared" si="28"/>
        <v>0</v>
      </c>
      <c r="L134" s="78">
        <f t="shared" si="28"/>
        <v>0</v>
      </c>
      <c r="M134" s="78">
        <f t="shared" si="28"/>
        <v>1</v>
      </c>
      <c r="N134" s="78">
        <f t="shared" si="28"/>
        <v>0</v>
      </c>
    </row>
    <row r="135" spans="1:14" x14ac:dyDescent="0.2">
      <c r="B135" s="89" t="s">
        <v>44</v>
      </c>
      <c r="C135" s="49">
        <f>SUM('Program Support Allocations'!$C$32)</f>
        <v>6.5114942528735634E-2</v>
      </c>
      <c r="D135" s="49">
        <f>SUM('Program Support Allocations'!$C$32)</f>
        <v>6.5114942528735634E-2</v>
      </c>
      <c r="E135" s="49">
        <f>SUM('Program Support Allocations'!$C$32)</f>
        <v>6.5114942528735634E-2</v>
      </c>
      <c r="F135" s="49">
        <f>SUM('Program Support Allocations'!$C$32)</f>
        <v>6.5114942528735634E-2</v>
      </c>
      <c r="G135" s="49">
        <f>SUM('Program Support Allocations'!$C$32)</f>
        <v>6.5114942528735634E-2</v>
      </c>
      <c r="H135" s="49">
        <f>SUM('Program Support Allocations'!$C$32)</f>
        <v>6.5114942528735634E-2</v>
      </c>
      <c r="I135" s="49">
        <f>SUM('Program Support Allocations'!$C$32)</f>
        <v>6.5114942528735634E-2</v>
      </c>
      <c r="J135" s="49">
        <f>SUM('Program Support Allocations'!$C$32)</f>
        <v>6.5114942528735634E-2</v>
      </c>
      <c r="K135" s="49">
        <f>SUM('Program Support Allocations'!$C$32)</f>
        <v>6.5114942528735634E-2</v>
      </c>
      <c r="L135" s="49">
        <f>SUM('Program Support Allocations'!$C$32)</f>
        <v>6.5114942528735634E-2</v>
      </c>
      <c r="M135" s="49">
        <f>SUM('Program Support Allocations'!$C$32)</f>
        <v>6.5114942528735634E-2</v>
      </c>
      <c r="N135" s="49">
        <f>SUM('Program Support Allocations'!$C$32)</f>
        <v>6.5114942528735634E-2</v>
      </c>
    </row>
    <row r="136" spans="1:14" x14ac:dyDescent="0.2">
      <c r="B136" s="89" t="s">
        <v>186</v>
      </c>
      <c r="C136" s="53">
        <f>SUM(174*C135)</f>
        <v>11.33</v>
      </c>
      <c r="D136" s="53">
        <f t="shared" ref="D136:N136" si="29">SUM(174*D135)</f>
        <v>11.33</v>
      </c>
      <c r="E136" s="53">
        <f t="shared" si="29"/>
        <v>11.33</v>
      </c>
      <c r="F136" s="53">
        <f t="shared" si="29"/>
        <v>11.33</v>
      </c>
      <c r="G136" s="53">
        <f t="shared" si="29"/>
        <v>11.33</v>
      </c>
      <c r="H136" s="53">
        <f t="shared" si="29"/>
        <v>11.33</v>
      </c>
      <c r="I136" s="53">
        <f t="shared" si="29"/>
        <v>11.33</v>
      </c>
      <c r="J136" s="53">
        <f t="shared" si="29"/>
        <v>11.33</v>
      </c>
      <c r="K136" s="53">
        <f t="shared" si="29"/>
        <v>11.33</v>
      </c>
      <c r="L136" s="53">
        <f t="shared" si="29"/>
        <v>11.33</v>
      </c>
      <c r="M136" s="53">
        <f t="shared" si="29"/>
        <v>11.33</v>
      </c>
      <c r="N136" s="53">
        <f t="shared" si="29"/>
        <v>11.33</v>
      </c>
    </row>
    <row r="137" spans="1:14" x14ac:dyDescent="0.2">
      <c r="A137" s="59" t="s">
        <v>623</v>
      </c>
      <c r="B137" s="78" t="s">
        <v>187</v>
      </c>
      <c r="C137" s="66">
        <f>SUM(C136*$B$138)</f>
        <v>323.24490000000003</v>
      </c>
      <c r="D137" s="66">
        <f t="shared" ref="D137:N137" si="30">SUM(D136*$B$138)</f>
        <v>323.24490000000003</v>
      </c>
      <c r="E137" s="66">
        <f t="shared" si="30"/>
        <v>323.24490000000003</v>
      </c>
      <c r="F137" s="66">
        <f t="shared" si="30"/>
        <v>323.24490000000003</v>
      </c>
      <c r="G137" s="66">
        <f t="shared" si="30"/>
        <v>323.24490000000003</v>
      </c>
      <c r="H137" s="66">
        <f t="shared" si="30"/>
        <v>323.24490000000003</v>
      </c>
      <c r="I137" s="66">
        <f t="shared" si="30"/>
        <v>323.24490000000003</v>
      </c>
      <c r="J137" s="66">
        <f t="shared" si="30"/>
        <v>323.24490000000003</v>
      </c>
      <c r="K137" s="66">
        <f t="shared" si="30"/>
        <v>323.24490000000003</v>
      </c>
      <c r="L137" s="66">
        <f t="shared" si="30"/>
        <v>323.24490000000003</v>
      </c>
      <c r="M137" s="66">
        <f t="shared" si="30"/>
        <v>323.24490000000003</v>
      </c>
      <c r="N137" s="66">
        <f t="shared" si="30"/>
        <v>323.24490000000003</v>
      </c>
    </row>
    <row r="138" spans="1:14" x14ac:dyDescent="0.2">
      <c r="A138" s="59" t="s">
        <v>188</v>
      </c>
      <c r="B138" s="74">
        <v>28.53</v>
      </c>
      <c r="C138" s="66">
        <f>SUM(C137)*'Data Links'!$B$15</f>
        <v>24.728234850000003</v>
      </c>
      <c r="D138" s="66">
        <f>SUM(D137)*'Data Links'!$B$15</f>
        <v>24.728234850000003</v>
      </c>
      <c r="E138" s="66">
        <f>SUM(E137)*'Data Links'!$B$15</f>
        <v>24.728234850000003</v>
      </c>
      <c r="F138" s="66">
        <f>SUM(F137)*'Data Links'!$B$15</f>
        <v>24.728234850000003</v>
      </c>
      <c r="G138" s="66">
        <f>SUM(G137)*'Data Links'!$B$15</f>
        <v>24.728234850000003</v>
      </c>
      <c r="H138" s="66">
        <f>SUM(H137)*'Data Links'!$B$15</f>
        <v>24.728234850000003</v>
      </c>
      <c r="I138" s="66">
        <f>SUM(I137)*'Data Links'!$B$15</f>
        <v>24.728234850000003</v>
      </c>
      <c r="J138" s="66">
        <f>SUM(J137)*'Data Links'!$B$15</f>
        <v>24.728234850000003</v>
      </c>
      <c r="K138" s="66">
        <f>SUM(K137)*'Data Links'!$B$15</f>
        <v>24.728234850000003</v>
      </c>
      <c r="L138" s="66">
        <f>SUM(L137)*'Data Links'!$B$15</f>
        <v>24.728234850000003</v>
      </c>
      <c r="M138" s="66">
        <f>SUM(M137)*'Data Links'!$B$15</f>
        <v>24.728234850000003</v>
      </c>
      <c r="N138" s="66">
        <f>SUM(N137)*'Data Links'!$B$15</f>
        <v>24.728234850000003</v>
      </c>
    </row>
    <row r="139" spans="1:14" x14ac:dyDescent="0.2">
      <c r="A139" s="59" t="s">
        <v>189</v>
      </c>
      <c r="C139" s="66">
        <f>SUM(C137*'Data Links'!$B$13)</f>
        <v>1.9394694000000001</v>
      </c>
      <c r="D139" s="66">
        <f>SUM(D137*'Data Links'!$B$13)</f>
        <v>1.9394694000000001</v>
      </c>
      <c r="E139" s="66">
        <f>SUM(E137*'Data Links'!$B$13)</f>
        <v>1.9394694000000001</v>
      </c>
      <c r="F139" s="66">
        <f>SUM(F137*'Data Links'!$B$13)</f>
        <v>1.9394694000000001</v>
      </c>
      <c r="G139" s="66">
        <f>SUM(G137*'Data Links'!$B$13)</f>
        <v>1.9394694000000001</v>
      </c>
      <c r="H139" s="66">
        <f>SUM(H137*'Data Links'!$B$13)</f>
        <v>1.9394694000000001</v>
      </c>
      <c r="I139" s="66">
        <f>SUM(I137*'Data Links'!$B$13)</f>
        <v>1.9394694000000001</v>
      </c>
      <c r="J139" s="66">
        <f>SUM(J137*'Data Links'!$B$13)</f>
        <v>1.9394694000000001</v>
      </c>
      <c r="K139" s="66">
        <f>SUM(K137*'Data Links'!$B$13)</f>
        <v>1.9394694000000001</v>
      </c>
      <c r="L139" s="66">
        <f>SUM(L137*'Data Links'!$B$13)</f>
        <v>1.9394694000000001</v>
      </c>
      <c r="M139" s="66">
        <f>SUM(M137*'Data Links'!$B$13)</f>
        <v>1.9394694000000001</v>
      </c>
      <c r="N139" s="66">
        <f>SUM(N137*'Data Links'!$B$13)</f>
        <v>1.9394694000000001</v>
      </c>
    </row>
    <row r="140" spans="1:14" x14ac:dyDescent="0.2">
      <c r="A140" s="59" t="s">
        <v>190</v>
      </c>
      <c r="C140" s="66">
        <f>SUM(C136*'Data Links'!$B$8)</f>
        <v>0.88204050000000001</v>
      </c>
      <c r="D140" s="66">
        <f>SUM(D136*'Data Links'!$B$8)</f>
        <v>0.88204050000000001</v>
      </c>
      <c r="E140" s="66">
        <f>SUM(E136*'Data Links'!$B$8)</f>
        <v>0.88204050000000001</v>
      </c>
      <c r="F140" s="66">
        <f>SUM(F136*'Data Links'!$B$8)</f>
        <v>0.88204050000000001</v>
      </c>
      <c r="G140" s="66">
        <f>SUM(G136*'Data Links'!$B$8)</f>
        <v>0.88204050000000001</v>
      </c>
      <c r="H140" s="66">
        <f>SUM(H136*'Data Links'!$B$8)</f>
        <v>0.88204050000000001</v>
      </c>
      <c r="I140" s="66">
        <f>SUM(I136*'Data Links'!$B$8)</f>
        <v>0.88204050000000001</v>
      </c>
      <c r="J140" s="66">
        <f>SUM(J136*'Data Links'!$B$8)</f>
        <v>0.88204050000000001</v>
      </c>
      <c r="K140" s="66">
        <f>SUM(K136*'Data Links'!$B$8)</f>
        <v>0.88204050000000001</v>
      </c>
      <c r="L140" s="66">
        <f>SUM(L136*'Data Links'!$B$8)</f>
        <v>0.88204050000000001</v>
      </c>
      <c r="M140" s="66">
        <f>SUM(M136*'Data Links'!$B$8)</f>
        <v>0.88204050000000001</v>
      </c>
      <c r="N140" s="66">
        <f>SUM(N136*'Data Links'!$B$8)</f>
        <v>0.88204050000000001</v>
      </c>
    </row>
    <row r="141" spans="1:14" x14ac:dyDescent="0.2">
      <c r="A141" s="59" t="s">
        <v>191</v>
      </c>
      <c r="C141" s="66">
        <f>SUM('All Employees'!$P$51)*C135</f>
        <v>27.738965517241379</v>
      </c>
      <c r="D141" s="66">
        <f>SUM('All Employees'!$P$51)*D135</f>
        <v>27.738965517241379</v>
      </c>
      <c r="E141" s="66">
        <f>SUM('All Employees'!$P$51)*E135</f>
        <v>27.738965517241379</v>
      </c>
      <c r="F141" s="66">
        <f>SUM('All Employees'!$P$51)*F135</f>
        <v>27.738965517241379</v>
      </c>
      <c r="G141" s="66">
        <f>SUM('All Employees'!$P$51)*G135</f>
        <v>27.738965517241379</v>
      </c>
      <c r="H141" s="66">
        <f>SUM('All Employees'!$P$51)*H135</f>
        <v>27.738965517241379</v>
      </c>
      <c r="I141" s="66">
        <f>SUM('All Employees'!$P$51)*I135</f>
        <v>27.738965517241379</v>
      </c>
      <c r="J141" s="66">
        <f>SUM('All Employees'!$P$51)*J135</f>
        <v>27.738965517241379</v>
      </c>
      <c r="K141" s="66">
        <f>SUM('All Employees'!$P$51)*K135</f>
        <v>27.738965517241379</v>
      </c>
      <c r="L141" s="66">
        <f>SUM('All Employees'!$P$51)*L135</f>
        <v>27.738965517241379</v>
      </c>
      <c r="M141" s="66">
        <f>SUM('All Employees'!$P$51)*M135</f>
        <v>27.738965517241379</v>
      </c>
      <c r="N141" s="66">
        <f>SUM('All Employees'!$P$51)*N135</f>
        <v>27.738965517241379</v>
      </c>
    </row>
    <row r="142" spans="1:14" x14ac:dyDescent="0.2">
      <c r="A142" s="59" t="s">
        <v>192</v>
      </c>
      <c r="C142" s="66">
        <f>SUM(C137*'Data Links'!$B$17)</f>
        <v>9.6973470000000006</v>
      </c>
      <c r="D142" s="66">
        <f>SUM(D137*'Data Links'!$B$17)</f>
        <v>9.6973470000000006</v>
      </c>
      <c r="E142" s="66">
        <f>SUM(E137*'Data Links'!$B$17)</f>
        <v>9.6973470000000006</v>
      </c>
      <c r="F142" s="66">
        <f>SUM(F137*'Data Links'!$B$17)</f>
        <v>9.6973470000000006</v>
      </c>
      <c r="G142" s="66">
        <f>SUM(G137*'Data Links'!$B$17)</f>
        <v>9.6973470000000006</v>
      </c>
      <c r="H142" s="66">
        <f>SUM(H137*'Data Links'!$B$17)</f>
        <v>9.6973470000000006</v>
      </c>
      <c r="I142" s="66">
        <f>SUM(I137*'Data Links'!$B$17)</f>
        <v>9.6973470000000006</v>
      </c>
      <c r="J142" s="66">
        <f>SUM(J137*'Data Links'!$B$17)</f>
        <v>9.6973470000000006</v>
      </c>
      <c r="K142" s="66">
        <f>SUM(K137*'Data Links'!$B$17)</f>
        <v>9.6973470000000006</v>
      </c>
      <c r="L142" s="66">
        <f>SUM(L137*'Data Links'!$B$17)</f>
        <v>9.6973470000000006</v>
      </c>
      <c r="M142" s="66">
        <f>SUM(M137*'Data Links'!$B$17)</f>
        <v>9.6973470000000006</v>
      </c>
      <c r="N142" s="66">
        <f>SUM(N137*'Data Links'!$B$17)</f>
        <v>9.6973470000000006</v>
      </c>
    </row>
    <row r="143" spans="1:14" s="58" customFormat="1" x14ac:dyDescent="0.2">
      <c r="A143" s="58" t="s">
        <v>144</v>
      </c>
      <c r="B143" s="60"/>
      <c r="C143" s="60">
        <f t="shared" ref="C143:N143" si="31">SUM(C137:C142)</f>
        <v>388.23095726724137</v>
      </c>
      <c r="D143" s="60">
        <f t="shared" si="31"/>
        <v>388.23095726724137</v>
      </c>
      <c r="E143" s="60">
        <f t="shared" si="31"/>
        <v>388.23095726724137</v>
      </c>
      <c r="F143" s="60">
        <f t="shared" si="31"/>
        <v>388.23095726724137</v>
      </c>
      <c r="G143" s="60">
        <f t="shared" si="31"/>
        <v>388.23095726724137</v>
      </c>
      <c r="H143" s="60">
        <f t="shared" si="31"/>
        <v>388.23095726724137</v>
      </c>
      <c r="I143" s="60">
        <f t="shared" si="31"/>
        <v>388.23095726724137</v>
      </c>
      <c r="J143" s="60">
        <f t="shared" si="31"/>
        <v>388.23095726724137</v>
      </c>
      <c r="K143" s="60">
        <f t="shared" si="31"/>
        <v>388.23095726724137</v>
      </c>
      <c r="L143" s="60">
        <f t="shared" si="31"/>
        <v>388.23095726724137</v>
      </c>
      <c r="M143" s="60">
        <f t="shared" si="31"/>
        <v>388.23095726724137</v>
      </c>
      <c r="N143" s="60">
        <f t="shared" si="31"/>
        <v>388.23095726724137</v>
      </c>
    </row>
    <row r="144" spans="1:14" x14ac:dyDescent="0.2">
      <c r="C144" s="60"/>
      <c r="D144" s="66"/>
      <c r="E144" s="66"/>
      <c r="F144" s="66"/>
      <c r="G144" s="66"/>
      <c r="H144" s="66"/>
      <c r="I144" s="66"/>
      <c r="J144" s="66"/>
      <c r="K144" s="66"/>
      <c r="L144" s="66"/>
      <c r="M144" s="66"/>
      <c r="N144" s="66"/>
    </row>
    <row r="145" spans="1:14" hidden="1" x14ac:dyDescent="0.2">
      <c r="C145" s="89" t="str">
        <f>C132</f>
        <v>January</v>
      </c>
      <c r="D145" s="89" t="str">
        <f t="shared" ref="D145:N145" si="32">D132</f>
        <v>February</v>
      </c>
      <c r="E145" s="89" t="str">
        <f t="shared" si="32"/>
        <v>March</v>
      </c>
      <c r="F145" s="89" t="str">
        <f t="shared" si="32"/>
        <v>April</v>
      </c>
      <c r="G145" s="89" t="str">
        <f t="shared" si="32"/>
        <v>May</v>
      </c>
      <c r="H145" s="89" t="str">
        <f t="shared" si="32"/>
        <v>June</v>
      </c>
      <c r="I145" s="89" t="str">
        <f t="shared" si="32"/>
        <v>July</v>
      </c>
      <c r="J145" s="89" t="str">
        <f t="shared" si="32"/>
        <v>August</v>
      </c>
      <c r="K145" s="89" t="str">
        <f t="shared" si="32"/>
        <v>September</v>
      </c>
      <c r="L145" s="89" t="str">
        <f t="shared" si="32"/>
        <v>October</v>
      </c>
      <c r="M145" s="89" t="str">
        <f t="shared" si="32"/>
        <v>November</v>
      </c>
      <c r="N145" s="89" t="str">
        <f t="shared" si="32"/>
        <v>December</v>
      </c>
    </row>
    <row r="146" spans="1:14" hidden="1" x14ac:dyDescent="0.2">
      <c r="C146" s="72">
        <v>31</v>
      </c>
      <c r="D146" s="72">
        <v>31</v>
      </c>
      <c r="E146" s="72">
        <v>30</v>
      </c>
      <c r="F146" s="72">
        <v>31</v>
      </c>
      <c r="G146" s="72">
        <v>30</v>
      </c>
      <c r="H146" s="72">
        <v>31</v>
      </c>
      <c r="I146" s="72">
        <v>31</v>
      </c>
      <c r="J146" s="72">
        <v>28</v>
      </c>
      <c r="K146" s="72">
        <v>31</v>
      </c>
      <c r="L146" s="72">
        <v>30</v>
      </c>
      <c r="M146" s="72">
        <v>31</v>
      </c>
      <c r="N146" s="71">
        <v>30</v>
      </c>
    </row>
    <row r="147" spans="1:14" hidden="1" x14ac:dyDescent="0.2">
      <c r="B147" s="89" t="s">
        <v>185</v>
      </c>
      <c r="C147" s="78">
        <f t="shared" ref="C147:N147" si="33">C134</f>
        <v>1</v>
      </c>
      <c r="D147" s="78">
        <f t="shared" si="33"/>
        <v>0</v>
      </c>
      <c r="E147" s="78">
        <f t="shared" si="33"/>
        <v>1</v>
      </c>
      <c r="F147" s="78">
        <f t="shared" si="33"/>
        <v>0</v>
      </c>
      <c r="G147" s="78">
        <f t="shared" si="33"/>
        <v>2</v>
      </c>
      <c r="H147" s="78">
        <f t="shared" si="33"/>
        <v>0</v>
      </c>
      <c r="I147" s="78">
        <f t="shared" si="33"/>
        <v>2</v>
      </c>
      <c r="J147" s="78">
        <f t="shared" si="33"/>
        <v>1</v>
      </c>
      <c r="K147" s="78">
        <f t="shared" si="33"/>
        <v>0</v>
      </c>
      <c r="L147" s="78">
        <f t="shared" si="33"/>
        <v>0</v>
      </c>
      <c r="M147" s="78">
        <f t="shared" si="33"/>
        <v>1</v>
      </c>
      <c r="N147" s="78">
        <f t="shared" si="33"/>
        <v>0</v>
      </c>
    </row>
    <row r="148" spans="1:14" hidden="1" x14ac:dyDescent="0.2">
      <c r="B148" s="89" t="s">
        <v>44</v>
      </c>
      <c r="C148" s="49"/>
      <c r="D148" s="49"/>
      <c r="E148" s="49"/>
      <c r="F148" s="49"/>
      <c r="G148" s="49"/>
      <c r="H148" s="49"/>
      <c r="I148" s="49"/>
      <c r="J148" s="49"/>
      <c r="K148" s="49"/>
      <c r="L148" s="49"/>
      <c r="M148" s="49"/>
      <c r="N148" s="49"/>
    </row>
    <row r="149" spans="1:14" hidden="1" x14ac:dyDescent="0.2">
      <c r="B149" s="78" t="s">
        <v>186</v>
      </c>
      <c r="C149" s="53">
        <f t="shared" ref="C149:N149" si="34">SUM(174*C148)</f>
        <v>0</v>
      </c>
      <c r="D149" s="53">
        <f t="shared" si="34"/>
        <v>0</v>
      </c>
      <c r="E149" s="53">
        <f t="shared" si="34"/>
        <v>0</v>
      </c>
      <c r="F149" s="53">
        <f t="shared" si="34"/>
        <v>0</v>
      </c>
      <c r="G149" s="53">
        <f t="shared" si="34"/>
        <v>0</v>
      </c>
      <c r="H149" s="53">
        <f t="shared" si="34"/>
        <v>0</v>
      </c>
      <c r="I149" s="53">
        <f t="shared" si="34"/>
        <v>0</v>
      </c>
      <c r="J149" s="53">
        <f t="shared" si="34"/>
        <v>0</v>
      </c>
      <c r="K149" s="53">
        <f t="shared" si="34"/>
        <v>0</v>
      </c>
      <c r="L149" s="53">
        <f t="shared" si="34"/>
        <v>0</v>
      </c>
      <c r="M149" s="53">
        <f t="shared" si="34"/>
        <v>0</v>
      </c>
      <c r="N149" s="53">
        <f t="shared" si="34"/>
        <v>0</v>
      </c>
    </row>
    <row r="150" spans="1:14" hidden="1" x14ac:dyDescent="0.2">
      <c r="A150" s="59" t="s">
        <v>369</v>
      </c>
      <c r="B150" s="78" t="s">
        <v>347</v>
      </c>
      <c r="C150" s="66">
        <f>SUM(C149*$B$151)</f>
        <v>0</v>
      </c>
      <c r="D150" s="66">
        <f t="shared" ref="D150:N150" si="35">SUM(D149*$B$151)</f>
        <v>0</v>
      </c>
      <c r="E150" s="66">
        <f t="shared" si="35"/>
        <v>0</v>
      </c>
      <c r="F150" s="66">
        <f t="shared" si="35"/>
        <v>0</v>
      </c>
      <c r="G150" s="66">
        <f t="shared" si="35"/>
        <v>0</v>
      </c>
      <c r="H150" s="66">
        <f t="shared" si="35"/>
        <v>0</v>
      </c>
      <c r="I150" s="66">
        <f t="shared" si="35"/>
        <v>0</v>
      </c>
      <c r="J150" s="66">
        <f t="shared" si="35"/>
        <v>0</v>
      </c>
      <c r="K150" s="66">
        <f t="shared" si="35"/>
        <v>0</v>
      </c>
      <c r="L150" s="66">
        <f t="shared" si="35"/>
        <v>0</v>
      </c>
      <c r="M150" s="66">
        <f t="shared" si="35"/>
        <v>0</v>
      </c>
      <c r="N150" s="66">
        <f t="shared" si="35"/>
        <v>0</v>
      </c>
    </row>
    <row r="151" spans="1:14" hidden="1" x14ac:dyDescent="0.2">
      <c r="A151" s="59" t="s">
        <v>188</v>
      </c>
      <c r="B151" s="74">
        <v>11</v>
      </c>
      <c r="C151" s="66">
        <f>SUM(C150)*'Data Links'!$B$15</f>
        <v>0</v>
      </c>
      <c r="D151" s="66">
        <f>SUM(D150)*'Data Links'!$B$15</f>
        <v>0</v>
      </c>
      <c r="E151" s="66">
        <f>SUM(E150)*'Data Links'!$B$15</f>
        <v>0</v>
      </c>
      <c r="F151" s="66">
        <f>SUM(F150)*'Data Links'!$B$15</f>
        <v>0</v>
      </c>
      <c r="G151" s="66">
        <f>SUM(G150)*'Data Links'!$B$15</f>
        <v>0</v>
      </c>
      <c r="H151" s="66">
        <f>SUM(H150)*'Data Links'!$B$15</f>
        <v>0</v>
      </c>
      <c r="I151" s="66">
        <f>SUM(I150)*'Data Links'!$B$15</f>
        <v>0</v>
      </c>
      <c r="J151" s="66">
        <f>SUM(J150)*'Data Links'!$B$15</f>
        <v>0</v>
      </c>
      <c r="K151" s="66">
        <f>SUM(K150)*'Data Links'!$B$15</f>
        <v>0</v>
      </c>
      <c r="L151" s="66">
        <f>SUM(L150)*'Data Links'!$B$15</f>
        <v>0</v>
      </c>
      <c r="M151" s="66">
        <f>SUM(M150)*'Data Links'!$B$15</f>
        <v>0</v>
      </c>
      <c r="N151" s="66">
        <f>SUM(N150)*'Data Links'!$B$15</f>
        <v>0</v>
      </c>
    </row>
    <row r="152" spans="1:14" hidden="1" x14ac:dyDescent="0.2">
      <c r="A152" s="59" t="s">
        <v>189</v>
      </c>
      <c r="C152" s="66">
        <f>SUM(C150*'Data Links'!$B$13)</f>
        <v>0</v>
      </c>
      <c r="D152" s="66">
        <f>SUM(D150*'Data Links'!$B$13)</f>
        <v>0</v>
      </c>
      <c r="E152" s="66">
        <f>SUM(E150*'Data Links'!$B$13)</f>
        <v>0</v>
      </c>
      <c r="F152" s="66">
        <f>SUM(F150*'Data Links'!$B$13)</f>
        <v>0</v>
      </c>
      <c r="G152" s="66">
        <f>SUM(G150*'Data Links'!$B$13)</f>
        <v>0</v>
      </c>
      <c r="H152" s="66">
        <f>SUM(H150*'Data Links'!$B$13)</f>
        <v>0</v>
      </c>
      <c r="I152" s="66">
        <f>SUM(I150*'Data Links'!$B$13)</f>
        <v>0</v>
      </c>
      <c r="J152" s="66">
        <f>SUM(J150*'Data Links'!$B$13)</f>
        <v>0</v>
      </c>
      <c r="K152" s="66">
        <f>SUM(K150*'Data Links'!$B$13)</f>
        <v>0</v>
      </c>
      <c r="L152" s="66">
        <f>SUM(L150*'Data Links'!$B$13)</f>
        <v>0</v>
      </c>
      <c r="M152" s="66">
        <f>SUM(M150*'Data Links'!$B$13)</f>
        <v>0</v>
      </c>
      <c r="N152" s="66">
        <f>SUM(N150*'Data Links'!$B$13)</f>
        <v>0</v>
      </c>
    </row>
    <row r="153" spans="1:14" hidden="1" x14ac:dyDescent="0.2">
      <c r="A153" s="59" t="s">
        <v>190</v>
      </c>
      <c r="C153" s="66">
        <f>SUM(C149*'Data Links'!$B$8)</f>
        <v>0</v>
      </c>
      <c r="D153" s="66">
        <f>SUM(D149*'Data Links'!$B$8)</f>
        <v>0</v>
      </c>
      <c r="E153" s="66">
        <f>SUM(E149*'Data Links'!$B$8)</f>
        <v>0</v>
      </c>
      <c r="F153" s="66">
        <f>SUM(F149*'Data Links'!$B$8)</f>
        <v>0</v>
      </c>
      <c r="G153" s="66">
        <f>SUM(G149*'Data Links'!$B$8)</f>
        <v>0</v>
      </c>
      <c r="H153" s="66">
        <f>SUM(H149*'Data Links'!$B$8)</f>
        <v>0</v>
      </c>
      <c r="I153" s="66">
        <f>SUM(I149*'Data Links'!$B$8)</f>
        <v>0</v>
      </c>
      <c r="J153" s="66">
        <f>SUM(J149*'Data Links'!$B$8)</f>
        <v>0</v>
      </c>
      <c r="K153" s="66">
        <f>SUM(K149*'Data Links'!$B$8)</f>
        <v>0</v>
      </c>
      <c r="L153" s="66">
        <f>SUM(L149*'Data Links'!$B$8)</f>
        <v>0</v>
      </c>
      <c r="M153" s="66">
        <f>SUM(M149*'Data Links'!$B$8)</f>
        <v>0</v>
      </c>
      <c r="N153" s="66">
        <f>SUM(N149*'Data Links'!$B$8)</f>
        <v>0</v>
      </c>
    </row>
    <row r="154" spans="1:14" hidden="1" x14ac:dyDescent="0.2">
      <c r="A154" s="59" t="s">
        <v>191</v>
      </c>
      <c r="C154" s="66"/>
      <c r="D154" s="66"/>
      <c r="E154" s="66"/>
      <c r="F154" s="66"/>
      <c r="G154" s="66"/>
      <c r="H154" s="66"/>
      <c r="I154" s="66"/>
      <c r="J154" s="66"/>
      <c r="K154" s="66"/>
      <c r="L154" s="66"/>
      <c r="M154" s="66"/>
      <c r="N154" s="66"/>
    </row>
    <row r="155" spans="1:14" hidden="1" x14ac:dyDescent="0.2">
      <c r="A155" s="59" t="s">
        <v>192</v>
      </c>
      <c r="C155" s="66"/>
      <c r="D155" s="66"/>
      <c r="E155" s="66"/>
      <c r="F155" s="66"/>
      <c r="G155" s="66"/>
      <c r="H155" s="66"/>
      <c r="I155" s="66"/>
      <c r="J155" s="66"/>
      <c r="K155" s="66"/>
      <c r="L155" s="66"/>
      <c r="M155" s="66"/>
      <c r="N155" s="66"/>
    </row>
    <row r="156" spans="1:14" s="58" customFormat="1" hidden="1" x14ac:dyDescent="0.2">
      <c r="A156" s="58" t="s">
        <v>144</v>
      </c>
      <c r="B156" s="60"/>
      <c r="C156" s="60">
        <f t="shared" ref="C156:N156" si="36">SUM(C150:C155)</f>
        <v>0</v>
      </c>
      <c r="D156" s="60">
        <f t="shared" si="36"/>
        <v>0</v>
      </c>
      <c r="E156" s="60">
        <f t="shared" si="36"/>
        <v>0</v>
      </c>
      <c r="F156" s="60">
        <f t="shared" si="36"/>
        <v>0</v>
      </c>
      <c r="G156" s="60">
        <f t="shared" si="36"/>
        <v>0</v>
      </c>
      <c r="H156" s="60">
        <f t="shared" si="36"/>
        <v>0</v>
      </c>
      <c r="I156" s="60">
        <f t="shared" si="36"/>
        <v>0</v>
      </c>
      <c r="J156" s="60">
        <f t="shared" si="36"/>
        <v>0</v>
      </c>
      <c r="K156" s="60">
        <f t="shared" si="36"/>
        <v>0</v>
      </c>
      <c r="L156" s="60">
        <f t="shared" si="36"/>
        <v>0</v>
      </c>
      <c r="M156" s="60">
        <f t="shared" si="36"/>
        <v>0</v>
      </c>
      <c r="N156" s="60">
        <f t="shared" si="36"/>
        <v>0</v>
      </c>
    </row>
    <row r="157" spans="1:14" x14ac:dyDescent="0.2">
      <c r="C157" s="60"/>
      <c r="D157" s="66"/>
      <c r="E157" s="66"/>
      <c r="F157" s="66"/>
      <c r="G157" s="66"/>
      <c r="H157" s="66"/>
      <c r="I157" s="66"/>
      <c r="J157" s="66"/>
      <c r="K157" s="66"/>
      <c r="L157" s="66"/>
      <c r="M157" s="66"/>
      <c r="N157" s="66"/>
    </row>
    <row r="158" spans="1:14" x14ac:dyDescent="0.2">
      <c r="C158" s="89" t="str">
        <f>C145</f>
        <v>January</v>
      </c>
      <c r="D158" s="89" t="str">
        <f t="shared" ref="D158:N158" si="37">D145</f>
        <v>February</v>
      </c>
      <c r="E158" s="89" t="str">
        <f t="shared" si="37"/>
        <v>March</v>
      </c>
      <c r="F158" s="89" t="str">
        <f t="shared" si="37"/>
        <v>April</v>
      </c>
      <c r="G158" s="89" t="str">
        <f t="shared" si="37"/>
        <v>May</v>
      </c>
      <c r="H158" s="89" t="str">
        <f t="shared" si="37"/>
        <v>June</v>
      </c>
      <c r="I158" s="89" t="str">
        <f t="shared" si="37"/>
        <v>July</v>
      </c>
      <c r="J158" s="89" t="str">
        <f t="shared" si="37"/>
        <v>August</v>
      </c>
      <c r="K158" s="89" t="str">
        <f t="shared" si="37"/>
        <v>September</v>
      </c>
      <c r="L158" s="89" t="str">
        <f t="shared" si="37"/>
        <v>October</v>
      </c>
      <c r="M158" s="89" t="str">
        <f t="shared" si="37"/>
        <v>November</v>
      </c>
      <c r="N158" s="89" t="str">
        <f t="shared" si="37"/>
        <v>December</v>
      </c>
    </row>
    <row r="159" spans="1:14" x14ac:dyDescent="0.2">
      <c r="C159" s="72">
        <v>31</v>
      </c>
      <c r="D159" s="72">
        <v>31</v>
      </c>
      <c r="E159" s="72">
        <v>30</v>
      </c>
      <c r="F159" s="72">
        <v>31</v>
      </c>
      <c r="G159" s="72">
        <v>30</v>
      </c>
      <c r="H159" s="72">
        <v>31</v>
      </c>
      <c r="I159" s="72">
        <v>31</v>
      </c>
      <c r="J159" s="72">
        <v>28</v>
      </c>
      <c r="K159" s="72">
        <v>31</v>
      </c>
      <c r="L159" s="72">
        <v>30</v>
      </c>
      <c r="M159" s="72">
        <v>31</v>
      </c>
      <c r="N159" s="71">
        <v>30</v>
      </c>
    </row>
    <row r="160" spans="1:14" x14ac:dyDescent="0.2">
      <c r="B160" s="89" t="s">
        <v>185</v>
      </c>
      <c r="C160" s="78">
        <f t="shared" ref="C160:N160" si="38">C147</f>
        <v>1</v>
      </c>
      <c r="D160" s="78">
        <f t="shared" si="38"/>
        <v>0</v>
      </c>
      <c r="E160" s="78">
        <f t="shared" si="38"/>
        <v>1</v>
      </c>
      <c r="F160" s="78">
        <f t="shared" si="38"/>
        <v>0</v>
      </c>
      <c r="G160" s="78">
        <f t="shared" si="38"/>
        <v>2</v>
      </c>
      <c r="H160" s="78">
        <f t="shared" si="38"/>
        <v>0</v>
      </c>
      <c r="I160" s="78">
        <f t="shared" si="38"/>
        <v>2</v>
      </c>
      <c r="J160" s="78">
        <f t="shared" si="38"/>
        <v>1</v>
      </c>
      <c r="K160" s="78">
        <f t="shared" si="38"/>
        <v>0</v>
      </c>
      <c r="L160" s="78">
        <f t="shared" si="38"/>
        <v>0</v>
      </c>
      <c r="M160" s="78">
        <f t="shared" si="38"/>
        <v>1</v>
      </c>
      <c r="N160" s="78">
        <f t="shared" si="38"/>
        <v>0</v>
      </c>
    </row>
    <row r="161" spans="1:14" x14ac:dyDescent="0.2">
      <c r="B161" s="89" t="s">
        <v>44</v>
      </c>
      <c r="C161" s="49">
        <v>0.04</v>
      </c>
      <c r="D161" s="49">
        <v>0.04</v>
      </c>
      <c r="E161" s="49">
        <v>0.04</v>
      </c>
      <c r="F161" s="49">
        <v>0.04</v>
      </c>
      <c r="G161" s="49">
        <v>0.04</v>
      </c>
      <c r="H161" s="49">
        <v>0.04</v>
      </c>
      <c r="I161" s="49">
        <v>0.04</v>
      </c>
      <c r="J161" s="49">
        <v>0.04</v>
      </c>
      <c r="K161" s="49">
        <v>0.04</v>
      </c>
      <c r="L161" s="49">
        <v>0.04</v>
      </c>
      <c r="M161" s="49">
        <v>0.04</v>
      </c>
      <c r="N161" s="49">
        <v>0.04</v>
      </c>
    </row>
    <row r="162" spans="1:14" x14ac:dyDescent="0.2">
      <c r="B162" s="89" t="s">
        <v>186</v>
      </c>
      <c r="C162" s="53">
        <f t="shared" ref="C162:N162" si="39">SUM(174*C161)</f>
        <v>6.96</v>
      </c>
      <c r="D162" s="53">
        <f t="shared" si="39"/>
        <v>6.96</v>
      </c>
      <c r="E162" s="53">
        <f t="shared" si="39"/>
        <v>6.96</v>
      </c>
      <c r="F162" s="53">
        <f t="shared" si="39"/>
        <v>6.96</v>
      </c>
      <c r="G162" s="53">
        <f t="shared" si="39"/>
        <v>6.96</v>
      </c>
      <c r="H162" s="53">
        <f t="shared" si="39"/>
        <v>6.96</v>
      </c>
      <c r="I162" s="53">
        <f t="shared" si="39"/>
        <v>6.96</v>
      </c>
      <c r="J162" s="53">
        <f t="shared" si="39"/>
        <v>6.96</v>
      </c>
      <c r="K162" s="53">
        <f t="shared" si="39"/>
        <v>6.96</v>
      </c>
      <c r="L162" s="53">
        <f t="shared" si="39"/>
        <v>6.96</v>
      </c>
      <c r="M162" s="53">
        <f t="shared" si="39"/>
        <v>6.96</v>
      </c>
      <c r="N162" s="53">
        <f t="shared" si="39"/>
        <v>6.96</v>
      </c>
    </row>
    <row r="163" spans="1:14" x14ac:dyDescent="0.2">
      <c r="A163" s="59" t="s">
        <v>349</v>
      </c>
      <c r="B163" s="78" t="s">
        <v>348</v>
      </c>
      <c r="C163" s="66">
        <f>SUM(C162*$B$164)</f>
        <v>109.62</v>
      </c>
      <c r="D163" s="66">
        <f t="shared" ref="D163:N163" si="40">SUM(D162*$B$164)</f>
        <v>109.62</v>
      </c>
      <c r="E163" s="66">
        <f t="shared" si="40"/>
        <v>109.62</v>
      </c>
      <c r="F163" s="66">
        <f t="shared" si="40"/>
        <v>109.62</v>
      </c>
      <c r="G163" s="66">
        <f t="shared" si="40"/>
        <v>109.62</v>
      </c>
      <c r="H163" s="66">
        <f t="shared" si="40"/>
        <v>109.62</v>
      </c>
      <c r="I163" s="66">
        <f t="shared" si="40"/>
        <v>109.62</v>
      </c>
      <c r="J163" s="66">
        <f t="shared" si="40"/>
        <v>109.62</v>
      </c>
      <c r="K163" s="66">
        <f t="shared" si="40"/>
        <v>109.62</v>
      </c>
      <c r="L163" s="66">
        <f t="shared" si="40"/>
        <v>109.62</v>
      </c>
      <c r="M163" s="66">
        <f t="shared" si="40"/>
        <v>109.62</v>
      </c>
      <c r="N163" s="66">
        <f t="shared" si="40"/>
        <v>109.62</v>
      </c>
    </row>
    <row r="164" spans="1:14" x14ac:dyDescent="0.2">
      <c r="A164" s="59" t="s">
        <v>188</v>
      </c>
      <c r="B164" s="74">
        <v>15.75</v>
      </c>
      <c r="C164" s="66">
        <f>SUM(C163)*'Data Links'!$B$15</f>
        <v>8.3859300000000001</v>
      </c>
      <c r="D164" s="66">
        <f>SUM(D163)*'Data Links'!$B$15</f>
        <v>8.3859300000000001</v>
      </c>
      <c r="E164" s="66">
        <f>SUM(E163)*'Data Links'!$B$15</f>
        <v>8.3859300000000001</v>
      </c>
      <c r="F164" s="66">
        <f>SUM(F163)*'Data Links'!$B$15</f>
        <v>8.3859300000000001</v>
      </c>
      <c r="G164" s="66">
        <f>SUM(G163)*'Data Links'!$B$15</f>
        <v>8.3859300000000001</v>
      </c>
      <c r="H164" s="66">
        <f>SUM(H163)*'Data Links'!$B$15</f>
        <v>8.3859300000000001</v>
      </c>
      <c r="I164" s="66">
        <f>SUM(I163)*'Data Links'!$B$15</f>
        <v>8.3859300000000001</v>
      </c>
      <c r="J164" s="66">
        <f>SUM(J163)*'Data Links'!$B$15</f>
        <v>8.3859300000000001</v>
      </c>
      <c r="K164" s="66">
        <f>SUM(K163)*'Data Links'!$B$15</f>
        <v>8.3859300000000001</v>
      </c>
      <c r="L164" s="66">
        <f>SUM(L163)*'Data Links'!$B$15</f>
        <v>8.3859300000000001</v>
      </c>
      <c r="M164" s="66">
        <f>SUM(M163)*'Data Links'!$B$15</f>
        <v>8.3859300000000001</v>
      </c>
      <c r="N164" s="66">
        <f>SUM(N163)*'Data Links'!$B$15</f>
        <v>8.3859300000000001</v>
      </c>
    </row>
    <row r="165" spans="1:14" x14ac:dyDescent="0.2">
      <c r="A165" s="59" t="s">
        <v>189</v>
      </c>
      <c r="B165" s="74">
        <v>14.66</v>
      </c>
      <c r="C165" s="66">
        <f>SUM(C163*'Data Links'!$B$13)</f>
        <v>0.65772000000000008</v>
      </c>
      <c r="D165" s="66">
        <f>SUM(D163*'Data Links'!$B$13)</f>
        <v>0.65772000000000008</v>
      </c>
      <c r="E165" s="66">
        <f>SUM(E163*'Data Links'!$B$13)</f>
        <v>0.65772000000000008</v>
      </c>
      <c r="F165" s="66">
        <f>SUM(F163*'Data Links'!$B$13)</f>
        <v>0.65772000000000008</v>
      </c>
      <c r="G165" s="66">
        <f>SUM(G163*'Data Links'!$B$13)</f>
        <v>0.65772000000000008</v>
      </c>
      <c r="H165" s="66">
        <f>SUM(H163*'Data Links'!$B$13)</f>
        <v>0.65772000000000008</v>
      </c>
      <c r="I165" s="66">
        <f>SUM(I163*'Data Links'!$B$13)</f>
        <v>0.65772000000000008</v>
      </c>
      <c r="J165" s="66">
        <f>SUM(J163*'Data Links'!$B$13)</f>
        <v>0.65772000000000008</v>
      </c>
      <c r="K165" s="66">
        <f>SUM(K163*'Data Links'!$B$13)</f>
        <v>0.65772000000000008</v>
      </c>
      <c r="L165" s="66">
        <f>SUM(L163*'Data Links'!$B$13)</f>
        <v>0.65772000000000008</v>
      </c>
      <c r="M165" s="66">
        <f>SUM(M163*'Data Links'!$B$13)</f>
        <v>0.65772000000000008</v>
      </c>
      <c r="N165" s="66">
        <f>SUM(N163*'Data Links'!$B$13)</f>
        <v>0.65772000000000008</v>
      </c>
    </row>
    <row r="166" spans="1:14" x14ac:dyDescent="0.2">
      <c r="A166" s="59" t="s">
        <v>190</v>
      </c>
      <c r="C166" s="66">
        <f>SUM(C162*'Data Links'!$B$8)</f>
        <v>0.54183599999999998</v>
      </c>
      <c r="D166" s="66">
        <f>SUM(D162*'Data Links'!$B$8)</f>
        <v>0.54183599999999998</v>
      </c>
      <c r="E166" s="66">
        <f>SUM(E162*'Data Links'!$B$8)</f>
        <v>0.54183599999999998</v>
      </c>
      <c r="F166" s="66">
        <f>SUM(F162*'Data Links'!$B$8)</f>
        <v>0.54183599999999998</v>
      </c>
      <c r="G166" s="66">
        <f>SUM(G162*'Data Links'!$B$8)</f>
        <v>0.54183599999999998</v>
      </c>
      <c r="H166" s="66">
        <f>SUM(H162*'Data Links'!$B$8)</f>
        <v>0.54183599999999998</v>
      </c>
      <c r="I166" s="66">
        <f>SUM(I162*'Data Links'!$B$8)</f>
        <v>0.54183599999999998</v>
      </c>
      <c r="J166" s="66">
        <f>SUM(J162*'Data Links'!$B$8)</f>
        <v>0.54183599999999998</v>
      </c>
      <c r="K166" s="66">
        <f>SUM(K162*'Data Links'!$B$8)</f>
        <v>0.54183599999999998</v>
      </c>
      <c r="L166" s="66">
        <f>SUM(L162*'Data Links'!$B$8)</f>
        <v>0.54183599999999998</v>
      </c>
      <c r="M166" s="66">
        <f>SUM(M162*'Data Links'!$B$8)</f>
        <v>0.54183599999999998</v>
      </c>
      <c r="N166" s="66">
        <f>SUM(N162*'Data Links'!$B$8)</f>
        <v>0.54183599999999998</v>
      </c>
    </row>
    <row r="167" spans="1:14" x14ac:dyDescent="0.2">
      <c r="A167" s="59" t="s">
        <v>191</v>
      </c>
      <c r="C167" s="66">
        <f>SUM('All Employees'!$P$47)*C161</f>
        <v>15.864312</v>
      </c>
      <c r="D167" s="66">
        <f>SUM('All Employees'!$P$47)*D161</f>
        <v>15.864312</v>
      </c>
      <c r="E167" s="66">
        <f>SUM('All Employees'!$P$47)*E161</f>
        <v>15.864312</v>
      </c>
      <c r="F167" s="66">
        <f>SUM('All Employees'!$P$47)*F161</f>
        <v>15.864312</v>
      </c>
      <c r="G167" s="66">
        <f>SUM('All Employees'!$P$47)*G161</f>
        <v>15.864312</v>
      </c>
      <c r="H167" s="66">
        <f>SUM('All Employees'!$P$47)*H161</f>
        <v>15.864312</v>
      </c>
      <c r="I167" s="66">
        <f>SUM('All Employees'!$P$47)*I161</f>
        <v>15.864312</v>
      </c>
      <c r="J167" s="66">
        <f>SUM('All Employees'!$P$47)*J161</f>
        <v>15.864312</v>
      </c>
      <c r="K167" s="66">
        <f>SUM('All Employees'!$P$47)*K161</f>
        <v>15.864312</v>
      </c>
      <c r="L167" s="66">
        <f>SUM('All Employees'!$P$47)*L161</f>
        <v>15.864312</v>
      </c>
      <c r="M167" s="66">
        <f>SUM('All Employees'!$P$47)*M161</f>
        <v>15.864312</v>
      </c>
      <c r="N167" s="66">
        <f>SUM('All Employees'!$P$47)*N161</f>
        <v>15.864312</v>
      </c>
    </row>
    <row r="168" spans="1:14" x14ac:dyDescent="0.2">
      <c r="A168" s="59" t="s">
        <v>192</v>
      </c>
      <c r="C168" s="66"/>
      <c r="D168" s="66"/>
      <c r="E168" s="66"/>
      <c r="F168" s="66"/>
      <c r="G168" s="66"/>
      <c r="H168" s="66"/>
      <c r="I168" s="66"/>
      <c r="J168" s="66"/>
      <c r="K168" s="66"/>
      <c r="L168" s="66"/>
      <c r="M168" s="66"/>
      <c r="N168" s="66"/>
    </row>
    <row r="169" spans="1:14" s="58" customFormat="1" x14ac:dyDescent="0.2">
      <c r="A169" s="58" t="s">
        <v>144</v>
      </c>
      <c r="B169" s="60"/>
      <c r="C169" s="60">
        <f t="shared" ref="C169:N169" si="41">SUM(C163:C168)</f>
        <v>135.06979800000002</v>
      </c>
      <c r="D169" s="60">
        <f t="shared" si="41"/>
        <v>135.06979800000002</v>
      </c>
      <c r="E169" s="60">
        <f t="shared" si="41"/>
        <v>135.06979800000002</v>
      </c>
      <c r="F169" s="60">
        <f t="shared" si="41"/>
        <v>135.06979800000002</v>
      </c>
      <c r="G169" s="60">
        <f t="shared" si="41"/>
        <v>135.06979800000002</v>
      </c>
      <c r="H169" s="60">
        <f t="shared" si="41"/>
        <v>135.06979800000002</v>
      </c>
      <c r="I169" s="60">
        <f t="shared" si="41"/>
        <v>135.06979800000002</v>
      </c>
      <c r="J169" s="60">
        <f t="shared" si="41"/>
        <v>135.06979800000002</v>
      </c>
      <c r="K169" s="60">
        <f t="shared" si="41"/>
        <v>135.06979800000002</v>
      </c>
      <c r="L169" s="60">
        <f t="shared" si="41"/>
        <v>135.06979800000002</v>
      </c>
      <c r="M169" s="60">
        <f t="shared" si="41"/>
        <v>135.06979800000002</v>
      </c>
      <c r="N169" s="60">
        <f t="shared" si="41"/>
        <v>135.06979800000002</v>
      </c>
    </row>
    <row r="170" spans="1:14" x14ac:dyDescent="0.2">
      <c r="C170" s="60"/>
      <c r="D170" s="66"/>
      <c r="E170" s="66"/>
      <c r="F170" s="66"/>
      <c r="G170" s="66"/>
      <c r="H170" s="66"/>
      <c r="I170" s="66"/>
      <c r="J170" s="66"/>
      <c r="K170" s="66"/>
      <c r="L170" s="66"/>
      <c r="M170" s="66"/>
      <c r="N170" s="66"/>
    </row>
    <row r="171" spans="1:14" x14ac:dyDescent="0.2">
      <c r="C171" s="89" t="str">
        <f>C158</f>
        <v>January</v>
      </c>
      <c r="D171" s="89" t="str">
        <f t="shared" ref="D171:N171" si="42">D158</f>
        <v>February</v>
      </c>
      <c r="E171" s="89" t="str">
        <f t="shared" si="42"/>
        <v>March</v>
      </c>
      <c r="F171" s="89" t="str">
        <f t="shared" si="42"/>
        <v>April</v>
      </c>
      <c r="G171" s="89" t="str">
        <f t="shared" si="42"/>
        <v>May</v>
      </c>
      <c r="H171" s="89" t="str">
        <f t="shared" si="42"/>
        <v>June</v>
      </c>
      <c r="I171" s="89" t="str">
        <f t="shared" si="42"/>
        <v>July</v>
      </c>
      <c r="J171" s="89" t="str">
        <f t="shared" si="42"/>
        <v>August</v>
      </c>
      <c r="K171" s="89" t="str">
        <f t="shared" si="42"/>
        <v>September</v>
      </c>
      <c r="L171" s="89" t="str">
        <f t="shared" si="42"/>
        <v>October</v>
      </c>
      <c r="M171" s="89" t="str">
        <f t="shared" si="42"/>
        <v>November</v>
      </c>
      <c r="N171" s="89" t="str">
        <f t="shared" si="42"/>
        <v>December</v>
      </c>
    </row>
    <row r="172" spans="1:14" x14ac:dyDescent="0.2">
      <c r="C172" s="72">
        <v>31</v>
      </c>
      <c r="D172" s="72">
        <v>31</v>
      </c>
      <c r="E172" s="72">
        <v>30</v>
      </c>
      <c r="F172" s="72">
        <v>31</v>
      </c>
      <c r="G172" s="72">
        <v>30</v>
      </c>
      <c r="H172" s="72">
        <v>31</v>
      </c>
      <c r="I172" s="72">
        <v>31</v>
      </c>
      <c r="J172" s="72">
        <v>28</v>
      </c>
      <c r="K172" s="72">
        <v>31</v>
      </c>
      <c r="L172" s="72">
        <v>30</v>
      </c>
      <c r="M172" s="72">
        <v>31</v>
      </c>
      <c r="N172" s="71">
        <v>30</v>
      </c>
    </row>
    <row r="173" spans="1:14" x14ac:dyDescent="0.2">
      <c r="B173" s="89" t="s">
        <v>185</v>
      </c>
      <c r="C173" s="78">
        <f t="shared" ref="C173:N173" si="43">C160</f>
        <v>1</v>
      </c>
      <c r="D173" s="78">
        <f t="shared" si="43"/>
        <v>0</v>
      </c>
      <c r="E173" s="78">
        <f t="shared" si="43"/>
        <v>1</v>
      </c>
      <c r="F173" s="78">
        <f t="shared" si="43"/>
        <v>0</v>
      </c>
      <c r="G173" s="78">
        <f t="shared" si="43"/>
        <v>2</v>
      </c>
      <c r="H173" s="78">
        <f t="shared" si="43"/>
        <v>0</v>
      </c>
      <c r="I173" s="78">
        <f t="shared" si="43"/>
        <v>2</v>
      </c>
      <c r="J173" s="78">
        <f t="shared" si="43"/>
        <v>1</v>
      </c>
      <c r="K173" s="78">
        <f t="shared" si="43"/>
        <v>0</v>
      </c>
      <c r="L173" s="78">
        <f t="shared" si="43"/>
        <v>0</v>
      </c>
      <c r="M173" s="78">
        <f t="shared" si="43"/>
        <v>1</v>
      </c>
      <c r="N173" s="78">
        <f t="shared" si="43"/>
        <v>0</v>
      </c>
    </row>
    <row r="174" spans="1:14" x14ac:dyDescent="0.2">
      <c r="B174" s="89" t="s">
        <v>44</v>
      </c>
      <c r="C174" s="49">
        <v>0.01</v>
      </c>
      <c r="D174" s="49">
        <v>0.01</v>
      </c>
      <c r="E174" s="49">
        <v>0.01</v>
      </c>
      <c r="F174" s="49">
        <v>0.01</v>
      </c>
      <c r="G174" s="49">
        <v>0.01</v>
      </c>
      <c r="H174" s="49">
        <v>0.01</v>
      </c>
      <c r="I174" s="49">
        <v>0.01</v>
      </c>
      <c r="J174" s="49">
        <v>0.01</v>
      </c>
      <c r="K174" s="49">
        <v>0.01</v>
      </c>
      <c r="L174" s="49">
        <v>0.01</v>
      </c>
      <c r="M174" s="49">
        <v>0.01</v>
      </c>
      <c r="N174" s="49">
        <v>0.01</v>
      </c>
    </row>
    <row r="175" spans="1:14" x14ac:dyDescent="0.2">
      <c r="B175" s="89" t="s">
        <v>186</v>
      </c>
      <c r="C175" s="53">
        <f>SUM(174*C174)</f>
        <v>1.74</v>
      </c>
      <c r="D175" s="53">
        <f t="shared" ref="D175:N175" si="44">SUM(174*D174)</f>
        <v>1.74</v>
      </c>
      <c r="E175" s="53">
        <f t="shared" si="44"/>
        <v>1.74</v>
      </c>
      <c r="F175" s="53">
        <f t="shared" si="44"/>
        <v>1.74</v>
      </c>
      <c r="G175" s="53">
        <f t="shared" si="44"/>
        <v>1.74</v>
      </c>
      <c r="H175" s="53">
        <f t="shared" si="44"/>
        <v>1.74</v>
      </c>
      <c r="I175" s="53">
        <f t="shared" si="44"/>
        <v>1.74</v>
      </c>
      <c r="J175" s="53">
        <f t="shared" si="44"/>
        <v>1.74</v>
      </c>
      <c r="K175" s="53">
        <f t="shared" si="44"/>
        <v>1.74</v>
      </c>
      <c r="L175" s="53">
        <f t="shared" si="44"/>
        <v>1.74</v>
      </c>
      <c r="M175" s="53">
        <f t="shared" si="44"/>
        <v>1.74</v>
      </c>
      <c r="N175" s="53">
        <f t="shared" si="44"/>
        <v>1.74</v>
      </c>
    </row>
    <row r="176" spans="1:14" x14ac:dyDescent="0.2">
      <c r="A176" s="59" t="s">
        <v>557</v>
      </c>
      <c r="B176" s="78" t="s">
        <v>187</v>
      </c>
      <c r="C176" s="66">
        <f>SUM(C175*$B$177)</f>
        <v>31.946400000000001</v>
      </c>
      <c r="D176" s="66">
        <f t="shared" ref="D176:N176" si="45">SUM(D175*$B$177)</f>
        <v>31.946400000000001</v>
      </c>
      <c r="E176" s="66">
        <f t="shared" si="45"/>
        <v>31.946400000000001</v>
      </c>
      <c r="F176" s="66">
        <f t="shared" si="45"/>
        <v>31.946400000000001</v>
      </c>
      <c r="G176" s="66">
        <f t="shared" si="45"/>
        <v>31.946400000000001</v>
      </c>
      <c r="H176" s="66">
        <f t="shared" si="45"/>
        <v>31.946400000000001</v>
      </c>
      <c r="I176" s="66">
        <f t="shared" si="45"/>
        <v>31.946400000000001</v>
      </c>
      <c r="J176" s="66">
        <f t="shared" si="45"/>
        <v>31.946400000000001</v>
      </c>
      <c r="K176" s="66">
        <f t="shared" si="45"/>
        <v>31.946400000000001</v>
      </c>
      <c r="L176" s="66">
        <f t="shared" si="45"/>
        <v>31.946400000000001</v>
      </c>
      <c r="M176" s="66">
        <f t="shared" si="45"/>
        <v>31.946400000000001</v>
      </c>
      <c r="N176" s="66">
        <f t="shared" si="45"/>
        <v>31.946400000000001</v>
      </c>
    </row>
    <row r="177" spans="1:14" x14ac:dyDescent="0.2">
      <c r="A177" s="59" t="s">
        <v>188</v>
      </c>
      <c r="B177" s="74">
        <v>18.36</v>
      </c>
      <c r="C177" s="66">
        <f>SUM(C176)*'Data Links'!$B$15</f>
        <v>2.4438995999999999</v>
      </c>
      <c r="D177" s="66">
        <f>SUM(D176)*'Data Links'!$B$15</f>
        <v>2.4438995999999999</v>
      </c>
      <c r="E177" s="66">
        <f>SUM(E176)*'Data Links'!$B$15</f>
        <v>2.4438995999999999</v>
      </c>
      <c r="F177" s="66">
        <f>SUM(F176)*'Data Links'!$B$15</f>
        <v>2.4438995999999999</v>
      </c>
      <c r="G177" s="66">
        <f>SUM(G176)*'Data Links'!$B$15</f>
        <v>2.4438995999999999</v>
      </c>
      <c r="H177" s="66">
        <f>SUM(H176)*'Data Links'!$B$15</f>
        <v>2.4438995999999999</v>
      </c>
      <c r="I177" s="66">
        <f>SUM(I176)*'Data Links'!$B$15</f>
        <v>2.4438995999999999</v>
      </c>
      <c r="J177" s="66">
        <f>SUM(J176)*'Data Links'!$B$15</f>
        <v>2.4438995999999999</v>
      </c>
      <c r="K177" s="66">
        <f>SUM(K176)*'Data Links'!$B$15</f>
        <v>2.4438995999999999</v>
      </c>
      <c r="L177" s="66">
        <f>SUM(L176)*'Data Links'!$B$15</f>
        <v>2.4438995999999999</v>
      </c>
      <c r="M177" s="66">
        <f>SUM(M176)*'Data Links'!$B$15</f>
        <v>2.4438995999999999</v>
      </c>
      <c r="N177" s="66">
        <f>SUM(N176)*'Data Links'!$B$15</f>
        <v>2.4438995999999999</v>
      </c>
    </row>
    <row r="178" spans="1:14" x14ac:dyDescent="0.2">
      <c r="A178" s="59" t="s">
        <v>189</v>
      </c>
      <c r="C178" s="66">
        <f>SUM(C176*'Data Links'!$B$13)</f>
        <v>0.1916784</v>
      </c>
      <c r="D178" s="66">
        <f>SUM(D176*'Data Links'!$B$13)</f>
        <v>0.1916784</v>
      </c>
      <c r="E178" s="66">
        <f>SUM(E176*'Data Links'!$B$13)</f>
        <v>0.1916784</v>
      </c>
      <c r="F178" s="66">
        <f>SUM(F176*'Data Links'!$B$13)</f>
        <v>0.1916784</v>
      </c>
      <c r="G178" s="66">
        <f>SUM(G176*'Data Links'!$B$13)</f>
        <v>0.1916784</v>
      </c>
      <c r="H178" s="66">
        <f>SUM(H176*'Data Links'!$B$13)</f>
        <v>0.1916784</v>
      </c>
      <c r="I178" s="66">
        <f>SUM(I176*'Data Links'!$B$13)</f>
        <v>0.1916784</v>
      </c>
      <c r="J178" s="66">
        <f>SUM(J176*'Data Links'!$B$13)</f>
        <v>0.1916784</v>
      </c>
      <c r="K178" s="66">
        <f>SUM(K176*'Data Links'!$B$13)</f>
        <v>0.1916784</v>
      </c>
      <c r="L178" s="66">
        <f>SUM(L176*'Data Links'!$B$13)</f>
        <v>0.1916784</v>
      </c>
      <c r="M178" s="66">
        <f>SUM(M176*'Data Links'!$B$13)</f>
        <v>0.1916784</v>
      </c>
      <c r="N178" s="66">
        <f>SUM(N176*'Data Links'!$B$13)</f>
        <v>0.1916784</v>
      </c>
    </row>
    <row r="179" spans="1:14" x14ac:dyDescent="0.2">
      <c r="A179" s="59" t="s">
        <v>190</v>
      </c>
      <c r="C179" s="66">
        <f>SUM(C175*'Data Links'!$B$8)</f>
        <v>0.135459</v>
      </c>
      <c r="D179" s="66">
        <f>SUM(D175*'Data Links'!$B$8)</f>
        <v>0.135459</v>
      </c>
      <c r="E179" s="66">
        <f>SUM(E175*'Data Links'!$B$8)</f>
        <v>0.135459</v>
      </c>
      <c r="F179" s="66">
        <f>SUM(F175*'Data Links'!$B$8)</f>
        <v>0.135459</v>
      </c>
      <c r="G179" s="66">
        <f>SUM(G175*'Data Links'!$B$8)</f>
        <v>0.135459</v>
      </c>
      <c r="H179" s="66">
        <f>SUM(H175*'Data Links'!$B$8)</f>
        <v>0.135459</v>
      </c>
      <c r="I179" s="66">
        <f>SUM(I175*'Data Links'!$B$8)</f>
        <v>0.135459</v>
      </c>
      <c r="J179" s="66">
        <f>SUM(J175*'Data Links'!$B$8)</f>
        <v>0.135459</v>
      </c>
      <c r="K179" s="66">
        <f>SUM(K175*'Data Links'!$B$8)</f>
        <v>0.135459</v>
      </c>
      <c r="L179" s="66">
        <f>SUM(L175*'Data Links'!$B$8)</f>
        <v>0.135459</v>
      </c>
      <c r="M179" s="66">
        <f>SUM(M175*'Data Links'!$B$8)</f>
        <v>0.135459</v>
      </c>
      <c r="N179" s="66">
        <f>SUM(N175*'Data Links'!$B$8)</f>
        <v>0.135459</v>
      </c>
    </row>
    <row r="180" spans="1:14" x14ac:dyDescent="0.2">
      <c r="A180" s="59" t="s">
        <v>191</v>
      </c>
      <c r="C180" s="66">
        <f>SUM('All Employees'!$P$50)*'WH-VOC'!C174</f>
        <v>4.26</v>
      </c>
      <c r="D180" s="66">
        <f>SUM('All Employees'!$P$50)*'WH-VOC'!D174</f>
        <v>4.26</v>
      </c>
      <c r="E180" s="66">
        <f>SUM('All Employees'!$P$50)*'WH-VOC'!E174</f>
        <v>4.26</v>
      </c>
      <c r="F180" s="66">
        <f>SUM('All Employees'!$P$50)*'WH-VOC'!F174</f>
        <v>4.26</v>
      </c>
      <c r="G180" s="66">
        <f>SUM('All Employees'!$P$50)*'WH-VOC'!G174</f>
        <v>4.26</v>
      </c>
      <c r="H180" s="66">
        <f>SUM('All Employees'!$P$50)*'WH-VOC'!H174</f>
        <v>4.26</v>
      </c>
      <c r="I180" s="66">
        <f>SUM('All Employees'!$P$50)*'WH-VOC'!I174</f>
        <v>4.26</v>
      </c>
      <c r="J180" s="66">
        <f>SUM('All Employees'!$P$50)*'WH-VOC'!J174</f>
        <v>4.26</v>
      </c>
      <c r="K180" s="66">
        <f>SUM('All Employees'!$P$50)*'WH-VOC'!K174</f>
        <v>4.26</v>
      </c>
      <c r="L180" s="66">
        <f>SUM('All Employees'!$P$50)*'WH-VOC'!L174</f>
        <v>4.26</v>
      </c>
      <c r="M180" s="66">
        <f>SUM('All Employees'!$P$50)*'WH-VOC'!M174</f>
        <v>4.26</v>
      </c>
      <c r="N180" s="66">
        <f>SUM('All Employees'!$P$50)*'WH-VOC'!N174</f>
        <v>4.26</v>
      </c>
    </row>
    <row r="181" spans="1:14" x14ac:dyDescent="0.2">
      <c r="A181" s="59" t="s">
        <v>192</v>
      </c>
      <c r="C181" s="66"/>
      <c r="D181" s="66"/>
      <c r="E181" s="66"/>
      <c r="F181" s="66"/>
      <c r="G181" s="66"/>
      <c r="H181" s="66"/>
      <c r="I181" s="66"/>
      <c r="J181" s="66"/>
      <c r="K181" s="66"/>
      <c r="L181" s="66"/>
      <c r="M181" s="66"/>
      <c r="N181" s="66"/>
    </row>
    <row r="182" spans="1:14" s="58" customFormat="1" x14ac:dyDescent="0.2">
      <c r="A182" s="58" t="s">
        <v>144</v>
      </c>
      <c r="B182" s="60"/>
      <c r="C182" s="60">
        <f t="shared" ref="C182:N182" si="46">SUM(C176:C181)</f>
        <v>38.977436999999995</v>
      </c>
      <c r="D182" s="60">
        <f t="shared" si="46"/>
        <v>38.977436999999995</v>
      </c>
      <c r="E182" s="60">
        <f t="shared" si="46"/>
        <v>38.977436999999995</v>
      </c>
      <c r="F182" s="60">
        <f t="shared" si="46"/>
        <v>38.977436999999995</v>
      </c>
      <c r="G182" s="60">
        <f t="shared" si="46"/>
        <v>38.977436999999995</v>
      </c>
      <c r="H182" s="60">
        <f t="shared" si="46"/>
        <v>38.977436999999995</v>
      </c>
      <c r="I182" s="60">
        <f t="shared" si="46"/>
        <v>38.977436999999995</v>
      </c>
      <c r="J182" s="60">
        <f t="shared" si="46"/>
        <v>38.977436999999995</v>
      </c>
      <c r="K182" s="60">
        <f t="shared" si="46"/>
        <v>38.977436999999995</v>
      </c>
      <c r="L182" s="60">
        <f t="shared" si="46"/>
        <v>38.977436999999995</v>
      </c>
      <c r="M182" s="60">
        <f t="shared" si="46"/>
        <v>38.977436999999995</v>
      </c>
      <c r="N182" s="60">
        <f t="shared" si="46"/>
        <v>38.977436999999995</v>
      </c>
    </row>
    <row r="183" spans="1:14" x14ac:dyDescent="0.2">
      <c r="C183" s="60"/>
      <c r="D183" s="66"/>
      <c r="E183" s="66"/>
      <c r="F183" s="66"/>
      <c r="G183" s="66"/>
      <c r="H183" s="66"/>
      <c r="I183" s="66"/>
      <c r="J183" s="66"/>
      <c r="K183" s="66"/>
      <c r="L183" s="66"/>
      <c r="M183" s="66"/>
      <c r="N183" s="66"/>
    </row>
    <row r="184" spans="1:14" x14ac:dyDescent="0.2">
      <c r="C184" s="89" t="str">
        <f>C171</f>
        <v>January</v>
      </c>
      <c r="D184" s="89" t="str">
        <f t="shared" ref="D184:N184" si="47">D171</f>
        <v>February</v>
      </c>
      <c r="E184" s="89" t="str">
        <f t="shared" si="47"/>
        <v>March</v>
      </c>
      <c r="F184" s="89" t="str">
        <f t="shared" si="47"/>
        <v>April</v>
      </c>
      <c r="G184" s="89" t="str">
        <f t="shared" si="47"/>
        <v>May</v>
      </c>
      <c r="H184" s="89" t="str">
        <f t="shared" si="47"/>
        <v>June</v>
      </c>
      <c r="I184" s="89" t="str">
        <f t="shared" si="47"/>
        <v>July</v>
      </c>
      <c r="J184" s="89" t="str">
        <f t="shared" si="47"/>
        <v>August</v>
      </c>
      <c r="K184" s="89" t="str">
        <f t="shared" si="47"/>
        <v>September</v>
      </c>
      <c r="L184" s="89" t="str">
        <f t="shared" si="47"/>
        <v>October</v>
      </c>
      <c r="M184" s="89" t="str">
        <f t="shared" si="47"/>
        <v>November</v>
      </c>
      <c r="N184" s="89" t="str">
        <f t="shared" si="47"/>
        <v>December</v>
      </c>
    </row>
    <row r="185" spans="1:14" x14ac:dyDescent="0.2">
      <c r="C185" s="72">
        <v>31</v>
      </c>
      <c r="D185" s="72">
        <v>31</v>
      </c>
      <c r="E185" s="72">
        <v>30</v>
      </c>
      <c r="F185" s="72">
        <v>31</v>
      </c>
      <c r="G185" s="72">
        <v>30</v>
      </c>
      <c r="H185" s="72">
        <v>31</v>
      </c>
      <c r="I185" s="72">
        <v>31</v>
      </c>
      <c r="J185" s="72">
        <v>28</v>
      </c>
      <c r="K185" s="72">
        <v>31</v>
      </c>
      <c r="L185" s="72">
        <v>30</v>
      </c>
      <c r="M185" s="72">
        <v>31</v>
      </c>
      <c r="N185" s="71">
        <v>30</v>
      </c>
    </row>
    <row r="186" spans="1:14" x14ac:dyDescent="0.2">
      <c r="B186" s="78" t="s">
        <v>185</v>
      </c>
      <c r="C186" s="78">
        <f t="shared" ref="C186:N186" si="48">C173</f>
        <v>1</v>
      </c>
      <c r="D186" s="78">
        <f t="shared" si="48"/>
        <v>0</v>
      </c>
      <c r="E186" s="78">
        <f t="shared" si="48"/>
        <v>1</v>
      </c>
      <c r="F186" s="78">
        <f t="shared" si="48"/>
        <v>0</v>
      </c>
      <c r="G186" s="78">
        <f t="shared" si="48"/>
        <v>2</v>
      </c>
      <c r="H186" s="78">
        <f t="shared" si="48"/>
        <v>0</v>
      </c>
      <c r="I186" s="78">
        <f t="shared" si="48"/>
        <v>2</v>
      </c>
      <c r="J186" s="78">
        <f t="shared" si="48"/>
        <v>1</v>
      </c>
      <c r="K186" s="78">
        <f t="shared" si="48"/>
        <v>0</v>
      </c>
      <c r="L186" s="78">
        <f t="shared" si="48"/>
        <v>0</v>
      </c>
      <c r="M186" s="78">
        <f t="shared" si="48"/>
        <v>1</v>
      </c>
      <c r="N186" s="78">
        <f t="shared" si="48"/>
        <v>0</v>
      </c>
    </row>
    <row r="187" spans="1:14" x14ac:dyDescent="0.2">
      <c r="B187" s="78" t="s">
        <v>44</v>
      </c>
      <c r="C187" s="49"/>
      <c r="D187" s="49"/>
      <c r="E187" s="49"/>
      <c r="F187" s="49"/>
      <c r="G187" s="49"/>
      <c r="H187" s="49">
        <v>0.67</v>
      </c>
      <c r="I187" s="49">
        <v>0.67</v>
      </c>
      <c r="J187" s="49">
        <v>0.67</v>
      </c>
      <c r="K187" s="49">
        <f>SUM(3/40)</f>
        <v>7.4999999999999997E-2</v>
      </c>
      <c r="L187" s="49">
        <f>SUM(3/40)</f>
        <v>7.4999999999999997E-2</v>
      </c>
      <c r="M187" s="49"/>
      <c r="N187" s="49"/>
    </row>
    <row r="188" spans="1:14" x14ac:dyDescent="0.2">
      <c r="B188" s="78" t="s">
        <v>186</v>
      </c>
      <c r="C188" s="53">
        <f>SUM(174*C187)</f>
        <v>0</v>
      </c>
      <c r="D188" s="53">
        <f t="shared" ref="D188:N188" si="49">SUM(174*D187)</f>
        <v>0</v>
      </c>
      <c r="E188" s="53">
        <f t="shared" si="49"/>
        <v>0</v>
      </c>
      <c r="F188" s="53">
        <f t="shared" si="49"/>
        <v>0</v>
      </c>
      <c r="G188" s="53">
        <f t="shared" si="49"/>
        <v>0</v>
      </c>
      <c r="H188" s="53">
        <f t="shared" si="49"/>
        <v>116.58000000000001</v>
      </c>
      <c r="I188" s="53">
        <f t="shared" si="49"/>
        <v>116.58000000000001</v>
      </c>
      <c r="J188" s="53">
        <f t="shared" si="49"/>
        <v>116.58000000000001</v>
      </c>
      <c r="K188" s="53">
        <f t="shared" si="49"/>
        <v>13.049999999999999</v>
      </c>
      <c r="L188" s="53">
        <f t="shared" si="49"/>
        <v>13.049999999999999</v>
      </c>
      <c r="M188" s="53">
        <f t="shared" si="49"/>
        <v>0</v>
      </c>
      <c r="N188" s="53">
        <f t="shared" si="49"/>
        <v>0</v>
      </c>
    </row>
    <row r="189" spans="1:14" x14ac:dyDescent="0.2">
      <c r="A189" s="359" t="s">
        <v>404</v>
      </c>
      <c r="B189" s="78" t="s">
        <v>187</v>
      </c>
      <c r="C189" s="66">
        <f>SUM(C188*$B$190)</f>
        <v>0</v>
      </c>
      <c r="D189" s="66">
        <f t="shared" ref="D189:N189" si="50">SUM(D188*$B$190)</f>
        <v>0</v>
      </c>
      <c r="E189" s="66">
        <f t="shared" si="50"/>
        <v>0</v>
      </c>
      <c r="F189" s="66">
        <f t="shared" si="50"/>
        <v>0</v>
      </c>
      <c r="G189" s="66">
        <f t="shared" si="50"/>
        <v>0</v>
      </c>
      <c r="H189" s="66">
        <f t="shared" si="50"/>
        <v>1340.67</v>
      </c>
      <c r="I189" s="66">
        <f t="shared" si="50"/>
        <v>1340.67</v>
      </c>
      <c r="J189" s="66">
        <f t="shared" si="50"/>
        <v>1340.67</v>
      </c>
      <c r="K189" s="66">
        <f t="shared" si="50"/>
        <v>150.07499999999999</v>
      </c>
      <c r="L189" s="66">
        <f t="shared" si="50"/>
        <v>150.07499999999999</v>
      </c>
      <c r="M189" s="66">
        <f t="shared" si="50"/>
        <v>0</v>
      </c>
      <c r="N189" s="66">
        <f t="shared" si="50"/>
        <v>0</v>
      </c>
    </row>
    <row r="190" spans="1:14" x14ac:dyDescent="0.2">
      <c r="A190" s="59" t="s">
        <v>188</v>
      </c>
      <c r="B190" s="74">
        <v>11.5</v>
      </c>
      <c r="C190" s="66">
        <f>SUM(C189)*'Data Links'!$B$15</f>
        <v>0</v>
      </c>
      <c r="D190" s="66">
        <f>SUM(D189)*'Data Links'!$B$15</f>
        <v>0</v>
      </c>
      <c r="E190" s="66">
        <f>SUM(E189)*'Data Links'!$B$15</f>
        <v>0</v>
      </c>
      <c r="F190" s="66">
        <f>SUM(F189)*'Data Links'!$B$15</f>
        <v>0</v>
      </c>
      <c r="G190" s="66">
        <f>SUM(G189)*'Data Links'!$B$15</f>
        <v>0</v>
      </c>
      <c r="H190" s="66">
        <f>SUM(H189)*'Data Links'!$B$15</f>
        <v>102.561255</v>
      </c>
      <c r="I190" s="66">
        <f>SUM(I189)*'Data Links'!$B$15</f>
        <v>102.561255</v>
      </c>
      <c r="J190" s="66">
        <f>SUM(J189)*'Data Links'!$B$15</f>
        <v>102.561255</v>
      </c>
      <c r="K190" s="66">
        <f>SUM(K189)*'Data Links'!$B$15</f>
        <v>11.480737499999998</v>
      </c>
      <c r="L190" s="66">
        <f>SUM(L189)*'Data Links'!$B$15</f>
        <v>11.480737499999998</v>
      </c>
      <c r="M190" s="66">
        <f>SUM(M189)*'Data Links'!$B$15</f>
        <v>0</v>
      </c>
      <c r="N190" s="66">
        <f>SUM(N189)*'Data Links'!$B$15</f>
        <v>0</v>
      </c>
    </row>
    <row r="191" spans="1:14" x14ac:dyDescent="0.2">
      <c r="A191" s="59" t="s">
        <v>189</v>
      </c>
      <c r="C191" s="66">
        <f>SUM(C189*'Data Links'!$B$13)</f>
        <v>0</v>
      </c>
      <c r="D191" s="66">
        <f>SUM(D189*'Data Links'!$B$13)</f>
        <v>0</v>
      </c>
      <c r="E191" s="66">
        <f>SUM(E189*'Data Links'!$B$13)</f>
        <v>0</v>
      </c>
      <c r="F191" s="66">
        <f>SUM(F189*'Data Links'!$B$13)</f>
        <v>0</v>
      </c>
      <c r="G191" s="66">
        <f>SUM(G189*'Data Links'!$B$13)</f>
        <v>0</v>
      </c>
      <c r="H191" s="66">
        <f>SUM(H189*'Data Links'!$B$13)</f>
        <v>8.0440199999999997</v>
      </c>
      <c r="I191" s="66">
        <f>SUM(I189*'Data Links'!$B$13)</f>
        <v>8.0440199999999997</v>
      </c>
      <c r="J191" s="66">
        <f>SUM(J189*'Data Links'!$B$13)</f>
        <v>8.0440199999999997</v>
      </c>
      <c r="K191" s="66">
        <f>SUM(K189*'Data Links'!$B$13)</f>
        <v>0.90044999999999997</v>
      </c>
      <c r="L191" s="66">
        <f>SUM(L189*'Data Links'!$B$13)</f>
        <v>0.90044999999999997</v>
      </c>
      <c r="M191" s="66">
        <f>SUM(M189*'Data Links'!$B$13)</f>
        <v>0</v>
      </c>
      <c r="N191" s="66">
        <f>SUM(N189*'Data Links'!$B$13)</f>
        <v>0</v>
      </c>
    </row>
    <row r="192" spans="1:14" x14ac:dyDescent="0.2">
      <c r="A192" s="59" t="s">
        <v>190</v>
      </c>
      <c r="C192" s="66">
        <f>SUM(C188*'Data Links'!$B$8)</f>
        <v>0</v>
      </c>
      <c r="D192" s="66">
        <f>SUM(D188*'Data Links'!$B$8)</f>
        <v>0</v>
      </c>
      <c r="E192" s="66">
        <f>SUM(E188*'Data Links'!$B$8)</f>
        <v>0</v>
      </c>
      <c r="F192" s="66">
        <f>SUM(F188*'Data Links'!$B$8)</f>
        <v>0</v>
      </c>
      <c r="G192" s="66">
        <f>SUM(G188*'Data Links'!$B$8)</f>
        <v>0</v>
      </c>
      <c r="H192" s="66">
        <f>SUM(H188*'Data Links'!$B$8)</f>
        <v>9.0757530000000006</v>
      </c>
      <c r="I192" s="66">
        <f>SUM(I188*'Data Links'!$B$8)</f>
        <v>9.0757530000000006</v>
      </c>
      <c r="J192" s="66">
        <f>SUM(J188*'Data Links'!$B$8)</f>
        <v>9.0757530000000006</v>
      </c>
      <c r="K192" s="66">
        <f>SUM(K188*'Data Links'!$B$8)</f>
        <v>1.0159425</v>
      </c>
      <c r="L192" s="66">
        <f>SUM(L188*'Data Links'!$B$8)</f>
        <v>1.0159425</v>
      </c>
      <c r="M192" s="66">
        <f>SUM(M188*'Data Links'!$B$8)</f>
        <v>0</v>
      </c>
      <c r="N192" s="66">
        <f>SUM(N188*'Data Links'!$B$8)</f>
        <v>0</v>
      </c>
    </row>
    <row r="193" spans="1:15" x14ac:dyDescent="0.2">
      <c r="A193" s="59" t="s">
        <v>191</v>
      </c>
      <c r="C193" s="66"/>
      <c r="D193" s="66"/>
      <c r="E193" s="66"/>
      <c r="F193" s="66"/>
      <c r="G193" s="66"/>
      <c r="H193" s="66"/>
      <c r="I193" s="66"/>
      <c r="J193" s="66"/>
      <c r="K193" s="66"/>
      <c r="L193" s="66"/>
      <c r="M193" s="66"/>
      <c r="N193" s="66"/>
    </row>
    <row r="194" spans="1:15" x14ac:dyDescent="0.2">
      <c r="A194" s="59" t="s">
        <v>192</v>
      </c>
      <c r="C194" s="66"/>
      <c r="D194" s="66"/>
      <c r="E194" s="66"/>
      <c r="F194" s="66"/>
      <c r="G194" s="66"/>
      <c r="H194" s="66"/>
      <c r="I194" s="66"/>
      <c r="J194" s="66"/>
      <c r="K194" s="66"/>
      <c r="L194" s="66"/>
      <c r="M194" s="66"/>
      <c r="N194" s="66"/>
    </row>
    <row r="195" spans="1:15" s="58" customFormat="1" x14ac:dyDescent="0.2">
      <c r="A195" s="58" t="s">
        <v>144</v>
      </c>
      <c r="B195" s="60"/>
      <c r="C195" s="60">
        <f t="shared" ref="C195:N195" si="51">SUM(C189:C194)</f>
        <v>0</v>
      </c>
      <c r="D195" s="60">
        <f t="shared" si="51"/>
        <v>0</v>
      </c>
      <c r="E195" s="60">
        <f t="shared" si="51"/>
        <v>0</v>
      </c>
      <c r="F195" s="60">
        <f t="shared" si="51"/>
        <v>0</v>
      </c>
      <c r="G195" s="212">
        <f t="shared" si="51"/>
        <v>0</v>
      </c>
      <c r="H195" s="358">
        <f t="shared" si="51"/>
        <v>1460.3510280000003</v>
      </c>
      <c r="I195" s="358">
        <f t="shared" si="51"/>
        <v>1460.3510280000003</v>
      </c>
      <c r="J195" s="380">
        <f t="shared" si="51"/>
        <v>1460.3510280000003</v>
      </c>
      <c r="K195" s="60">
        <f t="shared" si="51"/>
        <v>163.47212999999999</v>
      </c>
      <c r="L195" s="60">
        <f t="shared" si="51"/>
        <v>163.47212999999999</v>
      </c>
      <c r="M195" s="60">
        <f t="shared" si="51"/>
        <v>0</v>
      </c>
      <c r="N195" s="60">
        <f t="shared" si="51"/>
        <v>0</v>
      </c>
      <c r="O195" s="60">
        <f>SUM(C195:N195)</f>
        <v>4707.9973440000012</v>
      </c>
    </row>
    <row r="196" spans="1:15" x14ac:dyDescent="0.2">
      <c r="C196" s="60"/>
      <c r="D196" s="66"/>
      <c r="E196" s="66"/>
      <c r="F196" s="66"/>
      <c r="G196" s="66"/>
      <c r="H196" s="66"/>
      <c r="I196" s="66"/>
      <c r="J196" s="66"/>
      <c r="K196" s="66"/>
      <c r="L196" s="66"/>
      <c r="M196" s="66"/>
      <c r="N196" s="66"/>
    </row>
    <row r="197" spans="1:15" hidden="1" x14ac:dyDescent="0.2">
      <c r="C197" s="89" t="str">
        <f>C184</f>
        <v>January</v>
      </c>
      <c r="D197" s="89" t="str">
        <f t="shared" ref="D197:M197" si="52">D184</f>
        <v>February</v>
      </c>
      <c r="E197" s="89" t="str">
        <f t="shared" si="52"/>
        <v>March</v>
      </c>
      <c r="F197" s="89" t="str">
        <f t="shared" si="52"/>
        <v>April</v>
      </c>
      <c r="G197" s="89" t="str">
        <f t="shared" si="52"/>
        <v>May</v>
      </c>
      <c r="H197" s="89" t="str">
        <f t="shared" si="52"/>
        <v>June</v>
      </c>
      <c r="I197" s="89" t="str">
        <f t="shared" si="52"/>
        <v>July</v>
      </c>
      <c r="J197" s="89" t="str">
        <f t="shared" si="52"/>
        <v>August</v>
      </c>
      <c r="K197" s="89" t="str">
        <f t="shared" si="52"/>
        <v>September</v>
      </c>
      <c r="L197" s="89" t="str">
        <f t="shared" si="52"/>
        <v>October</v>
      </c>
      <c r="M197" s="89" t="str">
        <f t="shared" si="52"/>
        <v>November</v>
      </c>
      <c r="N197" s="89" t="str">
        <f>N184</f>
        <v>December</v>
      </c>
    </row>
    <row r="198" spans="1:15" hidden="1" x14ac:dyDescent="0.2">
      <c r="C198" s="72">
        <v>31</v>
      </c>
      <c r="D198" s="72">
        <v>31</v>
      </c>
      <c r="E198" s="72">
        <v>30</v>
      </c>
      <c r="F198" s="72">
        <v>31</v>
      </c>
      <c r="G198" s="72">
        <v>30</v>
      </c>
      <c r="H198" s="72">
        <v>31</v>
      </c>
      <c r="I198" s="72">
        <v>31</v>
      </c>
      <c r="J198" s="72">
        <v>28</v>
      </c>
      <c r="K198" s="72">
        <v>31</v>
      </c>
      <c r="L198" s="72">
        <v>30</v>
      </c>
      <c r="M198" s="72">
        <v>31</v>
      </c>
      <c r="N198" s="71">
        <v>30</v>
      </c>
    </row>
    <row r="199" spans="1:15" hidden="1" x14ac:dyDescent="0.2">
      <c r="B199" s="89" t="s">
        <v>185</v>
      </c>
      <c r="C199" s="78">
        <f t="shared" ref="C199:N199" si="53">C186</f>
        <v>1</v>
      </c>
      <c r="D199" s="78">
        <f t="shared" si="53"/>
        <v>0</v>
      </c>
      <c r="E199" s="78">
        <f t="shared" si="53"/>
        <v>1</v>
      </c>
      <c r="F199" s="78">
        <f t="shared" si="53"/>
        <v>0</v>
      </c>
      <c r="G199" s="78">
        <f t="shared" si="53"/>
        <v>2</v>
      </c>
      <c r="H199" s="78">
        <f t="shared" si="53"/>
        <v>0</v>
      </c>
      <c r="I199" s="78">
        <f t="shared" si="53"/>
        <v>2</v>
      </c>
      <c r="J199" s="78">
        <f t="shared" si="53"/>
        <v>1</v>
      </c>
      <c r="K199" s="78">
        <f t="shared" si="53"/>
        <v>0</v>
      </c>
      <c r="L199" s="78">
        <f t="shared" si="53"/>
        <v>0</v>
      </c>
      <c r="M199" s="78">
        <f t="shared" si="53"/>
        <v>1</v>
      </c>
      <c r="N199" s="78">
        <f t="shared" si="53"/>
        <v>0</v>
      </c>
    </row>
    <row r="200" spans="1:15" hidden="1" x14ac:dyDescent="0.2">
      <c r="B200" s="89" t="s">
        <v>44</v>
      </c>
      <c r="C200" s="49"/>
      <c r="D200" s="49"/>
      <c r="E200" s="49"/>
      <c r="F200" s="49"/>
      <c r="G200" s="49"/>
      <c r="H200" s="49"/>
      <c r="I200" s="49"/>
      <c r="J200" s="49"/>
      <c r="K200" s="49"/>
      <c r="L200" s="49"/>
      <c r="M200" s="49"/>
      <c r="N200" s="49"/>
    </row>
    <row r="201" spans="1:15" hidden="1" x14ac:dyDescent="0.2">
      <c r="B201" s="89" t="s">
        <v>186</v>
      </c>
      <c r="C201" s="53">
        <f>SUM(174*C200)</f>
        <v>0</v>
      </c>
      <c r="D201" s="53">
        <f t="shared" ref="D201:N201" si="54">SUM(174*D200)</f>
        <v>0</v>
      </c>
      <c r="E201" s="53">
        <f t="shared" si="54"/>
        <v>0</v>
      </c>
      <c r="F201" s="53">
        <f t="shared" si="54"/>
        <v>0</v>
      </c>
      <c r="G201" s="53">
        <f t="shared" si="54"/>
        <v>0</v>
      </c>
      <c r="H201" s="53">
        <f t="shared" si="54"/>
        <v>0</v>
      </c>
      <c r="I201" s="53">
        <f t="shared" si="54"/>
        <v>0</v>
      </c>
      <c r="J201" s="53">
        <f t="shared" si="54"/>
        <v>0</v>
      </c>
      <c r="K201" s="53">
        <f t="shared" si="54"/>
        <v>0</v>
      </c>
      <c r="L201" s="53">
        <f t="shared" si="54"/>
        <v>0</v>
      </c>
      <c r="M201" s="53">
        <f t="shared" si="54"/>
        <v>0</v>
      </c>
      <c r="N201" s="53">
        <f t="shared" si="54"/>
        <v>0</v>
      </c>
    </row>
    <row r="202" spans="1:15" hidden="1" x14ac:dyDescent="0.2">
      <c r="A202" s="59" t="s">
        <v>193</v>
      </c>
      <c r="B202" s="78" t="s">
        <v>187</v>
      </c>
      <c r="C202" s="66">
        <f>SUM(C201*$B$203)</f>
        <v>0</v>
      </c>
      <c r="D202" s="66">
        <f t="shared" ref="D202:N202" si="55">SUM(D201*$B$203)</f>
        <v>0</v>
      </c>
      <c r="E202" s="66">
        <f t="shared" si="55"/>
        <v>0</v>
      </c>
      <c r="F202" s="66">
        <f t="shared" si="55"/>
        <v>0</v>
      </c>
      <c r="G202" s="66">
        <f t="shared" si="55"/>
        <v>0</v>
      </c>
      <c r="H202" s="66">
        <f t="shared" si="55"/>
        <v>0</v>
      </c>
      <c r="I202" s="66">
        <f t="shared" si="55"/>
        <v>0</v>
      </c>
      <c r="J202" s="66">
        <f t="shared" si="55"/>
        <v>0</v>
      </c>
      <c r="K202" s="66">
        <f t="shared" si="55"/>
        <v>0</v>
      </c>
      <c r="L202" s="66">
        <f t="shared" si="55"/>
        <v>0</v>
      </c>
      <c r="M202" s="66">
        <f t="shared" si="55"/>
        <v>0</v>
      </c>
      <c r="N202" s="66">
        <f t="shared" si="55"/>
        <v>0</v>
      </c>
    </row>
    <row r="203" spans="1:15" hidden="1" x14ac:dyDescent="0.2">
      <c r="A203" s="59" t="s">
        <v>188</v>
      </c>
      <c r="B203" s="74"/>
      <c r="C203" s="66">
        <f>SUM(C202)*'Data Links'!$B$15</f>
        <v>0</v>
      </c>
      <c r="D203" s="66">
        <f>SUM(D202)*'Data Links'!$B$15</f>
        <v>0</v>
      </c>
      <c r="E203" s="66">
        <f>SUM(E202)*'Data Links'!$B$15</f>
        <v>0</v>
      </c>
      <c r="F203" s="66">
        <f>SUM(F202)*'Data Links'!$B$15</f>
        <v>0</v>
      </c>
      <c r="G203" s="66">
        <f>SUM(G202)*'Data Links'!$B$15</f>
        <v>0</v>
      </c>
      <c r="H203" s="66">
        <f>SUM(H202)*'Data Links'!$B$15</f>
        <v>0</v>
      </c>
      <c r="I203" s="66">
        <f>SUM(I202)*'Data Links'!$B$15</f>
        <v>0</v>
      </c>
      <c r="J203" s="66">
        <f>SUM(J202)*'Data Links'!$B$15</f>
        <v>0</v>
      </c>
      <c r="K203" s="66">
        <f>SUM(K202)*'Data Links'!$B$15</f>
        <v>0</v>
      </c>
      <c r="L203" s="66">
        <f>SUM(L202)*'Data Links'!$B$15</f>
        <v>0</v>
      </c>
      <c r="M203" s="66">
        <f>SUM(M202)*'Data Links'!$B$15</f>
        <v>0</v>
      </c>
      <c r="N203" s="66">
        <f>SUM(N202)*'Data Links'!$B$15</f>
        <v>0</v>
      </c>
    </row>
    <row r="204" spans="1:15" hidden="1" x14ac:dyDescent="0.2">
      <c r="A204" s="59" t="s">
        <v>189</v>
      </c>
      <c r="C204" s="66">
        <f>SUM(C202*'Data Links'!$B$13)</f>
        <v>0</v>
      </c>
      <c r="D204" s="66">
        <f>SUM(D202*'Data Links'!$B$13)</f>
        <v>0</v>
      </c>
      <c r="E204" s="66">
        <f>SUM(E202*'Data Links'!$B$13)</f>
        <v>0</v>
      </c>
      <c r="F204" s="66">
        <f>SUM(F202*'Data Links'!$B$13)</f>
        <v>0</v>
      </c>
      <c r="G204" s="66">
        <f>SUM(G202*'Data Links'!$B$13)</f>
        <v>0</v>
      </c>
      <c r="H204" s="66">
        <f>SUM(H202*'Data Links'!$B$13)</f>
        <v>0</v>
      </c>
      <c r="I204" s="66">
        <f>SUM(I202*'Data Links'!$B$13)</f>
        <v>0</v>
      </c>
      <c r="J204" s="66">
        <f>SUM(J202*'Data Links'!$B$13)</f>
        <v>0</v>
      </c>
      <c r="K204" s="66">
        <f>SUM(K202*'Data Links'!$B$13)</f>
        <v>0</v>
      </c>
      <c r="L204" s="66">
        <f>SUM(L202*'Data Links'!$B$13)</f>
        <v>0</v>
      </c>
      <c r="M204" s="66">
        <f>SUM(M202*'Data Links'!$B$13)</f>
        <v>0</v>
      </c>
      <c r="N204" s="66">
        <f>SUM(N202*'Data Links'!$B$13)</f>
        <v>0</v>
      </c>
    </row>
    <row r="205" spans="1:15" hidden="1" x14ac:dyDescent="0.2">
      <c r="A205" s="59" t="s">
        <v>190</v>
      </c>
      <c r="C205" s="66">
        <f>SUM(C201*'Data Links'!$B$8)</f>
        <v>0</v>
      </c>
      <c r="D205" s="66">
        <f>SUM(D201*'Data Links'!$B$8)</f>
        <v>0</v>
      </c>
      <c r="E205" s="66">
        <f>SUM(E201*'Data Links'!$B$8)</f>
        <v>0</v>
      </c>
      <c r="F205" s="66">
        <f>SUM(F201*'Data Links'!$B$8)</f>
        <v>0</v>
      </c>
      <c r="G205" s="66">
        <f>SUM(G201*'Data Links'!$B$8)</f>
        <v>0</v>
      </c>
      <c r="H205" s="66">
        <f>SUM(H201*'Data Links'!$B$8)</f>
        <v>0</v>
      </c>
      <c r="I205" s="66">
        <f>SUM(I201*'Data Links'!$B$8)</f>
        <v>0</v>
      </c>
      <c r="J205" s="66">
        <f>SUM(J201*'Data Links'!$B$8)</f>
        <v>0</v>
      </c>
      <c r="K205" s="66">
        <f>SUM(K201*'Data Links'!$B$8)</f>
        <v>0</v>
      </c>
      <c r="L205" s="66">
        <f>SUM(L201*'Data Links'!$B$8)</f>
        <v>0</v>
      </c>
      <c r="M205" s="66">
        <f>SUM(M201*'Data Links'!$B$8)</f>
        <v>0</v>
      </c>
      <c r="N205" s="66">
        <f>SUM(N201*'Data Links'!$B$8)</f>
        <v>0</v>
      </c>
    </row>
    <row r="206" spans="1:15" hidden="1" x14ac:dyDescent="0.2">
      <c r="A206" s="59" t="s">
        <v>191</v>
      </c>
      <c r="C206" s="66"/>
      <c r="D206" s="66"/>
      <c r="E206" s="66"/>
      <c r="F206" s="66"/>
      <c r="G206" s="66"/>
      <c r="H206" s="66"/>
      <c r="I206" s="66"/>
      <c r="J206" s="66"/>
      <c r="K206" s="66"/>
      <c r="L206" s="66"/>
      <c r="M206" s="66"/>
      <c r="N206" s="66"/>
    </row>
    <row r="207" spans="1:15" hidden="1" x14ac:dyDescent="0.2">
      <c r="A207" s="59" t="s">
        <v>192</v>
      </c>
      <c r="C207" s="66"/>
      <c r="D207" s="66"/>
      <c r="E207" s="66"/>
      <c r="F207" s="66"/>
      <c r="G207" s="66"/>
      <c r="H207" s="66"/>
      <c r="I207" s="66"/>
      <c r="J207" s="66"/>
      <c r="K207" s="66"/>
      <c r="L207" s="66"/>
      <c r="M207" s="66"/>
      <c r="N207" s="66"/>
    </row>
    <row r="208" spans="1:15" s="58" customFormat="1" hidden="1" x14ac:dyDescent="0.2">
      <c r="A208" s="58" t="s">
        <v>144</v>
      </c>
      <c r="B208" s="60"/>
      <c r="C208" s="60">
        <f t="shared" ref="C208:N208" si="56">SUM(C202:C207)</f>
        <v>0</v>
      </c>
      <c r="D208" s="60">
        <f t="shared" si="56"/>
        <v>0</v>
      </c>
      <c r="E208" s="60">
        <f t="shared" si="56"/>
        <v>0</v>
      </c>
      <c r="F208" s="60">
        <f t="shared" si="56"/>
        <v>0</v>
      </c>
      <c r="G208" s="60">
        <f t="shared" si="56"/>
        <v>0</v>
      </c>
      <c r="H208" s="60">
        <f t="shared" si="56"/>
        <v>0</v>
      </c>
      <c r="I208" s="60">
        <f t="shared" si="56"/>
        <v>0</v>
      </c>
      <c r="J208" s="60">
        <f t="shared" si="56"/>
        <v>0</v>
      </c>
      <c r="K208" s="60">
        <f t="shared" si="56"/>
        <v>0</v>
      </c>
      <c r="L208" s="60">
        <f t="shared" si="56"/>
        <v>0</v>
      </c>
      <c r="M208" s="60">
        <f t="shared" si="56"/>
        <v>0</v>
      </c>
      <c r="N208" s="60">
        <f t="shared" si="56"/>
        <v>0</v>
      </c>
    </row>
    <row r="209" spans="1:14" hidden="1" x14ac:dyDescent="0.2">
      <c r="C209" s="60"/>
      <c r="D209" s="66"/>
      <c r="E209" s="66"/>
      <c r="F209" s="66"/>
      <c r="G209" s="66"/>
      <c r="H209" s="66"/>
      <c r="I209" s="66"/>
      <c r="J209" s="66"/>
      <c r="K209" s="66"/>
      <c r="L209" s="66"/>
      <c r="M209" s="66"/>
      <c r="N209" s="66"/>
    </row>
    <row r="210" spans="1:14" hidden="1" x14ac:dyDescent="0.2">
      <c r="C210" s="60"/>
      <c r="D210" s="66"/>
      <c r="E210" s="66"/>
      <c r="F210" s="66"/>
      <c r="G210" s="66"/>
      <c r="H210" s="66"/>
      <c r="I210" s="66"/>
      <c r="J210" s="66"/>
      <c r="K210" s="66"/>
      <c r="L210" s="66"/>
      <c r="M210" s="66"/>
      <c r="N210" s="66"/>
    </row>
    <row r="211" spans="1:14" hidden="1" x14ac:dyDescent="0.2">
      <c r="C211" s="60"/>
      <c r="D211" s="66"/>
      <c r="E211" s="66"/>
      <c r="F211" s="66"/>
      <c r="G211" s="66"/>
      <c r="H211" s="66"/>
      <c r="I211" s="66"/>
      <c r="J211" s="66"/>
      <c r="K211" s="66"/>
      <c r="L211" s="66"/>
      <c r="M211" s="66"/>
      <c r="N211" s="66"/>
    </row>
    <row r="212" spans="1:14" x14ac:dyDescent="0.2">
      <c r="C212" s="60"/>
      <c r="D212" s="66"/>
      <c r="E212" s="66"/>
      <c r="F212" s="66"/>
      <c r="G212" s="66"/>
      <c r="H212" s="66"/>
      <c r="I212" s="66"/>
      <c r="J212" s="66"/>
      <c r="K212" s="66"/>
      <c r="L212" s="66"/>
      <c r="M212" s="66"/>
      <c r="N212" s="66"/>
    </row>
    <row r="213" spans="1:14" x14ac:dyDescent="0.2">
      <c r="A213" s="58" t="s">
        <v>194</v>
      </c>
      <c r="C213" s="60"/>
      <c r="D213" s="66"/>
      <c r="E213" s="66"/>
      <c r="F213" s="66"/>
      <c r="G213" s="66"/>
      <c r="H213" s="66"/>
      <c r="I213" s="66"/>
      <c r="J213" s="66"/>
      <c r="K213" s="66"/>
      <c r="L213" s="66"/>
      <c r="M213" s="66"/>
      <c r="N213" s="66"/>
    </row>
    <row r="214" spans="1:14" x14ac:dyDescent="0.2">
      <c r="A214" s="59" t="s">
        <v>195</v>
      </c>
      <c r="C214" s="66">
        <f>SUM(C111+C124+C137+C150+C163+C176+C189+C202)</f>
        <v>3340.5962999999997</v>
      </c>
      <c r="D214" s="66">
        <f t="shared" ref="D214:N214" si="57">SUM(D111+D124+D137+D150+D163+D176+D189+D202)</f>
        <v>3340.5962999999997</v>
      </c>
      <c r="E214" s="66">
        <f t="shared" si="57"/>
        <v>3340.5962999999997</v>
      </c>
      <c r="F214" s="66">
        <f t="shared" si="57"/>
        <v>3340.5962999999997</v>
      </c>
      <c r="G214" s="66">
        <f t="shared" si="57"/>
        <v>3340.5962999999997</v>
      </c>
      <c r="H214" s="66">
        <f t="shared" si="57"/>
        <v>5005.7762999999995</v>
      </c>
      <c r="I214" s="66">
        <f t="shared" si="57"/>
        <v>4699.9712999999992</v>
      </c>
      <c r="J214" s="66">
        <f t="shared" si="57"/>
        <v>4699.9712999999992</v>
      </c>
      <c r="K214" s="66">
        <f t="shared" si="57"/>
        <v>3184.8662999999997</v>
      </c>
      <c r="L214" s="66">
        <f t="shared" si="57"/>
        <v>3184.8662999999997</v>
      </c>
      <c r="M214" s="66">
        <f t="shared" si="57"/>
        <v>3034.7912999999999</v>
      </c>
      <c r="N214" s="66">
        <f t="shared" si="57"/>
        <v>3034.7912999999999</v>
      </c>
    </row>
    <row r="215" spans="1:14" x14ac:dyDescent="0.2">
      <c r="A215" s="59" t="s">
        <v>22</v>
      </c>
      <c r="C215" s="66">
        <f>SUM(C112+C113+C114+C125+C126+C127+C138+C139+C140+C151+C152+C153+C164+C165+C166+C177+C178+C179+C190+C191+C192+C203+C204+C205)</f>
        <v>289.75621724999996</v>
      </c>
      <c r="D215" s="66">
        <f t="shared" ref="D215:N215" si="58">SUM(D112+D113+D114+D125+D126+D127+D138+D139+D140+D151+D152+D153+D164+D165+D166+D177+D178+D179+D190+D191+D192+D203+D204+D205)</f>
        <v>289.75621724999996</v>
      </c>
      <c r="E215" s="66">
        <f t="shared" si="58"/>
        <v>289.75621724999996</v>
      </c>
      <c r="F215" s="66">
        <f t="shared" si="58"/>
        <v>289.75621724999996</v>
      </c>
      <c r="G215" s="66">
        <f t="shared" si="58"/>
        <v>289.75621724999996</v>
      </c>
      <c r="H215" s="66">
        <f t="shared" si="58"/>
        <v>437.56391024999999</v>
      </c>
      <c r="I215" s="66">
        <f t="shared" si="58"/>
        <v>410.98040775000004</v>
      </c>
      <c r="J215" s="66">
        <f t="shared" si="58"/>
        <v>410.98040775000004</v>
      </c>
      <c r="K215" s="66">
        <f t="shared" si="58"/>
        <v>276.56984474999996</v>
      </c>
      <c r="L215" s="66">
        <f t="shared" si="58"/>
        <v>276.56984474999996</v>
      </c>
      <c r="M215" s="66">
        <f t="shared" si="58"/>
        <v>263.17271475000001</v>
      </c>
      <c r="N215" s="66">
        <f t="shared" si="58"/>
        <v>263.17271475000001</v>
      </c>
    </row>
    <row r="216" spans="1:14" x14ac:dyDescent="0.2">
      <c r="A216" s="59" t="s">
        <v>23</v>
      </c>
      <c r="C216" s="66">
        <f>SUM(C115+C116+C128+C129+C141+C142+C154+C155+C168+C167+C180+C181+C193+C194+C206+C207)</f>
        <v>143.83417451724139</v>
      </c>
      <c r="D216" s="66">
        <f t="shared" ref="D216:N216" si="59">SUM(D115+D116+D128+D129+D141+D142+D154+D155+D168+D167+D180+D181+D193+D194+D206+D207)</f>
        <v>143.83417451724139</v>
      </c>
      <c r="E216" s="66">
        <f t="shared" si="59"/>
        <v>143.83417451724139</v>
      </c>
      <c r="F216" s="66">
        <f t="shared" si="59"/>
        <v>143.83417451724139</v>
      </c>
      <c r="G216" s="66">
        <f t="shared" si="59"/>
        <v>143.83417451724139</v>
      </c>
      <c r="H216" s="66">
        <f t="shared" si="59"/>
        <v>153.56947451724139</v>
      </c>
      <c r="I216" s="66">
        <f t="shared" si="59"/>
        <v>144.39532451724139</v>
      </c>
      <c r="J216" s="66">
        <f t="shared" si="59"/>
        <v>144.39532451724139</v>
      </c>
      <c r="K216" s="66">
        <f t="shared" si="59"/>
        <v>134.6600245172414</v>
      </c>
      <c r="L216" s="66">
        <f t="shared" si="59"/>
        <v>134.6600245172414</v>
      </c>
      <c r="M216" s="66">
        <f t="shared" si="59"/>
        <v>134.6600245172414</v>
      </c>
      <c r="N216" s="66">
        <f t="shared" si="59"/>
        <v>134.6600245172414</v>
      </c>
    </row>
    <row r="217" spans="1:14" s="58" customFormat="1" x14ac:dyDescent="0.2">
      <c r="A217" s="58" t="s">
        <v>196</v>
      </c>
      <c r="B217" s="60"/>
      <c r="C217" s="60">
        <f>SUM(C214:C216)</f>
        <v>3774.186691767241</v>
      </c>
      <c r="D217" s="60">
        <f t="shared" ref="D217:N217" si="60">SUM(D214:D216)</f>
        <v>3774.186691767241</v>
      </c>
      <c r="E217" s="60">
        <f t="shared" si="60"/>
        <v>3774.186691767241</v>
      </c>
      <c r="F217" s="60">
        <f t="shared" si="60"/>
        <v>3774.186691767241</v>
      </c>
      <c r="G217" s="60">
        <f t="shared" si="60"/>
        <v>3774.186691767241</v>
      </c>
      <c r="H217" s="60">
        <f t="shared" si="60"/>
        <v>5596.9096847672408</v>
      </c>
      <c r="I217" s="60">
        <f t="shared" si="60"/>
        <v>5255.347032267241</v>
      </c>
      <c r="J217" s="60">
        <f t="shared" si="60"/>
        <v>5255.347032267241</v>
      </c>
      <c r="K217" s="60">
        <f t="shared" si="60"/>
        <v>3596.0961692672408</v>
      </c>
      <c r="L217" s="60">
        <f t="shared" si="60"/>
        <v>3596.0961692672408</v>
      </c>
      <c r="M217" s="60">
        <f t="shared" si="60"/>
        <v>3432.6240392672412</v>
      </c>
      <c r="N217" s="60">
        <f t="shared" si="60"/>
        <v>3432.6240392672412</v>
      </c>
    </row>
    <row r="218" spans="1:14" x14ac:dyDescent="0.2">
      <c r="C218" s="60"/>
      <c r="D218" s="66"/>
      <c r="E218" s="66"/>
      <c r="F218" s="66"/>
      <c r="G218" s="66"/>
      <c r="H218" s="66"/>
      <c r="I218" s="66"/>
      <c r="J218" s="66"/>
      <c r="K218" s="66"/>
      <c r="L218" s="66"/>
      <c r="M218" s="66"/>
      <c r="N218" s="66"/>
    </row>
    <row r="219" spans="1:14" x14ac:dyDescent="0.2">
      <c r="C219" s="60"/>
      <c r="D219" s="66"/>
      <c r="E219" s="66"/>
      <c r="F219" s="66"/>
      <c r="G219" s="66"/>
      <c r="H219" s="66"/>
      <c r="I219" s="66"/>
      <c r="J219" s="66"/>
      <c r="K219" s="66"/>
      <c r="L219" s="66"/>
      <c r="M219" s="66"/>
      <c r="N219" s="66"/>
    </row>
    <row r="220" spans="1:14" x14ac:dyDescent="0.2">
      <c r="C220" s="60"/>
      <c r="D220" s="66"/>
      <c r="E220" s="66"/>
      <c r="F220" s="66"/>
      <c r="G220" s="66"/>
      <c r="H220" s="66"/>
      <c r="I220" s="66"/>
      <c r="J220" s="66"/>
      <c r="K220" s="66"/>
      <c r="L220" s="66"/>
      <c r="M220" s="66"/>
      <c r="N220" s="66"/>
    </row>
    <row r="221" spans="1:14" x14ac:dyDescent="0.2">
      <c r="C221" s="60"/>
      <c r="D221" s="66"/>
      <c r="E221" s="66"/>
      <c r="F221" s="66"/>
      <c r="G221" s="66"/>
      <c r="H221" s="66"/>
      <c r="I221" s="66"/>
      <c r="J221" s="66"/>
      <c r="K221" s="66"/>
      <c r="L221" s="66"/>
      <c r="M221" s="66"/>
      <c r="N221" s="66"/>
    </row>
    <row r="222" spans="1:14" x14ac:dyDescent="0.2">
      <c r="A222" s="84"/>
      <c r="B222" s="84"/>
      <c r="C222" s="60"/>
      <c r="D222" s="66"/>
      <c r="E222" s="66"/>
      <c r="F222" s="66"/>
      <c r="G222" s="66"/>
      <c r="H222" s="66"/>
      <c r="I222" s="66"/>
      <c r="J222" s="66"/>
      <c r="K222" s="66"/>
      <c r="L222" s="66"/>
      <c r="M222" s="66"/>
      <c r="N222" s="66"/>
    </row>
    <row r="223" spans="1:14" x14ac:dyDescent="0.2">
      <c r="A223" s="84"/>
      <c r="B223" s="84"/>
      <c r="C223" s="60"/>
      <c r="D223" s="66"/>
      <c r="E223" s="66"/>
      <c r="F223" s="66"/>
      <c r="G223" s="66"/>
      <c r="H223" s="66"/>
      <c r="I223" s="66"/>
      <c r="J223" s="66"/>
      <c r="K223" s="66"/>
      <c r="L223" s="66"/>
      <c r="M223" s="66"/>
      <c r="N223" s="66"/>
    </row>
    <row r="224" spans="1:14" x14ac:dyDescent="0.2">
      <c r="A224" s="84"/>
      <c r="B224" s="84"/>
      <c r="C224" s="60"/>
      <c r="D224" s="66"/>
      <c r="E224" s="66"/>
      <c r="F224" s="66"/>
      <c r="G224" s="66"/>
      <c r="H224" s="66"/>
      <c r="I224" s="66"/>
      <c r="J224" s="66"/>
      <c r="K224" s="66"/>
      <c r="L224" s="66"/>
      <c r="M224" s="66"/>
      <c r="N224" s="66"/>
    </row>
    <row r="225" spans="1:14" x14ac:dyDescent="0.2">
      <c r="A225" s="84"/>
      <c r="B225" s="84"/>
      <c r="C225" s="60"/>
      <c r="D225" s="66"/>
      <c r="E225" s="66"/>
      <c r="F225" s="66"/>
      <c r="G225" s="66"/>
      <c r="H225" s="66"/>
      <c r="I225" s="66"/>
      <c r="J225" s="66"/>
      <c r="K225" s="66"/>
      <c r="L225" s="66"/>
      <c r="M225" s="66"/>
      <c r="N225" s="66"/>
    </row>
    <row r="226" spans="1:14" x14ac:dyDescent="0.2">
      <c r="A226" s="84"/>
      <c r="B226" s="84"/>
      <c r="C226" s="60"/>
      <c r="D226" s="66"/>
      <c r="E226" s="66"/>
      <c r="F226" s="66"/>
      <c r="G226" s="66"/>
      <c r="H226" s="66"/>
      <c r="I226" s="66"/>
      <c r="J226" s="66"/>
      <c r="K226" s="66"/>
      <c r="L226" s="66"/>
      <c r="M226" s="66"/>
      <c r="N226" s="66"/>
    </row>
    <row r="227" spans="1:14" x14ac:dyDescent="0.2">
      <c r="A227" s="84"/>
      <c r="B227" s="84"/>
      <c r="C227" s="60"/>
      <c r="D227" s="66"/>
      <c r="E227" s="66"/>
      <c r="F227" s="66"/>
      <c r="G227" s="66"/>
      <c r="H227" s="66"/>
      <c r="I227" s="66"/>
      <c r="J227" s="66"/>
      <c r="K227" s="66"/>
      <c r="L227" s="66"/>
      <c r="M227" s="66"/>
      <c r="N227" s="66"/>
    </row>
    <row r="228" spans="1:14" x14ac:dyDescent="0.2">
      <c r="A228" s="84"/>
      <c r="B228" s="84"/>
      <c r="C228" s="60"/>
      <c r="D228" s="66"/>
      <c r="E228" s="66"/>
      <c r="F228" s="66"/>
      <c r="G228" s="66"/>
      <c r="H228" s="66"/>
      <c r="I228" s="66"/>
      <c r="J228" s="66"/>
      <c r="K228" s="66"/>
      <c r="L228" s="66"/>
      <c r="M228" s="66"/>
      <c r="N228" s="66"/>
    </row>
    <row r="229" spans="1:14" x14ac:dyDescent="0.2">
      <c r="A229" s="84"/>
      <c r="B229" s="84"/>
      <c r="C229" s="60"/>
      <c r="D229" s="66"/>
      <c r="E229" s="66"/>
      <c r="F229" s="66"/>
      <c r="G229" s="66"/>
      <c r="H229" s="66"/>
      <c r="I229" s="66"/>
      <c r="J229" s="66"/>
      <c r="K229" s="66"/>
      <c r="L229" s="66"/>
      <c r="M229" s="66"/>
      <c r="N229" s="66"/>
    </row>
    <row r="230" spans="1:14" x14ac:dyDescent="0.2">
      <c r="A230" s="84"/>
      <c r="B230" s="84"/>
      <c r="C230" s="60"/>
      <c r="D230" s="66"/>
      <c r="E230" s="66"/>
      <c r="F230" s="66"/>
      <c r="G230" s="66"/>
      <c r="H230" s="66"/>
      <c r="I230" s="66"/>
      <c r="J230" s="66"/>
      <c r="K230" s="66"/>
      <c r="L230" s="66"/>
      <c r="M230" s="66"/>
      <c r="N230" s="66"/>
    </row>
    <row r="231" spans="1:14" x14ac:dyDescent="0.2">
      <c r="A231" s="84"/>
      <c r="B231" s="84"/>
      <c r="C231" s="60"/>
      <c r="D231" s="66"/>
      <c r="E231" s="66"/>
      <c r="F231" s="66"/>
      <c r="G231" s="66"/>
      <c r="H231" s="66"/>
      <c r="I231" s="66"/>
      <c r="J231" s="66"/>
      <c r="K231" s="66"/>
      <c r="L231" s="66"/>
      <c r="M231" s="66"/>
      <c r="N231" s="66"/>
    </row>
    <row r="232" spans="1:14" x14ac:dyDescent="0.2">
      <c r="A232" s="84"/>
      <c r="B232" s="84"/>
      <c r="C232" s="60"/>
      <c r="D232" s="66"/>
      <c r="E232" s="66"/>
      <c r="F232" s="66"/>
      <c r="G232" s="66"/>
      <c r="H232" s="66"/>
      <c r="I232" s="66"/>
      <c r="J232" s="66"/>
      <c r="K232" s="66"/>
      <c r="L232" s="66"/>
      <c r="M232" s="66"/>
      <c r="N232" s="66"/>
    </row>
    <row r="233" spans="1:14" x14ac:dyDescent="0.2">
      <c r="A233" s="84"/>
      <c r="B233" s="84"/>
      <c r="C233" s="60"/>
      <c r="D233" s="66"/>
      <c r="E233" s="66"/>
      <c r="F233" s="66"/>
      <c r="G233" s="66"/>
      <c r="H233" s="66"/>
      <c r="I233" s="66"/>
      <c r="J233" s="66"/>
      <c r="K233" s="66"/>
      <c r="L233" s="66"/>
      <c r="M233" s="66"/>
      <c r="N233" s="66"/>
    </row>
    <row r="234" spans="1:14" x14ac:dyDescent="0.2">
      <c r="A234" s="84"/>
      <c r="B234" s="84"/>
      <c r="C234" s="60"/>
      <c r="D234" s="66"/>
      <c r="E234" s="66"/>
      <c r="F234" s="66"/>
      <c r="G234" s="66"/>
      <c r="H234" s="66"/>
      <c r="I234" s="66"/>
      <c r="J234" s="66"/>
      <c r="K234" s="66"/>
      <c r="L234" s="66"/>
      <c r="M234" s="66"/>
      <c r="N234" s="66"/>
    </row>
    <row r="235" spans="1:14" x14ac:dyDescent="0.2">
      <c r="A235" s="84"/>
      <c r="B235" s="84"/>
      <c r="C235" s="60"/>
      <c r="D235" s="66"/>
      <c r="E235" s="66"/>
      <c r="F235" s="66"/>
      <c r="G235" s="66"/>
      <c r="H235" s="66"/>
      <c r="I235" s="66"/>
      <c r="J235" s="66"/>
      <c r="K235" s="66"/>
      <c r="L235" s="66"/>
      <c r="M235" s="66"/>
      <c r="N235" s="66"/>
    </row>
    <row r="236" spans="1:14" x14ac:dyDescent="0.2">
      <c r="A236" s="84"/>
      <c r="B236" s="84"/>
      <c r="C236" s="60"/>
      <c r="D236" s="66"/>
      <c r="E236" s="66"/>
      <c r="F236" s="66"/>
      <c r="G236" s="66"/>
      <c r="H236" s="66"/>
      <c r="I236" s="66"/>
      <c r="J236" s="66"/>
      <c r="K236" s="66"/>
      <c r="L236" s="66"/>
      <c r="M236" s="66"/>
      <c r="N236" s="66"/>
    </row>
    <row r="237" spans="1:14" x14ac:dyDescent="0.2">
      <c r="A237" s="84"/>
      <c r="B237" s="84"/>
      <c r="C237" s="60"/>
      <c r="D237" s="66"/>
      <c r="E237" s="66"/>
      <c r="F237" s="66"/>
      <c r="G237" s="66"/>
      <c r="H237" s="66"/>
      <c r="I237" s="66"/>
      <c r="J237" s="66"/>
      <c r="K237" s="66"/>
      <c r="L237" s="66"/>
      <c r="M237" s="66"/>
      <c r="N237" s="66"/>
    </row>
    <row r="238" spans="1:14" x14ac:dyDescent="0.2">
      <c r="A238" s="84"/>
      <c r="B238" s="84"/>
      <c r="C238" s="60"/>
      <c r="D238" s="66"/>
      <c r="E238" s="66"/>
      <c r="F238" s="66"/>
      <c r="G238" s="66"/>
      <c r="H238" s="66"/>
      <c r="I238" s="66"/>
      <c r="J238" s="66"/>
      <c r="K238" s="66"/>
      <c r="L238" s="66"/>
      <c r="M238" s="66"/>
      <c r="N238" s="66"/>
    </row>
    <row r="239" spans="1:14" x14ac:dyDescent="0.2">
      <c r="A239" s="84"/>
      <c r="B239" s="84"/>
      <c r="C239" s="60"/>
      <c r="D239" s="66"/>
      <c r="E239" s="66"/>
      <c r="F239" s="66"/>
      <c r="G239" s="66"/>
      <c r="H239" s="66"/>
      <c r="I239" s="66"/>
      <c r="J239" s="66"/>
      <c r="K239" s="66"/>
      <c r="L239" s="66"/>
      <c r="M239" s="66"/>
      <c r="N239" s="66"/>
    </row>
    <row r="240" spans="1:14" x14ac:dyDescent="0.2">
      <c r="A240" s="84"/>
      <c r="B240" s="84"/>
      <c r="C240" s="60"/>
      <c r="D240" s="66"/>
      <c r="E240" s="66"/>
      <c r="F240" s="66"/>
      <c r="G240" s="66"/>
      <c r="H240" s="66"/>
      <c r="I240" s="66"/>
      <c r="J240" s="66"/>
      <c r="K240" s="66"/>
      <c r="L240" s="66"/>
      <c r="M240" s="66"/>
      <c r="N240" s="66"/>
    </row>
    <row r="241" spans="1:14" x14ac:dyDescent="0.2">
      <c r="A241" s="84"/>
      <c r="B241" s="84"/>
      <c r="C241" s="60"/>
      <c r="D241" s="66"/>
      <c r="E241" s="66"/>
      <c r="F241" s="66"/>
      <c r="G241" s="66"/>
      <c r="H241" s="66"/>
      <c r="I241" s="66"/>
      <c r="J241" s="66"/>
      <c r="K241" s="66"/>
      <c r="L241" s="66"/>
      <c r="M241" s="66"/>
      <c r="N241" s="66"/>
    </row>
    <row r="242" spans="1:14" x14ac:dyDescent="0.2">
      <c r="A242" s="84"/>
      <c r="B242" s="84"/>
      <c r="C242" s="60"/>
      <c r="D242" s="66"/>
      <c r="E242" s="66"/>
      <c r="F242" s="66"/>
      <c r="G242" s="66"/>
      <c r="H242" s="66"/>
      <c r="I242" s="66"/>
      <c r="J242" s="66"/>
      <c r="K242" s="66"/>
      <c r="L242" s="66"/>
      <c r="M242" s="66"/>
      <c r="N242" s="66"/>
    </row>
    <row r="243" spans="1:14" x14ac:dyDescent="0.2">
      <c r="A243" s="84"/>
      <c r="B243" s="84"/>
      <c r="C243" s="60"/>
      <c r="D243" s="66"/>
      <c r="E243" s="66"/>
      <c r="F243" s="66"/>
      <c r="G243" s="66"/>
      <c r="H243" s="66"/>
      <c r="I243" s="66"/>
      <c r="J243" s="66"/>
      <c r="K243" s="66"/>
      <c r="L243" s="66"/>
      <c r="M243" s="66"/>
      <c r="N243" s="66"/>
    </row>
    <row r="244" spans="1:14" x14ac:dyDescent="0.2">
      <c r="A244" s="84"/>
      <c r="B244" s="84"/>
      <c r="C244" s="60"/>
      <c r="D244" s="66"/>
      <c r="E244" s="66"/>
      <c r="F244" s="66"/>
      <c r="G244" s="66"/>
      <c r="H244" s="66"/>
      <c r="I244" s="66"/>
      <c r="J244" s="66"/>
      <c r="K244" s="66"/>
      <c r="L244" s="66"/>
      <c r="M244" s="66"/>
      <c r="N244" s="66"/>
    </row>
    <row r="245" spans="1:14" x14ac:dyDescent="0.2">
      <c r="A245" s="84"/>
      <c r="B245" s="84"/>
      <c r="C245" s="60"/>
      <c r="D245" s="66"/>
      <c r="E245" s="66"/>
      <c r="F245" s="66"/>
      <c r="G245" s="66"/>
      <c r="H245" s="66"/>
      <c r="I245" s="66"/>
      <c r="J245" s="66"/>
      <c r="K245" s="66"/>
      <c r="L245" s="66"/>
      <c r="M245" s="66"/>
      <c r="N245" s="66"/>
    </row>
    <row r="246" spans="1:14" x14ac:dyDescent="0.2">
      <c r="A246" s="84"/>
      <c r="B246" s="84"/>
      <c r="C246" s="60"/>
      <c r="D246" s="66"/>
      <c r="E246" s="66"/>
      <c r="F246" s="66"/>
      <c r="G246" s="66"/>
      <c r="H246" s="66"/>
      <c r="I246" s="66"/>
      <c r="J246" s="66"/>
      <c r="K246" s="66"/>
      <c r="L246" s="66"/>
      <c r="M246" s="66"/>
      <c r="N246" s="66"/>
    </row>
    <row r="247" spans="1:14" x14ac:dyDescent="0.2">
      <c r="A247" s="84"/>
      <c r="B247" s="84"/>
      <c r="C247" s="60"/>
      <c r="D247" s="66"/>
      <c r="E247" s="66"/>
      <c r="F247" s="66"/>
      <c r="G247" s="66"/>
      <c r="H247" s="66"/>
      <c r="I247" s="66"/>
      <c r="J247" s="66"/>
      <c r="K247" s="66"/>
      <c r="L247" s="66"/>
      <c r="M247" s="66"/>
      <c r="N247" s="66"/>
    </row>
    <row r="248" spans="1:14" x14ac:dyDescent="0.2">
      <c r="A248" s="84"/>
      <c r="B248" s="84"/>
      <c r="C248" s="60"/>
      <c r="D248" s="66"/>
      <c r="E248" s="66"/>
      <c r="F248" s="66"/>
      <c r="G248" s="66"/>
      <c r="H248" s="66"/>
      <c r="I248" s="66"/>
      <c r="J248" s="66"/>
      <c r="K248" s="66"/>
      <c r="L248" s="66"/>
      <c r="M248" s="66"/>
      <c r="N248" s="66"/>
    </row>
    <row r="249" spans="1:14" x14ac:dyDescent="0.2">
      <c r="A249" s="84"/>
      <c r="B249" s="84"/>
      <c r="C249" s="60"/>
      <c r="D249" s="66"/>
      <c r="E249" s="66"/>
      <c r="F249" s="66"/>
      <c r="G249" s="66"/>
      <c r="H249" s="66"/>
      <c r="I249" s="66"/>
      <c r="J249" s="66"/>
      <c r="K249" s="66"/>
      <c r="L249" s="66"/>
      <c r="M249" s="66"/>
      <c r="N249" s="66"/>
    </row>
    <row r="250" spans="1:14" x14ac:dyDescent="0.2">
      <c r="A250" s="84"/>
      <c r="B250" s="84"/>
      <c r="C250" s="60"/>
      <c r="D250" s="66"/>
      <c r="E250" s="66"/>
      <c r="F250" s="66"/>
      <c r="G250" s="66"/>
      <c r="H250" s="66"/>
      <c r="I250" s="66"/>
      <c r="J250" s="66"/>
      <c r="K250" s="66"/>
      <c r="L250" s="66"/>
      <c r="M250" s="66"/>
      <c r="N250" s="66"/>
    </row>
    <row r="251" spans="1:14" x14ac:dyDescent="0.2">
      <c r="A251" s="84"/>
      <c r="B251" s="84"/>
      <c r="C251" s="60"/>
      <c r="D251" s="66"/>
      <c r="E251" s="66"/>
      <c r="F251" s="66"/>
      <c r="G251" s="66"/>
      <c r="H251" s="66"/>
      <c r="I251" s="66"/>
      <c r="J251" s="66"/>
      <c r="K251" s="66"/>
      <c r="L251" s="66"/>
      <c r="M251" s="66"/>
      <c r="N251" s="66"/>
    </row>
    <row r="252" spans="1:14" x14ac:dyDescent="0.2">
      <c r="A252" s="84"/>
      <c r="B252" s="84"/>
      <c r="C252" s="60"/>
      <c r="D252" s="66"/>
      <c r="E252" s="66"/>
      <c r="F252" s="66"/>
      <c r="G252" s="66"/>
      <c r="H252" s="66"/>
      <c r="I252" s="66"/>
      <c r="J252" s="66"/>
      <c r="K252" s="66"/>
      <c r="L252" s="66"/>
      <c r="M252" s="66"/>
      <c r="N252" s="66"/>
    </row>
    <row r="253" spans="1:14" x14ac:dyDescent="0.2">
      <c r="A253" s="84"/>
      <c r="B253" s="84"/>
      <c r="C253" s="60"/>
      <c r="D253" s="66"/>
      <c r="E253" s="66"/>
      <c r="F253" s="66"/>
      <c r="G253" s="66"/>
      <c r="H253" s="66"/>
      <c r="I253" s="66"/>
      <c r="J253" s="66"/>
      <c r="K253" s="66"/>
      <c r="L253" s="66"/>
      <c r="M253" s="66"/>
      <c r="N253" s="66"/>
    </row>
    <row r="254" spans="1:14" x14ac:dyDescent="0.2">
      <c r="A254" s="84"/>
      <c r="B254" s="84"/>
      <c r="C254" s="60"/>
      <c r="D254" s="66"/>
      <c r="E254" s="66"/>
      <c r="F254" s="66"/>
      <c r="G254" s="66"/>
      <c r="H254" s="66"/>
      <c r="I254" s="66"/>
      <c r="J254" s="66"/>
      <c r="K254" s="66"/>
      <c r="L254" s="66"/>
      <c r="M254" s="66"/>
      <c r="N254" s="66"/>
    </row>
    <row r="255" spans="1:14" x14ac:dyDescent="0.2">
      <c r="A255" s="84"/>
      <c r="B255" s="84"/>
      <c r="C255" s="60"/>
      <c r="D255" s="66"/>
      <c r="E255" s="66"/>
      <c r="F255" s="66"/>
      <c r="G255" s="66"/>
      <c r="H255" s="66"/>
      <c r="I255" s="66"/>
      <c r="J255" s="66"/>
      <c r="K255" s="66"/>
      <c r="L255" s="66"/>
      <c r="M255" s="66"/>
      <c r="N255" s="66"/>
    </row>
    <row r="256" spans="1:14" x14ac:dyDescent="0.2">
      <c r="A256" s="84"/>
      <c r="B256" s="84"/>
      <c r="C256" s="60"/>
      <c r="D256" s="66"/>
      <c r="E256" s="66"/>
      <c r="F256" s="66"/>
      <c r="G256" s="66"/>
      <c r="H256" s="66"/>
      <c r="I256" s="66"/>
      <c r="J256" s="66"/>
      <c r="K256" s="66"/>
      <c r="L256" s="66"/>
      <c r="M256" s="66"/>
      <c r="N256" s="66"/>
    </row>
    <row r="257" spans="1:14" x14ac:dyDescent="0.2">
      <c r="A257" s="84"/>
      <c r="B257" s="84"/>
      <c r="C257" s="60"/>
      <c r="D257" s="66"/>
      <c r="E257" s="66"/>
      <c r="F257" s="66"/>
      <c r="G257" s="66"/>
      <c r="H257" s="66"/>
      <c r="I257" s="66"/>
      <c r="J257" s="66"/>
      <c r="K257" s="66"/>
      <c r="L257" s="66"/>
      <c r="M257" s="66"/>
      <c r="N257" s="66"/>
    </row>
    <row r="258" spans="1:14" x14ac:dyDescent="0.2">
      <c r="A258" s="84"/>
      <c r="B258" s="84"/>
      <c r="C258" s="60"/>
      <c r="D258" s="66"/>
      <c r="E258" s="66"/>
      <c r="F258" s="66"/>
      <c r="G258" s="66"/>
      <c r="H258" s="66"/>
      <c r="I258" s="66"/>
      <c r="J258" s="66"/>
      <c r="K258" s="66"/>
      <c r="L258" s="66"/>
      <c r="M258" s="66"/>
      <c r="N258" s="66"/>
    </row>
    <row r="259" spans="1:14" x14ac:dyDescent="0.2">
      <c r="A259" s="84"/>
      <c r="B259" s="84"/>
      <c r="C259" s="60"/>
      <c r="D259" s="66"/>
      <c r="E259" s="66"/>
      <c r="F259" s="66"/>
      <c r="G259" s="66"/>
      <c r="H259" s="66"/>
      <c r="I259" s="66"/>
      <c r="J259" s="66"/>
      <c r="K259" s="66"/>
      <c r="L259" s="66"/>
      <c r="M259" s="66"/>
      <c r="N259" s="66"/>
    </row>
    <row r="260" spans="1:14" x14ac:dyDescent="0.2">
      <c r="A260" s="84"/>
      <c r="B260" s="84"/>
      <c r="C260" s="60"/>
      <c r="D260" s="66"/>
      <c r="E260" s="66"/>
      <c r="F260" s="66"/>
      <c r="G260" s="66"/>
      <c r="H260" s="66"/>
      <c r="I260" s="66"/>
      <c r="J260" s="66"/>
      <c r="K260" s="66"/>
      <c r="L260" s="66"/>
      <c r="M260" s="66"/>
      <c r="N260" s="66"/>
    </row>
    <row r="261" spans="1:14" x14ac:dyDescent="0.2">
      <c r="A261" s="84"/>
      <c r="B261" s="84"/>
      <c r="C261" s="60"/>
      <c r="D261" s="66"/>
      <c r="E261" s="66"/>
      <c r="F261" s="66"/>
      <c r="G261" s="66"/>
      <c r="H261" s="66"/>
      <c r="I261" s="66"/>
      <c r="J261" s="66"/>
      <c r="K261" s="66"/>
      <c r="L261" s="66"/>
      <c r="M261" s="66"/>
      <c r="N261" s="66"/>
    </row>
    <row r="262" spans="1:14" x14ac:dyDescent="0.2">
      <c r="A262" s="84"/>
      <c r="B262" s="84"/>
      <c r="C262" s="60"/>
      <c r="D262" s="66"/>
      <c r="E262" s="66"/>
      <c r="F262" s="66"/>
      <c r="G262" s="66"/>
      <c r="H262" s="66"/>
      <c r="I262" s="66"/>
      <c r="J262" s="66"/>
      <c r="K262" s="66"/>
      <c r="L262" s="66"/>
      <c r="M262" s="66"/>
      <c r="N262" s="66"/>
    </row>
    <row r="263" spans="1:14" x14ac:dyDescent="0.2">
      <c r="A263" s="84"/>
      <c r="B263" s="84"/>
      <c r="C263" s="60"/>
      <c r="D263" s="66"/>
      <c r="E263" s="66"/>
      <c r="F263" s="66"/>
      <c r="G263" s="66"/>
      <c r="H263" s="66"/>
      <c r="I263" s="66"/>
      <c r="J263" s="66"/>
      <c r="K263" s="66"/>
      <c r="L263" s="66"/>
      <c r="M263" s="66"/>
      <c r="N263" s="66"/>
    </row>
    <row r="264" spans="1:14" x14ac:dyDescent="0.2">
      <c r="A264" s="84"/>
      <c r="B264" s="84"/>
      <c r="C264" s="60"/>
      <c r="D264" s="66"/>
      <c r="E264" s="66"/>
      <c r="F264" s="66"/>
      <c r="G264" s="66"/>
      <c r="H264" s="66"/>
      <c r="I264" s="66"/>
      <c r="J264" s="66"/>
      <c r="K264" s="66"/>
      <c r="L264" s="66"/>
      <c r="M264" s="66"/>
      <c r="N264" s="66"/>
    </row>
    <row r="265" spans="1:14" x14ac:dyDescent="0.2">
      <c r="A265" s="84"/>
      <c r="B265" s="84"/>
      <c r="C265" s="60"/>
      <c r="D265" s="66"/>
      <c r="E265" s="66"/>
      <c r="F265" s="66"/>
      <c r="G265" s="66"/>
      <c r="H265" s="66"/>
      <c r="I265" s="66"/>
      <c r="J265" s="66"/>
      <c r="K265" s="66"/>
      <c r="L265" s="66"/>
      <c r="M265" s="66"/>
      <c r="N265" s="66"/>
    </row>
    <row r="266" spans="1:14" x14ac:dyDescent="0.2">
      <c r="A266" s="84"/>
      <c r="B266" s="84"/>
      <c r="C266" s="60"/>
      <c r="D266" s="66"/>
      <c r="E266" s="66"/>
      <c r="F266" s="66"/>
      <c r="G266" s="66"/>
      <c r="H266" s="66"/>
      <c r="I266" s="66"/>
      <c r="J266" s="66"/>
      <c r="K266" s="66"/>
      <c r="L266" s="66"/>
      <c r="M266" s="66"/>
      <c r="N266" s="66"/>
    </row>
    <row r="267" spans="1:14" x14ac:dyDescent="0.2">
      <c r="A267" s="84"/>
      <c r="B267" s="84"/>
      <c r="C267" s="60"/>
      <c r="D267" s="66"/>
      <c r="E267" s="66"/>
      <c r="F267" s="66"/>
      <c r="G267" s="66"/>
      <c r="H267" s="66"/>
      <c r="I267" s="66"/>
      <c r="J267" s="66"/>
      <c r="K267" s="66"/>
      <c r="L267" s="66"/>
      <c r="M267" s="66"/>
      <c r="N267" s="66"/>
    </row>
    <row r="268" spans="1:14" x14ac:dyDescent="0.2">
      <c r="A268" s="84"/>
      <c r="B268" s="84"/>
      <c r="C268" s="60"/>
      <c r="D268" s="66"/>
      <c r="E268" s="66"/>
      <c r="F268" s="66"/>
      <c r="G268" s="66"/>
      <c r="H268" s="66"/>
      <c r="I268" s="66"/>
      <c r="J268" s="66"/>
      <c r="K268" s="66"/>
      <c r="L268" s="66"/>
      <c r="M268" s="66"/>
      <c r="N268" s="66"/>
    </row>
    <row r="269" spans="1:14" x14ac:dyDescent="0.2">
      <c r="A269" s="84"/>
      <c r="B269" s="84"/>
      <c r="C269" s="60"/>
      <c r="D269" s="66"/>
      <c r="E269" s="66"/>
      <c r="F269" s="66"/>
      <c r="G269" s="66"/>
      <c r="H269" s="66"/>
      <c r="I269" s="66"/>
      <c r="J269" s="66"/>
      <c r="K269" s="66"/>
      <c r="L269" s="66"/>
      <c r="M269" s="66"/>
      <c r="N269" s="66"/>
    </row>
    <row r="270" spans="1:14" x14ac:dyDescent="0.2">
      <c r="A270" s="84"/>
      <c r="B270" s="84"/>
      <c r="C270" s="60"/>
      <c r="D270" s="66"/>
      <c r="E270" s="66"/>
      <c r="F270" s="66"/>
      <c r="G270" s="66"/>
      <c r="H270" s="66"/>
      <c r="I270" s="66"/>
      <c r="J270" s="66"/>
      <c r="K270" s="66"/>
      <c r="L270" s="66"/>
      <c r="M270" s="66"/>
      <c r="N270" s="66"/>
    </row>
    <row r="271" spans="1:14" x14ac:dyDescent="0.2">
      <c r="A271" s="84"/>
      <c r="B271" s="84"/>
      <c r="C271" s="60"/>
      <c r="D271" s="66"/>
      <c r="E271" s="66"/>
      <c r="F271" s="66"/>
      <c r="G271" s="66"/>
      <c r="H271" s="66"/>
      <c r="I271" s="66"/>
      <c r="J271" s="66"/>
      <c r="K271" s="66"/>
      <c r="L271" s="66"/>
      <c r="M271" s="66"/>
      <c r="N271" s="66"/>
    </row>
    <row r="272" spans="1:14" x14ac:dyDescent="0.2">
      <c r="A272" s="84"/>
      <c r="B272" s="84"/>
      <c r="C272" s="60"/>
      <c r="D272" s="66"/>
      <c r="E272" s="66"/>
      <c r="F272" s="66"/>
      <c r="G272" s="66"/>
      <c r="H272" s="66"/>
      <c r="I272" s="66"/>
      <c r="J272" s="66"/>
      <c r="K272" s="66"/>
      <c r="L272" s="66"/>
      <c r="M272" s="66"/>
      <c r="N272" s="66"/>
    </row>
    <row r="273" spans="1:14" x14ac:dyDescent="0.2">
      <c r="A273" s="84"/>
      <c r="B273" s="84"/>
      <c r="C273" s="60"/>
      <c r="D273" s="66"/>
      <c r="E273" s="66"/>
      <c r="F273" s="66"/>
      <c r="G273" s="66"/>
      <c r="H273" s="66"/>
      <c r="I273" s="66"/>
      <c r="J273" s="66"/>
      <c r="K273" s="66"/>
      <c r="L273" s="66"/>
      <c r="M273" s="66"/>
      <c r="N273" s="66"/>
    </row>
    <row r="274" spans="1:14" x14ac:dyDescent="0.2">
      <c r="A274" s="84"/>
      <c r="B274" s="84"/>
      <c r="C274" s="60"/>
      <c r="D274" s="66"/>
      <c r="E274" s="66"/>
      <c r="F274" s="66"/>
      <c r="G274" s="66"/>
      <c r="H274" s="66"/>
      <c r="I274" s="66"/>
      <c r="J274" s="66"/>
      <c r="K274" s="66"/>
      <c r="L274" s="66"/>
      <c r="M274" s="66"/>
      <c r="N274" s="66"/>
    </row>
    <row r="275" spans="1:14" x14ac:dyDescent="0.2">
      <c r="A275" s="84"/>
      <c r="B275" s="84"/>
      <c r="C275" s="60"/>
      <c r="D275" s="66"/>
      <c r="E275" s="66"/>
      <c r="F275" s="66"/>
      <c r="G275" s="66"/>
      <c r="H275" s="66"/>
      <c r="I275" s="66"/>
      <c r="J275" s="66"/>
      <c r="K275" s="66"/>
      <c r="L275" s="66"/>
      <c r="M275" s="66"/>
      <c r="N275" s="66"/>
    </row>
    <row r="276" spans="1:14" x14ac:dyDescent="0.2">
      <c r="A276" s="84"/>
      <c r="B276" s="84"/>
      <c r="C276" s="60"/>
      <c r="D276" s="66"/>
      <c r="E276" s="66"/>
      <c r="F276" s="66"/>
      <c r="G276" s="66"/>
      <c r="H276" s="66"/>
      <c r="I276" s="66"/>
      <c r="J276" s="66"/>
      <c r="K276" s="66"/>
      <c r="L276" s="66"/>
      <c r="M276" s="66"/>
      <c r="N276" s="66"/>
    </row>
    <row r="277" spans="1:14" x14ac:dyDescent="0.2">
      <c r="A277" s="84"/>
      <c r="B277" s="84"/>
      <c r="C277" s="60"/>
      <c r="D277" s="66"/>
      <c r="E277" s="66"/>
      <c r="F277" s="66"/>
      <c r="G277" s="66"/>
      <c r="H277" s="66"/>
      <c r="I277" s="66"/>
      <c r="J277" s="66"/>
      <c r="K277" s="66"/>
      <c r="L277" s="66"/>
      <c r="M277" s="66"/>
      <c r="N277" s="66"/>
    </row>
    <row r="278" spans="1:14" x14ac:dyDescent="0.2">
      <c r="A278" s="84"/>
      <c r="B278" s="84"/>
      <c r="C278" s="60"/>
      <c r="D278" s="66"/>
      <c r="E278" s="66"/>
      <c r="F278" s="66"/>
      <c r="G278" s="66"/>
      <c r="H278" s="66"/>
      <c r="I278" s="66"/>
      <c r="J278" s="66"/>
      <c r="K278" s="66"/>
      <c r="L278" s="66"/>
      <c r="M278" s="66"/>
      <c r="N278" s="66"/>
    </row>
    <row r="279" spans="1:14" x14ac:dyDescent="0.2">
      <c r="A279" s="84"/>
      <c r="B279" s="84"/>
      <c r="C279" s="60"/>
      <c r="D279" s="66"/>
      <c r="E279" s="66"/>
      <c r="F279" s="66"/>
      <c r="G279" s="66"/>
      <c r="H279" s="66"/>
      <c r="I279" s="66"/>
      <c r="J279" s="66"/>
      <c r="K279" s="66"/>
      <c r="L279" s="66"/>
      <c r="M279" s="66"/>
      <c r="N279" s="66"/>
    </row>
    <row r="280" spans="1:14" x14ac:dyDescent="0.2">
      <c r="A280" s="84"/>
      <c r="B280" s="84"/>
      <c r="C280" s="60"/>
      <c r="D280" s="66"/>
      <c r="E280" s="66"/>
      <c r="F280" s="66"/>
      <c r="G280" s="66"/>
      <c r="H280" s="66"/>
      <c r="I280" s="66"/>
      <c r="J280" s="66"/>
      <c r="K280" s="66"/>
      <c r="L280" s="66"/>
      <c r="M280" s="66"/>
      <c r="N280" s="66"/>
    </row>
    <row r="281" spans="1:14" x14ac:dyDescent="0.2">
      <c r="A281" s="84"/>
      <c r="B281" s="84"/>
      <c r="C281" s="60"/>
      <c r="D281" s="66"/>
      <c r="E281" s="66"/>
      <c r="F281" s="66"/>
      <c r="G281" s="66"/>
      <c r="H281" s="66"/>
      <c r="I281" s="66"/>
      <c r="J281" s="66"/>
      <c r="K281" s="66"/>
      <c r="L281" s="66"/>
      <c r="M281" s="66"/>
      <c r="N281" s="66"/>
    </row>
    <row r="282" spans="1:14" x14ac:dyDescent="0.2">
      <c r="A282" s="84"/>
      <c r="B282" s="84"/>
      <c r="C282" s="60"/>
      <c r="D282" s="66"/>
      <c r="E282" s="66"/>
      <c r="F282" s="66"/>
      <c r="G282" s="66"/>
      <c r="H282" s="66"/>
      <c r="I282" s="66"/>
      <c r="J282" s="66"/>
      <c r="K282" s="66"/>
      <c r="L282" s="66"/>
      <c r="M282" s="66"/>
      <c r="N282" s="66"/>
    </row>
    <row r="283" spans="1:14" x14ac:dyDescent="0.2">
      <c r="A283" s="84"/>
      <c r="B283" s="84"/>
      <c r="C283" s="60"/>
      <c r="D283" s="66"/>
      <c r="E283" s="66"/>
      <c r="F283" s="66"/>
      <c r="G283" s="66"/>
      <c r="H283" s="66"/>
      <c r="I283" s="66"/>
      <c r="J283" s="66"/>
      <c r="K283" s="66"/>
      <c r="L283" s="66"/>
      <c r="M283" s="66"/>
      <c r="N283" s="66"/>
    </row>
    <row r="284" spans="1:14" x14ac:dyDescent="0.2">
      <c r="A284" s="84"/>
      <c r="B284" s="84"/>
      <c r="C284" s="60"/>
      <c r="D284" s="66"/>
      <c r="E284" s="66"/>
      <c r="F284" s="66"/>
      <c r="G284" s="66"/>
      <c r="H284" s="66"/>
      <c r="I284" s="66"/>
      <c r="J284" s="66"/>
      <c r="K284" s="66"/>
      <c r="L284" s="66"/>
      <c r="M284" s="66"/>
      <c r="N284" s="66"/>
    </row>
    <row r="285" spans="1:14" x14ac:dyDescent="0.2">
      <c r="A285" s="84"/>
      <c r="B285" s="84"/>
      <c r="C285" s="60"/>
      <c r="D285" s="66"/>
      <c r="E285" s="66"/>
      <c r="F285" s="66"/>
      <c r="G285" s="66"/>
      <c r="H285" s="66"/>
      <c r="I285" s="66"/>
      <c r="J285" s="66"/>
      <c r="K285" s="66"/>
      <c r="L285" s="66"/>
      <c r="M285" s="66"/>
      <c r="N285" s="66"/>
    </row>
    <row r="286" spans="1:14" x14ac:dyDescent="0.2">
      <c r="A286" s="84"/>
      <c r="B286" s="84"/>
      <c r="C286" s="60"/>
      <c r="D286" s="66"/>
      <c r="E286" s="66"/>
      <c r="F286" s="66"/>
      <c r="G286" s="66"/>
      <c r="H286" s="66"/>
      <c r="I286" s="66"/>
      <c r="J286" s="66"/>
      <c r="K286" s="66"/>
      <c r="L286" s="66"/>
      <c r="M286" s="66"/>
      <c r="N286" s="66"/>
    </row>
    <row r="287" spans="1:14" x14ac:dyDescent="0.2">
      <c r="A287" s="84"/>
      <c r="B287" s="84"/>
      <c r="C287" s="60"/>
      <c r="D287" s="66"/>
      <c r="E287" s="66"/>
      <c r="F287" s="66"/>
      <c r="G287" s="66"/>
      <c r="H287" s="66"/>
      <c r="I287" s="66"/>
      <c r="J287" s="66"/>
      <c r="K287" s="66"/>
      <c r="L287" s="66"/>
      <c r="M287" s="66"/>
      <c r="N287" s="66"/>
    </row>
    <row r="288" spans="1:14" x14ac:dyDescent="0.2">
      <c r="A288" s="84"/>
      <c r="B288" s="84"/>
      <c r="C288" s="60"/>
      <c r="D288" s="66"/>
      <c r="E288" s="66"/>
      <c r="F288" s="66"/>
      <c r="G288" s="66"/>
      <c r="H288" s="66"/>
      <c r="I288" s="66"/>
      <c r="J288" s="66"/>
      <c r="K288" s="66"/>
      <c r="L288" s="66"/>
      <c r="M288" s="66"/>
      <c r="N288" s="66"/>
    </row>
    <row r="289" spans="1:14" x14ac:dyDescent="0.2">
      <c r="A289" s="84"/>
      <c r="B289" s="84"/>
      <c r="C289" s="60"/>
      <c r="D289" s="66"/>
      <c r="E289" s="66"/>
      <c r="F289" s="66"/>
      <c r="G289" s="66"/>
      <c r="H289" s="66"/>
      <c r="I289" s="66"/>
      <c r="J289" s="66"/>
      <c r="K289" s="66"/>
      <c r="L289" s="66"/>
      <c r="M289" s="66"/>
      <c r="N289" s="66"/>
    </row>
    <row r="290" spans="1:14" x14ac:dyDescent="0.2">
      <c r="A290" s="84"/>
      <c r="B290" s="84"/>
      <c r="C290" s="60"/>
      <c r="D290" s="66"/>
      <c r="E290" s="66"/>
      <c r="F290" s="66"/>
      <c r="G290" s="66"/>
      <c r="H290" s="66"/>
      <c r="I290" s="66"/>
      <c r="J290" s="66"/>
      <c r="K290" s="66"/>
      <c r="L290" s="66"/>
      <c r="M290" s="66"/>
      <c r="N290" s="66"/>
    </row>
    <row r="291" spans="1:14" x14ac:dyDescent="0.2">
      <c r="A291" s="84"/>
      <c r="B291" s="84"/>
      <c r="C291" s="60"/>
      <c r="D291" s="66"/>
      <c r="E291" s="66"/>
      <c r="F291" s="66"/>
      <c r="G291" s="66"/>
      <c r="H291" s="66"/>
      <c r="I291" s="66"/>
      <c r="J291" s="66"/>
      <c r="K291" s="66"/>
      <c r="L291" s="66"/>
      <c r="M291" s="66"/>
      <c r="N291" s="66"/>
    </row>
    <row r="292" spans="1:14" x14ac:dyDescent="0.2">
      <c r="A292" s="84"/>
      <c r="B292" s="84"/>
      <c r="C292" s="60"/>
      <c r="D292" s="66"/>
      <c r="E292" s="66"/>
      <c r="F292" s="66"/>
      <c r="G292" s="66"/>
      <c r="H292" s="66"/>
      <c r="I292" s="66"/>
      <c r="J292" s="66"/>
      <c r="K292" s="66"/>
      <c r="L292" s="66"/>
      <c r="M292" s="66"/>
      <c r="N292" s="66"/>
    </row>
    <row r="293" spans="1:14" x14ac:dyDescent="0.2">
      <c r="A293" s="84"/>
      <c r="B293" s="84"/>
      <c r="C293" s="60"/>
      <c r="D293" s="66"/>
      <c r="E293" s="66"/>
      <c r="F293" s="66"/>
      <c r="G293" s="66"/>
      <c r="H293" s="66"/>
      <c r="I293" s="66"/>
      <c r="J293" s="66"/>
      <c r="K293" s="66"/>
      <c r="L293" s="66"/>
      <c r="M293" s="66"/>
      <c r="N293" s="66"/>
    </row>
    <row r="294" spans="1:14" x14ac:dyDescent="0.2">
      <c r="A294" s="84"/>
      <c r="B294" s="84"/>
      <c r="C294" s="60"/>
      <c r="D294" s="66"/>
      <c r="E294" s="66"/>
      <c r="F294" s="66"/>
      <c r="G294" s="66"/>
      <c r="H294" s="66"/>
      <c r="I294" s="66"/>
      <c r="J294" s="66"/>
      <c r="K294" s="66"/>
      <c r="L294" s="66"/>
      <c r="M294" s="66"/>
      <c r="N294" s="66"/>
    </row>
    <row r="295" spans="1:14" x14ac:dyDescent="0.2">
      <c r="A295" s="84"/>
      <c r="B295" s="84"/>
      <c r="C295" s="60"/>
      <c r="D295" s="66"/>
      <c r="E295" s="66"/>
      <c r="F295" s="66"/>
      <c r="G295" s="66"/>
      <c r="H295" s="66"/>
      <c r="I295" s="66"/>
      <c r="J295" s="66"/>
      <c r="K295" s="66"/>
      <c r="L295" s="66"/>
      <c r="M295" s="66"/>
      <c r="N295" s="66"/>
    </row>
    <row r="296" spans="1:14" x14ac:dyDescent="0.2">
      <c r="A296" s="84"/>
      <c r="B296" s="84"/>
      <c r="C296" s="60"/>
      <c r="D296" s="66"/>
      <c r="E296" s="66"/>
      <c r="F296" s="66"/>
      <c r="G296" s="66"/>
      <c r="H296" s="66"/>
      <c r="I296" s="66"/>
      <c r="J296" s="66"/>
      <c r="K296" s="66"/>
      <c r="L296" s="66"/>
      <c r="M296" s="66"/>
      <c r="N296" s="66"/>
    </row>
    <row r="297" spans="1:14" x14ac:dyDescent="0.2">
      <c r="A297" s="84"/>
      <c r="B297" s="84"/>
      <c r="C297" s="60"/>
      <c r="D297" s="66"/>
      <c r="E297" s="66"/>
      <c r="F297" s="66"/>
      <c r="G297" s="66"/>
      <c r="H297" s="66"/>
      <c r="I297" s="66"/>
      <c r="J297" s="66"/>
      <c r="K297" s="66"/>
      <c r="L297" s="66"/>
      <c r="M297" s="66"/>
      <c r="N297" s="66"/>
    </row>
    <row r="298" spans="1:14" x14ac:dyDescent="0.2">
      <c r="A298" s="84"/>
      <c r="B298" s="84"/>
      <c r="C298" s="60"/>
      <c r="D298" s="66"/>
      <c r="E298" s="66"/>
      <c r="F298" s="66"/>
      <c r="G298" s="66"/>
      <c r="H298" s="66"/>
      <c r="I298" s="66"/>
      <c r="J298" s="66"/>
      <c r="K298" s="66"/>
      <c r="L298" s="66"/>
      <c r="M298" s="66"/>
      <c r="N298" s="66"/>
    </row>
    <row r="299" spans="1:14" x14ac:dyDescent="0.2">
      <c r="A299" s="84"/>
      <c r="B299" s="84"/>
      <c r="C299" s="60"/>
      <c r="D299" s="66"/>
      <c r="E299" s="66"/>
      <c r="F299" s="66"/>
      <c r="G299" s="66"/>
      <c r="H299" s="66"/>
      <c r="I299" s="66"/>
      <c r="J299" s="66"/>
      <c r="K299" s="66"/>
      <c r="L299" s="66"/>
      <c r="M299" s="66"/>
      <c r="N299" s="66"/>
    </row>
    <row r="300" spans="1:14" x14ac:dyDescent="0.2">
      <c r="A300" s="84"/>
      <c r="B300" s="84"/>
      <c r="C300" s="60"/>
      <c r="D300" s="66"/>
      <c r="E300" s="66"/>
      <c r="F300" s="66"/>
      <c r="G300" s="66"/>
      <c r="H300" s="66"/>
      <c r="I300" s="66"/>
      <c r="J300" s="66"/>
      <c r="K300" s="66"/>
      <c r="L300" s="66"/>
      <c r="M300" s="66"/>
      <c r="N300" s="66"/>
    </row>
    <row r="301" spans="1:14" x14ac:dyDescent="0.2">
      <c r="A301" s="84"/>
      <c r="B301" s="84"/>
      <c r="C301" s="60"/>
      <c r="D301" s="66"/>
      <c r="E301" s="66"/>
      <c r="F301" s="66"/>
      <c r="G301" s="66"/>
      <c r="H301" s="66"/>
      <c r="I301" s="66"/>
      <c r="J301" s="66"/>
      <c r="K301" s="66"/>
      <c r="L301" s="66"/>
      <c r="M301" s="66"/>
      <c r="N301" s="66"/>
    </row>
    <row r="302" spans="1:14" x14ac:dyDescent="0.2">
      <c r="A302" s="84"/>
      <c r="B302" s="84"/>
      <c r="C302" s="60"/>
      <c r="D302" s="66"/>
      <c r="E302" s="66"/>
      <c r="F302" s="66"/>
      <c r="G302" s="66"/>
      <c r="H302" s="66"/>
      <c r="I302" s="66"/>
      <c r="J302" s="66"/>
      <c r="K302" s="66"/>
      <c r="L302" s="66"/>
      <c r="M302" s="66"/>
      <c r="N302" s="66"/>
    </row>
    <row r="303" spans="1:14" x14ac:dyDescent="0.2">
      <c r="A303" s="84"/>
      <c r="B303" s="84"/>
      <c r="C303" s="60"/>
      <c r="D303" s="66"/>
      <c r="E303" s="66"/>
      <c r="F303" s="66"/>
      <c r="G303" s="66"/>
      <c r="H303" s="66"/>
      <c r="I303" s="66"/>
      <c r="J303" s="66"/>
      <c r="K303" s="66"/>
      <c r="L303" s="66"/>
      <c r="M303" s="66"/>
      <c r="N303" s="66"/>
    </row>
    <row r="304" spans="1:14" x14ac:dyDescent="0.2">
      <c r="A304" s="84"/>
      <c r="B304" s="84"/>
      <c r="C304" s="60"/>
      <c r="D304" s="66"/>
      <c r="E304" s="66"/>
      <c r="F304" s="66"/>
      <c r="G304" s="66"/>
      <c r="H304" s="66"/>
      <c r="I304" s="66"/>
      <c r="J304" s="66"/>
      <c r="K304" s="66"/>
      <c r="L304" s="66"/>
      <c r="M304" s="66"/>
      <c r="N304" s="66"/>
    </row>
    <row r="305" spans="1:14" x14ac:dyDescent="0.2">
      <c r="A305" s="84"/>
      <c r="B305" s="84"/>
      <c r="C305" s="60"/>
      <c r="D305" s="66"/>
      <c r="E305" s="66"/>
      <c r="F305" s="66"/>
      <c r="G305" s="66"/>
      <c r="H305" s="66"/>
      <c r="I305" s="66"/>
      <c r="J305" s="66"/>
      <c r="K305" s="66"/>
      <c r="L305" s="66"/>
      <c r="M305" s="66"/>
      <c r="N305" s="66"/>
    </row>
    <row r="306" spans="1:14" x14ac:dyDescent="0.2">
      <c r="A306" s="84"/>
      <c r="B306" s="84"/>
      <c r="C306" s="60"/>
      <c r="D306" s="66"/>
      <c r="E306" s="66"/>
      <c r="F306" s="66"/>
      <c r="G306" s="66"/>
      <c r="H306" s="66"/>
      <c r="I306" s="66"/>
      <c r="J306" s="66"/>
      <c r="K306" s="66"/>
      <c r="L306" s="66"/>
      <c r="M306" s="66"/>
      <c r="N306" s="66"/>
    </row>
    <row r="307" spans="1:14" x14ac:dyDescent="0.2">
      <c r="A307" s="84"/>
      <c r="B307" s="84"/>
      <c r="C307" s="60"/>
      <c r="D307" s="66"/>
      <c r="E307" s="66"/>
      <c r="F307" s="66"/>
      <c r="G307" s="66"/>
      <c r="H307" s="66"/>
      <c r="I307" s="66"/>
      <c r="J307" s="66"/>
      <c r="K307" s="66"/>
      <c r="L307" s="66"/>
      <c r="M307" s="66"/>
      <c r="N307" s="66"/>
    </row>
    <row r="308" spans="1:14" x14ac:dyDescent="0.2">
      <c r="A308" s="84"/>
      <c r="B308" s="84"/>
      <c r="C308" s="60"/>
      <c r="D308" s="66"/>
      <c r="E308" s="66"/>
      <c r="F308" s="66"/>
      <c r="G308" s="66"/>
      <c r="H308" s="66"/>
      <c r="I308" s="66"/>
      <c r="J308" s="66"/>
      <c r="K308" s="66"/>
      <c r="L308" s="66"/>
      <c r="M308" s="66"/>
      <c r="N308" s="66"/>
    </row>
    <row r="309" spans="1:14" x14ac:dyDescent="0.2">
      <c r="A309" s="84"/>
      <c r="B309" s="84"/>
      <c r="C309" s="60"/>
      <c r="D309" s="66"/>
      <c r="E309" s="66"/>
      <c r="F309" s="66"/>
      <c r="G309" s="66"/>
      <c r="H309" s="66"/>
      <c r="I309" s="66"/>
      <c r="J309" s="66"/>
      <c r="K309" s="66"/>
      <c r="L309" s="66"/>
      <c r="M309" s="66"/>
      <c r="N309" s="66"/>
    </row>
    <row r="310" spans="1:14" x14ac:dyDescent="0.2">
      <c r="A310" s="84"/>
      <c r="B310" s="84"/>
      <c r="C310" s="60"/>
      <c r="D310" s="66"/>
      <c r="E310" s="66"/>
      <c r="F310" s="66"/>
      <c r="G310" s="66"/>
      <c r="H310" s="66"/>
      <c r="I310" s="66"/>
      <c r="J310" s="66"/>
      <c r="K310" s="66"/>
      <c r="L310" s="66"/>
      <c r="M310" s="66"/>
      <c r="N310" s="66"/>
    </row>
    <row r="311" spans="1:14" x14ac:dyDescent="0.2">
      <c r="A311" s="84"/>
      <c r="B311" s="84"/>
      <c r="C311" s="60"/>
      <c r="D311" s="66"/>
      <c r="E311" s="66"/>
      <c r="F311" s="66"/>
      <c r="G311" s="66"/>
      <c r="H311" s="66"/>
      <c r="I311" s="66"/>
      <c r="J311" s="66"/>
      <c r="K311" s="66"/>
      <c r="L311" s="66"/>
      <c r="M311" s="66"/>
      <c r="N311" s="66"/>
    </row>
    <row r="312" spans="1:14" x14ac:dyDescent="0.2">
      <c r="A312" s="84"/>
      <c r="B312" s="84"/>
      <c r="C312" s="60"/>
      <c r="D312" s="66"/>
      <c r="E312" s="66"/>
      <c r="F312" s="66"/>
      <c r="G312" s="66"/>
      <c r="H312" s="66"/>
      <c r="I312" s="66"/>
      <c r="J312" s="66"/>
      <c r="K312" s="66"/>
      <c r="L312" s="66"/>
      <c r="M312" s="66"/>
      <c r="N312" s="66"/>
    </row>
    <row r="313" spans="1:14" x14ac:dyDescent="0.2">
      <c r="A313" s="84"/>
      <c r="B313" s="84"/>
      <c r="C313" s="60"/>
      <c r="D313" s="66"/>
      <c r="E313" s="66"/>
      <c r="F313" s="66"/>
      <c r="G313" s="66"/>
      <c r="H313" s="66"/>
      <c r="I313" s="66"/>
      <c r="J313" s="66"/>
      <c r="K313" s="66"/>
      <c r="L313" s="66"/>
      <c r="M313" s="66"/>
      <c r="N313" s="66"/>
    </row>
    <row r="314" spans="1:14" x14ac:dyDescent="0.2">
      <c r="A314" s="84"/>
      <c r="B314" s="84"/>
      <c r="C314" s="60"/>
      <c r="D314" s="66"/>
      <c r="E314" s="66"/>
      <c r="F314" s="66"/>
      <c r="G314" s="66"/>
      <c r="H314" s="66"/>
      <c r="I314" s="66"/>
      <c r="J314" s="66"/>
      <c r="K314" s="66"/>
      <c r="L314" s="66"/>
      <c r="M314" s="66"/>
      <c r="N314" s="66"/>
    </row>
    <row r="315" spans="1:14" x14ac:dyDescent="0.2">
      <c r="A315" s="84"/>
      <c r="B315" s="84"/>
      <c r="C315" s="60"/>
      <c r="D315" s="66"/>
      <c r="E315" s="66"/>
      <c r="F315" s="66"/>
      <c r="G315" s="66"/>
      <c r="H315" s="66"/>
      <c r="I315" s="66"/>
      <c r="J315" s="66"/>
      <c r="K315" s="66"/>
      <c r="L315" s="66"/>
      <c r="M315" s="66"/>
      <c r="N315" s="66"/>
    </row>
    <row r="316" spans="1:14" x14ac:dyDescent="0.2">
      <c r="A316" s="84"/>
      <c r="B316" s="84"/>
      <c r="C316" s="60"/>
      <c r="D316" s="66"/>
      <c r="E316" s="66"/>
      <c r="F316" s="66"/>
      <c r="G316" s="66"/>
      <c r="H316" s="66"/>
      <c r="I316" s="66"/>
      <c r="J316" s="66"/>
      <c r="K316" s="66"/>
      <c r="L316" s="66"/>
      <c r="M316" s="66"/>
      <c r="N316" s="66"/>
    </row>
    <row r="317" spans="1:14" x14ac:dyDescent="0.2">
      <c r="A317" s="84"/>
      <c r="B317" s="84"/>
      <c r="C317" s="60"/>
      <c r="D317" s="66"/>
      <c r="E317" s="66"/>
      <c r="F317" s="66"/>
      <c r="G317" s="66"/>
      <c r="H317" s="66"/>
      <c r="I317" s="66"/>
      <c r="J317" s="66"/>
      <c r="K317" s="66"/>
      <c r="L317" s="66"/>
      <c r="M317" s="66"/>
      <c r="N317" s="66"/>
    </row>
    <row r="318" spans="1:14" x14ac:dyDescent="0.2">
      <c r="A318" s="84"/>
      <c r="B318" s="84"/>
      <c r="C318" s="60"/>
      <c r="D318" s="66"/>
      <c r="E318" s="66"/>
      <c r="F318" s="66"/>
      <c r="G318" s="66"/>
      <c r="H318" s="66"/>
      <c r="I318" s="66"/>
      <c r="J318" s="66"/>
      <c r="K318" s="66"/>
      <c r="L318" s="66"/>
      <c r="M318" s="66"/>
      <c r="N318" s="66"/>
    </row>
    <row r="319" spans="1:14" x14ac:dyDescent="0.2">
      <c r="A319" s="84"/>
      <c r="B319" s="84"/>
      <c r="C319" s="60"/>
      <c r="D319" s="66"/>
      <c r="E319" s="66"/>
      <c r="F319" s="66"/>
      <c r="G319" s="66"/>
      <c r="H319" s="66"/>
      <c r="I319" s="66"/>
      <c r="J319" s="66"/>
      <c r="K319" s="66"/>
      <c r="L319" s="66"/>
      <c r="M319" s="66"/>
      <c r="N319" s="66"/>
    </row>
    <row r="320" spans="1:14" x14ac:dyDescent="0.2">
      <c r="A320" s="84"/>
      <c r="B320" s="84"/>
      <c r="C320" s="60"/>
      <c r="D320" s="66"/>
      <c r="E320" s="66"/>
      <c r="F320" s="66"/>
      <c r="G320" s="66"/>
      <c r="H320" s="66"/>
      <c r="I320" s="66"/>
      <c r="J320" s="66"/>
      <c r="K320" s="66"/>
      <c r="L320" s="66"/>
      <c r="M320" s="66"/>
      <c r="N320" s="66"/>
    </row>
    <row r="321" spans="1:14" x14ac:dyDescent="0.2">
      <c r="A321" s="84"/>
      <c r="B321" s="84"/>
      <c r="C321" s="60"/>
      <c r="D321" s="66"/>
      <c r="E321" s="66"/>
      <c r="F321" s="66"/>
      <c r="G321" s="66"/>
      <c r="H321" s="66"/>
      <c r="I321" s="66"/>
      <c r="J321" s="66"/>
      <c r="K321" s="66"/>
      <c r="L321" s="66"/>
      <c r="M321" s="66"/>
      <c r="N321" s="66"/>
    </row>
    <row r="322" spans="1:14" x14ac:dyDescent="0.2">
      <c r="A322" s="84"/>
      <c r="B322" s="84"/>
      <c r="C322" s="60"/>
      <c r="D322" s="66"/>
      <c r="E322" s="66"/>
      <c r="F322" s="66"/>
      <c r="G322" s="66"/>
      <c r="H322" s="66"/>
      <c r="I322" s="66"/>
      <c r="J322" s="66"/>
      <c r="K322" s="66"/>
      <c r="L322" s="66"/>
      <c r="M322" s="66"/>
      <c r="N322" s="66"/>
    </row>
    <row r="323" spans="1:14" x14ac:dyDescent="0.2">
      <c r="A323" s="84"/>
      <c r="B323" s="84"/>
      <c r="C323" s="60"/>
      <c r="D323" s="66"/>
      <c r="E323" s="66"/>
      <c r="F323" s="66"/>
      <c r="G323" s="66"/>
      <c r="H323" s="66"/>
      <c r="I323" s="66"/>
      <c r="J323" s="66"/>
      <c r="K323" s="66"/>
      <c r="L323" s="66"/>
      <c r="M323" s="66"/>
      <c r="N323" s="66"/>
    </row>
    <row r="324" spans="1:14" x14ac:dyDescent="0.2">
      <c r="A324" s="84"/>
      <c r="B324" s="84"/>
      <c r="C324" s="60"/>
      <c r="D324" s="66"/>
      <c r="E324" s="66"/>
      <c r="F324" s="66"/>
      <c r="G324" s="66"/>
      <c r="H324" s="66"/>
      <c r="I324" s="66"/>
      <c r="J324" s="66"/>
      <c r="K324" s="66"/>
      <c r="L324" s="66"/>
      <c r="M324" s="66"/>
      <c r="N324" s="66"/>
    </row>
    <row r="325" spans="1:14" x14ac:dyDescent="0.2">
      <c r="A325" s="84"/>
      <c r="B325" s="84"/>
      <c r="C325" s="60"/>
      <c r="D325" s="66"/>
      <c r="E325" s="66"/>
      <c r="F325" s="66"/>
      <c r="G325" s="66"/>
      <c r="H325" s="66"/>
      <c r="I325" s="66"/>
      <c r="J325" s="66"/>
      <c r="K325" s="66"/>
      <c r="L325" s="66"/>
      <c r="M325" s="66"/>
      <c r="N325" s="66"/>
    </row>
    <row r="326" spans="1:14" x14ac:dyDescent="0.2">
      <c r="A326" s="84"/>
      <c r="B326" s="84"/>
      <c r="C326" s="60"/>
      <c r="D326" s="66"/>
      <c r="E326" s="66"/>
      <c r="F326" s="66"/>
      <c r="G326" s="66"/>
      <c r="H326" s="66"/>
      <c r="I326" s="66"/>
      <c r="J326" s="66"/>
      <c r="K326" s="66"/>
      <c r="L326" s="66"/>
      <c r="M326" s="66"/>
      <c r="N326" s="66"/>
    </row>
    <row r="327" spans="1:14" x14ac:dyDescent="0.2">
      <c r="A327" s="84"/>
      <c r="B327" s="84"/>
      <c r="C327" s="60"/>
      <c r="D327" s="66"/>
      <c r="E327" s="66"/>
      <c r="F327" s="66"/>
      <c r="G327" s="66"/>
      <c r="H327" s="66"/>
      <c r="I327" s="66"/>
      <c r="J327" s="66"/>
      <c r="K327" s="66"/>
      <c r="L327" s="66"/>
      <c r="M327" s="66"/>
      <c r="N327" s="66"/>
    </row>
    <row r="328" spans="1:14" x14ac:dyDescent="0.2">
      <c r="A328" s="84"/>
      <c r="B328" s="84"/>
      <c r="C328" s="60"/>
      <c r="D328" s="66"/>
      <c r="E328" s="66"/>
      <c r="F328" s="66"/>
      <c r="G328" s="66"/>
      <c r="H328" s="66"/>
      <c r="I328" s="66"/>
      <c r="J328" s="66"/>
      <c r="K328" s="66"/>
      <c r="L328" s="66"/>
      <c r="M328" s="66"/>
      <c r="N328" s="66"/>
    </row>
    <row r="329" spans="1:14" x14ac:dyDescent="0.2">
      <c r="A329" s="84"/>
      <c r="B329" s="84"/>
      <c r="C329" s="60"/>
      <c r="D329" s="66"/>
      <c r="E329" s="66"/>
      <c r="F329" s="66"/>
      <c r="G329" s="66"/>
      <c r="H329" s="66"/>
      <c r="I329" s="66"/>
      <c r="J329" s="66"/>
      <c r="K329" s="66"/>
      <c r="L329" s="66"/>
      <c r="M329" s="66"/>
      <c r="N329" s="66"/>
    </row>
    <row r="330" spans="1:14" x14ac:dyDescent="0.2">
      <c r="A330" s="84"/>
      <c r="B330" s="84"/>
      <c r="C330" s="60"/>
      <c r="D330" s="66"/>
      <c r="E330" s="66"/>
      <c r="F330" s="66"/>
      <c r="G330" s="66"/>
      <c r="H330" s="66"/>
      <c r="I330" s="66"/>
      <c r="J330" s="66"/>
      <c r="K330" s="66"/>
      <c r="L330" s="66"/>
      <c r="M330" s="66"/>
      <c r="N330" s="66"/>
    </row>
    <row r="331" spans="1:14" x14ac:dyDescent="0.2">
      <c r="A331" s="84"/>
      <c r="B331" s="84"/>
      <c r="C331" s="60"/>
      <c r="D331" s="66"/>
      <c r="E331" s="66"/>
      <c r="F331" s="66"/>
      <c r="G331" s="66"/>
      <c r="H331" s="66"/>
      <c r="I331" s="66"/>
      <c r="J331" s="66"/>
      <c r="K331" s="66"/>
      <c r="L331" s="66"/>
      <c r="M331" s="66"/>
      <c r="N331" s="66"/>
    </row>
    <row r="332" spans="1:14" x14ac:dyDescent="0.2">
      <c r="A332" s="84"/>
      <c r="B332" s="84"/>
      <c r="C332" s="60"/>
      <c r="D332" s="66"/>
      <c r="E332" s="66"/>
      <c r="F332" s="66"/>
      <c r="G332" s="66"/>
      <c r="H332" s="66"/>
      <c r="I332" s="66"/>
      <c r="J332" s="66"/>
      <c r="K332" s="66"/>
      <c r="L332" s="66"/>
      <c r="M332" s="66"/>
      <c r="N332" s="66"/>
    </row>
    <row r="333" spans="1:14" x14ac:dyDescent="0.2">
      <c r="A333" s="84"/>
      <c r="B333" s="84"/>
      <c r="C333" s="60"/>
      <c r="D333" s="66"/>
      <c r="E333" s="66"/>
      <c r="F333" s="66"/>
      <c r="G333" s="66"/>
      <c r="H333" s="66"/>
      <c r="I333" s="66"/>
      <c r="J333" s="66"/>
      <c r="K333" s="66"/>
      <c r="L333" s="66"/>
      <c r="M333" s="66"/>
      <c r="N333" s="66"/>
    </row>
    <row r="334" spans="1:14" x14ac:dyDescent="0.2">
      <c r="A334" s="84"/>
      <c r="B334" s="84"/>
      <c r="C334" s="60"/>
      <c r="D334" s="66"/>
      <c r="E334" s="66"/>
      <c r="F334" s="66"/>
      <c r="G334" s="66"/>
      <c r="H334" s="66"/>
      <c r="I334" s="66"/>
      <c r="J334" s="66"/>
      <c r="K334" s="66"/>
      <c r="L334" s="66"/>
      <c r="M334" s="66"/>
      <c r="N334" s="66"/>
    </row>
    <row r="335" spans="1:14" x14ac:dyDescent="0.2">
      <c r="A335" s="84"/>
      <c r="B335" s="84"/>
      <c r="C335" s="60"/>
      <c r="D335" s="66"/>
      <c r="E335" s="66"/>
      <c r="F335" s="66"/>
      <c r="G335" s="66"/>
      <c r="H335" s="66"/>
      <c r="I335" s="66"/>
      <c r="J335" s="66"/>
      <c r="K335" s="66"/>
      <c r="L335" s="66"/>
      <c r="M335" s="66"/>
      <c r="N335" s="66"/>
    </row>
    <row r="336" spans="1:14" x14ac:dyDescent="0.2">
      <c r="A336" s="84"/>
      <c r="B336" s="84"/>
      <c r="C336" s="60"/>
      <c r="D336" s="66"/>
      <c r="E336" s="66"/>
      <c r="F336" s="66"/>
      <c r="G336" s="66"/>
      <c r="H336" s="66"/>
      <c r="I336" s="66"/>
      <c r="J336" s="66"/>
      <c r="K336" s="66"/>
      <c r="L336" s="66"/>
      <c r="M336" s="66"/>
      <c r="N336" s="66"/>
    </row>
    <row r="337" spans="1:14" x14ac:dyDescent="0.2">
      <c r="A337" s="84"/>
      <c r="B337" s="84"/>
      <c r="C337" s="60"/>
      <c r="D337" s="66"/>
      <c r="E337" s="66"/>
      <c r="F337" s="66"/>
      <c r="G337" s="66"/>
      <c r="H337" s="66"/>
      <c r="I337" s="66"/>
      <c r="J337" s="66"/>
      <c r="K337" s="66"/>
      <c r="L337" s="66"/>
      <c r="M337" s="66"/>
      <c r="N337" s="66"/>
    </row>
    <row r="338" spans="1:14" x14ac:dyDescent="0.2">
      <c r="A338" s="84"/>
      <c r="B338" s="84"/>
      <c r="C338" s="60"/>
      <c r="D338" s="66"/>
      <c r="E338" s="66"/>
      <c r="F338" s="66"/>
      <c r="G338" s="66"/>
      <c r="H338" s="66"/>
      <c r="I338" s="66"/>
      <c r="J338" s="66"/>
      <c r="K338" s="66"/>
      <c r="L338" s="66"/>
      <c r="M338" s="66"/>
      <c r="N338" s="66"/>
    </row>
    <row r="339" spans="1:14" x14ac:dyDescent="0.2">
      <c r="A339" s="84"/>
      <c r="B339" s="84"/>
      <c r="C339" s="60"/>
      <c r="D339" s="66"/>
      <c r="E339" s="66"/>
      <c r="F339" s="66"/>
      <c r="G339" s="66"/>
      <c r="H339" s="66"/>
      <c r="I339" s="66"/>
      <c r="J339" s="66"/>
      <c r="K339" s="66"/>
      <c r="L339" s="66"/>
      <c r="M339" s="66"/>
      <c r="N339" s="66"/>
    </row>
    <row r="340" spans="1:14" x14ac:dyDescent="0.2">
      <c r="A340" s="84"/>
      <c r="B340" s="84"/>
      <c r="C340" s="60"/>
      <c r="D340" s="66"/>
      <c r="E340" s="66"/>
      <c r="F340" s="66"/>
      <c r="G340" s="66"/>
      <c r="H340" s="66"/>
      <c r="I340" s="66"/>
      <c r="J340" s="66"/>
      <c r="K340" s="66"/>
      <c r="L340" s="66"/>
      <c r="M340" s="66"/>
      <c r="N340" s="66"/>
    </row>
    <row r="341" spans="1:14" x14ac:dyDescent="0.2">
      <c r="A341" s="84"/>
      <c r="B341" s="84"/>
      <c r="C341" s="60"/>
      <c r="D341" s="66"/>
      <c r="E341" s="66"/>
      <c r="F341" s="66"/>
      <c r="G341" s="66"/>
      <c r="H341" s="66"/>
      <c r="I341" s="66"/>
      <c r="J341" s="66"/>
      <c r="K341" s="66"/>
      <c r="L341" s="66"/>
      <c r="M341" s="66"/>
      <c r="N341" s="66"/>
    </row>
    <row r="342" spans="1:14" x14ac:dyDescent="0.2">
      <c r="A342" s="84"/>
      <c r="B342" s="84"/>
      <c r="C342" s="60"/>
      <c r="D342" s="66"/>
      <c r="E342" s="66"/>
      <c r="F342" s="66"/>
      <c r="G342" s="66"/>
      <c r="H342" s="66"/>
      <c r="I342" s="66"/>
      <c r="J342" s="66"/>
      <c r="K342" s="66"/>
      <c r="L342" s="66"/>
      <c r="M342" s="66"/>
      <c r="N342" s="66"/>
    </row>
    <row r="343" spans="1:14" x14ac:dyDescent="0.2">
      <c r="A343" s="84"/>
      <c r="B343" s="84"/>
      <c r="C343" s="60"/>
      <c r="D343" s="66"/>
      <c r="E343" s="66"/>
      <c r="F343" s="66"/>
      <c r="G343" s="66"/>
      <c r="H343" s="66"/>
      <c r="I343" s="66"/>
      <c r="J343" s="66"/>
      <c r="K343" s="66"/>
      <c r="L343" s="66"/>
      <c r="M343" s="66"/>
      <c r="N343" s="66"/>
    </row>
    <row r="344" spans="1:14" x14ac:dyDescent="0.2">
      <c r="A344" s="84"/>
      <c r="B344" s="84"/>
      <c r="C344" s="60"/>
      <c r="D344" s="66"/>
      <c r="E344" s="66"/>
      <c r="F344" s="66"/>
      <c r="G344" s="66"/>
      <c r="H344" s="66"/>
      <c r="I344" s="66"/>
      <c r="J344" s="66"/>
      <c r="K344" s="66"/>
      <c r="L344" s="66"/>
      <c r="M344" s="66"/>
      <c r="N344" s="66"/>
    </row>
    <row r="345" spans="1:14" x14ac:dyDescent="0.2">
      <c r="A345" s="84"/>
      <c r="B345" s="84"/>
      <c r="C345" s="60"/>
      <c r="D345" s="66"/>
      <c r="E345" s="66"/>
      <c r="F345" s="66"/>
      <c r="G345" s="66"/>
      <c r="H345" s="66"/>
      <c r="I345" s="66"/>
      <c r="J345" s="66"/>
      <c r="K345" s="66"/>
      <c r="L345" s="66"/>
      <c r="M345" s="66"/>
      <c r="N345" s="66"/>
    </row>
    <row r="346" spans="1:14" x14ac:dyDescent="0.2">
      <c r="A346" s="84"/>
      <c r="B346" s="84"/>
      <c r="C346" s="60"/>
      <c r="D346" s="66"/>
      <c r="E346" s="66"/>
      <c r="F346" s="66"/>
      <c r="G346" s="66"/>
      <c r="H346" s="66"/>
      <c r="I346" s="66"/>
      <c r="J346" s="66"/>
      <c r="K346" s="66"/>
      <c r="L346" s="66"/>
      <c r="M346" s="66"/>
      <c r="N346" s="66"/>
    </row>
    <row r="347" spans="1:14" x14ac:dyDescent="0.2">
      <c r="A347" s="84"/>
      <c r="B347" s="84"/>
      <c r="C347" s="60"/>
      <c r="D347" s="66"/>
      <c r="E347" s="66"/>
      <c r="F347" s="66"/>
      <c r="G347" s="66"/>
      <c r="H347" s="66"/>
      <c r="I347" s="66"/>
      <c r="J347" s="66"/>
      <c r="K347" s="66"/>
      <c r="L347" s="66"/>
      <c r="M347" s="66"/>
      <c r="N347" s="66"/>
    </row>
    <row r="348" spans="1:14" x14ac:dyDescent="0.2">
      <c r="A348" s="84"/>
      <c r="B348" s="84"/>
      <c r="C348" s="60"/>
      <c r="D348" s="66"/>
      <c r="E348" s="66"/>
      <c r="F348" s="66"/>
      <c r="G348" s="66"/>
      <c r="H348" s="66"/>
      <c r="I348" s="66"/>
      <c r="J348" s="66"/>
      <c r="K348" s="66"/>
      <c r="L348" s="66"/>
      <c r="M348" s="66"/>
      <c r="N348" s="66"/>
    </row>
    <row r="349" spans="1:14" x14ac:dyDescent="0.2">
      <c r="A349" s="84"/>
      <c r="B349" s="84"/>
      <c r="C349" s="60"/>
      <c r="D349" s="66"/>
      <c r="E349" s="66"/>
      <c r="F349" s="66"/>
      <c r="G349" s="66"/>
      <c r="H349" s="66"/>
      <c r="I349" s="66"/>
      <c r="J349" s="66"/>
      <c r="K349" s="66"/>
      <c r="L349" s="66"/>
      <c r="M349" s="66"/>
      <c r="N349" s="66"/>
    </row>
    <row r="350" spans="1:14" x14ac:dyDescent="0.2">
      <c r="A350" s="84"/>
      <c r="B350" s="84"/>
      <c r="C350" s="60"/>
      <c r="D350" s="66"/>
      <c r="E350" s="66"/>
      <c r="F350" s="66"/>
      <c r="G350" s="66"/>
      <c r="H350" s="66"/>
      <c r="I350" s="66"/>
      <c r="J350" s="66"/>
      <c r="K350" s="66"/>
      <c r="L350" s="66"/>
      <c r="M350" s="66"/>
      <c r="N350" s="66"/>
    </row>
    <row r="351" spans="1:14" x14ac:dyDescent="0.2">
      <c r="A351" s="84"/>
      <c r="B351" s="84"/>
      <c r="C351" s="60"/>
      <c r="D351" s="66"/>
      <c r="E351" s="66"/>
      <c r="F351" s="66"/>
      <c r="G351" s="66"/>
      <c r="H351" s="66"/>
      <c r="I351" s="66"/>
      <c r="J351" s="66"/>
      <c r="K351" s="66"/>
      <c r="L351" s="66"/>
      <c r="M351" s="66"/>
      <c r="N351" s="66"/>
    </row>
    <row r="352" spans="1:14" x14ac:dyDescent="0.2">
      <c r="A352" s="84"/>
      <c r="B352" s="84"/>
      <c r="C352" s="60"/>
      <c r="D352" s="66"/>
      <c r="E352" s="66"/>
      <c r="F352" s="66"/>
      <c r="G352" s="66"/>
      <c r="H352" s="66"/>
      <c r="I352" s="66"/>
      <c r="J352" s="66"/>
      <c r="K352" s="66"/>
      <c r="L352" s="66"/>
      <c r="M352" s="66"/>
      <c r="N352" s="66"/>
    </row>
    <row r="353" spans="1:14" x14ac:dyDescent="0.2">
      <c r="A353" s="84"/>
      <c r="B353" s="84"/>
      <c r="C353" s="60"/>
      <c r="D353" s="66"/>
      <c r="E353" s="66"/>
      <c r="F353" s="66"/>
      <c r="G353" s="66"/>
      <c r="H353" s="66"/>
      <c r="I353" s="66"/>
      <c r="J353" s="66"/>
      <c r="K353" s="66"/>
      <c r="L353" s="66"/>
      <c r="M353" s="66"/>
      <c r="N353" s="66"/>
    </row>
    <row r="354" spans="1:14" x14ac:dyDescent="0.2">
      <c r="A354" s="84"/>
      <c r="B354" s="84"/>
      <c r="C354" s="60"/>
      <c r="D354" s="66"/>
      <c r="E354" s="66"/>
      <c r="F354" s="66"/>
      <c r="G354" s="66"/>
      <c r="H354" s="66"/>
      <c r="I354" s="66"/>
      <c r="J354" s="66"/>
      <c r="K354" s="66"/>
      <c r="L354" s="66"/>
      <c r="M354" s="66"/>
      <c r="N354" s="66"/>
    </row>
    <row r="355" spans="1:14" x14ac:dyDescent="0.2">
      <c r="A355" s="84"/>
      <c r="B355" s="84"/>
      <c r="C355" s="60"/>
      <c r="D355" s="66"/>
      <c r="E355" s="66"/>
      <c r="F355" s="66"/>
      <c r="G355" s="66"/>
      <c r="H355" s="66"/>
      <c r="I355" s="66"/>
      <c r="J355" s="66"/>
      <c r="K355" s="66"/>
      <c r="L355" s="66"/>
      <c r="M355" s="66"/>
      <c r="N355" s="66"/>
    </row>
    <row r="356" spans="1:14" x14ac:dyDescent="0.2">
      <c r="A356" s="84"/>
      <c r="B356" s="84"/>
      <c r="C356" s="60"/>
      <c r="D356" s="66"/>
      <c r="E356" s="66"/>
      <c r="F356" s="66"/>
      <c r="G356" s="66"/>
      <c r="H356" s="66"/>
      <c r="I356" s="66"/>
      <c r="J356" s="66"/>
      <c r="K356" s="66"/>
      <c r="L356" s="66"/>
      <c r="M356" s="66"/>
      <c r="N356" s="66"/>
    </row>
    <row r="357" spans="1:14" x14ac:dyDescent="0.2">
      <c r="A357" s="84"/>
      <c r="B357" s="84"/>
      <c r="C357" s="60"/>
      <c r="D357" s="66"/>
      <c r="E357" s="66"/>
      <c r="F357" s="66"/>
      <c r="G357" s="66"/>
      <c r="H357" s="66"/>
      <c r="I357" s="66"/>
      <c r="J357" s="66"/>
      <c r="K357" s="66"/>
      <c r="L357" s="66"/>
      <c r="M357" s="66"/>
      <c r="N357" s="66"/>
    </row>
    <row r="358" spans="1:14" x14ac:dyDescent="0.2">
      <c r="A358" s="84"/>
      <c r="B358" s="84"/>
      <c r="C358" s="60"/>
      <c r="D358" s="66"/>
      <c r="E358" s="66"/>
      <c r="F358" s="66"/>
      <c r="G358" s="66"/>
      <c r="H358" s="66"/>
      <c r="I358" s="66"/>
      <c r="J358" s="66"/>
      <c r="K358" s="66"/>
      <c r="L358" s="66"/>
      <c r="M358" s="66"/>
      <c r="N358" s="66"/>
    </row>
    <row r="359" spans="1:14" x14ac:dyDescent="0.2">
      <c r="A359" s="84"/>
      <c r="B359" s="84"/>
      <c r="C359" s="60"/>
      <c r="D359" s="66"/>
      <c r="E359" s="66"/>
      <c r="F359" s="66"/>
      <c r="G359" s="66"/>
      <c r="H359" s="66"/>
      <c r="I359" s="66"/>
      <c r="J359" s="66"/>
      <c r="K359" s="66"/>
      <c r="L359" s="66"/>
      <c r="M359" s="66"/>
      <c r="N359" s="66"/>
    </row>
    <row r="360" spans="1:14" x14ac:dyDescent="0.2">
      <c r="A360" s="84"/>
      <c r="B360" s="84"/>
      <c r="C360" s="60"/>
      <c r="D360" s="66"/>
      <c r="E360" s="66"/>
      <c r="F360" s="66"/>
      <c r="G360" s="66"/>
      <c r="H360" s="66"/>
      <c r="I360" s="66"/>
      <c r="J360" s="66"/>
      <c r="K360" s="66"/>
      <c r="L360" s="66"/>
      <c r="M360" s="66"/>
      <c r="N360" s="66"/>
    </row>
    <row r="361" spans="1:14" x14ac:dyDescent="0.2">
      <c r="A361" s="84"/>
      <c r="B361" s="84"/>
      <c r="C361" s="60"/>
      <c r="D361" s="66"/>
      <c r="E361" s="66"/>
      <c r="F361" s="66"/>
      <c r="G361" s="66"/>
      <c r="H361" s="66"/>
      <c r="I361" s="66"/>
      <c r="J361" s="66"/>
      <c r="K361" s="66"/>
      <c r="L361" s="66"/>
      <c r="M361" s="66"/>
      <c r="N361" s="66"/>
    </row>
    <row r="362" spans="1:14" x14ac:dyDescent="0.2">
      <c r="A362" s="84"/>
      <c r="B362" s="84"/>
      <c r="C362" s="60"/>
      <c r="D362" s="66"/>
      <c r="E362" s="66"/>
      <c r="F362" s="66"/>
      <c r="G362" s="66"/>
      <c r="H362" s="66"/>
      <c r="I362" s="66"/>
      <c r="J362" s="66"/>
      <c r="K362" s="66"/>
      <c r="L362" s="66"/>
      <c r="M362" s="66"/>
      <c r="N362" s="66"/>
    </row>
    <row r="363" spans="1:14" x14ac:dyDescent="0.2">
      <c r="A363" s="84"/>
      <c r="B363" s="84"/>
      <c r="C363" s="60"/>
      <c r="D363" s="66"/>
      <c r="E363" s="66"/>
      <c r="F363" s="66"/>
      <c r="G363" s="66"/>
      <c r="H363" s="66"/>
      <c r="I363" s="66"/>
      <c r="J363" s="66"/>
      <c r="K363" s="66"/>
      <c r="L363" s="66"/>
      <c r="M363" s="66"/>
      <c r="N363" s="66"/>
    </row>
    <row r="364" spans="1:14" x14ac:dyDescent="0.2">
      <c r="A364" s="84"/>
      <c r="B364" s="84"/>
      <c r="C364" s="60"/>
      <c r="D364" s="66"/>
      <c r="E364" s="66"/>
      <c r="F364" s="66"/>
      <c r="G364" s="66"/>
      <c r="H364" s="66"/>
      <c r="I364" s="66"/>
      <c r="J364" s="66"/>
      <c r="K364" s="66"/>
      <c r="L364" s="66"/>
      <c r="M364" s="66"/>
      <c r="N364" s="66"/>
    </row>
    <row r="365" spans="1:14" x14ac:dyDescent="0.2">
      <c r="A365" s="84"/>
      <c r="B365" s="84"/>
      <c r="C365" s="60"/>
      <c r="D365" s="66"/>
      <c r="E365" s="66"/>
      <c r="F365" s="66"/>
      <c r="G365" s="66"/>
      <c r="H365" s="66"/>
      <c r="I365" s="66"/>
      <c r="J365" s="66"/>
      <c r="K365" s="66"/>
      <c r="L365" s="66"/>
      <c r="M365" s="66"/>
      <c r="N365" s="66"/>
    </row>
    <row r="366" spans="1:14" x14ac:dyDescent="0.2">
      <c r="A366" s="84"/>
      <c r="B366" s="84"/>
      <c r="C366" s="60"/>
      <c r="D366" s="66"/>
      <c r="E366" s="66"/>
      <c r="F366" s="66"/>
      <c r="G366" s="66"/>
      <c r="H366" s="66"/>
      <c r="I366" s="66"/>
      <c r="J366" s="66"/>
      <c r="K366" s="66"/>
      <c r="L366" s="66"/>
      <c r="M366" s="66"/>
      <c r="N366" s="66"/>
    </row>
    <row r="367" spans="1:14" x14ac:dyDescent="0.2">
      <c r="A367" s="84"/>
      <c r="B367" s="84"/>
      <c r="C367" s="60"/>
      <c r="D367" s="66"/>
      <c r="E367" s="66"/>
      <c r="F367" s="66"/>
      <c r="G367" s="66"/>
      <c r="H367" s="66"/>
      <c r="I367" s="66"/>
      <c r="J367" s="66"/>
      <c r="K367" s="66"/>
      <c r="L367" s="66"/>
      <c r="M367" s="66"/>
      <c r="N367" s="66"/>
    </row>
    <row r="368" spans="1:14" x14ac:dyDescent="0.2">
      <c r="A368" s="84"/>
      <c r="B368" s="84"/>
      <c r="C368" s="60"/>
      <c r="D368" s="66"/>
      <c r="E368" s="66"/>
      <c r="F368" s="66"/>
      <c r="G368" s="66"/>
      <c r="H368" s="66"/>
      <c r="I368" s="66"/>
      <c r="J368" s="66"/>
      <c r="K368" s="66"/>
      <c r="L368" s="66"/>
      <c r="M368" s="66"/>
      <c r="N368" s="66"/>
    </row>
    <row r="369" spans="1:14" x14ac:dyDescent="0.2">
      <c r="A369" s="84"/>
      <c r="B369" s="84"/>
      <c r="C369" s="60"/>
      <c r="D369" s="66"/>
      <c r="E369" s="66"/>
      <c r="F369" s="66"/>
      <c r="G369" s="66"/>
      <c r="H369" s="66"/>
      <c r="I369" s="66"/>
      <c r="J369" s="66"/>
      <c r="K369" s="66"/>
      <c r="L369" s="66"/>
      <c r="M369" s="66"/>
      <c r="N369" s="66"/>
    </row>
    <row r="370" spans="1:14" x14ac:dyDescent="0.2">
      <c r="A370" s="84"/>
      <c r="B370" s="84"/>
      <c r="C370" s="60"/>
      <c r="D370" s="66"/>
      <c r="E370" s="66"/>
      <c r="F370" s="66"/>
      <c r="G370" s="66"/>
      <c r="H370" s="66"/>
      <c r="I370" s="66"/>
      <c r="J370" s="66"/>
      <c r="K370" s="66"/>
      <c r="L370" s="66"/>
      <c r="M370" s="66"/>
      <c r="N370" s="66"/>
    </row>
    <row r="371" spans="1:14" x14ac:dyDescent="0.2">
      <c r="A371" s="84"/>
      <c r="B371" s="84"/>
      <c r="C371" s="60"/>
      <c r="D371" s="66"/>
      <c r="E371" s="66"/>
      <c r="F371" s="66"/>
      <c r="G371" s="66"/>
      <c r="H371" s="66"/>
      <c r="I371" s="66"/>
      <c r="J371" s="66"/>
      <c r="K371" s="66"/>
      <c r="L371" s="66"/>
      <c r="M371" s="66"/>
      <c r="N371" s="66"/>
    </row>
    <row r="372" spans="1:14" x14ac:dyDescent="0.2">
      <c r="A372" s="84"/>
      <c r="B372" s="84"/>
      <c r="C372" s="60"/>
      <c r="D372" s="66"/>
      <c r="E372" s="66"/>
      <c r="F372" s="66"/>
      <c r="G372" s="66"/>
      <c r="H372" s="66"/>
      <c r="I372" s="66"/>
      <c r="J372" s="66"/>
      <c r="K372" s="66"/>
      <c r="L372" s="66"/>
      <c r="M372" s="66"/>
      <c r="N372" s="66"/>
    </row>
    <row r="373" spans="1:14" x14ac:dyDescent="0.2">
      <c r="A373" s="84"/>
      <c r="B373" s="84"/>
      <c r="C373" s="60"/>
      <c r="D373" s="66"/>
      <c r="E373" s="66"/>
      <c r="F373" s="66"/>
      <c r="G373" s="66"/>
      <c r="H373" s="66"/>
      <c r="I373" s="66"/>
      <c r="J373" s="66"/>
      <c r="K373" s="66"/>
      <c r="L373" s="66"/>
      <c r="M373" s="66"/>
      <c r="N373" s="66"/>
    </row>
    <row r="374" spans="1:14" x14ac:dyDescent="0.2">
      <c r="A374" s="84"/>
      <c r="B374" s="84"/>
      <c r="C374" s="60"/>
      <c r="D374" s="66"/>
      <c r="E374" s="66"/>
      <c r="F374" s="66"/>
      <c r="G374" s="66"/>
      <c r="H374" s="66"/>
      <c r="I374" s="66"/>
      <c r="J374" s="66"/>
      <c r="K374" s="66"/>
      <c r="L374" s="66"/>
      <c r="M374" s="66"/>
      <c r="N374" s="66"/>
    </row>
    <row r="375" spans="1:14" x14ac:dyDescent="0.2">
      <c r="A375" s="84"/>
      <c r="B375" s="84"/>
      <c r="C375" s="60"/>
      <c r="D375" s="66"/>
      <c r="E375" s="66"/>
      <c r="F375" s="66"/>
      <c r="G375" s="66"/>
      <c r="H375" s="66"/>
      <c r="I375" s="66"/>
      <c r="J375" s="66"/>
      <c r="K375" s="66"/>
      <c r="L375" s="66"/>
      <c r="M375" s="66"/>
      <c r="N375" s="66"/>
    </row>
    <row r="376" spans="1:14" x14ac:dyDescent="0.2">
      <c r="A376" s="84"/>
      <c r="B376" s="84"/>
      <c r="C376" s="60"/>
      <c r="D376" s="66"/>
      <c r="E376" s="66"/>
      <c r="F376" s="66"/>
      <c r="G376" s="66"/>
      <c r="H376" s="66"/>
      <c r="I376" s="66"/>
      <c r="J376" s="66"/>
      <c r="K376" s="66"/>
      <c r="L376" s="66"/>
      <c r="M376" s="66"/>
      <c r="N376" s="66"/>
    </row>
    <row r="377" spans="1:14" x14ac:dyDescent="0.2">
      <c r="A377" s="84"/>
      <c r="B377" s="84"/>
      <c r="C377" s="60"/>
      <c r="D377" s="66"/>
      <c r="E377" s="66"/>
      <c r="F377" s="66"/>
      <c r="G377" s="66"/>
      <c r="H377" s="66"/>
      <c r="I377" s="66"/>
      <c r="J377" s="66"/>
      <c r="K377" s="66"/>
      <c r="L377" s="66"/>
      <c r="M377" s="66"/>
      <c r="N377" s="66"/>
    </row>
    <row r="378" spans="1:14" x14ac:dyDescent="0.2">
      <c r="A378" s="84"/>
      <c r="B378" s="84"/>
      <c r="C378" s="60"/>
      <c r="D378" s="66"/>
      <c r="E378" s="66"/>
      <c r="F378" s="66"/>
      <c r="G378" s="66"/>
      <c r="H378" s="66"/>
      <c r="I378" s="66"/>
      <c r="J378" s="66"/>
      <c r="K378" s="66"/>
      <c r="L378" s="66"/>
      <c r="M378" s="66"/>
      <c r="N378" s="66"/>
    </row>
    <row r="379" spans="1:14" x14ac:dyDescent="0.2">
      <c r="A379" s="84"/>
      <c r="B379" s="84"/>
      <c r="C379" s="60"/>
      <c r="D379" s="66"/>
      <c r="E379" s="66"/>
      <c r="F379" s="66"/>
      <c r="G379" s="66"/>
      <c r="H379" s="66"/>
      <c r="I379" s="66"/>
      <c r="J379" s="66"/>
      <c r="K379" s="66"/>
      <c r="L379" s="66"/>
      <c r="M379" s="66"/>
      <c r="N379" s="66"/>
    </row>
    <row r="380" spans="1:14" x14ac:dyDescent="0.2">
      <c r="A380" s="84"/>
      <c r="B380" s="84"/>
      <c r="C380" s="60"/>
      <c r="D380" s="66"/>
      <c r="E380" s="66"/>
      <c r="F380" s="66"/>
      <c r="G380" s="66"/>
      <c r="H380" s="66"/>
      <c r="I380" s="66"/>
      <c r="J380" s="66"/>
      <c r="K380" s="66"/>
      <c r="L380" s="66"/>
      <c r="M380" s="66"/>
      <c r="N380" s="66"/>
    </row>
    <row r="381" spans="1:14" x14ac:dyDescent="0.2">
      <c r="A381" s="84"/>
      <c r="B381" s="84"/>
      <c r="C381" s="60"/>
      <c r="D381" s="66"/>
      <c r="E381" s="66"/>
      <c r="F381" s="66"/>
      <c r="G381" s="66"/>
      <c r="H381" s="66"/>
      <c r="I381" s="66"/>
      <c r="J381" s="66"/>
      <c r="K381" s="66"/>
      <c r="L381" s="66"/>
      <c r="M381" s="66"/>
      <c r="N381" s="66"/>
    </row>
    <row r="382" spans="1:14" x14ac:dyDescent="0.2">
      <c r="A382" s="84"/>
      <c r="B382" s="84"/>
      <c r="C382" s="60"/>
      <c r="D382" s="66"/>
      <c r="E382" s="66"/>
      <c r="F382" s="66"/>
      <c r="G382" s="66"/>
      <c r="H382" s="66"/>
      <c r="I382" s="66"/>
      <c r="J382" s="66"/>
      <c r="K382" s="66"/>
      <c r="L382" s="66"/>
      <c r="M382" s="66"/>
      <c r="N382" s="66"/>
    </row>
    <row r="383" spans="1:14" x14ac:dyDescent="0.2">
      <c r="A383" s="84"/>
      <c r="B383" s="84"/>
      <c r="C383" s="60"/>
      <c r="D383" s="66"/>
      <c r="E383" s="66"/>
      <c r="F383" s="66"/>
      <c r="G383" s="66"/>
      <c r="H383" s="66"/>
      <c r="I383" s="66"/>
      <c r="J383" s="66"/>
      <c r="K383" s="66"/>
      <c r="L383" s="66"/>
      <c r="M383" s="66"/>
      <c r="N383" s="66"/>
    </row>
    <row r="384" spans="1:14" x14ac:dyDescent="0.2">
      <c r="A384" s="84"/>
      <c r="B384" s="84"/>
      <c r="C384" s="60"/>
      <c r="D384" s="66"/>
      <c r="E384" s="66"/>
      <c r="F384" s="66"/>
      <c r="G384" s="66"/>
      <c r="H384" s="66"/>
      <c r="I384" s="66"/>
      <c r="J384" s="66"/>
      <c r="K384" s="66"/>
      <c r="L384" s="66"/>
      <c r="M384" s="66"/>
      <c r="N384" s="66"/>
    </row>
    <row r="385" spans="1:14" x14ac:dyDescent="0.2">
      <c r="A385" s="84"/>
      <c r="B385" s="84"/>
      <c r="C385" s="60"/>
      <c r="D385" s="66"/>
      <c r="E385" s="66"/>
      <c r="F385" s="66"/>
      <c r="G385" s="66"/>
      <c r="H385" s="66"/>
      <c r="I385" s="66"/>
      <c r="J385" s="66"/>
      <c r="K385" s="66"/>
      <c r="L385" s="66"/>
      <c r="M385" s="66"/>
      <c r="N385" s="66"/>
    </row>
    <row r="386" spans="1:14" x14ac:dyDescent="0.2">
      <c r="A386" s="84"/>
      <c r="B386" s="84"/>
      <c r="C386" s="60"/>
      <c r="D386" s="66"/>
      <c r="E386" s="66"/>
      <c r="F386" s="66"/>
      <c r="G386" s="66"/>
      <c r="H386" s="66"/>
      <c r="I386" s="66"/>
      <c r="J386" s="66"/>
      <c r="K386" s="66"/>
      <c r="L386" s="66"/>
      <c r="M386" s="66"/>
      <c r="N386" s="66"/>
    </row>
    <row r="387" spans="1:14" x14ac:dyDescent="0.2">
      <c r="A387" s="84"/>
      <c r="B387" s="84"/>
      <c r="C387" s="60"/>
      <c r="D387" s="66"/>
      <c r="E387" s="66"/>
      <c r="F387" s="66"/>
      <c r="G387" s="66"/>
      <c r="H387" s="66"/>
      <c r="I387" s="66"/>
      <c r="J387" s="66"/>
      <c r="K387" s="66"/>
      <c r="L387" s="66"/>
      <c r="M387" s="66"/>
      <c r="N387" s="66"/>
    </row>
    <row r="388" spans="1:14" x14ac:dyDescent="0.2">
      <c r="A388" s="84"/>
      <c r="B388" s="84"/>
      <c r="C388" s="60"/>
      <c r="D388" s="66"/>
      <c r="E388" s="66"/>
      <c r="F388" s="66"/>
      <c r="G388" s="66"/>
      <c r="H388" s="66"/>
      <c r="I388" s="66"/>
      <c r="J388" s="66"/>
      <c r="K388" s="66"/>
      <c r="L388" s="66"/>
      <c r="M388" s="66"/>
      <c r="N388" s="66"/>
    </row>
    <row r="389" spans="1:14" x14ac:dyDescent="0.2">
      <c r="A389" s="84"/>
      <c r="B389" s="84"/>
      <c r="C389" s="60"/>
      <c r="D389" s="66"/>
      <c r="E389" s="66"/>
      <c r="F389" s="66"/>
      <c r="G389" s="66"/>
      <c r="H389" s="66"/>
      <c r="I389" s="66"/>
      <c r="J389" s="66"/>
      <c r="K389" s="66"/>
      <c r="L389" s="66"/>
      <c r="M389" s="66"/>
      <c r="N389" s="66"/>
    </row>
    <row r="390" spans="1:14" x14ac:dyDescent="0.2">
      <c r="A390" s="84"/>
      <c r="B390" s="84"/>
      <c r="C390" s="60"/>
      <c r="D390" s="66"/>
      <c r="E390" s="66"/>
      <c r="F390" s="66"/>
      <c r="G390" s="66"/>
      <c r="H390" s="66"/>
      <c r="I390" s="66"/>
      <c r="J390" s="66"/>
      <c r="K390" s="66"/>
      <c r="L390" s="66"/>
      <c r="M390" s="66"/>
      <c r="N390" s="66"/>
    </row>
    <row r="391" spans="1:14" x14ac:dyDescent="0.2">
      <c r="A391" s="84"/>
      <c r="B391" s="84"/>
      <c r="C391" s="60"/>
      <c r="D391" s="66"/>
      <c r="E391" s="66"/>
      <c r="F391" s="66"/>
      <c r="G391" s="66"/>
      <c r="H391" s="66"/>
      <c r="I391" s="66"/>
      <c r="J391" s="66"/>
      <c r="K391" s="66"/>
      <c r="L391" s="66"/>
      <c r="M391" s="66"/>
      <c r="N391" s="66"/>
    </row>
    <row r="392" spans="1:14" x14ac:dyDescent="0.2">
      <c r="A392" s="84"/>
      <c r="B392" s="84"/>
      <c r="C392" s="60"/>
      <c r="D392" s="66"/>
      <c r="E392" s="66"/>
      <c r="F392" s="66"/>
      <c r="G392" s="66"/>
      <c r="H392" s="66"/>
      <c r="I392" s="66"/>
      <c r="J392" s="66"/>
      <c r="K392" s="66"/>
      <c r="L392" s="66"/>
      <c r="M392" s="66"/>
      <c r="N392" s="66"/>
    </row>
    <row r="393" spans="1:14" x14ac:dyDescent="0.2">
      <c r="A393" s="84"/>
      <c r="B393" s="84"/>
      <c r="C393" s="60"/>
      <c r="D393" s="66"/>
      <c r="E393" s="66"/>
      <c r="F393" s="66"/>
      <c r="G393" s="66"/>
      <c r="H393" s="66"/>
      <c r="I393" s="66"/>
      <c r="J393" s="66"/>
      <c r="K393" s="66"/>
      <c r="L393" s="66"/>
      <c r="M393" s="66"/>
      <c r="N393" s="66"/>
    </row>
    <row r="394" spans="1:14" x14ac:dyDescent="0.2">
      <c r="A394" s="84"/>
      <c r="B394" s="84"/>
      <c r="C394" s="60"/>
      <c r="D394" s="66"/>
      <c r="E394" s="66"/>
      <c r="F394" s="66"/>
      <c r="G394" s="66"/>
      <c r="H394" s="66"/>
      <c r="I394" s="66"/>
      <c r="J394" s="66"/>
      <c r="K394" s="66"/>
      <c r="L394" s="66"/>
      <c r="M394" s="66"/>
      <c r="N394" s="66"/>
    </row>
    <row r="395" spans="1:14" x14ac:dyDescent="0.2">
      <c r="A395" s="84"/>
      <c r="B395" s="84"/>
      <c r="C395" s="60"/>
      <c r="D395" s="66"/>
      <c r="E395" s="66"/>
      <c r="F395" s="66"/>
      <c r="G395" s="66"/>
      <c r="H395" s="66"/>
      <c r="I395" s="66"/>
      <c r="J395" s="66"/>
      <c r="K395" s="66"/>
      <c r="L395" s="66"/>
      <c r="M395" s="66"/>
      <c r="N395" s="66"/>
    </row>
    <row r="396" spans="1:14" x14ac:dyDescent="0.2">
      <c r="A396" s="84"/>
      <c r="B396" s="84"/>
      <c r="C396" s="60"/>
      <c r="D396" s="66"/>
      <c r="E396" s="66"/>
      <c r="F396" s="66"/>
      <c r="G396" s="66"/>
      <c r="H396" s="66"/>
      <c r="I396" s="66"/>
      <c r="J396" s="66"/>
      <c r="K396" s="66"/>
      <c r="L396" s="66"/>
      <c r="M396" s="66"/>
      <c r="N396" s="66"/>
    </row>
    <row r="397" spans="1:14" x14ac:dyDescent="0.2">
      <c r="A397" s="84"/>
      <c r="B397" s="84"/>
      <c r="C397" s="60"/>
      <c r="D397" s="66"/>
      <c r="E397" s="66"/>
      <c r="F397" s="66"/>
      <c r="G397" s="66"/>
      <c r="H397" s="66"/>
      <c r="I397" s="66"/>
      <c r="J397" s="66"/>
      <c r="K397" s="66"/>
      <c r="L397" s="66"/>
      <c r="M397" s="66"/>
      <c r="N397" s="66"/>
    </row>
    <row r="398" spans="1:14" x14ac:dyDescent="0.2">
      <c r="A398" s="84"/>
      <c r="B398" s="84"/>
      <c r="C398" s="60"/>
      <c r="D398" s="66"/>
      <c r="E398" s="66"/>
      <c r="F398" s="66"/>
      <c r="G398" s="66"/>
      <c r="H398" s="66"/>
      <c r="I398" s="66"/>
      <c r="J398" s="66"/>
      <c r="K398" s="66"/>
      <c r="L398" s="66"/>
      <c r="M398" s="66"/>
      <c r="N398" s="66"/>
    </row>
    <row r="399" spans="1:14" x14ac:dyDescent="0.2">
      <c r="A399" s="84"/>
      <c r="B399" s="84"/>
      <c r="C399" s="60"/>
      <c r="D399" s="66"/>
      <c r="E399" s="66"/>
      <c r="F399" s="66"/>
      <c r="G399" s="66"/>
      <c r="H399" s="66"/>
      <c r="I399" s="66"/>
      <c r="J399" s="66"/>
      <c r="K399" s="66"/>
      <c r="L399" s="66"/>
      <c r="M399" s="66"/>
      <c r="N399" s="66"/>
    </row>
    <row r="400" spans="1:14" x14ac:dyDescent="0.2">
      <c r="A400" s="84"/>
      <c r="B400" s="84"/>
      <c r="C400" s="60"/>
      <c r="D400" s="66"/>
      <c r="E400" s="66"/>
      <c r="F400" s="66"/>
      <c r="G400" s="66"/>
      <c r="H400" s="66"/>
      <c r="I400" s="66"/>
      <c r="J400" s="66"/>
      <c r="K400" s="66"/>
      <c r="L400" s="66"/>
      <c r="M400" s="66"/>
      <c r="N400" s="66"/>
    </row>
    <row r="401" spans="1:14" x14ac:dyDescent="0.2">
      <c r="A401" s="84"/>
      <c r="B401" s="84"/>
      <c r="C401" s="60"/>
      <c r="D401" s="66"/>
      <c r="E401" s="66"/>
      <c r="F401" s="66"/>
      <c r="G401" s="66"/>
      <c r="H401" s="66"/>
      <c r="I401" s="66"/>
      <c r="J401" s="66"/>
      <c r="K401" s="66"/>
      <c r="L401" s="66"/>
      <c r="M401" s="66"/>
      <c r="N401" s="66"/>
    </row>
    <row r="402" spans="1:14" x14ac:dyDescent="0.2">
      <c r="A402" s="84"/>
      <c r="B402" s="84"/>
      <c r="C402" s="60"/>
      <c r="D402" s="66"/>
      <c r="E402" s="66"/>
      <c r="F402" s="66"/>
      <c r="G402" s="66"/>
      <c r="H402" s="66"/>
      <c r="I402" s="66"/>
      <c r="J402" s="66"/>
      <c r="K402" s="66"/>
      <c r="L402" s="66"/>
      <c r="M402" s="66"/>
      <c r="N402" s="66"/>
    </row>
    <row r="403" spans="1:14" x14ac:dyDescent="0.2">
      <c r="A403" s="84"/>
      <c r="B403" s="84"/>
      <c r="C403" s="60"/>
      <c r="D403" s="66"/>
      <c r="E403" s="66"/>
      <c r="F403" s="66"/>
      <c r="G403" s="66"/>
      <c r="H403" s="66"/>
      <c r="I403" s="66"/>
      <c r="J403" s="66"/>
      <c r="K403" s="66"/>
      <c r="L403" s="66"/>
      <c r="M403" s="66"/>
      <c r="N403" s="66"/>
    </row>
    <row r="404" spans="1:14" x14ac:dyDescent="0.2">
      <c r="A404" s="84"/>
      <c r="B404" s="84"/>
      <c r="C404" s="60"/>
      <c r="D404" s="66"/>
      <c r="E404" s="66"/>
      <c r="F404" s="66"/>
      <c r="G404" s="66"/>
      <c r="H404" s="66"/>
      <c r="I404" s="66"/>
      <c r="J404" s="66"/>
      <c r="K404" s="66"/>
      <c r="L404" s="66"/>
      <c r="M404" s="66"/>
      <c r="N404" s="66"/>
    </row>
    <row r="405" spans="1:14" x14ac:dyDescent="0.2">
      <c r="A405" s="84"/>
      <c r="B405" s="84"/>
      <c r="C405" s="60"/>
      <c r="D405" s="66"/>
      <c r="E405" s="66"/>
      <c r="F405" s="66"/>
      <c r="G405" s="66"/>
      <c r="H405" s="66"/>
      <c r="I405" s="66"/>
      <c r="J405" s="66"/>
      <c r="K405" s="66"/>
      <c r="L405" s="66"/>
      <c r="M405" s="66"/>
      <c r="N405" s="66"/>
    </row>
    <row r="406" spans="1:14" x14ac:dyDescent="0.2">
      <c r="A406" s="84"/>
      <c r="B406" s="84"/>
      <c r="C406" s="60"/>
      <c r="D406" s="66"/>
      <c r="E406" s="66"/>
      <c r="F406" s="66"/>
      <c r="G406" s="66"/>
      <c r="H406" s="66"/>
      <c r="I406" s="66"/>
      <c r="J406" s="66"/>
      <c r="K406" s="66"/>
      <c r="L406" s="66"/>
      <c r="M406" s="66"/>
      <c r="N406" s="66"/>
    </row>
    <row r="407" spans="1:14" x14ac:dyDescent="0.2">
      <c r="A407" s="84"/>
      <c r="B407" s="84"/>
      <c r="C407" s="60"/>
      <c r="D407" s="66"/>
      <c r="E407" s="66"/>
      <c r="F407" s="66"/>
      <c r="G407" s="66"/>
      <c r="H407" s="66"/>
      <c r="I407" s="66"/>
      <c r="J407" s="66"/>
      <c r="K407" s="66"/>
      <c r="L407" s="66"/>
      <c r="M407" s="66"/>
      <c r="N407" s="66"/>
    </row>
    <row r="408" spans="1:14" x14ac:dyDescent="0.2">
      <c r="A408" s="84"/>
      <c r="B408" s="84"/>
      <c r="C408" s="60"/>
      <c r="D408" s="66"/>
      <c r="E408" s="66"/>
      <c r="F408" s="66"/>
      <c r="G408" s="66"/>
      <c r="H408" s="66"/>
      <c r="I408" s="66"/>
      <c r="J408" s="66"/>
      <c r="K408" s="66"/>
      <c r="L408" s="66"/>
      <c r="M408" s="66"/>
      <c r="N408" s="66"/>
    </row>
    <row r="409" spans="1:14" x14ac:dyDescent="0.2">
      <c r="A409" s="84"/>
      <c r="B409" s="84"/>
      <c r="C409" s="60"/>
      <c r="D409" s="66"/>
      <c r="E409" s="66"/>
      <c r="F409" s="66"/>
      <c r="G409" s="66"/>
      <c r="H409" s="66"/>
      <c r="I409" s="66"/>
      <c r="J409" s="66"/>
      <c r="K409" s="66"/>
      <c r="L409" s="66"/>
      <c r="M409" s="66"/>
      <c r="N409" s="66"/>
    </row>
    <row r="410" spans="1:14" x14ac:dyDescent="0.2">
      <c r="A410" s="84"/>
      <c r="B410" s="84"/>
      <c r="C410" s="60"/>
      <c r="D410" s="66"/>
      <c r="E410" s="66"/>
      <c r="F410" s="66"/>
      <c r="G410" s="66"/>
      <c r="H410" s="66"/>
      <c r="I410" s="66"/>
      <c r="J410" s="66"/>
      <c r="K410" s="66"/>
      <c r="L410" s="66"/>
      <c r="M410" s="66"/>
      <c r="N410" s="66"/>
    </row>
    <row r="411" spans="1:14" x14ac:dyDescent="0.2">
      <c r="A411" s="84"/>
      <c r="B411" s="84"/>
      <c r="C411" s="60"/>
      <c r="D411" s="66"/>
      <c r="E411" s="66"/>
      <c r="F411" s="66"/>
      <c r="G411" s="66"/>
      <c r="H411" s="66"/>
      <c r="I411" s="66"/>
      <c r="J411" s="66"/>
      <c r="K411" s="66"/>
      <c r="L411" s="66"/>
      <c r="M411" s="66"/>
      <c r="N411" s="66"/>
    </row>
    <row r="412" spans="1:14" x14ac:dyDescent="0.2">
      <c r="A412" s="84"/>
      <c r="B412" s="84"/>
      <c r="C412" s="60"/>
      <c r="D412" s="66"/>
      <c r="E412" s="66"/>
      <c r="F412" s="66"/>
      <c r="G412" s="66"/>
      <c r="H412" s="66"/>
      <c r="I412" s="66"/>
      <c r="J412" s="66"/>
      <c r="K412" s="66"/>
      <c r="L412" s="66"/>
      <c r="M412" s="66"/>
      <c r="N412" s="66"/>
    </row>
    <row r="413" spans="1:14" x14ac:dyDescent="0.2">
      <c r="A413" s="84"/>
      <c r="B413" s="84"/>
      <c r="C413" s="60"/>
      <c r="D413" s="66"/>
      <c r="E413" s="66"/>
      <c r="F413" s="66"/>
      <c r="G413" s="66"/>
      <c r="H413" s="66"/>
      <c r="I413" s="66"/>
      <c r="J413" s="66"/>
      <c r="K413" s="66"/>
      <c r="L413" s="66"/>
      <c r="M413" s="66"/>
      <c r="N413" s="66"/>
    </row>
    <row r="414" spans="1:14" x14ac:dyDescent="0.2">
      <c r="A414" s="84"/>
      <c r="B414" s="84"/>
      <c r="C414" s="60"/>
      <c r="D414" s="66"/>
      <c r="E414" s="66"/>
      <c r="F414" s="66"/>
      <c r="G414" s="66"/>
      <c r="H414" s="66"/>
      <c r="I414" s="66"/>
      <c r="J414" s="66"/>
      <c r="K414" s="66"/>
      <c r="L414" s="66"/>
      <c r="M414" s="66"/>
      <c r="N414" s="66"/>
    </row>
    <row r="415" spans="1:14" x14ac:dyDescent="0.2">
      <c r="A415" s="84"/>
      <c r="B415" s="84"/>
      <c r="C415" s="60"/>
      <c r="D415" s="66"/>
      <c r="E415" s="66"/>
      <c r="F415" s="66"/>
      <c r="G415" s="66"/>
      <c r="H415" s="66"/>
      <c r="I415" s="66"/>
      <c r="J415" s="66"/>
      <c r="K415" s="66"/>
      <c r="L415" s="66"/>
      <c r="M415" s="66"/>
      <c r="N415" s="66"/>
    </row>
    <row r="416" spans="1:14" x14ac:dyDescent="0.2">
      <c r="A416" s="84"/>
      <c r="B416" s="84"/>
      <c r="C416" s="60"/>
      <c r="D416" s="66"/>
      <c r="E416" s="66"/>
      <c r="F416" s="66"/>
      <c r="G416" s="66"/>
      <c r="H416" s="66"/>
      <c r="I416" s="66"/>
      <c r="J416" s="66"/>
      <c r="K416" s="66"/>
      <c r="L416" s="66"/>
      <c r="M416" s="66"/>
      <c r="N416" s="66"/>
    </row>
    <row r="417" spans="1:14" x14ac:dyDescent="0.2">
      <c r="A417" s="84"/>
      <c r="B417" s="84"/>
      <c r="C417" s="60"/>
      <c r="D417" s="66"/>
      <c r="E417" s="66"/>
      <c r="F417" s="66"/>
      <c r="G417" s="66"/>
      <c r="H417" s="66"/>
      <c r="I417" s="66"/>
      <c r="J417" s="66"/>
      <c r="K417" s="66"/>
      <c r="L417" s="66"/>
      <c r="M417" s="66"/>
      <c r="N417" s="66"/>
    </row>
    <row r="418" spans="1:14" x14ac:dyDescent="0.2">
      <c r="A418" s="84"/>
      <c r="B418" s="84"/>
      <c r="C418" s="60"/>
      <c r="D418" s="66"/>
      <c r="E418" s="66"/>
      <c r="F418" s="66"/>
      <c r="G418" s="66"/>
      <c r="H418" s="66"/>
      <c r="I418" s="66"/>
      <c r="J418" s="66"/>
      <c r="K418" s="66"/>
      <c r="L418" s="66"/>
      <c r="M418" s="66"/>
      <c r="N418" s="66"/>
    </row>
    <row r="419" spans="1:14" x14ac:dyDescent="0.2">
      <c r="A419" s="84"/>
      <c r="B419" s="84"/>
      <c r="C419" s="60"/>
      <c r="D419" s="66"/>
      <c r="E419" s="66"/>
      <c r="F419" s="66"/>
      <c r="G419" s="66"/>
      <c r="H419" s="66"/>
      <c r="I419" s="66"/>
      <c r="J419" s="66"/>
      <c r="K419" s="66"/>
      <c r="L419" s="66"/>
      <c r="M419" s="66"/>
      <c r="N419" s="66"/>
    </row>
    <row r="420" spans="1:14" x14ac:dyDescent="0.2">
      <c r="A420" s="84"/>
      <c r="B420" s="84"/>
      <c r="C420" s="60"/>
      <c r="D420" s="66"/>
      <c r="E420" s="66"/>
      <c r="F420" s="66"/>
      <c r="G420" s="66"/>
      <c r="H420" s="66"/>
      <c r="I420" s="66"/>
      <c r="J420" s="66"/>
      <c r="K420" s="66"/>
      <c r="L420" s="66"/>
      <c r="M420" s="66"/>
      <c r="N420" s="66"/>
    </row>
    <row r="421" spans="1:14" x14ac:dyDescent="0.2">
      <c r="A421" s="84"/>
      <c r="B421" s="84"/>
      <c r="C421" s="60"/>
      <c r="D421" s="66"/>
      <c r="E421" s="66"/>
      <c r="F421" s="66"/>
      <c r="G421" s="66"/>
      <c r="H421" s="66"/>
      <c r="I421" s="66"/>
      <c r="J421" s="66"/>
      <c r="K421" s="66"/>
      <c r="L421" s="66"/>
      <c r="M421" s="66"/>
      <c r="N421" s="66"/>
    </row>
    <row r="422" spans="1:14" x14ac:dyDescent="0.2">
      <c r="A422" s="84"/>
      <c r="B422" s="84"/>
      <c r="C422" s="60"/>
      <c r="D422" s="66"/>
      <c r="E422" s="66"/>
      <c r="F422" s="66"/>
      <c r="G422" s="66"/>
      <c r="H422" s="66"/>
      <c r="I422" s="66"/>
      <c r="J422" s="66"/>
      <c r="K422" s="66"/>
      <c r="L422" s="66"/>
      <c r="M422" s="66"/>
      <c r="N422" s="66"/>
    </row>
    <row r="423" spans="1:14" x14ac:dyDescent="0.2">
      <c r="A423" s="84"/>
      <c r="B423" s="84"/>
      <c r="C423" s="60"/>
      <c r="D423" s="66"/>
      <c r="E423" s="66"/>
      <c r="F423" s="66"/>
      <c r="G423" s="66"/>
      <c r="H423" s="66"/>
      <c r="I423" s="66"/>
      <c r="J423" s="66"/>
      <c r="K423" s="66"/>
      <c r="L423" s="66"/>
      <c r="M423" s="66"/>
      <c r="N423" s="66"/>
    </row>
    <row r="424" spans="1:14" x14ac:dyDescent="0.2">
      <c r="A424" s="84"/>
      <c r="B424" s="84"/>
      <c r="C424" s="60"/>
      <c r="D424" s="66"/>
      <c r="E424" s="66"/>
      <c r="F424" s="66"/>
      <c r="G424" s="66"/>
      <c r="H424" s="66"/>
      <c r="I424" s="66"/>
      <c r="J424" s="66"/>
      <c r="K424" s="66"/>
      <c r="L424" s="66"/>
      <c r="M424" s="66"/>
      <c r="N424" s="66"/>
    </row>
    <row r="425" spans="1:14" x14ac:dyDescent="0.2">
      <c r="A425" s="84"/>
      <c r="B425" s="84"/>
      <c r="C425" s="60"/>
      <c r="D425" s="66"/>
      <c r="E425" s="66"/>
      <c r="F425" s="66"/>
      <c r="G425" s="66"/>
      <c r="H425" s="66"/>
      <c r="I425" s="66"/>
      <c r="J425" s="66"/>
      <c r="K425" s="66"/>
      <c r="L425" s="66"/>
      <c r="M425" s="66"/>
      <c r="N425" s="66"/>
    </row>
    <row r="426" spans="1:14" x14ac:dyDescent="0.2">
      <c r="A426" s="84"/>
      <c r="B426" s="84"/>
      <c r="C426" s="60"/>
      <c r="D426" s="66"/>
      <c r="E426" s="66"/>
      <c r="F426" s="66"/>
      <c r="G426" s="66"/>
      <c r="H426" s="66"/>
      <c r="I426" s="66"/>
      <c r="J426" s="66"/>
      <c r="K426" s="66"/>
      <c r="L426" s="66"/>
      <c r="M426" s="66"/>
      <c r="N426" s="66"/>
    </row>
    <row r="427" spans="1:14" x14ac:dyDescent="0.2">
      <c r="A427" s="84"/>
      <c r="B427" s="84"/>
      <c r="C427" s="60"/>
      <c r="D427" s="66"/>
      <c r="E427" s="66"/>
      <c r="F427" s="66"/>
      <c r="G427" s="66"/>
      <c r="H427" s="66"/>
      <c r="I427" s="66"/>
      <c r="J427" s="66"/>
      <c r="K427" s="66"/>
      <c r="L427" s="66"/>
      <c r="M427" s="66"/>
      <c r="N427" s="66"/>
    </row>
    <row r="428" spans="1:14" x14ac:dyDescent="0.2">
      <c r="A428" s="84"/>
      <c r="B428" s="84"/>
      <c r="C428" s="60"/>
      <c r="D428" s="66"/>
      <c r="E428" s="66"/>
      <c r="F428" s="66"/>
      <c r="G428" s="66"/>
      <c r="H428" s="66"/>
      <c r="I428" s="66"/>
      <c r="J428" s="66"/>
      <c r="K428" s="66"/>
      <c r="L428" s="66"/>
      <c r="M428" s="66"/>
      <c r="N428" s="66"/>
    </row>
    <row r="429" spans="1:14" x14ac:dyDescent="0.2">
      <c r="A429" s="84"/>
      <c r="B429" s="84"/>
      <c r="C429" s="60"/>
      <c r="D429" s="66"/>
      <c r="E429" s="66"/>
      <c r="F429" s="66"/>
      <c r="G429" s="66"/>
      <c r="H429" s="66"/>
      <c r="I429" s="66"/>
      <c r="J429" s="66"/>
      <c r="K429" s="66"/>
      <c r="L429" s="66"/>
      <c r="M429" s="66"/>
      <c r="N429" s="66"/>
    </row>
    <row r="430" spans="1:14" x14ac:dyDescent="0.2">
      <c r="A430" s="84"/>
      <c r="B430" s="84"/>
      <c r="C430" s="60"/>
      <c r="D430" s="66"/>
      <c r="E430" s="66"/>
      <c r="F430" s="66"/>
      <c r="G430" s="66"/>
      <c r="H430" s="66"/>
      <c r="I430" s="66"/>
      <c r="J430" s="66"/>
      <c r="K430" s="66"/>
      <c r="L430" s="66"/>
      <c r="M430" s="66"/>
      <c r="N430" s="66"/>
    </row>
    <row r="431" spans="1:14" x14ac:dyDescent="0.2">
      <c r="A431" s="84"/>
      <c r="B431" s="84"/>
      <c r="C431" s="60"/>
      <c r="D431" s="66"/>
      <c r="E431" s="66"/>
      <c r="F431" s="66"/>
      <c r="G431" s="66"/>
      <c r="H431" s="66"/>
      <c r="I431" s="66"/>
      <c r="J431" s="66"/>
      <c r="K431" s="66"/>
      <c r="L431" s="66"/>
      <c r="M431" s="66"/>
      <c r="N431" s="66"/>
    </row>
    <row r="432" spans="1:14" x14ac:dyDescent="0.2">
      <c r="A432" s="84"/>
      <c r="B432" s="84"/>
      <c r="C432" s="60"/>
      <c r="D432" s="66"/>
      <c r="E432" s="66"/>
      <c r="F432" s="66"/>
      <c r="G432" s="66"/>
      <c r="H432" s="66"/>
      <c r="I432" s="66"/>
      <c r="J432" s="66"/>
      <c r="K432" s="66"/>
      <c r="L432" s="66"/>
      <c r="M432" s="66"/>
      <c r="N432" s="66"/>
    </row>
    <row r="433" spans="1:14" x14ac:dyDescent="0.2">
      <c r="A433" s="84"/>
      <c r="B433" s="84"/>
      <c r="C433" s="60"/>
      <c r="D433" s="66"/>
      <c r="E433" s="66"/>
      <c r="F433" s="66"/>
      <c r="G433" s="66"/>
      <c r="H433" s="66"/>
      <c r="I433" s="66"/>
      <c r="J433" s="66"/>
      <c r="K433" s="66"/>
      <c r="L433" s="66"/>
      <c r="M433" s="66"/>
      <c r="N433" s="66"/>
    </row>
    <row r="434" spans="1:14" x14ac:dyDescent="0.2">
      <c r="A434" s="84"/>
      <c r="B434" s="84"/>
      <c r="C434" s="60"/>
      <c r="D434" s="66"/>
      <c r="E434" s="66"/>
      <c r="F434" s="66"/>
      <c r="G434" s="66"/>
      <c r="H434" s="66"/>
      <c r="I434" s="66"/>
      <c r="J434" s="66"/>
      <c r="K434" s="66"/>
      <c r="L434" s="66"/>
      <c r="M434" s="66"/>
      <c r="N434" s="66"/>
    </row>
    <row r="435" spans="1:14" x14ac:dyDescent="0.2">
      <c r="A435" s="84"/>
      <c r="B435" s="84"/>
      <c r="C435" s="60"/>
      <c r="D435" s="66"/>
      <c r="E435" s="66"/>
      <c r="F435" s="66"/>
      <c r="G435" s="66"/>
      <c r="H435" s="66"/>
      <c r="I435" s="66"/>
      <c r="J435" s="66"/>
      <c r="K435" s="66"/>
      <c r="L435" s="66"/>
      <c r="M435" s="66"/>
      <c r="N435" s="66"/>
    </row>
    <row r="436" spans="1:14" x14ac:dyDescent="0.2">
      <c r="A436" s="84"/>
      <c r="B436" s="84"/>
      <c r="C436" s="60"/>
      <c r="D436" s="66"/>
      <c r="E436" s="66"/>
      <c r="F436" s="66"/>
      <c r="G436" s="66"/>
      <c r="H436" s="66"/>
      <c r="I436" s="66"/>
      <c r="J436" s="66"/>
      <c r="K436" s="66"/>
      <c r="L436" s="66"/>
      <c r="M436" s="66"/>
      <c r="N436" s="66"/>
    </row>
    <row r="437" spans="1:14" x14ac:dyDescent="0.2">
      <c r="A437" s="84"/>
      <c r="B437" s="84"/>
      <c r="C437" s="60"/>
      <c r="D437" s="66"/>
      <c r="E437" s="66"/>
      <c r="F437" s="66"/>
      <c r="G437" s="66"/>
      <c r="H437" s="66"/>
      <c r="I437" s="66"/>
      <c r="J437" s="66"/>
      <c r="K437" s="66"/>
      <c r="L437" s="66"/>
      <c r="M437" s="66"/>
      <c r="N437" s="66"/>
    </row>
    <row r="438" spans="1:14" x14ac:dyDescent="0.2">
      <c r="A438" s="84"/>
      <c r="B438" s="84"/>
      <c r="C438" s="60"/>
      <c r="D438" s="66"/>
      <c r="E438" s="66"/>
      <c r="F438" s="66"/>
      <c r="G438" s="66"/>
      <c r="H438" s="66"/>
      <c r="I438" s="66"/>
      <c r="J438" s="66"/>
      <c r="K438" s="66"/>
      <c r="L438" s="66"/>
      <c r="M438" s="66"/>
      <c r="N438" s="66"/>
    </row>
    <row r="439" spans="1:14" x14ac:dyDescent="0.2">
      <c r="A439" s="84"/>
      <c r="B439" s="84"/>
      <c r="C439" s="60"/>
      <c r="D439" s="66"/>
      <c r="E439" s="66"/>
      <c r="F439" s="66"/>
      <c r="G439" s="66"/>
      <c r="H439" s="66"/>
      <c r="I439" s="66"/>
      <c r="J439" s="66"/>
      <c r="K439" s="66"/>
      <c r="L439" s="66"/>
      <c r="M439" s="66"/>
      <c r="N439" s="66"/>
    </row>
    <row r="440" spans="1:14" x14ac:dyDescent="0.2">
      <c r="A440" s="84"/>
      <c r="B440" s="84"/>
      <c r="C440" s="60"/>
      <c r="D440" s="66"/>
      <c r="E440" s="66"/>
      <c r="F440" s="66"/>
      <c r="G440" s="66"/>
      <c r="H440" s="66"/>
      <c r="I440" s="66"/>
      <c r="J440" s="66"/>
      <c r="K440" s="66"/>
      <c r="L440" s="66"/>
      <c r="M440" s="66"/>
      <c r="N440" s="66"/>
    </row>
    <row r="441" spans="1:14" x14ac:dyDescent="0.2">
      <c r="A441" s="84"/>
      <c r="B441" s="84"/>
      <c r="C441" s="60"/>
      <c r="D441" s="66"/>
      <c r="E441" s="66"/>
      <c r="F441" s="66"/>
      <c r="G441" s="66"/>
      <c r="H441" s="66"/>
      <c r="I441" s="66"/>
      <c r="J441" s="66"/>
      <c r="K441" s="66"/>
      <c r="L441" s="66"/>
      <c r="M441" s="66"/>
      <c r="N441" s="66"/>
    </row>
    <row r="442" spans="1:14" x14ac:dyDescent="0.2">
      <c r="A442" s="84"/>
      <c r="B442" s="84"/>
      <c r="C442" s="60"/>
      <c r="D442" s="66"/>
      <c r="E442" s="66"/>
      <c r="F442" s="66"/>
      <c r="G442" s="66"/>
      <c r="H442" s="66"/>
      <c r="I442" s="66"/>
      <c r="J442" s="66"/>
      <c r="K442" s="66"/>
      <c r="L442" s="66"/>
      <c r="M442" s="66"/>
      <c r="N442" s="66"/>
    </row>
    <row r="443" spans="1:14" x14ac:dyDescent="0.2">
      <c r="A443" s="84"/>
      <c r="B443" s="84"/>
      <c r="C443" s="60"/>
      <c r="D443" s="66"/>
      <c r="E443" s="66"/>
      <c r="F443" s="66"/>
      <c r="G443" s="66"/>
      <c r="H443" s="66"/>
      <c r="I443" s="66"/>
      <c r="J443" s="66"/>
      <c r="K443" s="66"/>
      <c r="L443" s="66"/>
      <c r="M443" s="66"/>
      <c r="N443" s="66"/>
    </row>
    <row r="444" spans="1:14" x14ac:dyDescent="0.2">
      <c r="A444" s="84"/>
      <c r="B444" s="84"/>
      <c r="C444" s="60"/>
      <c r="D444" s="66"/>
      <c r="E444" s="66"/>
      <c r="F444" s="66"/>
      <c r="G444" s="66"/>
      <c r="H444" s="66"/>
      <c r="I444" s="66"/>
      <c r="J444" s="66"/>
      <c r="K444" s="66"/>
      <c r="L444" s="66"/>
      <c r="M444" s="66"/>
      <c r="N444" s="66"/>
    </row>
    <row r="445" spans="1:14" x14ac:dyDescent="0.2">
      <c r="A445" s="84"/>
      <c r="B445" s="84"/>
      <c r="C445" s="60"/>
      <c r="D445" s="66"/>
      <c r="E445" s="66"/>
      <c r="F445" s="66"/>
      <c r="G445" s="66"/>
      <c r="H445" s="66"/>
      <c r="I445" s="66"/>
      <c r="J445" s="66"/>
      <c r="K445" s="66"/>
      <c r="L445" s="66"/>
      <c r="M445" s="66"/>
      <c r="N445" s="66"/>
    </row>
    <row r="446" spans="1:14" x14ac:dyDescent="0.2">
      <c r="A446" s="84"/>
      <c r="B446" s="84"/>
      <c r="C446" s="60"/>
      <c r="D446" s="66"/>
      <c r="E446" s="66"/>
      <c r="F446" s="66"/>
      <c r="G446" s="66"/>
      <c r="H446" s="66"/>
      <c r="I446" s="66"/>
      <c r="J446" s="66"/>
      <c r="K446" s="66"/>
      <c r="L446" s="66"/>
      <c r="M446" s="66"/>
      <c r="N446" s="66"/>
    </row>
    <row r="447" spans="1:14" x14ac:dyDescent="0.2">
      <c r="A447" s="84"/>
      <c r="B447" s="84"/>
      <c r="C447" s="60"/>
      <c r="D447" s="66"/>
      <c r="E447" s="66"/>
      <c r="F447" s="66"/>
      <c r="G447" s="66"/>
      <c r="H447" s="66"/>
      <c r="I447" s="66"/>
      <c r="J447" s="66"/>
      <c r="K447" s="66"/>
      <c r="L447" s="66"/>
      <c r="M447" s="66"/>
      <c r="N447" s="66"/>
    </row>
    <row r="448" spans="1:14" x14ac:dyDescent="0.2">
      <c r="A448" s="84"/>
      <c r="B448" s="84"/>
      <c r="C448" s="60"/>
      <c r="D448" s="66"/>
      <c r="E448" s="66"/>
      <c r="F448" s="66"/>
      <c r="G448" s="66"/>
      <c r="H448" s="66"/>
      <c r="I448" s="66"/>
      <c r="J448" s="66"/>
      <c r="K448" s="66"/>
      <c r="L448" s="66"/>
      <c r="M448" s="66"/>
      <c r="N448" s="66"/>
    </row>
    <row r="449" spans="1:14" x14ac:dyDescent="0.2">
      <c r="A449" s="84"/>
      <c r="B449" s="84"/>
      <c r="C449" s="60"/>
      <c r="D449" s="66"/>
      <c r="E449" s="66"/>
      <c r="F449" s="66"/>
      <c r="G449" s="66"/>
      <c r="H449" s="66"/>
      <c r="I449" s="66"/>
      <c r="J449" s="66"/>
      <c r="K449" s="66"/>
      <c r="L449" s="66"/>
      <c r="M449" s="66"/>
      <c r="N449" s="66"/>
    </row>
    <row r="450" spans="1:14" x14ac:dyDescent="0.2">
      <c r="A450" s="84"/>
      <c r="B450" s="84"/>
      <c r="C450" s="60"/>
      <c r="D450" s="66"/>
      <c r="E450" s="66"/>
      <c r="F450" s="66"/>
      <c r="G450" s="66"/>
      <c r="H450" s="66"/>
      <c r="I450" s="66"/>
      <c r="J450" s="66"/>
      <c r="K450" s="66"/>
      <c r="L450" s="66"/>
      <c r="M450" s="66"/>
      <c r="N450" s="66"/>
    </row>
    <row r="451" spans="1:14" x14ac:dyDescent="0.2">
      <c r="A451" s="84"/>
      <c r="B451" s="84"/>
      <c r="C451" s="60"/>
      <c r="D451" s="66"/>
      <c r="E451" s="66"/>
      <c r="F451" s="66"/>
      <c r="G451" s="66"/>
      <c r="H451" s="66"/>
      <c r="I451" s="66"/>
      <c r="J451" s="66"/>
      <c r="K451" s="66"/>
      <c r="L451" s="66"/>
      <c r="M451" s="66"/>
      <c r="N451" s="66"/>
    </row>
    <row r="452" spans="1:14" x14ac:dyDescent="0.2">
      <c r="A452" s="84"/>
      <c r="B452" s="84"/>
      <c r="C452" s="60"/>
      <c r="D452" s="66"/>
      <c r="E452" s="66"/>
      <c r="F452" s="66"/>
      <c r="G452" s="66"/>
      <c r="H452" s="66"/>
      <c r="I452" s="66"/>
      <c r="J452" s="66"/>
      <c r="K452" s="66"/>
      <c r="L452" s="66"/>
      <c r="M452" s="66"/>
      <c r="N452" s="66"/>
    </row>
    <row r="453" spans="1:14" x14ac:dyDescent="0.2">
      <c r="A453" s="84"/>
      <c r="B453" s="84"/>
      <c r="C453" s="60"/>
      <c r="D453" s="66"/>
      <c r="E453" s="66"/>
      <c r="F453" s="66"/>
      <c r="G453" s="66"/>
      <c r="H453" s="66"/>
      <c r="I453" s="66"/>
      <c r="J453" s="66"/>
      <c r="K453" s="66"/>
      <c r="L453" s="66"/>
      <c r="M453" s="66"/>
      <c r="N453" s="66"/>
    </row>
    <row r="454" spans="1:14" x14ac:dyDescent="0.2">
      <c r="A454" s="84"/>
      <c r="B454" s="84"/>
      <c r="C454" s="60"/>
      <c r="D454" s="66"/>
      <c r="E454" s="66"/>
      <c r="F454" s="66"/>
      <c r="G454" s="66"/>
      <c r="H454" s="66"/>
      <c r="I454" s="66"/>
      <c r="J454" s="66"/>
      <c r="K454" s="66"/>
      <c r="L454" s="66"/>
      <c r="M454" s="66"/>
      <c r="N454" s="66"/>
    </row>
    <row r="455" spans="1:14" x14ac:dyDescent="0.2">
      <c r="A455" s="84"/>
      <c r="B455" s="84"/>
      <c r="C455" s="60"/>
      <c r="D455" s="66"/>
      <c r="E455" s="66"/>
      <c r="F455" s="66"/>
      <c r="G455" s="66"/>
      <c r="H455" s="66"/>
      <c r="I455" s="66"/>
      <c r="J455" s="66"/>
      <c r="K455" s="66"/>
      <c r="L455" s="66"/>
      <c r="M455" s="66"/>
      <c r="N455" s="66"/>
    </row>
    <row r="456" spans="1:14" x14ac:dyDescent="0.2">
      <c r="A456" s="84"/>
      <c r="B456" s="84"/>
      <c r="C456" s="60"/>
      <c r="D456" s="66"/>
      <c r="E456" s="66"/>
      <c r="F456" s="66"/>
      <c r="G456" s="66"/>
      <c r="H456" s="66"/>
      <c r="I456" s="66"/>
      <c r="J456" s="66"/>
      <c r="K456" s="66"/>
      <c r="L456" s="66"/>
      <c r="M456" s="66"/>
      <c r="N456" s="66"/>
    </row>
    <row r="457" spans="1:14" x14ac:dyDescent="0.2">
      <c r="A457" s="84"/>
      <c r="B457" s="84"/>
      <c r="C457" s="60"/>
      <c r="D457" s="66"/>
      <c r="E457" s="66"/>
      <c r="F457" s="66"/>
      <c r="G457" s="66"/>
      <c r="H457" s="66"/>
      <c r="I457" s="66"/>
      <c r="J457" s="66"/>
      <c r="K457" s="66"/>
      <c r="L457" s="66"/>
      <c r="M457" s="66"/>
      <c r="N457" s="66"/>
    </row>
    <row r="458" spans="1:14" x14ac:dyDescent="0.2">
      <c r="A458" s="84"/>
      <c r="B458" s="84"/>
      <c r="C458" s="60"/>
      <c r="D458" s="66"/>
      <c r="E458" s="66"/>
      <c r="F458" s="66"/>
      <c r="G458" s="66"/>
      <c r="H458" s="66"/>
      <c r="I458" s="66"/>
      <c r="J458" s="66"/>
      <c r="K458" s="66"/>
      <c r="L458" s="66"/>
      <c r="M458" s="66"/>
      <c r="N458" s="66"/>
    </row>
    <row r="459" spans="1:14" x14ac:dyDescent="0.2">
      <c r="A459" s="84"/>
      <c r="B459" s="84"/>
      <c r="C459" s="60"/>
      <c r="D459" s="66"/>
      <c r="E459" s="66"/>
      <c r="F459" s="66"/>
      <c r="G459" s="66"/>
      <c r="H459" s="66"/>
      <c r="I459" s="66"/>
      <c r="J459" s="66"/>
      <c r="K459" s="66"/>
      <c r="L459" s="66"/>
      <c r="M459" s="66"/>
      <c r="N459" s="66"/>
    </row>
    <row r="460" spans="1:14" x14ac:dyDescent="0.2">
      <c r="A460" s="84"/>
      <c r="B460" s="84"/>
      <c r="C460" s="60"/>
      <c r="D460" s="66"/>
      <c r="E460" s="66"/>
      <c r="F460" s="66"/>
      <c r="G460" s="66"/>
      <c r="H460" s="66"/>
      <c r="I460" s="66"/>
      <c r="J460" s="66"/>
      <c r="K460" s="66"/>
      <c r="L460" s="66"/>
      <c r="M460" s="66"/>
      <c r="N460" s="66"/>
    </row>
    <row r="461" spans="1:14" x14ac:dyDescent="0.2">
      <c r="A461" s="84"/>
      <c r="B461" s="84"/>
      <c r="C461" s="60"/>
      <c r="D461" s="66"/>
      <c r="E461" s="66"/>
      <c r="F461" s="66"/>
      <c r="G461" s="66"/>
      <c r="H461" s="66"/>
      <c r="I461" s="66"/>
      <c r="J461" s="66"/>
      <c r="K461" s="66"/>
      <c r="L461" s="66"/>
      <c r="M461" s="66"/>
      <c r="N461" s="66"/>
    </row>
    <row r="462" spans="1:14" x14ac:dyDescent="0.2">
      <c r="A462" s="84"/>
      <c r="B462" s="84"/>
      <c r="C462" s="60"/>
      <c r="D462" s="66"/>
      <c r="E462" s="66"/>
      <c r="F462" s="66"/>
      <c r="G462" s="66"/>
      <c r="H462" s="66"/>
      <c r="I462" s="66"/>
      <c r="J462" s="66"/>
      <c r="K462" s="66"/>
      <c r="L462" s="66"/>
      <c r="M462" s="66"/>
      <c r="N462" s="66"/>
    </row>
    <row r="463" spans="1:14" x14ac:dyDescent="0.2">
      <c r="A463" s="84"/>
      <c r="B463" s="84"/>
      <c r="C463" s="60"/>
      <c r="D463" s="66"/>
      <c r="E463" s="66"/>
      <c r="F463" s="66"/>
      <c r="G463" s="66"/>
      <c r="H463" s="66"/>
      <c r="I463" s="66"/>
      <c r="J463" s="66"/>
      <c r="K463" s="66"/>
      <c r="L463" s="66"/>
      <c r="M463" s="66"/>
      <c r="N463" s="66"/>
    </row>
    <row r="464" spans="1:14" x14ac:dyDescent="0.2">
      <c r="A464" s="84"/>
      <c r="B464" s="84"/>
      <c r="C464" s="60"/>
      <c r="D464" s="66"/>
      <c r="E464" s="66"/>
      <c r="F464" s="66"/>
      <c r="G464" s="66"/>
      <c r="H464" s="66"/>
      <c r="I464" s="66"/>
      <c r="J464" s="66"/>
      <c r="K464" s="66"/>
      <c r="L464" s="66"/>
      <c r="M464" s="66"/>
      <c r="N464" s="66"/>
    </row>
    <row r="465" spans="1:14" x14ac:dyDescent="0.2">
      <c r="A465" s="84"/>
      <c r="B465" s="84"/>
      <c r="C465" s="60"/>
      <c r="D465" s="66"/>
      <c r="E465" s="66"/>
      <c r="F465" s="66"/>
      <c r="G465" s="66"/>
      <c r="H465" s="66"/>
      <c r="I465" s="66"/>
      <c r="J465" s="66"/>
      <c r="K465" s="66"/>
      <c r="L465" s="66"/>
      <c r="M465" s="66"/>
      <c r="N465" s="66"/>
    </row>
    <row r="466" spans="1:14" x14ac:dyDescent="0.2">
      <c r="A466" s="84"/>
      <c r="B466" s="84"/>
      <c r="C466" s="60"/>
      <c r="D466" s="66"/>
      <c r="E466" s="66"/>
      <c r="F466" s="66"/>
      <c r="G466" s="66"/>
      <c r="H466" s="66"/>
      <c r="I466" s="66"/>
      <c r="J466" s="66"/>
      <c r="K466" s="66"/>
      <c r="L466" s="66"/>
      <c r="M466" s="66"/>
      <c r="N466" s="66"/>
    </row>
    <row r="467" spans="1:14" x14ac:dyDescent="0.2">
      <c r="A467" s="84"/>
      <c r="B467" s="84"/>
      <c r="C467" s="60"/>
      <c r="D467" s="66"/>
      <c r="E467" s="66"/>
      <c r="F467" s="66"/>
      <c r="G467" s="66"/>
      <c r="H467" s="66"/>
      <c r="I467" s="66"/>
      <c r="J467" s="66"/>
      <c r="K467" s="66"/>
      <c r="L467" s="66"/>
      <c r="M467" s="66"/>
      <c r="N467" s="66"/>
    </row>
    <row r="468" spans="1:14" x14ac:dyDescent="0.2">
      <c r="A468" s="84"/>
      <c r="B468" s="84"/>
      <c r="C468" s="60"/>
      <c r="D468" s="66"/>
      <c r="E468" s="66"/>
      <c r="F468" s="66"/>
      <c r="G468" s="66"/>
      <c r="H468" s="66"/>
      <c r="I468" s="66"/>
      <c r="J468" s="66"/>
      <c r="K468" s="66"/>
      <c r="L468" s="66"/>
      <c r="M468" s="66"/>
      <c r="N468" s="66"/>
    </row>
    <row r="469" spans="1:14" x14ac:dyDescent="0.2">
      <c r="A469" s="84"/>
      <c r="B469" s="84"/>
      <c r="C469" s="60"/>
      <c r="D469" s="66"/>
      <c r="E469" s="66"/>
      <c r="F469" s="66"/>
      <c r="G469" s="66"/>
      <c r="H469" s="66"/>
      <c r="I469" s="66"/>
      <c r="J469" s="66"/>
      <c r="K469" s="66"/>
      <c r="L469" s="66"/>
      <c r="M469" s="66"/>
      <c r="N469" s="66"/>
    </row>
    <row r="470" spans="1:14" x14ac:dyDescent="0.2">
      <c r="A470" s="84"/>
      <c r="B470" s="84"/>
      <c r="C470" s="60"/>
      <c r="D470" s="66"/>
      <c r="E470" s="66"/>
      <c r="F470" s="66"/>
      <c r="G470" s="66"/>
      <c r="H470" s="66"/>
      <c r="I470" s="66"/>
      <c r="J470" s="66"/>
      <c r="K470" s="66"/>
      <c r="L470" s="66"/>
      <c r="M470" s="66"/>
      <c r="N470" s="66"/>
    </row>
    <row r="471" spans="1:14" x14ac:dyDescent="0.2">
      <c r="A471" s="84"/>
      <c r="B471" s="84"/>
      <c r="C471" s="60"/>
      <c r="D471" s="66"/>
      <c r="E471" s="66"/>
      <c r="F471" s="66"/>
      <c r="G471" s="66"/>
      <c r="H471" s="66"/>
      <c r="I471" s="66"/>
      <c r="J471" s="66"/>
      <c r="K471" s="66"/>
      <c r="L471" s="66"/>
      <c r="M471" s="66"/>
      <c r="N471" s="66"/>
    </row>
    <row r="472" spans="1:14" x14ac:dyDescent="0.2">
      <c r="A472" s="84"/>
      <c r="B472" s="84"/>
      <c r="C472" s="60"/>
      <c r="D472" s="66"/>
      <c r="E472" s="66"/>
      <c r="F472" s="66"/>
      <c r="G472" s="66"/>
      <c r="H472" s="66"/>
      <c r="I472" s="66"/>
      <c r="J472" s="66"/>
      <c r="K472" s="66"/>
      <c r="L472" s="66"/>
      <c r="M472" s="66"/>
      <c r="N472" s="66"/>
    </row>
    <row r="473" spans="1:14" x14ac:dyDescent="0.2">
      <c r="A473" s="84"/>
      <c r="B473" s="84"/>
      <c r="C473" s="60"/>
      <c r="D473" s="66"/>
      <c r="E473" s="66"/>
      <c r="F473" s="66"/>
      <c r="G473" s="66"/>
      <c r="H473" s="66"/>
      <c r="I473" s="66"/>
      <c r="J473" s="66"/>
      <c r="K473" s="66"/>
      <c r="L473" s="66"/>
      <c r="M473" s="66"/>
      <c r="N473" s="66"/>
    </row>
    <row r="474" spans="1:14" x14ac:dyDescent="0.2">
      <c r="A474" s="84"/>
      <c r="B474" s="84"/>
      <c r="C474" s="60"/>
      <c r="D474" s="66"/>
      <c r="E474" s="66"/>
      <c r="F474" s="66"/>
      <c r="G474" s="66"/>
      <c r="H474" s="66"/>
      <c r="I474" s="66"/>
      <c r="J474" s="66"/>
      <c r="K474" s="66"/>
      <c r="L474" s="66"/>
      <c r="M474" s="66"/>
      <c r="N474" s="66"/>
    </row>
    <row r="475" spans="1:14" x14ac:dyDescent="0.2">
      <c r="A475" s="84"/>
      <c r="B475" s="84"/>
      <c r="C475" s="60"/>
      <c r="D475" s="66"/>
      <c r="E475" s="66"/>
      <c r="F475" s="66"/>
      <c r="G475" s="66"/>
      <c r="H475" s="66"/>
      <c r="I475" s="66"/>
      <c r="J475" s="66"/>
      <c r="K475" s="66"/>
      <c r="L475" s="66"/>
      <c r="M475" s="66"/>
      <c r="N475" s="66"/>
    </row>
    <row r="476" spans="1:14" x14ac:dyDescent="0.2">
      <c r="A476" s="84"/>
      <c r="B476" s="84"/>
      <c r="C476" s="60"/>
      <c r="D476" s="66"/>
      <c r="E476" s="66"/>
      <c r="F476" s="66"/>
      <c r="G476" s="66"/>
      <c r="H476" s="66"/>
      <c r="I476" s="66"/>
      <c r="J476" s="66"/>
      <c r="K476" s="66"/>
      <c r="L476" s="66"/>
      <c r="M476" s="66"/>
      <c r="N476" s="66"/>
    </row>
    <row r="477" spans="1:14" x14ac:dyDescent="0.2">
      <c r="A477" s="84"/>
      <c r="B477" s="84"/>
      <c r="C477" s="60"/>
      <c r="D477" s="66"/>
      <c r="E477" s="66"/>
      <c r="F477" s="66"/>
      <c r="G477" s="66"/>
      <c r="H477" s="66"/>
      <c r="I477" s="66"/>
      <c r="J477" s="66"/>
      <c r="K477" s="66"/>
      <c r="L477" s="66"/>
      <c r="M477" s="66"/>
      <c r="N477" s="66"/>
    </row>
    <row r="478" spans="1:14" x14ac:dyDescent="0.2">
      <c r="A478" s="84"/>
      <c r="B478" s="84"/>
      <c r="C478" s="60"/>
      <c r="D478" s="66"/>
      <c r="E478" s="66"/>
      <c r="F478" s="66"/>
      <c r="G478" s="66"/>
      <c r="H478" s="66"/>
      <c r="I478" s="66"/>
      <c r="J478" s="66"/>
      <c r="K478" s="66"/>
      <c r="L478" s="66"/>
      <c r="M478" s="66"/>
      <c r="N478" s="66"/>
    </row>
    <row r="479" spans="1:14" x14ac:dyDescent="0.2">
      <c r="A479" s="84"/>
      <c r="B479" s="84"/>
      <c r="C479" s="60"/>
      <c r="D479" s="66"/>
      <c r="E479" s="66"/>
      <c r="F479" s="66"/>
      <c r="G479" s="66"/>
      <c r="H479" s="66"/>
      <c r="I479" s="66"/>
      <c r="J479" s="66"/>
      <c r="K479" s="66"/>
      <c r="L479" s="66"/>
      <c r="M479" s="66"/>
      <c r="N479" s="66"/>
    </row>
    <row r="480" spans="1:14" x14ac:dyDescent="0.2">
      <c r="A480" s="84"/>
      <c r="B480" s="84"/>
      <c r="C480" s="60"/>
      <c r="D480" s="66"/>
      <c r="E480" s="66"/>
      <c r="F480" s="66"/>
      <c r="G480" s="66"/>
      <c r="H480" s="66"/>
      <c r="I480" s="66"/>
      <c r="J480" s="66"/>
      <c r="K480" s="66"/>
      <c r="L480" s="66"/>
      <c r="M480" s="66"/>
      <c r="N480" s="66"/>
    </row>
    <row r="481" spans="1:14" x14ac:dyDescent="0.2">
      <c r="A481" s="84"/>
      <c r="B481" s="84"/>
      <c r="C481" s="60"/>
      <c r="D481" s="66"/>
      <c r="E481" s="66"/>
      <c r="F481" s="66"/>
      <c r="G481" s="66"/>
      <c r="H481" s="66"/>
      <c r="I481" s="66"/>
      <c r="J481" s="66"/>
      <c r="K481" s="66"/>
      <c r="L481" s="66"/>
      <c r="M481" s="66"/>
      <c r="N481" s="66"/>
    </row>
    <row r="482" spans="1:14" x14ac:dyDescent="0.2">
      <c r="A482" s="84"/>
      <c r="B482" s="84"/>
      <c r="C482" s="60"/>
      <c r="D482" s="66"/>
      <c r="E482" s="66"/>
      <c r="F482" s="66"/>
      <c r="G482" s="66"/>
      <c r="H482" s="66"/>
      <c r="I482" s="66"/>
      <c r="J482" s="66"/>
      <c r="K482" s="66"/>
      <c r="L482" s="66"/>
      <c r="M482" s="66"/>
      <c r="N482" s="66"/>
    </row>
    <row r="483" spans="1:14" x14ac:dyDescent="0.2">
      <c r="A483" s="84"/>
      <c r="B483" s="84"/>
      <c r="C483" s="60"/>
      <c r="D483" s="66"/>
      <c r="E483" s="66"/>
      <c r="F483" s="66"/>
      <c r="G483" s="66"/>
      <c r="H483" s="66"/>
      <c r="I483" s="66"/>
      <c r="J483" s="66"/>
      <c r="K483" s="66"/>
      <c r="L483" s="66"/>
      <c r="M483" s="66"/>
      <c r="N483" s="66"/>
    </row>
    <row r="484" spans="1:14" x14ac:dyDescent="0.2">
      <c r="A484" s="84"/>
      <c r="B484" s="84"/>
      <c r="C484" s="60"/>
      <c r="D484" s="66"/>
      <c r="E484" s="66"/>
      <c r="F484" s="66"/>
      <c r="G484" s="66"/>
      <c r="H484" s="66"/>
      <c r="I484" s="66"/>
      <c r="J484" s="66"/>
      <c r="K484" s="66"/>
      <c r="L484" s="66"/>
      <c r="M484" s="66"/>
      <c r="N484" s="66"/>
    </row>
    <row r="485" spans="1:14" x14ac:dyDescent="0.2">
      <c r="A485" s="84"/>
      <c r="B485" s="84"/>
      <c r="C485" s="60"/>
      <c r="D485" s="66"/>
      <c r="E485" s="66"/>
      <c r="F485" s="66"/>
      <c r="G485" s="66"/>
      <c r="H485" s="66"/>
      <c r="I485" s="66"/>
      <c r="J485" s="66"/>
      <c r="K485" s="66"/>
      <c r="L485" s="66"/>
      <c r="M485" s="66"/>
      <c r="N485" s="66"/>
    </row>
    <row r="486" spans="1:14" x14ac:dyDescent="0.2">
      <c r="A486" s="84"/>
      <c r="B486" s="84"/>
      <c r="C486" s="60"/>
      <c r="D486" s="66"/>
      <c r="E486" s="66"/>
      <c r="F486" s="66"/>
      <c r="G486" s="66"/>
      <c r="H486" s="66"/>
      <c r="I486" s="66"/>
      <c r="J486" s="66"/>
      <c r="K486" s="66"/>
      <c r="L486" s="66"/>
      <c r="M486" s="66"/>
      <c r="N486" s="66"/>
    </row>
    <row r="487" spans="1:14" x14ac:dyDescent="0.2">
      <c r="A487" s="84"/>
      <c r="B487" s="84"/>
      <c r="C487" s="60"/>
      <c r="D487" s="66"/>
      <c r="E487" s="66"/>
      <c r="F487" s="66"/>
      <c r="G487" s="66"/>
      <c r="H487" s="66"/>
      <c r="I487" s="66"/>
      <c r="J487" s="66"/>
      <c r="K487" s="66"/>
      <c r="L487" s="66"/>
      <c r="M487" s="66"/>
      <c r="N487" s="66"/>
    </row>
    <row r="488" spans="1:14" x14ac:dyDescent="0.2">
      <c r="A488" s="84"/>
      <c r="B488" s="84"/>
      <c r="C488" s="60"/>
      <c r="D488" s="66"/>
      <c r="E488" s="66"/>
      <c r="F488" s="66"/>
      <c r="G488" s="66"/>
      <c r="H488" s="66"/>
      <c r="I488" s="66"/>
      <c r="J488" s="66"/>
      <c r="K488" s="66"/>
      <c r="L488" s="66"/>
      <c r="M488" s="66"/>
      <c r="N488" s="66"/>
    </row>
    <row r="489" spans="1:14" x14ac:dyDescent="0.2">
      <c r="A489" s="84"/>
      <c r="B489" s="84"/>
      <c r="C489" s="60"/>
      <c r="D489" s="66"/>
      <c r="E489" s="66"/>
      <c r="F489" s="66"/>
      <c r="G489" s="66"/>
      <c r="H489" s="66"/>
      <c r="I489" s="66"/>
      <c r="J489" s="66"/>
      <c r="K489" s="66"/>
      <c r="L489" s="66"/>
      <c r="M489" s="66"/>
      <c r="N489" s="66"/>
    </row>
    <row r="490" spans="1:14" x14ac:dyDescent="0.2">
      <c r="A490" s="84"/>
      <c r="B490" s="84"/>
      <c r="C490" s="60"/>
      <c r="D490" s="66"/>
      <c r="E490" s="66"/>
      <c r="F490" s="66"/>
      <c r="G490" s="66"/>
      <c r="H490" s="66"/>
      <c r="I490" s="66"/>
      <c r="J490" s="66"/>
      <c r="K490" s="66"/>
      <c r="L490" s="66"/>
      <c r="M490" s="66"/>
      <c r="N490" s="66"/>
    </row>
    <row r="491" spans="1:14" x14ac:dyDescent="0.2">
      <c r="A491" s="84"/>
      <c r="B491" s="84"/>
      <c r="C491" s="60"/>
      <c r="D491" s="66"/>
      <c r="E491" s="66"/>
      <c r="F491" s="66"/>
      <c r="G491" s="66"/>
      <c r="H491" s="66"/>
      <c r="I491" s="66"/>
      <c r="J491" s="66"/>
      <c r="K491" s="66"/>
      <c r="L491" s="66"/>
      <c r="M491" s="66"/>
      <c r="N491" s="66"/>
    </row>
    <row r="492" spans="1:14" x14ac:dyDescent="0.2">
      <c r="A492" s="84"/>
      <c r="B492" s="84"/>
      <c r="C492" s="60"/>
      <c r="D492" s="66"/>
      <c r="E492" s="66"/>
      <c r="F492" s="66"/>
      <c r="G492" s="66"/>
      <c r="H492" s="66"/>
      <c r="I492" s="66"/>
      <c r="J492" s="66"/>
      <c r="K492" s="66"/>
      <c r="L492" s="66"/>
      <c r="M492" s="66"/>
      <c r="N492" s="66"/>
    </row>
    <row r="493" spans="1:14" x14ac:dyDescent="0.2">
      <c r="A493" s="84"/>
      <c r="B493" s="84"/>
      <c r="C493" s="60"/>
      <c r="D493" s="66"/>
      <c r="E493" s="66"/>
      <c r="F493" s="66"/>
      <c r="G493" s="66"/>
      <c r="H493" s="66"/>
      <c r="I493" s="66"/>
      <c r="J493" s="66"/>
      <c r="K493" s="66"/>
      <c r="L493" s="66"/>
      <c r="M493" s="66"/>
      <c r="N493" s="66"/>
    </row>
    <row r="494" spans="1:14" x14ac:dyDescent="0.2">
      <c r="A494" s="84"/>
      <c r="B494" s="84"/>
      <c r="C494" s="60"/>
      <c r="D494" s="66"/>
      <c r="E494" s="66"/>
      <c r="F494" s="66"/>
      <c r="G494" s="66"/>
      <c r="H494" s="66"/>
      <c r="I494" s="66"/>
      <c r="J494" s="66"/>
      <c r="K494" s="66"/>
      <c r="L494" s="66"/>
      <c r="M494" s="66"/>
      <c r="N494" s="66"/>
    </row>
    <row r="495" spans="1:14" x14ac:dyDescent="0.2">
      <c r="A495" s="84"/>
      <c r="B495" s="84"/>
      <c r="C495" s="60"/>
      <c r="D495" s="66"/>
      <c r="E495" s="66"/>
      <c r="F495" s="66"/>
      <c r="G495" s="66"/>
      <c r="H495" s="66"/>
      <c r="I495" s="66"/>
      <c r="J495" s="66"/>
      <c r="K495" s="66"/>
      <c r="L495" s="66"/>
      <c r="M495" s="66"/>
      <c r="N495" s="66"/>
    </row>
    <row r="496" spans="1:14" x14ac:dyDescent="0.2">
      <c r="A496" s="84"/>
      <c r="B496" s="84"/>
      <c r="C496" s="60"/>
      <c r="D496" s="66"/>
      <c r="E496" s="66"/>
      <c r="F496" s="66"/>
      <c r="G496" s="66"/>
      <c r="H496" s="66"/>
      <c r="I496" s="66"/>
      <c r="J496" s="66"/>
      <c r="K496" s="66"/>
      <c r="L496" s="66"/>
      <c r="M496" s="66"/>
      <c r="N496" s="66"/>
    </row>
    <row r="497" spans="1:14" x14ac:dyDescent="0.2">
      <c r="A497" s="84"/>
      <c r="B497" s="84"/>
      <c r="C497" s="60"/>
      <c r="D497" s="66"/>
      <c r="E497" s="66"/>
      <c r="F497" s="66"/>
      <c r="G497" s="66"/>
      <c r="H497" s="66"/>
      <c r="I497" s="66"/>
      <c r="J497" s="66"/>
      <c r="K497" s="66"/>
      <c r="L497" s="66"/>
      <c r="M497" s="66"/>
      <c r="N497" s="66"/>
    </row>
    <row r="498" spans="1:14" x14ac:dyDescent="0.2">
      <c r="A498" s="84"/>
      <c r="B498" s="84"/>
      <c r="C498" s="60"/>
      <c r="D498" s="66"/>
      <c r="E498" s="66"/>
      <c r="F498" s="66"/>
      <c r="G498" s="66"/>
      <c r="H498" s="66"/>
      <c r="I498" s="66"/>
      <c r="J498" s="66"/>
      <c r="K498" s="66"/>
      <c r="L498" s="66"/>
      <c r="M498" s="66"/>
      <c r="N498" s="66"/>
    </row>
    <row r="499" spans="1:14" x14ac:dyDescent="0.2">
      <c r="A499" s="84"/>
      <c r="B499" s="84"/>
      <c r="C499" s="60"/>
      <c r="D499" s="66"/>
      <c r="E499" s="66"/>
      <c r="F499" s="66"/>
      <c r="G499" s="66"/>
      <c r="H499" s="66"/>
      <c r="I499" s="66"/>
      <c r="J499" s="66"/>
      <c r="K499" s="66"/>
      <c r="L499" s="66"/>
      <c r="M499" s="66"/>
      <c r="N499" s="66"/>
    </row>
    <row r="500" spans="1:14" x14ac:dyDescent="0.2">
      <c r="A500" s="84"/>
      <c r="B500" s="84"/>
      <c r="C500" s="60"/>
      <c r="D500" s="66"/>
      <c r="E500" s="66"/>
      <c r="F500" s="66"/>
      <c r="G500" s="66"/>
      <c r="H500" s="66"/>
      <c r="I500" s="66"/>
      <c r="J500" s="66"/>
      <c r="K500" s="66"/>
      <c r="L500" s="66"/>
      <c r="M500" s="66"/>
      <c r="N500" s="66"/>
    </row>
    <row r="501" spans="1:14" x14ac:dyDescent="0.2">
      <c r="A501" s="84"/>
      <c r="B501" s="84"/>
      <c r="C501" s="60"/>
      <c r="D501" s="66"/>
      <c r="E501" s="66"/>
      <c r="F501" s="66"/>
      <c r="G501" s="66"/>
      <c r="H501" s="66"/>
      <c r="I501" s="66"/>
      <c r="J501" s="66"/>
      <c r="K501" s="66"/>
      <c r="L501" s="66"/>
      <c r="M501" s="66"/>
      <c r="N501" s="66"/>
    </row>
    <row r="502" spans="1:14" x14ac:dyDescent="0.2">
      <c r="A502" s="84"/>
      <c r="B502" s="84"/>
      <c r="C502" s="60"/>
      <c r="D502" s="66"/>
      <c r="E502" s="66"/>
      <c r="F502" s="66"/>
      <c r="G502" s="66"/>
      <c r="H502" s="66"/>
      <c r="I502" s="66"/>
      <c r="J502" s="66"/>
      <c r="K502" s="66"/>
      <c r="L502" s="66"/>
      <c r="M502" s="66"/>
      <c r="N502" s="66"/>
    </row>
    <row r="503" spans="1:14" x14ac:dyDescent="0.2">
      <c r="A503" s="84"/>
      <c r="B503" s="84"/>
      <c r="C503" s="60"/>
      <c r="D503" s="66"/>
      <c r="E503" s="66"/>
      <c r="F503" s="66"/>
      <c r="G503" s="66"/>
      <c r="H503" s="66"/>
      <c r="I503" s="66"/>
      <c r="J503" s="66"/>
      <c r="K503" s="66"/>
      <c r="L503" s="66"/>
      <c r="M503" s="66"/>
      <c r="N503" s="66"/>
    </row>
    <row r="504" spans="1:14" x14ac:dyDescent="0.2">
      <c r="A504" s="84"/>
      <c r="B504" s="84"/>
      <c r="C504" s="60"/>
      <c r="D504" s="66"/>
      <c r="E504" s="66"/>
      <c r="F504" s="66"/>
      <c r="G504" s="66"/>
      <c r="H504" s="66"/>
      <c r="I504" s="66"/>
      <c r="J504" s="66"/>
      <c r="K504" s="66"/>
      <c r="L504" s="66"/>
      <c r="M504" s="66"/>
      <c r="N504" s="66"/>
    </row>
    <row r="505" spans="1:14" x14ac:dyDescent="0.2">
      <c r="A505" s="84"/>
      <c r="B505" s="84"/>
      <c r="C505" s="60"/>
      <c r="D505" s="66"/>
      <c r="E505" s="66"/>
      <c r="F505" s="66"/>
      <c r="G505" s="66"/>
      <c r="H505" s="66"/>
      <c r="I505" s="66"/>
      <c r="J505" s="66"/>
      <c r="K505" s="66"/>
      <c r="L505" s="66"/>
      <c r="M505" s="66"/>
      <c r="N505" s="66"/>
    </row>
    <row r="506" spans="1:14" x14ac:dyDescent="0.2">
      <c r="A506" s="84"/>
      <c r="B506" s="84"/>
      <c r="C506" s="60"/>
      <c r="D506" s="66"/>
      <c r="E506" s="66"/>
      <c r="F506" s="66"/>
      <c r="G506" s="66"/>
      <c r="H506" s="66"/>
      <c r="I506" s="66"/>
      <c r="J506" s="66"/>
      <c r="K506" s="66"/>
      <c r="L506" s="66"/>
      <c r="M506" s="66"/>
      <c r="N506" s="66"/>
    </row>
    <row r="507" spans="1:14" x14ac:dyDescent="0.2">
      <c r="A507" s="84"/>
      <c r="B507" s="84"/>
      <c r="C507" s="60"/>
      <c r="D507" s="66"/>
      <c r="E507" s="66"/>
      <c r="F507" s="66"/>
      <c r="G507" s="66"/>
      <c r="H507" s="66"/>
      <c r="I507" s="66"/>
      <c r="J507" s="66"/>
      <c r="K507" s="66"/>
      <c r="L507" s="66"/>
      <c r="M507" s="66"/>
      <c r="N507" s="66"/>
    </row>
    <row r="508" spans="1:14" x14ac:dyDescent="0.2">
      <c r="A508" s="84"/>
      <c r="B508" s="84"/>
      <c r="C508" s="60"/>
      <c r="D508" s="66"/>
      <c r="E508" s="66"/>
      <c r="F508" s="66"/>
      <c r="G508" s="66"/>
      <c r="H508" s="66"/>
      <c r="I508" s="66"/>
      <c r="J508" s="66"/>
      <c r="K508" s="66"/>
      <c r="L508" s="66"/>
      <c r="M508" s="66"/>
      <c r="N508" s="66"/>
    </row>
    <row r="509" spans="1:14" x14ac:dyDescent="0.2">
      <c r="A509" s="84"/>
      <c r="B509" s="84"/>
      <c r="C509" s="60"/>
      <c r="D509" s="66"/>
      <c r="E509" s="66"/>
      <c r="F509" s="66"/>
      <c r="G509" s="66"/>
      <c r="H509" s="66"/>
      <c r="I509" s="66"/>
      <c r="J509" s="66"/>
      <c r="K509" s="66"/>
      <c r="L509" s="66"/>
      <c r="M509" s="66"/>
      <c r="N509" s="66"/>
    </row>
    <row r="510" spans="1:14" x14ac:dyDescent="0.2">
      <c r="A510" s="84"/>
      <c r="B510" s="84"/>
      <c r="C510" s="60"/>
      <c r="D510" s="66"/>
      <c r="E510" s="66"/>
      <c r="F510" s="66"/>
      <c r="G510" s="66"/>
      <c r="H510" s="66"/>
      <c r="I510" s="66"/>
      <c r="J510" s="66"/>
      <c r="K510" s="66"/>
      <c r="L510" s="66"/>
      <c r="M510" s="66"/>
      <c r="N510" s="66"/>
    </row>
    <row r="511" spans="1:14" x14ac:dyDescent="0.2">
      <c r="A511" s="84"/>
      <c r="B511" s="84"/>
      <c r="C511" s="60"/>
      <c r="D511" s="66"/>
      <c r="E511" s="66"/>
      <c r="F511" s="66"/>
      <c r="G511" s="66"/>
      <c r="H511" s="66"/>
      <c r="I511" s="66"/>
      <c r="J511" s="66"/>
      <c r="K511" s="66"/>
      <c r="L511" s="66"/>
      <c r="M511" s="66"/>
      <c r="N511" s="66"/>
    </row>
    <row r="512" spans="1:14" x14ac:dyDescent="0.2">
      <c r="A512" s="84"/>
      <c r="B512" s="84"/>
      <c r="C512" s="60"/>
      <c r="D512" s="66"/>
      <c r="E512" s="66"/>
      <c r="F512" s="66"/>
      <c r="G512" s="66"/>
      <c r="H512" s="66"/>
      <c r="I512" s="66"/>
      <c r="J512" s="66"/>
      <c r="K512" s="66"/>
      <c r="L512" s="66"/>
      <c r="M512" s="66"/>
      <c r="N512" s="66"/>
    </row>
    <row r="513" spans="1:14" x14ac:dyDescent="0.2">
      <c r="A513" s="84"/>
      <c r="B513" s="84"/>
      <c r="C513" s="60"/>
      <c r="D513" s="66"/>
      <c r="E513" s="66"/>
      <c r="F513" s="66"/>
      <c r="G513" s="66"/>
      <c r="H513" s="66"/>
      <c r="I513" s="66"/>
      <c r="J513" s="66"/>
      <c r="K513" s="66"/>
      <c r="L513" s="66"/>
      <c r="M513" s="66"/>
      <c r="N513" s="66"/>
    </row>
    <row r="514" spans="1:14" x14ac:dyDescent="0.2">
      <c r="A514" s="84"/>
      <c r="B514" s="84"/>
      <c r="C514" s="60"/>
      <c r="D514" s="66"/>
      <c r="E514" s="66"/>
      <c r="F514" s="66"/>
      <c r="G514" s="66"/>
      <c r="H514" s="66"/>
      <c r="I514" s="66"/>
      <c r="J514" s="66"/>
      <c r="K514" s="66"/>
      <c r="L514" s="66"/>
      <c r="M514" s="66"/>
      <c r="N514" s="66"/>
    </row>
    <row r="515" spans="1:14" x14ac:dyDescent="0.2">
      <c r="A515" s="84"/>
      <c r="B515" s="84"/>
      <c r="C515" s="60"/>
      <c r="D515" s="66"/>
      <c r="E515" s="66"/>
      <c r="F515" s="66"/>
      <c r="G515" s="66"/>
      <c r="H515" s="66"/>
      <c r="I515" s="66"/>
      <c r="J515" s="66"/>
      <c r="K515" s="66"/>
      <c r="L515" s="66"/>
      <c r="M515" s="66"/>
      <c r="N515" s="66"/>
    </row>
    <row r="516" spans="1:14" x14ac:dyDescent="0.2">
      <c r="A516" s="84"/>
      <c r="B516" s="84"/>
      <c r="C516" s="60"/>
      <c r="D516" s="66"/>
      <c r="E516" s="66"/>
      <c r="F516" s="66"/>
      <c r="G516" s="66"/>
      <c r="H516" s="66"/>
      <c r="I516" s="66"/>
      <c r="J516" s="66"/>
      <c r="K516" s="66"/>
      <c r="L516" s="66"/>
      <c r="M516" s="66"/>
      <c r="N516" s="66"/>
    </row>
    <row r="517" spans="1:14" x14ac:dyDescent="0.2">
      <c r="A517" s="84"/>
      <c r="B517" s="84"/>
      <c r="C517" s="60"/>
      <c r="D517" s="66"/>
      <c r="E517" s="66"/>
      <c r="F517" s="66"/>
      <c r="G517" s="66"/>
      <c r="H517" s="66"/>
      <c r="I517" s="66"/>
      <c r="J517" s="66"/>
      <c r="K517" s="66"/>
      <c r="L517" s="66"/>
      <c r="M517" s="66"/>
      <c r="N517" s="66"/>
    </row>
    <row r="518" spans="1:14" x14ac:dyDescent="0.2">
      <c r="A518" s="84"/>
      <c r="B518" s="84"/>
      <c r="C518" s="60"/>
      <c r="D518" s="66"/>
      <c r="E518" s="66"/>
      <c r="F518" s="66"/>
      <c r="G518" s="66"/>
      <c r="H518" s="66"/>
      <c r="I518" s="66"/>
      <c r="J518" s="66"/>
      <c r="K518" s="66"/>
      <c r="L518" s="66"/>
      <c r="M518" s="66"/>
      <c r="N518" s="66"/>
    </row>
    <row r="519" spans="1:14" x14ac:dyDescent="0.2">
      <c r="A519" s="84"/>
      <c r="B519" s="84"/>
      <c r="C519" s="60"/>
      <c r="D519" s="66"/>
      <c r="E519" s="66"/>
      <c r="F519" s="66"/>
      <c r="G519" s="66"/>
      <c r="H519" s="66"/>
      <c r="I519" s="66"/>
      <c r="J519" s="66"/>
      <c r="K519" s="66"/>
      <c r="L519" s="66"/>
      <c r="M519" s="66"/>
      <c r="N519" s="66"/>
    </row>
    <row r="520" spans="1:14" x14ac:dyDescent="0.2">
      <c r="A520" s="84"/>
      <c r="B520" s="84"/>
      <c r="C520" s="60"/>
      <c r="D520" s="66"/>
      <c r="E520" s="66"/>
      <c r="F520" s="66"/>
      <c r="G520" s="66"/>
      <c r="H520" s="66"/>
      <c r="I520" s="66"/>
      <c r="J520" s="66"/>
      <c r="K520" s="66"/>
      <c r="L520" s="66"/>
      <c r="M520" s="66"/>
      <c r="N520" s="66"/>
    </row>
    <row r="521" spans="1:14" x14ac:dyDescent="0.2">
      <c r="A521" s="84"/>
      <c r="B521" s="84"/>
      <c r="C521" s="60"/>
      <c r="D521" s="66"/>
      <c r="E521" s="66"/>
      <c r="F521" s="66"/>
      <c r="G521" s="66"/>
      <c r="H521" s="66"/>
      <c r="I521" s="66"/>
      <c r="J521" s="66"/>
      <c r="K521" s="66"/>
      <c r="L521" s="66"/>
      <c r="M521" s="66"/>
      <c r="N521" s="66"/>
    </row>
    <row r="522" spans="1:14" x14ac:dyDescent="0.2">
      <c r="A522" s="84"/>
      <c r="B522" s="84"/>
      <c r="C522" s="60"/>
      <c r="D522" s="66"/>
      <c r="E522" s="66"/>
      <c r="F522" s="66"/>
      <c r="G522" s="66"/>
      <c r="H522" s="66"/>
      <c r="I522" s="66"/>
      <c r="J522" s="66"/>
      <c r="K522" s="66"/>
      <c r="L522" s="66"/>
      <c r="M522" s="66"/>
      <c r="N522" s="66"/>
    </row>
    <row r="523" spans="1:14" x14ac:dyDescent="0.2">
      <c r="A523" s="84"/>
      <c r="B523" s="84"/>
      <c r="C523" s="60"/>
      <c r="D523" s="66"/>
      <c r="E523" s="66"/>
      <c r="F523" s="66"/>
      <c r="G523" s="66"/>
      <c r="H523" s="66"/>
      <c r="I523" s="66"/>
      <c r="J523" s="66"/>
      <c r="K523" s="66"/>
      <c r="L523" s="66"/>
      <c r="M523" s="66"/>
      <c r="N523" s="66"/>
    </row>
    <row r="524" spans="1:14" x14ac:dyDescent="0.2">
      <c r="A524" s="84"/>
      <c r="B524" s="84"/>
      <c r="C524" s="60"/>
      <c r="D524" s="66"/>
      <c r="E524" s="66"/>
      <c r="F524" s="66"/>
      <c r="G524" s="66"/>
      <c r="H524" s="66"/>
      <c r="I524" s="66"/>
      <c r="J524" s="66"/>
      <c r="K524" s="66"/>
      <c r="L524" s="66"/>
      <c r="M524" s="66"/>
      <c r="N524" s="66"/>
    </row>
    <row r="525" spans="1:14" x14ac:dyDescent="0.2">
      <c r="A525" s="84"/>
      <c r="B525" s="84"/>
      <c r="C525" s="60"/>
      <c r="D525" s="66"/>
      <c r="E525" s="66"/>
      <c r="F525" s="66"/>
      <c r="G525" s="66"/>
      <c r="H525" s="66"/>
      <c r="I525" s="66"/>
      <c r="J525" s="66"/>
      <c r="K525" s="66"/>
      <c r="L525" s="66"/>
      <c r="M525" s="66"/>
      <c r="N525" s="66"/>
    </row>
    <row r="526" spans="1:14" x14ac:dyDescent="0.2">
      <c r="A526" s="84"/>
      <c r="B526" s="84"/>
      <c r="C526" s="60"/>
      <c r="D526" s="66"/>
      <c r="E526" s="66"/>
      <c r="F526" s="66"/>
      <c r="G526" s="66"/>
      <c r="H526" s="66"/>
      <c r="I526" s="66"/>
      <c r="J526" s="66"/>
      <c r="K526" s="66"/>
      <c r="L526" s="66"/>
      <c r="M526" s="66"/>
      <c r="N526" s="66"/>
    </row>
    <row r="527" spans="1:14" x14ac:dyDescent="0.2">
      <c r="A527" s="84"/>
      <c r="B527" s="84"/>
      <c r="C527" s="60"/>
      <c r="D527" s="66"/>
      <c r="E527" s="66"/>
      <c r="F527" s="66"/>
      <c r="G527" s="66"/>
      <c r="H527" s="66"/>
      <c r="I527" s="66"/>
      <c r="J527" s="66"/>
      <c r="K527" s="66"/>
      <c r="L527" s="66"/>
      <c r="M527" s="66"/>
      <c r="N527" s="66"/>
    </row>
    <row r="528" spans="1:14" x14ac:dyDescent="0.2">
      <c r="A528" s="84"/>
      <c r="B528" s="84"/>
      <c r="C528" s="60"/>
      <c r="D528" s="66"/>
      <c r="E528" s="66"/>
      <c r="F528" s="66"/>
      <c r="G528" s="66"/>
      <c r="H528" s="66"/>
      <c r="I528" s="66"/>
      <c r="J528" s="66"/>
      <c r="K528" s="66"/>
      <c r="L528" s="66"/>
      <c r="M528" s="66"/>
      <c r="N528" s="66"/>
    </row>
    <row r="529" spans="1:14" x14ac:dyDescent="0.2">
      <c r="A529" s="84"/>
      <c r="B529" s="84"/>
      <c r="C529" s="60"/>
      <c r="D529" s="66"/>
      <c r="E529" s="66"/>
      <c r="F529" s="66"/>
      <c r="G529" s="66"/>
      <c r="H529" s="66"/>
      <c r="I529" s="66"/>
      <c r="J529" s="66"/>
      <c r="K529" s="66"/>
      <c r="L529" s="66"/>
      <c r="M529" s="66"/>
      <c r="N529" s="66"/>
    </row>
    <row r="530" spans="1:14" x14ac:dyDescent="0.2">
      <c r="A530" s="84"/>
      <c r="B530" s="84"/>
      <c r="C530" s="60"/>
      <c r="D530" s="66"/>
      <c r="E530" s="66"/>
      <c r="F530" s="66"/>
      <c r="G530" s="66"/>
      <c r="H530" s="66"/>
      <c r="I530" s="66"/>
      <c r="J530" s="66"/>
      <c r="K530" s="66"/>
      <c r="L530" s="66"/>
      <c r="M530" s="66"/>
      <c r="N530" s="66"/>
    </row>
    <row r="531" spans="1:14" x14ac:dyDescent="0.2">
      <c r="A531" s="84"/>
      <c r="B531" s="84"/>
      <c r="C531" s="60"/>
      <c r="D531" s="66"/>
      <c r="E531" s="66"/>
      <c r="F531" s="66"/>
      <c r="G531" s="66"/>
      <c r="H531" s="66"/>
      <c r="I531" s="66"/>
      <c r="J531" s="66"/>
      <c r="K531" s="66"/>
      <c r="L531" s="66"/>
      <c r="M531" s="66"/>
      <c r="N531" s="66"/>
    </row>
    <row r="532" spans="1:14" x14ac:dyDescent="0.2">
      <c r="A532" s="84"/>
      <c r="B532" s="84"/>
      <c r="C532" s="60"/>
      <c r="D532" s="66"/>
      <c r="E532" s="66"/>
      <c r="F532" s="66"/>
      <c r="G532" s="66"/>
      <c r="H532" s="66"/>
      <c r="I532" s="66"/>
      <c r="J532" s="66"/>
      <c r="K532" s="66"/>
      <c r="L532" s="66"/>
      <c r="M532" s="66"/>
      <c r="N532" s="66"/>
    </row>
    <row r="533" spans="1:14" x14ac:dyDescent="0.2">
      <c r="A533" s="84"/>
      <c r="B533" s="84"/>
      <c r="C533" s="60"/>
      <c r="D533" s="66"/>
      <c r="E533" s="66"/>
      <c r="F533" s="66"/>
      <c r="G533" s="66"/>
      <c r="H533" s="66"/>
      <c r="I533" s="66"/>
      <c r="J533" s="66"/>
      <c r="K533" s="66"/>
      <c r="L533" s="66"/>
      <c r="M533" s="66"/>
      <c r="N533" s="66"/>
    </row>
    <row r="534" spans="1:14" x14ac:dyDescent="0.2">
      <c r="A534" s="84"/>
      <c r="B534" s="84"/>
      <c r="C534" s="60"/>
      <c r="D534" s="66"/>
      <c r="E534" s="66"/>
      <c r="F534" s="66"/>
      <c r="G534" s="66"/>
      <c r="H534" s="66"/>
      <c r="I534" s="66"/>
      <c r="J534" s="66"/>
      <c r="K534" s="66"/>
      <c r="L534" s="66"/>
      <c r="M534" s="66"/>
      <c r="N534" s="66"/>
    </row>
    <row r="535" spans="1:14" x14ac:dyDescent="0.2">
      <c r="A535" s="84"/>
      <c r="B535" s="84"/>
      <c r="C535" s="60"/>
      <c r="D535" s="66"/>
      <c r="E535" s="66"/>
      <c r="F535" s="66"/>
      <c r="G535" s="66"/>
      <c r="H535" s="66"/>
      <c r="I535" s="66"/>
      <c r="J535" s="66"/>
      <c r="K535" s="66"/>
      <c r="L535" s="66"/>
      <c r="M535" s="66"/>
      <c r="N535" s="66"/>
    </row>
    <row r="536" spans="1:14" x14ac:dyDescent="0.2">
      <c r="A536" s="84"/>
      <c r="B536" s="84"/>
      <c r="C536" s="60"/>
      <c r="D536" s="66"/>
      <c r="E536" s="66"/>
      <c r="F536" s="66"/>
      <c r="G536" s="66"/>
      <c r="H536" s="66"/>
      <c r="I536" s="66"/>
      <c r="J536" s="66"/>
      <c r="K536" s="66"/>
      <c r="L536" s="66"/>
      <c r="M536" s="66"/>
      <c r="N536" s="66"/>
    </row>
    <row r="537" spans="1:14" x14ac:dyDescent="0.2">
      <c r="A537" s="84"/>
      <c r="B537" s="84"/>
      <c r="C537" s="60"/>
      <c r="D537" s="66"/>
      <c r="E537" s="66"/>
      <c r="F537" s="66"/>
      <c r="G537" s="66"/>
      <c r="H537" s="66"/>
      <c r="I537" s="66"/>
      <c r="J537" s="66"/>
      <c r="K537" s="66"/>
      <c r="L537" s="66"/>
      <c r="M537" s="66"/>
      <c r="N537" s="66"/>
    </row>
    <row r="538" spans="1:14" x14ac:dyDescent="0.2">
      <c r="A538" s="84"/>
      <c r="B538" s="84"/>
      <c r="C538" s="60"/>
      <c r="D538" s="66"/>
      <c r="E538" s="66"/>
      <c r="F538" s="66"/>
      <c r="G538" s="66"/>
      <c r="H538" s="66"/>
      <c r="I538" s="66"/>
      <c r="J538" s="66"/>
      <c r="K538" s="66"/>
      <c r="L538" s="66"/>
      <c r="M538" s="66"/>
      <c r="N538" s="66"/>
    </row>
    <row r="539" spans="1:14" x14ac:dyDescent="0.2">
      <c r="A539" s="84"/>
      <c r="B539" s="84"/>
      <c r="C539" s="60"/>
      <c r="D539" s="66"/>
      <c r="E539" s="66"/>
      <c r="F539" s="66"/>
      <c r="G539" s="66"/>
      <c r="H539" s="66"/>
      <c r="I539" s="66"/>
      <c r="J539" s="66"/>
      <c r="K539" s="66"/>
      <c r="L539" s="66"/>
      <c r="M539" s="66"/>
      <c r="N539" s="66"/>
    </row>
    <row r="540" spans="1:14" x14ac:dyDescent="0.2">
      <c r="A540" s="84"/>
      <c r="B540" s="84"/>
      <c r="C540" s="60"/>
      <c r="D540" s="66"/>
      <c r="E540" s="66"/>
      <c r="F540" s="66"/>
      <c r="G540" s="66"/>
      <c r="H540" s="66"/>
      <c r="I540" s="66"/>
      <c r="J540" s="66"/>
      <c r="K540" s="66"/>
      <c r="L540" s="66"/>
      <c r="M540" s="66"/>
      <c r="N540" s="66"/>
    </row>
    <row r="541" spans="1:14" x14ac:dyDescent="0.2">
      <c r="A541" s="84"/>
      <c r="B541" s="84"/>
      <c r="C541" s="60"/>
      <c r="D541" s="66"/>
      <c r="E541" s="66"/>
      <c r="F541" s="66"/>
      <c r="G541" s="66"/>
      <c r="H541" s="66"/>
      <c r="I541" s="66"/>
      <c r="J541" s="66"/>
      <c r="K541" s="66"/>
      <c r="L541" s="66"/>
      <c r="M541" s="66"/>
      <c r="N541" s="66"/>
    </row>
    <row r="542" spans="1:14" x14ac:dyDescent="0.2">
      <c r="A542" s="84"/>
      <c r="B542" s="84"/>
      <c r="C542" s="60"/>
      <c r="D542" s="66"/>
      <c r="E542" s="66"/>
      <c r="F542" s="66"/>
      <c r="G542" s="66"/>
      <c r="H542" s="66"/>
      <c r="I542" s="66"/>
      <c r="J542" s="66"/>
      <c r="K542" s="66"/>
      <c r="L542" s="66"/>
      <c r="M542" s="66"/>
      <c r="N542" s="66"/>
    </row>
    <row r="543" spans="1:14" x14ac:dyDescent="0.2">
      <c r="A543" s="84"/>
      <c r="B543" s="84"/>
      <c r="C543" s="60"/>
      <c r="D543" s="66"/>
      <c r="E543" s="66"/>
      <c r="F543" s="66"/>
      <c r="G543" s="66"/>
      <c r="H543" s="66"/>
      <c r="I543" s="66"/>
      <c r="J543" s="66"/>
      <c r="K543" s="66"/>
      <c r="L543" s="66"/>
      <c r="M543" s="66"/>
      <c r="N543" s="66"/>
    </row>
    <row r="544" spans="1:14" x14ac:dyDescent="0.2">
      <c r="A544" s="84"/>
      <c r="B544" s="84"/>
      <c r="C544" s="60"/>
      <c r="D544" s="66"/>
      <c r="E544" s="66"/>
      <c r="F544" s="66"/>
      <c r="G544" s="66"/>
      <c r="H544" s="66"/>
      <c r="I544" s="66"/>
      <c r="J544" s="66"/>
      <c r="K544" s="66"/>
      <c r="L544" s="66"/>
      <c r="M544" s="66"/>
      <c r="N544" s="66"/>
    </row>
    <row r="545" spans="1:14" x14ac:dyDescent="0.2">
      <c r="A545" s="84"/>
      <c r="B545" s="84"/>
      <c r="C545" s="60"/>
      <c r="D545" s="66"/>
      <c r="E545" s="66"/>
      <c r="F545" s="66"/>
      <c r="G545" s="66"/>
      <c r="H545" s="66"/>
      <c r="I545" s="66"/>
      <c r="J545" s="66"/>
      <c r="K545" s="66"/>
      <c r="L545" s="66"/>
      <c r="M545" s="66"/>
      <c r="N545" s="66"/>
    </row>
    <row r="546" spans="1:14" x14ac:dyDescent="0.2">
      <c r="A546" s="84"/>
      <c r="B546" s="84"/>
      <c r="C546" s="60"/>
      <c r="D546" s="66"/>
      <c r="E546" s="66"/>
      <c r="F546" s="66"/>
      <c r="G546" s="66"/>
      <c r="H546" s="66"/>
      <c r="I546" s="66"/>
      <c r="J546" s="66"/>
      <c r="K546" s="66"/>
      <c r="L546" s="66"/>
      <c r="M546" s="66"/>
      <c r="N546" s="66"/>
    </row>
    <row r="547" spans="1:14" x14ac:dyDescent="0.2">
      <c r="A547" s="84"/>
      <c r="B547" s="84"/>
      <c r="C547" s="60"/>
      <c r="D547" s="66"/>
      <c r="E547" s="66"/>
      <c r="F547" s="66"/>
      <c r="G547" s="66"/>
      <c r="H547" s="66"/>
      <c r="I547" s="66"/>
      <c r="J547" s="66"/>
      <c r="K547" s="66"/>
      <c r="L547" s="66"/>
      <c r="M547" s="66"/>
      <c r="N547" s="66"/>
    </row>
    <row r="548" spans="1:14" x14ac:dyDescent="0.2">
      <c r="A548" s="84"/>
      <c r="B548" s="84"/>
      <c r="C548" s="60"/>
      <c r="D548" s="66"/>
      <c r="E548" s="66"/>
      <c r="F548" s="66"/>
      <c r="G548" s="66"/>
      <c r="H548" s="66"/>
      <c r="I548" s="66"/>
      <c r="J548" s="66"/>
      <c r="K548" s="66"/>
      <c r="L548" s="66"/>
      <c r="M548" s="66"/>
      <c r="N548" s="66"/>
    </row>
    <row r="549" spans="1:14" x14ac:dyDescent="0.2">
      <c r="A549" s="84"/>
      <c r="B549" s="84"/>
      <c r="C549" s="60"/>
      <c r="D549" s="66"/>
      <c r="E549" s="66"/>
      <c r="F549" s="66"/>
      <c r="G549" s="66"/>
      <c r="H549" s="66"/>
      <c r="I549" s="66"/>
      <c r="J549" s="66"/>
      <c r="K549" s="66"/>
      <c r="L549" s="66"/>
      <c r="M549" s="66"/>
      <c r="N549" s="66"/>
    </row>
    <row r="550" spans="1:14" x14ac:dyDescent="0.2">
      <c r="A550" s="84"/>
      <c r="B550" s="84"/>
      <c r="C550" s="60"/>
      <c r="D550" s="66"/>
      <c r="E550" s="66"/>
      <c r="F550" s="66"/>
      <c r="G550" s="66"/>
      <c r="H550" s="66"/>
      <c r="I550" s="66"/>
      <c r="J550" s="66"/>
      <c r="K550" s="66"/>
      <c r="L550" s="66"/>
      <c r="M550" s="66"/>
      <c r="N550" s="66"/>
    </row>
    <row r="551" spans="1:14" x14ac:dyDescent="0.2">
      <c r="A551" s="84"/>
      <c r="B551" s="84"/>
      <c r="C551" s="60"/>
      <c r="D551" s="66"/>
      <c r="E551" s="66"/>
      <c r="F551" s="66"/>
      <c r="G551" s="66"/>
      <c r="H551" s="66"/>
      <c r="I551" s="66"/>
      <c r="J551" s="66"/>
      <c r="K551" s="66"/>
      <c r="L551" s="66"/>
      <c r="M551" s="66"/>
      <c r="N551" s="66"/>
    </row>
    <row r="552" spans="1:14" x14ac:dyDescent="0.2">
      <c r="A552" s="84"/>
      <c r="B552" s="84"/>
      <c r="C552" s="60"/>
      <c r="D552" s="66"/>
      <c r="E552" s="66"/>
      <c r="F552" s="66"/>
      <c r="G552" s="66"/>
      <c r="H552" s="66"/>
      <c r="I552" s="66"/>
      <c r="J552" s="66"/>
      <c r="K552" s="66"/>
      <c r="L552" s="66"/>
      <c r="M552" s="66"/>
      <c r="N552" s="66"/>
    </row>
    <row r="553" spans="1:14" x14ac:dyDescent="0.2">
      <c r="A553" s="84"/>
      <c r="B553" s="84"/>
      <c r="C553" s="60"/>
      <c r="D553" s="66"/>
      <c r="E553" s="66"/>
      <c r="F553" s="66"/>
      <c r="G553" s="66"/>
      <c r="H553" s="66"/>
      <c r="I553" s="66"/>
      <c r="J553" s="66"/>
      <c r="K553" s="66"/>
      <c r="L553" s="66"/>
      <c r="M553" s="66"/>
      <c r="N553" s="66"/>
    </row>
    <row r="554" spans="1:14" x14ac:dyDescent="0.2">
      <c r="A554" s="84"/>
      <c r="B554" s="84"/>
      <c r="C554" s="60"/>
      <c r="D554" s="66"/>
      <c r="E554" s="66"/>
      <c r="F554" s="66"/>
      <c r="G554" s="66"/>
      <c r="H554" s="66"/>
      <c r="I554" s="66"/>
      <c r="J554" s="66"/>
      <c r="K554" s="66"/>
      <c r="L554" s="66"/>
      <c r="M554" s="66"/>
      <c r="N554" s="66"/>
    </row>
    <row r="555" spans="1:14" x14ac:dyDescent="0.2">
      <c r="A555" s="84"/>
      <c r="B555" s="84"/>
      <c r="C555" s="60"/>
      <c r="D555" s="66"/>
      <c r="E555" s="66"/>
      <c r="F555" s="66"/>
      <c r="G555" s="66"/>
      <c r="H555" s="66"/>
      <c r="I555" s="66"/>
      <c r="J555" s="66"/>
      <c r="K555" s="66"/>
      <c r="L555" s="66"/>
      <c r="M555" s="66"/>
      <c r="N555" s="66"/>
    </row>
    <row r="556" spans="1:14" x14ac:dyDescent="0.2">
      <c r="A556" s="84"/>
      <c r="B556" s="84"/>
      <c r="C556" s="60"/>
      <c r="D556" s="66"/>
      <c r="E556" s="66"/>
      <c r="F556" s="66"/>
      <c r="G556" s="66"/>
      <c r="H556" s="66"/>
      <c r="I556" s="66"/>
      <c r="J556" s="66"/>
      <c r="K556" s="66"/>
      <c r="L556" s="66"/>
      <c r="M556" s="66"/>
      <c r="N556" s="66"/>
    </row>
    <row r="557" spans="1:14" x14ac:dyDescent="0.2">
      <c r="A557" s="84"/>
      <c r="B557" s="84"/>
      <c r="C557" s="60"/>
      <c r="D557" s="66"/>
      <c r="E557" s="66"/>
      <c r="F557" s="66"/>
      <c r="G557" s="66"/>
      <c r="H557" s="66"/>
      <c r="I557" s="66"/>
      <c r="J557" s="66"/>
      <c r="K557" s="66"/>
      <c r="L557" s="66"/>
      <c r="M557" s="66"/>
      <c r="N557" s="66"/>
    </row>
    <row r="558" spans="1:14" x14ac:dyDescent="0.2">
      <c r="A558" s="84"/>
      <c r="B558" s="84"/>
      <c r="C558" s="60"/>
      <c r="D558" s="66"/>
      <c r="E558" s="66"/>
      <c r="F558" s="66"/>
      <c r="G558" s="66"/>
      <c r="H558" s="66"/>
      <c r="I558" s="66"/>
      <c r="J558" s="66"/>
      <c r="K558" s="66"/>
      <c r="L558" s="66"/>
      <c r="M558" s="66"/>
      <c r="N558" s="66"/>
    </row>
    <row r="559" spans="1:14" x14ac:dyDescent="0.2">
      <c r="A559" s="84"/>
      <c r="B559" s="84"/>
      <c r="C559" s="60"/>
      <c r="D559" s="66"/>
      <c r="E559" s="66"/>
      <c r="F559" s="66"/>
      <c r="G559" s="66"/>
      <c r="H559" s="66"/>
      <c r="I559" s="66"/>
      <c r="J559" s="66"/>
      <c r="K559" s="66"/>
      <c r="L559" s="66"/>
      <c r="M559" s="66"/>
      <c r="N559" s="66"/>
    </row>
    <row r="560" spans="1:14" x14ac:dyDescent="0.2">
      <c r="A560" s="84"/>
      <c r="B560" s="84"/>
      <c r="C560" s="60"/>
      <c r="D560" s="66"/>
      <c r="E560" s="66"/>
      <c r="F560" s="66"/>
      <c r="G560" s="66"/>
      <c r="H560" s="66"/>
      <c r="I560" s="66"/>
      <c r="J560" s="66"/>
      <c r="K560" s="66"/>
      <c r="L560" s="66"/>
      <c r="M560" s="66"/>
      <c r="N560" s="66"/>
    </row>
    <row r="561" spans="1:14" x14ac:dyDescent="0.2">
      <c r="A561" s="84"/>
      <c r="B561" s="84"/>
      <c r="C561" s="60"/>
      <c r="D561" s="66"/>
      <c r="E561" s="66"/>
      <c r="F561" s="66"/>
      <c r="G561" s="66"/>
      <c r="H561" s="66"/>
      <c r="I561" s="66"/>
      <c r="J561" s="66"/>
      <c r="K561" s="66"/>
      <c r="L561" s="66"/>
      <c r="M561" s="66"/>
      <c r="N561" s="66"/>
    </row>
    <row r="562" spans="1:14" x14ac:dyDescent="0.2">
      <c r="A562" s="84"/>
      <c r="B562" s="84"/>
      <c r="C562" s="60"/>
      <c r="D562" s="66"/>
      <c r="E562" s="66"/>
      <c r="F562" s="66"/>
      <c r="G562" s="66"/>
      <c r="H562" s="66"/>
      <c r="I562" s="66"/>
      <c r="J562" s="66"/>
      <c r="K562" s="66"/>
      <c r="L562" s="66"/>
      <c r="M562" s="66"/>
      <c r="N562" s="66"/>
    </row>
    <row r="563" spans="1:14" x14ac:dyDescent="0.2">
      <c r="A563" s="84"/>
      <c r="B563" s="84"/>
      <c r="C563" s="60"/>
      <c r="D563" s="66"/>
      <c r="E563" s="66"/>
      <c r="F563" s="66"/>
      <c r="G563" s="66"/>
      <c r="H563" s="66"/>
      <c r="I563" s="66"/>
      <c r="J563" s="66"/>
      <c r="K563" s="66"/>
      <c r="L563" s="66"/>
      <c r="M563" s="66"/>
      <c r="N563" s="66"/>
    </row>
    <row r="564" spans="1:14" x14ac:dyDescent="0.2">
      <c r="A564" s="84"/>
      <c r="B564" s="84"/>
      <c r="C564" s="60"/>
      <c r="D564" s="66"/>
      <c r="E564" s="66"/>
      <c r="F564" s="66"/>
      <c r="G564" s="66"/>
      <c r="H564" s="66"/>
      <c r="I564" s="66"/>
      <c r="J564" s="66"/>
      <c r="K564" s="66"/>
      <c r="L564" s="66"/>
      <c r="M564" s="66"/>
      <c r="N564" s="66"/>
    </row>
    <row r="565" spans="1:14" x14ac:dyDescent="0.2">
      <c r="A565" s="84"/>
      <c r="B565" s="84"/>
      <c r="C565" s="60"/>
      <c r="D565" s="66"/>
      <c r="E565" s="66"/>
      <c r="F565" s="66"/>
      <c r="G565" s="66"/>
      <c r="H565" s="66"/>
      <c r="I565" s="66"/>
      <c r="J565" s="66"/>
      <c r="K565" s="66"/>
      <c r="L565" s="66"/>
      <c r="M565" s="66"/>
      <c r="N565" s="66"/>
    </row>
    <row r="566" spans="1:14" x14ac:dyDescent="0.2">
      <c r="A566" s="84"/>
      <c r="B566" s="84"/>
      <c r="C566" s="60"/>
      <c r="D566" s="66"/>
      <c r="E566" s="66"/>
      <c r="F566" s="66"/>
      <c r="G566" s="66"/>
      <c r="H566" s="66"/>
      <c r="I566" s="66"/>
      <c r="J566" s="66"/>
      <c r="K566" s="66"/>
      <c r="L566" s="66"/>
      <c r="M566" s="66"/>
      <c r="N566" s="66"/>
    </row>
    <row r="567" spans="1:14" x14ac:dyDescent="0.2">
      <c r="A567" s="84"/>
      <c r="B567" s="84"/>
      <c r="C567" s="60"/>
      <c r="D567" s="66"/>
      <c r="E567" s="66"/>
      <c r="F567" s="66"/>
      <c r="G567" s="66"/>
      <c r="H567" s="66"/>
      <c r="I567" s="66"/>
      <c r="J567" s="66"/>
      <c r="K567" s="66"/>
      <c r="L567" s="66"/>
      <c r="M567" s="66"/>
      <c r="N567" s="66"/>
    </row>
    <row r="568" spans="1:14" x14ac:dyDescent="0.2">
      <c r="A568" s="84"/>
      <c r="B568" s="84"/>
      <c r="C568" s="60"/>
      <c r="D568" s="66"/>
      <c r="E568" s="66"/>
      <c r="F568" s="66"/>
      <c r="G568" s="66"/>
      <c r="H568" s="66"/>
      <c r="I568" s="66"/>
      <c r="J568" s="66"/>
      <c r="K568" s="66"/>
      <c r="L568" s="66"/>
      <c r="M568" s="66"/>
      <c r="N568" s="66"/>
    </row>
    <row r="569" spans="1:14" x14ac:dyDescent="0.2">
      <c r="A569" s="84"/>
      <c r="B569" s="84"/>
      <c r="C569" s="60"/>
      <c r="D569" s="66"/>
      <c r="E569" s="66"/>
      <c r="F569" s="66"/>
      <c r="G569" s="66"/>
      <c r="H569" s="66"/>
      <c r="I569" s="66"/>
      <c r="J569" s="66"/>
      <c r="K569" s="66"/>
      <c r="L569" s="66"/>
      <c r="M569" s="66"/>
      <c r="N569" s="66"/>
    </row>
    <row r="570" spans="1:14" x14ac:dyDescent="0.2">
      <c r="A570" s="84"/>
      <c r="B570" s="84"/>
      <c r="C570" s="60"/>
      <c r="D570" s="66"/>
      <c r="E570" s="66"/>
      <c r="F570" s="66"/>
      <c r="G570" s="66"/>
      <c r="H570" s="66"/>
      <c r="I570" s="66"/>
      <c r="J570" s="66"/>
      <c r="K570" s="66"/>
      <c r="L570" s="66"/>
      <c r="M570" s="66"/>
      <c r="N570" s="66"/>
    </row>
    <row r="571" spans="1:14" x14ac:dyDescent="0.2">
      <c r="A571" s="84"/>
      <c r="B571" s="84"/>
      <c r="C571" s="60"/>
      <c r="D571" s="66"/>
      <c r="E571" s="66"/>
      <c r="F571" s="66"/>
      <c r="G571" s="66"/>
      <c r="H571" s="66"/>
      <c r="I571" s="66"/>
      <c r="J571" s="66"/>
      <c r="K571" s="66"/>
      <c r="L571" s="66"/>
      <c r="M571" s="66"/>
      <c r="N571" s="66"/>
    </row>
    <row r="572" spans="1:14" x14ac:dyDescent="0.2">
      <c r="A572" s="84"/>
      <c r="B572" s="84"/>
      <c r="C572" s="60"/>
      <c r="D572" s="66"/>
      <c r="E572" s="66"/>
      <c r="F572" s="66"/>
      <c r="G572" s="66"/>
      <c r="H572" s="66"/>
      <c r="I572" s="66"/>
      <c r="J572" s="66"/>
      <c r="K572" s="66"/>
      <c r="L572" s="66"/>
      <c r="M572" s="66"/>
      <c r="N572" s="66"/>
    </row>
    <row r="573" spans="1:14" x14ac:dyDescent="0.2">
      <c r="A573" s="84"/>
      <c r="B573" s="84"/>
      <c r="C573" s="60"/>
      <c r="D573" s="66"/>
      <c r="E573" s="66"/>
      <c r="F573" s="66"/>
      <c r="G573" s="66"/>
      <c r="H573" s="66"/>
      <c r="I573" s="66"/>
      <c r="J573" s="66"/>
      <c r="K573" s="66"/>
      <c r="L573" s="66"/>
      <c r="M573" s="66"/>
      <c r="N573" s="66"/>
    </row>
    <row r="574" spans="1:14" x14ac:dyDescent="0.2">
      <c r="A574" s="84"/>
      <c r="B574" s="84"/>
      <c r="C574" s="60"/>
      <c r="D574" s="66"/>
      <c r="E574" s="66"/>
      <c r="F574" s="66"/>
      <c r="G574" s="66"/>
      <c r="H574" s="66"/>
      <c r="I574" s="66"/>
      <c r="J574" s="66"/>
      <c r="K574" s="66"/>
      <c r="L574" s="66"/>
      <c r="M574" s="66"/>
      <c r="N574" s="66"/>
    </row>
    <row r="575" spans="1:14" x14ac:dyDescent="0.2">
      <c r="A575" s="84"/>
      <c r="B575" s="84"/>
      <c r="C575" s="60"/>
      <c r="D575" s="66"/>
      <c r="E575" s="66"/>
      <c r="F575" s="66"/>
      <c r="G575" s="66"/>
      <c r="H575" s="66"/>
      <c r="I575" s="66"/>
      <c r="J575" s="66"/>
      <c r="K575" s="66"/>
      <c r="L575" s="66"/>
      <c r="M575" s="66"/>
      <c r="N575" s="66"/>
    </row>
    <row r="576" spans="1:14" x14ac:dyDescent="0.2">
      <c r="A576" s="84"/>
      <c r="B576" s="84"/>
      <c r="C576" s="60"/>
      <c r="D576" s="66"/>
      <c r="E576" s="66"/>
      <c r="F576" s="66"/>
      <c r="G576" s="66"/>
      <c r="H576" s="66"/>
      <c r="I576" s="66"/>
      <c r="J576" s="66"/>
      <c r="K576" s="66"/>
      <c r="L576" s="66"/>
      <c r="M576" s="66"/>
      <c r="N576" s="66"/>
    </row>
    <row r="577" spans="1:14" x14ac:dyDescent="0.2">
      <c r="A577" s="84"/>
      <c r="B577" s="84"/>
      <c r="C577" s="60"/>
      <c r="D577" s="66"/>
      <c r="E577" s="66"/>
      <c r="F577" s="66"/>
      <c r="G577" s="66"/>
      <c r="H577" s="66"/>
      <c r="I577" s="66"/>
      <c r="J577" s="66"/>
      <c r="K577" s="66"/>
      <c r="L577" s="66"/>
      <c r="M577" s="66"/>
      <c r="N577" s="66"/>
    </row>
    <row r="578" spans="1:14" x14ac:dyDescent="0.2">
      <c r="A578" s="84"/>
      <c r="B578" s="84"/>
      <c r="C578" s="60"/>
      <c r="D578" s="66"/>
      <c r="E578" s="66"/>
      <c r="F578" s="66"/>
      <c r="G578" s="66"/>
      <c r="H578" s="66"/>
      <c r="I578" s="66"/>
      <c r="J578" s="66"/>
      <c r="K578" s="66"/>
      <c r="L578" s="66"/>
      <c r="M578" s="66"/>
      <c r="N578" s="66"/>
    </row>
    <row r="579" spans="1:14" x14ac:dyDescent="0.2">
      <c r="A579" s="84"/>
      <c r="B579" s="84"/>
      <c r="C579" s="60"/>
      <c r="D579" s="66"/>
      <c r="E579" s="66"/>
      <c r="F579" s="66"/>
      <c r="G579" s="66"/>
      <c r="H579" s="66"/>
      <c r="I579" s="66"/>
      <c r="J579" s="66"/>
      <c r="K579" s="66"/>
      <c r="L579" s="66"/>
      <c r="M579" s="66"/>
      <c r="N579" s="66"/>
    </row>
    <row r="580" spans="1:14" x14ac:dyDescent="0.2">
      <c r="A580" s="84"/>
      <c r="B580" s="84"/>
      <c r="C580" s="60"/>
      <c r="D580" s="66"/>
      <c r="E580" s="66"/>
      <c r="F580" s="66"/>
      <c r="G580" s="66"/>
      <c r="H580" s="66"/>
      <c r="I580" s="66"/>
      <c r="J580" s="66"/>
      <c r="K580" s="66"/>
      <c r="L580" s="66"/>
      <c r="M580" s="66"/>
      <c r="N580" s="66"/>
    </row>
    <row r="581" spans="1:14" x14ac:dyDescent="0.2">
      <c r="A581" s="84"/>
      <c r="B581" s="84"/>
      <c r="C581" s="60"/>
      <c r="D581" s="66"/>
      <c r="E581" s="66"/>
      <c r="F581" s="66"/>
      <c r="G581" s="66"/>
      <c r="H581" s="66"/>
      <c r="I581" s="66"/>
      <c r="J581" s="66"/>
      <c r="K581" s="66"/>
      <c r="L581" s="66"/>
      <c r="M581" s="66"/>
      <c r="N581" s="66"/>
    </row>
    <row r="582" spans="1:14" x14ac:dyDescent="0.2">
      <c r="A582" s="84"/>
      <c r="B582" s="84"/>
      <c r="C582" s="60"/>
      <c r="D582" s="66"/>
      <c r="E582" s="66"/>
      <c r="F582" s="66"/>
      <c r="G582" s="66"/>
      <c r="H582" s="66"/>
      <c r="I582" s="66"/>
      <c r="J582" s="66"/>
      <c r="K582" s="66"/>
      <c r="L582" s="66"/>
      <c r="M582" s="66"/>
      <c r="N582" s="66"/>
    </row>
    <row r="583" spans="1:14" x14ac:dyDescent="0.2">
      <c r="A583" s="84"/>
      <c r="B583" s="84"/>
      <c r="C583" s="60"/>
      <c r="D583" s="66"/>
      <c r="E583" s="66"/>
      <c r="F583" s="66"/>
      <c r="G583" s="66"/>
      <c r="H583" s="66"/>
      <c r="I583" s="66"/>
      <c r="J583" s="66"/>
      <c r="K583" s="66"/>
      <c r="L583" s="66"/>
      <c r="M583" s="66"/>
      <c r="N583" s="66"/>
    </row>
    <row r="584" spans="1:14" x14ac:dyDescent="0.2">
      <c r="A584" s="84"/>
      <c r="B584" s="84"/>
      <c r="C584" s="60"/>
      <c r="D584" s="66"/>
      <c r="E584" s="66"/>
      <c r="F584" s="66"/>
      <c r="G584" s="66"/>
      <c r="H584" s="66"/>
      <c r="I584" s="66"/>
      <c r="J584" s="66"/>
      <c r="K584" s="66"/>
      <c r="L584" s="66"/>
      <c r="M584" s="66"/>
      <c r="N584" s="66"/>
    </row>
    <row r="585" spans="1:14" x14ac:dyDescent="0.2">
      <c r="A585" s="84"/>
      <c r="B585" s="84"/>
      <c r="C585" s="60"/>
      <c r="D585" s="66"/>
      <c r="E585" s="66"/>
      <c r="F585" s="66"/>
      <c r="G585" s="66"/>
      <c r="H585" s="66"/>
      <c r="I585" s="66"/>
      <c r="J585" s="66"/>
      <c r="K585" s="66"/>
      <c r="L585" s="66"/>
      <c r="M585" s="66"/>
      <c r="N585" s="66"/>
    </row>
    <row r="586" spans="1:14" x14ac:dyDescent="0.2">
      <c r="A586" s="84"/>
      <c r="B586" s="84"/>
      <c r="C586" s="60"/>
      <c r="D586" s="66"/>
      <c r="E586" s="66"/>
      <c r="F586" s="66"/>
      <c r="G586" s="66"/>
      <c r="H586" s="66"/>
      <c r="I586" s="66"/>
      <c r="J586" s="66"/>
      <c r="K586" s="66"/>
      <c r="L586" s="66"/>
      <c r="M586" s="66"/>
      <c r="N586" s="66"/>
    </row>
    <row r="587" spans="1:14" x14ac:dyDescent="0.2">
      <c r="A587" s="84"/>
      <c r="B587" s="84"/>
      <c r="C587" s="60"/>
      <c r="D587" s="66"/>
      <c r="E587" s="66"/>
      <c r="F587" s="66"/>
      <c r="G587" s="66"/>
      <c r="H587" s="66"/>
      <c r="I587" s="66"/>
      <c r="J587" s="66"/>
      <c r="K587" s="66"/>
      <c r="L587" s="66"/>
      <c r="M587" s="66"/>
      <c r="N587" s="66"/>
    </row>
    <row r="588" spans="1:14" x14ac:dyDescent="0.2">
      <c r="A588" s="84"/>
      <c r="B588" s="84"/>
      <c r="C588" s="60"/>
      <c r="D588" s="66"/>
      <c r="E588" s="66"/>
      <c r="F588" s="66"/>
      <c r="G588" s="66"/>
      <c r="H588" s="66"/>
      <c r="I588" s="66"/>
      <c r="J588" s="66"/>
      <c r="K588" s="66"/>
      <c r="L588" s="66"/>
      <c r="M588" s="66"/>
      <c r="N588" s="66"/>
    </row>
    <row r="589" spans="1:14" x14ac:dyDescent="0.2">
      <c r="A589" s="84"/>
      <c r="B589" s="84"/>
      <c r="C589" s="60"/>
      <c r="D589" s="66"/>
      <c r="E589" s="66"/>
      <c r="F589" s="66"/>
      <c r="G589" s="66"/>
      <c r="H589" s="66"/>
      <c r="I589" s="66"/>
      <c r="J589" s="66"/>
      <c r="K589" s="66"/>
      <c r="L589" s="66"/>
      <c r="M589" s="66"/>
      <c r="N589" s="66"/>
    </row>
    <row r="590" spans="1:14" x14ac:dyDescent="0.2">
      <c r="A590" s="84"/>
      <c r="B590" s="84"/>
      <c r="C590" s="60"/>
      <c r="D590" s="66"/>
      <c r="E590" s="66"/>
      <c r="F590" s="66"/>
      <c r="G590" s="66"/>
      <c r="H590" s="66"/>
      <c r="I590" s="66"/>
      <c r="J590" s="66"/>
      <c r="K590" s="66"/>
      <c r="L590" s="66"/>
      <c r="M590" s="66"/>
      <c r="N590" s="66"/>
    </row>
    <row r="591" spans="1:14" x14ac:dyDescent="0.2">
      <c r="A591" s="84"/>
      <c r="B591" s="84"/>
      <c r="C591" s="60"/>
      <c r="D591" s="66"/>
      <c r="E591" s="66"/>
      <c r="F591" s="66"/>
      <c r="G591" s="66"/>
      <c r="H591" s="66"/>
      <c r="I591" s="66"/>
      <c r="J591" s="66"/>
      <c r="K591" s="66"/>
      <c r="L591" s="66"/>
      <c r="M591" s="66"/>
      <c r="N591" s="66"/>
    </row>
    <row r="592" spans="1:14" x14ac:dyDescent="0.2">
      <c r="A592" s="84"/>
      <c r="B592" s="84"/>
      <c r="C592" s="60"/>
      <c r="D592" s="66"/>
      <c r="E592" s="66"/>
      <c r="F592" s="66"/>
      <c r="G592" s="66"/>
      <c r="H592" s="66"/>
      <c r="I592" s="66"/>
      <c r="J592" s="66"/>
      <c r="K592" s="66"/>
      <c r="L592" s="66"/>
      <c r="M592" s="66"/>
      <c r="N592" s="66"/>
    </row>
    <row r="593" spans="1:14" x14ac:dyDescent="0.2">
      <c r="A593" s="84"/>
      <c r="B593" s="84"/>
      <c r="C593" s="60"/>
      <c r="D593" s="66"/>
      <c r="E593" s="66"/>
      <c r="F593" s="66"/>
      <c r="G593" s="66"/>
      <c r="H593" s="66"/>
      <c r="I593" s="66"/>
      <c r="J593" s="66"/>
      <c r="K593" s="66"/>
      <c r="L593" s="66"/>
      <c r="M593" s="66"/>
      <c r="N593" s="66"/>
    </row>
    <row r="594" spans="1:14" x14ac:dyDescent="0.2">
      <c r="A594" s="84"/>
      <c r="B594" s="84"/>
      <c r="C594" s="60"/>
      <c r="D594" s="66"/>
      <c r="E594" s="66"/>
      <c r="F594" s="66"/>
      <c r="G594" s="66"/>
      <c r="H594" s="66"/>
      <c r="I594" s="66"/>
      <c r="J594" s="66"/>
      <c r="K594" s="66"/>
      <c r="L594" s="66"/>
      <c r="M594" s="66"/>
      <c r="N594" s="66"/>
    </row>
    <row r="595" spans="1:14" x14ac:dyDescent="0.2">
      <c r="A595" s="84"/>
      <c r="B595" s="84"/>
      <c r="C595" s="60"/>
      <c r="D595" s="66"/>
      <c r="E595" s="66"/>
      <c r="F595" s="66"/>
      <c r="G595" s="66"/>
      <c r="H595" s="66"/>
      <c r="I595" s="66"/>
      <c r="J595" s="66"/>
      <c r="K595" s="66"/>
      <c r="L595" s="66"/>
      <c r="M595" s="66"/>
      <c r="N595" s="66"/>
    </row>
    <row r="596" spans="1:14" x14ac:dyDescent="0.2">
      <c r="A596" s="84"/>
      <c r="B596" s="84"/>
      <c r="C596" s="60"/>
      <c r="D596" s="66"/>
      <c r="E596" s="66"/>
      <c r="F596" s="66"/>
      <c r="G596" s="66"/>
      <c r="H596" s="66"/>
      <c r="I596" s="66"/>
      <c r="J596" s="66"/>
      <c r="K596" s="66"/>
      <c r="L596" s="66"/>
      <c r="M596" s="66"/>
      <c r="N596" s="66"/>
    </row>
    <row r="597" spans="1:14" x14ac:dyDescent="0.2">
      <c r="A597" s="84"/>
      <c r="B597" s="84"/>
      <c r="C597" s="60"/>
      <c r="D597" s="66"/>
      <c r="E597" s="66"/>
      <c r="F597" s="66"/>
      <c r="G597" s="66"/>
      <c r="H597" s="66"/>
      <c r="I597" s="66"/>
      <c r="J597" s="66"/>
      <c r="K597" s="66"/>
      <c r="L597" s="66"/>
      <c r="M597" s="66"/>
      <c r="N597" s="66"/>
    </row>
    <row r="598" spans="1:14" x14ac:dyDescent="0.2">
      <c r="A598" s="84"/>
      <c r="B598" s="84"/>
      <c r="C598" s="60"/>
      <c r="D598" s="66"/>
      <c r="E598" s="66"/>
      <c r="F598" s="66"/>
      <c r="G598" s="66"/>
      <c r="H598" s="66"/>
      <c r="I598" s="66"/>
      <c r="J598" s="66"/>
      <c r="K598" s="66"/>
      <c r="L598" s="66"/>
      <c r="M598" s="66"/>
      <c r="N598" s="66"/>
    </row>
    <row r="599" spans="1:14" x14ac:dyDescent="0.2">
      <c r="A599" s="84"/>
      <c r="B599" s="84"/>
      <c r="C599" s="60"/>
      <c r="D599" s="66"/>
      <c r="E599" s="66"/>
      <c r="F599" s="66"/>
      <c r="G599" s="66"/>
      <c r="H599" s="66"/>
      <c r="I599" s="66"/>
      <c r="J599" s="66"/>
      <c r="K599" s="66"/>
      <c r="L599" s="66"/>
      <c r="M599" s="66"/>
      <c r="N599" s="66"/>
    </row>
    <row r="600" spans="1:14" x14ac:dyDescent="0.2">
      <c r="A600" s="84"/>
      <c r="B600" s="84"/>
      <c r="C600" s="60"/>
      <c r="D600" s="66"/>
      <c r="E600" s="66"/>
      <c r="F600" s="66"/>
      <c r="G600" s="66"/>
      <c r="H600" s="66"/>
      <c r="I600" s="66"/>
      <c r="J600" s="66"/>
      <c r="K600" s="66"/>
      <c r="L600" s="66"/>
      <c r="M600" s="66"/>
      <c r="N600" s="66"/>
    </row>
    <row r="601" spans="1:14" x14ac:dyDescent="0.2">
      <c r="A601" s="84"/>
      <c r="B601" s="84"/>
      <c r="C601" s="60"/>
      <c r="D601" s="66"/>
      <c r="E601" s="66"/>
      <c r="F601" s="66"/>
      <c r="G601" s="66"/>
      <c r="H601" s="66"/>
      <c r="I601" s="66"/>
      <c r="J601" s="66"/>
      <c r="K601" s="66"/>
      <c r="L601" s="66"/>
      <c r="M601" s="66"/>
      <c r="N601" s="66"/>
    </row>
    <row r="602" spans="1:14" x14ac:dyDescent="0.2">
      <c r="A602" s="84"/>
      <c r="B602" s="84"/>
      <c r="C602" s="60"/>
      <c r="D602" s="66"/>
      <c r="E602" s="66"/>
      <c r="F602" s="66"/>
      <c r="G602" s="66"/>
      <c r="H602" s="66"/>
      <c r="I602" s="66"/>
      <c r="J602" s="66"/>
      <c r="K602" s="66"/>
      <c r="L602" s="66"/>
      <c r="M602" s="66"/>
      <c r="N602" s="66"/>
    </row>
    <row r="603" spans="1:14" x14ac:dyDescent="0.2">
      <c r="A603" s="84"/>
      <c r="B603" s="84"/>
      <c r="C603" s="60"/>
      <c r="D603" s="66"/>
      <c r="E603" s="66"/>
      <c r="F603" s="66"/>
      <c r="G603" s="66"/>
      <c r="H603" s="66"/>
      <c r="I603" s="66"/>
      <c r="J603" s="66"/>
      <c r="K603" s="66"/>
      <c r="L603" s="66"/>
      <c r="M603" s="66"/>
      <c r="N603" s="66"/>
    </row>
    <row r="604" spans="1:14" x14ac:dyDescent="0.2">
      <c r="A604" s="84"/>
      <c r="B604" s="84"/>
      <c r="C604" s="60"/>
      <c r="D604" s="66"/>
      <c r="E604" s="66"/>
      <c r="F604" s="66"/>
      <c r="G604" s="66"/>
      <c r="H604" s="66"/>
      <c r="I604" s="66"/>
      <c r="J604" s="66"/>
      <c r="K604" s="66"/>
      <c r="L604" s="66"/>
      <c r="M604" s="66"/>
      <c r="N604" s="66"/>
    </row>
    <row r="605" spans="1:14" x14ac:dyDescent="0.2">
      <c r="A605" s="84"/>
      <c r="B605" s="84"/>
      <c r="C605" s="60"/>
      <c r="D605" s="66"/>
      <c r="E605" s="66"/>
      <c r="F605" s="66"/>
      <c r="G605" s="66"/>
      <c r="H605" s="66"/>
      <c r="I605" s="66"/>
      <c r="J605" s="66"/>
      <c r="K605" s="66"/>
      <c r="L605" s="66"/>
      <c r="M605" s="66"/>
      <c r="N605" s="66"/>
    </row>
    <row r="606" spans="1:14" x14ac:dyDescent="0.2">
      <c r="A606" s="84"/>
      <c r="B606" s="84"/>
      <c r="C606" s="60"/>
      <c r="D606" s="66"/>
      <c r="E606" s="66"/>
      <c r="F606" s="66"/>
      <c r="G606" s="66"/>
      <c r="H606" s="66"/>
      <c r="I606" s="66"/>
      <c r="J606" s="66"/>
      <c r="K606" s="66"/>
      <c r="L606" s="66"/>
      <c r="M606" s="66"/>
      <c r="N606" s="66"/>
    </row>
    <row r="607" spans="1:14" x14ac:dyDescent="0.2">
      <c r="A607" s="84"/>
      <c r="B607" s="84"/>
      <c r="C607" s="60"/>
      <c r="D607" s="66"/>
      <c r="E607" s="66"/>
      <c r="F607" s="66"/>
      <c r="G607" s="66"/>
      <c r="H607" s="66"/>
      <c r="I607" s="66"/>
      <c r="J607" s="66"/>
      <c r="K607" s="66"/>
      <c r="L607" s="66"/>
      <c r="M607" s="66"/>
      <c r="N607" s="66"/>
    </row>
    <row r="608" spans="1:14" x14ac:dyDescent="0.2">
      <c r="A608" s="84"/>
      <c r="B608" s="84"/>
      <c r="C608" s="60"/>
      <c r="D608" s="66"/>
      <c r="E608" s="66"/>
      <c r="F608" s="66"/>
      <c r="G608" s="66"/>
      <c r="H608" s="66"/>
      <c r="I608" s="66"/>
      <c r="J608" s="66"/>
      <c r="K608" s="66"/>
      <c r="L608" s="66"/>
      <c r="M608" s="66"/>
      <c r="N608" s="66"/>
    </row>
    <row r="609" spans="1:14" x14ac:dyDescent="0.2">
      <c r="A609" s="84"/>
      <c r="B609" s="84"/>
      <c r="C609" s="60"/>
      <c r="D609" s="66"/>
      <c r="E609" s="66"/>
      <c r="F609" s="66"/>
      <c r="G609" s="66"/>
      <c r="H609" s="66"/>
      <c r="I609" s="66"/>
      <c r="J609" s="66"/>
      <c r="K609" s="66"/>
      <c r="L609" s="66"/>
      <c r="M609" s="66"/>
      <c r="N609" s="66"/>
    </row>
    <row r="610" spans="1:14" x14ac:dyDescent="0.2">
      <c r="A610" s="84"/>
      <c r="B610" s="84"/>
      <c r="C610" s="60"/>
      <c r="D610" s="66"/>
      <c r="E610" s="66"/>
      <c r="F610" s="66"/>
      <c r="G610" s="66"/>
      <c r="H610" s="66"/>
      <c r="I610" s="66"/>
      <c r="J610" s="66"/>
      <c r="K610" s="66"/>
      <c r="L610" s="66"/>
      <c r="M610" s="66"/>
      <c r="N610" s="66"/>
    </row>
    <row r="611" spans="1:14" x14ac:dyDescent="0.2">
      <c r="A611" s="84"/>
      <c r="B611" s="84"/>
      <c r="C611" s="60"/>
      <c r="D611" s="66"/>
      <c r="E611" s="66"/>
      <c r="F611" s="66"/>
      <c r="G611" s="66"/>
      <c r="H611" s="66"/>
      <c r="I611" s="66"/>
      <c r="J611" s="66"/>
      <c r="K611" s="66"/>
      <c r="L611" s="66"/>
      <c r="M611" s="66"/>
      <c r="N611" s="66"/>
    </row>
    <row r="612" spans="1:14" x14ac:dyDescent="0.2">
      <c r="A612" s="84"/>
      <c r="B612" s="84"/>
      <c r="C612" s="60"/>
      <c r="D612" s="66"/>
      <c r="E612" s="66"/>
      <c r="F612" s="66"/>
      <c r="G612" s="66"/>
      <c r="H612" s="66"/>
      <c r="I612" s="66"/>
      <c r="J612" s="66"/>
      <c r="K612" s="66"/>
      <c r="L612" s="66"/>
      <c r="M612" s="66"/>
      <c r="N612" s="66"/>
    </row>
    <row r="613" spans="1:14" x14ac:dyDescent="0.2">
      <c r="A613" s="84"/>
      <c r="B613" s="84"/>
      <c r="C613" s="60"/>
      <c r="D613" s="66"/>
      <c r="E613" s="66"/>
      <c r="F613" s="66"/>
      <c r="G613" s="66"/>
      <c r="H613" s="66"/>
      <c r="I613" s="66"/>
      <c r="J613" s="66"/>
      <c r="K613" s="66"/>
      <c r="L613" s="66"/>
      <c r="M613" s="66"/>
      <c r="N613" s="66"/>
    </row>
    <row r="614" spans="1:14" x14ac:dyDescent="0.2">
      <c r="A614" s="84"/>
      <c r="B614" s="84"/>
      <c r="C614" s="60"/>
      <c r="D614" s="66"/>
      <c r="E614" s="66"/>
      <c r="F614" s="66"/>
      <c r="G614" s="66"/>
      <c r="H614" s="66"/>
      <c r="I614" s="66"/>
      <c r="J614" s="66"/>
      <c r="K614" s="66"/>
      <c r="L614" s="66"/>
      <c r="M614" s="66"/>
      <c r="N614" s="66"/>
    </row>
    <row r="615" spans="1:14" x14ac:dyDescent="0.2">
      <c r="A615" s="84"/>
      <c r="B615" s="84"/>
      <c r="C615" s="60"/>
      <c r="D615" s="66"/>
      <c r="E615" s="66"/>
      <c r="F615" s="66"/>
      <c r="G615" s="66"/>
      <c r="H615" s="66"/>
      <c r="I615" s="66"/>
      <c r="J615" s="66"/>
      <c r="K615" s="66"/>
      <c r="L615" s="66"/>
      <c r="M615" s="66"/>
      <c r="N615" s="66"/>
    </row>
    <row r="616" spans="1:14" x14ac:dyDescent="0.2">
      <c r="A616" s="84"/>
      <c r="B616" s="84"/>
      <c r="C616" s="60"/>
      <c r="D616" s="66"/>
      <c r="E616" s="66"/>
      <c r="F616" s="66"/>
      <c r="G616" s="66"/>
      <c r="H616" s="66"/>
      <c r="I616" s="66"/>
      <c r="J616" s="66"/>
      <c r="K616" s="66"/>
      <c r="L616" s="66"/>
      <c r="M616" s="66"/>
      <c r="N616" s="66"/>
    </row>
    <row r="617" spans="1:14" x14ac:dyDescent="0.2">
      <c r="A617" s="84"/>
      <c r="B617" s="84"/>
      <c r="C617" s="60"/>
      <c r="D617" s="66"/>
      <c r="E617" s="66"/>
      <c r="F617" s="66"/>
      <c r="G617" s="66"/>
      <c r="H617" s="66"/>
      <c r="I617" s="66"/>
      <c r="J617" s="66"/>
      <c r="K617" s="66"/>
      <c r="L617" s="66"/>
      <c r="M617" s="66"/>
      <c r="N617" s="66"/>
    </row>
    <row r="618" spans="1:14" x14ac:dyDescent="0.2">
      <c r="A618" s="84"/>
      <c r="B618" s="84"/>
      <c r="C618" s="60"/>
      <c r="D618" s="66"/>
      <c r="E618" s="66"/>
      <c r="F618" s="66"/>
      <c r="G618" s="66"/>
      <c r="H618" s="66"/>
      <c r="I618" s="66"/>
      <c r="J618" s="66"/>
      <c r="K618" s="66"/>
      <c r="L618" s="66"/>
      <c r="M618" s="66"/>
      <c r="N618" s="66"/>
    </row>
    <row r="619" spans="1:14" x14ac:dyDescent="0.2">
      <c r="A619" s="84"/>
      <c r="B619" s="84"/>
      <c r="C619" s="60"/>
      <c r="D619" s="66"/>
      <c r="E619" s="66"/>
      <c r="F619" s="66"/>
      <c r="G619" s="66"/>
      <c r="H619" s="66"/>
      <c r="I619" s="66"/>
      <c r="J619" s="66"/>
      <c r="K619" s="66"/>
      <c r="L619" s="66"/>
      <c r="M619" s="66"/>
      <c r="N619" s="66"/>
    </row>
    <row r="620" spans="1:14" x14ac:dyDescent="0.2">
      <c r="A620" s="84"/>
      <c r="B620" s="84"/>
      <c r="C620" s="60"/>
      <c r="D620" s="66"/>
      <c r="E620" s="66"/>
      <c r="F620" s="66"/>
      <c r="G620" s="66"/>
      <c r="H620" s="66"/>
      <c r="I620" s="66"/>
      <c r="J620" s="66"/>
      <c r="K620" s="66"/>
      <c r="L620" s="66"/>
      <c r="M620" s="66"/>
      <c r="N620" s="66"/>
    </row>
    <row r="621" spans="1:14" x14ac:dyDescent="0.2">
      <c r="A621" s="84"/>
      <c r="B621" s="84"/>
      <c r="C621" s="60"/>
      <c r="D621" s="66"/>
      <c r="E621" s="66"/>
      <c r="F621" s="66"/>
      <c r="G621" s="66"/>
      <c r="H621" s="66"/>
      <c r="I621" s="66"/>
      <c r="J621" s="66"/>
      <c r="K621" s="66"/>
      <c r="L621" s="66"/>
      <c r="M621" s="66"/>
      <c r="N621" s="66"/>
    </row>
    <row r="622" spans="1:14" x14ac:dyDescent="0.2">
      <c r="A622" s="84"/>
      <c r="B622" s="84"/>
      <c r="C622" s="60"/>
      <c r="D622" s="66"/>
      <c r="E622" s="66"/>
      <c r="F622" s="66"/>
      <c r="G622" s="66"/>
      <c r="H622" s="66"/>
      <c r="I622" s="66"/>
      <c r="J622" s="66"/>
      <c r="K622" s="66"/>
      <c r="L622" s="66"/>
      <c r="M622" s="66"/>
      <c r="N622" s="66"/>
    </row>
    <row r="623" spans="1:14" x14ac:dyDescent="0.2">
      <c r="A623" s="84"/>
      <c r="B623" s="84"/>
      <c r="C623" s="60"/>
      <c r="D623" s="66"/>
      <c r="E623" s="66"/>
      <c r="F623" s="66"/>
      <c r="G623" s="66"/>
      <c r="H623" s="66"/>
      <c r="I623" s="66"/>
      <c r="J623" s="66"/>
      <c r="K623" s="66"/>
      <c r="L623" s="66"/>
      <c r="M623" s="66"/>
      <c r="N623" s="66"/>
    </row>
    <row r="624" spans="1:14" x14ac:dyDescent="0.2">
      <c r="A624" s="84"/>
      <c r="B624" s="84"/>
      <c r="C624" s="60"/>
      <c r="D624" s="66"/>
      <c r="E624" s="66"/>
      <c r="F624" s="66"/>
      <c r="G624" s="66"/>
      <c r="H624" s="66"/>
      <c r="I624" s="66"/>
      <c r="J624" s="66"/>
      <c r="K624" s="66"/>
      <c r="L624" s="66"/>
      <c r="M624" s="66"/>
      <c r="N624" s="66"/>
    </row>
    <row r="625" spans="1:14" x14ac:dyDescent="0.2">
      <c r="A625" s="84"/>
      <c r="B625" s="84"/>
      <c r="C625" s="60"/>
      <c r="D625" s="66"/>
      <c r="E625" s="66"/>
      <c r="F625" s="66"/>
      <c r="G625" s="66"/>
      <c r="H625" s="66"/>
      <c r="I625" s="66"/>
      <c r="J625" s="66"/>
      <c r="K625" s="66"/>
      <c r="L625" s="66"/>
      <c r="M625" s="66"/>
      <c r="N625" s="66"/>
    </row>
    <row r="626" spans="1:14" x14ac:dyDescent="0.2">
      <c r="A626" s="84"/>
      <c r="B626" s="84"/>
      <c r="C626" s="60"/>
      <c r="D626" s="66"/>
      <c r="E626" s="66"/>
      <c r="F626" s="66"/>
      <c r="G626" s="66"/>
      <c r="H626" s="66"/>
      <c r="I626" s="66"/>
      <c r="J626" s="66"/>
      <c r="K626" s="66"/>
      <c r="L626" s="66"/>
      <c r="M626" s="66"/>
      <c r="N626" s="66"/>
    </row>
    <row r="627" spans="1:14" x14ac:dyDescent="0.2">
      <c r="A627" s="84"/>
      <c r="B627" s="84"/>
      <c r="C627" s="60"/>
      <c r="D627" s="66"/>
      <c r="E627" s="66"/>
      <c r="F627" s="66"/>
      <c r="G627" s="66"/>
      <c r="H627" s="66"/>
      <c r="I627" s="66"/>
      <c r="J627" s="66"/>
      <c r="K627" s="66"/>
      <c r="L627" s="66"/>
      <c r="M627" s="66"/>
      <c r="N627" s="66"/>
    </row>
    <row r="628" spans="1:14" x14ac:dyDescent="0.2">
      <c r="A628" s="84"/>
      <c r="B628" s="84"/>
      <c r="C628" s="60"/>
      <c r="D628" s="66"/>
      <c r="E628" s="66"/>
      <c r="F628" s="66"/>
      <c r="G628" s="66"/>
      <c r="H628" s="66"/>
      <c r="I628" s="66"/>
      <c r="J628" s="66"/>
      <c r="K628" s="66"/>
      <c r="L628" s="66"/>
      <c r="M628" s="66"/>
      <c r="N628" s="66"/>
    </row>
    <row r="629" spans="1:14" x14ac:dyDescent="0.2">
      <c r="A629" s="84"/>
      <c r="B629" s="84"/>
      <c r="C629" s="60"/>
      <c r="D629" s="66"/>
      <c r="E629" s="66"/>
      <c r="F629" s="66"/>
      <c r="G629" s="66"/>
      <c r="H629" s="66"/>
      <c r="I629" s="66"/>
      <c r="J629" s="66"/>
      <c r="K629" s="66"/>
      <c r="L629" s="66"/>
      <c r="M629" s="66"/>
      <c r="N629" s="66"/>
    </row>
    <row r="630" spans="1:14" x14ac:dyDescent="0.2">
      <c r="A630" s="84"/>
      <c r="B630" s="84"/>
      <c r="C630" s="60"/>
      <c r="D630" s="66"/>
      <c r="E630" s="66"/>
      <c r="F630" s="66"/>
      <c r="G630" s="66"/>
      <c r="H630" s="66"/>
      <c r="I630" s="66"/>
      <c r="J630" s="66"/>
      <c r="K630" s="66"/>
      <c r="L630" s="66"/>
      <c r="M630" s="66"/>
      <c r="N630" s="66"/>
    </row>
    <row r="631" spans="1:14" x14ac:dyDescent="0.2">
      <c r="A631" s="84"/>
      <c r="B631" s="84"/>
      <c r="C631" s="60"/>
      <c r="D631" s="66"/>
      <c r="E631" s="66"/>
      <c r="F631" s="66"/>
      <c r="G631" s="66"/>
      <c r="H631" s="66"/>
      <c r="I631" s="66"/>
      <c r="J631" s="66"/>
      <c r="K631" s="66"/>
      <c r="L631" s="66"/>
      <c r="M631" s="66"/>
      <c r="N631" s="66"/>
    </row>
    <row r="632" spans="1:14" x14ac:dyDescent="0.2">
      <c r="A632" s="84"/>
      <c r="B632" s="84"/>
      <c r="C632" s="60"/>
      <c r="D632" s="66"/>
      <c r="E632" s="66"/>
      <c r="F632" s="66"/>
      <c r="G632" s="66"/>
      <c r="H632" s="66"/>
      <c r="I632" s="66"/>
      <c r="J632" s="66"/>
      <c r="K632" s="66"/>
      <c r="L632" s="66"/>
      <c r="M632" s="66"/>
      <c r="N632" s="66"/>
    </row>
    <row r="633" spans="1:14" x14ac:dyDescent="0.2">
      <c r="A633" s="84"/>
      <c r="B633" s="84"/>
      <c r="C633" s="60"/>
      <c r="D633" s="66"/>
      <c r="E633" s="66"/>
      <c r="F633" s="66"/>
      <c r="G633" s="66"/>
      <c r="H633" s="66"/>
      <c r="I633" s="66"/>
      <c r="J633" s="66"/>
      <c r="K633" s="66"/>
      <c r="L633" s="66"/>
      <c r="M633" s="66"/>
      <c r="N633" s="66"/>
    </row>
    <row r="634" spans="1:14" x14ac:dyDescent="0.2">
      <c r="A634" s="84"/>
      <c r="B634" s="84"/>
      <c r="C634" s="60"/>
      <c r="D634" s="66"/>
      <c r="E634" s="66"/>
      <c r="F634" s="66"/>
      <c r="G634" s="66"/>
      <c r="H634" s="66"/>
      <c r="I634" s="66"/>
      <c r="J634" s="66"/>
      <c r="K634" s="66"/>
      <c r="L634" s="66"/>
      <c r="M634" s="66"/>
      <c r="N634" s="66"/>
    </row>
    <row r="635" spans="1:14" x14ac:dyDescent="0.2">
      <c r="A635" s="84"/>
      <c r="B635" s="84"/>
      <c r="C635" s="60"/>
      <c r="D635" s="66"/>
      <c r="E635" s="66"/>
      <c r="F635" s="66"/>
      <c r="G635" s="66"/>
      <c r="H635" s="66"/>
      <c r="I635" s="66"/>
      <c r="J635" s="66"/>
      <c r="K635" s="66"/>
      <c r="L635" s="66"/>
      <c r="M635" s="66"/>
      <c r="N635" s="66"/>
    </row>
    <row r="636" spans="1:14" x14ac:dyDescent="0.2">
      <c r="A636" s="84"/>
      <c r="B636" s="84"/>
      <c r="C636" s="60"/>
      <c r="D636" s="66"/>
      <c r="E636" s="66"/>
      <c r="F636" s="66"/>
      <c r="G636" s="66"/>
      <c r="H636" s="66"/>
      <c r="I636" s="66"/>
      <c r="J636" s="66"/>
      <c r="K636" s="66"/>
      <c r="L636" s="66"/>
      <c r="M636" s="66"/>
      <c r="N636" s="66"/>
    </row>
    <row r="637" spans="1:14" x14ac:dyDescent="0.2">
      <c r="A637" s="84"/>
      <c r="B637" s="84"/>
      <c r="C637" s="60"/>
      <c r="D637" s="66"/>
      <c r="E637" s="66"/>
      <c r="F637" s="66"/>
      <c r="G637" s="66"/>
      <c r="H637" s="66"/>
      <c r="I637" s="66"/>
      <c r="J637" s="66"/>
      <c r="K637" s="66"/>
      <c r="L637" s="66"/>
      <c r="M637" s="66"/>
      <c r="N637" s="66"/>
    </row>
    <row r="638" spans="1:14" x14ac:dyDescent="0.2">
      <c r="A638" s="84"/>
      <c r="B638" s="84"/>
      <c r="C638" s="60"/>
      <c r="D638" s="66"/>
      <c r="E638" s="66"/>
      <c r="F638" s="66"/>
      <c r="G638" s="66"/>
      <c r="H638" s="66"/>
      <c r="I638" s="66"/>
      <c r="J638" s="66"/>
      <c r="K638" s="66"/>
      <c r="L638" s="66"/>
      <c r="M638" s="66"/>
      <c r="N638" s="66"/>
    </row>
    <row r="639" spans="1:14" x14ac:dyDescent="0.2">
      <c r="A639" s="84"/>
      <c r="B639" s="84"/>
      <c r="C639" s="60"/>
      <c r="D639" s="66"/>
      <c r="E639" s="66"/>
      <c r="F639" s="66"/>
      <c r="G639" s="66"/>
      <c r="H639" s="66"/>
      <c r="I639" s="66"/>
      <c r="J639" s="66"/>
      <c r="K639" s="66"/>
      <c r="L639" s="66"/>
      <c r="M639" s="66"/>
      <c r="N639" s="66"/>
    </row>
    <row r="640" spans="1:14" x14ac:dyDescent="0.2">
      <c r="A640" s="84"/>
      <c r="B640" s="84"/>
      <c r="C640" s="60"/>
      <c r="D640" s="66"/>
      <c r="E640" s="66"/>
      <c r="F640" s="66"/>
      <c r="G640" s="66"/>
      <c r="H640" s="66"/>
      <c r="I640" s="66"/>
      <c r="J640" s="66"/>
      <c r="K640" s="66"/>
      <c r="L640" s="66"/>
      <c r="M640" s="66"/>
      <c r="N640" s="66"/>
    </row>
    <row r="641" spans="1:14" x14ac:dyDescent="0.2">
      <c r="A641" s="84"/>
      <c r="B641" s="84"/>
      <c r="C641" s="60"/>
      <c r="D641" s="66"/>
      <c r="E641" s="66"/>
      <c r="F641" s="66"/>
      <c r="G641" s="66"/>
      <c r="H641" s="66"/>
      <c r="I641" s="66"/>
      <c r="J641" s="66"/>
      <c r="K641" s="66"/>
      <c r="L641" s="66"/>
      <c r="M641" s="66"/>
      <c r="N641" s="66"/>
    </row>
    <row r="642" spans="1:14" x14ac:dyDescent="0.2">
      <c r="A642" s="84"/>
      <c r="B642" s="84"/>
      <c r="C642" s="60"/>
      <c r="D642" s="66"/>
      <c r="E642" s="66"/>
      <c r="F642" s="66"/>
      <c r="G642" s="66"/>
      <c r="H642" s="66"/>
      <c r="I642" s="66"/>
      <c r="J642" s="66"/>
      <c r="K642" s="66"/>
      <c r="L642" s="66"/>
      <c r="M642" s="66"/>
      <c r="N642" s="66"/>
    </row>
    <row r="643" spans="1:14" x14ac:dyDescent="0.2">
      <c r="A643" s="84"/>
      <c r="B643" s="84"/>
      <c r="C643" s="60"/>
      <c r="D643" s="66"/>
      <c r="E643" s="66"/>
      <c r="F643" s="66"/>
      <c r="G643" s="66"/>
      <c r="H643" s="66"/>
      <c r="I643" s="66"/>
      <c r="J643" s="66"/>
      <c r="K643" s="66"/>
      <c r="L643" s="66"/>
      <c r="M643" s="66"/>
      <c r="N643" s="66"/>
    </row>
    <row r="644" spans="1:14" x14ac:dyDescent="0.2">
      <c r="A644" s="84"/>
      <c r="B644" s="84"/>
      <c r="C644" s="60"/>
      <c r="D644" s="66"/>
      <c r="E644" s="66"/>
      <c r="F644" s="66"/>
      <c r="G644" s="66"/>
      <c r="H644" s="66"/>
      <c r="I644" s="66"/>
      <c r="J644" s="66"/>
      <c r="K644" s="66"/>
      <c r="L644" s="66"/>
      <c r="M644" s="66"/>
      <c r="N644" s="66"/>
    </row>
    <row r="645" spans="1:14" x14ac:dyDescent="0.2">
      <c r="A645" s="84"/>
      <c r="B645" s="84"/>
      <c r="C645" s="60"/>
      <c r="D645" s="66"/>
      <c r="E645" s="66"/>
      <c r="F645" s="66"/>
      <c r="G645" s="66"/>
      <c r="H645" s="66"/>
      <c r="I645" s="66"/>
      <c r="J645" s="66"/>
      <c r="K645" s="66"/>
      <c r="L645" s="66"/>
      <c r="M645" s="66"/>
      <c r="N645" s="66"/>
    </row>
    <row r="646" spans="1:14" x14ac:dyDescent="0.2">
      <c r="A646" s="84"/>
      <c r="B646" s="84"/>
      <c r="C646" s="60"/>
      <c r="D646" s="66"/>
      <c r="E646" s="66"/>
      <c r="F646" s="66"/>
      <c r="G646" s="66"/>
      <c r="H646" s="66"/>
      <c r="I646" s="66"/>
      <c r="J646" s="66"/>
      <c r="K646" s="66"/>
      <c r="L646" s="66"/>
      <c r="M646" s="66"/>
      <c r="N646" s="66"/>
    </row>
    <row r="647" spans="1:14" x14ac:dyDescent="0.2">
      <c r="A647" s="84"/>
      <c r="B647" s="84"/>
      <c r="C647" s="60"/>
      <c r="D647" s="66"/>
      <c r="E647" s="66"/>
      <c r="F647" s="66"/>
      <c r="G647" s="66"/>
      <c r="H647" s="66"/>
      <c r="I647" s="66"/>
      <c r="J647" s="66"/>
      <c r="K647" s="66"/>
      <c r="L647" s="66"/>
      <c r="M647" s="66"/>
      <c r="N647" s="66"/>
    </row>
    <row r="648" spans="1:14" x14ac:dyDescent="0.2">
      <c r="A648" s="84"/>
      <c r="B648" s="84"/>
      <c r="C648" s="60"/>
      <c r="D648" s="66"/>
      <c r="E648" s="66"/>
      <c r="F648" s="66"/>
      <c r="G648" s="66"/>
      <c r="H648" s="66"/>
      <c r="I648" s="66"/>
      <c r="J648" s="66"/>
      <c r="K648" s="66"/>
      <c r="L648" s="66"/>
      <c r="M648" s="66"/>
      <c r="N648" s="66"/>
    </row>
    <row r="649" spans="1:14" x14ac:dyDescent="0.2">
      <c r="A649" s="84"/>
      <c r="B649" s="84"/>
      <c r="C649" s="60"/>
      <c r="D649" s="66"/>
      <c r="E649" s="66"/>
      <c r="F649" s="66"/>
      <c r="G649" s="66"/>
      <c r="H649" s="66"/>
      <c r="I649" s="66"/>
      <c r="J649" s="66"/>
      <c r="K649" s="66"/>
      <c r="L649" s="66"/>
      <c r="M649" s="66"/>
      <c r="N649" s="66"/>
    </row>
    <row r="650" spans="1:14" x14ac:dyDescent="0.2">
      <c r="A650" s="84"/>
      <c r="B650" s="84"/>
      <c r="C650" s="60"/>
      <c r="D650" s="66"/>
      <c r="E650" s="66"/>
      <c r="F650" s="66"/>
      <c r="G650" s="66"/>
      <c r="H650" s="66"/>
      <c r="I650" s="66"/>
      <c r="J650" s="66"/>
      <c r="K650" s="66"/>
      <c r="L650" s="66"/>
      <c r="M650" s="66"/>
      <c r="N650" s="66"/>
    </row>
    <row r="651" spans="1:14" x14ac:dyDescent="0.2">
      <c r="A651" s="84"/>
      <c r="B651" s="84"/>
      <c r="C651" s="60"/>
      <c r="D651" s="66"/>
      <c r="E651" s="66"/>
      <c r="F651" s="66"/>
      <c r="G651" s="66"/>
      <c r="H651" s="66"/>
      <c r="I651" s="66"/>
      <c r="J651" s="66"/>
      <c r="K651" s="66"/>
      <c r="L651" s="66"/>
      <c r="M651" s="66"/>
      <c r="N651" s="66"/>
    </row>
    <row r="652" spans="1:14" x14ac:dyDescent="0.2">
      <c r="A652" s="84"/>
      <c r="B652" s="84"/>
      <c r="C652" s="60"/>
      <c r="D652" s="66"/>
      <c r="E652" s="66"/>
      <c r="F652" s="66"/>
      <c r="G652" s="66"/>
      <c r="H652" s="66"/>
      <c r="I652" s="66"/>
      <c r="J652" s="66"/>
      <c r="K652" s="66"/>
      <c r="L652" s="66"/>
      <c r="M652" s="66"/>
      <c r="N652" s="66"/>
    </row>
    <row r="653" spans="1:14" x14ac:dyDescent="0.2">
      <c r="A653" s="84"/>
      <c r="B653" s="84"/>
      <c r="C653" s="60"/>
      <c r="D653" s="66"/>
      <c r="E653" s="66"/>
      <c r="F653" s="66"/>
      <c r="G653" s="66"/>
      <c r="H653" s="66"/>
      <c r="I653" s="66"/>
      <c r="J653" s="66"/>
      <c r="K653" s="66"/>
      <c r="L653" s="66"/>
      <c r="M653" s="66"/>
      <c r="N653" s="66"/>
    </row>
    <row r="654" spans="1:14" x14ac:dyDescent="0.2">
      <c r="A654" s="84"/>
      <c r="B654" s="84"/>
      <c r="C654" s="60"/>
      <c r="D654" s="66"/>
      <c r="E654" s="66"/>
      <c r="F654" s="66"/>
      <c r="G654" s="66"/>
      <c r="H654" s="66"/>
      <c r="I654" s="66"/>
      <c r="J654" s="66"/>
      <c r="K654" s="66"/>
      <c r="L654" s="66"/>
      <c r="M654" s="66"/>
      <c r="N654" s="66"/>
    </row>
    <row r="655" spans="1:14" x14ac:dyDescent="0.2">
      <c r="A655" s="84"/>
      <c r="B655" s="84"/>
      <c r="C655" s="60"/>
      <c r="D655" s="66"/>
      <c r="E655" s="66"/>
      <c r="F655" s="66"/>
      <c r="G655" s="66"/>
      <c r="H655" s="66"/>
      <c r="I655" s="66"/>
      <c r="J655" s="66"/>
      <c r="K655" s="66"/>
      <c r="L655" s="66"/>
      <c r="M655" s="66"/>
      <c r="N655" s="66"/>
    </row>
    <row r="656" spans="1:14" x14ac:dyDescent="0.2">
      <c r="A656" s="84"/>
      <c r="B656" s="84"/>
      <c r="C656" s="60"/>
      <c r="D656" s="66"/>
      <c r="E656" s="66"/>
      <c r="F656" s="66"/>
      <c r="G656" s="66"/>
      <c r="H656" s="66"/>
      <c r="I656" s="66"/>
      <c r="J656" s="66"/>
      <c r="K656" s="66"/>
      <c r="L656" s="66"/>
      <c r="M656" s="66"/>
      <c r="N656" s="66"/>
    </row>
    <row r="657" spans="1:14" x14ac:dyDescent="0.2">
      <c r="A657" s="84"/>
      <c r="B657" s="84"/>
      <c r="C657" s="60"/>
      <c r="D657" s="66"/>
      <c r="E657" s="66"/>
      <c r="F657" s="66"/>
      <c r="G657" s="66"/>
      <c r="H657" s="66"/>
      <c r="I657" s="66"/>
      <c r="J657" s="66"/>
      <c r="K657" s="66"/>
      <c r="L657" s="66"/>
      <c r="M657" s="66"/>
      <c r="N657" s="66"/>
    </row>
    <row r="658" spans="1:14" x14ac:dyDescent="0.2">
      <c r="A658" s="84"/>
      <c r="B658" s="84"/>
      <c r="C658" s="60"/>
      <c r="D658" s="66"/>
      <c r="E658" s="66"/>
      <c r="F658" s="66"/>
      <c r="G658" s="66"/>
      <c r="H658" s="66"/>
      <c r="I658" s="66"/>
      <c r="J658" s="66"/>
      <c r="K658" s="66"/>
      <c r="L658" s="66"/>
      <c r="M658" s="66"/>
      <c r="N658" s="66"/>
    </row>
    <row r="659" spans="1:14" x14ac:dyDescent="0.2">
      <c r="A659" s="84"/>
      <c r="B659" s="84"/>
      <c r="C659" s="60"/>
      <c r="D659" s="66"/>
      <c r="E659" s="66"/>
      <c r="F659" s="66"/>
      <c r="G659" s="66"/>
      <c r="H659" s="66"/>
      <c r="I659" s="66"/>
      <c r="J659" s="66"/>
      <c r="K659" s="66"/>
      <c r="L659" s="66"/>
      <c r="M659" s="66"/>
      <c r="N659" s="66"/>
    </row>
    <row r="660" spans="1:14" x14ac:dyDescent="0.2">
      <c r="A660" s="84"/>
      <c r="B660" s="84"/>
      <c r="C660" s="60"/>
      <c r="D660" s="66"/>
      <c r="E660" s="66"/>
      <c r="F660" s="66"/>
      <c r="G660" s="66"/>
      <c r="H660" s="66"/>
      <c r="I660" s="66"/>
      <c r="J660" s="66"/>
      <c r="K660" s="66"/>
      <c r="L660" s="66"/>
      <c r="M660" s="66"/>
      <c r="N660" s="66"/>
    </row>
    <row r="661" spans="1:14" x14ac:dyDescent="0.2">
      <c r="A661" s="84"/>
      <c r="B661" s="84"/>
      <c r="C661" s="60"/>
      <c r="D661" s="66"/>
      <c r="E661" s="66"/>
      <c r="F661" s="66"/>
      <c r="G661" s="66"/>
      <c r="H661" s="66"/>
      <c r="I661" s="66"/>
      <c r="J661" s="66"/>
      <c r="K661" s="66"/>
      <c r="L661" s="66"/>
      <c r="M661" s="66"/>
      <c r="N661" s="66"/>
    </row>
    <row r="662" spans="1:14" x14ac:dyDescent="0.2">
      <c r="A662" s="84"/>
      <c r="B662" s="84"/>
      <c r="C662" s="60"/>
      <c r="D662" s="66"/>
      <c r="E662" s="66"/>
      <c r="F662" s="66"/>
      <c r="G662" s="66"/>
      <c r="H662" s="66"/>
      <c r="I662" s="66"/>
      <c r="J662" s="66"/>
      <c r="K662" s="66"/>
      <c r="L662" s="66"/>
      <c r="M662" s="66"/>
      <c r="N662" s="66"/>
    </row>
    <row r="663" spans="1:14" x14ac:dyDescent="0.2">
      <c r="A663" s="84"/>
      <c r="B663" s="84"/>
      <c r="C663" s="60"/>
      <c r="D663" s="66"/>
      <c r="E663" s="66"/>
      <c r="F663" s="66"/>
      <c r="G663" s="66"/>
      <c r="H663" s="66"/>
      <c r="I663" s="66"/>
      <c r="J663" s="66"/>
      <c r="K663" s="66"/>
      <c r="L663" s="66"/>
      <c r="M663" s="66"/>
      <c r="N663" s="66"/>
    </row>
    <row r="664" spans="1:14" x14ac:dyDescent="0.2">
      <c r="A664" s="84"/>
      <c r="B664" s="84"/>
      <c r="C664" s="60"/>
      <c r="D664" s="66"/>
      <c r="E664" s="66"/>
      <c r="F664" s="66"/>
      <c r="G664" s="66"/>
      <c r="H664" s="66"/>
      <c r="I664" s="66"/>
      <c r="J664" s="66"/>
      <c r="K664" s="66"/>
      <c r="L664" s="66"/>
      <c r="M664" s="66"/>
      <c r="N664" s="66"/>
    </row>
    <row r="665" spans="1:14" x14ac:dyDescent="0.2">
      <c r="A665" s="84"/>
      <c r="B665" s="84"/>
      <c r="C665" s="60"/>
      <c r="D665" s="66"/>
      <c r="E665" s="66"/>
      <c r="F665" s="66"/>
      <c r="G665" s="66"/>
      <c r="H665" s="66"/>
      <c r="I665" s="66"/>
      <c r="J665" s="66"/>
      <c r="K665" s="66"/>
      <c r="L665" s="66"/>
      <c r="M665" s="66"/>
      <c r="N665" s="66"/>
    </row>
    <row r="666" spans="1:14" x14ac:dyDescent="0.2">
      <c r="A666" s="84"/>
      <c r="B666" s="84"/>
      <c r="C666" s="60"/>
      <c r="D666" s="66"/>
      <c r="E666" s="66"/>
      <c r="F666" s="66"/>
      <c r="G666" s="66"/>
      <c r="H666" s="66"/>
      <c r="I666" s="66"/>
      <c r="J666" s="66"/>
      <c r="K666" s="66"/>
      <c r="L666" s="66"/>
      <c r="M666" s="66"/>
      <c r="N666" s="66"/>
    </row>
    <row r="667" spans="1:14" x14ac:dyDescent="0.2">
      <c r="A667" s="84"/>
      <c r="B667" s="84"/>
      <c r="C667" s="60"/>
      <c r="D667" s="66"/>
      <c r="E667" s="66"/>
      <c r="F667" s="66"/>
      <c r="G667" s="66"/>
      <c r="H667" s="66"/>
      <c r="I667" s="66"/>
      <c r="J667" s="66"/>
      <c r="K667" s="66"/>
      <c r="L667" s="66"/>
      <c r="M667" s="66"/>
      <c r="N667" s="66"/>
    </row>
    <row r="668" spans="1:14" x14ac:dyDescent="0.2">
      <c r="A668" s="84"/>
      <c r="B668" s="84"/>
      <c r="C668" s="60"/>
      <c r="D668" s="66"/>
      <c r="E668" s="66"/>
      <c r="F668" s="66"/>
      <c r="G668" s="66"/>
      <c r="H668" s="66"/>
      <c r="I668" s="66"/>
      <c r="J668" s="66"/>
      <c r="K668" s="66"/>
      <c r="L668" s="66"/>
      <c r="M668" s="66"/>
      <c r="N668" s="66"/>
    </row>
    <row r="669" spans="1:14" x14ac:dyDescent="0.2">
      <c r="A669" s="84"/>
      <c r="B669" s="84"/>
      <c r="C669" s="60"/>
      <c r="D669" s="66"/>
      <c r="E669" s="66"/>
      <c r="F669" s="66"/>
      <c r="G669" s="66"/>
      <c r="H669" s="66"/>
      <c r="I669" s="66"/>
      <c r="J669" s="66"/>
      <c r="K669" s="66"/>
      <c r="L669" s="66"/>
      <c r="M669" s="66"/>
      <c r="N669" s="66"/>
    </row>
    <row r="670" spans="1:14" x14ac:dyDescent="0.2">
      <c r="A670" s="84"/>
      <c r="B670" s="84"/>
      <c r="C670" s="60"/>
      <c r="D670" s="66"/>
      <c r="E670" s="66"/>
      <c r="F670" s="66"/>
      <c r="G670" s="66"/>
      <c r="H670" s="66"/>
      <c r="I670" s="66"/>
      <c r="J670" s="66"/>
      <c r="K670" s="66"/>
      <c r="L670" s="66"/>
      <c r="M670" s="66"/>
      <c r="N670" s="66"/>
    </row>
    <row r="671" spans="1:14" x14ac:dyDescent="0.2">
      <c r="A671" s="84"/>
      <c r="B671" s="84"/>
      <c r="C671" s="60"/>
      <c r="D671" s="66"/>
      <c r="E671" s="66"/>
      <c r="F671" s="66"/>
      <c r="G671" s="66"/>
      <c r="H671" s="66"/>
      <c r="I671" s="66"/>
      <c r="J671" s="66"/>
      <c r="K671" s="66"/>
      <c r="L671" s="66"/>
      <c r="M671" s="66"/>
      <c r="N671" s="66"/>
    </row>
    <row r="672" spans="1:14" x14ac:dyDescent="0.2">
      <c r="A672" s="84"/>
      <c r="B672" s="84"/>
      <c r="C672" s="60"/>
      <c r="D672" s="66"/>
      <c r="E672" s="66"/>
      <c r="F672" s="66"/>
      <c r="G672" s="66"/>
      <c r="H672" s="66"/>
      <c r="I672" s="66"/>
      <c r="J672" s="66"/>
      <c r="K672" s="66"/>
      <c r="L672" s="66"/>
      <c r="M672" s="66"/>
      <c r="N672" s="66"/>
    </row>
    <row r="673" spans="1:14" x14ac:dyDescent="0.2">
      <c r="A673" s="84"/>
      <c r="B673" s="84"/>
      <c r="C673" s="60"/>
      <c r="D673" s="66"/>
      <c r="E673" s="66"/>
      <c r="F673" s="66"/>
      <c r="G673" s="66"/>
      <c r="H673" s="66"/>
      <c r="I673" s="66"/>
      <c r="J673" s="66"/>
      <c r="K673" s="66"/>
      <c r="L673" s="66"/>
      <c r="M673" s="66"/>
      <c r="N673" s="66"/>
    </row>
    <row r="674" spans="1:14" x14ac:dyDescent="0.2">
      <c r="A674" s="84"/>
      <c r="B674" s="84"/>
      <c r="C674" s="60"/>
      <c r="D674" s="66"/>
      <c r="E674" s="66"/>
      <c r="F674" s="66"/>
      <c r="G674" s="66"/>
      <c r="H674" s="66"/>
      <c r="I674" s="66"/>
      <c r="J674" s="66"/>
      <c r="K674" s="66"/>
      <c r="L674" s="66"/>
      <c r="M674" s="66"/>
      <c r="N674" s="66"/>
    </row>
    <row r="675" spans="1:14" x14ac:dyDescent="0.2">
      <c r="A675" s="84"/>
      <c r="B675" s="84"/>
      <c r="C675" s="60"/>
      <c r="D675" s="66"/>
      <c r="E675" s="66"/>
      <c r="F675" s="66"/>
      <c r="G675" s="66"/>
      <c r="H675" s="66"/>
      <c r="I675" s="66"/>
      <c r="J675" s="66"/>
      <c r="K675" s="66"/>
      <c r="L675" s="66"/>
      <c r="M675" s="66"/>
      <c r="N675" s="66"/>
    </row>
    <row r="676" spans="1:14" x14ac:dyDescent="0.2">
      <c r="A676" s="84"/>
      <c r="B676" s="84"/>
      <c r="C676" s="60"/>
      <c r="D676" s="66"/>
      <c r="E676" s="66"/>
      <c r="F676" s="66"/>
      <c r="G676" s="66"/>
      <c r="H676" s="66"/>
      <c r="I676" s="66"/>
      <c r="J676" s="66"/>
      <c r="K676" s="66"/>
      <c r="L676" s="66"/>
      <c r="M676" s="66"/>
      <c r="N676" s="66"/>
    </row>
    <row r="677" spans="1:14" x14ac:dyDescent="0.2">
      <c r="A677" s="84"/>
      <c r="B677" s="84"/>
      <c r="C677" s="60"/>
      <c r="D677" s="66"/>
      <c r="E677" s="66"/>
      <c r="F677" s="66"/>
      <c r="G677" s="66"/>
      <c r="H677" s="66"/>
      <c r="I677" s="66"/>
      <c r="J677" s="66"/>
      <c r="K677" s="66"/>
      <c r="L677" s="66"/>
      <c r="M677" s="66"/>
      <c r="N677" s="66"/>
    </row>
    <row r="678" spans="1:14" x14ac:dyDescent="0.2">
      <c r="A678" s="84"/>
      <c r="B678" s="84"/>
      <c r="C678" s="60"/>
      <c r="D678" s="66"/>
      <c r="E678" s="66"/>
      <c r="F678" s="66"/>
      <c r="G678" s="66"/>
      <c r="H678" s="66"/>
      <c r="I678" s="66"/>
      <c r="J678" s="66"/>
      <c r="K678" s="66"/>
      <c r="L678" s="66"/>
      <c r="M678" s="66"/>
      <c r="N678" s="66"/>
    </row>
    <row r="679" spans="1:14" x14ac:dyDescent="0.2">
      <c r="A679" s="84"/>
      <c r="B679" s="84"/>
      <c r="C679" s="60"/>
      <c r="D679" s="66"/>
      <c r="E679" s="66"/>
      <c r="F679" s="66"/>
      <c r="G679" s="66"/>
      <c r="H679" s="66"/>
      <c r="I679" s="66"/>
      <c r="J679" s="66"/>
      <c r="K679" s="66"/>
      <c r="L679" s="66"/>
      <c r="M679" s="66"/>
      <c r="N679" s="66"/>
    </row>
    <row r="680" spans="1:14" x14ac:dyDescent="0.2">
      <c r="A680" s="84"/>
      <c r="B680" s="84"/>
      <c r="C680" s="60"/>
      <c r="D680" s="66"/>
      <c r="E680" s="66"/>
      <c r="F680" s="66"/>
      <c r="G680" s="66"/>
      <c r="H680" s="66"/>
      <c r="I680" s="66"/>
      <c r="J680" s="66"/>
      <c r="K680" s="66"/>
      <c r="L680" s="66"/>
      <c r="M680" s="66"/>
      <c r="N680" s="66"/>
    </row>
    <row r="681" spans="1:14" x14ac:dyDescent="0.2">
      <c r="A681" s="84"/>
      <c r="B681" s="84"/>
      <c r="C681" s="60"/>
      <c r="D681" s="66"/>
      <c r="E681" s="66"/>
      <c r="F681" s="66"/>
      <c r="G681" s="66"/>
      <c r="H681" s="66"/>
      <c r="I681" s="66"/>
      <c r="J681" s="66"/>
      <c r="K681" s="66"/>
      <c r="L681" s="66"/>
      <c r="M681" s="66"/>
      <c r="N681" s="66"/>
    </row>
    <row r="682" spans="1:14" x14ac:dyDescent="0.2">
      <c r="A682" s="84"/>
      <c r="B682" s="84"/>
      <c r="C682" s="60"/>
      <c r="D682" s="66"/>
      <c r="E682" s="66"/>
      <c r="F682" s="66"/>
      <c r="G682" s="66"/>
      <c r="H682" s="66"/>
      <c r="I682" s="66"/>
      <c r="J682" s="66"/>
      <c r="K682" s="66"/>
      <c r="L682" s="66"/>
      <c r="M682" s="66"/>
      <c r="N682" s="66"/>
    </row>
    <row r="683" spans="1:14" x14ac:dyDescent="0.2">
      <c r="A683" s="84"/>
      <c r="B683" s="84"/>
      <c r="C683" s="60"/>
      <c r="D683" s="66"/>
      <c r="E683" s="66"/>
      <c r="F683" s="66"/>
      <c r="G683" s="66"/>
      <c r="H683" s="66"/>
      <c r="I683" s="66"/>
      <c r="J683" s="66"/>
      <c r="K683" s="66"/>
      <c r="L683" s="66"/>
      <c r="M683" s="66"/>
      <c r="N683" s="66"/>
    </row>
    <row r="684" spans="1:14" x14ac:dyDescent="0.2">
      <c r="A684" s="84"/>
      <c r="B684" s="84"/>
      <c r="C684" s="60"/>
      <c r="D684" s="66"/>
      <c r="E684" s="66"/>
      <c r="F684" s="66"/>
      <c r="G684" s="66"/>
      <c r="H684" s="66"/>
      <c r="I684" s="66"/>
      <c r="J684" s="66"/>
      <c r="K684" s="66"/>
      <c r="L684" s="66"/>
      <c r="M684" s="66"/>
      <c r="N684" s="66"/>
    </row>
    <row r="685" spans="1:14" x14ac:dyDescent="0.2">
      <c r="A685" s="84"/>
      <c r="B685" s="84"/>
      <c r="C685" s="60"/>
      <c r="D685" s="66"/>
      <c r="E685" s="66"/>
      <c r="F685" s="66"/>
      <c r="G685" s="66"/>
      <c r="H685" s="66"/>
      <c r="I685" s="66"/>
      <c r="J685" s="66"/>
      <c r="K685" s="66"/>
      <c r="L685" s="66"/>
      <c r="M685" s="66"/>
      <c r="N685" s="66"/>
    </row>
    <row r="686" spans="1:14" x14ac:dyDescent="0.2">
      <c r="A686" s="84"/>
      <c r="B686" s="84"/>
      <c r="C686" s="60"/>
      <c r="D686" s="66"/>
      <c r="E686" s="66"/>
      <c r="F686" s="66"/>
      <c r="G686" s="66"/>
      <c r="H686" s="66"/>
      <c r="I686" s="66"/>
      <c r="J686" s="66"/>
      <c r="K686" s="66"/>
      <c r="L686" s="66"/>
      <c r="M686" s="66"/>
      <c r="N686" s="66"/>
    </row>
    <row r="687" spans="1:14" x14ac:dyDescent="0.2">
      <c r="A687" s="84"/>
      <c r="B687" s="84"/>
      <c r="C687" s="60"/>
      <c r="D687" s="66"/>
      <c r="E687" s="66"/>
      <c r="F687" s="66"/>
      <c r="G687" s="66"/>
      <c r="H687" s="66"/>
      <c r="I687" s="66"/>
      <c r="J687" s="66"/>
      <c r="K687" s="66"/>
      <c r="L687" s="66"/>
      <c r="M687" s="66"/>
      <c r="N687" s="66"/>
    </row>
    <row r="688" spans="1:14" x14ac:dyDescent="0.2">
      <c r="A688" s="84"/>
      <c r="B688" s="84"/>
      <c r="C688" s="60"/>
      <c r="D688" s="66"/>
      <c r="E688" s="66"/>
      <c r="F688" s="66"/>
      <c r="G688" s="66"/>
      <c r="H688" s="66"/>
      <c r="I688" s="66"/>
      <c r="J688" s="66"/>
      <c r="K688" s="66"/>
      <c r="L688" s="66"/>
      <c r="M688" s="66"/>
      <c r="N688" s="66"/>
    </row>
    <row r="689" spans="1:14" x14ac:dyDescent="0.2">
      <c r="A689" s="84"/>
      <c r="B689" s="84"/>
      <c r="C689" s="60"/>
      <c r="D689" s="66"/>
      <c r="E689" s="66"/>
      <c r="F689" s="66"/>
      <c r="G689" s="66"/>
      <c r="H689" s="66"/>
      <c r="I689" s="66"/>
      <c r="J689" s="66"/>
      <c r="K689" s="66"/>
      <c r="L689" s="66"/>
      <c r="M689" s="66"/>
      <c r="N689" s="66"/>
    </row>
    <row r="690" spans="1:14" x14ac:dyDescent="0.2">
      <c r="A690" s="84"/>
      <c r="B690" s="84"/>
      <c r="C690" s="60"/>
      <c r="D690" s="66"/>
      <c r="E690" s="66"/>
      <c r="F690" s="66"/>
      <c r="G690" s="66"/>
      <c r="H690" s="66"/>
      <c r="I690" s="66"/>
      <c r="J690" s="66"/>
      <c r="K690" s="66"/>
      <c r="L690" s="66"/>
      <c r="M690" s="66"/>
      <c r="N690" s="66"/>
    </row>
    <row r="691" spans="1:14" x14ac:dyDescent="0.2">
      <c r="A691" s="84"/>
      <c r="B691" s="84"/>
      <c r="C691" s="60"/>
      <c r="D691" s="66"/>
      <c r="E691" s="66"/>
      <c r="F691" s="66"/>
      <c r="G691" s="66"/>
      <c r="H691" s="66"/>
      <c r="I691" s="66"/>
      <c r="J691" s="66"/>
      <c r="K691" s="66"/>
      <c r="L691" s="66"/>
      <c r="M691" s="66"/>
      <c r="N691" s="66"/>
    </row>
    <row r="692" spans="1:14" x14ac:dyDescent="0.2">
      <c r="A692" s="84"/>
      <c r="B692" s="84"/>
      <c r="C692" s="60"/>
      <c r="D692" s="66"/>
      <c r="E692" s="66"/>
      <c r="F692" s="66"/>
      <c r="G692" s="66"/>
      <c r="H692" s="66"/>
      <c r="I692" s="66"/>
      <c r="J692" s="66"/>
      <c r="K692" s="66"/>
      <c r="L692" s="66"/>
      <c r="M692" s="66"/>
      <c r="N692" s="66"/>
    </row>
    <row r="693" spans="1:14" x14ac:dyDescent="0.2">
      <c r="A693" s="84"/>
      <c r="B693" s="84"/>
      <c r="C693" s="60"/>
      <c r="D693" s="66"/>
      <c r="E693" s="66"/>
      <c r="F693" s="66"/>
      <c r="G693" s="66"/>
      <c r="H693" s="66"/>
      <c r="I693" s="66"/>
      <c r="J693" s="66"/>
      <c r="K693" s="66"/>
      <c r="L693" s="66"/>
      <c r="M693" s="66"/>
      <c r="N693" s="66"/>
    </row>
    <row r="694" spans="1:14" x14ac:dyDescent="0.2">
      <c r="A694" s="84"/>
      <c r="B694" s="84"/>
      <c r="C694" s="60"/>
      <c r="D694" s="66"/>
      <c r="E694" s="66"/>
      <c r="F694" s="66"/>
      <c r="G694" s="66"/>
      <c r="H694" s="66"/>
      <c r="I694" s="66"/>
      <c r="J694" s="66"/>
      <c r="K694" s="66"/>
      <c r="L694" s="66"/>
      <c r="M694" s="66"/>
      <c r="N694" s="66"/>
    </row>
    <row r="695" spans="1:14" x14ac:dyDescent="0.2">
      <c r="A695" s="84"/>
      <c r="B695" s="84"/>
      <c r="C695" s="60"/>
      <c r="D695" s="66"/>
      <c r="E695" s="66"/>
      <c r="F695" s="66"/>
      <c r="G695" s="66"/>
      <c r="H695" s="66"/>
      <c r="I695" s="66"/>
      <c r="J695" s="66"/>
      <c r="K695" s="66"/>
      <c r="L695" s="66"/>
      <c r="M695" s="66"/>
      <c r="N695" s="66"/>
    </row>
    <row r="696" spans="1:14" x14ac:dyDescent="0.2">
      <c r="A696" s="84"/>
      <c r="B696" s="84"/>
      <c r="C696" s="60"/>
      <c r="D696" s="66"/>
      <c r="E696" s="66"/>
      <c r="F696" s="66"/>
      <c r="G696" s="66"/>
      <c r="H696" s="66"/>
      <c r="I696" s="66"/>
      <c r="J696" s="66"/>
      <c r="K696" s="66"/>
      <c r="L696" s="66"/>
      <c r="M696" s="66"/>
      <c r="N696" s="66"/>
    </row>
    <row r="697" spans="1:14" x14ac:dyDescent="0.2">
      <c r="A697" s="84"/>
      <c r="B697" s="84"/>
      <c r="C697" s="60"/>
      <c r="D697" s="66"/>
      <c r="E697" s="66"/>
      <c r="F697" s="66"/>
      <c r="G697" s="66"/>
      <c r="H697" s="66"/>
      <c r="I697" s="66"/>
      <c r="J697" s="66"/>
      <c r="K697" s="66"/>
      <c r="L697" s="66"/>
      <c r="M697" s="66"/>
      <c r="N697" s="66"/>
    </row>
    <row r="698" spans="1:14" x14ac:dyDescent="0.2">
      <c r="A698" s="84"/>
      <c r="B698" s="84"/>
      <c r="C698" s="60"/>
      <c r="D698" s="66"/>
      <c r="E698" s="66"/>
      <c r="F698" s="66"/>
      <c r="G698" s="66"/>
      <c r="H698" s="66"/>
      <c r="I698" s="66"/>
      <c r="J698" s="66"/>
      <c r="K698" s="66"/>
      <c r="L698" s="66"/>
      <c r="M698" s="66"/>
      <c r="N698" s="66"/>
    </row>
    <row r="699" spans="1:14" x14ac:dyDescent="0.2">
      <c r="A699" s="84"/>
      <c r="B699" s="84"/>
      <c r="C699" s="60"/>
      <c r="D699" s="66"/>
      <c r="E699" s="66"/>
      <c r="F699" s="66"/>
      <c r="G699" s="66"/>
      <c r="H699" s="66"/>
      <c r="I699" s="66"/>
      <c r="J699" s="66"/>
      <c r="K699" s="66"/>
      <c r="L699" s="66"/>
      <c r="M699" s="66"/>
      <c r="N699" s="66"/>
    </row>
    <row r="700" spans="1:14" x14ac:dyDescent="0.2">
      <c r="A700" s="84"/>
      <c r="B700" s="84"/>
      <c r="C700" s="60"/>
      <c r="D700" s="66"/>
      <c r="E700" s="66"/>
      <c r="F700" s="66"/>
      <c r="G700" s="66"/>
      <c r="H700" s="66"/>
      <c r="I700" s="66"/>
      <c r="J700" s="66"/>
      <c r="K700" s="66"/>
      <c r="L700" s="66"/>
      <c r="M700" s="66"/>
      <c r="N700" s="66"/>
    </row>
    <row r="701" spans="1:14" x14ac:dyDescent="0.2">
      <c r="A701" s="84"/>
      <c r="B701" s="84"/>
      <c r="C701" s="60"/>
      <c r="D701" s="66"/>
      <c r="E701" s="66"/>
      <c r="F701" s="66"/>
      <c r="G701" s="66"/>
      <c r="H701" s="66"/>
      <c r="I701" s="66"/>
      <c r="J701" s="66"/>
      <c r="K701" s="66"/>
      <c r="L701" s="66"/>
      <c r="M701" s="66"/>
      <c r="N701" s="66"/>
    </row>
    <row r="702" spans="1:14" x14ac:dyDescent="0.2">
      <c r="A702" s="84"/>
      <c r="B702" s="84"/>
      <c r="C702" s="60"/>
      <c r="D702" s="66"/>
      <c r="E702" s="66"/>
      <c r="F702" s="66"/>
      <c r="G702" s="66"/>
      <c r="H702" s="66"/>
      <c r="I702" s="66"/>
      <c r="J702" s="66"/>
      <c r="K702" s="66"/>
      <c r="L702" s="66"/>
      <c r="M702" s="66"/>
      <c r="N702" s="66"/>
    </row>
    <row r="703" spans="1:14" x14ac:dyDescent="0.2">
      <c r="A703" s="84"/>
      <c r="B703" s="84"/>
      <c r="C703" s="60"/>
      <c r="D703" s="66"/>
      <c r="E703" s="66"/>
      <c r="F703" s="66"/>
      <c r="G703" s="66"/>
      <c r="H703" s="66"/>
      <c r="I703" s="66"/>
      <c r="J703" s="66"/>
      <c r="K703" s="66"/>
      <c r="L703" s="66"/>
      <c r="M703" s="66"/>
      <c r="N703" s="66"/>
    </row>
    <row r="704" spans="1:14" x14ac:dyDescent="0.2">
      <c r="A704" s="84"/>
      <c r="B704" s="84"/>
      <c r="C704" s="60"/>
      <c r="D704" s="66"/>
      <c r="E704" s="66"/>
      <c r="F704" s="66"/>
      <c r="G704" s="66"/>
      <c r="H704" s="66"/>
      <c r="I704" s="66"/>
      <c r="J704" s="66"/>
      <c r="K704" s="66"/>
      <c r="L704" s="66"/>
      <c r="M704" s="66"/>
      <c r="N704" s="66"/>
    </row>
    <row r="705" spans="1:14" x14ac:dyDescent="0.2">
      <c r="A705" s="84"/>
      <c r="B705" s="84"/>
      <c r="C705" s="60"/>
      <c r="D705" s="66"/>
      <c r="E705" s="66"/>
      <c r="F705" s="66"/>
      <c r="G705" s="66"/>
      <c r="H705" s="66"/>
      <c r="I705" s="66"/>
      <c r="J705" s="66"/>
      <c r="K705" s="66"/>
      <c r="L705" s="66"/>
      <c r="M705" s="66"/>
      <c r="N705" s="66"/>
    </row>
    <row r="706" spans="1:14" x14ac:dyDescent="0.2">
      <c r="A706" s="84"/>
      <c r="B706" s="84"/>
      <c r="C706" s="60"/>
      <c r="D706" s="66"/>
      <c r="E706" s="66"/>
      <c r="F706" s="66"/>
      <c r="G706" s="66"/>
      <c r="H706" s="66"/>
      <c r="I706" s="66"/>
      <c r="J706" s="66"/>
      <c r="K706" s="66"/>
      <c r="L706" s="66"/>
      <c r="M706" s="66"/>
      <c r="N706" s="66"/>
    </row>
    <row r="707" spans="1:14" x14ac:dyDescent="0.2">
      <c r="A707" s="84"/>
      <c r="B707" s="84"/>
      <c r="C707" s="60"/>
      <c r="D707" s="66"/>
      <c r="E707" s="66"/>
      <c r="F707" s="66"/>
      <c r="G707" s="66"/>
      <c r="H707" s="66"/>
      <c r="I707" s="66"/>
      <c r="J707" s="66"/>
      <c r="K707" s="66"/>
      <c r="L707" s="66"/>
      <c r="M707" s="66"/>
      <c r="N707" s="66"/>
    </row>
    <row r="708" spans="1:14" x14ac:dyDescent="0.2">
      <c r="A708" s="84"/>
      <c r="B708" s="84"/>
      <c r="C708" s="60"/>
      <c r="D708" s="66"/>
      <c r="E708" s="66"/>
      <c r="F708" s="66"/>
      <c r="G708" s="66"/>
      <c r="H708" s="66"/>
      <c r="I708" s="66"/>
      <c r="J708" s="66"/>
      <c r="K708" s="66"/>
      <c r="L708" s="66"/>
      <c r="M708" s="66"/>
      <c r="N708" s="66"/>
    </row>
    <row r="709" spans="1:14" x14ac:dyDescent="0.2">
      <c r="A709" s="84"/>
      <c r="B709" s="84"/>
      <c r="C709" s="60"/>
      <c r="D709" s="66"/>
      <c r="E709" s="66"/>
      <c r="F709" s="66"/>
      <c r="G709" s="66"/>
      <c r="H709" s="66"/>
      <c r="I709" s="66"/>
      <c r="J709" s="66"/>
      <c r="K709" s="66"/>
      <c r="L709" s="66"/>
      <c r="M709" s="66"/>
      <c r="N709" s="66"/>
    </row>
    <row r="710" spans="1:14" x14ac:dyDescent="0.2">
      <c r="A710" s="84"/>
      <c r="B710" s="84"/>
      <c r="C710" s="60"/>
      <c r="D710" s="66"/>
      <c r="E710" s="66"/>
      <c r="F710" s="66"/>
      <c r="G710" s="66"/>
      <c r="H710" s="66"/>
      <c r="I710" s="66"/>
      <c r="J710" s="66"/>
      <c r="K710" s="66"/>
      <c r="L710" s="66"/>
      <c r="M710" s="66"/>
      <c r="N710" s="66"/>
    </row>
    <row r="711" spans="1:14" x14ac:dyDescent="0.2">
      <c r="A711" s="84"/>
      <c r="B711" s="84"/>
      <c r="C711" s="60"/>
      <c r="D711" s="66"/>
      <c r="E711" s="66"/>
      <c r="F711" s="66"/>
      <c r="G711" s="66"/>
      <c r="H711" s="66"/>
      <c r="I711" s="66"/>
      <c r="J711" s="66"/>
      <c r="K711" s="66"/>
      <c r="L711" s="66"/>
      <c r="M711" s="66"/>
      <c r="N711" s="66"/>
    </row>
    <row r="712" spans="1:14" x14ac:dyDescent="0.2">
      <c r="A712" s="84"/>
      <c r="B712" s="84"/>
      <c r="C712" s="60"/>
      <c r="D712" s="66"/>
      <c r="E712" s="66"/>
      <c r="F712" s="66"/>
      <c r="G712" s="66"/>
      <c r="H712" s="66"/>
      <c r="I712" s="66"/>
      <c r="J712" s="66"/>
      <c r="K712" s="66"/>
      <c r="L712" s="66"/>
      <c r="M712" s="66"/>
      <c r="N712" s="66"/>
    </row>
    <row r="713" spans="1:14" x14ac:dyDescent="0.2">
      <c r="A713" s="84"/>
      <c r="B713" s="84"/>
      <c r="C713" s="60"/>
      <c r="D713" s="66"/>
      <c r="E713" s="66"/>
      <c r="F713" s="66"/>
      <c r="G713" s="66"/>
      <c r="H713" s="66"/>
      <c r="I713" s="66"/>
      <c r="J713" s="66"/>
      <c r="K713" s="66"/>
      <c r="L713" s="66"/>
      <c r="M713" s="66"/>
      <c r="N713" s="66"/>
    </row>
    <row r="714" spans="1:14" x14ac:dyDescent="0.2">
      <c r="A714" s="84"/>
      <c r="B714" s="84"/>
      <c r="C714" s="60"/>
      <c r="D714" s="66"/>
      <c r="E714" s="66"/>
      <c r="F714" s="66"/>
      <c r="G714" s="66"/>
      <c r="H714" s="66"/>
      <c r="I714" s="66"/>
      <c r="J714" s="66"/>
      <c r="K714" s="66"/>
      <c r="L714" s="66"/>
      <c r="M714" s="66"/>
      <c r="N714" s="66"/>
    </row>
    <row r="715" spans="1:14" x14ac:dyDescent="0.2">
      <c r="A715" s="84"/>
      <c r="B715" s="84"/>
      <c r="C715" s="60"/>
      <c r="D715" s="66"/>
      <c r="E715" s="66"/>
      <c r="F715" s="66"/>
      <c r="G715" s="66"/>
      <c r="H715" s="66"/>
      <c r="I715" s="66"/>
      <c r="J715" s="66"/>
      <c r="K715" s="66"/>
      <c r="L715" s="66"/>
      <c r="M715" s="66"/>
      <c r="N715" s="66"/>
    </row>
    <row r="716" spans="1:14" x14ac:dyDescent="0.2">
      <c r="A716" s="84"/>
      <c r="B716" s="84"/>
      <c r="C716" s="60"/>
      <c r="D716" s="66"/>
      <c r="E716" s="66"/>
      <c r="F716" s="66"/>
      <c r="G716" s="66"/>
      <c r="H716" s="66"/>
      <c r="I716" s="66"/>
      <c r="J716" s="66"/>
      <c r="K716" s="66"/>
      <c r="L716" s="66"/>
      <c r="M716" s="66"/>
      <c r="N716" s="66"/>
    </row>
    <row r="717" spans="1:14" x14ac:dyDescent="0.2">
      <c r="A717" s="84"/>
      <c r="B717" s="84"/>
      <c r="C717" s="60"/>
      <c r="D717" s="66"/>
      <c r="E717" s="66"/>
      <c r="F717" s="66"/>
      <c r="G717" s="66"/>
      <c r="H717" s="66"/>
      <c r="I717" s="66"/>
      <c r="J717" s="66"/>
      <c r="K717" s="66"/>
      <c r="L717" s="66"/>
      <c r="M717" s="66"/>
      <c r="N717" s="66"/>
    </row>
    <row r="718" spans="1:14" x14ac:dyDescent="0.2">
      <c r="A718" s="84"/>
      <c r="B718" s="84"/>
      <c r="C718" s="60"/>
      <c r="D718" s="66"/>
      <c r="E718" s="66"/>
      <c r="F718" s="66"/>
      <c r="G718" s="66"/>
      <c r="H718" s="66"/>
      <c r="I718" s="66"/>
      <c r="J718" s="66"/>
      <c r="K718" s="66"/>
      <c r="L718" s="66"/>
      <c r="M718" s="66"/>
      <c r="N718" s="66"/>
    </row>
    <row r="719" spans="1:14" x14ac:dyDescent="0.2">
      <c r="A719" s="84"/>
      <c r="B719" s="84"/>
      <c r="C719" s="60"/>
      <c r="D719" s="66"/>
      <c r="E719" s="66"/>
      <c r="F719" s="66"/>
      <c r="G719" s="66"/>
      <c r="H719" s="66"/>
      <c r="I719" s="66"/>
      <c r="J719" s="66"/>
      <c r="K719" s="66"/>
      <c r="L719" s="66"/>
      <c r="M719" s="66"/>
      <c r="N719" s="66"/>
    </row>
    <row r="720" spans="1:14" x14ac:dyDescent="0.2">
      <c r="A720" s="84"/>
      <c r="B720" s="84"/>
      <c r="C720" s="60"/>
      <c r="D720" s="66"/>
      <c r="E720" s="66"/>
      <c r="F720" s="66"/>
      <c r="G720" s="66"/>
      <c r="H720" s="66"/>
      <c r="I720" s="66"/>
      <c r="J720" s="66"/>
      <c r="K720" s="66"/>
      <c r="L720" s="66"/>
      <c r="M720" s="66"/>
      <c r="N720" s="66"/>
    </row>
    <row r="721" spans="1:14" x14ac:dyDescent="0.2">
      <c r="A721" s="84"/>
      <c r="B721" s="84"/>
      <c r="C721" s="60"/>
      <c r="D721" s="66"/>
      <c r="E721" s="66"/>
      <c r="F721" s="66"/>
      <c r="G721" s="66"/>
      <c r="H721" s="66"/>
      <c r="I721" s="66"/>
      <c r="J721" s="66"/>
      <c r="K721" s="66"/>
      <c r="L721" s="66"/>
      <c r="M721" s="66"/>
      <c r="N721" s="66"/>
    </row>
    <row r="722" spans="1:14" x14ac:dyDescent="0.2">
      <c r="A722" s="84"/>
      <c r="B722" s="84"/>
      <c r="C722" s="60"/>
      <c r="D722" s="66"/>
      <c r="E722" s="66"/>
      <c r="F722" s="66"/>
      <c r="G722" s="66"/>
      <c r="H722" s="66"/>
      <c r="I722" s="66"/>
      <c r="J722" s="66"/>
      <c r="K722" s="66"/>
      <c r="L722" s="66"/>
      <c r="M722" s="66"/>
      <c r="N722" s="66"/>
    </row>
    <row r="723" spans="1:14" x14ac:dyDescent="0.2">
      <c r="A723" s="84"/>
      <c r="B723" s="84"/>
      <c r="C723" s="60"/>
      <c r="D723" s="66"/>
      <c r="E723" s="66"/>
      <c r="F723" s="66"/>
      <c r="G723" s="66"/>
      <c r="H723" s="66"/>
      <c r="I723" s="66"/>
      <c r="J723" s="66"/>
      <c r="K723" s="66"/>
      <c r="L723" s="66"/>
      <c r="M723" s="66"/>
      <c r="N723" s="66"/>
    </row>
    <row r="724" spans="1:14" x14ac:dyDescent="0.2">
      <c r="A724" s="84"/>
      <c r="B724" s="84"/>
      <c r="C724" s="60"/>
      <c r="D724" s="66"/>
      <c r="E724" s="66"/>
      <c r="F724" s="66"/>
      <c r="G724" s="66"/>
      <c r="H724" s="66"/>
      <c r="I724" s="66"/>
      <c r="J724" s="66"/>
      <c r="K724" s="66"/>
      <c r="L724" s="66"/>
      <c r="M724" s="66"/>
      <c r="N724" s="66"/>
    </row>
    <row r="725" spans="1:14" x14ac:dyDescent="0.2">
      <c r="A725" s="84"/>
      <c r="B725" s="84"/>
      <c r="C725" s="60"/>
      <c r="D725" s="66"/>
      <c r="E725" s="66"/>
      <c r="F725" s="66"/>
      <c r="G725" s="66"/>
      <c r="H725" s="66"/>
      <c r="I725" s="66"/>
      <c r="J725" s="66"/>
      <c r="K725" s="66"/>
      <c r="L725" s="66"/>
      <c r="M725" s="66"/>
      <c r="N725" s="66"/>
    </row>
    <row r="726" spans="1:14" x14ac:dyDescent="0.2">
      <c r="A726" s="84"/>
      <c r="B726" s="84"/>
      <c r="C726" s="60"/>
      <c r="D726" s="66"/>
      <c r="E726" s="66"/>
      <c r="F726" s="66"/>
      <c r="G726" s="66"/>
      <c r="H726" s="66"/>
      <c r="I726" s="66"/>
      <c r="J726" s="66"/>
      <c r="K726" s="66"/>
      <c r="L726" s="66"/>
      <c r="M726" s="66"/>
      <c r="N726" s="66"/>
    </row>
    <row r="727" spans="1:14" x14ac:dyDescent="0.2">
      <c r="A727" s="84"/>
      <c r="B727" s="84"/>
      <c r="C727" s="60"/>
      <c r="D727" s="66"/>
      <c r="E727" s="66"/>
      <c r="F727" s="66"/>
      <c r="G727" s="66"/>
      <c r="H727" s="66"/>
      <c r="I727" s="66"/>
      <c r="J727" s="66"/>
      <c r="K727" s="66"/>
      <c r="L727" s="66"/>
      <c r="M727" s="66"/>
      <c r="N727" s="66"/>
    </row>
    <row r="728" spans="1:14" x14ac:dyDescent="0.2">
      <c r="A728" s="84"/>
      <c r="B728" s="84"/>
      <c r="C728" s="60"/>
      <c r="D728" s="66"/>
      <c r="E728" s="66"/>
      <c r="F728" s="66"/>
      <c r="G728" s="66"/>
      <c r="H728" s="66"/>
      <c r="I728" s="66"/>
      <c r="J728" s="66"/>
      <c r="K728" s="66"/>
      <c r="L728" s="66"/>
      <c r="M728" s="66"/>
      <c r="N728" s="66"/>
    </row>
    <row r="729" spans="1:14" x14ac:dyDescent="0.2">
      <c r="A729" s="84"/>
      <c r="B729" s="84"/>
      <c r="C729" s="60"/>
      <c r="D729" s="66"/>
      <c r="E729" s="66"/>
      <c r="F729" s="66"/>
      <c r="G729" s="66"/>
      <c r="H729" s="66"/>
      <c r="I729" s="66"/>
      <c r="J729" s="66"/>
      <c r="K729" s="66"/>
      <c r="L729" s="66"/>
      <c r="M729" s="66"/>
      <c r="N729" s="66"/>
    </row>
    <row r="730" spans="1:14" x14ac:dyDescent="0.2">
      <c r="A730" s="84"/>
      <c r="B730" s="84"/>
      <c r="C730" s="60"/>
      <c r="D730" s="66"/>
      <c r="E730" s="66"/>
      <c r="F730" s="66"/>
      <c r="G730" s="66"/>
      <c r="H730" s="66"/>
      <c r="I730" s="66"/>
      <c r="J730" s="66"/>
      <c r="K730" s="66"/>
      <c r="L730" s="66"/>
      <c r="M730" s="66"/>
      <c r="N730" s="66"/>
    </row>
    <row r="731" spans="1:14" x14ac:dyDescent="0.2">
      <c r="A731" s="84"/>
      <c r="B731" s="84"/>
      <c r="C731" s="60"/>
      <c r="D731" s="66"/>
      <c r="E731" s="66"/>
      <c r="F731" s="66"/>
      <c r="G731" s="66"/>
      <c r="H731" s="66"/>
      <c r="I731" s="66"/>
      <c r="J731" s="66"/>
      <c r="K731" s="66"/>
      <c r="L731" s="66"/>
      <c r="M731" s="66"/>
      <c r="N731" s="66"/>
    </row>
    <row r="732" spans="1:14" x14ac:dyDescent="0.2">
      <c r="A732" s="84"/>
      <c r="B732" s="84"/>
      <c r="C732" s="60"/>
      <c r="D732" s="66"/>
      <c r="E732" s="66"/>
      <c r="F732" s="66"/>
      <c r="G732" s="66"/>
      <c r="H732" s="66"/>
      <c r="I732" s="66"/>
      <c r="J732" s="66"/>
      <c r="K732" s="66"/>
      <c r="L732" s="66"/>
      <c r="M732" s="66"/>
      <c r="N732" s="66"/>
    </row>
    <row r="733" spans="1:14" x14ac:dyDescent="0.2">
      <c r="A733" s="84"/>
      <c r="B733" s="84"/>
      <c r="C733" s="60"/>
      <c r="D733" s="66"/>
      <c r="E733" s="66"/>
      <c r="F733" s="66"/>
      <c r="G733" s="66"/>
      <c r="H733" s="66"/>
      <c r="I733" s="66"/>
      <c r="J733" s="66"/>
      <c r="K733" s="66"/>
      <c r="L733" s="66"/>
      <c r="M733" s="66"/>
      <c r="N733" s="66"/>
    </row>
    <row r="734" spans="1:14" x14ac:dyDescent="0.2">
      <c r="A734" s="84"/>
      <c r="B734" s="84"/>
      <c r="C734" s="60"/>
      <c r="D734" s="66"/>
      <c r="E734" s="66"/>
      <c r="F734" s="66"/>
      <c r="G734" s="66"/>
      <c r="H734" s="66"/>
      <c r="I734" s="66"/>
      <c r="J734" s="66"/>
      <c r="K734" s="66"/>
      <c r="L734" s="66"/>
      <c r="M734" s="66"/>
      <c r="N734" s="66"/>
    </row>
    <row r="735" spans="1:14" x14ac:dyDescent="0.2">
      <c r="A735" s="84"/>
      <c r="B735" s="84"/>
      <c r="C735" s="60"/>
      <c r="D735" s="66"/>
      <c r="E735" s="66"/>
      <c r="F735" s="66"/>
      <c r="G735" s="66"/>
      <c r="H735" s="66"/>
      <c r="I735" s="66"/>
      <c r="J735" s="66"/>
      <c r="K735" s="66"/>
      <c r="L735" s="66"/>
      <c r="M735" s="66"/>
      <c r="N735" s="66"/>
    </row>
    <row r="736" spans="1:14" x14ac:dyDescent="0.2">
      <c r="A736" s="84"/>
      <c r="B736" s="84"/>
      <c r="C736" s="60"/>
      <c r="D736" s="66"/>
      <c r="E736" s="66"/>
      <c r="F736" s="66"/>
      <c r="G736" s="66"/>
      <c r="H736" s="66"/>
      <c r="I736" s="66"/>
      <c r="J736" s="66"/>
      <c r="K736" s="66"/>
      <c r="L736" s="66"/>
      <c r="M736" s="66"/>
      <c r="N736" s="66"/>
    </row>
    <row r="737" spans="1:14" x14ac:dyDescent="0.2">
      <c r="A737" s="84"/>
      <c r="B737" s="84"/>
      <c r="C737" s="60"/>
      <c r="D737" s="66"/>
      <c r="E737" s="66"/>
      <c r="F737" s="66"/>
      <c r="G737" s="66"/>
      <c r="H737" s="66"/>
      <c r="I737" s="66"/>
      <c r="J737" s="66"/>
      <c r="K737" s="66"/>
      <c r="L737" s="66"/>
      <c r="M737" s="66"/>
      <c r="N737" s="66"/>
    </row>
    <row r="738" spans="1:14" x14ac:dyDescent="0.2">
      <c r="A738" s="84"/>
      <c r="B738" s="84"/>
      <c r="C738" s="60"/>
      <c r="D738" s="66"/>
      <c r="E738" s="66"/>
      <c r="F738" s="66"/>
      <c r="G738" s="66"/>
      <c r="H738" s="66"/>
      <c r="I738" s="66"/>
      <c r="J738" s="66"/>
      <c r="K738" s="66"/>
      <c r="L738" s="66"/>
      <c r="M738" s="66"/>
      <c r="N738" s="66"/>
    </row>
    <row r="739" spans="1:14" x14ac:dyDescent="0.2">
      <c r="A739" s="84"/>
      <c r="B739" s="84"/>
      <c r="C739" s="60"/>
      <c r="D739" s="66"/>
      <c r="E739" s="66"/>
      <c r="F739" s="66"/>
      <c r="G739" s="66"/>
      <c r="H739" s="66"/>
      <c r="I739" s="66"/>
      <c r="J739" s="66"/>
      <c r="K739" s="66"/>
      <c r="L739" s="66"/>
      <c r="M739" s="66"/>
      <c r="N739" s="66"/>
    </row>
    <row r="740" spans="1:14" x14ac:dyDescent="0.2">
      <c r="A740" s="84"/>
      <c r="B740" s="84"/>
      <c r="C740" s="60"/>
      <c r="D740" s="66"/>
      <c r="E740" s="66"/>
      <c r="F740" s="66"/>
      <c r="G740" s="66"/>
      <c r="H740" s="66"/>
      <c r="I740" s="66"/>
      <c r="J740" s="66"/>
      <c r="K740" s="66"/>
      <c r="L740" s="66"/>
      <c r="M740" s="66"/>
      <c r="N740" s="66"/>
    </row>
    <row r="741" spans="1:14" x14ac:dyDescent="0.2">
      <c r="A741" s="84"/>
      <c r="B741" s="84"/>
      <c r="C741" s="60"/>
      <c r="D741" s="66"/>
      <c r="E741" s="66"/>
      <c r="F741" s="66"/>
      <c r="G741" s="66"/>
      <c r="H741" s="66"/>
      <c r="I741" s="66"/>
      <c r="J741" s="66"/>
      <c r="K741" s="66"/>
      <c r="L741" s="66"/>
      <c r="M741" s="66"/>
      <c r="N741" s="66"/>
    </row>
    <row r="742" spans="1:14" x14ac:dyDescent="0.2">
      <c r="A742" s="84"/>
      <c r="B742" s="84"/>
      <c r="C742" s="60"/>
      <c r="D742" s="66"/>
      <c r="E742" s="66"/>
      <c r="F742" s="66"/>
      <c r="G742" s="66"/>
      <c r="H742" s="66"/>
      <c r="I742" s="66"/>
      <c r="J742" s="66"/>
      <c r="K742" s="66"/>
      <c r="L742" s="66"/>
      <c r="M742" s="66"/>
      <c r="N742" s="66"/>
    </row>
    <row r="743" spans="1:14" x14ac:dyDescent="0.2">
      <c r="A743" s="84"/>
      <c r="B743" s="84"/>
      <c r="C743" s="60"/>
      <c r="D743" s="66"/>
      <c r="E743" s="66"/>
      <c r="F743" s="66"/>
      <c r="G743" s="66"/>
      <c r="H743" s="66"/>
      <c r="I743" s="66"/>
      <c r="J743" s="66"/>
      <c r="K743" s="66"/>
      <c r="L743" s="66"/>
      <c r="M743" s="66"/>
      <c r="N743" s="66"/>
    </row>
    <row r="744" spans="1:14" x14ac:dyDescent="0.2">
      <c r="A744" s="84"/>
      <c r="B744" s="84"/>
      <c r="C744" s="60"/>
      <c r="D744" s="66"/>
      <c r="E744" s="66"/>
      <c r="F744" s="66"/>
      <c r="G744" s="66"/>
      <c r="H744" s="66"/>
      <c r="I744" s="66"/>
      <c r="J744" s="66"/>
      <c r="K744" s="66"/>
      <c r="L744" s="66"/>
      <c r="M744" s="66"/>
      <c r="N744" s="66"/>
    </row>
    <row r="745" spans="1:14" x14ac:dyDescent="0.2">
      <c r="A745" s="84"/>
      <c r="B745" s="84"/>
      <c r="C745" s="60"/>
      <c r="D745" s="66"/>
      <c r="E745" s="66"/>
      <c r="F745" s="66"/>
      <c r="G745" s="66"/>
      <c r="H745" s="66"/>
      <c r="I745" s="66"/>
      <c r="J745" s="66"/>
      <c r="K745" s="66"/>
      <c r="L745" s="66"/>
      <c r="M745" s="66"/>
      <c r="N745" s="66"/>
    </row>
    <row r="746" spans="1:14" x14ac:dyDescent="0.2">
      <c r="A746" s="84"/>
      <c r="B746" s="84"/>
      <c r="C746" s="60"/>
      <c r="D746" s="66"/>
      <c r="E746" s="66"/>
      <c r="F746" s="66"/>
      <c r="G746" s="66"/>
      <c r="H746" s="66"/>
      <c r="I746" s="66"/>
      <c r="J746" s="66"/>
      <c r="K746" s="66"/>
      <c r="L746" s="66"/>
      <c r="M746" s="66"/>
      <c r="N746" s="66"/>
    </row>
    <row r="747" spans="1:14" x14ac:dyDescent="0.2">
      <c r="A747" s="84"/>
      <c r="B747" s="84"/>
      <c r="C747" s="60"/>
      <c r="D747" s="66"/>
      <c r="E747" s="66"/>
      <c r="F747" s="66"/>
      <c r="G747" s="66"/>
      <c r="H747" s="66"/>
      <c r="I747" s="66"/>
      <c r="J747" s="66"/>
      <c r="K747" s="66"/>
      <c r="L747" s="66"/>
      <c r="M747" s="66"/>
      <c r="N747" s="66"/>
    </row>
    <row r="748" spans="1:14" x14ac:dyDescent="0.2">
      <c r="A748" s="84"/>
      <c r="B748" s="84"/>
      <c r="C748" s="60"/>
      <c r="D748" s="66"/>
      <c r="E748" s="66"/>
      <c r="F748" s="66"/>
      <c r="G748" s="66"/>
      <c r="H748" s="66"/>
      <c r="I748" s="66"/>
      <c r="J748" s="66"/>
      <c r="K748" s="66"/>
      <c r="L748" s="66"/>
      <c r="M748" s="66"/>
      <c r="N748" s="66"/>
    </row>
    <row r="749" spans="1:14" x14ac:dyDescent="0.2">
      <c r="A749" s="84"/>
      <c r="B749" s="84"/>
      <c r="C749" s="60"/>
      <c r="D749" s="66"/>
      <c r="E749" s="66"/>
      <c r="F749" s="66"/>
      <c r="G749" s="66"/>
      <c r="H749" s="66"/>
      <c r="I749" s="66"/>
      <c r="J749" s="66"/>
      <c r="K749" s="66"/>
      <c r="L749" s="66"/>
      <c r="M749" s="66"/>
      <c r="N749" s="66"/>
    </row>
    <row r="750" spans="1:14" x14ac:dyDescent="0.2">
      <c r="A750" s="84"/>
      <c r="B750" s="84"/>
      <c r="C750" s="60"/>
      <c r="D750" s="66"/>
      <c r="E750" s="66"/>
      <c r="F750" s="66"/>
      <c r="G750" s="66"/>
      <c r="H750" s="66"/>
      <c r="I750" s="66"/>
      <c r="J750" s="66"/>
      <c r="K750" s="66"/>
      <c r="L750" s="66"/>
      <c r="M750" s="66"/>
      <c r="N750" s="66"/>
    </row>
    <row r="751" spans="1:14" x14ac:dyDescent="0.2">
      <c r="A751" s="84"/>
      <c r="B751" s="84"/>
      <c r="C751" s="60"/>
      <c r="D751" s="66"/>
      <c r="E751" s="66"/>
      <c r="F751" s="66"/>
      <c r="G751" s="66"/>
      <c r="H751" s="66"/>
      <c r="I751" s="66"/>
      <c r="J751" s="66"/>
      <c r="K751" s="66"/>
      <c r="L751" s="66"/>
      <c r="M751" s="66"/>
      <c r="N751" s="66"/>
    </row>
    <row r="752" spans="1:14" x14ac:dyDescent="0.2">
      <c r="A752" s="84"/>
      <c r="B752" s="84"/>
      <c r="C752" s="60"/>
      <c r="D752" s="66"/>
      <c r="E752" s="66"/>
      <c r="F752" s="66"/>
      <c r="G752" s="66"/>
      <c r="H752" s="66"/>
      <c r="I752" s="66"/>
      <c r="J752" s="66"/>
      <c r="K752" s="66"/>
      <c r="L752" s="66"/>
      <c r="M752" s="66"/>
      <c r="N752" s="66"/>
    </row>
    <row r="753" spans="1:14" x14ac:dyDescent="0.2">
      <c r="A753" s="84"/>
      <c r="B753" s="84"/>
      <c r="C753" s="60"/>
      <c r="D753" s="66"/>
      <c r="E753" s="66"/>
      <c r="F753" s="66"/>
      <c r="G753" s="66"/>
      <c r="H753" s="66"/>
      <c r="I753" s="66"/>
      <c r="J753" s="66"/>
      <c r="K753" s="66"/>
      <c r="L753" s="66"/>
      <c r="M753" s="66"/>
      <c r="N753" s="66"/>
    </row>
    <row r="754" spans="1:14" x14ac:dyDescent="0.2">
      <c r="A754" s="84"/>
      <c r="B754" s="84"/>
      <c r="C754" s="60"/>
      <c r="D754" s="66"/>
      <c r="E754" s="66"/>
      <c r="F754" s="66"/>
      <c r="G754" s="66"/>
      <c r="H754" s="66"/>
      <c r="I754" s="66"/>
      <c r="J754" s="66"/>
      <c r="K754" s="66"/>
      <c r="L754" s="66"/>
      <c r="M754" s="66"/>
      <c r="N754" s="66"/>
    </row>
    <row r="755" spans="1:14" x14ac:dyDescent="0.2">
      <c r="A755" s="84"/>
      <c r="B755" s="84"/>
      <c r="C755" s="60"/>
      <c r="D755" s="66"/>
      <c r="E755" s="66"/>
      <c r="F755" s="66"/>
      <c r="G755" s="66"/>
      <c r="H755" s="66"/>
      <c r="I755" s="66"/>
      <c r="J755" s="66"/>
      <c r="K755" s="66"/>
      <c r="L755" s="66"/>
      <c r="M755" s="66"/>
      <c r="N755" s="66"/>
    </row>
    <row r="756" spans="1:14" x14ac:dyDescent="0.2">
      <c r="A756" s="84"/>
      <c r="B756" s="84"/>
      <c r="C756" s="60"/>
      <c r="D756" s="66"/>
      <c r="E756" s="66"/>
      <c r="F756" s="66"/>
      <c r="G756" s="66"/>
      <c r="H756" s="66"/>
      <c r="I756" s="66"/>
      <c r="J756" s="66"/>
      <c r="K756" s="66"/>
      <c r="L756" s="66"/>
      <c r="M756" s="66"/>
      <c r="N756" s="66"/>
    </row>
    <row r="757" spans="1:14" x14ac:dyDescent="0.2">
      <c r="A757" s="84"/>
      <c r="B757" s="84"/>
      <c r="C757" s="60"/>
      <c r="D757" s="66"/>
      <c r="E757" s="66"/>
      <c r="F757" s="66"/>
      <c r="G757" s="66"/>
      <c r="H757" s="66"/>
      <c r="I757" s="66"/>
      <c r="J757" s="66"/>
      <c r="K757" s="66"/>
      <c r="L757" s="66"/>
      <c r="M757" s="66"/>
      <c r="N757" s="66"/>
    </row>
    <row r="758" spans="1:14" x14ac:dyDescent="0.2">
      <c r="A758" s="84"/>
      <c r="B758" s="84"/>
      <c r="C758" s="60"/>
      <c r="D758" s="66"/>
      <c r="E758" s="66"/>
      <c r="F758" s="66"/>
      <c r="G758" s="66"/>
      <c r="H758" s="66"/>
      <c r="I758" s="66"/>
      <c r="J758" s="66"/>
      <c r="K758" s="66"/>
      <c r="L758" s="66"/>
      <c r="M758" s="66"/>
      <c r="N758" s="66"/>
    </row>
    <row r="759" spans="1:14" x14ac:dyDescent="0.2">
      <c r="A759" s="84"/>
      <c r="B759" s="84"/>
      <c r="C759" s="60"/>
      <c r="D759" s="66"/>
      <c r="E759" s="66"/>
      <c r="F759" s="66"/>
      <c r="G759" s="66"/>
      <c r="H759" s="66"/>
      <c r="I759" s="66"/>
      <c r="J759" s="66"/>
      <c r="K759" s="66"/>
      <c r="L759" s="66"/>
      <c r="M759" s="66"/>
      <c r="N759" s="66"/>
    </row>
    <row r="760" spans="1:14" x14ac:dyDescent="0.2">
      <c r="A760" s="84"/>
      <c r="B760" s="84"/>
      <c r="C760" s="60"/>
      <c r="D760" s="66"/>
      <c r="E760" s="66"/>
      <c r="F760" s="66"/>
      <c r="G760" s="66"/>
      <c r="H760" s="66"/>
      <c r="I760" s="66"/>
      <c r="J760" s="66"/>
      <c r="K760" s="66"/>
      <c r="L760" s="66"/>
      <c r="M760" s="66"/>
      <c r="N760" s="66"/>
    </row>
    <row r="761" spans="1:14" x14ac:dyDescent="0.2">
      <c r="A761" s="84"/>
      <c r="B761" s="84"/>
      <c r="C761" s="60"/>
      <c r="D761" s="66"/>
      <c r="E761" s="66"/>
      <c r="F761" s="66"/>
      <c r="G761" s="66"/>
      <c r="H761" s="66"/>
      <c r="I761" s="66"/>
      <c r="J761" s="66"/>
      <c r="K761" s="66"/>
      <c r="L761" s="66"/>
      <c r="M761" s="66"/>
      <c r="N761" s="66"/>
    </row>
    <row r="762" spans="1:14" x14ac:dyDescent="0.2">
      <c r="A762" s="84"/>
      <c r="B762" s="84"/>
      <c r="C762" s="60"/>
      <c r="D762" s="66"/>
      <c r="E762" s="66"/>
      <c r="F762" s="66"/>
      <c r="G762" s="66"/>
      <c r="H762" s="66"/>
      <c r="I762" s="66"/>
      <c r="J762" s="66"/>
      <c r="K762" s="66"/>
      <c r="L762" s="66"/>
      <c r="M762" s="66"/>
      <c r="N762" s="66"/>
    </row>
    <row r="763" spans="1:14" x14ac:dyDescent="0.2">
      <c r="A763" s="84"/>
      <c r="B763" s="84"/>
      <c r="C763" s="60"/>
      <c r="D763" s="66"/>
      <c r="E763" s="66"/>
      <c r="F763" s="66"/>
      <c r="G763" s="66"/>
      <c r="H763" s="66"/>
      <c r="I763" s="66"/>
      <c r="J763" s="66"/>
      <c r="K763" s="66"/>
      <c r="L763" s="66"/>
      <c r="M763" s="66"/>
      <c r="N763" s="66"/>
    </row>
    <row r="764" spans="1:14" x14ac:dyDescent="0.2">
      <c r="A764" s="84"/>
      <c r="B764" s="84"/>
      <c r="C764" s="60"/>
      <c r="D764" s="66"/>
      <c r="E764" s="66"/>
      <c r="F764" s="66"/>
      <c r="G764" s="66"/>
      <c r="H764" s="66"/>
      <c r="I764" s="66"/>
      <c r="J764" s="66"/>
      <c r="K764" s="66"/>
      <c r="L764" s="66"/>
      <c r="M764" s="66"/>
      <c r="N764" s="66"/>
    </row>
    <row r="765" spans="1:14" x14ac:dyDescent="0.2">
      <c r="A765" s="84"/>
      <c r="B765" s="84"/>
      <c r="C765" s="60"/>
      <c r="D765" s="66"/>
      <c r="E765" s="66"/>
      <c r="F765" s="66"/>
      <c r="G765" s="66"/>
      <c r="H765" s="66"/>
      <c r="I765" s="66"/>
      <c r="J765" s="66"/>
      <c r="K765" s="66"/>
      <c r="L765" s="66"/>
      <c r="M765" s="66"/>
      <c r="N765" s="66"/>
    </row>
    <row r="766" spans="1:14" x14ac:dyDescent="0.2">
      <c r="A766" s="84"/>
      <c r="B766" s="84"/>
      <c r="C766" s="60"/>
      <c r="D766" s="66"/>
      <c r="E766" s="66"/>
      <c r="F766" s="66"/>
      <c r="G766" s="66"/>
      <c r="H766" s="66"/>
      <c r="I766" s="66"/>
      <c r="J766" s="66"/>
      <c r="K766" s="66"/>
      <c r="L766" s="66"/>
      <c r="M766" s="66"/>
      <c r="N766" s="66"/>
    </row>
    <row r="767" spans="1:14" x14ac:dyDescent="0.2">
      <c r="A767" s="84"/>
      <c r="B767" s="84"/>
      <c r="C767" s="60"/>
      <c r="D767" s="66"/>
      <c r="E767" s="66"/>
      <c r="F767" s="66"/>
      <c r="G767" s="66"/>
      <c r="H767" s="66"/>
      <c r="I767" s="66"/>
      <c r="J767" s="66"/>
      <c r="K767" s="66"/>
      <c r="L767" s="66"/>
      <c r="M767" s="66"/>
      <c r="N767" s="66"/>
    </row>
    <row r="768" spans="1:14" x14ac:dyDescent="0.2">
      <c r="A768" s="84"/>
      <c r="B768" s="84"/>
      <c r="C768" s="60"/>
      <c r="D768" s="66"/>
      <c r="E768" s="66"/>
      <c r="F768" s="66"/>
      <c r="G768" s="66"/>
      <c r="H768" s="66"/>
      <c r="I768" s="66"/>
      <c r="J768" s="66"/>
      <c r="K768" s="66"/>
      <c r="L768" s="66"/>
      <c r="M768" s="66"/>
      <c r="N768" s="66"/>
    </row>
    <row r="769" spans="1:14" x14ac:dyDescent="0.2">
      <c r="A769" s="84"/>
      <c r="B769" s="84"/>
      <c r="C769" s="60"/>
      <c r="D769" s="66"/>
      <c r="E769" s="66"/>
      <c r="F769" s="66"/>
      <c r="G769" s="66"/>
      <c r="H769" s="66"/>
      <c r="I769" s="66"/>
      <c r="J769" s="66"/>
      <c r="K769" s="66"/>
      <c r="L769" s="66"/>
      <c r="M769" s="66"/>
      <c r="N769" s="66"/>
    </row>
    <row r="770" spans="1:14" x14ac:dyDescent="0.2">
      <c r="A770" s="84"/>
      <c r="B770" s="84"/>
      <c r="C770" s="60"/>
      <c r="D770" s="66"/>
      <c r="E770" s="66"/>
      <c r="F770" s="66"/>
      <c r="G770" s="66"/>
      <c r="H770" s="66"/>
      <c r="I770" s="66"/>
      <c r="J770" s="66"/>
      <c r="K770" s="66"/>
      <c r="L770" s="66"/>
      <c r="M770" s="66"/>
      <c r="N770" s="66"/>
    </row>
    <row r="771" spans="1:14" x14ac:dyDescent="0.2">
      <c r="A771" s="84"/>
      <c r="B771" s="84"/>
      <c r="C771" s="60"/>
      <c r="D771" s="66"/>
      <c r="E771" s="66"/>
      <c r="F771" s="66"/>
      <c r="G771" s="66"/>
      <c r="H771" s="66"/>
      <c r="I771" s="66"/>
      <c r="J771" s="66"/>
      <c r="K771" s="66"/>
      <c r="L771" s="66"/>
      <c r="M771" s="66"/>
      <c r="N771" s="66"/>
    </row>
    <row r="772" spans="1:14" x14ac:dyDescent="0.2">
      <c r="A772" s="84"/>
      <c r="B772" s="84"/>
      <c r="C772" s="60"/>
      <c r="D772" s="66"/>
      <c r="E772" s="66"/>
      <c r="F772" s="66"/>
      <c r="G772" s="66"/>
      <c r="H772" s="66"/>
      <c r="I772" s="66"/>
      <c r="J772" s="66"/>
      <c r="K772" s="66"/>
      <c r="L772" s="66"/>
      <c r="M772" s="66"/>
      <c r="N772" s="66"/>
    </row>
    <row r="773" spans="1:14" x14ac:dyDescent="0.2">
      <c r="A773" s="84"/>
      <c r="B773" s="84"/>
      <c r="C773" s="60"/>
      <c r="D773" s="66"/>
      <c r="E773" s="66"/>
      <c r="F773" s="66"/>
      <c r="G773" s="66"/>
      <c r="H773" s="66"/>
      <c r="I773" s="66"/>
      <c r="J773" s="66"/>
      <c r="K773" s="66"/>
      <c r="L773" s="66"/>
      <c r="M773" s="66"/>
      <c r="N773" s="66"/>
    </row>
    <row r="774" spans="1:14" x14ac:dyDescent="0.2">
      <c r="A774" s="84"/>
      <c r="B774" s="84"/>
      <c r="C774" s="60"/>
      <c r="D774" s="66"/>
      <c r="E774" s="66"/>
      <c r="F774" s="66"/>
      <c r="G774" s="66"/>
      <c r="H774" s="66"/>
      <c r="I774" s="66"/>
      <c r="J774" s="66"/>
      <c r="K774" s="66"/>
      <c r="L774" s="66"/>
      <c r="M774" s="66"/>
      <c r="N774" s="66"/>
    </row>
    <row r="775" spans="1:14" x14ac:dyDescent="0.2">
      <c r="A775" s="84"/>
      <c r="B775" s="84"/>
      <c r="C775" s="60"/>
      <c r="D775" s="66"/>
      <c r="E775" s="66"/>
      <c r="F775" s="66"/>
      <c r="G775" s="66"/>
      <c r="H775" s="66"/>
      <c r="I775" s="66"/>
      <c r="J775" s="66"/>
      <c r="K775" s="66"/>
      <c r="L775" s="66"/>
      <c r="M775" s="66"/>
      <c r="N775" s="66"/>
    </row>
    <row r="776" spans="1:14" x14ac:dyDescent="0.2">
      <c r="A776" s="84"/>
      <c r="B776" s="84"/>
      <c r="C776" s="60"/>
      <c r="D776" s="66"/>
      <c r="E776" s="66"/>
      <c r="F776" s="66"/>
      <c r="G776" s="66"/>
      <c r="H776" s="66"/>
      <c r="I776" s="66"/>
      <c r="J776" s="66"/>
      <c r="K776" s="66"/>
      <c r="L776" s="66"/>
      <c r="M776" s="66"/>
      <c r="N776" s="66"/>
    </row>
    <row r="777" spans="1:14" x14ac:dyDescent="0.2">
      <c r="A777" s="84"/>
      <c r="B777" s="84"/>
      <c r="C777" s="60"/>
      <c r="D777" s="66"/>
      <c r="E777" s="66"/>
      <c r="F777" s="66"/>
      <c r="G777" s="66"/>
      <c r="H777" s="66"/>
      <c r="I777" s="66"/>
      <c r="J777" s="66"/>
      <c r="K777" s="66"/>
      <c r="L777" s="66"/>
      <c r="M777" s="66"/>
      <c r="N777" s="66"/>
    </row>
    <row r="778" spans="1:14" x14ac:dyDescent="0.2">
      <c r="A778" s="84"/>
      <c r="B778" s="84"/>
      <c r="C778" s="60"/>
      <c r="D778" s="66"/>
      <c r="E778" s="66"/>
      <c r="F778" s="66"/>
      <c r="G778" s="66"/>
      <c r="H778" s="66"/>
      <c r="I778" s="66"/>
      <c r="J778" s="66"/>
      <c r="K778" s="66"/>
      <c r="L778" s="66"/>
      <c r="M778" s="66"/>
      <c r="N778" s="66"/>
    </row>
    <row r="779" spans="1:14" x14ac:dyDescent="0.2">
      <c r="A779" s="84"/>
      <c r="B779" s="84"/>
      <c r="C779" s="60"/>
      <c r="D779" s="66"/>
      <c r="E779" s="66"/>
      <c r="F779" s="66"/>
      <c r="G779" s="66"/>
      <c r="H779" s="66"/>
      <c r="I779" s="66"/>
      <c r="J779" s="66"/>
      <c r="K779" s="66"/>
      <c r="L779" s="66"/>
      <c r="M779" s="66"/>
      <c r="N779" s="66"/>
    </row>
    <row r="780" spans="1:14" x14ac:dyDescent="0.2">
      <c r="A780" s="84"/>
      <c r="B780" s="84"/>
      <c r="C780" s="60"/>
      <c r="D780" s="66"/>
      <c r="E780" s="66"/>
      <c r="F780" s="66"/>
      <c r="G780" s="66"/>
      <c r="H780" s="66"/>
      <c r="I780" s="66"/>
      <c r="J780" s="66"/>
      <c r="K780" s="66"/>
      <c r="L780" s="66"/>
      <c r="M780" s="66"/>
      <c r="N780" s="66"/>
    </row>
    <row r="781" spans="1:14" x14ac:dyDescent="0.2">
      <c r="A781" s="84"/>
      <c r="B781" s="84"/>
      <c r="C781" s="60"/>
      <c r="D781" s="66"/>
      <c r="E781" s="66"/>
      <c r="F781" s="66"/>
      <c r="G781" s="66"/>
      <c r="H781" s="66"/>
      <c r="I781" s="66"/>
      <c r="J781" s="66"/>
      <c r="K781" s="66"/>
      <c r="L781" s="66"/>
      <c r="M781" s="66"/>
      <c r="N781" s="66"/>
    </row>
    <row r="782" spans="1:14" x14ac:dyDescent="0.2">
      <c r="A782" s="84"/>
      <c r="B782" s="84"/>
      <c r="C782" s="60"/>
      <c r="D782" s="66"/>
      <c r="E782" s="66"/>
      <c r="F782" s="66"/>
      <c r="G782" s="66"/>
      <c r="H782" s="66"/>
      <c r="I782" s="66"/>
      <c r="J782" s="66"/>
      <c r="K782" s="66"/>
      <c r="L782" s="66"/>
      <c r="M782" s="66"/>
      <c r="N782" s="66"/>
    </row>
    <row r="783" spans="1:14" x14ac:dyDescent="0.2">
      <c r="A783" s="84"/>
      <c r="B783" s="84"/>
      <c r="C783" s="60"/>
      <c r="D783" s="66"/>
      <c r="E783" s="66"/>
      <c r="F783" s="66"/>
      <c r="G783" s="66"/>
      <c r="H783" s="66"/>
      <c r="I783" s="66"/>
      <c r="J783" s="66"/>
      <c r="K783" s="66"/>
      <c r="L783" s="66"/>
      <c r="M783" s="66"/>
      <c r="N783" s="66"/>
    </row>
    <row r="784" spans="1:14" x14ac:dyDescent="0.2">
      <c r="A784" s="84"/>
      <c r="B784" s="84"/>
      <c r="C784" s="60"/>
      <c r="D784" s="66"/>
      <c r="E784" s="66"/>
      <c r="F784" s="66"/>
      <c r="G784" s="66"/>
      <c r="H784" s="66"/>
      <c r="I784" s="66"/>
      <c r="J784" s="66"/>
      <c r="K784" s="66"/>
      <c r="L784" s="66"/>
      <c r="M784" s="66"/>
      <c r="N784" s="66"/>
    </row>
    <row r="785" spans="1:14" x14ac:dyDescent="0.2">
      <c r="A785" s="84"/>
      <c r="B785" s="84"/>
      <c r="C785" s="60"/>
      <c r="D785" s="66"/>
      <c r="E785" s="66"/>
      <c r="F785" s="66"/>
      <c r="G785" s="66"/>
      <c r="H785" s="66"/>
      <c r="I785" s="66"/>
      <c r="J785" s="66"/>
      <c r="K785" s="66"/>
      <c r="L785" s="66"/>
      <c r="M785" s="66"/>
      <c r="N785" s="66"/>
    </row>
    <row r="786" spans="1:14" x14ac:dyDescent="0.2">
      <c r="A786" s="84"/>
      <c r="B786" s="84"/>
      <c r="C786" s="60"/>
      <c r="D786" s="66"/>
      <c r="E786" s="66"/>
      <c r="F786" s="66"/>
      <c r="G786" s="66"/>
      <c r="H786" s="66"/>
      <c r="I786" s="66"/>
      <c r="J786" s="66"/>
      <c r="K786" s="66"/>
      <c r="L786" s="66"/>
      <c r="M786" s="66"/>
      <c r="N786" s="66"/>
    </row>
    <row r="787" spans="1:14" x14ac:dyDescent="0.2">
      <c r="A787" s="84"/>
      <c r="B787" s="84"/>
      <c r="C787" s="60"/>
      <c r="D787" s="66"/>
      <c r="E787" s="66"/>
      <c r="F787" s="66"/>
      <c r="G787" s="66"/>
      <c r="H787" s="66"/>
      <c r="I787" s="66"/>
      <c r="J787" s="66"/>
      <c r="K787" s="66"/>
      <c r="L787" s="66"/>
      <c r="M787" s="66"/>
      <c r="N787" s="66"/>
    </row>
    <row r="788" spans="1:14" x14ac:dyDescent="0.2">
      <c r="A788" s="84"/>
      <c r="B788" s="84"/>
      <c r="C788" s="60"/>
      <c r="D788" s="66"/>
      <c r="E788" s="66"/>
      <c r="F788" s="66"/>
      <c r="G788" s="66"/>
      <c r="H788" s="66"/>
      <c r="I788" s="66"/>
      <c r="J788" s="66"/>
      <c r="K788" s="66"/>
      <c r="L788" s="66"/>
      <c r="M788" s="66"/>
      <c r="N788" s="66"/>
    </row>
    <row r="789" spans="1:14" x14ac:dyDescent="0.2">
      <c r="A789" s="84"/>
      <c r="B789" s="84"/>
      <c r="C789" s="60"/>
      <c r="D789" s="66"/>
      <c r="E789" s="66"/>
      <c r="F789" s="66"/>
      <c r="G789" s="66"/>
      <c r="H789" s="66"/>
      <c r="I789" s="66"/>
      <c r="J789" s="66"/>
      <c r="K789" s="66"/>
      <c r="L789" s="66"/>
      <c r="M789" s="66"/>
      <c r="N789" s="66"/>
    </row>
    <row r="790" spans="1:14" x14ac:dyDescent="0.2">
      <c r="A790" s="84"/>
      <c r="B790" s="84"/>
      <c r="C790" s="60"/>
      <c r="D790" s="66"/>
      <c r="E790" s="66"/>
      <c r="F790" s="66"/>
      <c r="G790" s="66"/>
      <c r="H790" s="66"/>
      <c r="I790" s="66"/>
      <c r="J790" s="66"/>
      <c r="K790" s="66"/>
      <c r="L790" s="66"/>
      <c r="M790" s="66"/>
      <c r="N790" s="66"/>
    </row>
    <row r="791" spans="1:14" x14ac:dyDescent="0.2">
      <c r="A791" s="84"/>
      <c r="B791" s="84"/>
      <c r="C791" s="60"/>
      <c r="D791" s="66"/>
      <c r="E791" s="66"/>
      <c r="F791" s="66"/>
      <c r="G791" s="66"/>
      <c r="H791" s="66"/>
      <c r="I791" s="66"/>
      <c r="J791" s="66"/>
      <c r="K791" s="66"/>
      <c r="L791" s="66"/>
      <c r="M791" s="66"/>
      <c r="N791" s="66"/>
    </row>
    <row r="792" spans="1:14" x14ac:dyDescent="0.2">
      <c r="A792" s="84"/>
      <c r="B792" s="84"/>
      <c r="C792" s="60"/>
      <c r="D792" s="66"/>
      <c r="E792" s="66"/>
      <c r="F792" s="66"/>
      <c r="G792" s="66"/>
      <c r="H792" s="66"/>
      <c r="I792" s="66"/>
      <c r="J792" s="66"/>
      <c r="K792" s="66"/>
      <c r="L792" s="66"/>
      <c r="M792" s="66"/>
      <c r="N792" s="66"/>
    </row>
    <row r="793" spans="1:14" x14ac:dyDescent="0.2">
      <c r="A793" s="84"/>
      <c r="B793" s="84"/>
      <c r="C793" s="60"/>
      <c r="D793" s="66"/>
      <c r="E793" s="66"/>
      <c r="F793" s="66"/>
      <c r="G793" s="66"/>
      <c r="H793" s="66"/>
      <c r="I793" s="66"/>
      <c r="J793" s="66"/>
      <c r="K793" s="66"/>
      <c r="L793" s="66"/>
      <c r="M793" s="66"/>
      <c r="N793" s="66"/>
    </row>
    <row r="794" spans="1:14" x14ac:dyDescent="0.2">
      <c r="A794" s="84"/>
      <c r="B794" s="84"/>
      <c r="C794" s="60"/>
      <c r="D794" s="66"/>
      <c r="E794" s="66"/>
      <c r="F794" s="66"/>
      <c r="G794" s="66"/>
      <c r="H794" s="66"/>
      <c r="I794" s="66"/>
      <c r="J794" s="66"/>
      <c r="K794" s="66"/>
      <c r="L794" s="66"/>
      <c r="M794" s="66"/>
      <c r="N794" s="66"/>
    </row>
    <row r="795" spans="1:14" x14ac:dyDescent="0.2">
      <c r="A795" s="84"/>
      <c r="B795" s="84"/>
      <c r="C795" s="60"/>
      <c r="D795" s="66"/>
      <c r="E795" s="66"/>
      <c r="F795" s="66"/>
      <c r="G795" s="66"/>
      <c r="H795" s="66"/>
      <c r="I795" s="66"/>
      <c r="J795" s="66"/>
      <c r="K795" s="66"/>
      <c r="L795" s="66"/>
      <c r="M795" s="66"/>
      <c r="N795" s="66"/>
    </row>
    <row r="796" spans="1:14" x14ac:dyDescent="0.2">
      <c r="A796" s="84"/>
      <c r="B796" s="84"/>
      <c r="C796" s="60"/>
      <c r="D796" s="66"/>
      <c r="E796" s="66"/>
      <c r="F796" s="66"/>
      <c r="G796" s="66"/>
      <c r="H796" s="66"/>
      <c r="I796" s="66"/>
      <c r="J796" s="66"/>
      <c r="K796" s="66"/>
      <c r="L796" s="66"/>
      <c r="M796" s="66"/>
      <c r="N796" s="66"/>
    </row>
    <row r="797" spans="1:14" x14ac:dyDescent="0.2">
      <c r="A797" s="84"/>
      <c r="B797" s="84"/>
      <c r="C797" s="60"/>
      <c r="D797" s="66"/>
      <c r="E797" s="66"/>
      <c r="F797" s="66"/>
      <c r="G797" s="66"/>
      <c r="H797" s="66"/>
      <c r="I797" s="66"/>
      <c r="J797" s="66"/>
      <c r="K797" s="66"/>
      <c r="L797" s="66"/>
      <c r="M797" s="66"/>
      <c r="N797" s="66"/>
    </row>
    <row r="798" spans="1:14" x14ac:dyDescent="0.2">
      <c r="A798" s="84"/>
      <c r="B798" s="84"/>
      <c r="C798" s="60"/>
      <c r="D798" s="66"/>
      <c r="E798" s="66"/>
      <c r="F798" s="66"/>
      <c r="G798" s="66"/>
      <c r="H798" s="66"/>
      <c r="I798" s="66"/>
      <c r="J798" s="66"/>
      <c r="K798" s="66"/>
      <c r="L798" s="66"/>
      <c r="M798" s="66"/>
      <c r="N798" s="66"/>
    </row>
    <row r="799" spans="1:14" x14ac:dyDescent="0.2">
      <c r="A799" s="84"/>
      <c r="B799" s="84"/>
      <c r="C799" s="60"/>
      <c r="D799" s="66"/>
      <c r="E799" s="66"/>
      <c r="F799" s="66"/>
      <c r="G799" s="66"/>
      <c r="H799" s="66"/>
      <c r="I799" s="66"/>
      <c r="J799" s="66"/>
      <c r="K799" s="66"/>
      <c r="L799" s="66"/>
      <c r="M799" s="66"/>
      <c r="N799" s="66"/>
    </row>
    <row r="800" spans="1:14" x14ac:dyDescent="0.2">
      <c r="A800" s="84"/>
      <c r="B800" s="84"/>
      <c r="C800" s="60"/>
      <c r="D800" s="66"/>
      <c r="E800" s="66"/>
      <c r="F800" s="66"/>
      <c r="G800" s="66"/>
      <c r="H800" s="66"/>
      <c r="I800" s="66"/>
      <c r="J800" s="66"/>
      <c r="K800" s="66"/>
      <c r="L800" s="66"/>
      <c r="M800" s="66"/>
      <c r="N800" s="66"/>
    </row>
    <row r="801" spans="1:14" x14ac:dyDescent="0.2">
      <c r="A801" s="84"/>
      <c r="B801" s="84"/>
      <c r="C801" s="60"/>
      <c r="D801" s="66"/>
      <c r="E801" s="66"/>
      <c r="F801" s="66"/>
      <c r="G801" s="66"/>
      <c r="H801" s="66"/>
      <c r="I801" s="66"/>
      <c r="J801" s="66"/>
      <c r="K801" s="66"/>
      <c r="L801" s="66"/>
      <c r="M801" s="66"/>
      <c r="N801" s="66"/>
    </row>
    <row r="802" spans="1:14" x14ac:dyDescent="0.2">
      <c r="A802" s="84"/>
      <c r="B802" s="84"/>
      <c r="C802" s="60"/>
      <c r="D802" s="66"/>
      <c r="E802" s="66"/>
      <c r="F802" s="66"/>
      <c r="G802" s="66"/>
      <c r="H802" s="66"/>
      <c r="I802" s="66"/>
      <c r="J802" s="66"/>
      <c r="K802" s="66"/>
      <c r="L802" s="66"/>
      <c r="M802" s="66"/>
      <c r="N802" s="66"/>
    </row>
    <row r="803" spans="1:14" x14ac:dyDescent="0.2">
      <c r="A803" s="84"/>
      <c r="B803" s="84"/>
      <c r="C803" s="60"/>
      <c r="D803" s="66"/>
      <c r="E803" s="66"/>
      <c r="F803" s="66"/>
      <c r="G803" s="66"/>
      <c r="H803" s="66"/>
      <c r="I803" s="66"/>
      <c r="J803" s="66"/>
      <c r="K803" s="66"/>
      <c r="L803" s="66"/>
      <c r="M803" s="66"/>
      <c r="N803" s="66"/>
    </row>
    <row r="804" spans="1:14" x14ac:dyDescent="0.2">
      <c r="A804" s="84"/>
      <c r="B804" s="84"/>
      <c r="C804" s="60"/>
      <c r="D804" s="66"/>
      <c r="E804" s="66"/>
      <c r="F804" s="66"/>
      <c r="G804" s="66"/>
      <c r="H804" s="66"/>
      <c r="I804" s="66"/>
      <c r="J804" s="66"/>
      <c r="K804" s="66"/>
      <c r="L804" s="66"/>
      <c r="M804" s="66"/>
      <c r="N804" s="66"/>
    </row>
    <row r="805" spans="1:14" x14ac:dyDescent="0.2">
      <c r="A805" s="84"/>
      <c r="B805" s="84"/>
      <c r="C805" s="60"/>
      <c r="D805" s="66"/>
      <c r="E805" s="66"/>
      <c r="F805" s="66"/>
      <c r="G805" s="66"/>
      <c r="H805" s="66"/>
      <c r="I805" s="66"/>
      <c r="J805" s="66"/>
      <c r="K805" s="66"/>
      <c r="L805" s="66"/>
      <c r="M805" s="66"/>
      <c r="N805" s="66"/>
    </row>
    <row r="806" spans="1:14" x14ac:dyDescent="0.2">
      <c r="A806" s="84"/>
      <c r="B806" s="84"/>
      <c r="C806" s="60"/>
      <c r="D806" s="66"/>
      <c r="E806" s="66"/>
      <c r="F806" s="66"/>
      <c r="G806" s="66"/>
      <c r="H806" s="66"/>
      <c r="I806" s="66"/>
      <c r="J806" s="66"/>
      <c r="K806" s="66"/>
      <c r="L806" s="66"/>
      <c r="M806" s="66"/>
      <c r="N806" s="66"/>
    </row>
    <row r="807" spans="1:14" x14ac:dyDescent="0.2">
      <c r="A807" s="84"/>
      <c r="B807" s="84"/>
      <c r="C807" s="60"/>
      <c r="D807" s="66"/>
      <c r="E807" s="66"/>
      <c r="F807" s="66"/>
      <c r="G807" s="66"/>
      <c r="H807" s="66"/>
      <c r="I807" s="66"/>
      <c r="J807" s="66"/>
      <c r="K807" s="66"/>
      <c r="L807" s="66"/>
      <c r="M807" s="66"/>
      <c r="N807" s="66"/>
    </row>
    <row r="808" spans="1:14" x14ac:dyDescent="0.2">
      <c r="A808" s="84"/>
      <c r="B808" s="84"/>
      <c r="C808" s="60"/>
      <c r="D808" s="66"/>
      <c r="E808" s="66"/>
      <c r="F808" s="66"/>
      <c r="G808" s="66"/>
      <c r="H808" s="66"/>
      <c r="I808" s="66"/>
      <c r="J808" s="66"/>
      <c r="K808" s="66"/>
      <c r="L808" s="66"/>
      <c r="M808" s="66"/>
      <c r="N808" s="66"/>
    </row>
    <row r="809" spans="1:14" x14ac:dyDescent="0.2">
      <c r="A809" s="84"/>
      <c r="B809" s="84"/>
      <c r="C809" s="60"/>
      <c r="D809" s="66"/>
      <c r="E809" s="66"/>
      <c r="F809" s="66"/>
      <c r="G809" s="66"/>
      <c r="H809" s="66"/>
      <c r="I809" s="66"/>
      <c r="J809" s="66"/>
      <c r="K809" s="66"/>
      <c r="L809" s="66"/>
      <c r="M809" s="66"/>
      <c r="N809" s="66"/>
    </row>
    <row r="810" spans="1:14" x14ac:dyDescent="0.2">
      <c r="A810" s="84"/>
      <c r="B810" s="84"/>
      <c r="C810" s="60"/>
      <c r="D810" s="66"/>
      <c r="E810" s="66"/>
      <c r="F810" s="66"/>
      <c r="G810" s="66"/>
      <c r="H810" s="66"/>
      <c r="I810" s="66"/>
      <c r="J810" s="66"/>
      <c r="K810" s="66"/>
      <c r="L810" s="66"/>
      <c r="M810" s="66"/>
      <c r="N810" s="66"/>
    </row>
    <row r="811" spans="1:14" x14ac:dyDescent="0.2">
      <c r="A811" s="84"/>
      <c r="B811" s="84"/>
      <c r="C811" s="60"/>
      <c r="D811" s="66"/>
      <c r="E811" s="66"/>
      <c r="F811" s="66"/>
      <c r="G811" s="66"/>
      <c r="H811" s="66"/>
      <c r="I811" s="66"/>
      <c r="J811" s="66"/>
      <c r="K811" s="66"/>
      <c r="L811" s="66"/>
      <c r="M811" s="66"/>
      <c r="N811" s="66"/>
    </row>
    <row r="812" spans="1:14" x14ac:dyDescent="0.2">
      <c r="A812" s="84"/>
      <c r="B812" s="84"/>
      <c r="C812" s="60"/>
      <c r="D812" s="66"/>
      <c r="E812" s="66"/>
      <c r="F812" s="66"/>
      <c r="G812" s="66"/>
      <c r="H812" s="66"/>
      <c r="I812" s="66"/>
      <c r="J812" s="66"/>
      <c r="K812" s="66"/>
      <c r="L812" s="66"/>
      <c r="M812" s="66"/>
      <c r="N812" s="66"/>
    </row>
    <row r="813" spans="1:14" x14ac:dyDescent="0.2">
      <c r="A813" s="84"/>
      <c r="B813" s="84"/>
      <c r="C813" s="60"/>
      <c r="D813" s="66"/>
      <c r="E813" s="66"/>
      <c r="F813" s="66"/>
      <c r="G813" s="66"/>
      <c r="H813" s="66"/>
      <c r="I813" s="66"/>
      <c r="J813" s="66"/>
      <c r="K813" s="66"/>
      <c r="L813" s="66"/>
      <c r="M813" s="66"/>
      <c r="N813" s="66"/>
    </row>
    <row r="814" spans="1:14" x14ac:dyDescent="0.2">
      <c r="A814" s="84"/>
      <c r="B814" s="84"/>
      <c r="C814" s="60"/>
      <c r="D814" s="66"/>
      <c r="E814" s="66"/>
      <c r="F814" s="66"/>
      <c r="G814" s="66"/>
      <c r="H814" s="66"/>
      <c r="I814" s="66"/>
      <c r="J814" s="66"/>
      <c r="K814" s="66"/>
      <c r="L814" s="66"/>
      <c r="M814" s="66"/>
      <c r="N814" s="66"/>
    </row>
    <row r="815" spans="1:14" x14ac:dyDescent="0.2">
      <c r="A815" s="84"/>
      <c r="B815" s="84"/>
      <c r="C815" s="60"/>
      <c r="D815" s="66"/>
      <c r="E815" s="66"/>
      <c r="F815" s="66"/>
      <c r="G815" s="66"/>
      <c r="H815" s="66"/>
      <c r="I815" s="66"/>
      <c r="J815" s="66"/>
      <c r="K815" s="66"/>
      <c r="L815" s="66"/>
      <c r="M815" s="66"/>
      <c r="N815" s="66"/>
    </row>
    <row r="816" spans="1:14" x14ac:dyDescent="0.2">
      <c r="A816" s="84"/>
      <c r="B816" s="84"/>
      <c r="C816" s="60"/>
      <c r="D816" s="66"/>
      <c r="E816" s="66"/>
      <c r="F816" s="66"/>
      <c r="G816" s="66"/>
      <c r="H816" s="66"/>
      <c r="I816" s="66"/>
      <c r="J816" s="66"/>
      <c r="K816" s="66"/>
      <c r="L816" s="66"/>
      <c r="M816" s="66"/>
      <c r="N816" s="66"/>
    </row>
    <row r="817" spans="1:14" x14ac:dyDescent="0.2">
      <c r="A817" s="84"/>
      <c r="B817" s="84"/>
      <c r="C817" s="60"/>
      <c r="D817" s="66"/>
      <c r="E817" s="66"/>
      <c r="F817" s="66"/>
      <c r="G817" s="66"/>
      <c r="H817" s="66"/>
      <c r="I817" s="66"/>
      <c r="J817" s="66"/>
      <c r="K817" s="66"/>
      <c r="L817" s="66"/>
      <c r="M817" s="66"/>
      <c r="N817" s="66"/>
    </row>
    <row r="818" spans="1:14" x14ac:dyDescent="0.2">
      <c r="A818" s="84"/>
      <c r="B818" s="84"/>
      <c r="C818" s="60"/>
      <c r="D818" s="66"/>
      <c r="E818" s="66"/>
      <c r="F818" s="66"/>
      <c r="G818" s="66"/>
      <c r="H818" s="66"/>
      <c r="I818" s="66"/>
      <c r="J818" s="66"/>
      <c r="K818" s="66"/>
      <c r="L818" s="66"/>
      <c r="M818" s="66"/>
      <c r="N818" s="66"/>
    </row>
    <row r="819" spans="1:14" x14ac:dyDescent="0.2">
      <c r="A819" s="84"/>
      <c r="B819" s="84"/>
      <c r="C819" s="60"/>
      <c r="D819" s="66"/>
      <c r="E819" s="66"/>
      <c r="F819" s="66"/>
      <c r="G819" s="66"/>
      <c r="H819" s="66"/>
      <c r="I819" s="66"/>
      <c r="J819" s="66"/>
      <c r="K819" s="66"/>
      <c r="L819" s="66"/>
      <c r="M819" s="66"/>
      <c r="N819" s="66"/>
    </row>
    <row r="820" spans="1:14" x14ac:dyDescent="0.2">
      <c r="A820" s="84"/>
      <c r="B820" s="84"/>
      <c r="C820" s="60"/>
      <c r="D820" s="66"/>
      <c r="E820" s="66"/>
      <c r="F820" s="66"/>
      <c r="G820" s="66"/>
      <c r="H820" s="66"/>
      <c r="I820" s="66"/>
      <c r="J820" s="66"/>
      <c r="K820" s="66"/>
      <c r="L820" s="66"/>
      <c r="M820" s="66"/>
      <c r="N820" s="66"/>
    </row>
    <row r="821" spans="1:14" x14ac:dyDescent="0.2">
      <c r="A821" s="84"/>
      <c r="B821" s="84"/>
      <c r="C821" s="60"/>
      <c r="D821" s="66"/>
      <c r="E821" s="66"/>
      <c r="F821" s="66"/>
      <c r="G821" s="66"/>
      <c r="H821" s="66"/>
      <c r="I821" s="66"/>
      <c r="J821" s="66"/>
      <c r="K821" s="66"/>
      <c r="L821" s="66"/>
      <c r="M821" s="66"/>
      <c r="N821" s="66"/>
    </row>
    <row r="822" spans="1:14" x14ac:dyDescent="0.2">
      <c r="A822" s="84"/>
      <c r="B822" s="84"/>
      <c r="C822" s="60"/>
      <c r="D822" s="66"/>
      <c r="E822" s="66"/>
      <c r="F822" s="66"/>
      <c r="G822" s="66"/>
      <c r="H822" s="66"/>
      <c r="I822" s="66"/>
      <c r="J822" s="66"/>
      <c r="K822" s="66"/>
      <c r="L822" s="66"/>
      <c r="M822" s="66"/>
      <c r="N822" s="66"/>
    </row>
    <row r="823" spans="1:14" x14ac:dyDescent="0.2">
      <c r="A823" s="84"/>
      <c r="B823" s="84"/>
      <c r="C823" s="60"/>
      <c r="D823" s="66"/>
      <c r="E823" s="66"/>
      <c r="F823" s="66"/>
      <c r="G823" s="66"/>
      <c r="H823" s="66"/>
      <c r="I823" s="66"/>
      <c r="J823" s="66"/>
      <c r="K823" s="66"/>
      <c r="L823" s="66"/>
      <c r="M823" s="66"/>
      <c r="N823" s="66"/>
    </row>
    <row r="824" spans="1:14" x14ac:dyDescent="0.2">
      <c r="A824" s="84"/>
      <c r="B824" s="84"/>
      <c r="C824" s="60"/>
      <c r="D824" s="66"/>
      <c r="E824" s="66"/>
      <c r="F824" s="66"/>
      <c r="G824" s="66"/>
      <c r="H824" s="66"/>
      <c r="I824" s="66"/>
      <c r="J824" s="66"/>
      <c r="K824" s="66"/>
      <c r="L824" s="66"/>
      <c r="M824" s="66"/>
      <c r="N824" s="66"/>
    </row>
    <row r="825" spans="1:14" x14ac:dyDescent="0.2">
      <c r="A825" s="84"/>
      <c r="B825" s="84"/>
      <c r="C825" s="60"/>
      <c r="D825" s="66"/>
      <c r="E825" s="66"/>
      <c r="F825" s="66"/>
      <c r="G825" s="66"/>
      <c r="H825" s="66"/>
      <c r="I825" s="66"/>
      <c r="J825" s="66"/>
      <c r="K825" s="66"/>
      <c r="L825" s="66"/>
      <c r="M825" s="66"/>
      <c r="N825" s="66"/>
    </row>
    <row r="826" spans="1:14" x14ac:dyDescent="0.2">
      <c r="A826" s="84"/>
      <c r="B826" s="84"/>
      <c r="C826" s="60"/>
      <c r="D826" s="66"/>
      <c r="E826" s="66"/>
      <c r="F826" s="66"/>
      <c r="G826" s="66"/>
      <c r="H826" s="66"/>
      <c r="I826" s="66"/>
      <c r="J826" s="66"/>
      <c r="K826" s="66"/>
      <c r="L826" s="66"/>
      <c r="M826" s="66"/>
      <c r="N826" s="66"/>
    </row>
    <row r="827" spans="1:14" x14ac:dyDescent="0.2">
      <c r="A827" s="84"/>
      <c r="B827" s="84"/>
      <c r="C827" s="60"/>
      <c r="D827" s="66"/>
      <c r="E827" s="66"/>
      <c r="F827" s="66"/>
      <c r="G827" s="66"/>
      <c r="H827" s="66"/>
      <c r="I827" s="66"/>
      <c r="J827" s="66"/>
      <c r="K827" s="66"/>
      <c r="L827" s="66"/>
      <c r="M827" s="66"/>
      <c r="N827" s="66"/>
    </row>
    <row r="828" spans="1:14" x14ac:dyDescent="0.2">
      <c r="A828" s="84"/>
      <c r="B828" s="84"/>
      <c r="C828" s="60"/>
      <c r="D828" s="66"/>
      <c r="E828" s="66"/>
      <c r="F828" s="66"/>
      <c r="G828" s="66"/>
      <c r="H828" s="66"/>
      <c r="I828" s="66"/>
      <c r="J828" s="66"/>
      <c r="K828" s="66"/>
      <c r="L828" s="66"/>
      <c r="M828" s="66"/>
      <c r="N828" s="66"/>
    </row>
    <row r="829" spans="1:14" x14ac:dyDescent="0.2">
      <c r="A829" s="84"/>
      <c r="B829" s="84"/>
      <c r="C829" s="60"/>
      <c r="D829" s="66"/>
      <c r="E829" s="66"/>
      <c r="F829" s="66"/>
      <c r="G829" s="66"/>
      <c r="H829" s="66"/>
      <c r="I829" s="66"/>
      <c r="J829" s="66"/>
      <c r="K829" s="66"/>
      <c r="L829" s="66"/>
      <c r="M829" s="66"/>
      <c r="N829" s="66"/>
    </row>
    <row r="830" spans="1:14" x14ac:dyDescent="0.2">
      <c r="A830" s="84"/>
      <c r="B830" s="84"/>
      <c r="C830" s="60"/>
      <c r="D830" s="66"/>
      <c r="E830" s="66"/>
      <c r="F830" s="66"/>
      <c r="G830" s="66"/>
      <c r="H830" s="66"/>
      <c r="I830" s="66"/>
      <c r="J830" s="66"/>
      <c r="K830" s="66"/>
      <c r="L830" s="66"/>
      <c r="M830" s="66"/>
      <c r="N830" s="66"/>
    </row>
    <row r="831" spans="1:14" x14ac:dyDescent="0.2">
      <c r="A831" s="84"/>
      <c r="B831" s="84"/>
      <c r="C831" s="60"/>
      <c r="D831" s="66"/>
      <c r="E831" s="66"/>
      <c r="F831" s="66"/>
      <c r="G831" s="66"/>
      <c r="H831" s="66"/>
      <c r="I831" s="66"/>
      <c r="J831" s="66"/>
      <c r="K831" s="66"/>
      <c r="L831" s="66"/>
      <c r="M831" s="66"/>
      <c r="N831" s="66"/>
    </row>
    <row r="832" spans="1:14" x14ac:dyDescent="0.2">
      <c r="A832" s="84"/>
      <c r="B832" s="84"/>
      <c r="C832" s="60"/>
      <c r="D832" s="66"/>
      <c r="E832" s="66"/>
      <c r="F832" s="66"/>
      <c r="G832" s="66"/>
      <c r="H832" s="66"/>
      <c r="I832" s="66"/>
      <c r="J832" s="66"/>
      <c r="K832" s="66"/>
      <c r="L832" s="66"/>
      <c r="M832" s="66"/>
      <c r="N832" s="66"/>
    </row>
    <row r="833" spans="1:14" x14ac:dyDescent="0.2">
      <c r="A833" s="84"/>
      <c r="B833" s="84"/>
      <c r="C833" s="60"/>
      <c r="D833" s="66"/>
      <c r="E833" s="66"/>
      <c r="F833" s="66"/>
      <c r="G833" s="66"/>
      <c r="H833" s="66"/>
      <c r="I833" s="66"/>
      <c r="J833" s="66"/>
      <c r="K833" s="66"/>
      <c r="L833" s="66"/>
      <c r="M833" s="66"/>
      <c r="N833" s="66"/>
    </row>
    <row r="834" spans="1:14" x14ac:dyDescent="0.2">
      <c r="A834" s="84"/>
      <c r="B834" s="84"/>
      <c r="C834" s="60"/>
      <c r="D834" s="66"/>
      <c r="E834" s="66"/>
      <c r="F834" s="66"/>
      <c r="G834" s="66"/>
      <c r="H834" s="66"/>
      <c r="I834" s="66"/>
      <c r="J834" s="66"/>
      <c r="K834" s="66"/>
      <c r="L834" s="66"/>
      <c r="M834" s="66"/>
      <c r="N834" s="66"/>
    </row>
    <row r="835" spans="1:14" x14ac:dyDescent="0.2">
      <c r="A835" s="84"/>
      <c r="B835" s="84"/>
      <c r="C835" s="60"/>
      <c r="D835" s="66"/>
      <c r="E835" s="66"/>
      <c r="F835" s="66"/>
      <c r="G835" s="66"/>
      <c r="H835" s="66"/>
      <c r="I835" s="66"/>
      <c r="J835" s="66"/>
      <c r="K835" s="66"/>
      <c r="L835" s="66"/>
      <c r="M835" s="66"/>
      <c r="N835" s="66"/>
    </row>
    <row r="836" spans="1:14" x14ac:dyDescent="0.2">
      <c r="A836" s="84"/>
      <c r="B836" s="84"/>
      <c r="C836" s="60"/>
      <c r="D836" s="66"/>
      <c r="E836" s="66"/>
      <c r="F836" s="66"/>
      <c r="G836" s="66"/>
      <c r="H836" s="66"/>
      <c r="I836" s="66"/>
      <c r="J836" s="66"/>
      <c r="K836" s="66"/>
      <c r="L836" s="66"/>
      <c r="M836" s="66"/>
      <c r="N836" s="66"/>
    </row>
    <row r="837" spans="1:14" x14ac:dyDescent="0.2">
      <c r="A837" s="84"/>
      <c r="B837" s="84"/>
      <c r="C837" s="60"/>
      <c r="D837" s="66"/>
      <c r="E837" s="66"/>
      <c r="F837" s="66"/>
      <c r="G837" s="66"/>
      <c r="H837" s="66"/>
      <c r="I837" s="66"/>
      <c r="J837" s="66"/>
      <c r="K837" s="66"/>
      <c r="L837" s="66"/>
      <c r="M837" s="66"/>
      <c r="N837" s="66"/>
    </row>
    <row r="838" spans="1:14" x14ac:dyDescent="0.2">
      <c r="A838" s="84"/>
      <c r="B838" s="84"/>
      <c r="C838" s="60"/>
      <c r="D838" s="66"/>
      <c r="E838" s="66"/>
      <c r="F838" s="66"/>
      <c r="G838" s="66"/>
      <c r="H838" s="66"/>
      <c r="I838" s="66"/>
      <c r="J838" s="66"/>
      <c r="K838" s="66"/>
      <c r="L838" s="66"/>
      <c r="M838" s="66"/>
      <c r="N838" s="66"/>
    </row>
    <row r="839" spans="1:14" x14ac:dyDescent="0.2">
      <c r="A839" s="84"/>
      <c r="B839" s="84"/>
      <c r="C839" s="60"/>
      <c r="D839" s="66"/>
      <c r="E839" s="66"/>
      <c r="F839" s="66"/>
      <c r="G839" s="66"/>
      <c r="H839" s="66"/>
      <c r="I839" s="66"/>
      <c r="J839" s="66"/>
      <c r="K839" s="66"/>
      <c r="L839" s="66"/>
      <c r="M839" s="66"/>
      <c r="N839" s="66"/>
    </row>
    <row r="840" spans="1:14" x14ac:dyDescent="0.2">
      <c r="A840" s="84"/>
      <c r="B840" s="84"/>
      <c r="C840" s="60"/>
      <c r="D840" s="66"/>
      <c r="E840" s="66"/>
      <c r="F840" s="66"/>
      <c r="G840" s="66"/>
      <c r="H840" s="66"/>
      <c r="I840" s="66"/>
      <c r="J840" s="66"/>
      <c r="K840" s="66"/>
      <c r="L840" s="66"/>
      <c r="M840" s="66"/>
      <c r="N840" s="66"/>
    </row>
    <row r="841" spans="1:14" x14ac:dyDescent="0.2">
      <c r="A841" s="84"/>
      <c r="B841" s="84"/>
      <c r="C841" s="60"/>
      <c r="D841" s="66"/>
      <c r="E841" s="66"/>
      <c r="F841" s="66"/>
      <c r="G841" s="66"/>
      <c r="H841" s="66"/>
      <c r="I841" s="66"/>
      <c r="J841" s="66"/>
      <c r="K841" s="66"/>
      <c r="L841" s="66"/>
      <c r="M841" s="66"/>
      <c r="N841" s="66"/>
    </row>
    <row r="842" spans="1:14" x14ac:dyDescent="0.2">
      <c r="A842" s="84"/>
      <c r="B842" s="84"/>
      <c r="C842" s="60"/>
      <c r="D842" s="66"/>
      <c r="E842" s="66"/>
      <c r="F842" s="66"/>
      <c r="G842" s="66"/>
      <c r="H842" s="66"/>
      <c r="I842" s="66"/>
      <c r="J842" s="66"/>
      <c r="K842" s="66"/>
      <c r="L842" s="66"/>
      <c r="M842" s="66"/>
      <c r="N842" s="66"/>
    </row>
    <row r="843" spans="1:14" x14ac:dyDescent="0.2">
      <c r="A843" s="84"/>
      <c r="B843" s="84"/>
      <c r="C843" s="60"/>
      <c r="D843" s="66"/>
      <c r="E843" s="66"/>
      <c r="F843" s="66"/>
      <c r="G843" s="66"/>
      <c r="H843" s="66"/>
      <c r="I843" s="66"/>
      <c r="J843" s="66"/>
      <c r="K843" s="66"/>
      <c r="L843" s="66"/>
      <c r="M843" s="66"/>
      <c r="N843" s="66"/>
    </row>
    <row r="844" spans="1:14" x14ac:dyDescent="0.2">
      <c r="A844" s="84"/>
      <c r="B844" s="84"/>
      <c r="C844" s="60"/>
      <c r="D844" s="66"/>
      <c r="E844" s="66"/>
      <c r="F844" s="66"/>
      <c r="G844" s="66"/>
      <c r="H844" s="66"/>
      <c r="I844" s="66"/>
      <c r="J844" s="66"/>
      <c r="K844" s="66"/>
      <c r="L844" s="66"/>
      <c r="M844" s="66"/>
      <c r="N844" s="66"/>
    </row>
    <row r="845" spans="1:14" x14ac:dyDescent="0.2">
      <c r="A845" s="84"/>
      <c r="B845" s="84"/>
      <c r="C845" s="60"/>
      <c r="D845" s="66"/>
      <c r="E845" s="66"/>
      <c r="F845" s="66"/>
      <c r="G845" s="66"/>
      <c r="H845" s="66"/>
      <c r="I845" s="66"/>
      <c r="J845" s="66"/>
      <c r="K845" s="66"/>
      <c r="L845" s="66"/>
      <c r="M845" s="66"/>
      <c r="N845" s="66"/>
    </row>
    <row r="846" spans="1:14" x14ac:dyDescent="0.2">
      <c r="A846" s="84"/>
      <c r="B846" s="84"/>
      <c r="C846" s="60"/>
      <c r="D846" s="66"/>
      <c r="E846" s="66"/>
      <c r="F846" s="66"/>
      <c r="G846" s="66"/>
      <c r="H846" s="66"/>
      <c r="I846" s="66"/>
      <c r="J846" s="66"/>
      <c r="K846" s="66"/>
      <c r="L846" s="66"/>
      <c r="M846" s="66"/>
      <c r="N846" s="66"/>
    </row>
    <row r="847" spans="1:14" x14ac:dyDescent="0.2">
      <c r="A847" s="84"/>
      <c r="B847" s="84"/>
      <c r="C847" s="60"/>
      <c r="D847" s="66"/>
      <c r="E847" s="66"/>
      <c r="F847" s="66"/>
      <c r="G847" s="66"/>
      <c r="H847" s="66"/>
      <c r="I847" s="66"/>
      <c r="J847" s="66"/>
      <c r="K847" s="66"/>
      <c r="L847" s="66"/>
      <c r="M847" s="66"/>
      <c r="N847" s="66"/>
    </row>
    <row r="848" spans="1:14" x14ac:dyDescent="0.2">
      <c r="A848" s="84"/>
      <c r="B848" s="84"/>
      <c r="C848" s="60"/>
      <c r="D848" s="66"/>
      <c r="E848" s="66"/>
      <c r="F848" s="66"/>
      <c r="G848" s="66"/>
      <c r="H848" s="66"/>
      <c r="I848" s="66"/>
      <c r="J848" s="66"/>
      <c r="K848" s="66"/>
      <c r="L848" s="66"/>
      <c r="M848" s="66"/>
      <c r="N848" s="66"/>
    </row>
    <row r="849" spans="1:14" x14ac:dyDescent="0.2">
      <c r="A849" s="84"/>
      <c r="B849" s="84"/>
      <c r="C849" s="60"/>
      <c r="D849" s="66"/>
      <c r="E849" s="66"/>
      <c r="F849" s="66"/>
      <c r="G849" s="66"/>
      <c r="H849" s="66"/>
      <c r="I849" s="66"/>
      <c r="J849" s="66"/>
      <c r="K849" s="66"/>
      <c r="L849" s="66"/>
      <c r="M849" s="66"/>
      <c r="N849" s="66"/>
    </row>
    <row r="850" spans="1:14" x14ac:dyDescent="0.2">
      <c r="A850" s="84"/>
      <c r="B850" s="84"/>
      <c r="C850" s="60"/>
      <c r="D850" s="66"/>
      <c r="E850" s="66"/>
      <c r="F850" s="66"/>
      <c r="G850" s="66"/>
      <c r="H850" s="66"/>
      <c r="I850" s="66"/>
      <c r="J850" s="66"/>
      <c r="K850" s="66"/>
      <c r="L850" s="66"/>
      <c r="M850" s="66"/>
      <c r="N850" s="66"/>
    </row>
    <row r="851" spans="1:14" x14ac:dyDescent="0.2">
      <c r="A851" s="84"/>
      <c r="B851" s="84"/>
      <c r="C851" s="60"/>
      <c r="D851" s="66"/>
      <c r="E851" s="66"/>
      <c r="F851" s="66"/>
      <c r="G851" s="66"/>
      <c r="H851" s="66"/>
      <c r="I851" s="66"/>
      <c r="J851" s="66"/>
      <c r="K851" s="66"/>
      <c r="L851" s="66"/>
      <c r="M851" s="66"/>
      <c r="N851" s="66"/>
    </row>
    <row r="852" spans="1:14" x14ac:dyDescent="0.2">
      <c r="A852" s="84"/>
      <c r="B852" s="84"/>
      <c r="C852" s="60"/>
      <c r="D852" s="66"/>
      <c r="E852" s="66"/>
      <c r="F852" s="66"/>
      <c r="G852" s="66"/>
      <c r="H852" s="66"/>
      <c r="I852" s="66"/>
      <c r="J852" s="66"/>
      <c r="K852" s="66"/>
      <c r="L852" s="66"/>
      <c r="M852" s="66"/>
      <c r="N852" s="66"/>
    </row>
    <row r="853" spans="1:14" x14ac:dyDescent="0.2">
      <c r="A853" s="84"/>
      <c r="B853" s="84"/>
      <c r="C853" s="60"/>
      <c r="D853" s="66"/>
      <c r="E853" s="66"/>
      <c r="F853" s="66"/>
      <c r="G853" s="66"/>
      <c r="H853" s="66"/>
      <c r="I853" s="66"/>
      <c r="J853" s="66"/>
      <c r="K853" s="66"/>
      <c r="L853" s="66"/>
      <c r="M853" s="66"/>
      <c r="N853" s="66"/>
    </row>
    <row r="854" spans="1:14" x14ac:dyDescent="0.2">
      <c r="A854" s="84"/>
      <c r="B854" s="84"/>
      <c r="C854" s="60"/>
      <c r="D854" s="66"/>
      <c r="E854" s="66"/>
      <c r="F854" s="66"/>
      <c r="G854" s="66"/>
      <c r="H854" s="66"/>
      <c r="I854" s="66"/>
      <c r="J854" s="66"/>
      <c r="K854" s="66"/>
      <c r="L854" s="66"/>
      <c r="M854" s="66"/>
      <c r="N854" s="66"/>
    </row>
    <row r="855" spans="1:14" x14ac:dyDescent="0.2">
      <c r="A855" s="84"/>
      <c r="B855" s="84"/>
      <c r="C855" s="60"/>
      <c r="D855" s="66"/>
      <c r="E855" s="66"/>
      <c r="F855" s="66"/>
      <c r="G855" s="66"/>
      <c r="H855" s="66"/>
      <c r="I855" s="66"/>
      <c r="J855" s="66"/>
      <c r="K855" s="66"/>
      <c r="L855" s="66"/>
      <c r="M855" s="66"/>
      <c r="N855" s="66"/>
    </row>
    <row r="856" spans="1:14" x14ac:dyDescent="0.2">
      <c r="A856" s="84"/>
      <c r="B856" s="84"/>
      <c r="C856" s="60"/>
      <c r="D856" s="66"/>
      <c r="E856" s="66"/>
      <c r="F856" s="66"/>
      <c r="G856" s="66"/>
      <c r="H856" s="66"/>
      <c r="I856" s="66"/>
      <c r="J856" s="66"/>
      <c r="K856" s="66"/>
      <c r="L856" s="66"/>
      <c r="M856" s="66"/>
      <c r="N856" s="66"/>
    </row>
    <row r="857" spans="1:14" x14ac:dyDescent="0.2">
      <c r="A857" s="84"/>
      <c r="B857" s="84"/>
      <c r="C857" s="60"/>
      <c r="D857" s="66"/>
      <c r="E857" s="66"/>
      <c r="F857" s="66"/>
      <c r="G857" s="66"/>
      <c r="H857" s="66"/>
      <c r="I857" s="66"/>
      <c r="J857" s="66"/>
      <c r="K857" s="66"/>
      <c r="L857" s="66"/>
      <c r="M857" s="66"/>
      <c r="N857" s="66"/>
    </row>
    <row r="858" spans="1:14" x14ac:dyDescent="0.2">
      <c r="A858" s="84"/>
      <c r="B858" s="84"/>
      <c r="C858" s="60"/>
      <c r="D858" s="66"/>
      <c r="E858" s="66"/>
      <c r="F858" s="66"/>
      <c r="G858" s="66"/>
      <c r="H858" s="66"/>
      <c r="I858" s="66"/>
      <c r="J858" s="66"/>
      <c r="K858" s="66"/>
      <c r="L858" s="66"/>
      <c r="M858" s="66"/>
      <c r="N858" s="66"/>
    </row>
    <row r="859" spans="1:14" x14ac:dyDescent="0.2">
      <c r="A859" s="84"/>
      <c r="B859" s="84"/>
      <c r="C859" s="60"/>
      <c r="D859" s="66"/>
      <c r="E859" s="66"/>
      <c r="F859" s="66"/>
      <c r="G859" s="66"/>
      <c r="H859" s="66"/>
      <c r="I859" s="66"/>
      <c r="J859" s="66"/>
      <c r="K859" s="66"/>
      <c r="L859" s="66"/>
      <c r="M859" s="66"/>
      <c r="N859" s="66"/>
    </row>
    <row r="860" spans="1:14" x14ac:dyDescent="0.2">
      <c r="A860" s="84"/>
      <c r="B860" s="84"/>
      <c r="C860" s="60"/>
      <c r="D860" s="66"/>
      <c r="E860" s="66"/>
      <c r="F860" s="66"/>
      <c r="G860" s="66"/>
      <c r="H860" s="66"/>
      <c r="I860" s="66"/>
      <c r="J860" s="66"/>
      <c r="K860" s="66"/>
      <c r="L860" s="66"/>
      <c r="M860" s="66"/>
      <c r="N860" s="66"/>
    </row>
    <row r="861" spans="1:14" x14ac:dyDescent="0.2">
      <c r="A861" s="84"/>
      <c r="B861" s="84"/>
      <c r="C861" s="60"/>
      <c r="D861" s="66"/>
      <c r="E861" s="66"/>
      <c r="F861" s="66"/>
      <c r="G861" s="66"/>
      <c r="H861" s="66"/>
      <c r="I861" s="66"/>
      <c r="J861" s="66"/>
      <c r="K861" s="66"/>
      <c r="L861" s="66"/>
      <c r="M861" s="66"/>
      <c r="N861" s="66"/>
    </row>
    <row r="862" spans="1:14" x14ac:dyDescent="0.2">
      <c r="A862" s="84"/>
      <c r="B862" s="84"/>
      <c r="C862" s="60"/>
      <c r="D862" s="66"/>
      <c r="E862" s="66"/>
      <c r="F862" s="66"/>
      <c r="G862" s="66"/>
      <c r="H862" s="66"/>
      <c r="I862" s="66"/>
      <c r="J862" s="66"/>
      <c r="K862" s="66"/>
      <c r="L862" s="66"/>
      <c r="M862" s="66"/>
      <c r="N862" s="66"/>
    </row>
    <row r="863" spans="1:14" x14ac:dyDescent="0.2">
      <c r="A863" s="84"/>
      <c r="B863" s="84"/>
      <c r="C863" s="60"/>
      <c r="D863" s="66"/>
      <c r="E863" s="66"/>
      <c r="F863" s="66"/>
      <c r="G863" s="66"/>
      <c r="H863" s="66"/>
      <c r="I863" s="66"/>
      <c r="J863" s="66"/>
      <c r="K863" s="66"/>
      <c r="L863" s="66"/>
      <c r="M863" s="66"/>
      <c r="N863" s="66"/>
    </row>
    <row r="864" spans="1:14" x14ac:dyDescent="0.2">
      <c r="A864" s="84"/>
      <c r="B864" s="84"/>
      <c r="C864" s="60"/>
      <c r="D864" s="66"/>
      <c r="E864" s="66"/>
      <c r="F864" s="66"/>
      <c r="G864" s="66"/>
      <c r="H864" s="66"/>
      <c r="I864" s="66"/>
      <c r="J864" s="66"/>
      <c r="K864" s="66"/>
      <c r="L864" s="66"/>
      <c r="M864" s="66"/>
      <c r="N864" s="66"/>
    </row>
    <row r="865" spans="1:14" x14ac:dyDescent="0.2">
      <c r="A865" s="84"/>
      <c r="B865" s="84"/>
      <c r="C865" s="60"/>
      <c r="D865" s="66"/>
      <c r="E865" s="66"/>
      <c r="F865" s="66"/>
      <c r="G865" s="66"/>
      <c r="H865" s="66"/>
      <c r="I865" s="66"/>
      <c r="J865" s="66"/>
      <c r="K865" s="66"/>
      <c r="L865" s="66"/>
      <c r="M865" s="66"/>
      <c r="N865" s="66"/>
    </row>
    <row r="866" spans="1:14" x14ac:dyDescent="0.2">
      <c r="A866" s="84"/>
      <c r="B866" s="84"/>
      <c r="C866" s="60"/>
      <c r="D866" s="66"/>
      <c r="E866" s="66"/>
      <c r="F866" s="66"/>
      <c r="G866" s="66"/>
      <c r="H866" s="66"/>
      <c r="I866" s="66"/>
      <c r="J866" s="66"/>
      <c r="K866" s="66"/>
      <c r="L866" s="66"/>
      <c r="M866" s="66"/>
      <c r="N866" s="66"/>
    </row>
    <row r="867" spans="1:14" x14ac:dyDescent="0.2">
      <c r="A867" s="84"/>
      <c r="B867" s="84"/>
      <c r="C867" s="60"/>
      <c r="D867" s="66"/>
      <c r="E867" s="66"/>
      <c r="F867" s="66"/>
      <c r="G867" s="66"/>
      <c r="H867" s="66"/>
      <c r="I867" s="66"/>
      <c r="J867" s="66"/>
      <c r="K867" s="66"/>
      <c r="L867" s="66"/>
      <c r="M867" s="66"/>
      <c r="N867" s="66"/>
    </row>
    <row r="868" spans="1:14" x14ac:dyDescent="0.2">
      <c r="A868" s="84"/>
      <c r="B868" s="84"/>
      <c r="C868" s="60"/>
      <c r="D868" s="66"/>
      <c r="E868" s="66"/>
      <c r="F868" s="66"/>
      <c r="G868" s="66"/>
      <c r="H868" s="66"/>
      <c r="I868" s="66"/>
      <c r="J868" s="66"/>
      <c r="K868" s="66"/>
      <c r="L868" s="66"/>
      <c r="M868" s="66"/>
      <c r="N868" s="66"/>
    </row>
    <row r="869" spans="1:14" x14ac:dyDescent="0.2">
      <c r="A869" s="84"/>
      <c r="B869" s="84"/>
      <c r="C869" s="60"/>
      <c r="D869" s="66"/>
      <c r="E869" s="66"/>
      <c r="F869" s="66"/>
      <c r="G869" s="66"/>
      <c r="H869" s="66"/>
      <c r="I869" s="66"/>
      <c r="J869" s="66"/>
      <c r="K869" s="66"/>
      <c r="L869" s="66"/>
      <c r="M869" s="66"/>
      <c r="N869" s="66"/>
    </row>
    <row r="870" spans="1:14" x14ac:dyDescent="0.2">
      <c r="A870" s="84"/>
      <c r="B870" s="84"/>
      <c r="C870" s="60"/>
      <c r="D870" s="66"/>
      <c r="E870" s="66"/>
      <c r="F870" s="66"/>
      <c r="G870" s="66"/>
      <c r="H870" s="66"/>
      <c r="I870" s="66"/>
      <c r="J870" s="66"/>
      <c r="K870" s="66"/>
      <c r="L870" s="66"/>
      <c r="M870" s="66"/>
      <c r="N870" s="66"/>
    </row>
    <row r="871" spans="1:14" x14ac:dyDescent="0.2">
      <c r="A871" s="84"/>
      <c r="B871" s="84"/>
      <c r="C871" s="60"/>
      <c r="D871" s="66"/>
      <c r="E871" s="66"/>
      <c r="F871" s="66"/>
      <c r="G871" s="66"/>
      <c r="H871" s="66"/>
      <c r="I871" s="66"/>
      <c r="J871" s="66"/>
      <c r="K871" s="66"/>
      <c r="L871" s="66"/>
      <c r="M871" s="66"/>
      <c r="N871" s="66"/>
    </row>
    <row r="872" spans="1:14" x14ac:dyDescent="0.2">
      <c r="A872" s="84"/>
      <c r="B872" s="84"/>
      <c r="C872" s="60"/>
      <c r="D872" s="66"/>
      <c r="E872" s="66"/>
      <c r="F872" s="66"/>
      <c r="G872" s="66"/>
      <c r="H872" s="66"/>
      <c r="I872" s="66"/>
      <c r="J872" s="66"/>
      <c r="K872" s="66"/>
      <c r="L872" s="66"/>
      <c r="M872" s="66"/>
      <c r="N872" s="66"/>
    </row>
    <row r="873" spans="1:14" x14ac:dyDescent="0.2">
      <c r="A873" s="84"/>
      <c r="B873" s="84"/>
      <c r="C873" s="60"/>
      <c r="D873" s="66"/>
      <c r="E873" s="66"/>
      <c r="F873" s="66"/>
      <c r="G873" s="66"/>
      <c r="H873" s="66"/>
      <c r="I873" s="66"/>
      <c r="J873" s="66"/>
      <c r="K873" s="66"/>
      <c r="L873" s="66"/>
      <c r="M873" s="66"/>
      <c r="N873" s="66"/>
    </row>
    <row r="874" spans="1:14" x14ac:dyDescent="0.2">
      <c r="A874" s="84"/>
      <c r="B874" s="84"/>
      <c r="C874" s="60"/>
      <c r="D874" s="66"/>
      <c r="E874" s="66"/>
      <c r="F874" s="66"/>
      <c r="G874" s="66"/>
      <c r="H874" s="66"/>
      <c r="I874" s="66"/>
      <c r="J874" s="66"/>
      <c r="K874" s="66"/>
      <c r="L874" s="66"/>
      <c r="M874" s="66"/>
      <c r="N874" s="66"/>
    </row>
    <row r="875" spans="1:14" x14ac:dyDescent="0.2">
      <c r="A875" s="84"/>
      <c r="B875" s="84"/>
      <c r="C875" s="60"/>
      <c r="D875" s="66"/>
      <c r="E875" s="66"/>
      <c r="F875" s="66"/>
      <c r="G875" s="66"/>
      <c r="H875" s="66"/>
      <c r="I875" s="66"/>
      <c r="J875" s="66"/>
      <c r="K875" s="66"/>
      <c r="L875" s="66"/>
      <c r="M875" s="66"/>
      <c r="N875" s="66"/>
    </row>
    <row r="876" spans="1:14" x14ac:dyDescent="0.2">
      <c r="A876" s="84"/>
      <c r="B876" s="84"/>
      <c r="C876" s="60"/>
      <c r="D876" s="66"/>
      <c r="E876" s="66"/>
      <c r="F876" s="66"/>
      <c r="G876" s="66"/>
      <c r="H876" s="66"/>
      <c r="I876" s="66"/>
      <c r="J876" s="66"/>
      <c r="K876" s="66"/>
      <c r="L876" s="66"/>
      <c r="M876" s="66"/>
      <c r="N876" s="66"/>
    </row>
    <row r="877" spans="1:14" x14ac:dyDescent="0.2">
      <c r="A877" s="84"/>
      <c r="B877" s="84"/>
      <c r="C877" s="60"/>
      <c r="D877" s="66"/>
      <c r="E877" s="66"/>
      <c r="F877" s="66"/>
      <c r="G877" s="66"/>
      <c r="H877" s="66"/>
      <c r="I877" s="66"/>
      <c r="J877" s="66"/>
      <c r="K877" s="66"/>
      <c r="L877" s="66"/>
      <c r="M877" s="66"/>
      <c r="N877" s="66"/>
    </row>
    <row r="878" spans="1:14" x14ac:dyDescent="0.2">
      <c r="A878" s="84"/>
      <c r="B878" s="84"/>
      <c r="C878" s="60"/>
      <c r="D878" s="66"/>
      <c r="E878" s="66"/>
      <c r="F878" s="66"/>
      <c r="G878" s="66"/>
      <c r="H878" s="66"/>
      <c r="I878" s="66"/>
      <c r="J878" s="66"/>
      <c r="K878" s="66"/>
      <c r="L878" s="66"/>
      <c r="M878" s="66"/>
      <c r="N878" s="66"/>
    </row>
    <row r="879" spans="1:14" x14ac:dyDescent="0.2">
      <c r="A879" s="84"/>
      <c r="B879" s="84"/>
      <c r="C879" s="60"/>
      <c r="D879" s="66"/>
      <c r="E879" s="66"/>
      <c r="F879" s="66"/>
      <c r="G879" s="66"/>
      <c r="H879" s="66"/>
      <c r="I879" s="66"/>
      <c r="J879" s="66"/>
      <c r="K879" s="66"/>
      <c r="L879" s="66"/>
      <c r="M879" s="66"/>
      <c r="N879" s="66"/>
    </row>
    <row r="880" spans="1:14" x14ac:dyDescent="0.2">
      <c r="A880" s="84"/>
      <c r="B880" s="84"/>
      <c r="C880" s="60"/>
      <c r="D880" s="66"/>
      <c r="E880" s="66"/>
      <c r="F880" s="66"/>
      <c r="G880" s="66"/>
      <c r="H880" s="66"/>
      <c r="I880" s="66"/>
      <c r="J880" s="66"/>
      <c r="K880" s="66"/>
      <c r="L880" s="66"/>
      <c r="M880" s="66"/>
      <c r="N880" s="66"/>
    </row>
    <row r="881" spans="1:14" x14ac:dyDescent="0.2">
      <c r="A881" s="84"/>
      <c r="B881" s="84"/>
      <c r="C881" s="60"/>
      <c r="D881" s="66"/>
      <c r="E881" s="66"/>
      <c r="F881" s="66"/>
      <c r="G881" s="66"/>
      <c r="H881" s="66"/>
      <c r="I881" s="66"/>
      <c r="J881" s="66"/>
      <c r="K881" s="66"/>
      <c r="L881" s="66"/>
      <c r="M881" s="66"/>
      <c r="N881" s="66"/>
    </row>
    <row r="882" spans="1:14" x14ac:dyDescent="0.2">
      <c r="A882" s="84"/>
      <c r="B882" s="84"/>
      <c r="C882" s="60"/>
      <c r="D882" s="66"/>
      <c r="E882" s="66"/>
      <c r="F882" s="66"/>
      <c r="G882" s="66"/>
      <c r="H882" s="66"/>
      <c r="I882" s="66"/>
      <c r="J882" s="66"/>
      <c r="K882" s="66"/>
      <c r="L882" s="66"/>
      <c r="M882" s="66"/>
      <c r="N882" s="66"/>
    </row>
    <row r="883" spans="1:14" x14ac:dyDescent="0.2">
      <c r="A883" s="84"/>
      <c r="B883" s="84"/>
      <c r="C883" s="60"/>
      <c r="D883" s="66"/>
      <c r="E883" s="66"/>
      <c r="F883" s="66"/>
      <c r="G883" s="66"/>
      <c r="H883" s="66"/>
      <c r="I883" s="66"/>
      <c r="J883" s="66"/>
      <c r="K883" s="66"/>
      <c r="L883" s="66"/>
      <c r="M883" s="66"/>
      <c r="N883" s="66"/>
    </row>
    <row r="884" spans="1:14" x14ac:dyDescent="0.2">
      <c r="A884" s="84"/>
      <c r="B884" s="84"/>
      <c r="C884" s="60"/>
      <c r="D884" s="66"/>
      <c r="E884" s="66"/>
      <c r="F884" s="66"/>
      <c r="G884" s="66"/>
      <c r="H884" s="66"/>
      <c r="I884" s="66"/>
      <c r="J884" s="66"/>
      <c r="K884" s="66"/>
      <c r="L884" s="66"/>
      <c r="M884" s="66"/>
      <c r="N884" s="66"/>
    </row>
    <row r="885" spans="1:14" x14ac:dyDescent="0.2">
      <c r="A885" s="84"/>
      <c r="B885" s="84"/>
      <c r="C885" s="60"/>
      <c r="D885" s="66"/>
      <c r="E885" s="66"/>
      <c r="F885" s="66"/>
      <c r="G885" s="66"/>
      <c r="H885" s="66"/>
      <c r="I885" s="66"/>
      <c r="J885" s="66"/>
      <c r="K885" s="66"/>
      <c r="L885" s="66"/>
      <c r="M885" s="66"/>
      <c r="N885" s="66"/>
    </row>
    <row r="886" spans="1:14" x14ac:dyDescent="0.2">
      <c r="A886" s="84"/>
      <c r="B886" s="84"/>
      <c r="C886" s="60"/>
      <c r="D886" s="66"/>
      <c r="E886" s="66"/>
      <c r="F886" s="66"/>
      <c r="G886" s="66"/>
      <c r="H886" s="66"/>
      <c r="I886" s="66"/>
      <c r="J886" s="66"/>
      <c r="K886" s="66"/>
      <c r="L886" s="66"/>
      <c r="M886" s="66"/>
      <c r="N886" s="66"/>
    </row>
    <row r="887" spans="1:14" x14ac:dyDescent="0.2">
      <c r="A887" s="84"/>
      <c r="B887" s="84"/>
      <c r="C887" s="60"/>
      <c r="D887" s="66"/>
      <c r="E887" s="66"/>
      <c r="F887" s="66"/>
      <c r="G887" s="66"/>
      <c r="H887" s="66"/>
      <c r="I887" s="66"/>
      <c r="J887" s="66"/>
      <c r="K887" s="66"/>
      <c r="L887" s="66"/>
      <c r="M887" s="66"/>
      <c r="N887" s="66"/>
    </row>
    <row r="888" spans="1:14" x14ac:dyDescent="0.2">
      <c r="A888" s="84"/>
      <c r="B888" s="84"/>
      <c r="C888" s="60"/>
      <c r="D888" s="66"/>
      <c r="E888" s="66"/>
      <c r="F888" s="66"/>
      <c r="G888" s="66"/>
      <c r="H888" s="66"/>
      <c r="I888" s="66"/>
      <c r="J888" s="66"/>
      <c r="K888" s="66"/>
      <c r="L888" s="66"/>
      <c r="M888" s="66"/>
      <c r="N888" s="66"/>
    </row>
    <row r="889" spans="1:14" x14ac:dyDescent="0.2">
      <c r="A889" s="84"/>
      <c r="B889" s="84"/>
      <c r="C889" s="60"/>
      <c r="D889" s="66"/>
      <c r="E889" s="66"/>
      <c r="F889" s="66"/>
      <c r="G889" s="66"/>
      <c r="H889" s="66"/>
      <c r="I889" s="66"/>
      <c r="J889" s="66"/>
      <c r="K889" s="66"/>
      <c r="L889" s="66"/>
      <c r="M889" s="66"/>
      <c r="N889" s="66"/>
    </row>
    <row r="890" spans="1:14" x14ac:dyDescent="0.2">
      <c r="A890" s="84"/>
      <c r="B890" s="84"/>
      <c r="C890" s="60"/>
      <c r="D890" s="66"/>
      <c r="E890" s="66"/>
      <c r="F890" s="66"/>
      <c r="G890" s="66"/>
      <c r="H890" s="66"/>
      <c r="I890" s="66"/>
      <c r="J890" s="66"/>
      <c r="K890" s="66"/>
      <c r="L890" s="66"/>
      <c r="M890" s="66"/>
      <c r="N890" s="66"/>
    </row>
    <row r="891" spans="1:14" x14ac:dyDescent="0.2">
      <c r="A891" s="84"/>
      <c r="B891" s="84"/>
      <c r="C891" s="60"/>
      <c r="D891" s="66"/>
      <c r="E891" s="66"/>
      <c r="F891" s="66"/>
      <c r="G891" s="66"/>
      <c r="H891" s="66"/>
      <c r="I891" s="66"/>
      <c r="J891" s="66"/>
      <c r="K891" s="66"/>
      <c r="L891" s="66"/>
      <c r="M891" s="66"/>
      <c r="N891" s="66"/>
    </row>
    <row r="892" spans="1:14" x14ac:dyDescent="0.2">
      <c r="A892" s="84"/>
      <c r="B892" s="84"/>
      <c r="C892" s="60"/>
      <c r="D892" s="66"/>
      <c r="E892" s="66"/>
      <c r="F892" s="66"/>
      <c r="G892" s="66"/>
      <c r="H892" s="66"/>
      <c r="I892" s="66"/>
      <c r="J892" s="66"/>
      <c r="K892" s="66"/>
      <c r="L892" s="66"/>
      <c r="M892" s="66"/>
      <c r="N892" s="66"/>
    </row>
    <row r="893" spans="1:14" x14ac:dyDescent="0.2">
      <c r="A893" s="84"/>
      <c r="B893" s="84"/>
      <c r="C893" s="60"/>
      <c r="D893" s="66"/>
      <c r="E893" s="66"/>
      <c r="F893" s="66"/>
      <c r="G893" s="66"/>
      <c r="H893" s="66"/>
      <c r="I893" s="66"/>
      <c r="J893" s="66"/>
      <c r="K893" s="66"/>
      <c r="L893" s="66"/>
      <c r="M893" s="66"/>
      <c r="N893" s="66"/>
    </row>
    <row r="894" spans="1:14" x14ac:dyDescent="0.2">
      <c r="A894" s="84"/>
      <c r="B894" s="84"/>
      <c r="C894" s="60"/>
      <c r="D894" s="66"/>
      <c r="E894" s="66"/>
      <c r="F894" s="66"/>
      <c r="G894" s="66"/>
      <c r="H894" s="66"/>
      <c r="I894" s="66"/>
      <c r="J894" s="66"/>
      <c r="K894" s="66"/>
      <c r="L894" s="66"/>
      <c r="M894" s="66"/>
      <c r="N894" s="66"/>
    </row>
    <row r="895" spans="1:14" x14ac:dyDescent="0.2">
      <c r="A895" s="84"/>
      <c r="B895" s="84"/>
      <c r="C895" s="60"/>
      <c r="D895" s="66"/>
      <c r="E895" s="66"/>
      <c r="F895" s="66"/>
      <c r="G895" s="66"/>
      <c r="H895" s="66"/>
      <c r="I895" s="66"/>
      <c r="J895" s="66"/>
      <c r="K895" s="66"/>
      <c r="L895" s="66"/>
      <c r="M895" s="66"/>
      <c r="N895" s="66"/>
    </row>
    <row r="896" spans="1:14" x14ac:dyDescent="0.2">
      <c r="A896" s="84"/>
      <c r="B896" s="84"/>
      <c r="C896" s="60"/>
      <c r="D896" s="66"/>
      <c r="E896" s="66"/>
      <c r="F896" s="66"/>
      <c r="G896" s="66"/>
      <c r="H896" s="66"/>
      <c r="I896" s="66"/>
      <c r="J896" s="66"/>
      <c r="K896" s="66"/>
      <c r="L896" s="66"/>
      <c r="M896" s="66"/>
      <c r="N896" s="66"/>
    </row>
    <row r="897" spans="1:14" x14ac:dyDescent="0.2">
      <c r="A897" s="84"/>
      <c r="B897" s="84"/>
      <c r="C897" s="60"/>
      <c r="D897" s="66"/>
      <c r="E897" s="66"/>
      <c r="F897" s="66"/>
      <c r="G897" s="66"/>
      <c r="H897" s="66"/>
      <c r="I897" s="66"/>
      <c r="J897" s="66"/>
      <c r="K897" s="66"/>
      <c r="L897" s="66"/>
      <c r="M897" s="66"/>
      <c r="N897" s="66"/>
    </row>
    <row r="898" spans="1:14" x14ac:dyDescent="0.2">
      <c r="A898" s="84"/>
      <c r="B898" s="84"/>
      <c r="C898" s="60"/>
      <c r="D898" s="66"/>
      <c r="E898" s="66"/>
      <c r="F898" s="66"/>
      <c r="G898" s="66"/>
      <c r="H898" s="66"/>
      <c r="I898" s="66"/>
      <c r="J898" s="66"/>
      <c r="K898" s="66"/>
      <c r="L898" s="66"/>
      <c r="M898" s="66"/>
      <c r="N898" s="66"/>
    </row>
    <row r="899" spans="1:14" x14ac:dyDescent="0.2">
      <c r="A899" s="84"/>
      <c r="B899" s="84"/>
      <c r="C899" s="60"/>
      <c r="D899" s="66"/>
      <c r="E899" s="66"/>
      <c r="F899" s="66"/>
      <c r="G899" s="66"/>
      <c r="H899" s="66"/>
      <c r="I899" s="66"/>
      <c r="J899" s="66"/>
      <c r="K899" s="66"/>
      <c r="L899" s="66"/>
      <c r="M899" s="66"/>
      <c r="N899" s="66"/>
    </row>
    <row r="900" spans="1:14" x14ac:dyDescent="0.2">
      <c r="A900" s="84"/>
      <c r="B900" s="84"/>
      <c r="C900" s="60"/>
      <c r="D900" s="66"/>
      <c r="E900" s="66"/>
      <c r="F900" s="66"/>
      <c r="G900" s="66"/>
      <c r="H900" s="66"/>
      <c r="I900" s="66"/>
      <c r="J900" s="66"/>
      <c r="K900" s="66"/>
      <c r="L900" s="66"/>
      <c r="M900" s="66"/>
      <c r="N900" s="66"/>
    </row>
    <row r="901" spans="1:14" x14ac:dyDescent="0.2">
      <c r="A901" s="84"/>
      <c r="B901" s="84"/>
      <c r="C901" s="60"/>
      <c r="D901" s="66"/>
      <c r="E901" s="66"/>
      <c r="F901" s="66"/>
      <c r="G901" s="66"/>
      <c r="H901" s="66"/>
      <c r="I901" s="66"/>
      <c r="J901" s="66"/>
      <c r="K901" s="66"/>
      <c r="L901" s="66"/>
      <c r="M901" s="66"/>
      <c r="N901" s="66"/>
    </row>
    <row r="902" spans="1:14" x14ac:dyDescent="0.2">
      <c r="A902" s="84"/>
      <c r="B902" s="84"/>
      <c r="C902" s="60"/>
      <c r="D902" s="66"/>
      <c r="E902" s="66"/>
      <c r="F902" s="66"/>
      <c r="G902" s="66"/>
      <c r="H902" s="66"/>
      <c r="I902" s="66"/>
      <c r="J902" s="66"/>
      <c r="K902" s="66"/>
      <c r="L902" s="66"/>
      <c r="M902" s="66"/>
      <c r="N902" s="66"/>
    </row>
    <row r="903" spans="1:14" x14ac:dyDescent="0.2">
      <c r="A903" s="84"/>
      <c r="B903" s="84"/>
      <c r="C903" s="60"/>
      <c r="D903" s="66"/>
      <c r="E903" s="66"/>
      <c r="F903" s="66"/>
      <c r="G903" s="66"/>
      <c r="H903" s="66"/>
      <c r="I903" s="66"/>
      <c r="J903" s="66"/>
      <c r="K903" s="66"/>
      <c r="L903" s="66"/>
      <c r="M903" s="66"/>
      <c r="N903" s="66"/>
    </row>
    <row r="904" spans="1:14" x14ac:dyDescent="0.2">
      <c r="A904" s="84"/>
      <c r="B904" s="84"/>
      <c r="C904" s="60"/>
      <c r="D904" s="66"/>
      <c r="E904" s="66"/>
      <c r="F904" s="66"/>
      <c r="G904" s="66"/>
      <c r="H904" s="66"/>
      <c r="I904" s="66"/>
      <c r="J904" s="66"/>
      <c r="K904" s="66"/>
      <c r="L904" s="66"/>
      <c r="M904" s="66"/>
      <c r="N904" s="66"/>
    </row>
    <row r="905" spans="1:14" x14ac:dyDescent="0.2">
      <c r="A905" s="84"/>
      <c r="B905" s="84"/>
      <c r="C905" s="60"/>
      <c r="D905" s="66"/>
      <c r="E905" s="66"/>
      <c r="F905" s="66"/>
      <c r="G905" s="66"/>
      <c r="H905" s="66"/>
      <c r="I905" s="66"/>
      <c r="J905" s="66"/>
      <c r="K905" s="66"/>
      <c r="L905" s="66"/>
      <c r="M905" s="66"/>
      <c r="N905" s="66"/>
    </row>
    <row r="906" spans="1:14" x14ac:dyDescent="0.2">
      <c r="A906" s="84"/>
      <c r="B906" s="84"/>
      <c r="C906" s="60"/>
      <c r="D906" s="66"/>
      <c r="E906" s="66"/>
      <c r="F906" s="66"/>
      <c r="G906" s="66"/>
      <c r="H906" s="66"/>
      <c r="I906" s="66"/>
      <c r="J906" s="66"/>
      <c r="K906" s="66"/>
      <c r="L906" s="66"/>
      <c r="M906" s="66"/>
      <c r="N906" s="66"/>
    </row>
    <row r="907" spans="1:14" x14ac:dyDescent="0.2">
      <c r="A907" s="84"/>
      <c r="B907" s="84"/>
      <c r="C907" s="60"/>
      <c r="D907" s="66"/>
      <c r="E907" s="66"/>
      <c r="F907" s="66"/>
      <c r="G907" s="66"/>
      <c r="H907" s="66"/>
      <c r="I907" s="66"/>
      <c r="J907" s="66"/>
      <c r="K907" s="66"/>
      <c r="L907" s="66"/>
      <c r="M907" s="66"/>
      <c r="N907" s="66"/>
    </row>
    <row r="908" spans="1:14" x14ac:dyDescent="0.2">
      <c r="A908" s="84"/>
      <c r="B908" s="84"/>
      <c r="C908" s="60"/>
      <c r="D908" s="66"/>
      <c r="E908" s="66"/>
      <c r="F908" s="66"/>
      <c r="G908" s="66"/>
      <c r="H908" s="66"/>
      <c r="I908" s="66"/>
      <c r="J908" s="66"/>
      <c r="K908" s="66"/>
      <c r="L908" s="66"/>
      <c r="M908" s="66"/>
      <c r="N908" s="66"/>
    </row>
    <row r="909" spans="1:14" x14ac:dyDescent="0.2">
      <c r="A909" s="84"/>
      <c r="B909" s="84"/>
      <c r="C909" s="60"/>
      <c r="D909" s="66"/>
      <c r="E909" s="66"/>
      <c r="F909" s="66"/>
      <c r="G909" s="66"/>
      <c r="H909" s="66"/>
      <c r="I909" s="66"/>
      <c r="J909" s="66"/>
      <c r="K909" s="66"/>
      <c r="L909" s="66"/>
      <c r="M909" s="66"/>
      <c r="N909" s="66"/>
    </row>
    <row r="910" spans="1:14" x14ac:dyDescent="0.2">
      <c r="A910" s="84"/>
      <c r="B910" s="84"/>
      <c r="C910" s="60"/>
      <c r="D910" s="66"/>
      <c r="E910" s="66"/>
      <c r="F910" s="66"/>
      <c r="G910" s="66"/>
      <c r="H910" s="66"/>
      <c r="I910" s="66"/>
      <c r="J910" s="66"/>
      <c r="K910" s="66"/>
      <c r="L910" s="66"/>
      <c r="M910" s="66"/>
      <c r="N910" s="66"/>
    </row>
    <row r="911" spans="1:14" x14ac:dyDescent="0.2">
      <c r="A911" s="84"/>
      <c r="B911" s="84"/>
      <c r="C911" s="60"/>
      <c r="D911" s="66"/>
      <c r="E911" s="66"/>
      <c r="F911" s="66"/>
      <c r="G911" s="66"/>
      <c r="H911" s="66"/>
      <c r="I911" s="66"/>
      <c r="J911" s="66"/>
      <c r="K911" s="66"/>
      <c r="L911" s="66"/>
      <c r="M911" s="66"/>
      <c r="N911" s="66"/>
    </row>
    <row r="912" spans="1:14" x14ac:dyDescent="0.2">
      <c r="A912" s="84"/>
      <c r="B912" s="84"/>
      <c r="C912" s="60"/>
      <c r="D912" s="66"/>
      <c r="E912" s="66"/>
      <c r="F912" s="66"/>
      <c r="G912" s="66"/>
      <c r="H912" s="66"/>
      <c r="I912" s="66"/>
      <c r="J912" s="66"/>
      <c r="K912" s="66"/>
      <c r="L912" s="66"/>
      <c r="M912" s="66"/>
      <c r="N912" s="66"/>
    </row>
    <row r="913" spans="1:14" x14ac:dyDescent="0.2">
      <c r="A913" s="84"/>
      <c r="B913" s="84"/>
      <c r="C913" s="60"/>
      <c r="D913" s="66"/>
      <c r="E913" s="66"/>
      <c r="F913" s="66"/>
      <c r="G913" s="66"/>
      <c r="H913" s="66"/>
      <c r="I913" s="66"/>
      <c r="J913" s="66"/>
      <c r="K913" s="66"/>
      <c r="L913" s="66"/>
      <c r="M913" s="66"/>
      <c r="N913" s="66"/>
    </row>
    <row r="914" spans="1:14" x14ac:dyDescent="0.2">
      <c r="A914" s="84"/>
      <c r="B914" s="84"/>
      <c r="C914" s="60"/>
      <c r="D914" s="66"/>
      <c r="E914" s="66"/>
      <c r="F914" s="66"/>
      <c r="G914" s="66"/>
      <c r="H914" s="66"/>
      <c r="I914" s="66"/>
      <c r="J914" s="66"/>
      <c r="K914" s="66"/>
      <c r="L914" s="66"/>
      <c r="M914" s="66"/>
      <c r="N914" s="66"/>
    </row>
    <row r="915" spans="1:14" x14ac:dyDescent="0.2">
      <c r="A915" s="84"/>
      <c r="B915" s="84"/>
      <c r="C915" s="60"/>
      <c r="D915" s="66"/>
      <c r="E915" s="66"/>
      <c r="F915" s="66"/>
      <c r="G915" s="66"/>
      <c r="H915" s="66"/>
      <c r="I915" s="66"/>
      <c r="J915" s="66"/>
      <c r="K915" s="66"/>
      <c r="L915" s="66"/>
      <c r="M915" s="66"/>
      <c r="N915" s="66"/>
    </row>
    <row r="916" spans="1:14" x14ac:dyDescent="0.2">
      <c r="A916" s="84"/>
      <c r="B916" s="84"/>
      <c r="C916" s="60"/>
      <c r="D916" s="66"/>
      <c r="E916" s="66"/>
      <c r="F916" s="66"/>
      <c r="G916" s="66"/>
      <c r="H916" s="66"/>
      <c r="I916" s="66"/>
      <c r="J916" s="66"/>
      <c r="K916" s="66"/>
      <c r="L916" s="66"/>
      <c r="M916" s="66"/>
      <c r="N916" s="66"/>
    </row>
    <row r="917" spans="1:14" x14ac:dyDescent="0.2">
      <c r="A917" s="84"/>
      <c r="B917" s="84"/>
      <c r="C917" s="60"/>
      <c r="D917" s="66"/>
      <c r="E917" s="66"/>
      <c r="F917" s="66"/>
      <c r="G917" s="66"/>
      <c r="H917" s="66"/>
      <c r="I917" s="66"/>
      <c r="J917" s="66"/>
      <c r="K917" s="66"/>
      <c r="L917" s="66"/>
      <c r="M917" s="66"/>
      <c r="N917" s="66"/>
    </row>
    <row r="918" spans="1:14" x14ac:dyDescent="0.2">
      <c r="A918" s="84"/>
      <c r="B918" s="84"/>
      <c r="C918" s="60"/>
      <c r="D918" s="66"/>
      <c r="E918" s="66"/>
      <c r="F918" s="66"/>
      <c r="G918" s="66"/>
      <c r="H918" s="66"/>
      <c r="I918" s="66"/>
      <c r="J918" s="66"/>
      <c r="K918" s="66"/>
      <c r="L918" s="66"/>
      <c r="M918" s="66"/>
      <c r="N918" s="66"/>
    </row>
    <row r="919" spans="1:14" x14ac:dyDescent="0.2">
      <c r="A919" s="84"/>
      <c r="B919" s="84"/>
      <c r="C919" s="60"/>
      <c r="D919" s="66"/>
      <c r="E919" s="66"/>
      <c r="F919" s="66"/>
      <c r="G919" s="66"/>
      <c r="H919" s="66"/>
      <c r="I919" s="66"/>
      <c r="J919" s="66"/>
      <c r="K919" s="66"/>
      <c r="L919" s="66"/>
      <c r="M919" s="66"/>
      <c r="N919" s="66"/>
    </row>
    <row r="920" spans="1:14" x14ac:dyDescent="0.2">
      <c r="A920" s="84"/>
      <c r="B920" s="84"/>
      <c r="C920" s="60"/>
      <c r="D920" s="66"/>
      <c r="E920" s="66"/>
      <c r="F920" s="66"/>
      <c r="G920" s="66"/>
      <c r="H920" s="66"/>
      <c r="I920" s="66"/>
      <c r="J920" s="66"/>
      <c r="K920" s="66"/>
      <c r="L920" s="66"/>
      <c r="M920" s="66"/>
      <c r="N920" s="66"/>
    </row>
    <row r="921" spans="1:14" x14ac:dyDescent="0.2">
      <c r="A921" s="84"/>
      <c r="B921" s="84"/>
      <c r="C921" s="60"/>
      <c r="D921" s="66"/>
      <c r="E921" s="66"/>
      <c r="F921" s="66"/>
      <c r="G921" s="66"/>
      <c r="H921" s="66"/>
      <c r="I921" s="66"/>
      <c r="J921" s="66"/>
      <c r="K921" s="66"/>
      <c r="L921" s="66"/>
      <c r="M921" s="66"/>
      <c r="N921" s="66"/>
    </row>
    <row r="922" spans="1:14" x14ac:dyDescent="0.2">
      <c r="A922" s="84"/>
      <c r="B922" s="84"/>
      <c r="C922" s="60"/>
      <c r="D922" s="66"/>
      <c r="E922" s="66"/>
      <c r="F922" s="66"/>
      <c r="G922" s="66"/>
      <c r="H922" s="66"/>
      <c r="I922" s="66"/>
      <c r="J922" s="66"/>
      <c r="K922" s="66"/>
      <c r="L922" s="66"/>
      <c r="M922" s="66"/>
      <c r="N922" s="66"/>
    </row>
    <row r="923" spans="1:14" x14ac:dyDescent="0.2">
      <c r="A923" s="84"/>
      <c r="B923" s="84"/>
      <c r="C923" s="60"/>
      <c r="D923" s="66"/>
      <c r="E923" s="66"/>
      <c r="F923" s="66"/>
      <c r="G923" s="66"/>
      <c r="H923" s="66"/>
      <c r="I923" s="66"/>
      <c r="J923" s="66"/>
      <c r="K923" s="66"/>
      <c r="L923" s="66"/>
      <c r="M923" s="66"/>
      <c r="N923" s="66"/>
    </row>
    <row r="924" spans="1:14" x14ac:dyDescent="0.2">
      <c r="A924" s="84"/>
      <c r="B924" s="84"/>
      <c r="C924" s="60"/>
      <c r="D924" s="66"/>
      <c r="E924" s="66"/>
      <c r="F924" s="66"/>
      <c r="G924" s="66"/>
      <c r="H924" s="66"/>
      <c r="I924" s="66"/>
      <c r="J924" s="66"/>
      <c r="K924" s="66"/>
      <c r="L924" s="66"/>
      <c r="M924" s="66"/>
      <c r="N924" s="66"/>
    </row>
    <row r="925" spans="1:14" x14ac:dyDescent="0.2">
      <c r="A925" s="84"/>
      <c r="B925" s="84"/>
      <c r="C925" s="60"/>
      <c r="D925" s="66"/>
      <c r="E925" s="66"/>
      <c r="F925" s="66"/>
      <c r="G925" s="66"/>
      <c r="H925" s="66"/>
      <c r="I925" s="66"/>
      <c r="J925" s="66"/>
      <c r="K925" s="66"/>
      <c r="L925" s="66"/>
      <c r="M925" s="66"/>
      <c r="N925" s="66"/>
    </row>
    <row r="926" spans="1:14" x14ac:dyDescent="0.2">
      <c r="A926" s="84"/>
      <c r="B926" s="84"/>
      <c r="C926" s="60"/>
      <c r="D926" s="66"/>
      <c r="E926" s="66"/>
      <c r="F926" s="66"/>
      <c r="G926" s="66"/>
      <c r="H926" s="66"/>
      <c r="I926" s="66"/>
      <c r="J926" s="66"/>
      <c r="K926" s="66"/>
      <c r="L926" s="66"/>
      <c r="M926" s="66"/>
      <c r="N926" s="66"/>
    </row>
    <row r="927" spans="1:14" x14ac:dyDescent="0.2">
      <c r="A927" s="84"/>
      <c r="B927" s="84"/>
      <c r="C927" s="60"/>
      <c r="D927" s="66"/>
      <c r="E927" s="66"/>
      <c r="F927" s="66"/>
      <c r="G927" s="66"/>
      <c r="H927" s="66"/>
      <c r="I927" s="66"/>
      <c r="J927" s="66"/>
      <c r="K927" s="66"/>
      <c r="L927" s="66"/>
      <c r="M927" s="66"/>
      <c r="N927" s="66"/>
    </row>
    <row r="928" spans="1:14" x14ac:dyDescent="0.2">
      <c r="A928" s="84"/>
      <c r="B928" s="84"/>
      <c r="C928" s="60"/>
      <c r="D928" s="66"/>
      <c r="E928" s="66"/>
      <c r="F928" s="66"/>
      <c r="G928" s="66"/>
      <c r="H928" s="66"/>
      <c r="I928" s="66"/>
      <c r="J928" s="66"/>
      <c r="K928" s="66"/>
      <c r="L928" s="66"/>
      <c r="M928" s="66"/>
      <c r="N928" s="66"/>
    </row>
    <row r="929" spans="1:14" x14ac:dyDescent="0.2">
      <c r="A929" s="84"/>
      <c r="B929" s="84"/>
      <c r="C929" s="60"/>
      <c r="D929" s="66"/>
      <c r="E929" s="66"/>
      <c r="F929" s="66"/>
      <c r="G929" s="66"/>
      <c r="H929" s="66"/>
      <c r="I929" s="66"/>
      <c r="J929" s="66"/>
      <c r="K929" s="66"/>
      <c r="L929" s="66"/>
      <c r="M929" s="66"/>
      <c r="N929" s="66"/>
    </row>
    <row r="930" spans="1:14" x14ac:dyDescent="0.2">
      <c r="A930" s="84"/>
      <c r="B930" s="84"/>
      <c r="C930" s="60"/>
      <c r="D930" s="66"/>
      <c r="E930" s="66"/>
      <c r="F930" s="66"/>
      <c r="G930" s="66"/>
      <c r="H930" s="66"/>
      <c r="I930" s="66"/>
      <c r="J930" s="66"/>
      <c r="K930" s="66"/>
      <c r="L930" s="66"/>
      <c r="M930" s="66"/>
      <c r="N930" s="66"/>
    </row>
    <row r="931" spans="1:14" x14ac:dyDescent="0.2">
      <c r="A931" s="84"/>
      <c r="B931" s="84"/>
      <c r="C931" s="60"/>
      <c r="D931" s="66"/>
      <c r="E931" s="66"/>
      <c r="F931" s="66"/>
      <c r="G931" s="66"/>
      <c r="H931" s="66"/>
      <c r="I931" s="66"/>
      <c r="J931" s="66"/>
      <c r="K931" s="66"/>
      <c r="L931" s="66"/>
      <c r="M931" s="66"/>
      <c r="N931" s="66"/>
    </row>
    <row r="932" spans="1:14" x14ac:dyDescent="0.2">
      <c r="A932" s="84"/>
      <c r="B932" s="84"/>
      <c r="C932" s="60"/>
      <c r="D932" s="66"/>
      <c r="E932" s="66"/>
      <c r="F932" s="66"/>
      <c r="G932" s="66"/>
      <c r="H932" s="66"/>
      <c r="I932" s="66"/>
      <c r="J932" s="66"/>
      <c r="K932" s="66"/>
      <c r="L932" s="66"/>
      <c r="M932" s="66"/>
      <c r="N932" s="66"/>
    </row>
    <row r="933" spans="1:14" x14ac:dyDescent="0.2">
      <c r="A933" s="84"/>
      <c r="B933" s="84"/>
      <c r="C933" s="60"/>
      <c r="D933" s="66"/>
      <c r="E933" s="66"/>
      <c r="F933" s="66"/>
      <c r="G933" s="66"/>
      <c r="H933" s="66"/>
      <c r="I933" s="66"/>
      <c r="J933" s="66"/>
      <c r="K933" s="66"/>
      <c r="L933" s="66"/>
      <c r="M933" s="66"/>
      <c r="N933" s="66"/>
    </row>
    <row r="934" spans="1:14" x14ac:dyDescent="0.2">
      <c r="A934" s="84"/>
      <c r="B934" s="84"/>
      <c r="C934" s="60"/>
      <c r="D934" s="66"/>
      <c r="E934" s="66"/>
      <c r="F934" s="66"/>
      <c r="G934" s="66"/>
      <c r="H934" s="66"/>
      <c r="I934" s="66"/>
      <c r="J934" s="66"/>
      <c r="K934" s="66"/>
      <c r="L934" s="66"/>
      <c r="M934" s="66"/>
      <c r="N934" s="66"/>
    </row>
    <row r="935" spans="1:14" x14ac:dyDescent="0.2">
      <c r="A935" s="84"/>
      <c r="B935" s="84"/>
      <c r="C935" s="60"/>
      <c r="D935" s="66"/>
      <c r="E935" s="66"/>
      <c r="F935" s="66"/>
      <c r="G935" s="66"/>
      <c r="H935" s="66"/>
      <c r="I935" s="66"/>
      <c r="J935" s="66"/>
      <c r="K935" s="66"/>
      <c r="L935" s="66"/>
      <c r="M935" s="66"/>
      <c r="N935" s="66"/>
    </row>
    <row r="936" spans="1:14" x14ac:dyDescent="0.2">
      <c r="A936" s="84"/>
      <c r="B936" s="84"/>
      <c r="C936" s="60"/>
      <c r="D936" s="66"/>
      <c r="E936" s="66"/>
      <c r="F936" s="66"/>
      <c r="G936" s="66"/>
      <c r="H936" s="66"/>
      <c r="I936" s="66"/>
      <c r="J936" s="66"/>
      <c r="K936" s="66"/>
      <c r="L936" s="66"/>
      <c r="M936" s="66"/>
      <c r="N936" s="66"/>
    </row>
    <row r="937" spans="1:14" x14ac:dyDescent="0.2">
      <c r="A937" s="84"/>
      <c r="B937" s="84"/>
      <c r="C937" s="60"/>
      <c r="D937" s="66"/>
      <c r="E937" s="66"/>
      <c r="F937" s="66"/>
      <c r="G937" s="66"/>
      <c r="H937" s="66"/>
      <c r="I937" s="66"/>
      <c r="J937" s="66"/>
      <c r="K937" s="66"/>
      <c r="L937" s="66"/>
      <c r="M937" s="66"/>
      <c r="N937" s="66"/>
    </row>
    <row r="938" spans="1:14" x14ac:dyDescent="0.2">
      <c r="A938" s="84"/>
      <c r="B938" s="84"/>
      <c r="C938" s="60"/>
      <c r="D938" s="66"/>
      <c r="E938" s="66"/>
      <c r="F938" s="66"/>
      <c r="G938" s="66"/>
      <c r="H938" s="66"/>
      <c r="I938" s="66"/>
      <c r="J938" s="66"/>
      <c r="K938" s="66"/>
      <c r="L938" s="66"/>
      <c r="M938" s="66"/>
      <c r="N938" s="66"/>
    </row>
    <row r="939" spans="1:14" x14ac:dyDescent="0.2">
      <c r="A939" s="84"/>
      <c r="B939" s="84"/>
      <c r="C939" s="60"/>
      <c r="D939" s="66"/>
      <c r="E939" s="66"/>
      <c r="F939" s="66"/>
      <c r="G939" s="66"/>
      <c r="H939" s="66"/>
      <c r="I939" s="66"/>
      <c r="J939" s="66"/>
      <c r="K939" s="66"/>
      <c r="L939" s="66"/>
      <c r="M939" s="66"/>
      <c r="N939" s="66"/>
    </row>
    <row r="940" spans="1:14" x14ac:dyDescent="0.2">
      <c r="A940" s="84"/>
      <c r="B940" s="84"/>
      <c r="C940" s="60"/>
      <c r="D940" s="66"/>
      <c r="E940" s="66"/>
      <c r="F940" s="66"/>
      <c r="G940" s="66"/>
      <c r="H940" s="66"/>
      <c r="I940" s="66"/>
      <c r="J940" s="66"/>
      <c r="K940" s="66"/>
      <c r="L940" s="66"/>
      <c r="M940" s="66"/>
      <c r="N940" s="66"/>
    </row>
    <row r="941" spans="1:14" x14ac:dyDescent="0.2">
      <c r="A941" s="84"/>
      <c r="B941" s="84"/>
      <c r="C941" s="60"/>
      <c r="D941" s="66"/>
      <c r="E941" s="66"/>
      <c r="F941" s="66"/>
      <c r="G941" s="66"/>
      <c r="H941" s="66"/>
      <c r="I941" s="66"/>
      <c r="J941" s="66"/>
      <c r="K941" s="66"/>
      <c r="L941" s="66"/>
      <c r="M941" s="66"/>
      <c r="N941" s="66"/>
    </row>
    <row r="942" spans="1:14" x14ac:dyDescent="0.2">
      <c r="A942" s="84"/>
      <c r="B942" s="84"/>
      <c r="C942" s="60"/>
      <c r="D942" s="66"/>
      <c r="E942" s="66"/>
      <c r="F942" s="66"/>
      <c r="G942" s="66"/>
      <c r="H942" s="66"/>
      <c r="I942" s="66"/>
      <c r="J942" s="66"/>
      <c r="K942" s="66"/>
      <c r="L942" s="66"/>
      <c r="M942" s="66"/>
      <c r="N942" s="66"/>
    </row>
    <row r="943" spans="1:14" x14ac:dyDescent="0.2">
      <c r="A943" s="84"/>
      <c r="B943" s="84"/>
      <c r="C943" s="60"/>
      <c r="D943" s="66"/>
      <c r="E943" s="66"/>
      <c r="F943" s="66"/>
      <c r="G943" s="66"/>
      <c r="H943" s="66"/>
      <c r="I943" s="66"/>
      <c r="J943" s="66"/>
      <c r="K943" s="66"/>
      <c r="L943" s="66"/>
      <c r="M943" s="66"/>
      <c r="N943" s="66"/>
    </row>
    <row r="944" spans="1:14" x14ac:dyDescent="0.2">
      <c r="A944" s="84"/>
      <c r="B944" s="84"/>
      <c r="C944" s="60"/>
      <c r="D944" s="66"/>
      <c r="E944" s="66"/>
      <c r="F944" s="66"/>
      <c r="G944" s="66"/>
      <c r="H944" s="66"/>
      <c r="I944" s="66"/>
      <c r="J944" s="66"/>
      <c r="K944" s="66"/>
      <c r="L944" s="66"/>
      <c r="M944" s="66"/>
      <c r="N944" s="66"/>
    </row>
    <row r="945" spans="1:14" x14ac:dyDescent="0.2">
      <c r="A945" s="84"/>
      <c r="B945" s="84"/>
      <c r="C945" s="60"/>
      <c r="D945" s="66"/>
      <c r="E945" s="66"/>
      <c r="F945" s="66"/>
      <c r="G945" s="66"/>
      <c r="H945" s="66"/>
      <c r="I945" s="66"/>
      <c r="J945" s="66"/>
      <c r="K945" s="66"/>
      <c r="L945" s="66"/>
      <c r="M945" s="66"/>
      <c r="N945" s="66"/>
    </row>
    <row r="946" spans="1:14" x14ac:dyDescent="0.2">
      <c r="A946" s="84"/>
      <c r="B946" s="84"/>
      <c r="C946" s="60"/>
      <c r="D946" s="66"/>
      <c r="E946" s="66"/>
      <c r="F946" s="66"/>
      <c r="G946" s="66"/>
      <c r="H946" s="66"/>
      <c r="I946" s="66"/>
      <c r="J946" s="66"/>
      <c r="K946" s="66"/>
      <c r="L946" s="66"/>
      <c r="M946" s="66"/>
      <c r="N946" s="66"/>
    </row>
    <row r="947" spans="1:14" x14ac:dyDescent="0.2">
      <c r="A947" s="84"/>
      <c r="B947" s="84"/>
      <c r="C947" s="60"/>
      <c r="D947" s="66"/>
      <c r="E947" s="66"/>
      <c r="F947" s="66"/>
      <c r="G947" s="66"/>
      <c r="H947" s="66"/>
      <c r="I947" s="66"/>
      <c r="J947" s="66"/>
      <c r="K947" s="66"/>
      <c r="L947" s="66"/>
      <c r="M947" s="66"/>
      <c r="N947" s="66"/>
    </row>
    <row r="948" spans="1:14" x14ac:dyDescent="0.2">
      <c r="A948" s="84"/>
      <c r="B948" s="84"/>
      <c r="C948" s="60"/>
      <c r="D948" s="66"/>
      <c r="E948" s="66"/>
      <c r="F948" s="66"/>
      <c r="G948" s="66"/>
      <c r="H948" s="66"/>
      <c r="I948" s="66"/>
      <c r="J948" s="66"/>
      <c r="K948" s="66"/>
      <c r="L948" s="66"/>
      <c r="M948" s="66"/>
      <c r="N948" s="66"/>
    </row>
    <row r="949" spans="1:14" x14ac:dyDescent="0.2">
      <c r="A949" s="84"/>
      <c r="B949" s="84"/>
      <c r="C949" s="60"/>
      <c r="D949" s="66"/>
      <c r="E949" s="66"/>
      <c r="F949" s="66"/>
      <c r="G949" s="66"/>
      <c r="H949" s="66"/>
      <c r="I949" s="66"/>
      <c r="J949" s="66"/>
      <c r="K949" s="66"/>
      <c r="L949" s="66"/>
      <c r="M949" s="66"/>
      <c r="N949" s="66"/>
    </row>
    <row r="950" spans="1:14" x14ac:dyDescent="0.2">
      <c r="A950" s="84"/>
      <c r="B950" s="84"/>
      <c r="C950" s="60"/>
      <c r="D950" s="66"/>
      <c r="E950" s="66"/>
      <c r="F950" s="66"/>
      <c r="G950" s="66"/>
      <c r="H950" s="66"/>
      <c r="I950" s="66"/>
      <c r="J950" s="66"/>
      <c r="K950" s="66"/>
      <c r="L950" s="66"/>
      <c r="M950" s="66"/>
      <c r="N950" s="66"/>
    </row>
    <row r="951" spans="1:14" x14ac:dyDescent="0.2">
      <c r="A951" s="84"/>
      <c r="B951" s="84"/>
      <c r="C951" s="60"/>
      <c r="D951" s="66"/>
      <c r="E951" s="66"/>
      <c r="F951" s="66"/>
      <c r="G951" s="66"/>
      <c r="H951" s="66"/>
      <c r="I951" s="66"/>
      <c r="J951" s="66"/>
      <c r="K951" s="66"/>
      <c r="L951" s="66"/>
      <c r="M951" s="66"/>
      <c r="N951" s="66"/>
    </row>
    <row r="952" spans="1:14" x14ac:dyDescent="0.2">
      <c r="A952" s="84"/>
      <c r="B952" s="84"/>
      <c r="C952" s="60"/>
      <c r="D952" s="66"/>
      <c r="E952" s="66"/>
      <c r="F952" s="66"/>
      <c r="G952" s="66"/>
      <c r="H952" s="66"/>
      <c r="I952" s="66"/>
      <c r="J952" s="66"/>
      <c r="K952" s="66"/>
      <c r="L952" s="66"/>
      <c r="M952" s="66"/>
      <c r="N952" s="66"/>
    </row>
    <row r="953" spans="1:14" x14ac:dyDescent="0.2">
      <c r="A953" s="84"/>
      <c r="B953" s="84"/>
      <c r="C953" s="60"/>
      <c r="D953" s="66"/>
      <c r="E953" s="66"/>
      <c r="F953" s="66"/>
      <c r="G953" s="66"/>
      <c r="H953" s="66"/>
      <c r="I953" s="66"/>
      <c r="J953" s="66"/>
      <c r="K953" s="66"/>
      <c r="L953" s="66"/>
      <c r="M953" s="66"/>
      <c r="N953" s="66"/>
    </row>
    <row r="954" spans="1:14" x14ac:dyDescent="0.2">
      <c r="A954" s="84"/>
      <c r="B954" s="84"/>
      <c r="C954" s="60"/>
      <c r="D954" s="66"/>
      <c r="E954" s="66"/>
      <c r="F954" s="66"/>
      <c r="G954" s="66"/>
      <c r="H954" s="66"/>
      <c r="I954" s="66"/>
      <c r="J954" s="66"/>
      <c r="K954" s="66"/>
      <c r="L954" s="66"/>
      <c r="M954" s="66"/>
      <c r="N954" s="66"/>
    </row>
    <row r="955" spans="1:14" x14ac:dyDescent="0.2">
      <c r="A955" s="84"/>
      <c r="B955" s="84"/>
      <c r="C955" s="60"/>
      <c r="D955" s="66"/>
      <c r="E955" s="66"/>
      <c r="F955" s="66"/>
      <c r="G955" s="66"/>
      <c r="H955" s="66"/>
      <c r="I955" s="66"/>
      <c r="J955" s="66"/>
      <c r="K955" s="66"/>
      <c r="L955" s="66"/>
      <c r="M955" s="66"/>
      <c r="N955" s="66"/>
    </row>
    <row r="956" spans="1:14" x14ac:dyDescent="0.2">
      <c r="A956" s="84"/>
      <c r="B956" s="84"/>
      <c r="C956" s="60"/>
      <c r="D956" s="66"/>
      <c r="E956" s="66"/>
      <c r="F956" s="66"/>
      <c r="G956" s="66"/>
      <c r="H956" s="66"/>
      <c r="I956" s="66"/>
      <c r="J956" s="66"/>
      <c r="K956" s="66"/>
      <c r="L956" s="66"/>
      <c r="M956" s="66"/>
      <c r="N956" s="66"/>
    </row>
    <row r="957" spans="1:14" x14ac:dyDescent="0.2">
      <c r="A957" s="84"/>
      <c r="B957" s="84"/>
      <c r="C957" s="60"/>
      <c r="D957" s="66"/>
      <c r="E957" s="66"/>
      <c r="F957" s="66"/>
      <c r="G957" s="66"/>
      <c r="H957" s="66"/>
      <c r="I957" s="66"/>
      <c r="J957" s="66"/>
      <c r="K957" s="66"/>
      <c r="L957" s="66"/>
      <c r="M957" s="66"/>
      <c r="N957" s="66"/>
    </row>
    <row r="958" spans="1:14" x14ac:dyDescent="0.2">
      <c r="A958" s="84"/>
      <c r="B958" s="84"/>
      <c r="C958" s="60"/>
      <c r="D958" s="66"/>
      <c r="E958" s="66"/>
      <c r="F958" s="66"/>
      <c r="G958" s="66"/>
      <c r="H958" s="66"/>
      <c r="I958" s="66"/>
      <c r="J958" s="66"/>
      <c r="K958" s="66"/>
      <c r="L958" s="66"/>
      <c r="M958" s="66"/>
      <c r="N958" s="66"/>
    </row>
    <row r="959" spans="1:14" x14ac:dyDescent="0.2">
      <c r="A959" s="84"/>
      <c r="B959" s="84"/>
      <c r="C959" s="60"/>
      <c r="D959" s="66"/>
      <c r="E959" s="66"/>
      <c r="F959" s="66"/>
      <c r="G959" s="66"/>
      <c r="H959" s="66"/>
      <c r="I959" s="66"/>
      <c r="J959" s="66"/>
      <c r="K959" s="66"/>
      <c r="L959" s="66"/>
      <c r="M959" s="66"/>
      <c r="N959" s="66"/>
    </row>
    <row r="960" spans="1:14" x14ac:dyDescent="0.2">
      <c r="A960" s="84"/>
      <c r="B960" s="84"/>
      <c r="C960" s="60"/>
      <c r="D960" s="66"/>
      <c r="E960" s="66"/>
      <c r="F960" s="66"/>
      <c r="G960" s="66"/>
      <c r="H960" s="66"/>
      <c r="I960" s="66"/>
      <c r="J960" s="66"/>
      <c r="K960" s="66"/>
      <c r="L960" s="66"/>
      <c r="M960" s="66"/>
      <c r="N960" s="66"/>
    </row>
    <row r="961" spans="1:14" x14ac:dyDescent="0.2">
      <c r="A961" s="84"/>
      <c r="B961" s="84"/>
      <c r="C961" s="60"/>
      <c r="D961" s="66"/>
      <c r="E961" s="66"/>
      <c r="F961" s="66"/>
      <c r="G961" s="66"/>
      <c r="H961" s="66"/>
      <c r="I961" s="66"/>
      <c r="J961" s="66"/>
      <c r="K961" s="66"/>
      <c r="L961" s="66"/>
      <c r="M961" s="66"/>
      <c r="N961" s="66"/>
    </row>
    <row r="962" spans="1:14" x14ac:dyDescent="0.2">
      <c r="A962" s="84"/>
      <c r="B962" s="84"/>
      <c r="C962" s="60"/>
      <c r="D962" s="66"/>
      <c r="E962" s="66"/>
      <c r="F962" s="66"/>
      <c r="G962" s="66"/>
      <c r="H962" s="66"/>
      <c r="I962" s="66"/>
      <c r="J962" s="66"/>
      <c r="K962" s="66"/>
      <c r="L962" s="66"/>
      <c r="M962" s="66"/>
      <c r="N962" s="66"/>
    </row>
    <row r="963" spans="1:14" x14ac:dyDescent="0.2">
      <c r="A963" s="84"/>
      <c r="B963" s="84"/>
      <c r="C963" s="60"/>
      <c r="D963" s="66"/>
      <c r="E963" s="66"/>
      <c r="F963" s="66"/>
      <c r="G963" s="66"/>
      <c r="H963" s="66"/>
      <c r="I963" s="66"/>
      <c r="J963" s="66"/>
      <c r="K963" s="66"/>
      <c r="L963" s="66"/>
      <c r="M963" s="66"/>
      <c r="N963" s="66"/>
    </row>
    <row r="964" spans="1:14" x14ac:dyDescent="0.2">
      <c r="A964" s="84"/>
      <c r="B964" s="84"/>
      <c r="C964" s="60"/>
      <c r="D964" s="66"/>
      <c r="E964" s="66"/>
      <c r="F964" s="66"/>
      <c r="G964" s="66"/>
      <c r="H964" s="66"/>
      <c r="I964" s="66"/>
      <c r="J964" s="66"/>
      <c r="K964" s="66"/>
      <c r="L964" s="66"/>
      <c r="M964" s="66"/>
      <c r="N964" s="66"/>
    </row>
    <row r="965" spans="1:14" x14ac:dyDescent="0.2">
      <c r="A965" s="84"/>
      <c r="B965" s="84"/>
      <c r="C965" s="60"/>
      <c r="D965" s="66"/>
      <c r="E965" s="66"/>
      <c r="F965" s="66"/>
      <c r="G965" s="66"/>
      <c r="H965" s="66"/>
      <c r="I965" s="66"/>
      <c r="J965" s="66"/>
      <c r="K965" s="66"/>
      <c r="L965" s="66"/>
      <c r="M965" s="66"/>
      <c r="N965" s="66"/>
    </row>
    <row r="966" spans="1:14" x14ac:dyDescent="0.2">
      <c r="A966" s="84"/>
      <c r="B966" s="84"/>
      <c r="C966" s="60"/>
      <c r="D966" s="66"/>
      <c r="E966" s="66"/>
      <c r="F966" s="66"/>
      <c r="G966" s="66"/>
      <c r="H966" s="66"/>
      <c r="I966" s="66"/>
      <c r="J966" s="66"/>
      <c r="K966" s="66"/>
      <c r="L966" s="66"/>
      <c r="M966" s="66"/>
      <c r="N966" s="66"/>
    </row>
    <row r="967" spans="1:14" x14ac:dyDescent="0.2">
      <c r="A967" s="84"/>
      <c r="B967" s="84"/>
      <c r="C967" s="60"/>
      <c r="D967" s="66"/>
      <c r="E967" s="66"/>
      <c r="F967" s="66"/>
      <c r="G967" s="66"/>
      <c r="H967" s="66"/>
      <c r="I967" s="66"/>
      <c r="J967" s="66"/>
      <c r="K967" s="66"/>
      <c r="L967" s="66"/>
      <c r="M967" s="66"/>
      <c r="N967" s="66"/>
    </row>
    <row r="968" spans="1:14" x14ac:dyDescent="0.2">
      <c r="A968" s="84"/>
      <c r="B968" s="84"/>
      <c r="C968" s="60"/>
      <c r="D968" s="66"/>
      <c r="E968" s="66"/>
      <c r="F968" s="66"/>
      <c r="G968" s="66"/>
      <c r="H968" s="66"/>
      <c r="I968" s="66"/>
      <c r="J968" s="66"/>
      <c r="K968" s="66"/>
      <c r="L968" s="66"/>
      <c r="M968" s="66"/>
      <c r="N968" s="66"/>
    </row>
    <row r="969" spans="1:14" x14ac:dyDescent="0.2">
      <c r="A969" s="84"/>
      <c r="B969" s="84"/>
      <c r="C969" s="60"/>
      <c r="D969" s="66"/>
      <c r="E969" s="66"/>
      <c r="F969" s="66"/>
      <c r="G969" s="66"/>
      <c r="H969" s="66"/>
      <c r="I969" s="66"/>
      <c r="J969" s="66"/>
      <c r="K969" s="66"/>
      <c r="L969" s="66"/>
      <c r="M969" s="66"/>
      <c r="N969" s="66"/>
    </row>
    <row r="970" spans="1:14" x14ac:dyDescent="0.2">
      <c r="A970" s="84"/>
      <c r="B970" s="84"/>
      <c r="C970" s="60"/>
      <c r="D970" s="66"/>
      <c r="E970" s="66"/>
      <c r="F970" s="66"/>
      <c r="G970" s="66"/>
      <c r="H970" s="66"/>
      <c r="I970" s="66"/>
      <c r="J970" s="66"/>
      <c r="K970" s="66"/>
      <c r="L970" s="66"/>
      <c r="M970" s="66"/>
      <c r="N970" s="66"/>
    </row>
    <row r="971" spans="1:14" x14ac:dyDescent="0.2">
      <c r="A971" s="84"/>
      <c r="B971" s="84"/>
      <c r="C971" s="60"/>
      <c r="D971" s="66"/>
      <c r="E971" s="66"/>
      <c r="F971" s="66"/>
      <c r="G971" s="66"/>
      <c r="H971" s="66"/>
      <c r="I971" s="66"/>
      <c r="J971" s="66"/>
      <c r="K971" s="66"/>
      <c r="L971" s="66"/>
      <c r="M971" s="66"/>
      <c r="N971" s="66"/>
    </row>
    <row r="972" spans="1:14" x14ac:dyDescent="0.2">
      <c r="A972" s="84"/>
      <c r="B972" s="84"/>
      <c r="C972" s="60"/>
      <c r="D972" s="66"/>
      <c r="E972" s="66"/>
      <c r="F972" s="66"/>
      <c r="G972" s="66"/>
      <c r="H972" s="66"/>
      <c r="I972" s="66"/>
      <c r="J972" s="66"/>
      <c r="K972" s="66"/>
      <c r="L972" s="66"/>
      <c r="M972" s="66"/>
      <c r="N972" s="66"/>
    </row>
    <row r="973" spans="1:14" x14ac:dyDescent="0.2">
      <c r="A973" s="84"/>
      <c r="B973" s="84"/>
      <c r="C973" s="60"/>
      <c r="D973" s="66"/>
      <c r="E973" s="66"/>
      <c r="F973" s="66"/>
      <c r="G973" s="66"/>
      <c r="H973" s="66"/>
      <c r="I973" s="66"/>
      <c r="J973" s="66"/>
      <c r="K973" s="66"/>
      <c r="L973" s="66"/>
      <c r="M973" s="66"/>
      <c r="N973" s="66"/>
    </row>
    <row r="974" spans="1:14" x14ac:dyDescent="0.2">
      <c r="A974" s="84"/>
      <c r="B974" s="84"/>
      <c r="C974" s="60"/>
      <c r="D974" s="66"/>
      <c r="E974" s="66"/>
      <c r="F974" s="66"/>
      <c r="G974" s="66"/>
      <c r="H974" s="66"/>
      <c r="I974" s="66"/>
      <c r="J974" s="66"/>
      <c r="K974" s="66"/>
      <c r="L974" s="66"/>
      <c r="M974" s="66"/>
      <c r="N974" s="66"/>
    </row>
    <row r="975" spans="1:14" x14ac:dyDescent="0.2">
      <c r="A975" s="84"/>
      <c r="B975" s="84"/>
      <c r="C975" s="60"/>
      <c r="D975" s="66"/>
      <c r="E975" s="66"/>
      <c r="F975" s="66"/>
      <c r="G975" s="66"/>
      <c r="H975" s="66"/>
      <c r="I975" s="66"/>
      <c r="J975" s="66"/>
      <c r="K975" s="66"/>
      <c r="L975" s="66"/>
      <c r="M975" s="66"/>
      <c r="N975" s="66"/>
    </row>
    <row r="976" spans="1:14" x14ac:dyDescent="0.2">
      <c r="A976" s="84"/>
      <c r="B976" s="84"/>
      <c r="C976" s="60"/>
      <c r="D976" s="66"/>
      <c r="E976" s="66"/>
      <c r="F976" s="66"/>
      <c r="G976" s="66"/>
      <c r="H976" s="66"/>
      <c r="I976" s="66"/>
      <c r="J976" s="66"/>
      <c r="K976" s="66"/>
      <c r="L976" s="66"/>
      <c r="M976" s="66"/>
      <c r="N976" s="66"/>
    </row>
    <row r="977" spans="1:14" x14ac:dyDescent="0.2">
      <c r="A977" s="84"/>
      <c r="B977" s="84"/>
      <c r="C977" s="60"/>
      <c r="D977" s="66"/>
      <c r="E977" s="66"/>
      <c r="F977" s="66"/>
      <c r="G977" s="66"/>
      <c r="H977" s="66"/>
      <c r="I977" s="66"/>
      <c r="J977" s="66"/>
      <c r="K977" s="66"/>
      <c r="L977" s="66"/>
      <c r="M977" s="66"/>
      <c r="N977" s="66"/>
    </row>
    <row r="978" spans="1:14" x14ac:dyDescent="0.2">
      <c r="A978" s="84"/>
      <c r="B978" s="84"/>
      <c r="C978" s="60"/>
      <c r="D978" s="66"/>
      <c r="E978" s="66"/>
      <c r="F978" s="66"/>
      <c r="G978" s="66"/>
      <c r="H978" s="66"/>
      <c r="I978" s="66"/>
      <c r="J978" s="66"/>
      <c r="K978" s="66"/>
      <c r="L978" s="66"/>
      <c r="M978" s="66"/>
      <c r="N978" s="66"/>
    </row>
    <row r="979" spans="1:14" x14ac:dyDescent="0.2">
      <c r="A979" s="84"/>
      <c r="B979" s="84"/>
      <c r="C979" s="60"/>
      <c r="D979" s="66"/>
      <c r="E979" s="66"/>
      <c r="F979" s="66"/>
      <c r="G979" s="66"/>
      <c r="H979" s="66"/>
      <c r="I979" s="66"/>
      <c r="J979" s="66"/>
      <c r="K979" s="66"/>
      <c r="L979" s="66"/>
      <c r="M979" s="66"/>
      <c r="N979" s="66"/>
    </row>
    <row r="980" spans="1:14" x14ac:dyDescent="0.2">
      <c r="A980" s="84"/>
      <c r="B980" s="84"/>
      <c r="C980" s="60"/>
      <c r="D980" s="66"/>
      <c r="E980" s="66"/>
      <c r="F980" s="66"/>
      <c r="G980" s="66"/>
      <c r="H980" s="66"/>
      <c r="I980" s="66"/>
      <c r="J980" s="66"/>
      <c r="K980" s="66"/>
      <c r="L980" s="66"/>
      <c r="M980" s="66"/>
      <c r="N980" s="66"/>
    </row>
    <row r="981" spans="1:14" x14ac:dyDescent="0.2">
      <c r="A981" s="84"/>
      <c r="B981" s="84"/>
      <c r="C981" s="60"/>
      <c r="D981" s="66"/>
      <c r="E981" s="66"/>
      <c r="F981" s="66"/>
      <c r="G981" s="66"/>
      <c r="H981" s="66"/>
      <c r="I981" s="66"/>
      <c r="J981" s="66"/>
      <c r="K981" s="66"/>
      <c r="L981" s="66"/>
      <c r="M981" s="66"/>
      <c r="N981" s="66"/>
    </row>
    <row r="982" spans="1:14" x14ac:dyDescent="0.2">
      <c r="A982" s="84"/>
      <c r="B982" s="84"/>
      <c r="C982" s="60"/>
      <c r="D982" s="66"/>
      <c r="E982" s="66"/>
      <c r="F982" s="66"/>
      <c r="G982" s="66"/>
      <c r="H982" s="66"/>
      <c r="I982" s="66"/>
      <c r="J982" s="66"/>
      <c r="K982" s="66"/>
      <c r="L982" s="66"/>
      <c r="M982" s="66"/>
      <c r="N982" s="66"/>
    </row>
    <row r="983" spans="1:14" x14ac:dyDescent="0.2">
      <c r="A983" s="84"/>
      <c r="B983" s="84"/>
      <c r="C983" s="60"/>
      <c r="D983" s="66"/>
      <c r="E983" s="66"/>
      <c r="F983" s="66"/>
      <c r="G983" s="66"/>
      <c r="H983" s="66"/>
      <c r="I983" s="66"/>
      <c r="J983" s="66"/>
      <c r="K983" s="66"/>
      <c r="L983" s="66"/>
      <c r="M983" s="66"/>
      <c r="N983" s="66"/>
    </row>
    <row r="984" spans="1:14" x14ac:dyDescent="0.2">
      <c r="A984" s="84"/>
      <c r="B984" s="84"/>
      <c r="C984" s="60"/>
      <c r="D984" s="66"/>
      <c r="E984" s="66"/>
      <c r="F984" s="66"/>
      <c r="G984" s="66"/>
      <c r="H984" s="66"/>
      <c r="I984" s="66"/>
      <c r="J984" s="66"/>
      <c r="K984" s="66"/>
      <c r="L984" s="66"/>
      <c r="M984" s="66"/>
      <c r="N984" s="66"/>
    </row>
    <row r="985" spans="1:14" x14ac:dyDescent="0.2">
      <c r="A985" s="84"/>
      <c r="B985" s="84"/>
      <c r="C985" s="60"/>
      <c r="D985" s="66"/>
      <c r="E985" s="66"/>
      <c r="F985" s="66"/>
      <c r="G985" s="66"/>
      <c r="H985" s="66"/>
      <c r="I985" s="66"/>
      <c r="J985" s="66"/>
      <c r="K985" s="66"/>
      <c r="L985" s="66"/>
      <c r="M985" s="66"/>
      <c r="N985" s="66"/>
    </row>
    <row r="986" spans="1:14" x14ac:dyDescent="0.2">
      <c r="A986" s="84"/>
      <c r="B986" s="84"/>
      <c r="C986" s="60"/>
      <c r="D986" s="66"/>
      <c r="E986" s="66"/>
      <c r="F986" s="66"/>
      <c r="G986" s="66"/>
      <c r="H986" s="66"/>
      <c r="I986" s="66"/>
      <c r="J986" s="66"/>
      <c r="K986" s="66"/>
      <c r="L986" s="66"/>
      <c r="M986" s="66"/>
      <c r="N986" s="66"/>
    </row>
    <row r="987" spans="1:14" x14ac:dyDescent="0.2">
      <c r="A987" s="84"/>
      <c r="B987" s="84"/>
      <c r="C987" s="60"/>
      <c r="D987" s="66"/>
      <c r="E987" s="66"/>
      <c r="F987" s="66"/>
      <c r="G987" s="66"/>
      <c r="H987" s="66"/>
      <c r="I987" s="66"/>
      <c r="J987" s="66"/>
      <c r="K987" s="66"/>
      <c r="L987" s="66"/>
      <c r="M987" s="66"/>
      <c r="N987" s="66"/>
    </row>
    <row r="988" spans="1:14" x14ac:dyDescent="0.2">
      <c r="A988" s="84"/>
      <c r="B988" s="84"/>
      <c r="C988" s="60"/>
      <c r="D988" s="66"/>
      <c r="E988" s="66"/>
      <c r="F988" s="66"/>
      <c r="G988" s="66"/>
      <c r="H988" s="66"/>
      <c r="I988" s="66"/>
      <c r="J988" s="66"/>
      <c r="K988" s="66"/>
      <c r="L988" s="66"/>
      <c r="M988" s="66"/>
      <c r="N988" s="66"/>
    </row>
    <row r="989" spans="1:14" x14ac:dyDescent="0.2">
      <c r="A989" s="84"/>
      <c r="B989" s="84"/>
      <c r="C989" s="60"/>
      <c r="D989" s="66"/>
      <c r="E989" s="66"/>
      <c r="F989" s="66"/>
      <c r="G989" s="66"/>
      <c r="H989" s="66"/>
      <c r="I989" s="66"/>
      <c r="J989" s="66"/>
      <c r="K989" s="66"/>
      <c r="L989" s="66"/>
      <c r="M989" s="66"/>
      <c r="N989" s="66"/>
    </row>
    <row r="990" spans="1:14" x14ac:dyDescent="0.2">
      <c r="A990" s="84"/>
      <c r="B990" s="84"/>
      <c r="C990" s="60"/>
      <c r="D990" s="66"/>
      <c r="E990" s="66"/>
      <c r="F990" s="66"/>
      <c r="G990" s="66"/>
      <c r="H990" s="66"/>
      <c r="I990" s="66"/>
      <c r="J990" s="66"/>
      <c r="K990" s="66"/>
      <c r="L990" s="66"/>
      <c r="M990" s="66"/>
      <c r="N990" s="66"/>
    </row>
    <row r="991" spans="1:14" x14ac:dyDescent="0.2">
      <c r="A991" s="84"/>
      <c r="B991" s="84"/>
      <c r="C991" s="60"/>
      <c r="D991" s="66"/>
      <c r="E991" s="66"/>
      <c r="F991" s="66"/>
      <c r="G991" s="66"/>
      <c r="H991" s="66"/>
      <c r="I991" s="66"/>
      <c r="J991" s="66"/>
      <c r="K991" s="66"/>
      <c r="L991" s="66"/>
      <c r="M991" s="66"/>
      <c r="N991" s="66"/>
    </row>
    <row r="992" spans="1:14" x14ac:dyDescent="0.2">
      <c r="A992" s="84"/>
      <c r="B992" s="84"/>
      <c r="C992" s="60"/>
      <c r="D992" s="66"/>
      <c r="E992" s="66"/>
      <c r="F992" s="66"/>
      <c r="G992" s="66"/>
      <c r="H992" s="66"/>
      <c r="I992" s="66"/>
      <c r="J992" s="66"/>
      <c r="K992" s="66"/>
      <c r="L992" s="66"/>
      <c r="M992" s="66"/>
      <c r="N992" s="66"/>
    </row>
    <row r="993" spans="1:14" x14ac:dyDescent="0.2">
      <c r="A993" s="84"/>
      <c r="B993" s="84"/>
      <c r="C993" s="60"/>
      <c r="D993" s="66"/>
      <c r="E993" s="66"/>
      <c r="F993" s="66"/>
      <c r="G993" s="66"/>
      <c r="H993" s="66"/>
      <c r="I993" s="66"/>
      <c r="J993" s="66"/>
      <c r="K993" s="66"/>
      <c r="L993" s="66"/>
      <c r="M993" s="66"/>
      <c r="N993" s="66"/>
    </row>
    <row r="994" spans="1:14" x14ac:dyDescent="0.2">
      <c r="A994" s="84"/>
      <c r="B994" s="84"/>
      <c r="C994" s="60"/>
      <c r="D994" s="66"/>
      <c r="E994" s="66"/>
      <c r="F994" s="66"/>
      <c r="G994" s="66"/>
      <c r="H994" s="66"/>
      <c r="I994" s="66"/>
      <c r="J994" s="66"/>
      <c r="K994" s="66"/>
      <c r="L994" s="66"/>
      <c r="M994" s="66"/>
      <c r="N994" s="66"/>
    </row>
    <row r="995" spans="1:14" x14ac:dyDescent="0.2">
      <c r="A995" s="84"/>
      <c r="B995" s="84"/>
      <c r="C995" s="60"/>
      <c r="D995" s="66"/>
      <c r="E995" s="66"/>
      <c r="F995" s="66"/>
      <c r="G995" s="66"/>
      <c r="H995" s="66"/>
      <c r="I995" s="66"/>
      <c r="J995" s="66"/>
      <c r="K995" s="66"/>
      <c r="L995" s="66"/>
      <c r="M995" s="66"/>
      <c r="N995" s="66"/>
    </row>
    <row r="996" spans="1:14" x14ac:dyDescent="0.2">
      <c r="A996" s="84"/>
      <c r="B996" s="84"/>
      <c r="C996" s="60"/>
      <c r="D996" s="66"/>
      <c r="E996" s="66"/>
      <c r="F996" s="66"/>
      <c r="G996" s="66"/>
      <c r="H996" s="66"/>
      <c r="I996" s="66"/>
      <c r="J996" s="66"/>
      <c r="K996" s="66"/>
      <c r="L996" s="66"/>
      <c r="M996" s="66"/>
      <c r="N996" s="66"/>
    </row>
    <row r="997" spans="1:14" x14ac:dyDescent="0.2">
      <c r="A997" s="84"/>
      <c r="B997" s="84"/>
      <c r="C997" s="60"/>
      <c r="D997" s="66"/>
      <c r="E997" s="66"/>
      <c r="F997" s="66"/>
      <c r="G997" s="66"/>
      <c r="H997" s="66"/>
      <c r="I997" s="66"/>
      <c r="J997" s="66"/>
      <c r="K997" s="66"/>
      <c r="L997" s="66"/>
      <c r="M997" s="66"/>
      <c r="N997" s="66"/>
    </row>
    <row r="998" spans="1:14" x14ac:dyDescent="0.2">
      <c r="A998" s="84"/>
      <c r="B998" s="84"/>
      <c r="C998" s="60"/>
      <c r="D998" s="66"/>
      <c r="E998" s="66"/>
      <c r="F998" s="66"/>
      <c r="G998" s="66"/>
      <c r="H998" s="66"/>
      <c r="I998" s="66"/>
      <c r="J998" s="66"/>
      <c r="K998" s="66"/>
      <c r="L998" s="66"/>
      <c r="M998" s="66"/>
      <c r="N998" s="66"/>
    </row>
    <row r="999" spans="1:14" x14ac:dyDescent="0.2">
      <c r="A999" s="84"/>
      <c r="B999" s="84"/>
      <c r="C999" s="60"/>
      <c r="D999" s="66"/>
      <c r="E999" s="66"/>
      <c r="F999" s="66"/>
      <c r="G999" s="66"/>
      <c r="H999" s="66"/>
      <c r="I999" s="66"/>
      <c r="J999" s="66"/>
      <c r="K999" s="66"/>
      <c r="L999" s="66"/>
      <c r="M999" s="66"/>
      <c r="N999" s="66"/>
    </row>
    <row r="1000" spans="1:14" x14ac:dyDescent="0.2">
      <c r="A1000" s="84"/>
      <c r="B1000" s="84"/>
      <c r="C1000" s="60"/>
      <c r="D1000" s="66"/>
      <c r="E1000" s="66"/>
      <c r="F1000" s="66"/>
      <c r="G1000" s="66"/>
      <c r="H1000" s="66"/>
      <c r="I1000" s="66"/>
      <c r="J1000" s="66"/>
      <c r="K1000" s="66"/>
      <c r="L1000" s="66"/>
      <c r="M1000" s="66"/>
      <c r="N1000" s="66"/>
    </row>
    <row r="1001" spans="1:14" x14ac:dyDescent="0.2">
      <c r="A1001" s="84"/>
      <c r="B1001" s="84"/>
      <c r="C1001" s="60"/>
      <c r="D1001" s="66"/>
      <c r="E1001" s="66"/>
      <c r="F1001" s="66"/>
      <c r="G1001" s="66"/>
      <c r="H1001" s="66"/>
      <c r="I1001" s="66"/>
      <c r="J1001" s="66"/>
      <c r="K1001" s="66"/>
      <c r="L1001" s="66"/>
      <c r="M1001" s="66"/>
      <c r="N1001" s="66"/>
    </row>
    <row r="1002" spans="1:14" x14ac:dyDescent="0.2">
      <c r="A1002" s="84"/>
      <c r="B1002" s="84"/>
      <c r="C1002" s="60"/>
      <c r="D1002" s="66"/>
      <c r="E1002" s="66"/>
      <c r="F1002" s="66"/>
      <c r="G1002" s="66"/>
      <c r="H1002" s="66"/>
      <c r="I1002" s="66"/>
      <c r="J1002" s="66"/>
      <c r="K1002" s="66"/>
      <c r="L1002" s="66"/>
      <c r="M1002" s="66"/>
      <c r="N1002" s="66"/>
    </row>
    <row r="1003" spans="1:14" x14ac:dyDescent="0.2">
      <c r="A1003" s="84"/>
      <c r="B1003" s="84"/>
      <c r="C1003" s="60"/>
      <c r="D1003" s="66"/>
      <c r="E1003" s="66"/>
      <c r="F1003" s="66"/>
      <c r="G1003" s="66"/>
      <c r="H1003" s="66"/>
      <c r="I1003" s="66"/>
      <c r="J1003" s="66"/>
      <c r="K1003" s="66"/>
      <c r="L1003" s="66"/>
      <c r="M1003" s="66"/>
      <c r="N1003" s="66"/>
    </row>
    <row r="1004" spans="1:14" x14ac:dyDescent="0.2">
      <c r="A1004" s="84"/>
      <c r="B1004" s="84"/>
      <c r="C1004" s="60"/>
      <c r="D1004" s="66"/>
      <c r="E1004" s="66"/>
      <c r="F1004" s="66"/>
      <c r="G1004" s="66"/>
      <c r="H1004" s="66"/>
      <c r="I1004" s="66"/>
      <c r="J1004" s="66"/>
      <c r="K1004" s="66"/>
      <c r="L1004" s="66"/>
      <c r="M1004" s="66"/>
      <c r="N1004" s="66"/>
    </row>
    <row r="1005" spans="1:14" x14ac:dyDescent="0.2">
      <c r="A1005" s="84"/>
      <c r="B1005" s="84"/>
      <c r="C1005" s="60"/>
      <c r="D1005" s="66"/>
      <c r="E1005" s="66"/>
      <c r="F1005" s="66"/>
      <c r="G1005" s="66"/>
      <c r="H1005" s="66"/>
      <c r="I1005" s="66"/>
      <c r="J1005" s="66"/>
      <c r="K1005" s="66"/>
      <c r="L1005" s="66"/>
      <c r="M1005" s="66"/>
      <c r="N1005" s="66"/>
    </row>
    <row r="1006" spans="1:14" x14ac:dyDescent="0.2">
      <c r="A1006" s="84"/>
      <c r="B1006" s="84"/>
      <c r="C1006" s="60"/>
      <c r="D1006" s="66"/>
      <c r="E1006" s="66"/>
      <c r="F1006" s="66"/>
      <c r="G1006" s="66"/>
      <c r="H1006" s="66"/>
      <c r="I1006" s="66"/>
      <c r="J1006" s="66"/>
      <c r="K1006" s="66"/>
      <c r="L1006" s="66"/>
      <c r="M1006" s="66"/>
      <c r="N1006" s="66"/>
    </row>
    <row r="1007" spans="1:14" x14ac:dyDescent="0.2">
      <c r="A1007" s="84"/>
      <c r="B1007" s="84"/>
      <c r="C1007" s="60"/>
      <c r="D1007" s="66"/>
      <c r="E1007" s="66"/>
      <c r="F1007" s="66"/>
      <c r="G1007" s="66"/>
      <c r="H1007" s="66"/>
      <c r="I1007" s="66"/>
      <c r="J1007" s="66"/>
      <c r="K1007" s="66"/>
      <c r="L1007" s="66"/>
      <c r="M1007" s="66"/>
      <c r="N1007" s="66"/>
    </row>
    <row r="1008" spans="1:14" x14ac:dyDescent="0.2">
      <c r="A1008" s="84"/>
      <c r="B1008" s="84"/>
      <c r="C1008" s="60"/>
      <c r="D1008" s="66"/>
      <c r="E1008" s="66"/>
      <c r="F1008" s="66"/>
      <c r="G1008" s="66"/>
      <c r="H1008" s="66"/>
      <c r="I1008" s="66"/>
      <c r="J1008" s="66"/>
      <c r="K1008" s="66"/>
      <c r="L1008" s="66"/>
      <c r="M1008" s="66"/>
      <c r="N1008" s="66"/>
    </row>
    <row r="1009" spans="1:14" x14ac:dyDescent="0.2">
      <c r="A1009" s="84"/>
      <c r="B1009" s="84"/>
      <c r="C1009" s="60"/>
      <c r="D1009" s="66"/>
      <c r="E1009" s="66"/>
      <c r="F1009" s="66"/>
      <c r="G1009" s="66"/>
      <c r="H1009" s="66"/>
      <c r="I1009" s="66"/>
      <c r="J1009" s="66"/>
      <c r="K1009" s="66"/>
      <c r="L1009" s="66"/>
      <c r="M1009" s="66"/>
      <c r="N1009" s="66"/>
    </row>
    <row r="1010" spans="1:14" x14ac:dyDescent="0.2">
      <c r="A1010" s="84"/>
      <c r="B1010" s="84"/>
      <c r="C1010" s="60"/>
      <c r="D1010" s="66"/>
      <c r="E1010" s="66"/>
      <c r="F1010" s="66"/>
      <c r="G1010" s="66"/>
      <c r="H1010" s="66"/>
      <c r="I1010" s="66"/>
      <c r="J1010" s="66"/>
      <c r="K1010" s="66"/>
      <c r="L1010" s="66"/>
      <c r="M1010" s="66"/>
      <c r="N1010" s="66"/>
    </row>
    <row r="1011" spans="1:14" x14ac:dyDescent="0.2">
      <c r="A1011" s="84"/>
      <c r="B1011" s="84"/>
      <c r="C1011" s="60"/>
      <c r="D1011" s="66"/>
      <c r="E1011" s="66"/>
      <c r="F1011" s="66"/>
      <c r="G1011" s="66"/>
      <c r="H1011" s="66"/>
      <c r="I1011" s="66"/>
      <c r="J1011" s="66"/>
      <c r="K1011" s="66"/>
      <c r="L1011" s="66"/>
      <c r="M1011" s="66"/>
      <c r="N1011" s="66"/>
    </row>
    <row r="1012" spans="1:14" x14ac:dyDescent="0.2">
      <c r="A1012" s="84"/>
      <c r="B1012" s="84"/>
      <c r="C1012" s="60"/>
      <c r="D1012" s="66"/>
      <c r="E1012" s="66"/>
      <c r="F1012" s="66"/>
      <c r="G1012" s="66"/>
      <c r="H1012" s="66"/>
      <c r="I1012" s="66"/>
      <c r="J1012" s="66"/>
      <c r="K1012" s="66"/>
      <c r="L1012" s="66"/>
      <c r="M1012" s="66"/>
      <c r="N1012" s="66"/>
    </row>
    <row r="1013" spans="1:14" x14ac:dyDescent="0.2">
      <c r="A1013" s="84"/>
      <c r="B1013" s="84"/>
      <c r="C1013" s="60"/>
      <c r="D1013" s="66"/>
      <c r="E1013" s="66"/>
      <c r="F1013" s="66"/>
      <c r="G1013" s="66"/>
      <c r="H1013" s="66"/>
      <c r="I1013" s="66"/>
      <c r="J1013" s="66"/>
      <c r="K1013" s="66"/>
      <c r="L1013" s="66"/>
      <c r="M1013" s="66"/>
      <c r="N1013" s="66"/>
    </row>
    <row r="1014" spans="1:14" x14ac:dyDescent="0.2">
      <c r="A1014" s="84"/>
      <c r="B1014" s="84"/>
      <c r="C1014" s="60"/>
      <c r="D1014" s="66"/>
      <c r="E1014" s="66"/>
      <c r="F1014" s="66"/>
      <c r="G1014" s="66"/>
      <c r="H1014" s="66"/>
      <c r="I1014" s="66"/>
      <c r="J1014" s="66"/>
      <c r="K1014" s="66"/>
      <c r="L1014" s="66"/>
      <c r="M1014" s="66"/>
      <c r="N1014" s="66"/>
    </row>
    <row r="1015" spans="1:14" x14ac:dyDescent="0.2">
      <c r="A1015" s="84"/>
      <c r="B1015" s="84"/>
      <c r="C1015" s="60"/>
      <c r="D1015" s="66"/>
      <c r="E1015" s="66"/>
      <c r="F1015" s="66"/>
      <c r="G1015" s="66"/>
      <c r="H1015" s="66"/>
      <c r="I1015" s="66"/>
      <c r="J1015" s="66"/>
      <c r="K1015" s="66"/>
      <c r="L1015" s="66"/>
      <c r="M1015" s="66"/>
      <c r="N1015" s="66"/>
    </row>
    <row r="1016" spans="1:14" x14ac:dyDescent="0.2">
      <c r="A1016" s="84"/>
      <c r="B1016" s="84"/>
      <c r="C1016" s="60"/>
      <c r="D1016" s="66"/>
      <c r="E1016" s="66"/>
      <c r="F1016" s="66"/>
      <c r="G1016" s="66"/>
      <c r="H1016" s="66"/>
      <c r="I1016" s="66"/>
      <c r="J1016" s="66"/>
      <c r="K1016" s="66"/>
      <c r="L1016" s="66"/>
      <c r="M1016" s="66"/>
      <c r="N1016" s="66"/>
    </row>
    <row r="1017" spans="1:14" x14ac:dyDescent="0.2">
      <c r="A1017" s="84"/>
      <c r="B1017" s="84"/>
      <c r="C1017" s="60"/>
      <c r="D1017" s="66"/>
      <c r="E1017" s="66"/>
      <c r="F1017" s="66"/>
      <c r="G1017" s="66"/>
      <c r="H1017" s="66"/>
      <c r="I1017" s="66"/>
      <c r="J1017" s="66"/>
      <c r="K1017" s="66"/>
      <c r="L1017" s="66"/>
      <c r="M1017" s="66"/>
      <c r="N1017" s="66"/>
    </row>
    <row r="1018" spans="1:14" x14ac:dyDescent="0.2">
      <c r="A1018" s="84"/>
      <c r="B1018" s="84"/>
      <c r="C1018" s="60"/>
      <c r="D1018" s="66"/>
      <c r="E1018" s="66"/>
      <c r="F1018" s="66"/>
      <c r="G1018" s="66"/>
      <c r="H1018" s="66"/>
      <c r="I1018" s="66"/>
      <c r="J1018" s="66"/>
      <c r="K1018" s="66"/>
      <c r="L1018" s="66"/>
      <c r="M1018" s="66"/>
      <c r="N1018" s="66"/>
    </row>
    <row r="1019" spans="1:14" x14ac:dyDescent="0.2">
      <c r="A1019" s="84"/>
      <c r="B1019" s="84"/>
      <c r="C1019" s="60"/>
      <c r="D1019" s="66"/>
      <c r="E1019" s="66"/>
      <c r="F1019" s="66"/>
      <c r="G1019" s="66"/>
      <c r="H1019" s="66"/>
      <c r="I1019" s="66"/>
      <c r="J1019" s="66"/>
      <c r="K1019" s="66"/>
      <c r="L1019" s="66"/>
      <c r="M1019" s="66"/>
      <c r="N1019" s="66"/>
    </row>
    <row r="1020" spans="1:14" x14ac:dyDescent="0.2">
      <c r="A1020" s="84"/>
      <c r="B1020" s="84"/>
      <c r="C1020" s="60"/>
      <c r="D1020" s="66"/>
      <c r="E1020" s="66"/>
      <c r="F1020" s="66"/>
      <c r="G1020" s="66"/>
      <c r="H1020" s="66"/>
      <c r="I1020" s="66"/>
      <c r="J1020" s="66"/>
      <c r="K1020" s="66"/>
      <c r="L1020" s="66"/>
      <c r="M1020" s="66"/>
      <c r="N1020" s="66"/>
    </row>
    <row r="1021" spans="1:14" x14ac:dyDescent="0.2">
      <c r="A1021" s="84"/>
      <c r="B1021" s="84"/>
      <c r="C1021" s="60"/>
      <c r="D1021" s="66"/>
      <c r="E1021" s="66"/>
      <c r="F1021" s="66"/>
      <c r="G1021" s="66"/>
      <c r="H1021" s="66"/>
      <c r="I1021" s="66"/>
      <c r="J1021" s="66"/>
      <c r="K1021" s="66"/>
      <c r="L1021" s="66"/>
      <c r="M1021" s="66"/>
      <c r="N1021" s="66"/>
    </row>
    <row r="1022" spans="1:14" x14ac:dyDescent="0.2">
      <c r="A1022" s="84"/>
      <c r="B1022" s="84"/>
      <c r="C1022" s="60"/>
      <c r="D1022" s="66"/>
      <c r="E1022" s="66"/>
      <c r="F1022" s="66"/>
      <c r="G1022" s="66"/>
      <c r="H1022" s="66"/>
      <c r="I1022" s="66"/>
      <c r="J1022" s="66"/>
      <c r="K1022" s="66"/>
      <c r="L1022" s="66"/>
      <c r="M1022" s="66"/>
      <c r="N1022" s="66"/>
    </row>
    <row r="1023" spans="1:14" x14ac:dyDescent="0.2">
      <c r="A1023" s="84"/>
      <c r="B1023" s="84"/>
      <c r="C1023" s="60"/>
      <c r="D1023" s="66"/>
      <c r="E1023" s="66"/>
      <c r="F1023" s="66"/>
      <c r="G1023" s="66"/>
      <c r="H1023" s="66"/>
      <c r="I1023" s="66"/>
      <c r="J1023" s="66"/>
      <c r="K1023" s="66"/>
      <c r="L1023" s="66"/>
      <c r="M1023" s="66"/>
      <c r="N1023" s="66"/>
    </row>
    <row r="1024" spans="1:14" x14ac:dyDescent="0.2">
      <c r="A1024" s="84"/>
      <c r="B1024" s="84"/>
      <c r="C1024" s="60"/>
      <c r="D1024" s="66"/>
      <c r="E1024" s="66"/>
      <c r="F1024" s="66"/>
      <c r="G1024" s="66"/>
      <c r="H1024" s="66"/>
      <c r="I1024" s="66"/>
      <c r="J1024" s="66"/>
      <c r="K1024" s="66"/>
      <c r="L1024" s="66"/>
      <c r="M1024" s="66"/>
      <c r="N1024" s="66"/>
    </row>
    <row r="1025" spans="1:14" x14ac:dyDescent="0.2">
      <c r="A1025" s="84"/>
      <c r="B1025" s="84"/>
      <c r="C1025" s="60"/>
      <c r="D1025" s="66"/>
      <c r="E1025" s="66"/>
      <c r="F1025" s="66"/>
      <c r="G1025" s="66"/>
      <c r="H1025" s="66"/>
      <c r="I1025" s="66"/>
      <c r="J1025" s="66"/>
      <c r="K1025" s="66"/>
      <c r="L1025" s="66"/>
      <c r="M1025" s="66"/>
      <c r="N1025" s="66"/>
    </row>
    <row r="1026" spans="1:14" x14ac:dyDescent="0.2">
      <c r="A1026" s="84"/>
      <c r="B1026" s="84"/>
      <c r="C1026" s="60"/>
      <c r="D1026" s="66"/>
      <c r="E1026" s="66"/>
      <c r="F1026" s="66"/>
      <c r="G1026" s="66"/>
      <c r="H1026" s="66"/>
      <c r="I1026" s="66"/>
      <c r="J1026" s="66"/>
      <c r="K1026" s="66"/>
      <c r="L1026" s="66"/>
      <c r="M1026" s="66"/>
      <c r="N1026" s="66"/>
    </row>
    <row r="1027" spans="1:14" x14ac:dyDescent="0.2">
      <c r="A1027" s="84"/>
      <c r="B1027" s="84"/>
      <c r="C1027" s="60"/>
      <c r="D1027" s="66"/>
      <c r="E1027" s="66"/>
      <c r="F1027" s="66"/>
      <c r="G1027" s="66"/>
      <c r="H1027" s="66"/>
      <c r="I1027" s="66"/>
      <c r="J1027" s="66"/>
      <c r="K1027" s="66"/>
      <c r="L1027" s="66"/>
      <c r="M1027" s="66"/>
      <c r="N1027" s="66"/>
    </row>
    <row r="1028" spans="1:14" x14ac:dyDescent="0.2">
      <c r="A1028" s="84"/>
      <c r="B1028" s="84"/>
      <c r="C1028" s="60"/>
      <c r="D1028" s="66"/>
      <c r="E1028" s="66"/>
      <c r="F1028" s="66"/>
      <c r="G1028" s="66"/>
      <c r="H1028" s="66"/>
      <c r="I1028" s="66"/>
      <c r="J1028" s="66"/>
      <c r="K1028" s="66"/>
      <c r="L1028" s="66"/>
      <c r="M1028" s="66"/>
      <c r="N1028" s="66"/>
    </row>
    <row r="1029" spans="1:14" x14ac:dyDescent="0.2">
      <c r="A1029" s="84"/>
      <c r="B1029" s="84"/>
      <c r="C1029" s="60"/>
      <c r="D1029" s="66"/>
      <c r="E1029" s="66"/>
      <c r="F1029" s="66"/>
      <c r="G1029" s="66"/>
      <c r="H1029" s="66"/>
      <c r="I1029" s="66"/>
      <c r="J1029" s="66"/>
      <c r="K1029" s="66"/>
      <c r="L1029" s="66"/>
      <c r="M1029" s="66"/>
      <c r="N1029" s="66"/>
    </row>
    <row r="1030" spans="1:14" x14ac:dyDescent="0.2">
      <c r="A1030" s="84"/>
      <c r="B1030" s="84"/>
      <c r="C1030" s="60"/>
      <c r="D1030" s="66"/>
      <c r="E1030" s="66"/>
      <c r="F1030" s="66"/>
      <c r="G1030" s="66"/>
      <c r="H1030" s="66"/>
      <c r="I1030" s="66"/>
      <c r="J1030" s="66"/>
      <c r="K1030" s="66"/>
      <c r="L1030" s="66"/>
      <c r="M1030" s="66"/>
      <c r="N1030" s="66"/>
    </row>
    <row r="1031" spans="1:14" x14ac:dyDescent="0.2">
      <c r="A1031" s="84"/>
      <c r="B1031" s="84"/>
      <c r="C1031" s="60"/>
      <c r="D1031" s="66"/>
      <c r="E1031" s="66"/>
      <c r="F1031" s="66"/>
      <c r="G1031" s="66"/>
      <c r="H1031" s="66"/>
      <c r="I1031" s="66"/>
      <c r="J1031" s="66"/>
      <c r="K1031" s="66"/>
      <c r="L1031" s="66"/>
      <c r="M1031" s="66"/>
      <c r="N1031" s="66"/>
    </row>
    <row r="1032" spans="1:14" x14ac:dyDescent="0.2">
      <c r="A1032" s="84"/>
      <c r="B1032" s="84"/>
      <c r="C1032" s="60"/>
      <c r="D1032" s="66"/>
      <c r="E1032" s="66"/>
      <c r="F1032" s="66"/>
      <c r="G1032" s="66"/>
      <c r="H1032" s="66"/>
      <c r="I1032" s="66"/>
      <c r="J1032" s="66"/>
      <c r="K1032" s="66"/>
      <c r="L1032" s="66"/>
      <c r="M1032" s="66"/>
      <c r="N1032" s="66"/>
    </row>
    <row r="1033" spans="1:14" x14ac:dyDescent="0.2">
      <c r="A1033" s="84"/>
      <c r="B1033" s="84"/>
      <c r="C1033" s="60"/>
      <c r="D1033" s="66"/>
      <c r="E1033" s="66"/>
      <c r="F1033" s="66"/>
      <c r="G1033" s="66"/>
      <c r="H1033" s="66"/>
      <c r="I1033" s="66"/>
      <c r="J1033" s="66"/>
      <c r="K1033" s="66"/>
      <c r="L1033" s="66"/>
      <c r="M1033" s="66"/>
      <c r="N1033" s="66"/>
    </row>
    <row r="1034" spans="1:14" x14ac:dyDescent="0.2">
      <c r="A1034" s="84"/>
      <c r="B1034" s="84"/>
      <c r="C1034" s="60"/>
      <c r="D1034" s="66"/>
      <c r="E1034" s="66"/>
      <c r="F1034" s="66"/>
      <c r="G1034" s="66"/>
      <c r="H1034" s="66"/>
      <c r="I1034" s="66"/>
      <c r="J1034" s="66"/>
      <c r="K1034" s="66"/>
      <c r="L1034" s="66"/>
      <c r="M1034" s="66"/>
      <c r="N1034" s="66"/>
    </row>
    <row r="1035" spans="1:14" x14ac:dyDescent="0.2">
      <c r="A1035" s="84"/>
      <c r="B1035" s="84"/>
      <c r="C1035" s="60"/>
      <c r="D1035" s="66"/>
      <c r="E1035" s="66"/>
      <c r="F1035" s="66"/>
      <c r="G1035" s="66"/>
      <c r="H1035" s="66"/>
      <c r="I1035" s="66"/>
      <c r="J1035" s="66"/>
      <c r="K1035" s="66"/>
      <c r="L1035" s="66"/>
      <c r="M1035" s="66"/>
      <c r="N1035" s="66"/>
    </row>
    <row r="1036" spans="1:14" x14ac:dyDescent="0.2">
      <c r="A1036" s="84"/>
      <c r="B1036" s="84"/>
      <c r="C1036" s="60"/>
      <c r="D1036" s="66"/>
      <c r="E1036" s="66"/>
      <c r="F1036" s="66"/>
      <c r="G1036" s="66"/>
      <c r="H1036" s="66"/>
      <c r="I1036" s="66"/>
      <c r="J1036" s="66"/>
      <c r="K1036" s="66"/>
      <c r="L1036" s="66"/>
      <c r="M1036" s="66"/>
      <c r="N1036" s="66"/>
    </row>
    <row r="1037" spans="1:14" x14ac:dyDescent="0.2">
      <c r="A1037" s="84"/>
      <c r="B1037" s="84"/>
      <c r="C1037" s="60"/>
      <c r="D1037" s="66"/>
      <c r="E1037" s="66"/>
      <c r="F1037" s="66"/>
      <c r="G1037" s="66"/>
      <c r="H1037" s="66"/>
      <c r="I1037" s="66"/>
      <c r="J1037" s="66"/>
      <c r="K1037" s="66"/>
      <c r="L1037" s="66"/>
      <c r="M1037" s="66"/>
      <c r="N1037" s="66"/>
    </row>
    <row r="1038" spans="1:14" x14ac:dyDescent="0.2">
      <c r="A1038" s="84"/>
      <c r="B1038" s="84"/>
      <c r="C1038" s="60"/>
      <c r="D1038" s="66"/>
      <c r="E1038" s="66"/>
      <c r="F1038" s="66"/>
      <c r="G1038" s="66"/>
      <c r="H1038" s="66"/>
      <c r="I1038" s="66"/>
      <c r="J1038" s="66"/>
      <c r="K1038" s="66"/>
      <c r="L1038" s="66"/>
      <c r="M1038" s="66"/>
      <c r="N1038" s="66"/>
    </row>
    <row r="1039" spans="1:14" x14ac:dyDescent="0.2">
      <c r="A1039" s="84"/>
      <c r="B1039" s="84"/>
      <c r="C1039" s="60"/>
      <c r="D1039" s="66"/>
      <c r="E1039" s="66"/>
      <c r="F1039" s="66"/>
      <c r="G1039" s="66"/>
      <c r="H1039" s="66"/>
      <c r="I1039" s="66"/>
      <c r="J1039" s="66"/>
      <c r="K1039" s="66"/>
      <c r="L1039" s="66"/>
      <c r="M1039" s="66"/>
      <c r="N1039" s="66"/>
    </row>
    <row r="1040" spans="1:14" x14ac:dyDescent="0.2">
      <c r="A1040" s="84"/>
      <c r="B1040" s="84"/>
      <c r="C1040" s="60"/>
      <c r="D1040" s="66"/>
      <c r="E1040" s="66"/>
      <c r="F1040" s="66"/>
      <c r="G1040" s="66"/>
      <c r="H1040" s="66"/>
      <c r="I1040" s="66"/>
      <c r="J1040" s="66"/>
      <c r="K1040" s="66"/>
      <c r="L1040" s="66"/>
      <c r="M1040" s="66"/>
      <c r="N1040" s="66"/>
    </row>
    <row r="1041" spans="1:14" x14ac:dyDescent="0.2">
      <c r="A1041" s="84"/>
      <c r="B1041" s="84"/>
      <c r="C1041" s="60"/>
      <c r="D1041" s="66"/>
      <c r="E1041" s="66"/>
      <c r="F1041" s="66"/>
      <c r="G1041" s="66"/>
      <c r="H1041" s="66"/>
      <c r="I1041" s="66"/>
      <c r="J1041" s="66"/>
      <c r="K1041" s="66"/>
      <c r="L1041" s="66"/>
      <c r="M1041" s="66"/>
      <c r="N1041" s="66"/>
    </row>
    <row r="1042" spans="1:14" x14ac:dyDescent="0.2">
      <c r="A1042" s="84"/>
      <c r="B1042" s="84"/>
      <c r="C1042" s="60"/>
      <c r="D1042" s="66"/>
      <c r="E1042" s="66"/>
      <c r="F1042" s="66"/>
      <c r="G1042" s="66"/>
      <c r="H1042" s="66"/>
      <c r="I1042" s="66"/>
      <c r="J1042" s="66"/>
      <c r="K1042" s="66"/>
      <c r="L1042" s="66"/>
      <c r="M1042" s="66"/>
      <c r="N1042" s="66"/>
    </row>
    <row r="1043" spans="1:14" x14ac:dyDescent="0.2">
      <c r="A1043" s="84"/>
      <c r="B1043" s="84"/>
      <c r="C1043" s="60"/>
      <c r="D1043" s="66"/>
      <c r="E1043" s="66"/>
      <c r="F1043" s="66"/>
      <c r="G1043" s="66"/>
      <c r="H1043" s="66"/>
      <c r="I1043" s="66"/>
      <c r="J1043" s="66"/>
      <c r="K1043" s="66"/>
      <c r="L1043" s="66"/>
      <c r="M1043" s="66"/>
      <c r="N1043" s="66"/>
    </row>
    <row r="1044" spans="1:14" x14ac:dyDescent="0.2">
      <c r="A1044" s="84"/>
      <c r="B1044" s="84"/>
      <c r="C1044" s="60"/>
      <c r="D1044" s="66"/>
      <c r="E1044" s="66"/>
      <c r="F1044" s="66"/>
      <c r="G1044" s="66"/>
      <c r="H1044" s="66"/>
      <c r="I1044" s="66"/>
      <c r="J1044" s="66"/>
      <c r="K1044" s="66"/>
      <c r="L1044" s="66"/>
      <c r="M1044" s="66"/>
      <c r="N1044" s="66"/>
    </row>
    <row r="1045" spans="1:14" x14ac:dyDescent="0.2">
      <c r="A1045" s="84"/>
      <c r="B1045" s="84"/>
      <c r="C1045" s="60"/>
      <c r="D1045" s="66"/>
      <c r="E1045" s="66"/>
      <c r="F1045" s="66"/>
      <c r="G1045" s="66"/>
      <c r="H1045" s="66"/>
      <c r="I1045" s="66"/>
      <c r="J1045" s="66"/>
      <c r="K1045" s="66"/>
      <c r="L1045" s="66"/>
      <c r="M1045" s="66"/>
      <c r="N1045" s="66"/>
    </row>
    <row r="1046" spans="1:14" x14ac:dyDescent="0.2">
      <c r="A1046" s="84"/>
      <c r="B1046" s="84"/>
      <c r="C1046" s="60"/>
      <c r="D1046" s="66"/>
      <c r="E1046" s="66"/>
      <c r="F1046" s="66"/>
      <c r="G1046" s="66"/>
      <c r="H1046" s="66"/>
      <c r="I1046" s="66"/>
      <c r="J1046" s="66"/>
      <c r="K1046" s="66"/>
      <c r="L1046" s="66"/>
      <c r="M1046" s="66"/>
      <c r="N1046" s="66"/>
    </row>
    <row r="1047" spans="1:14" x14ac:dyDescent="0.2">
      <c r="A1047" s="84"/>
      <c r="B1047" s="84"/>
      <c r="C1047" s="60"/>
      <c r="D1047" s="66"/>
      <c r="E1047" s="66"/>
      <c r="F1047" s="66"/>
      <c r="G1047" s="66"/>
      <c r="H1047" s="66"/>
      <c r="I1047" s="66"/>
      <c r="J1047" s="66"/>
      <c r="K1047" s="66"/>
      <c r="L1047" s="66"/>
      <c r="M1047" s="66"/>
      <c r="N1047" s="66"/>
    </row>
    <row r="1048" spans="1:14" x14ac:dyDescent="0.2">
      <c r="A1048" s="84"/>
      <c r="B1048" s="84"/>
      <c r="C1048" s="60"/>
      <c r="D1048" s="66"/>
      <c r="E1048" s="66"/>
      <c r="F1048" s="66"/>
      <c r="G1048" s="66"/>
      <c r="H1048" s="66"/>
      <c r="I1048" s="66"/>
      <c r="J1048" s="66"/>
      <c r="K1048" s="66"/>
      <c r="L1048" s="66"/>
      <c r="M1048" s="66"/>
      <c r="N1048" s="66"/>
    </row>
    <row r="1049" spans="1:14" x14ac:dyDescent="0.2">
      <c r="A1049" s="84"/>
      <c r="B1049" s="84"/>
      <c r="C1049" s="60"/>
      <c r="D1049" s="66"/>
      <c r="E1049" s="66"/>
      <c r="F1049" s="66"/>
      <c r="G1049" s="66"/>
      <c r="H1049" s="66"/>
      <c r="I1049" s="66"/>
      <c r="J1049" s="66"/>
      <c r="K1049" s="66"/>
      <c r="L1049" s="66"/>
      <c r="M1049" s="66"/>
      <c r="N1049" s="66"/>
    </row>
    <row r="1050" spans="1:14" x14ac:dyDescent="0.2">
      <c r="A1050" s="84"/>
      <c r="B1050" s="84"/>
      <c r="C1050" s="60"/>
      <c r="D1050" s="66"/>
      <c r="E1050" s="66"/>
      <c r="F1050" s="66"/>
      <c r="G1050" s="66"/>
      <c r="H1050" s="66"/>
      <c r="I1050" s="66"/>
      <c r="J1050" s="66"/>
      <c r="K1050" s="66"/>
      <c r="L1050" s="66"/>
      <c r="M1050" s="66"/>
      <c r="N1050" s="66"/>
    </row>
    <row r="1051" spans="1:14" x14ac:dyDescent="0.2">
      <c r="A1051" s="84"/>
      <c r="B1051" s="84"/>
      <c r="C1051" s="60"/>
      <c r="D1051" s="66"/>
      <c r="E1051" s="66"/>
      <c r="F1051" s="66"/>
      <c r="G1051" s="66"/>
      <c r="H1051" s="66"/>
      <c r="I1051" s="66"/>
      <c r="J1051" s="66"/>
      <c r="K1051" s="66"/>
      <c r="L1051" s="66"/>
      <c r="M1051" s="66"/>
      <c r="N1051" s="66"/>
    </row>
    <row r="1052" spans="1:14" x14ac:dyDescent="0.2">
      <c r="A1052" s="84"/>
      <c r="B1052" s="84"/>
      <c r="C1052" s="60"/>
      <c r="D1052" s="66"/>
      <c r="E1052" s="66"/>
      <c r="F1052" s="66"/>
      <c r="G1052" s="66"/>
      <c r="H1052" s="66"/>
      <c r="I1052" s="66"/>
      <c r="J1052" s="66"/>
      <c r="K1052" s="66"/>
      <c r="L1052" s="66"/>
      <c r="M1052" s="66"/>
      <c r="N1052" s="66"/>
    </row>
    <row r="1053" spans="1:14" x14ac:dyDescent="0.2">
      <c r="A1053" s="84"/>
      <c r="B1053" s="84"/>
      <c r="C1053" s="60"/>
      <c r="D1053" s="66"/>
      <c r="E1053" s="66"/>
      <c r="F1053" s="66"/>
      <c r="G1053" s="66"/>
      <c r="H1053" s="66"/>
      <c r="I1053" s="66"/>
      <c r="J1053" s="66"/>
      <c r="K1053" s="66"/>
      <c r="L1053" s="66"/>
      <c r="M1053" s="66"/>
      <c r="N1053" s="66"/>
    </row>
    <row r="1054" spans="1:14" x14ac:dyDescent="0.2">
      <c r="A1054" s="84"/>
      <c r="B1054" s="84"/>
      <c r="C1054" s="60"/>
      <c r="D1054" s="66"/>
      <c r="E1054" s="66"/>
      <c r="F1054" s="66"/>
      <c r="G1054" s="66"/>
      <c r="H1054" s="66"/>
      <c r="I1054" s="66"/>
      <c r="J1054" s="66"/>
      <c r="K1054" s="66"/>
      <c r="L1054" s="66"/>
      <c r="M1054" s="66"/>
      <c r="N1054" s="66"/>
    </row>
    <row r="1055" spans="1:14" x14ac:dyDescent="0.2">
      <c r="A1055" s="84"/>
      <c r="B1055" s="84"/>
      <c r="C1055" s="60"/>
      <c r="D1055" s="66"/>
      <c r="E1055" s="66"/>
      <c r="F1055" s="66"/>
      <c r="G1055" s="66"/>
      <c r="H1055" s="66"/>
      <c r="I1055" s="66"/>
      <c r="J1055" s="66"/>
      <c r="K1055" s="66"/>
      <c r="L1055" s="66"/>
      <c r="M1055" s="66"/>
      <c r="N1055" s="66"/>
    </row>
    <row r="1056" spans="1:14" x14ac:dyDescent="0.2">
      <c r="A1056" s="84"/>
      <c r="B1056" s="84"/>
      <c r="C1056" s="60"/>
      <c r="D1056" s="66"/>
      <c r="E1056" s="66"/>
      <c r="F1056" s="66"/>
      <c r="G1056" s="66"/>
      <c r="H1056" s="66"/>
      <c r="I1056" s="66"/>
      <c r="J1056" s="66"/>
      <c r="K1056" s="66"/>
      <c r="L1056" s="66"/>
      <c r="M1056" s="66"/>
      <c r="N1056" s="66"/>
    </row>
    <row r="1057" spans="1:14" x14ac:dyDescent="0.2">
      <c r="A1057" s="84"/>
      <c r="B1057" s="84"/>
      <c r="C1057" s="60"/>
      <c r="D1057" s="66"/>
      <c r="E1057" s="66"/>
      <c r="F1057" s="66"/>
      <c r="G1057" s="66"/>
      <c r="H1057" s="66"/>
      <c r="I1057" s="66"/>
      <c r="J1057" s="66"/>
      <c r="K1057" s="66"/>
      <c r="L1057" s="66"/>
      <c r="M1057" s="66"/>
      <c r="N1057" s="66"/>
    </row>
    <row r="1058" spans="1:14" x14ac:dyDescent="0.2">
      <c r="A1058" s="84"/>
      <c r="B1058" s="84"/>
      <c r="C1058" s="60"/>
      <c r="D1058" s="66"/>
      <c r="E1058" s="66"/>
      <c r="F1058" s="66"/>
      <c r="G1058" s="66"/>
      <c r="H1058" s="66"/>
      <c r="I1058" s="66"/>
      <c r="J1058" s="66"/>
      <c r="K1058" s="66"/>
      <c r="L1058" s="66"/>
      <c r="M1058" s="66"/>
      <c r="N1058" s="66"/>
    </row>
    <row r="1059" spans="1:14" x14ac:dyDescent="0.2">
      <c r="A1059" s="84"/>
      <c r="B1059" s="84"/>
      <c r="C1059" s="60"/>
      <c r="D1059" s="66"/>
      <c r="E1059" s="66"/>
      <c r="F1059" s="66"/>
      <c r="G1059" s="66"/>
      <c r="H1059" s="66"/>
      <c r="I1059" s="66"/>
      <c r="J1059" s="66"/>
      <c r="K1059" s="66"/>
      <c r="L1059" s="66"/>
      <c r="M1059" s="66"/>
      <c r="N1059" s="66"/>
    </row>
    <row r="1060" spans="1:14" x14ac:dyDescent="0.2">
      <c r="A1060" s="84"/>
      <c r="B1060" s="84"/>
      <c r="C1060" s="60"/>
      <c r="D1060" s="66"/>
      <c r="E1060" s="66"/>
      <c r="F1060" s="66"/>
      <c r="G1060" s="66"/>
      <c r="H1060" s="66"/>
      <c r="I1060" s="66"/>
      <c r="J1060" s="66"/>
      <c r="K1060" s="66"/>
      <c r="L1060" s="66"/>
      <c r="M1060" s="66"/>
      <c r="N1060" s="66"/>
    </row>
    <row r="1061" spans="1:14" x14ac:dyDescent="0.2">
      <c r="A1061" s="84"/>
      <c r="B1061" s="84"/>
      <c r="C1061" s="60"/>
      <c r="D1061" s="66"/>
      <c r="E1061" s="66"/>
      <c r="F1061" s="66"/>
      <c r="G1061" s="66"/>
      <c r="H1061" s="66"/>
      <c r="I1061" s="66"/>
      <c r="J1061" s="66"/>
      <c r="K1061" s="66"/>
      <c r="L1061" s="66"/>
      <c r="M1061" s="66"/>
      <c r="N1061" s="66"/>
    </row>
    <row r="1062" spans="1:14" x14ac:dyDescent="0.2">
      <c r="A1062" s="84"/>
      <c r="B1062" s="84"/>
      <c r="C1062" s="60"/>
      <c r="D1062" s="66"/>
      <c r="E1062" s="66"/>
      <c r="F1062" s="66"/>
      <c r="G1062" s="66"/>
      <c r="H1062" s="66"/>
      <c r="I1062" s="66"/>
      <c r="J1062" s="66"/>
      <c r="K1062" s="66"/>
      <c r="L1062" s="66"/>
      <c r="M1062" s="66"/>
      <c r="N1062" s="66"/>
    </row>
    <row r="1063" spans="1:14" x14ac:dyDescent="0.2">
      <c r="A1063" s="84"/>
      <c r="B1063" s="84"/>
      <c r="C1063" s="60"/>
      <c r="D1063" s="66"/>
      <c r="E1063" s="66"/>
      <c r="F1063" s="66"/>
      <c r="G1063" s="66"/>
      <c r="H1063" s="66"/>
      <c r="I1063" s="66"/>
      <c r="J1063" s="66"/>
      <c r="K1063" s="66"/>
      <c r="L1063" s="66"/>
      <c r="M1063" s="66"/>
      <c r="N1063" s="66"/>
    </row>
    <row r="1064" spans="1:14" x14ac:dyDescent="0.2">
      <c r="A1064" s="84"/>
      <c r="B1064" s="84"/>
      <c r="C1064" s="60"/>
      <c r="D1064" s="66"/>
      <c r="E1064" s="66"/>
      <c r="F1064" s="66"/>
      <c r="G1064" s="66"/>
      <c r="H1064" s="66"/>
      <c r="I1064" s="66"/>
      <c r="J1064" s="66"/>
      <c r="K1064" s="66"/>
      <c r="L1064" s="66"/>
      <c r="M1064" s="66"/>
      <c r="N1064" s="66"/>
    </row>
    <row r="1065" spans="1:14" x14ac:dyDescent="0.2">
      <c r="A1065" s="84"/>
      <c r="B1065" s="84"/>
      <c r="C1065" s="60"/>
      <c r="D1065" s="66"/>
      <c r="E1065" s="66"/>
      <c r="F1065" s="66"/>
      <c r="G1065" s="66"/>
      <c r="H1065" s="66"/>
      <c r="I1065" s="66"/>
      <c r="J1065" s="66"/>
      <c r="K1065" s="66"/>
      <c r="L1065" s="66"/>
      <c r="M1065" s="66"/>
      <c r="N1065" s="66"/>
    </row>
    <row r="1066" spans="1:14" x14ac:dyDescent="0.2">
      <c r="A1066" s="84"/>
      <c r="B1066" s="84"/>
      <c r="C1066" s="60"/>
      <c r="D1066" s="66"/>
      <c r="E1066" s="66"/>
      <c r="F1066" s="66"/>
      <c r="G1066" s="66"/>
      <c r="H1066" s="66"/>
      <c r="I1066" s="66"/>
      <c r="J1066" s="66"/>
      <c r="K1066" s="66"/>
      <c r="L1066" s="66"/>
      <c r="M1066" s="66"/>
      <c r="N1066" s="66"/>
    </row>
    <row r="1067" spans="1:14" x14ac:dyDescent="0.2">
      <c r="A1067" s="84"/>
      <c r="B1067" s="84"/>
      <c r="C1067" s="60"/>
      <c r="D1067" s="66"/>
      <c r="E1067" s="66"/>
      <c r="F1067" s="66"/>
      <c r="G1067" s="66"/>
      <c r="H1067" s="66"/>
      <c r="I1067" s="66"/>
      <c r="J1067" s="66"/>
      <c r="K1067" s="66"/>
      <c r="L1067" s="66"/>
      <c r="M1067" s="66"/>
      <c r="N1067" s="66"/>
    </row>
    <row r="1068" spans="1:14" x14ac:dyDescent="0.2">
      <c r="A1068" s="84"/>
      <c r="B1068" s="84"/>
      <c r="C1068" s="60"/>
      <c r="D1068" s="66"/>
      <c r="E1068" s="66"/>
      <c r="F1068" s="66"/>
      <c r="G1068" s="66"/>
      <c r="H1068" s="66"/>
      <c r="I1068" s="66"/>
      <c r="J1068" s="66"/>
      <c r="K1068" s="66"/>
      <c r="L1068" s="66"/>
      <c r="M1068" s="66"/>
      <c r="N1068" s="66"/>
    </row>
    <row r="1069" spans="1:14" x14ac:dyDescent="0.2">
      <c r="A1069" s="84"/>
      <c r="B1069" s="84"/>
      <c r="C1069" s="60"/>
      <c r="D1069" s="66"/>
      <c r="E1069" s="66"/>
      <c r="F1069" s="66"/>
      <c r="G1069" s="66"/>
      <c r="H1069" s="66"/>
      <c r="I1069" s="66"/>
      <c r="J1069" s="66"/>
      <c r="K1069" s="66"/>
      <c r="L1069" s="66"/>
      <c r="M1069" s="66"/>
      <c r="N1069" s="66"/>
    </row>
    <row r="1070" spans="1:14" x14ac:dyDescent="0.2">
      <c r="A1070" s="84"/>
      <c r="B1070" s="84"/>
      <c r="C1070" s="60"/>
      <c r="D1070" s="66"/>
      <c r="E1070" s="66"/>
      <c r="F1070" s="66"/>
      <c r="G1070" s="66"/>
      <c r="H1070" s="66"/>
      <c r="I1070" s="66"/>
      <c r="J1070" s="66"/>
      <c r="K1070" s="66"/>
      <c r="L1070" s="66"/>
      <c r="M1070" s="66"/>
      <c r="N1070" s="66"/>
    </row>
    <row r="1071" spans="1:14" x14ac:dyDescent="0.2">
      <c r="A1071" s="84"/>
      <c r="B1071" s="84"/>
      <c r="C1071" s="60"/>
      <c r="D1071" s="66"/>
      <c r="E1071" s="66"/>
      <c r="F1071" s="66"/>
      <c r="G1071" s="66"/>
      <c r="H1071" s="66"/>
      <c r="I1071" s="66"/>
      <c r="J1071" s="66"/>
      <c r="K1071" s="66"/>
      <c r="L1071" s="66"/>
      <c r="M1071" s="66"/>
      <c r="N1071" s="66"/>
    </row>
    <row r="1072" spans="1:14" x14ac:dyDescent="0.2">
      <c r="A1072" s="84"/>
      <c r="B1072" s="84"/>
      <c r="C1072" s="60"/>
      <c r="D1072" s="66"/>
      <c r="E1072" s="66"/>
      <c r="F1072" s="66"/>
      <c r="G1072" s="66"/>
      <c r="H1072" s="66"/>
      <c r="I1072" s="66"/>
      <c r="J1072" s="66"/>
      <c r="K1072" s="66"/>
      <c r="L1072" s="66"/>
      <c r="M1072" s="66"/>
      <c r="N1072" s="66"/>
    </row>
    <row r="1073" spans="1:14" x14ac:dyDescent="0.2">
      <c r="A1073" s="84"/>
      <c r="B1073" s="84"/>
      <c r="C1073" s="60"/>
      <c r="D1073" s="66"/>
      <c r="E1073" s="66"/>
      <c r="F1073" s="66"/>
      <c r="G1073" s="66"/>
      <c r="H1073" s="66"/>
      <c r="I1073" s="66"/>
      <c r="J1073" s="66"/>
      <c r="K1073" s="66"/>
      <c r="L1073" s="66"/>
      <c r="M1073" s="66"/>
      <c r="N1073" s="66"/>
    </row>
    <row r="1074" spans="1:14" x14ac:dyDescent="0.2">
      <c r="A1074" s="84"/>
      <c r="B1074" s="84"/>
      <c r="C1074" s="60"/>
      <c r="D1074" s="66"/>
      <c r="E1074" s="66"/>
      <c r="F1074" s="66"/>
      <c r="G1074" s="66"/>
      <c r="H1074" s="66"/>
      <c r="I1074" s="66"/>
      <c r="J1074" s="66"/>
      <c r="K1074" s="66"/>
      <c r="L1074" s="66"/>
      <c r="M1074" s="66"/>
      <c r="N1074" s="66"/>
    </row>
    <row r="1075" spans="1:14" x14ac:dyDescent="0.2">
      <c r="A1075" s="84"/>
      <c r="B1075" s="84"/>
      <c r="C1075" s="60"/>
      <c r="D1075" s="66"/>
      <c r="E1075" s="66"/>
      <c r="F1075" s="66"/>
      <c r="G1075" s="66"/>
      <c r="H1075" s="66"/>
      <c r="I1075" s="66"/>
      <c r="J1075" s="66"/>
      <c r="K1075" s="66"/>
      <c r="L1075" s="66"/>
      <c r="M1075" s="66"/>
      <c r="N1075" s="66"/>
    </row>
    <row r="1076" spans="1:14" x14ac:dyDescent="0.2">
      <c r="A1076" s="84"/>
      <c r="B1076" s="84"/>
      <c r="C1076" s="60"/>
      <c r="D1076" s="66"/>
      <c r="E1076" s="66"/>
      <c r="F1076" s="66"/>
      <c r="G1076" s="66"/>
      <c r="H1076" s="66"/>
      <c r="I1076" s="66"/>
      <c r="J1076" s="66"/>
      <c r="K1076" s="66"/>
      <c r="L1076" s="66"/>
      <c r="M1076" s="66"/>
      <c r="N1076" s="66"/>
    </row>
    <row r="1077" spans="1:14" x14ac:dyDescent="0.2">
      <c r="A1077" s="84"/>
      <c r="B1077" s="84"/>
      <c r="C1077" s="60"/>
      <c r="D1077" s="66"/>
      <c r="E1077" s="66"/>
      <c r="F1077" s="66"/>
      <c r="G1077" s="66"/>
      <c r="H1077" s="66"/>
      <c r="I1077" s="66"/>
      <c r="J1077" s="66"/>
      <c r="K1077" s="66"/>
      <c r="L1077" s="66"/>
      <c r="M1077" s="66"/>
      <c r="N1077" s="66"/>
    </row>
    <row r="1078" spans="1:14" x14ac:dyDescent="0.2">
      <c r="A1078" s="84"/>
      <c r="B1078" s="84"/>
      <c r="C1078" s="60"/>
      <c r="D1078" s="66"/>
      <c r="E1078" s="66"/>
      <c r="F1078" s="66"/>
      <c r="G1078" s="66"/>
      <c r="H1078" s="66"/>
      <c r="I1078" s="66"/>
      <c r="J1078" s="66"/>
      <c r="K1078" s="66"/>
      <c r="L1078" s="66"/>
      <c r="M1078" s="66"/>
      <c r="N1078" s="66"/>
    </row>
    <row r="1079" spans="1:14" x14ac:dyDescent="0.2">
      <c r="A1079" s="84"/>
      <c r="B1079" s="84"/>
      <c r="C1079" s="60"/>
      <c r="D1079" s="66"/>
      <c r="E1079" s="66"/>
      <c r="F1079" s="66"/>
      <c r="G1079" s="66"/>
      <c r="H1079" s="66"/>
      <c r="I1079" s="66"/>
      <c r="J1079" s="66"/>
      <c r="K1079" s="66"/>
      <c r="L1079" s="66"/>
      <c r="M1079" s="66"/>
      <c r="N1079" s="66"/>
    </row>
    <row r="1080" spans="1:14" x14ac:dyDescent="0.2">
      <c r="A1080" s="84"/>
      <c r="B1080" s="84"/>
      <c r="C1080" s="60"/>
      <c r="D1080" s="66"/>
      <c r="E1080" s="66"/>
      <c r="F1080" s="66"/>
      <c r="G1080" s="66"/>
      <c r="H1080" s="66"/>
      <c r="I1080" s="66"/>
      <c r="J1080" s="66"/>
      <c r="K1080" s="66"/>
      <c r="L1080" s="66"/>
      <c r="M1080" s="66"/>
      <c r="N1080" s="66"/>
    </row>
    <row r="1081" spans="1:14" x14ac:dyDescent="0.2">
      <c r="A1081" s="84"/>
      <c r="B1081" s="84"/>
      <c r="C1081" s="60"/>
      <c r="D1081" s="66"/>
      <c r="E1081" s="66"/>
      <c r="F1081" s="66"/>
      <c r="G1081" s="66"/>
      <c r="H1081" s="66"/>
      <c r="I1081" s="66"/>
      <c r="J1081" s="66"/>
      <c r="K1081" s="66"/>
      <c r="L1081" s="66"/>
      <c r="M1081" s="66"/>
      <c r="N1081" s="66"/>
    </row>
    <row r="1082" spans="1:14" x14ac:dyDescent="0.2">
      <c r="A1082" s="84"/>
      <c r="B1082" s="84"/>
      <c r="C1082" s="60"/>
      <c r="D1082" s="66"/>
      <c r="E1082" s="66"/>
      <c r="F1082" s="66"/>
      <c r="G1082" s="66"/>
      <c r="H1082" s="66"/>
      <c r="I1082" s="66"/>
      <c r="J1082" s="66"/>
      <c r="K1082" s="66"/>
      <c r="L1082" s="66"/>
      <c r="M1082" s="66"/>
      <c r="N1082" s="66"/>
    </row>
    <row r="1083" spans="1:14" x14ac:dyDescent="0.2">
      <c r="A1083" s="84"/>
      <c r="B1083" s="84"/>
      <c r="C1083" s="60"/>
      <c r="D1083" s="66"/>
      <c r="E1083" s="66"/>
      <c r="F1083" s="66"/>
      <c r="G1083" s="66"/>
      <c r="H1083" s="66"/>
      <c r="I1083" s="66"/>
      <c r="J1083" s="66"/>
      <c r="K1083" s="66"/>
      <c r="L1083" s="66"/>
      <c r="M1083" s="66"/>
      <c r="N1083" s="66"/>
    </row>
    <row r="1084" spans="1:14" x14ac:dyDescent="0.2">
      <c r="A1084" s="84"/>
      <c r="B1084" s="84"/>
      <c r="C1084" s="60"/>
      <c r="D1084" s="66"/>
      <c r="E1084" s="66"/>
      <c r="F1084" s="66"/>
      <c r="G1084" s="66"/>
      <c r="H1084" s="66"/>
      <c r="I1084" s="66"/>
      <c r="J1084" s="66"/>
      <c r="K1084" s="66"/>
      <c r="L1084" s="66"/>
      <c r="M1084" s="66"/>
      <c r="N1084" s="66"/>
    </row>
    <row r="1085" spans="1:14" x14ac:dyDescent="0.2">
      <c r="A1085" s="84"/>
      <c r="B1085" s="84"/>
      <c r="C1085" s="60"/>
      <c r="D1085" s="66"/>
      <c r="E1085" s="66"/>
      <c r="F1085" s="66"/>
      <c r="G1085" s="66"/>
      <c r="H1085" s="66"/>
      <c r="I1085" s="66"/>
      <c r="J1085" s="66"/>
      <c r="K1085" s="66"/>
      <c r="L1085" s="66"/>
      <c r="M1085" s="66"/>
      <c r="N1085" s="66"/>
    </row>
    <row r="1086" spans="1:14" x14ac:dyDescent="0.2">
      <c r="A1086" s="84"/>
      <c r="B1086" s="84"/>
      <c r="C1086" s="60"/>
      <c r="D1086" s="66"/>
      <c r="E1086" s="66"/>
      <c r="F1086" s="66"/>
      <c r="G1086" s="66"/>
      <c r="H1086" s="66"/>
      <c r="I1086" s="66"/>
      <c r="J1086" s="66"/>
      <c r="K1086" s="66"/>
      <c r="L1086" s="66"/>
      <c r="M1086" s="66"/>
      <c r="N1086" s="66"/>
    </row>
    <row r="1087" spans="1:14" x14ac:dyDescent="0.2">
      <c r="A1087" s="84"/>
      <c r="B1087" s="84"/>
      <c r="C1087" s="60"/>
      <c r="D1087" s="66"/>
      <c r="E1087" s="66"/>
      <c r="F1087" s="66"/>
      <c r="G1087" s="66"/>
      <c r="H1087" s="66"/>
      <c r="I1087" s="66"/>
      <c r="J1087" s="66"/>
      <c r="K1087" s="66"/>
      <c r="L1087" s="66"/>
      <c r="M1087" s="66"/>
      <c r="N1087" s="66"/>
    </row>
    <row r="1088" spans="1:14" x14ac:dyDescent="0.2">
      <c r="A1088" s="84"/>
      <c r="B1088" s="84"/>
      <c r="C1088" s="60"/>
      <c r="D1088" s="66"/>
      <c r="E1088" s="66"/>
      <c r="F1088" s="66"/>
      <c r="G1088" s="66"/>
      <c r="H1088" s="66"/>
      <c r="I1088" s="66"/>
      <c r="J1088" s="66"/>
      <c r="K1088" s="66"/>
      <c r="L1088" s="66"/>
      <c r="M1088" s="66"/>
      <c r="N1088" s="66"/>
    </row>
    <row r="1089" spans="1:14" x14ac:dyDescent="0.2">
      <c r="A1089" s="84"/>
      <c r="B1089" s="84"/>
      <c r="C1089" s="60"/>
      <c r="D1089" s="66"/>
      <c r="E1089" s="66"/>
      <c r="F1089" s="66"/>
      <c r="G1089" s="66"/>
      <c r="H1089" s="66"/>
      <c r="I1089" s="66"/>
      <c r="J1089" s="66"/>
      <c r="K1089" s="66"/>
      <c r="L1089" s="66"/>
      <c r="M1089" s="66"/>
      <c r="N1089" s="66"/>
    </row>
    <row r="1090" spans="1:14" x14ac:dyDescent="0.2">
      <c r="A1090" s="84"/>
      <c r="B1090" s="84"/>
      <c r="C1090" s="60"/>
      <c r="D1090" s="66"/>
      <c r="E1090" s="66"/>
      <c r="F1090" s="66"/>
      <c r="G1090" s="66"/>
      <c r="H1090" s="66"/>
      <c r="I1090" s="66"/>
      <c r="J1090" s="66"/>
      <c r="K1090" s="66"/>
      <c r="L1090" s="66"/>
      <c r="M1090" s="66"/>
      <c r="N1090" s="66"/>
    </row>
    <row r="1091" spans="1:14" x14ac:dyDescent="0.2">
      <c r="A1091" s="84"/>
      <c r="B1091" s="84"/>
      <c r="C1091" s="60"/>
      <c r="D1091" s="66"/>
      <c r="E1091" s="66"/>
      <c r="F1091" s="66"/>
      <c r="G1091" s="66"/>
      <c r="H1091" s="66"/>
      <c r="I1091" s="66"/>
      <c r="J1091" s="66"/>
      <c r="K1091" s="66"/>
      <c r="L1091" s="66"/>
      <c r="M1091" s="66"/>
      <c r="N1091" s="66"/>
    </row>
    <row r="1092" spans="1:14" x14ac:dyDescent="0.2">
      <c r="A1092" s="84"/>
      <c r="B1092" s="84"/>
      <c r="C1092" s="60"/>
      <c r="D1092" s="66"/>
      <c r="E1092" s="66"/>
      <c r="F1092" s="66"/>
      <c r="G1092" s="66"/>
      <c r="H1092" s="66"/>
      <c r="I1092" s="66"/>
      <c r="J1092" s="66"/>
      <c r="K1092" s="66"/>
      <c r="L1092" s="66"/>
      <c r="M1092" s="66"/>
      <c r="N1092" s="66"/>
    </row>
    <row r="1093" spans="1:14" x14ac:dyDescent="0.2">
      <c r="A1093" s="84"/>
      <c r="B1093" s="84"/>
      <c r="C1093" s="60"/>
      <c r="D1093" s="66"/>
      <c r="E1093" s="66"/>
      <c r="F1093" s="66"/>
      <c r="G1093" s="66"/>
      <c r="H1093" s="66"/>
      <c r="I1093" s="66"/>
      <c r="J1093" s="66"/>
      <c r="K1093" s="66"/>
      <c r="L1093" s="66"/>
      <c r="M1093" s="66"/>
      <c r="N1093" s="66"/>
    </row>
    <row r="1094" spans="1:14" x14ac:dyDescent="0.2">
      <c r="A1094" s="84"/>
      <c r="B1094" s="84"/>
      <c r="C1094" s="60"/>
      <c r="D1094" s="66"/>
      <c r="E1094" s="66"/>
      <c r="F1094" s="66"/>
      <c r="G1094" s="66"/>
      <c r="H1094" s="66"/>
      <c r="I1094" s="66"/>
      <c r="J1094" s="66"/>
      <c r="K1094" s="66"/>
      <c r="L1094" s="66"/>
      <c r="M1094" s="66"/>
      <c r="N1094" s="66"/>
    </row>
    <row r="1095" spans="1:14" x14ac:dyDescent="0.2">
      <c r="A1095" s="84"/>
      <c r="B1095" s="84"/>
      <c r="C1095" s="60"/>
      <c r="D1095" s="66"/>
      <c r="E1095" s="66"/>
      <c r="F1095" s="66"/>
      <c r="G1095" s="66"/>
      <c r="H1095" s="66"/>
      <c r="I1095" s="66"/>
      <c r="J1095" s="66"/>
      <c r="K1095" s="66"/>
      <c r="L1095" s="66"/>
      <c r="M1095" s="66"/>
      <c r="N1095" s="66"/>
    </row>
    <row r="1096" spans="1:14" x14ac:dyDescent="0.2">
      <c r="A1096" s="84"/>
      <c r="B1096" s="84"/>
      <c r="C1096" s="60"/>
      <c r="D1096" s="66"/>
      <c r="E1096" s="66"/>
      <c r="F1096" s="66"/>
      <c r="G1096" s="66"/>
      <c r="H1096" s="66"/>
      <c r="I1096" s="66"/>
      <c r="J1096" s="66"/>
      <c r="K1096" s="66"/>
      <c r="L1096" s="66"/>
      <c r="M1096" s="66"/>
      <c r="N1096" s="66"/>
    </row>
    <row r="1097" spans="1:14" x14ac:dyDescent="0.2">
      <c r="A1097" s="84"/>
      <c r="B1097" s="84"/>
      <c r="C1097" s="60"/>
      <c r="D1097" s="66"/>
      <c r="E1097" s="66"/>
      <c r="F1097" s="66"/>
      <c r="G1097" s="66"/>
      <c r="H1097" s="66"/>
      <c r="I1097" s="66"/>
      <c r="J1097" s="66"/>
      <c r="K1097" s="66"/>
      <c r="L1097" s="66"/>
      <c r="M1097" s="66"/>
      <c r="N1097" s="66"/>
    </row>
    <row r="1098" spans="1:14" x14ac:dyDescent="0.2">
      <c r="A1098" s="84"/>
      <c r="B1098" s="84"/>
      <c r="C1098" s="60"/>
      <c r="D1098" s="66"/>
      <c r="E1098" s="66"/>
      <c r="F1098" s="66"/>
      <c r="G1098" s="66"/>
      <c r="H1098" s="66"/>
      <c r="I1098" s="66"/>
      <c r="J1098" s="66"/>
      <c r="K1098" s="66"/>
      <c r="L1098" s="66"/>
      <c r="M1098" s="66"/>
      <c r="N1098" s="66"/>
    </row>
    <row r="1099" spans="1:14" x14ac:dyDescent="0.2">
      <c r="A1099" s="84"/>
      <c r="B1099" s="84"/>
      <c r="C1099" s="60"/>
      <c r="D1099" s="66"/>
      <c r="E1099" s="66"/>
      <c r="F1099" s="66"/>
      <c r="G1099" s="66"/>
      <c r="H1099" s="66"/>
      <c r="I1099" s="66"/>
      <c r="J1099" s="66"/>
      <c r="K1099" s="66"/>
      <c r="L1099" s="66"/>
      <c r="M1099" s="66"/>
      <c r="N1099" s="66"/>
    </row>
    <row r="1100" spans="1:14" x14ac:dyDescent="0.2">
      <c r="A1100" s="84"/>
      <c r="B1100" s="84"/>
      <c r="C1100" s="60"/>
      <c r="D1100" s="66"/>
      <c r="E1100" s="66"/>
      <c r="F1100" s="66"/>
      <c r="G1100" s="66"/>
      <c r="H1100" s="66"/>
      <c r="I1100" s="66"/>
      <c r="J1100" s="66"/>
      <c r="K1100" s="66"/>
      <c r="L1100" s="66"/>
      <c r="M1100" s="66"/>
      <c r="N1100" s="66"/>
    </row>
    <row r="1101" spans="1:14" x14ac:dyDescent="0.2">
      <c r="A1101" s="84"/>
      <c r="B1101" s="84"/>
      <c r="C1101" s="60"/>
      <c r="D1101" s="66"/>
      <c r="E1101" s="66"/>
      <c r="F1101" s="66"/>
      <c r="G1101" s="66"/>
      <c r="H1101" s="66"/>
      <c r="I1101" s="66"/>
      <c r="J1101" s="66"/>
      <c r="K1101" s="66"/>
      <c r="L1101" s="66"/>
      <c r="M1101" s="66"/>
      <c r="N1101" s="66"/>
    </row>
    <row r="1102" spans="1:14" x14ac:dyDescent="0.2">
      <c r="A1102" s="84"/>
      <c r="B1102" s="84"/>
      <c r="C1102" s="60"/>
      <c r="D1102" s="66"/>
      <c r="E1102" s="66"/>
      <c r="F1102" s="66"/>
      <c r="G1102" s="66"/>
      <c r="H1102" s="66"/>
      <c r="I1102" s="66"/>
      <c r="J1102" s="66"/>
      <c r="K1102" s="66"/>
      <c r="L1102" s="66"/>
      <c r="M1102" s="66"/>
      <c r="N1102" s="66"/>
    </row>
    <row r="1103" spans="1:14" x14ac:dyDescent="0.2">
      <c r="A1103" s="84"/>
      <c r="B1103" s="84"/>
      <c r="C1103" s="60"/>
      <c r="D1103" s="66"/>
      <c r="E1103" s="66"/>
      <c r="F1103" s="66"/>
      <c r="G1103" s="66"/>
      <c r="H1103" s="66"/>
      <c r="I1103" s="66"/>
      <c r="J1103" s="66"/>
      <c r="K1103" s="66"/>
      <c r="L1103" s="66"/>
      <c r="M1103" s="66"/>
      <c r="N1103" s="66"/>
    </row>
    <row r="1104" spans="1:14" x14ac:dyDescent="0.2">
      <c r="A1104" s="84"/>
      <c r="B1104" s="84"/>
      <c r="C1104" s="60"/>
      <c r="D1104" s="66"/>
      <c r="E1104" s="66"/>
      <c r="F1104" s="66"/>
      <c r="G1104" s="66"/>
      <c r="H1104" s="66"/>
      <c r="I1104" s="66"/>
      <c r="J1104" s="66"/>
      <c r="K1104" s="66"/>
      <c r="L1104" s="66"/>
      <c r="M1104" s="66"/>
      <c r="N1104" s="66"/>
    </row>
    <row r="1105" spans="1:14" x14ac:dyDescent="0.2">
      <c r="A1105" s="84"/>
      <c r="B1105" s="84"/>
      <c r="C1105" s="60"/>
      <c r="D1105" s="66"/>
      <c r="E1105" s="66"/>
      <c r="F1105" s="66"/>
      <c r="G1105" s="66"/>
      <c r="H1105" s="66"/>
      <c r="I1105" s="66"/>
      <c r="J1105" s="66"/>
      <c r="K1105" s="66"/>
      <c r="L1105" s="66"/>
      <c r="M1105" s="66"/>
      <c r="N1105" s="66"/>
    </row>
    <row r="1106" spans="1:14" x14ac:dyDescent="0.2">
      <c r="A1106" s="84"/>
      <c r="B1106" s="84"/>
      <c r="C1106" s="60"/>
      <c r="D1106" s="66"/>
      <c r="E1106" s="66"/>
      <c r="F1106" s="66"/>
      <c r="G1106" s="66"/>
      <c r="H1106" s="66"/>
      <c r="I1106" s="66"/>
      <c r="J1106" s="66"/>
      <c r="K1106" s="66"/>
      <c r="L1106" s="66"/>
      <c r="M1106" s="66"/>
      <c r="N1106" s="66"/>
    </row>
    <row r="1107" spans="1:14" x14ac:dyDescent="0.2">
      <c r="A1107" s="84"/>
      <c r="B1107" s="84"/>
      <c r="C1107" s="60"/>
      <c r="D1107" s="66"/>
      <c r="E1107" s="66"/>
      <c r="F1107" s="66"/>
      <c r="G1107" s="66"/>
      <c r="H1107" s="66"/>
      <c r="I1107" s="66"/>
      <c r="J1107" s="66"/>
      <c r="K1107" s="66"/>
      <c r="L1107" s="66"/>
      <c r="M1107" s="66"/>
      <c r="N1107" s="66"/>
    </row>
    <row r="1108" spans="1:14" x14ac:dyDescent="0.2">
      <c r="A1108" s="84"/>
      <c r="B1108" s="84"/>
      <c r="C1108" s="60"/>
      <c r="D1108" s="66"/>
      <c r="E1108" s="66"/>
      <c r="F1108" s="66"/>
      <c r="G1108" s="66"/>
      <c r="H1108" s="66"/>
      <c r="I1108" s="66"/>
      <c r="J1108" s="66"/>
      <c r="K1108" s="66"/>
      <c r="L1108" s="66"/>
      <c r="M1108" s="66"/>
      <c r="N1108" s="66"/>
    </row>
    <row r="1109" spans="1:14" x14ac:dyDescent="0.2">
      <c r="A1109" s="84"/>
      <c r="B1109" s="84"/>
      <c r="C1109" s="60"/>
      <c r="D1109" s="66"/>
      <c r="E1109" s="66"/>
      <c r="F1109" s="66"/>
      <c r="G1109" s="66"/>
      <c r="H1109" s="66"/>
      <c r="I1109" s="66"/>
      <c r="J1109" s="66"/>
      <c r="K1109" s="66"/>
      <c r="L1109" s="66"/>
      <c r="M1109" s="66"/>
      <c r="N1109" s="66"/>
    </row>
    <row r="1110" spans="1:14" x14ac:dyDescent="0.2">
      <c r="A1110" s="84"/>
      <c r="B1110" s="84"/>
      <c r="C1110" s="60"/>
      <c r="D1110" s="66"/>
      <c r="E1110" s="66"/>
      <c r="F1110" s="66"/>
      <c r="G1110" s="66"/>
      <c r="H1110" s="66"/>
      <c r="I1110" s="66"/>
      <c r="J1110" s="66"/>
      <c r="K1110" s="66"/>
      <c r="L1110" s="66"/>
      <c r="M1110" s="66"/>
      <c r="N1110" s="66"/>
    </row>
    <row r="1111" spans="1:14" x14ac:dyDescent="0.2">
      <c r="A1111" s="84"/>
      <c r="B1111" s="84"/>
      <c r="C1111" s="60"/>
      <c r="D1111" s="66"/>
      <c r="E1111" s="66"/>
      <c r="F1111" s="66"/>
      <c r="G1111" s="66"/>
      <c r="H1111" s="66"/>
      <c r="I1111" s="66"/>
      <c r="J1111" s="66"/>
      <c r="K1111" s="66"/>
      <c r="L1111" s="66"/>
      <c r="M1111" s="66"/>
      <c r="N1111" s="66"/>
    </row>
    <row r="1112" spans="1:14" x14ac:dyDescent="0.2">
      <c r="A1112" s="84"/>
      <c r="B1112" s="84"/>
      <c r="C1112" s="60"/>
      <c r="D1112" s="66"/>
      <c r="E1112" s="66"/>
      <c r="F1112" s="66"/>
      <c r="G1112" s="66"/>
      <c r="H1112" s="66"/>
      <c r="I1112" s="66"/>
      <c r="J1112" s="66"/>
      <c r="K1112" s="66"/>
      <c r="L1112" s="66"/>
      <c r="M1112" s="66"/>
      <c r="N1112" s="66"/>
    </row>
    <row r="1113" spans="1:14" x14ac:dyDescent="0.2">
      <c r="A1113" s="84"/>
      <c r="B1113" s="84"/>
      <c r="C1113" s="60"/>
      <c r="D1113" s="66"/>
      <c r="E1113" s="66"/>
      <c r="F1113" s="66"/>
      <c r="G1113" s="66"/>
      <c r="H1113" s="66"/>
      <c r="I1113" s="66"/>
      <c r="J1113" s="66"/>
      <c r="K1113" s="66"/>
      <c r="L1113" s="66"/>
      <c r="M1113" s="66"/>
      <c r="N1113" s="66"/>
    </row>
    <row r="1114" spans="1:14" x14ac:dyDescent="0.2">
      <c r="A1114" s="84"/>
      <c r="B1114" s="84"/>
      <c r="C1114" s="60"/>
      <c r="D1114" s="66"/>
      <c r="E1114" s="66"/>
      <c r="F1114" s="66"/>
      <c r="G1114" s="66"/>
      <c r="H1114" s="66"/>
      <c r="I1114" s="66"/>
      <c r="J1114" s="66"/>
      <c r="K1114" s="66"/>
      <c r="L1114" s="66"/>
      <c r="M1114" s="66"/>
      <c r="N1114" s="66"/>
    </row>
    <row r="1115" spans="1:14" x14ac:dyDescent="0.2">
      <c r="A1115" s="84"/>
      <c r="B1115" s="84"/>
      <c r="C1115" s="60"/>
      <c r="D1115" s="66"/>
      <c r="E1115" s="66"/>
      <c r="F1115" s="66"/>
      <c r="G1115" s="66"/>
      <c r="H1115" s="66"/>
      <c r="I1115" s="66"/>
      <c r="J1115" s="66"/>
      <c r="K1115" s="66"/>
      <c r="L1115" s="66"/>
      <c r="M1115" s="66"/>
      <c r="N1115" s="66"/>
    </row>
    <row r="1116" spans="1:14" x14ac:dyDescent="0.2">
      <c r="A1116" s="84"/>
      <c r="B1116" s="84"/>
      <c r="C1116" s="60"/>
      <c r="D1116" s="66"/>
      <c r="E1116" s="66"/>
      <c r="F1116" s="66"/>
      <c r="G1116" s="66"/>
      <c r="H1116" s="66"/>
      <c r="I1116" s="66"/>
      <c r="J1116" s="66"/>
      <c r="K1116" s="66"/>
      <c r="L1116" s="66"/>
      <c r="M1116" s="66"/>
      <c r="N1116" s="66"/>
    </row>
    <row r="1117" spans="1:14" x14ac:dyDescent="0.2">
      <c r="A1117" s="84"/>
      <c r="B1117" s="84"/>
      <c r="C1117" s="60"/>
      <c r="D1117" s="66"/>
      <c r="E1117" s="66"/>
      <c r="F1117" s="66"/>
      <c r="G1117" s="66"/>
      <c r="H1117" s="66"/>
      <c r="I1117" s="66"/>
      <c r="J1117" s="66"/>
      <c r="K1117" s="66"/>
      <c r="L1117" s="66"/>
      <c r="M1117" s="66"/>
      <c r="N1117" s="66"/>
    </row>
    <row r="1118" spans="1:14" x14ac:dyDescent="0.2">
      <c r="A1118" s="84"/>
      <c r="B1118" s="84"/>
      <c r="C1118" s="60"/>
      <c r="D1118" s="66"/>
      <c r="E1118" s="66"/>
      <c r="F1118" s="66"/>
      <c r="G1118" s="66"/>
      <c r="H1118" s="66"/>
      <c r="I1118" s="66"/>
      <c r="J1118" s="66"/>
      <c r="K1118" s="66"/>
      <c r="L1118" s="66"/>
      <c r="M1118" s="66"/>
      <c r="N1118" s="66"/>
    </row>
    <row r="1119" spans="1:14" x14ac:dyDescent="0.2">
      <c r="A1119" s="84"/>
      <c r="B1119" s="84"/>
      <c r="C1119" s="60"/>
      <c r="D1119" s="66"/>
      <c r="E1119" s="66"/>
      <c r="F1119" s="66"/>
      <c r="G1119" s="66"/>
      <c r="H1119" s="66"/>
      <c r="I1119" s="66"/>
      <c r="J1119" s="66"/>
      <c r="K1119" s="66"/>
      <c r="L1119" s="66"/>
      <c r="M1119" s="66"/>
      <c r="N1119" s="66"/>
    </row>
    <row r="1120" spans="1:14" x14ac:dyDescent="0.2">
      <c r="A1120" s="84"/>
      <c r="B1120" s="84"/>
      <c r="C1120" s="60"/>
      <c r="D1120" s="66"/>
      <c r="E1120" s="66"/>
      <c r="F1120" s="66"/>
      <c r="G1120" s="66"/>
      <c r="H1120" s="66"/>
      <c r="I1120" s="66"/>
      <c r="J1120" s="66"/>
      <c r="K1120" s="66"/>
      <c r="L1120" s="66"/>
      <c r="M1120" s="66"/>
      <c r="N1120" s="66"/>
    </row>
    <row r="1121" spans="1:14" x14ac:dyDescent="0.2">
      <c r="A1121" s="84"/>
      <c r="B1121" s="84"/>
      <c r="C1121" s="60"/>
      <c r="D1121" s="66"/>
      <c r="E1121" s="66"/>
      <c r="F1121" s="66"/>
      <c r="G1121" s="66"/>
      <c r="H1121" s="66"/>
      <c r="I1121" s="66"/>
      <c r="J1121" s="66"/>
      <c r="K1121" s="66"/>
      <c r="L1121" s="66"/>
      <c r="M1121" s="66"/>
      <c r="N1121" s="66"/>
    </row>
    <row r="1122" spans="1:14" x14ac:dyDescent="0.2">
      <c r="A1122" s="84"/>
      <c r="B1122" s="84"/>
      <c r="C1122" s="60"/>
      <c r="D1122" s="66"/>
      <c r="E1122" s="66"/>
      <c r="F1122" s="66"/>
      <c r="G1122" s="66"/>
      <c r="H1122" s="66"/>
      <c r="I1122" s="66"/>
      <c r="J1122" s="66"/>
      <c r="K1122" s="66"/>
      <c r="L1122" s="66"/>
      <c r="M1122" s="66"/>
      <c r="N1122" s="66"/>
    </row>
    <row r="1123" spans="1:14" x14ac:dyDescent="0.2">
      <c r="A1123" s="84"/>
      <c r="B1123" s="84"/>
      <c r="C1123" s="60"/>
      <c r="D1123" s="66"/>
      <c r="E1123" s="66"/>
      <c r="F1123" s="66"/>
      <c r="G1123" s="66"/>
      <c r="H1123" s="66"/>
      <c r="I1123" s="66"/>
      <c r="J1123" s="66"/>
      <c r="K1123" s="66"/>
      <c r="L1123" s="66"/>
      <c r="M1123" s="66"/>
      <c r="N1123" s="66"/>
    </row>
    <row r="1124" spans="1:14" x14ac:dyDescent="0.2">
      <c r="A1124" s="84"/>
      <c r="B1124" s="84"/>
      <c r="C1124" s="60"/>
      <c r="D1124" s="66"/>
      <c r="E1124" s="66"/>
      <c r="F1124" s="66"/>
      <c r="G1124" s="66"/>
      <c r="H1124" s="66"/>
      <c r="I1124" s="66"/>
      <c r="J1124" s="66"/>
      <c r="K1124" s="66"/>
      <c r="L1124" s="66"/>
      <c r="M1124" s="66"/>
      <c r="N1124" s="66"/>
    </row>
    <row r="1125" spans="1:14" x14ac:dyDescent="0.2">
      <c r="A1125" s="84"/>
      <c r="B1125" s="84"/>
      <c r="C1125" s="60"/>
      <c r="D1125" s="66"/>
      <c r="E1125" s="66"/>
      <c r="F1125" s="66"/>
      <c r="G1125" s="66"/>
      <c r="H1125" s="66"/>
      <c r="I1125" s="66"/>
      <c r="J1125" s="66"/>
      <c r="K1125" s="66"/>
      <c r="L1125" s="66"/>
      <c r="M1125" s="66"/>
      <c r="N1125" s="66"/>
    </row>
    <row r="1126" spans="1:14" x14ac:dyDescent="0.2">
      <c r="A1126" s="84"/>
      <c r="B1126" s="84"/>
      <c r="C1126" s="60"/>
      <c r="D1126" s="66"/>
      <c r="E1126" s="66"/>
      <c r="F1126" s="66"/>
      <c r="G1126" s="66"/>
      <c r="H1126" s="66"/>
      <c r="I1126" s="66"/>
      <c r="J1126" s="66"/>
      <c r="K1126" s="66"/>
      <c r="L1126" s="66"/>
      <c r="M1126" s="66"/>
      <c r="N1126" s="66"/>
    </row>
    <row r="1127" spans="1:14" x14ac:dyDescent="0.2">
      <c r="A1127" s="84"/>
      <c r="B1127" s="84"/>
      <c r="C1127" s="60"/>
      <c r="D1127" s="66"/>
      <c r="E1127" s="66"/>
      <c r="F1127" s="66"/>
      <c r="G1127" s="66"/>
      <c r="H1127" s="66"/>
      <c r="I1127" s="66"/>
      <c r="J1127" s="66"/>
      <c r="K1127" s="66"/>
      <c r="L1127" s="66"/>
      <c r="M1127" s="66"/>
      <c r="N1127" s="66"/>
    </row>
    <row r="1128" spans="1:14" x14ac:dyDescent="0.2">
      <c r="A1128" s="84"/>
      <c r="B1128" s="84"/>
      <c r="C1128" s="60"/>
      <c r="D1128" s="66"/>
      <c r="E1128" s="66"/>
      <c r="F1128" s="66"/>
      <c r="G1128" s="66"/>
      <c r="H1128" s="66"/>
      <c r="I1128" s="66"/>
      <c r="J1128" s="66"/>
      <c r="K1128" s="66"/>
      <c r="L1128" s="66"/>
      <c r="M1128" s="66"/>
      <c r="N1128" s="66"/>
    </row>
    <row r="1129" spans="1:14" x14ac:dyDescent="0.2">
      <c r="A1129" s="84"/>
      <c r="B1129" s="84"/>
      <c r="C1129" s="60"/>
      <c r="D1129" s="66"/>
      <c r="E1129" s="66"/>
      <c r="F1129" s="66"/>
      <c r="G1129" s="66"/>
      <c r="H1129" s="66"/>
      <c r="I1129" s="66"/>
      <c r="J1129" s="66"/>
      <c r="K1129" s="66"/>
      <c r="L1129" s="66"/>
      <c r="M1129" s="66"/>
      <c r="N1129" s="66"/>
    </row>
    <row r="1130" spans="1:14" x14ac:dyDescent="0.2">
      <c r="A1130" s="84"/>
      <c r="B1130" s="84"/>
      <c r="C1130" s="60"/>
      <c r="D1130" s="66"/>
      <c r="E1130" s="66"/>
      <c r="F1130" s="66"/>
      <c r="G1130" s="66"/>
      <c r="H1130" s="66"/>
      <c r="I1130" s="66"/>
      <c r="J1130" s="66"/>
      <c r="K1130" s="66"/>
      <c r="L1130" s="66"/>
      <c r="M1130" s="66"/>
      <c r="N1130" s="66"/>
    </row>
    <row r="1131" spans="1:14" x14ac:dyDescent="0.2">
      <c r="A1131" s="84"/>
      <c r="B1131" s="84"/>
      <c r="C1131" s="60"/>
      <c r="D1131" s="66"/>
      <c r="E1131" s="66"/>
      <c r="F1131" s="66"/>
      <c r="G1131" s="66"/>
      <c r="H1131" s="66"/>
      <c r="I1131" s="66"/>
      <c r="J1131" s="66"/>
      <c r="K1131" s="66"/>
      <c r="L1131" s="66"/>
      <c r="M1131" s="66"/>
      <c r="N1131" s="66"/>
    </row>
    <row r="1132" spans="1:14" x14ac:dyDescent="0.2">
      <c r="A1132" s="84"/>
      <c r="B1132" s="84"/>
      <c r="C1132" s="60"/>
      <c r="D1132" s="66"/>
      <c r="E1132" s="66"/>
      <c r="F1132" s="66"/>
      <c r="G1132" s="66"/>
      <c r="H1132" s="66"/>
      <c r="I1132" s="66"/>
      <c r="J1132" s="66"/>
      <c r="K1132" s="66"/>
      <c r="L1132" s="66"/>
      <c r="M1132" s="66"/>
      <c r="N1132" s="66"/>
    </row>
    <row r="1133" spans="1:14" x14ac:dyDescent="0.2">
      <c r="A1133" s="84"/>
      <c r="B1133" s="84"/>
      <c r="C1133" s="60"/>
      <c r="D1133" s="66"/>
      <c r="E1133" s="66"/>
      <c r="F1133" s="66"/>
      <c r="G1133" s="66"/>
      <c r="H1133" s="66"/>
      <c r="I1133" s="66"/>
      <c r="J1133" s="66"/>
      <c r="K1133" s="66"/>
      <c r="L1133" s="66"/>
      <c r="M1133" s="66"/>
      <c r="N1133" s="66"/>
    </row>
    <row r="1134" spans="1:14" x14ac:dyDescent="0.2">
      <c r="A1134" s="84"/>
      <c r="B1134" s="84"/>
      <c r="C1134" s="60"/>
      <c r="D1134" s="66"/>
      <c r="E1134" s="66"/>
      <c r="F1134" s="66"/>
      <c r="G1134" s="66"/>
      <c r="H1134" s="66"/>
      <c r="I1134" s="66"/>
      <c r="J1134" s="66"/>
      <c r="K1134" s="66"/>
      <c r="L1134" s="66"/>
      <c r="M1134" s="66"/>
      <c r="N1134" s="66"/>
    </row>
    <row r="1135" spans="1:14" x14ac:dyDescent="0.2">
      <c r="A1135" s="84"/>
      <c r="B1135" s="84"/>
      <c r="C1135" s="60"/>
      <c r="D1135" s="66"/>
      <c r="E1135" s="66"/>
      <c r="F1135" s="66"/>
      <c r="G1135" s="66"/>
      <c r="H1135" s="66"/>
      <c r="I1135" s="66"/>
      <c r="J1135" s="66"/>
      <c r="K1135" s="66"/>
      <c r="L1135" s="66"/>
      <c r="M1135" s="66"/>
      <c r="N1135" s="66"/>
    </row>
    <row r="1136" spans="1:14" x14ac:dyDescent="0.2">
      <c r="A1136" s="84"/>
      <c r="B1136" s="84"/>
      <c r="C1136" s="60"/>
      <c r="D1136" s="66"/>
      <c r="E1136" s="66"/>
      <c r="F1136" s="66"/>
      <c r="G1136" s="66"/>
      <c r="H1136" s="66"/>
      <c r="I1136" s="66"/>
      <c r="J1136" s="66"/>
      <c r="K1136" s="66"/>
      <c r="L1136" s="66"/>
      <c r="M1136" s="66"/>
      <c r="N1136" s="66"/>
    </row>
    <row r="1137" spans="1:14" x14ac:dyDescent="0.2">
      <c r="A1137" s="84"/>
      <c r="B1137" s="84"/>
      <c r="C1137" s="60"/>
      <c r="D1137" s="66"/>
      <c r="E1137" s="66"/>
      <c r="F1137" s="66"/>
      <c r="G1137" s="66"/>
      <c r="H1137" s="66"/>
      <c r="I1137" s="66"/>
      <c r="J1137" s="66"/>
      <c r="K1137" s="66"/>
      <c r="L1137" s="66"/>
      <c r="M1137" s="66"/>
      <c r="N1137" s="66"/>
    </row>
    <row r="1138" spans="1:14" x14ac:dyDescent="0.2">
      <c r="A1138" s="84"/>
      <c r="B1138" s="84"/>
      <c r="C1138" s="60"/>
      <c r="D1138" s="66"/>
      <c r="E1138" s="66"/>
      <c r="F1138" s="66"/>
      <c r="G1138" s="66"/>
      <c r="H1138" s="66"/>
      <c r="I1138" s="66"/>
      <c r="J1138" s="66"/>
      <c r="K1138" s="66"/>
      <c r="L1138" s="66"/>
      <c r="M1138" s="66"/>
      <c r="N1138" s="66"/>
    </row>
    <row r="1139" spans="1:14" x14ac:dyDescent="0.2">
      <c r="A1139" s="84"/>
      <c r="B1139" s="84"/>
      <c r="C1139" s="60"/>
      <c r="D1139" s="66"/>
      <c r="E1139" s="66"/>
      <c r="F1139" s="66"/>
      <c r="G1139" s="66"/>
      <c r="H1139" s="66"/>
      <c r="I1139" s="66"/>
      <c r="J1139" s="66"/>
      <c r="K1139" s="66"/>
      <c r="L1139" s="66"/>
      <c r="M1139" s="66"/>
      <c r="N1139" s="66"/>
    </row>
    <row r="1140" spans="1:14" x14ac:dyDescent="0.2">
      <c r="A1140" s="84"/>
      <c r="B1140" s="84"/>
      <c r="C1140" s="60"/>
      <c r="D1140" s="66"/>
      <c r="E1140" s="66"/>
      <c r="F1140" s="66"/>
      <c r="G1140" s="66"/>
      <c r="H1140" s="66"/>
      <c r="I1140" s="66"/>
      <c r="J1140" s="66"/>
      <c r="K1140" s="66"/>
      <c r="L1140" s="66"/>
      <c r="M1140" s="66"/>
      <c r="N1140" s="66"/>
    </row>
    <row r="1141" spans="1:14" x14ac:dyDescent="0.2">
      <c r="A1141" s="84"/>
      <c r="B1141" s="84"/>
      <c r="C1141" s="60"/>
      <c r="D1141" s="66"/>
      <c r="E1141" s="66"/>
      <c r="F1141" s="66"/>
      <c r="G1141" s="66"/>
      <c r="H1141" s="66"/>
      <c r="I1141" s="66"/>
      <c r="J1141" s="66"/>
      <c r="K1141" s="66"/>
      <c r="L1141" s="66"/>
      <c r="M1141" s="66"/>
      <c r="N1141" s="66"/>
    </row>
    <row r="1142" spans="1:14" x14ac:dyDescent="0.2">
      <c r="A1142" s="84"/>
      <c r="B1142" s="84"/>
      <c r="C1142" s="60"/>
      <c r="D1142" s="66"/>
      <c r="E1142" s="66"/>
      <c r="F1142" s="66"/>
      <c r="G1142" s="66"/>
      <c r="H1142" s="66"/>
      <c r="I1142" s="66"/>
      <c r="J1142" s="66"/>
      <c r="K1142" s="66"/>
      <c r="L1142" s="66"/>
      <c r="M1142" s="66"/>
      <c r="N1142" s="66"/>
    </row>
    <row r="1143" spans="1:14" x14ac:dyDescent="0.2">
      <c r="A1143" s="84"/>
      <c r="B1143" s="84"/>
      <c r="C1143" s="60"/>
      <c r="D1143" s="66"/>
      <c r="E1143" s="66"/>
      <c r="F1143" s="66"/>
      <c r="G1143" s="66"/>
      <c r="H1143" s="66"/>
      <c r="I1143" s="66"/>
      <c r="J1143" s="66"/>
      <c r="K1143" s="66"/>
      <c r="L1143" s="66"/>
      <c r="M1143" s="66"/>
      <c r="N1143" s="66"/>
    </row>
    <row r="1144" spans="1:14" x14ac:dyDescent="0.2">
      <c r="A1144" s="84"/>
      <c r="B1144" s="84"/>
      <c r="C1144" s="60"/>
      <c r="D1144" s="66"/>
      <c r="E1144" s="66"/>
      <c r="F1144" s="66"/>
      <c r="G1144" s="66"/>
      <c r="H1144" s="66"/>
      <c r="I1144" s="66"/>
      <c r="J1144" s="66"/>
      <c r="K1144" s="66"/>
      <c r="L1144" s="66"/>
      <c r="M1144" s="66"/>
      <c r="N1144" s="66"/>
    </row>
    <row r="1145" spans="1:14" x14ac:dyDescent="0.2">
      <c r="A1145" s="84"/>
      <c r="B1145" s="84"/>
      <c r="C1145" s="60"/>
      <c r="D1145" s="66"/>
      <c r="E1145" s="66"/>
      <c r="F1145" s="66"/>
      <c r="G1145" s="66"/>
      <c r="H1145" s="66"/>
      <c r="I1145" s="66"/>
      <c r="J1145" s="66"/>
      <c r="K1145" s="66"/>
      <c r="L1145" s="66"/>
      <c r="M1145" s="66"/>
      <c r="N1145" s="66"/>
    </row>
    <row r="1146" spans="1:14" x14ac:dyDescent="0.2">
      <c r="A1146" s="84"/>
      <c r="B1146" s="84"/>
      <c r="C1146" s="60"/>
      <c r="D1146" s="66"/>
      <c r="E1146" s="66"/>
      <c r="F1146" s="66"/>
      <c r="G1146" s="66"/>
      <c r="H1146" s="66"/>
      <c r="I1146" s="66"/>
      <c r="J1146" s="66"/>
      <c r="K1146" s="66"/>
      <c r="L1146" s="66"/>
      <c r="M1146" s="66"/>
      <c r="N1146" s="66"/>
    </row>
    <row r="1147" spans="1:14" x14ac:dyDescent="0.2">
      <c r="A1147" s="84"/>
      <c r="B1147" s="84"/>
      <c r="C1147" s="60"/>
      <c r="D1147" s="66"/>
      <c r="E1147" s="66"/>
      <c r="F1147" s="66"/>
      <c r="G1147" s="66"/>
      <c r="H1147" s="66"/>
      <c r="I1147" s="66"/>
      <c r="J1147" s="66"/>
      <c r="K1147" s="66"/>
      <c r="L1147" s="66"/>
      <c r="M1147" s="66"/>
      <c r="N1147" s="66"/>
    </row>
    <row r="1148" spans="1:14" x14ac:dyDescent="0.2">
      <c r="A1148" s="84"/>
      <c r="B1148" s="84"/>
      <c r="C1148" s="60"/>
      <c r="D1148" s="66"/>
      <c r="E1148" s="66"/>
      <c r="F1148" s="66"/>
      <c r="G1148" s="66"/>
      <c r="H1148" s="66"/>
      <c r="I1148" s="66"/>
      <c r="J1148" s="66"/>
      <c r="K1148" s="66"/>
      <c r="L1148" s="66"/>
      <c r="M1148" s="66"/>
      <c r="N1148" s="66"/>
    </row>
    <row r="1149" spans="1:14" x14ac:dyDescent="0.2">
      <c r="A1149" s="84"/>
      <c r="B1149" s="84"/>
      <c r="C1149" s="60"/>
      <c r="D1149" s="66"/>
      <c r="E1149" s="66"/>
      <c r="F1149" s="66"/>
      <c r="G1149" s="66"/>
      <c r="H1149" s="66"/>
      <c r="I1149" s="66"/>
      <c r="J1149" s="66"/>
      <c r="K1149" s="66"/>
      <c r="L1149" s="66"/>
      <c r="M1149" s="66"/>
      <c r="N1149" s="66"/>
    </row>
    <row r="1150" spans="1:14" x14ac:dyDescent="0.2">
      <c r="A1150" s="84"/>
      <c r="B1150" s="84"/>
      <c r="C1150" s="60"/>
      <c r="D1150" s="66"/>
      <c r="E1150" s="66"/>
      <c r="F1150" s="66"/>
      <c r="G1150" s="66"/>
      <c r="H1150" s="66"/>
      <c r="I1150" s="66"/>
      <c r="J1150" s="66"/>
      <c r="K1150" s="66"/>
      <c r="L1150" s="66"/>
      <c r="M1150" s="66"/>
      <c r="N1150" s="66"/>
    </row>
    <row r="1151" spans="1:14" x14ac:dyDescent="0.2">
      <c r="A1151" s="84"/>
      <c r="B1151" s="84"/>
      <c r="C1151" s="60"/>
      <c r="D1151" s="66"/>
      <c r="E1151" s="66"/>
      <c r="F1151" s="66"/>
      <c r="G1151" s="66"/>
      <c r="H1151" s="66"/>
      <c r="I1151" s="66"/>
      <c r="J1151" s="66"/>
      <c r="K1151" s="66"/>
      <c r="L1151" s="66"/>
      <c r="M1151" s="66"/>
      <c r="N1151" s="66"/>
    </row>
    <row r="1152" spans="1:14" x14ac:dyDescent="0.2">
      <c r="A1152" s="84"/>
      <c r="B1152" s="84"/>
      <c r="C1152" s="60"/>
      <c r="D1152" s="66"/>
      <c r="E1152" s="66"/>
      <c r="F1152" s="66"/>
      <c r="G1152" s="66"/>
      <c r="H1152" s="66"/>
      <c r="I1152" s="66"/>
      <c r="J1152" s="66"/>
      <c r="K1152" s="66"/>
      <c r="L1152" s="66"/>
      <c r="M1152" s="66"/>
      <c r="N1152" s="66"/>
    </row>
    <row r="1153" spans="1:14" x14ac:dyDescent="0.2">
      <c r="A1153" s="84"/>
      <c r="B1153" s="84"/>
      <c r="C1153" s="60"/>
      <c r="D1153" s="66"/>
      <c r="E1153" s="66"/>
      <c r="F1153" s="66"/>
      <c r="G1153" s="66"/>
      <c r="H1153" s="66"/>
      <c r="I1153" s="66"/>
      <c r="J1153" s="66"/>
      <c r="K1153" s="66"/>
      <c r="L1153" s="66"/>
      <c r="M1153" s="66"/>
      <c r="N1153" s="66"/>
    </row>
    <row r="1154" spans="1:14" x14ac:dyDescent="0.2">
      <c r="A1154" s="84"/>
      <c r="B1154" s="84"/>
      <c r="C1154" s="60"/>
      <c r="D1154" s="66"/>
      <c r="E1154" s="66"/>
      <c r="F1154" s="66"/>
      <c r="G1154" s="66"/>
      <c r="H1154" s="66"/>
      <c r="I1154" s="66"/>
      <c r="J1154" s="66"/>
      <c r="K1154" s="66"/>
      <c r="L1154" s="66"/>
      <c r="M1154" s="66"/>
      <c r="N1154" s="66"/>
    </row>
    <row r="1155" spans="1:14" x14ac:dyDescent="0.2">
      <c r="A1155" s="84"/>
      <c r="B1155" s="84"/>
      <c r="C1155" s="60"/>
      <c r="D1155" s="66"/>
      <c r="E1155" s="66"/>
      <c r="F1155" s="66"/>
      <c r="G1155" s="66"/>
      <c r="H1155" s="66"/>
      <c r="I1155" s="66"/>
      <c r="J1155" s="66"/>
      <c r="K1155" s="66"/>
      <c r="L1155" s="66"/>
      <c r="M1155" s="66"/>
      <c r="N1155" s="66"/>
    </row>
    <row r="1156" spans="1:14" x14ac:dyDescent="0.2">
      <c r="A1156" s="84"/>
      <c r="B1156" s="84"/>
      <c r="C1156" s="60"/>
      <c r="D1156" s="66"/>
      <c r="E1156" s="66"/>
      <c r="F1156" s="66"/>
      <c r="G1156" s="66"/>
      <c r="H1156" s="66"/>
      <c r="I1156" s="66"/>
      <c r="J1156" s="66"/>
      <c r="K1156" s="66"/>
      <c r="L1156" s="66"/>
      <c r="M1156" s="66"/>
      <c r="N1156" s="66"/>
    </row>
    <row r="1157" spans="1:14" x14ac:dyDescent="0.2">
      <c r="A1157" s="84"/>
      <c r="B1157" s="84"/>
      <c r="C1157" s="60"/>
      <c r="D1157" s="66"/>
      <c r="E1157" s="66"/>
      <c r="F1157" s="66"/>
      <c r="G1157" s="66"/>
      <c r="H1157" s="66"/>
      <c r="I1157" s="66"/>
      <c r="J1157" s="66"/>
      <c r="K1157" s="66"/>
      <c r="L1157" s="66"/>
      <c r="M1157" s="66"/>
      <c r="N1157" s="66"/>
    </row>
    <row r="1158" spans="1:14" x14ac:dyDescent="0.2">
      <c r="A1158" s="84"/>
      <c r="B1158" s="84"/>
      <c r="C1158" s="60"/>
      <c r="D1158" s="66"/>
      <c r="E1158" s="66"/>
      <c r="F1158" s="66"/>
      <c r="G1158" s="66"/>
      <c r="H1158" s="66"/>
      <c r="I1158" s="66"/>
      <c r="J1158" s="66"/>
      <c r="K1158" s="66"/>
      <c r="L1158" s="66"/>
      <c r="M1158" s="66"/>
      <c r="N1158" s="66"/>
    </row>
    <row r="1159" spans="1:14" x14ac:dyDescent="0.2">
      <c r="A1159" s="84"/>
      <c r="B1159" s="84"/>
      <c r="C1159" s="60"/>
      <c r="D1159" s="66"/>
      <c r="E1159" s="66"/>
      <c r="F1159" s="66"/>
      <c r="G1159" s="66"/>
      <c r="H1159" s="66"/>
      <c r="I1159" s="66"/>
      <c r="J1159" s="66"/>
      <c r="K1159" s="66"/>
      <c r="L1159" s="66"/>
      <c r="M1159" s="66"/>
      <c r="N1159" s="66"/>
    </row>
    <row r="1160" spans="1:14" x14ac:dyDescent="0.2">
      <c r="A1160" s="84"/>
      <c r="B1160" s="84"/>
      <c r="C1160" s="60"/>
      <c r="D1160" s="66"/>
      <c r="E1160" s="66"/>
      <c r="F1160" s="66"/>
      <c r="G1160" s="66"/>
      <c r="H1160" s="66"/>
      <c r="I1160" s="66"/>
      <c r="J1160" s="66"/>
      <c r="K1160" s="66"/>
      <c r="L1160" s="66"/>
      <c r="M1160" s="66"/>
      <c r="N1160" s="66"/>
    </row>
    <row r="1161" spans="1:14" x14ac:dyDescent="0.2">
      <c r="A1161" s="84"/>
      <c r="B1161" s="84"/>
      <c r="C1161" s="60"/>
      <c r="D1161" s="66"/>
      <c r="E1161" s="66"/>
      <c r="F1161" s="66"/>
      <c r="G1161" s="66"/>
      <c r="H1161" s="66"/>
      <c r="I1161" s="66"/>
      <c r="J1161" s="66"/>
      <c r="K1161" s="66"/>
      <c r="L1161" s="66"/>
      <c r="M1161" s="66"/>
      <c r="N1161" s="66"/>
    </row>
    <row r="1162" spans="1:14" x14ac:dyDescent="0.2">
      <c r="A1162" s="84"/>
      <c r="B1162" s="84"/>
      <c r="C1162" s="60"/>
      <c r="D1162" s="66"/>
      <c r="E1162" s="66"/>
      <c r="F1162" s="66"/>
      <c r="G1162" s="66"/>
      <c r="H1162" s="66"/>
      <c r="I1162" s="66"/>
      <c r="J1162" s="66"/>
      <c r="K1162" s="66"/>
      <c r="L1162" s="66"/>
      <c r="M1162" s="66"/>
      <c r="N1162" s="66"/>
    </row>
    <row r="1163" spans="1:14" x14ac:dyDescent="0.2">
      <c r="A1163" s="84"/>
      <c r="B1163" s="84"/>
      <c r="C1163" s="60"/>
      <c r="D1163" s="66"/>
      <c r="E1163" s="66"/>
      <c r="F1163" s="66"/>
      <c r="G1163" s="66"/>
      <c r="H1163" s="66"/>
      <c r="I1163" s="66"/>
      <c r="J1163" s="66"/>
      <c r="K1163" s="66"/>
      <c r="L1163" s="66"/>
      <c r="M1163" s="66"/>
      <c r="N1163" s="66"/>
    </row>
    <row r="1164" spans="1:14" x14ac:dyDescent="0.2">
      <c r="A1164" s="84"/>
      <c r="B1164" s="84"/>
      <c r="C1164" s="60"/>
      <c r="D1164" s="66"/>
      <c r="E1164" s="66"/>
      <c r="F1164" s="66"/>
      <c r="G1164" s="66"/>
      <c r="H1164" s="66"/>
      <c r="I1164" s="66"/>
      <c r="J1164" s="66"/>
      <c r="K1164" s="66"/>
      <c r="L1164" s="66"/>
      <c r="M1164" s="66"/>
      <c r="N1164" s="66"/>
    </row>
    <row r="1165" spans="1:14" x14ac:dyDescent="0.2">
      <c r="A1165" s="84"/>
      <c r="B1165" s="84"/>
      <c r="C1165" s="60"/>
      <c r="D1165" s="66"/>
      <c r="E1165" s="66"/>
      <c r="F1165" s="66"/>
      <c r="G1165" s="66"/>
      <c r="H1165" s="66"/>
      <c r="I1165" s="66"/>
      <c r="J1165" s="66"/>
      <c r="K1165" s="66"/>
      <c r="L1165" s="66"/>
      <c r="M1165" s="66"/>
      <c r="N1165" s="66"/>
    </row>
    <row r="1166" spans="1:14" x14ac:dyDescent="0.2">
      <c r="A1166" s="84"/>
      <c r="B1166" s="84"/>
      <c r="C1166" s="60"/>
      <c r="D1166" s="66"/>
      <c r="E1166" s="66"/>
      <c r="F1166" s="66"/>
      <c r="G1166" s="66"/>
      <c r="H1166" s="66"/>
      <c r="I1166" s="66"/>
      <c r="J1166" s="66"/>
      <c r="K1166" s="66"/>
      <c r="L1166" s="66"/>
      <c r="M1166" s="66"/>
      <c r="N1166" s="66"/>
    </row>
    <row r="1167" spans="1:14" x14ac:dyDescent="0.2">
      <c r="A1167" s="84"/>
      <c r="B1167" s="84"/>
      <c r="C1167" s="60"/>
      <c r="D1167" s="66"/>
      <c r="E1167" s="66"/>
      <c r="F1167" s="66"/>
      <c r="G1167" s="66"/>
      <c r="H1167" s="66"/>
      <c r="I1167" s="66"/>
      <c r="J1167" s="66"/>
      <c r="K1167" s="66"/>
      <c r="L1167" s="66"/>
      <c r="M1167" s="66"/>
      <c r="N1167" s="66"/>
    </row>
    <row r="1168" spans="1:14" x14ac:dyDescent="0.2">
      <c r="A1168" s="84"/>
      <c r="B1168" s="84"/>
      <c r="C1168" s="60"/>
      <c r="D1168" s="66"/>
      <c r="E1168" s="66"/>
      <c r="F1168" s="66"/>
      <c r="G1168" s="66"/>
      <c r="H1168" s="66"/>
      <c r="I1168" s="66"/>
      <c r="J1168" s="66"/>
      <c r="K1168" s="66"/>
      <c r="L1168" s="66"/>
      <c r="M1168" s="66"/>
      <c r="N1168" s="66"/>
    </row>
    <row r="1169" spans="1:14" x14ac:dyDescent="0.2">
      <c r="A1169" s="84"/>
      <c r="B1169" s="84"/>
      <c r="C1169" s="60"/>
      <c r="D1169" s="66"/>
      <c r="E1169" s="66"/>
      <c r="F1169" s="66"/>
      <c r="G1169" s="66"/>
      <c r="H1169" s="66"/>
      <c r="I1169" s="66"/>
      <c r="J1169" s="66"/>
      <c r="K1169" s="66"/>
      <c r="L1169" s="66"/>
      <c r="M1169" s="66"/>
      <c r="N1169" s="66"/>
    </row>
    <row r="1170" spans="1:14" x14ac:dyDescent="0.2">
      <c r="A1170" s="84"/>
      <c r="B1170" s="84"/>
      <c r="C1170" s="60"/>
      <c r="D1170" s="66"/>
      <c r="E1170" s="66"/>
      <c r="F1170" s="66"/>
      <c r="G1170" s="66"/>
      <c r="H1170" s="66"/>
      <c r="I1170" s="66"/>
      <c r="J1170" s="66"/>
      <c r="K1170" s="66"/>
      <c r="L1170" s="66"/>
      <c r="M1170" s="66"/>
      <c r="N1170" s="66"/>
    </row>
    <row r="1171" spans="1:14" x14ac:dyDescent="0.2">
      <c r="A1171" s="84"/>
      <c r="B1171" s="84"/>
      <c r="C1171" s="60"/>
      <c r="D1171" s="66"/>
      <c r="E1171" s="66"/>
      <c r="F1171" s="66"/>
      <c r="G1171" s="66"/>
      <c r="H1171" s="66"/>
      <c r="I1171" s="66"/>
      <c r="J1171" s="66"/>
      <c r="K1171" s="66"/>
      <c r="L1171" s="66"/>
      <c r="M1171" s="66"/>
      <c r="N1171" s="66"/>
    </row>
    <row r="1172" spans="1:14" x14ac:dyDescent="0.2">
      <c r="A1172" s="84"/>
      <c r="B1172" s="84"/>
      <c r="C1172" s="60"/>
      <c r="D1172" s="66"/>
      <c r="E1172" s="66"/>
      <c r="F1172" s="66"/>
      <c r="G1172" s="66"/>
      <c r="H1172" s="66"/>
      <c r="I1172" s="66"/>
      <c r="J1172" s="66"/>
      <c r="K1172" s="66"/>
      <c r="L1172" s="66"/>
      <c r="M1172" s="66"/>
      <c r="N1172" s="66"/>
    </row>
    <row r="1173" spans="1:14" x14ac:dyDescent="0.2">
      <c r="A1173" s="84"/>
      <c r="B1173" s="84"/>
      <c r="C1173" s="60"/>
      <c r="D1173" s="66"/>
      <c r="E1173" s="66"/>
      <c r="F1173" s="66"/>
      <c r="G1173" s="66"/>
      <c r="H1173" s="66"/>
      <c r="I1173" s="66"/>
      <c r="J1173" s="66"/>
      <c r="K1173" s="66"/>
      <c r="L1173" s="66"/>
      <c r="M1173" s="66"/>
      <c r="N1173" s="66"/>
    </row>
    <row r="1174" spans="1:14" x14ac:dyDescent="0.2">
      <c r="A1174" s="84"/>
      <c r="B1174" s="84"/>
      <c r="C1174" s="60"/>
      <c r="D1174" s="66"/>
      <c r="E1174" s="66"/>
      <c r="F1174" s="66"/>
      <c r="G1174" s="66"/>
      <c r="H1174" s="66"/>
      <c r="I1174" s="66"/>
      <c r="J1174" s="66"/>
      <c r="K1174" s="66"/>
      <c r="L1174" s="66"/>
      <c r="M1174" s="66"/>
      <c r="N1174" s="66"/>
    </row>
    <row r="1175" spans="1:14" x14ac:dyDescent="0.2">
      <c r="A1175" s="84"/>
      <c r="B1175" s="84"/>
      <c r="C1175" s="60"/>
      <c r="D1175" s="66"/>
      <c r="E1175" s="66"/>
      <c r="F1175" s="66"/>
      <c r="G1175" s="66"/>
      <c r="H1175" s="66"/>
      <c r="I1175" s="66"/>
      <c r="J1175" s="66"/>
      <c r="K1175" s="66"/>
      <c r="L1175" s="66"/>
      <c r="M1175" s="66"/>
      <c r="N1175" s="66"/>
    </row>
    <row r="1176" spans="1:14" x14ac:dyDescent="0.2">
      <c r="A1176" s="84"/>
      <c r="B1176" s="84"/>
      <c r="C1176" s="60"/>
      <c r="D1176" s="66"/>
      <c r="E1176" s="66"/>
      <c r="F1176" s="66"/>
      <c r="G1176" s="66"/>
      <c r="H1176" s="66"/>
      <c r="I1176" s="66"/>
      <c r="J1176" s="66"/>
      <c r="K1176" s="66"/>
      <c r="L1176" s="66"/>
      <c r="M1176" s="66"/>
      <c r="N1176" s="66"/>
    </row>
    <row r="1177" spans="1:14" x14ac:dyDescent="0.2">
      <c r="A1177" s="84"/>
      <c r="B1177" s="84"/>
      <c r="C1177" s="60"/>
      <c r="D1177" s="66"/>
      <c r="E1177" s="66"/>
      <c r="F1177" s="66"/>
      <c r="G1177" s="66"/>
      <c r="H1177" s="66"/>
      <c r="I1177" s="66"/>
      <c r="J1177" s="66"/>
      <c r="K1177" s="66"/>
      <c r="L1177" s="66"/>
      <c r="M1177" s="66"/>
      <c r="N1177" s="66"/>
    </row>
    <row r="1178" spans="1:14" x14ac:dyDescent="0.2">
      <c r="A1178" s="84"/>
      <c r="B1178" s="84"/>
      <c r="C1178" s="60"/>
      <c r="D1178" s="66"/>
      <c r="E1178" s="66"/>
      <c r="F1178" s="66"/>
      <c r="G1178" s="66"/>
      <c r="H1178" s="66"/>
      <c r="I1178" s="66"/>
      <c r="J1178" s="66"/>
      <c r="K1178" s="66"/>
      <c r="L1178" s="66"/>
      <c r="M1178" s="66"/>
      <c r="N1178" s="66"/>
    </row>
    <row r="1179" spans="1:14" x14ac:dyDescent="0.2">
      <c r="A1179" s="84"/>
      <c r="B1179" s="84"/>
      <c r="C1179" s="60"/>
      <c r="D1179" s="66"/>
      <c r="E1179" s="66"/>
      <c r="F1179" s="66"/>
      <c r="G1179" s="66"/>
      <c r="H1179" s="66"/>
      <c r="I1179" s="66"/>
      <c r="J1179" s="66"/>
      <c r="K1179" s="66"/>
      <c r="L1179" s="66"/>
      <c r="M1179" s="66"/>
      <c r="N1179" s="66"/>
    </row>
    <row r="1180" spans="1:14" x14ac:dyDescent="0.2">
      <c r="A1180" s="84"/>
      <c r="B1180" s="84"/>
      <c r="C1180" s="60"/>
      <c r="D1180" s="66"/>
      <c r="E1180" s="66"/>
      <c r="F1180" s="66"/>
      <c r="G1180" s="66"/>
      <c r="H1180" s="66"/>
      <c r="I1180" s="66"/>
      <c r="J1180" s="66"/>
      <c r="K1180" s="66"/>
      <c r="L1180" s="66"/>
      <c r="M1180" s="66"/>
      <c r="N1180" s="66"/>
    </row>
    <row r="1181" spans="1:14" x14ac:dyDescent="0.2">
      <c r="A1181" s="84"/>
      <c r="B1181" s="84"/>
      <c r="C1181" s="60"/>
      <c r="D1181" s="66"/>
      <c r="E1181" s="66"/>
      <c r="F1181" s="66"/>
      <c r="G1181" s="66"/>
      <c r="H1181" s="66"/>
      <c r="I1181" s="66"/>
      <c r="J1181" s="66"/>
      <c r="K1181" s="66"/>
      <c r="L1181" s="66"/>
      <c r="M1181" s="66"/>
      <c r="N1181" s="66"/>
    </row>
    <row r="1182" spans="1:14" x14ac:dyDescent="0.2">
      <c r="A1182" s="84"/>
      <c r="B1182" s="84"/>
      <c r="C1182" s="60"/>
      <c r="D1182" s="66"/>
      <c r="E1182" s="66"/>
      <c r="F1182" s="66"/>
      <c r="G1182" s="66"/>
      <c r="H1182" s="66"/>
      <c r="I1182" s="66"/>
      <c r="J1182" s="66"/>
      <c r="K1182" s="66"/>
      <c r="L1182" s="66"/>
      <c r="M1182" s="66"/>
      <c r="N1182" s="66"/>
    </row>
    <row r="1183" spans="1:14" x14ac:dyDescent="0.2">
      <c r="A1183" s="84"/>
      <c r="B1183" s="84"/>
      <c r="C1183" s="60"/>
      <c r="D1183" s="66"/>
      <c r="E1183" s="66"/>
      <c r="F1183" s="66"/>
      <c r="G1183" s="66"/>
      <c r="H1183" s="66"/>
      <c r="I1183" s="66"/>
      <c r="J1183" s="66"/>
      <c r="K1183" s="66"/>
      <c r="L1183" s="66"/>
      <c r="M1183" s="66"/>
      <c r="N1183" s="66"/>
    </row>
    <row r="1184" spans="1:14" x14ac:dyDescent="0.2">
      <c r="A1184" s="84"/>
      <c r="B1184" s="84"/>
      <c r="C1184" s="60"/>
      <c r="D1184" s="66"/>
      <c r="E1184" s="66"/>
      <c r="F1184" s="66"/>
      <c r="G1184" s="66"/>
      <c r="H1184" s="66"/>
      <c r="I1184" s="66"/>
      <c r="J1184" s="66"/>
      <c r="K1184" s="66"/>
      <c r="L1184" s="66"/>
      <c r="M1184" s="66"/>
      <c r="N1184" s="66"/>
    </row>
    <row r="1185" spans="1:14" x14ac:dyDescent="0.2">
      <c r="A1185" s="84"/>
      <c r="B1185" s="84"/>
      <c r="C1185" s="60"/>
      <c r="D1185" s="66"/>
      <c r="E1185" s="66"/>
      <c r="F1185" s="66"/>
      <c r="G1185" s="66"/>
      <c r="H1185" s="66"/>
      <c r="I1185" s="66"/>
      <c r="J1185" s="66"/>
      <c r="K1185" s="66"/>
      <c r="L1185" s="66"/>
      <c r="M1185" s="66"/>
      <c r="N1185" s="66"/>
    </row>
    <row r="1186" spans="1:14" x14ac:dyDescent="0.2">
      <c r="A1186" s="84"/>
      <c r="B1186" s="84"/>
      <c r="C1186" s="60"/>
      <c r="D1186" s="66"/>
      <c r="E1186" s="66"/>
      <c r="F1186" s="66"/>
      <c r="G1186" s="66"/>
      <c r="H1186" s="66"/>
      <c r="I1186" s="66"/>
      <c r="J1186" s="66"/>
      <c r="K1186" s="66"/>
      <c r="L1186" s="66"/>
      <c r="M1186" s="66"/>
      <c r="N1186" s="66"/>
    </row>
    <row r="1187" spans="1:14" x14ac:dyDescent="0.2">
      <c r="A1187" s="84"/>
      <c r="B1187" s="84"/>
      <c r="C1187" s="60"/>
      <c r="D1187" s="66"/>
      <c r="E1187" s="66"/>
      <c r="F1187" s="66"/>
      <c r="G1187" s="66"/>
      <c r="H1187" s="66"/>
      <c r="I1187" s="66"/>
      <c r="J1187" s="66"/>
      <c r="K1187" s="66"/>
      <c r="L1187" s="66"/>
      <c r="M1187" s="66"/>
      <c r="N1187" s="66"/>
    </row>
    <row r="1188" spans="1:14" x14ac:dyDescent="0.2">
      <c r="A1188" s="84"/>
      <c r="B1188" s="84"/>
      <c r="C1188" s="60"/>
      <c r="D1188" s="66"/>
      <c r="E1188" s="66"/>
      <c r="F1188" s="66"/>
      <c r="G1188" s="66"/>
      <c r="H1188" s="66"/>
      <c r="I1188" s="66"/>
      <c r="J1188" s="66"/>
      <c r="K1188" s="66"/>
      <c r="L1188" s="66"/>
      <c r="M1188" s="66"/>
      <c r="N1188" s="66"/>
    </row>
    <row r="1189" spans="1:14" x14ac:dyDescent="0.2">
      <c r="A1189" s="84"/>
      <c r="B1189" s="84"/>
      <c r="C1189" s="60"/>
      <c r="D1189" s="66"/>
      <c r="E1189" s="66"/>
      <c r="F1189" s="66"/>
      <c r="G1189" s="66"/>
      <c r="H1189" s="66"/>
      <c r="I1189" s="66"/>
      <c r="J1189" s="66"/>
      <c r="K1189" s="66"/>
      <c r="L1189" s="66"/>
      <c r="M1189" s="66"/>
      <c r="N1189" s="66"/>
    </row>
    <row r="1190" spans="1:14" x14ac:dyDescent="0.2">
      <c r="A1190" s="84"/>
      <c r="B1190" s="84"/>
      <c r="C1190" s="60"/>
      <c r="D1190" s="66"/>
      <c r="E1190" s="66"/>
      <c r="F1190" s="66"/>
      <c r="G1190" s="66"/>
      <c r="H1190" s="66"/>
      <c r="I1190" s="66"/>
      <c r="J1190" s="66"/>
      <c r="K1190" s="66"/>
      <c r="L1190" s="66"/>
      <c r="M1190" s="66"/>
      <c r="N1190" s="66"/>
    </row>
    <row r="1191" spans="1:14" x14ac:dyDescent="0.2">
      <c r="A1191" s="84"/>
      <c r="B1191" s="84"/>
      <c r="C1191" s="60"/>
      <c r="D1191" s="66"/>
      <c r="E1191" s="66"/>
      <c r="F1191" s="66"/>
      <c r="G1191" s="66"/>
      <c r="H1191" s="66"/>
      <c r="I1191" s="66"/>
      <c r="J1191" s="66"/>
      <c r="K1191" s="66"/>
      <c r="L1191" s="66"/>
      <c r="M1191" s="66"/>
      <c r="N1191" s="66"/>
    </row>
    <row r="1192" spans="1:14" x14ac:dyDescent="0.2">
      <c r="A1192" s="84"/>
      <c r="B1192" s="84"/>
      <c r="C1192" s="60"/>
      <c r="D1192" s="66"/>
      <c r="E1192" s="66"/>
      <c r="F1192" s="66"/>
      <c r="G1192" s="66"/>
      <c r="H1192" s="66"/>
      <c r="I1192" s="66"/>
      <c r="J1192" s="66"/>
      <c r="K1192" s="66"/>
      <c r="L1192" s="66"/>
      <c r="M1192" s="66"/>
      <c r="N1192" s="66"/>
    </row>
    <row r="1193" spans="1:14" x14ac:dyDescent="0.2">
      <c r="A1193" s="84"/>
      <c r="B1193" s="84"/>
      <c r="C1193" s="60"/>
      <c r="D1193" s="66"/>
      <c r="E1193" s="66"/>
      <c r="F1193" s="66"/>
      <c r="G1193" s="66"/>
      <c r="H1193" s="66"/>
      <c r="I1193" s="66"/>
      <c r="J1193" s="66"/>
      <c r="K1193" s="66"/>
      <c r="L1193" s="66"/>
      <c r="M1193" s="66"/>
      <c r="N1193" s="66"/>
    </row>
    <row r="1194" spans="1:14" x14ac:dyDescent="0.2">
      <c r="A1194" s="84"/>
      <c r="B1194" s="84"/>
      <c r="C1194" s="60"/>
      <c r="D1194" s="66"/>
      <c r="E1194" s="66"/>
      <c r="F1194" s="66"/>
      <c r="G1194" s="66"/>
      <c r="H1194" s="66"/>
      <c r="I1194" s="66"/>
      <c r="J1194" s="66"/>
      <c r="K1194" s="66"/>
      <c r="L1194" s="66"/>
      <c r="M1194" s="66"/>
      <c r="N1194" s="66"/>
    </row>
    <row r="1195" spans="1:14" x14ac:dyDescent="0.2">
      <c r="A1195" s="84"/>
      <c r="B1195" s="84"/>
      <c r="C1195" s="60"/>
      <c r="D1195" s="66"/>
      <c r="E1195" s="66"/>
      <c r="F1195" s="66"/>
      <c r="G1195" s="66"/>
      <c r="H1195" s="66"/>
      <c r="I1195" s="66"/>
      <c r="J1195" s="66"/>
      <c r="K1195" s="66"/>
      <c r="L1195" s="66"/>
      <c r="M1195" s="66"/>
      <c r="N1195" s="66"/>
    </row>
    <row r="1196" spans="1:14" x14ac:dyDescent="0.2">
      <c r="A1196" s="84"/>
      <c r="B1196" s="84"/>
      <c r="C1196" s="60"/>
      <c r="D1196" s="66"/>
      <c r="E1196" s="66"/>
      <c r="F1196" s="66"/>
      <c r="G1196" s="66"/>
      <c r="H1196" s="66"/>
      <c r="I1196" s="66"/>
      <c r="J1196" s="66"/>
      <c r="K1196" s="66"/>
      <c r="L1196" s="66"/>
      <c r="M1196" s="66"/>
      <c r="N1196" s="66"/>
    </row>
    <row r="1197" spans="1:14" x14ac:dyDescent="0.2">
      <c r="A1197" s="84"/>
      <c r="B1197" s="84"/>
      <c r="C1197" s="60"/>
      <c r="D1197" s="66"/>
      <c r="E1197" s="66"/>
      <c r="F1197" s="66"/>
      <c r="G1197" s="66"/>
      <c r="H1197" s="66"/>
      <c r="I1197" s="66"/>
      <c r="J1197" s="66"/>
      <c r="K1197" s="66"/>
      <c r="L1197" s="66"/>
      <c r="M1197" s="66"/>
      <c r="N1197" s="66"/>
    </row>
    <row r="1198" spans="1:14" x14ac:dyDescent="0.2">
      <c r="A1198" s="84"/>
      <c r="B1198" s="84"/>
      <c r="C1198" s="60"/>
      <c r="D1198" s="66"/>
      <c r="E1198" s="66"/>
      <c r="F1198" s="66"/>
      <c r="G1198" s="66"/>
      <c r="H1198" s="66"/>
      <c r="I1198" s="66"/>
      <c r="J1198" s="66"/>
      <c r="K1198" s="66"/>
      <c r="L1198" s="66"/>
      <c r="M1198" s="66"/>
      <c r="N1198" s="66"/>
    </row>
    <row r="1199" spans="1:14" x14ac:dyDescent="0.2">
      <c r="A1199" s="84"/>
      <c r="B1199" s="84"/>
      <c r="C1199" s="60"/>
      <c r="D1199" s="66"/>
      <c r="E1199" s="66"/>
      <c r="F1199" s="66"/>
      <c r="G1199" s="66"/>
      <c r="H1199" s="66"/>
      <c r="I1199" s="66"/>
      <c r="J1199" s="66"/>
      <c r="K1199" s="66"/>
      <c r="L1199" s="66"/>
      <c r="M1199" s="66"/>
      <c r="N1199" s="66"/>
    </row>
    <row r="1200" spans="1:14" x14ac:dyDescent="0.2">
      <c r="A1200" s="84"/>
      <c r="B1200" s="84"/>
      <c r="C1200" s="60"/>
      <c r="D1200" s="66"/>
      <c r="E1200" s="66"/>
      <c r="F1200" s="66"/>
      <c r="G1200" s="66"/>
      <c r="H1200" s="66"/>
      <c r="I1200" s="66"/>
      <c r="J1200" s="66"/>
      <c r="K1200" s="66"/>
      <c r="L1200" s="66"/>
      <c r="M1200" s="66"/>
      <c r="N1200" s="66"/>
    </row>
    <row r="1201" spans="1:14" x14ac:dyDescent="0.2">
      <c r="A1201" s="84"/>
      <c r="B1201" s="84"/>
      <c r="C1201" s="60"/>
      <c r="D1201" s="66"/>
      <c r="E1201" s="66"/>
      <c r="F1201" s="66"/>
      <c r="G1201" s="66"/>
      <c r="H1201" s="66"/>
      <c r="I1201" s="66"/>
      <c r="J1201" s="66"/>
      <c r="K1201" s="66"/>
      <c r="L1201" s="66"/>
      <c r="M1201" s="66"/>
      <c r="N1201" s="66"/>
    </row>
    <row r="1202" spans="1:14" x14ac:dyDescent="0.2">
      <c r="A1202" s="84"/>
      <c r="B1202" s="84"/>
      <c r="C1202" s="60"/>
      <c r="D1202" s="66"/>
      <c r="E1202" s="66"/>
      <c r="F1202" s="66"/>
      <c r="G1202" s="66"/>
      <c r="H1202" s="66"/>
      <c r="I1202" s="66"/>
      <c r="J1202" s="66"/>
      <c r="K1202" s="66"/>
      <c r="L1202" s="66"/>
      <c r="M1202" s="66"/>
      <c r="N1202" s="66"/>
    </row>
    <row r="1203" spans="1:14" x14ac:dyDescent="0.2">
      <c r="A1203" s="84"/>
      <c r="B1203" s="84"/>
      <c r="C1203" s="60"/>
      <c r="D1203" s="66"/>
      <c r="E1203" s="66"/>
      <c r="F1203" s="66"/>
      <c r="G1203" s="66"/>
      <c r="H1203" s="66"/>
      <c r="I1203" s="66"/>
      <c r="J1203" s="66"/>
      <c r="K1203" s="66"/>
      <c r="L1203" s="66"/>
      <c r="M1203" s="66"/>
      <c r="N1203" s="66"/>
    </row>
    <row r="1204" spans="1:14" x14ac:dyDescent="0.2">
      <c r="A1204" s="84"/>
      <c r="B1204" s="84"/>
      <c r="C1204" s="60"/>
      <c r="D1204" s="66"/>
      <c r="E1204" s="66"/>
      <c r="F1204" s="66"/>
      <c r="G1204" s="66"/>
      <c r="H1204" s="66"/>
      <c r="I1204" s="66"/>
      <c r="J1204" s="66"/>
      <c r="K1204" s="66"/>
      <c r="L1204" s="66"/>
      <c r="M1204" s="66"/>
      <c r="N1204" s="66"/>
    </row>
    <row r="1205" spans="1:14" x14ac:dyDescent="0.2">
      <c r="A1205" s="84"/>
      <c r="B1205" s="84"/>
      <c r="C1205" s="60"/>
      <c r="D1205" s="66"/>
      <c r="E1205" s="66"/>
      <c r="F1205" s="66"/>
      <c r="G1205" s="66"/>
      <c r="H1205" s="66"/>
      <c r="I1205" s="66"/>
      <c r="J1205" s="66"/>
      <c r="K1205" s="66"/>
      <c r="L1205" s="66"/>
      <c r="M1205" s="66"/>
      <c r="N1205" s="66"/>
    </row>
    <row r="1206" spans="1:14" x14ac:dyDescent="0.2">
      <c r="A1206" s="84"/>
      <c r="B1206" s="84"/>
      <c r="C1206" s="60"/>
      <c r="D1206" s="66"/>
      <c r="E1206" s="66"/>
      <c r="F1206" s="66"/>
      <c r="G1206" s="66"/>
      <c r="H1206" s="66"/>
      <c r="I1206" s="66"/>
      <c r="J1206" s="66"/>
      <c r="K1206" s="66"/>
      <c r="L1206" s="66"/>
      <c r="M1206" s="66"/>
      <c r="N1206" s="66"/>
    </row>
    <row r="1207" spans="1:14" x14ac:dyDescent="0.2">
      <c r="A1207" s="84"/>
      <c r="B1207" s="84"/>
      <c r="C1207" s="60"/>
      <c r="D1207" s="66"/>
      <c r="E1207" s="66"/>
      <c r="F1207" s="66"/>
      <c r="G1207" s="66"/>
      <c r="H1207" s="66"/>
      <c r="I1207" s="66"/>
      <c r="J1207" s="66"/>
      <c r="K1207" s="66"/>
      <c r="L1207" s="66"/>
      <c r="M1207" s="66"/>
      <c r="N1207" s="66"/>
    </row>
    <row r="1208" spans="1:14" x14ac:dyDescent="0.2">
      <c r="A1208" s="84"/>
      <c r="B1208" s="84"/>
      <c r="C1208" s="60"/>
      <c r="D1208" s="66"/>
      <c r="E1208" s="66"/>
      <c r="F1208" s="66"/>
      <c r="G1208" s="66"/>
      <c r="H1208" s="66"/>
      <c r="I1208" s="66"/>
      <c r="J1208" s="66"/>
      <c r="K1208" s="66"/>
      <c r="L1208" s="66"/>
      <c r="M1208" s="66"/>
      <c r="N1208" s="66"/>
    </row>
    <row r="1209" spans="1:14" x14ac:dyDescent="0.2">
      <c r="A1209" s="84"/>
      <c r="B1209" s="84"/>
      <c r="C1209" s="60"/>
      <c r="D1209" s="66"/>
      <c r="E1209" s="66"/>
      <c r="F1209" s="66"/>
      <c r="G1209" s="66"/>
      <c r="H1209" s="66"/>
      <c r="I1209" s="66"/>
      <c r="J1209" s="66"/>
      <c r="K1209" s="66"/>
      <c r="L1209" s="66"/>
      <c r="M1209" s="66"/>
      <c r="N1209" s="66"/>
    </row>
    <row r="1210" spans="1:14" x14ac:dyDescent="0.2">
      <c r="A1210" s="84"/>
      <c r="B1210" s="84"/>
      <c r="C1210" s="60"/>
      <c r="D1210" s="66"/>
      <c r="E1210" s="66"/>
      <c r="F1210" s="66"/>
      <c r="G1210" s="66"/>
      <c r="H1210" s="66"/>
      <c r="I1210" s="66"/>
      <c r="J1210" s="66"/>
      <c r="K1210" s="66"/>
      <c r="L1210" s="66"/>
      <c r="M1210" s="66"/>
      <c r="N1210" s="66"/>
    </row>
    <row r="1211" spans="1:14" x14ac:dyDescent="0.2">
      <c r="A1211" s="84"/>
      <c r="B1211" s="84"/>
      <c r="C1211" s="60"/>
      <c r="D1211" s="66"/>
      <c r="E1211" s="66"/>
      <c r="F1211" s="66"/>
      <c r="G1211" s="66"/>
      <c r="H1211" s="66"/>
      <c r="I1211" s="66"/>
      <c r="J1211" s="66"/>
      <c r="K1211" s="66"/>
      <c r="L1211" s="66"/>
      <c r="M1211" s="66"/>
      <c r="N1211" s="66"/>
    </row>
  </sheetData>
  <pageMargins left="0.25" right="0.25" top="0.75" bottom="0.75" header="0.3" footer="0.3"/>
  <pageSetup scale="71" fitToHeight="0" orientation="landscape" r:id="rId1"/>
  <headerFooter>
    <oddFooter>&amp;LRev &amp;D&amp;C&amp;P</oddFooter>
  </headerFooter>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zoomScale="125" zoomScaleNormal="125" workbookViewId="0">
      <selection activeCell="O21" sqref="O21"/>
    </sheetView>
  </sheetViews>
  <sheetFormatPr defaultColWidth="9" defaultRowHeight="12.75" x14ac:dyDescent="0.2"/>
  <cols>
    <col min="1" max="1" width="40" style="5" customWidth="1"/>
    <col min="2" max="2" width="5.75" style="5" customWidth="1"/>
    <col min="3" max="3" width="10" style="5" customWidth="1"/>
    <col min="4" max="4" width="10.125" style="5" customWidth="1"/>
    <col min="5" max="7" width="10.75" style="5" customWidth="1"/>
    <col min="8" max="8" width="11.625" style="5" customWidth="1"/>
    <col min="9" max="12" width="9.625" style="5" customWidth="1"/>
    <col min="13" max="14" width="10.75" style="5" customWidth="1"/>
    <col min="15" max="19" width="9.625" style="5" customWidth="1"/>
    <col min="20" max="20" width="10.125" style="5" customWidth="1"/>
    <col min="21" max="21" width="9.625" style="5" customWidth="1"/>
    <col min="22" max="16384" width="9" style="5"/>
  </cols>
  <sheetData>
    <row r="1" spans="1:4" s="58" customFormat="1" x14ac:dyDescent="0.2">
      <c r="A1" s="58" t="s">
        <v>237</v>
      </c>
      <c r="C1" s="117"/>
    </row>
    <row r="2" spans="1:4" x14ac:dyDescent="0.2">
      <c r="A2" s="59"/>
      <c r="B2" s="59"/>
      <c r="C2" s="13"/>
      <c r="D2" s="59"/>
    </row>
    <row r="3" spans="1:4" x14ac:dyDescent="0.2">
      <c r="A3" s="59"/>
      <c r="B3" s="59"/>
      <c r="C3" s="13"/>
      <c r="D3" s="59"/>
    </row>
    <row r="4" spans="1:4" x14ac:dyDescent="0.2">
      <c r="A4" s="59" t="s">
        <v>238</v>
      </c>
      <c r="B4" s="59">
        <v>50</v>
      </c>
      <c r="C4" s="13"/>
      <c r="D4" s="59"/>
    </row>
    <row r="5" spans="1:4" x14ac:dyDescent="0.2">
      <c r="A5" s="59" t="s">
        <v>239</v>
      </c>
      <c r="B5" s="59">
        <v>45</v>
      </c>
      <c r="C5" s="13"/>
      <c r="D5" s="59"/>
    </row>
    <row r="6" spans="1:4" x14ac:dyDescent="0.2">
      <c r="A6" s="59"/>
      <c r="B6" s="59"/>
      <c r="C6" s="13"/>
      <c r="D6" s="59"/>
    </row>
    <row r="7" spans="1:4" x14ac:dyDescent="0.2">
      <c r="A7" s="58" t="s">
        <v>240</v>
      </c>
      <c r="B7" s="59"/>
      <c r="C7" s="59"/>
      <c r="D7" s="71" t="s">
        <v>241</v>
      </c>
    </row>
    <row r="8" spans="1:4" x14ac:dyDescent="0.2">
      <c r="A8" s="59" t="s">
        <v>242</v>
      </c>
      <c r="B8" s="59">
        <v>3</v>
      </c>
      <c r="C8" s="77">
        <f>SUM(B8/$B$11)</f>
        <v>6.6666666666666666E-2</v>
      </c>
      <c r="D8" s="114">
        <v>227</v>
      </c>
    </row>
    <row r="9" spans="1:4" x14ac:dyDescent="0.2">
      <c r="A9" s="59" t="s">
        <v>243</v>
      </c>
      <c r="B9" s="59">
        <f>SUM(B5-B8-B10)</f>
        <v>36</v>
      </c>
      <c r="C9" s="77">
        <f>SUM(B9/$B$11)</f>
        <v>0.8</v>
      </c>
      <c r="D9" s="114">
        <v>155</v>
      </c>
    </row>
    <row r="10" spans="1:4" x14ac:dyDescent="0.2">
      <c r="A10" s="59" t="s">
        <v>244</v>
      </c>
      <c r="B10" s="59">
        <v>6</v>
      </c>
      <c r="C10" s="77">
        <f>SUM(B10/$B$11)</f>
        <v>0.13333333333333333</v>
      </c>
      <c r="D10" s="114">
        <v>61</v>
      </c>
    </row>
    <row r="11" spans="1:4" x14ac:dyDescent="0.2">
      <c r="A11" s="87" t="s">
        <v>144</v>
      </c>
      <c r="B11" s="87">
        <f>SUM(B8:B10)</f>
        <v>45</v>
      </c>
      <c r="C11" s="118">
        <f>SUM(C8:C10)</f>
        <v>1</v>
      </c>
      <c r="D11" s="59"/>
    </row>
    <row r="13" spans="1:4" x14ac:dyDescent="0.2">
      <c r="A13" s="58" t="s">
        <v>245</v>
      </c>
      <c r="B13" s="59"/>
      <c r="C13" s="59"/>
      <c r="D13" s="59"/>
    </row>
    <row r="14" spans="1:4" ht="38.25" x14ac:dyDescent="0.2">
      <c r="A14" s="59"/>
      <c r="B14" s="71" t="s">
        <v>44</v>
      </c>
      <c r="C14" s="52" t="s">
        <v>246</v>
      </c>
      <c r="D14" s="59"/>
    </row>
    <row r="15" spans="1:4" x14ac:dyDescent="0.2">
      <c r="A15" s="59" t="s">
        <v>247</v>
      </c>
      <c r="B15" s="115">
        <v>1</v>
      </c>
      <c r="C15" s="128">
        <f t="shared" ref="C15:C20" si="0">SUM($B$5*B15)</f>
        <v>45</v>
      </c>
      <c r="D15" s="50"/>
    </row>
    <row r="16" spans="1:4" x14ac:dyDescent="0.2">
      <c r="A16" s="59" t="s">
        <v>248</v>
      </c>
      <c r="B16" s="115">
        <v>1</v>
      </c>
      <c r="C16" s="128">
        <f t="shared" si="0"/>
        <v>45</v>
      </c>
      <c r="D16" s="50"/>
    </row>
    <row r="17" spans="1:4" x14ac:dyDescent="0.2">
      <c r="A17" s="59" t="s">
        <v>249</v>
      </c>
      <c r="B17" s="115">
        <v>0.9</v>
      </c>
      <c r="C17" s="128">
        <f t="shared" si="0"/>
        <v>40.5</v>
      </c>
      <c r="D17" s="50"/>
    </row>
    <row r="18" spans="1:4" x14ac:dyDescent="0.2">
      <c r="A18" s="59" t="s">
        <v>250</v>
      </c>
      <c r="B18" s="115">
        <v>0.5</v>
      </c>
      <c r="C18" s="128">
        <f t="shared" si="0"/>
        <v>22.5</v>
      </c>
      <c r="D18" s="50"/>
    </row>
    <row r="19" spans="1:4" x14ac:dyDescent="0.2">
      <c r="A19" s="59" t="s">
        <v>251</v>
      </c>
      <c r="B19" s="115">
        <v>0.75</v>
      </c>
      <c r="C19" s="128">
        <f t="shared" si="0"/>
        <v>33.75</v>
      </c>
      <c r="D19" s="50"/>
    </row>
    <row r="20" spans="1:4" x14ac:dyDescent="0.2">
      <c r="A20" s="59" t="s">
        <v>252</v>
      </c>
      <c r="B20" s="115">
        <v>0.5</v>
      </c>
      <c r="C20" s="128">
        <f t="shared" si="0"/>
        <v>22.5</v>
      </c>
      <c r="D20" s="50"/>
    </row>
    <row r="21" spans="1:4" x14ac:dyDescent="0.2">
      <c r="A21" s="87" t="s">
        <v>253</v>
      </c>
      <c r="B21" s="51">
        <f>SUM(B15:B20)</f>
        <v>4.6500000000000004</v>
      </c>
      <c r="C21" s="129">
        <f>SUM(C15:C20)</f>
        <v>209.25</v>
      </c>
      <c r="D21" s="59"/>
    </row>
    <row r="23" spans="1:4" x14ac:dyDescent="0.2">
      <c r="A23" s="58" t="s">
        <v>254</v>
      </c>
      <c r="B23" s="59"/>
      <c r="C23" s="59"/>
      <c r="D23" s="59"/>
    </row>
    <row r="25" spans="1:4" x14ac:dyDescent="0.2">
      <c r="A25" s="59" t="s">
        <v>242</v>
      </c>
      <c r="B25" s="59"/>
      <c r="C25" s="113">
        <f>SUM(C21*C8*D8)</f>
        <v>3166.6499999999996</v>
      </c>
      <c r="D25" s="59"/>
    </row>
    <row r="26" spans="1:4" x14ac:dyDescent="0.2">
      <c r="A26" s="59" t="s">
        <v>243</v>
      </c>
      <c r="B26" s="59"/>
      <c r="C26" s="113">
        <f>SUM(C21*C9*D9)</f>
        <v>25947</v>
      </c>
      <c r="D26" s="59"/>
    </row>
    <row r="27" spans="1:4" x14ac:dyDescent="0.2">
      <c r="A27" s="59" t="s">
        <v>244</v>
      </c>
      <c r="B27" s="59"/>
      <c r="C27" s="113">
        <f>SUM(C21*C10*D10)</f>
        <v>1701.8999999999999</v>
      </c>
      <c r="D27" s="59"/>
    </row>
    <row r="28" spans="1:4" x14ac:dyDescent="0.2">
      <c r="A28" s="87" t="s">
        <v>144</v>
      </c>
      <c r="B28" s="87"/>
      <c r="C28" s="102">
        <f>SUM(C25:C27)</f>
        <v>30815.550000000003</v>
      </c>
      <c r="D28" s="59"/>
    </row>
  </sheetData>
  <pageMargins left="0.2" right="0.2" top="0.25" bottom="0.25" header="0.3" footer="0.3"/>
  <pageSetup orientation="portrait" r:id="rId1"/>
  <headerFooter>
    <oddFooter>&amp;LRev &amp;D&amp;C&amp;P</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1210"/>
  <sheetViews>
    <sheetView topLeftCell="A148" workbookViewId="0">
      <selection sqref="A1:N216"/>
    </sheetView>
  </sheetViews>
  <sheetFormatPr defaultColWidth="9" defaultRowHeight="12.75" x14ac:dyDescent="0.2"/>
  <cols>
    <col min="1" max="1" width="29.875" style="30" customWidth="1"/>
    <col min="2" max="2" width="9.5" style="31" customWidth="1"/>
    <col min="3" max="4" width="9" style="38" customWidth="1"/>
    <col min="5" max="16384" width="9" style="38"/>
  </cols>
  <sheetData>
    <row r="1" spans="1:14" s="29" customFormat="1" ht="13.5" thickBot="1" x14ac:dyDescent="0.25">
      <c r="A1" s="67" t="str">
        <f>CMS!A1</f>
        <v>Northwest Youth Services Budget - 2018 - APPROVED BY BOARD NOV 30, 2017</v>
      </c>
      <c r="B1" s="79"/>
      <c r="C1" s="67"/>
      <c r="D1" s="67"/>
      <c r="E1" s="67"/>
      <c r="F1" s="67"/>
      <c r="G1" s="67"/>
      <c r="H1" s="67"/>
      <c r="I1" s="67"/>
      <c r="J1" s="67"/>
      <c r="K1" s="67"/>
      <c r="L1" s="67"/>
      <c r="M1" s="67"/>
      <c r="N1" s="67"/>
    </row>
    <row r="2" spans="1:14" s="29" customFormat="1" x14ac:dyDescent="0.2">
      <c r="A2" s="80"/>
      <c r="B2" s="81"/>
      <c r="C2" s="58"/>
      <c r="D2" s="58"/>
      <c r="E2" s="58"/>
      <c r="F2" s="58"/>
      <c r="G2" s="58"/>
      <c r="H2" s="58"/>
      <c r="I2" s="58"/>
      <c r="J2" s="58"/>
      <c r="K2" s="58"/>
      <c r="L2" s="58"/>
      <c r="M2" s="58"/>
      <c r="N2" s="58"/>
    </row>
    <row r="3" spans="1:14" s="29" customFormat="1" x14ac:dyDescent="0.2">
      <c r="A3" s="81" t="s">
        <v>257</v>
      </c>
      <c r="B3" s="81"/>
      <c r="C3" s="58"/>
      <c r="D3" s="58"/>
      <c r="E3" s="58"/>
      <c r="F3" s="58"/>
      <c r="G3" s="58"/>
      <c r="H3" s="58"/>
      <c r="I3" s="58"/>
      <c r="J3" s="58"/>
      <c r="K3" s="58"/>
      <c r="L3" s="58"/>
      <c r="M3" s="58"/>
      <c r="N3" s="58"/>
    </row>
    <row r="4" spans="1:14" x14ac:dyDescent="0.2">
      <c r="A4" s="59"/>
      <c r="B4" s="60"/>
      <c r="C4" s="211"/>
      <c r="D4" s="211"/>
      <c r="E4" s="211"/>
      <c r="F4" s="211"/>
      <c r="G4" s="84"/>
      <c r="H4" s="84"/>
      <c r="I4" s="84"/>
      <c r="J4" s="84"/>
      <c r="K4" s="84"/>
      <c r="L4" s="84"/>
      <c r="M4" s="84"/>
      <c r="N4" s="84"/>
    </row>
    <row r="5" spans="1:14" s="33" customFormat="1" ht="13.5" thickBot="1" x14ac:dyDescent="0.25">
      <c r="A5" s="82" t="s">
        <v>143</v>
      </c>
      <c r="B5" s="83" t="s">
        <v>144</v>
      </c>
      <c r="C5" s="83" t="str">
        <f>CMS!C5</f>
        <v>January</v>
      </c>
      <c r="D5" s="83" t="str">
        <f>CMS!D5</f>
        <v>February</v>
      </c>
      <c r="E5" s="83" t="str">
        <f>CMS!E5</f>
        <v>March</v>
      </c>
      <c r="F5" s="83" t="str">
        <f>CMS!F5</f>
        <v>April</v>
      </c>
      <c r="G5" s="83" t="str">
        <f>CMS!G5</f>
        <v>May</v>
      </c>
      <c r="H5" s="83" t="str">
        <f>CMS!H5</f>
        <v>June</v>
      </c>
      <c r="I5" s="83" t="str">
        <f>CMS!I5</f>
        <v>July</v>
      </c>
      <c r="J5" s="83" t="str">
        <f>CMS!J5</f>
        <v>August</v>
      </c>
      <c r="K5" s="83" t="str">
        <f>CMS!K5</f>
        <v>September</v>
      </c>
      <c r="L5" s="83" t="str">
        <f>CMS!L5</f>
        <v>October</v>
      </c>
      <c r="M5" s="83" t="str">
        <f>CMS!M5</f>
        <v>November</v>
      </c>
      <c r="N5" s="83" t="str">
        <f>CMS!N5</f>
        <v>December</v>
      </c>
    </row>
    <row r="6" spans="1:14" s="33" customFormat="1" x14ac:dyDescent="0.2">
      <c r="A6" s="28"/>
      <c r="B6" s="86"/>
      <c r="C6" s="86"/>
      <c r="D6" s="26"/>
      <c r="E6" s="26"/>
      <c r="F6" s="26"/>
      <c r="G6" s="26"/>
      <c r="H6" s="26"/>
      <c r="I6" s="26"/>
      <c r="J6" s="26"/>
      <c r="K6" s="26"/>
      <c r="L6" s="26"/>
      <c r="M6" s="26"/>
      <c r="N6" s="26"/>
    </row>
    <row r="7" spans="1:14" s="33" customFormat="1" x14ac:dyDescent="0.2">
      <c r="A7" s="58" t="s">
        <v>14</v>
      </c>
      <c r="B7" s="60"/>
      <c r="C7" s="60"/>
      <c r="D7" s="94"/>
      <c r="E7" s="94"/>
      <c r="F7" s="94"/>
      <c r="G7" s="94"/>
      <c r="H7" s="94"/>
      <c r="I7" s="94"/>
      <c r="J7" s="94"/>
      <c r="K7" s="94"/>
      <c r="L7" s="94"/>
      <c r="M7" s="94"/>
      <c r="N7" s="94"/>
    </row>
    <row r="8" spans="1:14" x14ac:dyDescent="0.2">
      <c r="A8" s="61" t="s">
        <v>513</v>
      </c>
      <c r="B8" s="63">
        <f>SUM(C8:N8)</f>
        <v>3666</v>
      </c>
      <c r="C8" s="62">
        <v>1833</v>
      </c>
      <c r="D8" s="62">
        <v>1833</v>
      </c>
      <c r="E8" s="261"/>
      <c r="F8" s="261"/>
      <c r="G8" s="261"/>
      <c r="H8" s="261"/>
      <c r="I8" s="261"/>
      <c r="J8" s="261"/>
      <c r="K8" s="261"/>
      <c r="L8" s="261"/>
      <c r="M8" s="261"/>
      <c r="N8" s="261"/>
    </row>
    <row r="9" spans="1:14" hidden="1" x14ac:dyDescent="0.2">
      <c r="A9" s="61" t="s">
        <v>145</v>
      </c>
      <c r="B9" s="63">
        <f>SUM(C9:N9)</f>
        <v>0</v>
      </c>
      <c r="C9" s="63"/>
      <c r="D9" s="62"/>
      <c r="E9" s="62"/>
      <c r="F9" s="62"/>
      <c r="G9" s="62"/>
      <c r="H9" s="62"/>
      <c r="I9" s="62"/>
      <c r="J9" s="93"/>
      <c r="K9" s="93"/>
      <c r="L9" s="93"/>
      <c r="M9" s="93"/>
      <c r="N9" s="93"/>
    </row>
    <row r="10" spans="1:14" hidden="1" x14ac:dyDescent="0.2">
      <c r="A10" s="61" t="s">
        <v>145</v>
      </c>
      <c r="B10" s="63">
        <f t="shared" ref="B10:B44" si="0">SUM(C10:N10)</f>
        <v>0</v>
      </c>
      <c r="C10" s="63"/>
      <c r="D10" s="62"/>
      <c r="E10" s="62"/>
      <c r="F10" s="62"/>
      <c r="G10" s="62"/>
      <c r="H10" s="62"/>
      <c r="I10" s="62"/>
      <c r="J10" s="62"/>
      <c r="K10" s="62"/>
      <c r="L10" s="62"/>
      <c r="M10" s="62"/>
      <c r="N10" s="62"/>
    </row>
    <row r="11" spans="1:14" hidden="1" x14ac:dyDescent="0.2">
      <c r="A11" s="61" t="s">
        <v>145</v>
      </c>
      <c r="B11" s="63">
        <f t="shared" si="0"/>
        <v>0</v>
      </c>
      <c r="C11" s="63"/>
      <c r="D11" s="62"/>
      <c r="E11" s="62"/>
      <c r="F11" s="62"/>
      <c r="G11" s="62"/>
      <c r="H11" s="62"/>
      <c r="I11" s="62"/>
      <c r="J11" s="93"/>
      <c r="K11" s="93"/>
      <c r="L11" s="93"/>
      <c r="M11" s="93"/>
      <c r="N11" s="93"/>
    </row>
    <row r="12" spans="1:14" hidden="1" x14ac:dyDescent="0.2">
      <c r="A12" s="61" t="s">
        <v>145</v>
      </c>
      <c r="B12" s="63">
        <f t="shared" si="0"/>
        <v>0</v>
      </c>
      <c r="C12" s="63"/>
      <c r="D12" s="62"/>
      <c r="E12" s="62"/>
      <c r="F12" s="62"/>
      <c r="G12" s="62"/>
      <c r="H12" s="62"/>
      <c r="I12" s="62"/>
      <c r="J12" s="93"/>
      <c r="K12" s="93"/>
      <c r="L12" s="93"/>
      <c r="M12" s="93"/>
      <c r="N12" s="93"/>
    </row>
    <row r="13" spans="1:14" hidden="1" x14ac:dyDescent="0.2">
      <c r="A13" s="61" t="s">
        <v>145</v>
      </c>
      <c r="B13" s="63">
        <f t="shared" si="0"/>
        <v>0</v>
      </c>
      <c r="C13" s="63"/>
      <c r="D13" s="62"/>
      <c r="E13" s="62"/>
      <c r="F13" s="62"/>
      <c r="G13" s="62"/>
      <c r="H13" s="62"/>
      <c r="I13" s="62"/>
      <c r="J13" s="62"/>
      <c r="K13" s="62"/>
      <c r="L13" s="62"/>
      <c r="M13" s="62"/>
      <c r="N13" s="62"/>
    </row>
    <row r="14" spans="1:14" hidden="1" x14ac:dyDescent="0.2">
      <c r="A14" s="61" t="s">
        <v>145</v>
      </c>
      <c r="B14" s="63">
        <f t="shared" si="0"/>
        <v>0</v>
      </c>
      <c r="C14" s="63"/>
      <c r="D14" s="62"/>
      <c r="E14" s="62"/>
      <c r="F14" s="62"/>
      <c r="G14" s="62"/>
      <c r="H14" s="62"/>
      <c r="I14" s="62"/>
      <c r="J14" s="62"/>
      <c r="K14" s="62"/>
      <c r="L14" s="62"/>
      <c r="M14" s="62"/>
      <c r="N14" s="62"/>
    </row>
    <row r="15" spans="1:14" hidden="1" x14ac:dyDescent="0.2">
      <c r="A15" s="61" t="s">
        <v>145</v>
      </c>
      <c r="B15" s="63">
        <f t="shared" si="0"/>
        <v>0</v>
      </c>
      <c r="C15" s="63"/>
      <c r="D15" s="62"/>
      <c r="E15" s="62"/>
      <c r="F15" s="62"/>
      <c r="G15" s="62"/>
      <c r="H15" s="62"/>
      <c r="I15" s="62"/>
      <c r="J15" s="62"/>
      <c r="K15" s="62"/>
      <c r="L15" s="62"/>
      <c r="M15" s="62"/>
      <c r="N15" s="62"/>
    </row>
    <row r="16" spans="1:14" hidden="1" x14ac:dyDescent="0.2">
      <c r="A16" s="61" t="s">
        <v>145</v>
      </c>
      <c r="B16" s="63">
        <f t="shared" si="0"/>
        <v>0</v>
      </c>
      <c r="C16" s="63"/>
      <c r="D16" s="62"/>
      <c r="E16" s="62"/>
      <c r="F16" s="62"/>
      <c r="G16" s="62"/>
      <c r="H16" s="62"/>
      <c r="I16" s="62"/>
      <c r="J16" s="62"/>
      <c r="K16" s="62"/>
      <c r="L16" s="62"/>
      <c r="M16" s="62"/>
      <c r="N16" s="62"/>
    </row>
    <row r="17" spans="1:15" hidden="1" x14ac:dyDescent="0.2">
      <c r="A17" s="61" t="s">
        <v>145</v>
      </c>
      <c r="B17" s="63">
        <f t="shared" si="0"/>
        <v>0</v>
      </c>
      <c r="C17" s="63"/>
      <c r="D17" s="62"/>
      <c r="E17" s="62"/>
      <c r="F17" s="62"/>
      <c r="G17" s="62"/>
      <c r="H17" s="62"/>
      <c r="I17" s="62"/>
      <c r="J17" s="62"/>
      <c r="K17" s="62"/>
      <c r="L17" s="62"/>
      <c r="M17" s="62"/>
      <c r="N17" s="62"/>
    </row>
    <row r="18" spans="1:15" hidden="1" x14ac:dyDescent="0.2">
      <c r="A18" s="61" t="s">
        <v>145</v>
      </c>
      <c r="B18" s="63">
        <f t="shared" si="0"/>
        <v>0</v>
      </c>
      <c r="C18" s="63"/>
      <c r="D18" s="62"/>
      <c r="E18" s="62"/>
      <c r="F18" s="62"/>
      <c r="G18" s="62"/>
      <c r="H18" s="62"/>
      <c r="I18" s="62"/>
      <c r="J18" s="62"/>
      <c r="K18" s="62"/>
      <c r="L18" s="62"/>
      <c r="M18" s="62"/>
      <c r="N18" s="62"/>
    </row>
    <row r="19" spans="1:15" hidden="1" x14ac:dyDescent="0.2">
      <c r="A19" s="61" t="s">
        <v>145</v>
      </c>
      <c r="B19" s="63">
        <f t="shared" si="0"/>
        <v>0</v>
      </c>
      <c r="C19" s="63"/>
      <c r="D19" s="62"/>
      <c r="E19" s="62"/>
      <c r="F19" s="62"/>
      <c r="G19" s="62"/>
      <c r="H19" s="62"/>
      <c r="I19" s="62"/>
      <c r="J19" s="62"/>
      <c r="K19" s="62"/>
      <c r="L19" s="62"/>
      <c r="M19" s="62"/>
      <c r="N19" s="62"/>
    </row>
    <row r="20" spans="1:15" hidden="1" x14ac:dyDescent="0.2">
      <c r="A20" s="61" t="s">
        <v>145</v>
      </c>
      <c r="B20" s="63">
        <f t="shared" si="0"/>
        <v>0</v>
      </c>
      <c r="C20" s="63"/>
      <c r="D20" s="62"/>
      <c r="E20" s="62"/>
      <c r="F20" s="62"/>
      <c r="G20" s="62"/>
      <c r="H20" s="62"/>
      <c r="I20" s="62"/>
      <c r="J20" s="62"/>
      <c r="K20" s="62"/>
      <c r="L20" s="62"/>
      <c r="M20" s="62"/>
      <c r="N20" s="62"/>
    </row>
    <row r="21" spans="1:15" hidden="1" x14ac:dyDescent="0.2">
      <c r="A21" s="61" t="s">
        <v>145</v>
      </c>
      <c r="B21" s="63">
        <f t="shared" si="0"/>
        <v>0</v>
      </c>
      <c r="C21" s="63"/>
      <c r="D21" s="62"/>
      <c r="E21" s="62"/>
      <c r="F21" s="62"/>
      <c r="G21" s="62"/>
      <c r="H21" s="62"/>
      <c r="I21" s="62"/>
      <c r="J21" s="62"/>
      <c r="K21" s="62"/>
      <c r="L21" s="62"/>
      <c r="M21" s="62"/>
      <c r="N21" s="62"/>
    </row>
    <row r="22" spans="1:15" hidden="1" x14ac:dyDescent="0.2">
      <c r="A22" s="61" t="s">
        <v>145</v>
      </c>
      <c r="B22" s="63">
        <f t="shared" si="0"/>
        <v>0</v>
      </c>
      <c r="C22" s="63"/>
      <c r="D22" s="62"/>
      <c r="E22" s="62"/>
      <c r="F22" s="62"/>
      <c r="G22" s="62"/>
      <c r="H22" s="62"/>
      <c r="I22" s="62"/>
      <c r="J22" s="62"/>
      <c r="K22" s="62"/>
      <c r="L22" s="62"/>
      <c r="M22" s="62"/>
      <c r="N22" s="62"/>
    </row>
    <row r="23" spans="1:15" hidden="1" x14ac:dyDescent="0.2">
      <c r="A23" s="61" t="s">
        <v>146</v>
      </c>
      <c r="B23" s="63">
        <f t="shared" si="0"/>
        <v>0</v>
      </c>
      <c r="C23" s="63"/>
      <c r="D23" s="62"/>
      <c r="E23" s="62"/>
      <c r="F23" s="62"/>
      <c r="G23" s="62"/>
      <c r="H23" s="62"/>
      <c r="I23" s="62"/>
      <c r="J23" s="62"/>
      <c r="K23" s="62"/>
      <c r="L23" s="93"/>
      <c r="M23" s="93"/>
      <c r="N23" s="93"/>
    </row>
    <row r="24" spans="1:15" x14ac:dyDescent="0.2">
      <c r="A24" s="61" t="s">
        <v>374</v>
      </c>
      <c r="B24" s="63">
        <f t="shared" si="0"/>
        <v>0</v>
      </c>
      <c r="C24" s="62"/>
      <c r="D24" s="62"/>
      <c r="E24" s="62"/>
      <c r="F24" s="62"/>
      <c r="G24" s="62"/>
      <c r="H24" s="62"/>
      <c r="I24" s="62"/>
      <c r="J24" s="62"/>
      <c r="K24" s="62"/>
      <c r="L24" s="62"/>
      <c r="M24" s="62"/>
      <c r="N24" s="62"/>
      <c r="O24" s="140"/>
    </row>
    <row r="25" spans="1:15" x14ac:dyDescent="0.2">
      <c r="A25" s="61" t="s">
        <v>285</v>
      </c>
      <c r="B25" s="63">
        <f t="shared" si="0"/>
        <v>10000</v>
      </c>
      <c r="C25" s="62"/>
      <c r="D25" s="62"/>
      <c r="E25" s="62"/>
      <c r="F25" s="62"/>
      <c r="G25" s="62">
        <v>10000</v>
      </c>
      <c r="H25" s="62"/>
      <c r="I25" s="62"/>
      <c r="J25" s="62"/>
      <c r="K25" s="62"/>
      <c r="L25" s="62"/>
      <c r="M25" s="62"/>
      <c r="N25" s="62"/>
    </row>
    <row r="26" spans="1:15" x14ac:dyDescent="0.2">
      <c r="A26" s="61" t="s">
        <v>537</v>
      </c>
      <c r="B26" s="63">
        <f t="shared" si="0"/>
        <v>0</v>
      </c>
      <c r="C26" s="63"/>
      <c r="D26" s="62"/>
      <c r="E26" s="62"/>
      <c r="F26" s="62"/>
      <c r="G26" s="62"/>
      <c r="H26" s="62"/>
      <c r="I26" s="62"/>
      <c r="J26" s="62"/>
      <c r="K26" s="62"/>
      <c r="L26" s="62"/>
      <c r="M26" s="62"/>
      <c r="N26" s="62"/>
    </row>
    <row r="27" spans="1:15" x14ac:dyDescent="0.2">
      <c r="A27" s="61" t="s">
        <v>375</v>
      </c>
      <c r="B27" s="63">
        <f t="shared" si="0"/>
        <v>10000</v>
      </c>
      <c r="C27" s="62">
        <v>10000</v>
      </c>
      <c r="D27" s="62"/>
      <c r="E27" s="62"/>
      <c r="F27" s="62"/>
      <c r="G27" s="62"/>
      <c r="H27" s="62"/>
      <c r="I27" s="62"/>
      <c r="J27" s="62"/>
      <c r="K27" s="62"/>
      <c r="L27" s="62"/>
      <c r="M27" s="62"/>
      <c r="N27" s="62"/>
    </row>
    <row r="28" spans="1:15" hidden="1" x14ac:dyDescent="0.2">
      <c r="A28" s="61" t="s">
        <v>688</v>
      </c>
      <c r="B28" s="63">
        <f t="shared" si="0"/>
        <v>0</v>
      </c>
      <c r="C28" s="63"/>
      <c r="D28" s="62"/>
      <c r="E28" s="62"/>
      <c r="F28" s="62"/>
      <c r="G28" s="62"/>
      <c r="H28" s="62"/>
      <c r="I28" s="62"/>
      <c r="J28" s="62"/>
      <c r="K28" s="62"/>
      <c r="L28" s="62"/>
      <c r="M28" s="62"/>
      <c r="N28" s="62"/>
    </row>
    <row r="29" spans="1:15" hidden="1" x14ac:dyDescent="0.2">
      <c r="A29" s="61" t="s">
        <v>689</v>
      </c>
      <c r="B29" s="63">
        <f t="shared" si="0"/>
        <v>0</v>
      </c>
      <c r="C29" s="63"/>
      <c r="D29" s="62"/>
      <c r="E29" s="62"/>
      <c r="F29" s="62"/>
      <c r="G29" s="62"/>
      <c r="H29" s="62"/>
      <c r="I29" s="62"/>
      <c r="J29" s="62"/>
      <c r="K29" s="62"/>
      <c r="L29" s="62"/>
      <c r="M29" s="62"/>
      <c r="N29" s="62"/>
    </row>
    <row r="30" spans="1:15" hidden="1" x14ac:dyDescent="0.2">
      <c r="A30" s="61" t="s">
        <v>146</v>
      </c>
      <c r="B30" s="63">
        <f t="shared" si="0"/>
        <v>0</v>
      </c>
      <c r="C30" s="63"/>
      <c r="D30" s="62"/>
      <c r="E30" s="62"/>
      <c r="F30" s="62"/>
      <c r="G30" s="62"/>
      <c r="H30" s="62"/>
      <c r="I30" s="62"/>
      <c r="J30" s="62"/>
      <c r="K30" s="62"/>
      <c r="L30" s="62"/>
      <c r="M30" s="62"/>
      <c r="N30" s="62"/>
    </row>
    <row r="31" spans="1:15" hidden="1" x14ac:dyDescent="0.2">
      <c r="A31" s="61" t="s">
        <v>146</v>
      </c>
      <c r="B31" s="63">
        <f t="shared" si="0"/>
        <v>0</v>
      </c>
      <c r="C31" s="63"/>
      <c r="D31" s="62"/>
      <c r="E31" s="62"/>
      <c r="F31" s="62"/>
      <c r="G31" s="62"/>
      <c r="H31" s="62"/>
      <c r="I31" s="62"/>
      <c r="J31" s="62"/>
      <c r="K31" s="62"/>
      <c r="L31" s="62"/>
      <c r="M31" s="62"/>
      <c r="N31" s="62"/>
    </row>
    <row r="32" spans="1:15" hidden="1" x14ac:dyDescent="0.2">
      <c r="A32" s="61" t="s">
        <v>146</v>
      </c>
      <c r="B32" s="63">
        <f t="shared" si="0"/>
        <v>0</v>
      </c>
      <c r="C32" s="63"/>
      <c r="D32" s="62"/>
      <c r="E32" s="62"/>
      <c r="F32" s="62"/>
      <c r="G32" s="62"/>
      <c r="H32" s="62"/>
      <c r="I32" s="62"/>
      <c r="J32" s="62"/>
      <c r="K32" s="62"/>
      <c r="L32" s="62"/>
      <c r="M32" s="62"/>
      <c r="N32" s="62"/>
    </row>
    <row r="33" spans="1:14" hidden="1" x14ac:dyDescent="0.2">
      <c r="A33" s="61" t="s">
        <v>146</v>
      </c>
      <c r="B33" s="63">
        <f t="shared" si="0"/>
        <v>0</v>
      </c>
      <c r="C33" s="63"/>
      <c r="D33" s="62"/>
      <c r="E33" s="62"/>
      <c r="F33" s="62"/>
      <c r="G33" s="62"/>
      <c r="H33" s="62"/>
      <c r="I33" s="62"/>
      <c r="J33" s="62"/>
      <c r="K33" s="62"/>
      <c r="L33" s="62"/>
      <c r="M33" s="62"/>
      <c r="N33" s="62"/>
    </row>
    <row r="34" spans="1:14" hidden="1" x14ac:dyDescent="0.2">
      <c r="A34" s="61" t="s">
        <v>146</v>
      </c>
      <c r="B34" s="63">
        <f t="shared" si="0"/>
        <v>0</v>
      </c>
      <c r="C34" s="63"/>
      <c r="D34" s="62"/>
      <c r="E34" s="62"/>
      <c r="F34" s="62"/>
      <c r="G34" s="62"/>
      <c r="H34" s="62"/>
      <c r="I34" s="62"/>
      <c r="J34" s="62"/>
      <c r="K34" s="62"/>
      <c r="L34" s="62"/>
      <c r="M34" s="62"/>
      <c r="N34" s="62"/>
    </row>
    <row r="35" spans="1:14" hidden="1" x14ac:dyDescent="0.2">
      <c r="A35" s="61" t="s">
        <v>146</v>
      </c>
      <c r="B35" s="63">
        <f t="shared" si="0"/>
        <v>0</v>
      </c>
      <c r="C35" s="63"/>
      <c r="D35" s="62"/>
      <c r="E35" s="62"/>
      <c r="F35" s="62"/>
      <c r="G35" s="62"/>
      <c r="H35" s="62"/>
      <c r="I35" s="62"/>
      <c r="J35" s="62"/>
      <c r="K35" s="62"/>
      <c r="L35" s="62"/>
      <c r="M35" s="62"/>
      <c r="N35" s="62"/>
    </row>
    <row r="36" spans="1:14" hidden="1" x14ac:dyDescent="0.2">
      <c r="A36" s="61" t="s">
        <v>146</v>
      </c>
      <c r="B36" s="63">
        <f t="shared" si="0"/>
        <v>0</v>
      </c>
      <c r="C36" s="62"/>
      <c r="D36" s="62"/>
      <c r="E36" s="62"/>
      <c r="F36" s="62"/>
      <c r="G36" s="62"/>
      <c r="H36" s="62"/>
      <c r="I36" s="62"/>
      <c r="J36" s="62"/>
      <c r="K36" s="62"/>
      <c r="L36" s="62"/>
      <c r="M36" s="62"/>
      <c r="N36" s="62"/>
    </row>
    <row r="37" spans="1:14" hidden="1" x14ac:dyDescent="0.2">
      <c r="A37" s="61" t="s">
        <v>146</v>
      </c>
      <c r="B37" s="63">
        <f t="shared" si="0"/>
        <v>0</v>
      </c>
      <c r="C37" s="63"/>
      <c r="D37" s="62"/>
      <c r="E37" s="62"/>
      <c r="F37" s="62"/>
      <c r="G37" s="62"/>
      <c r="H37" s="62"/>
      <c r="I37" s="62"/>
      <c r="J37" s="62"/>
      <c r="K37" s="62"/>
      <c r="L37" s="62"/>
      <c r="M37" s="62"/>
      <c r="N37" s="62"/>
    </row>
    <row r="38" spans="1:14" hidden="1" x14ac:dyDescent="0.2">
      <c r="A38" s="61" t="s">
        <v>146</v>
      </c>
      <c r="B38" s="63">
        <f t="shared" si="0"/>
        <v>0</v>
      </c>
      <c r="C38" s="63"/>
      <c r="D38" s="62"/>
      <c r="E38" s="62"/>
      <c r="F38" s="62"/>
      <c r="G38" s="62"/>
      <c r="H38" s="62"/>
      <c r="I38" s="62"/>
      <c r="J38" s="62"/>
      <c r="K38" s="62"/>
      <c r="L38" s="62"/>
      <c r="M38" s="62"/>
      <c r="N38" s="62"/>
    </row>
    <row r="39" spans="1:14" x14ac:dyDescent="0.2">
      <c r="A39" s="61" t="s">
        <v>16</v>
      </c>
      <c r="B39" s="63">
        <f t="shared" si="0"/>
        <v>0</v>
      </c>
      <c r="C39" s="63"/>
      <c r="D39" s="62"/>
      <c r="E39" s="62"/>
      <c r="F39" s="62"/>
      <c r="G39" s="62"/>
      <c r="H39" s="62"/>
      <c r="I39" s="62"/>
      <c r="J39" s="62"/>
      <c r="K39" s="62"/>
      <c r="L39" s="62"/>
      <c r="M39" s="62"/>
      <c r="N39" s="62"/>
    </row>
    <row r="40" spans="1:14" x14ac:dyDescent="0.2">
      <c r="A40" s="61" t="s">
        <v>17</v>
      </c>
      <c r="B40" s="63">
        <f t="shared" si="0"/>
        <v>0</v>
      </c>
      <c r="C40" s="63"/>
      <c r="D40" s="62"/>
      <c r="E40" s="62"/>
      <c r="F40" s="62"/>
      <c r="G40" s="62"/>
      <c r="H40" s="62"/>
      <c r="I40" s="62"/>
      <c r="J40" s="62"/>
      <c r="K40" s="62"/>
      <c r="L40" s="62"/>
      <c r="M40" s="62"/>
      <c r="N40" s="62"/>
    </row>
    <row r="41" spans="1:14" x14ac:dyDescent="0.2">
      <c r="A41" s="61" t="s">
        <v>147</v>
      </c>
      <c r="B41" s="63">
        <f t="shared" si="0"/>
        <v>780</v>
      </c>
      <c r="C41" s="62">
        <v>65</v>
      </c>
      <c r="D41" s="62">
        <v>65</v>
      </c>
      <c r="E41" s="62">
        <v>65</v>
      </c>
      <c r="F41" s="62">
        <v>65</v>
      </c>
      <c r="G41" s="62">
        <v>65</v>
      </c>
      <c r="H41" s="62">
        <v>65</v>
      </c>
      <c r="I41" s="62">
        <v>65</v>
      </c>
      <c r="J41" s="62">
        <v>65</v>
      </c>
      <c r="K41" s="62">
        <v>65</v>
      </c>
      <c r="L41" s="62">
        <v>65</v>
      </c>
      <c r="M41" s="62">
        <v>65</v>
      </c>
      <c r="N41" s="62">
        <v>65</v>
      </c>
    </row>
    <row r="42" spans="1:14" x14ac:dyDescent="0.2">
      <c r="A42" s="61" t="s">
        <v>148</v>
      </c>
      <c r="B42" s="63">
        <f t="shared" si="0"/>
        <v>660</v>
      </c>
      <c r="C42" s="62">
        <v>55</v>
      </c>
      <c r="D42" s="62">
        <v>55</v>
      </c>
      <c r="E42" s="62">
        <v>55</v>
      </c>
      <c r="F42" s="62">
        <v>55</v>
      </c>
      <c r="G42" s="62">
        <v>55</v>
      </c>
      <c r="H42" s="62">
        <v>55</v>
      </c>
      <c r="I42" s="62">
        <v>55</v>
      </c>
      <c r="J42" s="62">
        <v>55</v>
      </c>
      <c r="K42" s="62">
        <v>55</v>
      </c>
      <c r="L42" s="62">
        <v>55</v>
      </c>
      <c r="M42" s="62">
        <v>55</v>
      </c>
      <c r="N42" s="62">
        <v>55</v>
      </c>
    </row>
    <row r="43" spans="1:14" x14ac:dyDescent="0.2">
      <c r="A43" s="61" t="s">
        <v>149</v>
      </c>
      <c r="B43" s="63">
        <f t="shared" si="0"/>
        <v>0</v>
      </c>
      <c r="C43" s="63"/>
      <c r="D43" s="62"/>
      <c r="E43" s="62"/>
      <c r="F43" s="62"/>
      <c r="G43" s="62"/>
      <c r="H43" s="62"/>
      <c r="I43" s="62"/>
      <c r="J43" s="62"/>
      <c r="K43" s="62"/>
      <c r="L43" s="62"/>
      <c r="M43" s="62"/>
      <c r="N43" s="62"/>
    </row>
    <row r="44" spans="1:14" x14ac:dyDescent="0.2">
      <c r="A44" s="61" t="s">
        <v>150</v>
      </c>
      <c r="B44" s="63">
        <f t="shared" si="0"/>
        <v>0</v>
      </c>
      <c r="C44" s="63"/>
      <c r="D44" s="62"/>
      <c r="E44" s="62"/>
      <c r="F44" s="62"/>
      <c r="G44" s="62"/>
      <c r="H44" s="62"/>
      <c r="I44" s="62"/>
      <c r="J44" s="62"/>
      <c r="K44" s="62"/>
      <c r="L44" s="62"/>
      <c r="M44" s="62"/>
      <c r="N44" s="62"/>
    </row>
    <row r="45" spans="1:14" ht="13.5" thickBot="1" x14ac:dyDescent="0.25">
      <c r="A45" s="61" t="s">
        <v>18</v>
      </c>
      <c r="B45" s="63">
        <f>SUM(C45:N45)</f>
        <v>0</v>
      </c>
      <c r="C45" s="63"/>
      <c r="D45" s="62"/>
      <c r="E45" s="62"/>
      <c r="F45" s="62"/>
      <c r="G45" s="62"/>
      <c r="H45" s="62"/>
      <c r="I45" s="62"/>
      <c r="J45" s="62"/>
      <c r="K45" s="62"/>
      <c r="L45" s="62"/>
      <c r="M45" s="62"/>
      <c r="N45" s="62"/>
    </row>
    <row r="46" spans="1:14" x14ac:dyDescent="0.2">
      <c r="A46" s="64" t="s">
        <v>151</v>
      </c>
      <c r="B46" s="65">
        <f t="shared" ref="B46:N46" si="1">SUM(B8:B45)</f>
        <v>25106</v>
      </c>
      <c r="C46" s="65">
        <f t="shared" si="1"/>
        <v>11953</v>
      </c>
      <c r="D46" s="65">
        <f t="shared" si="1"/>
        <v>1953</v>
      </c>
      <c r="E46" s="65">
        <f t="shared" si="1"/>
        <v>120</v>
      </c>
      <c r="F46" s="65">
        <f t="shared" si="1"/>
        <v>120</v>
      </c>
      <c r="G46" s="65">
        <f t="shared" si="1"/>
        <v>10120</v>
      </c>
      <c r="H46" s="65">
        <f t="shared" si="1"/>
        <v>120</v>
      </c>
      <c r="I46" s="65">
        <f t="shared" si="1"/>
        <v>120</v>
      </c>
      <c r="J46" s="65">
        <f t="shared" si="1"/>
        <v>120</v>
      </c>
      <c r="K46" s="65">
        <f t="shared" si="1"/>
        <v>120</v>
      </c>
      <c r="L46" s="65">
        <f t="shared" si="1"/>
        <v>120</v>
      </c>
      <c r="M46" s="65">
        <f t="shared" si="1"/>
        <v>120</v>
      </c>
      <c r="N46" s="65">
        <f t="shared" si="1"/>
        <v>120</v>
      </c>
    </row>
    <row r="47" spans="1:14" x14ac:dyDescent="0.2">
      <c r="A47" s="59"/>
      <c r="B47" s="60"/>
      <c r="C47" s="60"/>
      <c r="D47" s="66"/>
      <c r="E47" s="66"/>
      <c r="F47" s="66"/>
      <c r="G47" s="66"/>
      <c r="H47" s="66"/>
      <c r="I47" s="66"/>
      <c r="J47" s="66"/>
      <c r="K47" s="66"/>
      <c r="L47" s="66"/>
      <c r="M47" s="66"/>
      <c r="N47" s="66"/>
    </row>
    <row r="48" spans="1:14" x14ac:dyDescent="0.2">
      <c r="A48" s="58"/>
      <c r="B48" s="60"/>
      <c r="C48" s="60"/>
      <c r="D48" s="100"/>
      <c r="E48" s="100"/>
      <c r="F48" s="100"/>
      <c r="G48" s="100"/>
      <c r="H48" s="100"/>
      <c r="I48" s="100"/>
      <c r="J48" s="100"/>
      <c r="K48" s="100"/>
      <c r="L48" s="100"/>
      <c r="M48" s="100"/>
      <c r="N48" s="100"/>
    </row>
    <row r="49" spans="1:15" x14ac:dyDescent="0.2">
      <c r="A49" s="58" t="s">
        <v>152</v>
      </c>
      <c r="B49" s="85"/>
      <c r="C49" s="85"/>
      <c r="D49" s="85"/>
      <c r="E49" s="85"/>
      <c r="F49" s="85"/>
      <c r="G49" s="85"/>
      <c r="H49" s="85"/>
      <c r="I49" s="85"/>
      <c r="J49" s="85"/>
      <c r="K49" s="85"/>
      <c r="L49" s="85"/>
      <c r="M49" s="85"/>
      <c r="N49" s="85"/>
      <c r="O49" s="84"/>
    </row>
    <row r="50" spans="1:15" x14ac:dyDescent="0.2">
      <c r="A50" s="61" t="s">
        <v>153</v>
      </c>
      <c r="B50" s="63">
        <f>SUM(C50:N50)</f>
        <v>11606.120767123286</v>
      </c>
      <c r="C50" s="62">
        <f>SUM(C213)</f>
        <v>1203.9267945205479</v>
      </c>
      <c r="D50" s="62">
        <f t="shared" ref="D50:N52" si="2">SUM(D213)</f>
        <v>1244.0576876712328</v>
      </c>
      <c r="E50" s="62">
        <f t="shared" si="2"/>
        <v>1203.9267945205479</v>
      </c>
      <c r="F50" s="62">
        <f t="shared" si="2"/>
        <v>899.92881095890402</v>
      </c>
      <c r="G50" s="62">
        <f t="shared" si="2"/>
        <v>899.92881095890402</v>
      </c>
      <c r="H50" s="62">
        <f t="shared" si="2"/>
        <v>870.89884931506845</v>
      </c>
      <c r="I50" s="62">
        <f t="shared" si="2"/>
        <v>899.92881095890402</v>
      </c>
      <c r="J50" s="62">
        <f t="shared" si="2"/>
        <v>870.89884931506845</v>
      </c>
      <c r="K50" s="62">
        <f t="shared" si="2"/>
        <v>899.92881095890402</v>
      </c>
      <c r="L50" s="62">
        <f t="shared" si="2"/>
        <v>899.92881095890402</v>
      </c>
      <c r="M50" s="62">
        <f t="shared" si="2"/>
        <v>812.83892602739729</v>
      </c>
      <c r="N50" s="62">
        <f t="shared" si="2"/>
        <v>899.92881095890402</v>
      </c>
      <c r="O50" s="84"/>
    </row>
    <row r="51" spans="1:15" x14ac:dyDescent="0.2">
      <c r="A51" s="61" t="s">
        <v>22</v>
      </c>
      <c r="B51" s="63">
        <f>SUM(C51:N51)</f>
        <v>1003.8319412876713</v>
      </c>
      <c r="C51" s="62">
        <f>SUM(C214)</f>
        <v>104.20048454794521</v>
      </c>
      <c r="D51" s="62">
        <f t="shared" si="2"/>
        <v>107.51128323287671</v>
      </c>
      <c r="E51" s="62">
        <f t="shared" si="2"/>
        <v>104.20048454794521</v>
      </c>
      <c r="F51" s="62">
        <f t="shared" si="2"/>
        <v>77.766060904109594</v>
      </c>
      <c r="G51" s="62">
        <f t="shared" si="2"/>
        <v>77.766060904109594</v>
      </c>
      <c r="H51" s="62">
        <f t="shared" si="2"/>
        <v>75.371089068493163</v>
      </c>
      <c r="I51" s="62">
        <f t="shared" si="2"/>
        <v>77.766060904109594</v>
      </c>
      <c r="J51" s="62">
        <f t="shared" si="2"/>
        <v>75.371089068493163</v>
      </c>
      <c r="K51" s="62">
        <f t="shared" si="2"/>
        <v>77.766060904109594</v>
      </c>
      <c r="L51" s="62">
        <f t="shared" si="2"/>
        <v>77.766060904109594</v>
      </c>
      <c r="M51" s="62">
        <f t="shared" si="2"/>
        <v>70.581145397260272</v>
      </c>
      <c r="N51" s="62">
        <f t="shared" si="2"/>
        <v>77.766060904109594</v>
      </c>
      <c r="O51" s="84"/>
    </row>
    <row r="52" spans="1:15" s="43" customFormat="1" ht="13.5" thickBot="1" x14ac:dyDescent="0.25">
      <c r="A52" s="90" t="s">
        <v>23</v>
      </c>
      <c r="B52" s="63">
        <f>SUM(C52:N52)</f>
        <v>399.35882301369861</v>
      </c>
      <c r="C52" s="62">
        <f>SUM(C215)</f>
        <v>40.382403835616437</v>
      </c>
      <c r="D52" s="62">
        <f t="shared" si="2"/>
        <v>41.586330630136985</v>
      </c>
      <c r="E52" s="62">
        <f t="shared" si="2"/>
        <v>40.382403835616437</v>
      </c>
      <c r="F52" s="62">
        <f t="shared" si="2"/>
        <v>31.26246432876712</v>
      </c>
      <c r="G52" s="62">
        <f t="shared" si="2"/>
        <v>31.26246432876712</v>
      </c>
      <c r="H52" s="62">
        <f t="shared" si="2"/>
        <v>30.391565479452055</v>
      </c>
      <c r="I52" s="62">
        <f t="shared" si="2"/>
        <v>31.26246432876712</v>
      </c>
      <c r="J52" s="62">
        <f t="shared" si="2"/>
        <v>30.391565479452055</v>
      </c>
      <c r="K52" s="62">
        <f t="shared" si="2"/>
        <v>31.26246432876712</v>
      </c>
      <c r="L52" s="62">
        <f t="shared" si="2"/>
        <v>31.26246432876712</v>
      </c>
      <c r="M52" s="62">
        <f t="shared" si="2"/>
        <v>28.649767780821918</v>
      </c>
      <c r="N52" s="62">
        <f t="shared" si="2"/>
        <v>31.26246432876712</v>
      </c>
      <c r="O52" s="101"/>
    </row>
    <row r="53" spans="1:15" x14ac:dyDescent="0.2">
      <c r="A53" s="64" t="s">
        <v>154</v>
      </c>
      <c r="B53" s="65">
        <f>SUM(B50:B52)</f>
        <v>13009.311531424657</v>
      </c>
      <c r="C53" s="65">
        <f>SUM(C50:C52)</f>
        <v>1348.5096829041097</v>
      </c>
      <c r="D53" s="65">
        <f t="shared" ref="D53:N53" si="3">SUM(D50:D52)</f>
        <v>1393.1553015342463</v>
      </c>
      <c r="E53" s="65">
        <f t="shared" si="3"/>
        <v>1348.5096829041097</v>
      </c>
      <c r="F53" s="65">
        <f t="shared" si="3"/>
        <v>1008.9573361917808</v>
      </c>
      <c r="G53" s="65">
        <f t="shared" si="3"/>
        <v>1008.9573361917808</v>
      </c>
      <c r="H53" s="65">
        <f t="shared" si="3"/>
        <v>976.66150386301365</v>
      </c>
      <c r="I53" s="65">
        <f t="shared" si="3"/>
        <v>1008.9573361917808</v>
      </c>
      <c r="J53" s="65">
        <f t="shared" si="3"/>
        <v>976.66150386301365</v>
      </c>
      <c r="K53" s="65">
        <f t="shared" si="3"/>
        <v>1008.9573361917808</v>
      </c>
      <c r="L53" s="65">
        <f t="shared" si="3"/>
        <v>1008.9573361917808</v>
      </c>
      <c r="M53" s="65">
        <f t="shared" si="3"/>
        <v>912.06983920547941</v>
      </c>
      <c r="N53" s="65">
        <f t="shared" si="3"/>
        <v>1008.9573361917808</v>
      </c>
      <c r="O53" s="140">
        <f>SUM(C216:N216)</f>
        <v>13009.311531424659</v>
      </c>
    </row>
    <row r="54" spans="1:15" x14ac:dyDescent="0.2">
      <c r="A54" s="59"/>
      <c r="B54" s="60"/>
      <c r="C54" s="60"/>
      <c r="D54" s="66"/>
      <c r="E54" s="66"/>
      <c r="F54" s="66"/>
      <c r="G54" s="66"/>
      <c r="H54" s="66"/>
      <c r="I54" s="66"/>
      <c r="J54" s="66"/>
      <c r="K54" s="66"/>
      <c r="L54" s="66"/>
      <c r="M54" s="66"/>
      <c r="N54" s="66"/>
      <c r="O54" s="84"/>
    </row>
    <row r="55" spans="1:15" x14ac:dyDescent="0.2">
      <c r="A55" s="59"/>
      <c r="B55" s="60"/>
      <c r="C55" s="60"/>
      <c r="D55" s="66"/>
      <c r="E55" s="66"/>
      <c r="F55" s="66"/>
      <c r="G55" s="66"/>
      <c r="H55" s="66"/>
      <c r="I55" s="66"/>
      <c r="J55" s="66"/>
      <c r="K55" s="66"/>
      <c r="L55" s="66"/>
      <c r="M55" s="66"/>
      <c r="N55" s="66"/>
      <c r="O55" s="84"/>
    </row>
    <row r="56" spans="1:15" x14ac:dyDescent="0.2">
      <c r="A56" s="58" t="s">
        <v>155</v>
      </c>
      <c r="B56" s="60"/>
      <c r="C56" s="60"/>
      <c r="D56" s="66"/>
      <c r="E56" s="66"/>
      <c r="F56" s="66"/>
      <c r="G56" s="66"/>
      <c r="H56" s="66"/>
      <c r="I56" s="66"/>
      <c r="J56" s="66"/>
      <c r="K56" s="66"/>
      <c r="L56" s="66"/>
      <c r="M56" s="66"/>
      <c r="N56" s="66"/>
      <c r="O56" s="84"/>
    </row>
    <row r="57" spans="1:15" x14ac:dyDescent="0.2">
      <c r="A57" s="61" t="str">
        <f>CMS!A57</f>
        <v>Training</v>
      </c>
      <c r="B57" s="63">
        <f>SUM(C57:N57)</f>
        <v>199.99999999999997</v>
      </c>
      <c r="C57" s="62">
        <f>SUM(200/12)</f>
        <v>16.666666666666668</v>
      </c>
      <c r="D57" s="62">
        <f t="shared" ref="D57:N57" si="4">SUM(200/12)</f>
        <v>16.666666666666668</v>
      </c>
      <c r="E57" s="62">
        <f t="shared" si="4"/>
        <v>16.666666666666668</v>
      </c>
      <c r="F57" s="62">
        <f t="shared" si="4"/>
        <v>16.666666666666668</v>
      </c>
      <c r="G57" s="62">
        <f t="shared" si="4"/>
        <v>16.666666666666668</v>
      </c>
      <c r="H57" s="62">
        <f t="shared" si="4"/>
        <v>16.666666666666668</v>
      </c>
      <c r="I57" s="62">
        <f t="shared" si="4"/>
        <v>16.666666666666668</v>
      </c>
      <c r="J57" s="62">
        <f t="shared" si="4"/>
        <v>16.666666666666668</v>
      </c>
      <c r="K57" s="62">
        <f t="shared" si="4"/>
        <v>16.666666666666668</v>
      </c>
      <c r="L57" s="62">
        <f t="shared" si="4"/>
        <v>16.666666666666668</v>
      </c>
      <c r="M57" s="62">
        <f t="shared" si="4"/>
        <v>16.666666666666668</v>
      </c>
      <c r="N57" s="62">
        <f t="shared" si="4"/>
        <v>16.666666666666668</v>
      </c>
      <c r="O57" s="84"/>
    </row>
    <row r="58" spans="1:15" x14ac:dyDescent="0.2">
      <c r="A58" s="61" t="str">
        <f>CMS!A58</f>
        <v>Travel</v>
      </c>
      <c r="B58" s="419">
        <f>SUM(C58:N58)</f>
        <v>240</v>
      </c>
      <c r="C58" s="62">
        <v>20</v>
      </c>
      <c r="D58" s="62">
        <v>20</v>
      </c>
      <c r="E58" s="62">
        <v>20</v>
      </c>
      <c r="F58" s="62">
        <v>20</v>
      </c>
      <c r="G58" s="62">
        <v>20</v>
      </c>
      <c r="H58" s="62">
        <v>20</v>
      </c>
      <c r="I58" s="62">
        <v>20</v>
      </c>
      <c r="J58" s="62">
        <v>20</v>
      </c>
      <c r="K58" s="62">
        <v>20</v>
      </c>
      <c r="L58" s="62">
        <v>20</v>
      </c>
      <c r="M58" s="62">
        <v>20</v>
      </c>
      <c r="N58" s="62">
        <v>20</v>
      </c>
      <c r="O58" s="84"/>
    </row>
    <row r="59" spans="1:15" x14ac:dyDescent="0.2">
      <c r="A59" s="61" t="str">
        <f>CMS!A59</f>
        <v>Recognition</v>
      </c>
      <c r="B59" s="63">
        <f>SUM(C59:N59)</f>
        <v>0</v>
      </c>
      <c r="C59" s="62"/>
      <c r="D59" s="62"/>
      <c r="E59" s="62"/>
      <c r="F59" s="62"/>
      <c r="G59" s="62"/>
      <c r="H59" s="62"/>
      <c r="I59" s="62"/>
      <c r="J59" s="62"/>
      <c r="K59" s="62"/>
      <c r="L59" s="62"/>
      <c r="M59" s="62"/>
      <c r="N59" s="62"/>
      <c r="O59" s="84"/>
    </row>
    <row r="60" spans="1:15" x14ac:dyDescent="0.2">
      <c r="A60" s="61" t="str">
        <f>CMS!A60</f>
        <v>Communications</v>
      </c>
      <c r="B60" s="63">
        <f t="shared" ref="B60:B82" si="5">SUM(C60:N60)</f>
        <v>540</v>
      </c>
      <c r="C60" s="62">
        <v>45</v>
      </c>
      <c r="D60" s="62">
        <v>45</v>
      </c>
      <c r="E60" s="62">
        <v>45</v>
      </c>
      <c r="F60" s="62">
        <v>45</v>
      </c>
      <c r="G60" s="62">
        <v>45</v>
      </c>
      <c r="H60" s="62">
        <v>45</v>
      </c>
      <c r="I60" s="62">
        <v>45</v>
      </c>
      <c r="J60" s="62">
        <v>45</v>
      </c>
      <c r="K60" s="62">
        <v>45</v>
      </c>
      <c r="L60" s="62">
        <v>45</v>
      </c>
      <c r="M60" s="62">
        <v>45</v>
      </c>
      <c r="N60" s="62">
        <v>45</v>
      </c>
      <c r="O60" s="84"/>
    </row>
    <row r="61" spans="1:15" x14ac:dyDescent="0.2">
      <c r="A61" s="61" t="str">
        <f>CMS!A61</f>
        <v>Dues &amp; Subscriptions</v>
      </c>
      <c r="B61" s="63">
        <f t="shared" si="5"/>
        <v>0</v>
      </c>
      <c r="C61" s="63"/>
      <c r="D61" s="62"/>
      <c r="E61" s="62"/>
      <c r="F61" s="62"/>
      <c r="G61" s="62"/>
      <c r="H61" s="62"/>
      <c r="I61" s="62"/>
      <c r="J61" s="62"/>
      <c r="K61" s="62"/>
      <c r="L61" s="62"/>
      <c r="M61" s="62"/>
      <c r="N61" s="62"/>
      <c r="O61" s="84"/>
    </row>
    <row r="62" spans="1:15" x14ac:dyDescent="0.2">
      <c r="A62" s="61" t="str">
        <f>CMS!A62</f>
        <v>Liability Insurance</v>
      </c>
      <c r="B62" s="63">
        <f t="shared" si="5"/>
        <v>213.76559080962795</v>
      </c>
      <c r="C62" s="62">
        <f>SUM('Data Links'!$B$5/'All Employees'!$I$65)/12*C102</f>
        <v>22.501641137855579</v>
      </c>
      <c r="D62" s="62">
        <f>SUM('Data Links'!$B$5/'All Employees'!$I$65)/12*D102</f>
        <v>22.501641137855579</v>
      </c>
      <c r="E62" s="62">
        <f>SUM('Data Links'!$B$5/'All Employees'!$I$65)/12*E102</f>
        <v>22.501641137855579</v>
      </c>
      <c r="F62" s="62">
        <f>SUM('Data Links'!$B$5/'All Employees'!$I$65)/12*F102</f>
        <v>16.251185266229029</v>
      </c>
      <c r="G62" s="62">
        <f>SUM('Data Links'!$B$5/'All Employees'!$I$65)/12*G102</f>
        <v>16.251185266229029</v>
      </c>
      <c r="H62" s="62">
        <f>SUM('Data Links'!$B$5/'All Employees'!$I$65)/12*H102</f>
        <v>16.251185266229029</v>
      </c>
      <c r="I62" s="62">
        <f>SUM('Data Links'!$B$5/'All Employees'!$I$65)/12*I102</f>
        <v>16.251185266229029</v>
      </c>
      <c r="J62" s="62">
        <f>SUM('Data Links'!$B$5/'All Employees'!$I$65)/12*J102</f>
        <v>16.251185266229029</v>
      </c>
      <c r="K62" s="62">
        <f>SUM('Data Links'!$B$5/'All Employees'!$I$65)/12*K102</f>
        <v>16.251185266229029</v>
      </c>
      <c r="L62" s="62">
        <f>SUM('Data Links'!$B$5/'All Employees'!$I$65)/12*L102</f>
        <v>16.251185266229029</v>
      </c>
      <c r="M62" s="62">
        <f>SUM('Data Links'!$B$5/'All Employees'!$I$65)/12*M102</f>
        <v>16.251185266229029</v>
      </c>
      <c r="N62" s="62">
        <f>SUM('Data Links'!$B$5/'All Employees'!$I$65)/12*N102</f>
        <v>16.251185266229029</v>
      </c>
      <c r="O62" s="84"/>
    </row>
    <row r="63" spans="1:15" x14ac:dyDescent="0.2">
      <c r="A63" s="61" t="str">
        <f>CMS!A63</f>
        <v>Professional Services</v>
      </c>
      <c r="B63" s="63">
        <f t="shared" si="5"/>
        <v>0</v>
      </c>
      <c r="C63" s="62"/>
      <c r="D63" s="62"/>
      <c r="E63" s="62"/>
      <c r="F63" s="62"/>
      <c r="G63" s="62"/>
      <c r="H63" s="62"/>
      <c r="I63" s="62"/>
      <c r="J63" s="62"/>
      <c r="K63" s="62"/>
      <c r="L63" s="62"/>
      <c r="M63" s="62"/>
      <c r="N63" s="62"/>
      <c r="O63" s="84"/>
    </row>
    <row r="64" spans="1:15" x14ac:dyDescent="0.2">
      <c r="A64" s="61" t="str">
        <f>CMS!A64</f>
        <v>Legal Fees</v>
      </c>
      <c r="B64" s="63">
        <f t="shared" si="5"/>
        <v>0</v>
      </c>
      <c r="C64" s="63"/>
      <c r="D64" s="62"/>
      <c r="E64" s="62"/>
      <c r="F64" s="62"/>
      <c r="G64" s="62"/>
      <c r="H64" s="62"/>
      <c r="I64" s="62"/>
      <c r="J64" s="62"/>
      <c r="K64" s="62"/>
      <c r="L64" s="62"/>
      <c r="M64" s="62"/>
      <c r="N64" s="62"/>
      <c r="O64" s="84"/>
    </row>
    <row r="65" spans="1:14" x14ac:dyDescent="0.2">
      <c r="A65" s="61" t="str">
        <f>CMS!A65</f>
        <v>Technical Services</v>
      </c>
      <c r="B65" s="63">
        <f t="shared" si="5"/>
        <v>0</v>
      </c>
      <c r="C65" s="62"/>
      <c r="D65" s="62"/>
      <c r="E65" s="62"/>
      <c r="F65" s="62"/>
      <c r="G65" s="62"/>
      <c r="H65" s="62"/>
      <c r="I65" s="62"/>
      <c r="J65" s="62"/>
      <c r="K65" s="62"/>
      <c r="L65" s="62"/>
      <c r="M65" s="62"/>
      <c r="N65" s="62"/>
    </row>
    <row r="66" spans="1:14" x14ac:dyDescent="0.2">
      <c r="A66" s="61" t="str">
        <f>CMS!A66</f>
        <v>Taxes/Licenses &amp; Permits</v>
      </c>
      <c r="B66" s="63">
        <f t="shared" si="5"/>
        <v>0</v>
      </c>
      <c r="C66" s="63"/>
      <c r="D66" s="62"/>
      <c r="E66" s="62"/>
      <c r="F66" s="62"/>
      <c r="G66" s="62"/>
      <c r="H66" s="62"/>
      <c r="I66" s="62"/>
      <c r="J66" s="62"/>
      <c r="K66" s="62"/>
      <c r="L66" s="62"/>
      <c r="M66" s="62"/>
      <c r="N66" s="62"/>
    </row>
    <row r="67" spans="1:14" x14ac:dyDescent="0.2">
      <c r="A67" s="61" t="str">
        <f>CMS!A67</f>
        <v>Small Tools &amp; Equip</v>
      </c>
      <c r="B67" s="63">
        <f t="shared" si="5"/>
        <v>199.99999999999997</v>
      </c>
      <c r="C67" s="62">
        <f>SUM(200/12)</f>
        <v>16.666666666666668</v>
      </c>
      <c r="D67" s="62">
        <f t="shared" ref="D67:N68" si="6">SUM(200/12)</f>
        <v>16.666666666666668</v>
      </c>
      <c r="E67" s="62">
        <f t="shared" si="6"/>
        <v>16.666666666666668</v>
      </c>
      <c r="F67" s="62">
        <f t="shared" si="6"/>
        <v>16.666666666666668</v>
      </c>
      <c r="G67" s="62">
        <f t="shared" si="6"/>
        <v>16.666666666666668</v>
      </c>
      <c r="H67" s="62">
        <f t="shared" si="6"/>
        <v>16.666666666666668</v>
      </c>
      <c r="I67" s="62">
        <f t="shared" si="6"/>
        <v>16.666666666666668</v>
      </c>
      <c r="J67" s="62">
        <f t="shared" si="6"/>
        <v>16.666666666666668</v>
      </c>
      <c r="K67" s="62">
        <f t="shared" si="6"/>
        <v>16.666666666666668</v>
      </c>
      <c r="L67" s="62">
        <f t="shared" si="6"/>
        <v>16.666666666666668</v>
      </c>
      <c r="M67" s="62">
        <f t="shared" si="6"/>
        <v>16.666666666666668</v>
      </c>
      <c r="N67" s="62">
        <f t="shared" si="6"/>
        <v>16.666666666666668</v>
      </c>
    </row>
    <row r="68" spans="1:14" x14ac:dyDescent="0.2">
      <c r="A68" s="61" t="str">
        <f>CMS!A68</f>
        <v>Office Supplies</v>
      </c>
      <c r="B68" s="63">
        <f t="shared" si="5"/>
        <v>199.99999999999997</v>
      </c>
      <c r="C68" s="62">
        <f>SUM(200/12)</f>
        <v>16.666666666666668</v>
      </c>
      <c r="D68" s="62">
        <f t="shared" si="6"/>
        <v>16.666666666666668</v>
      </c>
      <c r="E68" s="62">
        <f t="shared" si="6"/>
        <v>16.666666666666668</v>
      </c>
      <c r="F68" s="62">
        <f t="shared" si="6"/>
        <v>16.666666666666668</v>
      </c>
      <c r="G68" s="62">
        <f t="shared" si="6"/>
        <v>16.666666666666668</v>
      </c>
      <c r="H68" s="62">
        <f t="shared" si="6"/>
        <v>16.666666666666668</v>
      </c>
      <c r="I68" s="62">
        <f t="shared" si="6"/>
        <v>16.666666666666668</v>
      </c>
      <c r="J68" s="62">
        <f t="shared" si="6"/>
        <v>16.666666666666668</v>
      </c>
      <c r="K68" s="62">
        <f t="shared" si="6"/>
        <v>16.666666666666668</v>
      </c>
      <c r="L68" s="62">
        <f t="shared" si="6"/>
        <v>16.666666666666668</v>
      </c>
      <c r="M68" s="62">
        <f t="shared" si="6"/>
        <v>16.666666666666668</v>
      </c>
      <c r="N68" s="62">
        <f t="shared" si="6"/>
        <v>16.666666666666668</v>
      </c>
    </row>
    <row r="69" spans="1:14" x14ac:dyDescent="0.2">
      <c r="A69" s="61" t="str">
        <f>CMS!A69</f>
        <v>Program Supplies</v>
      </c>
      <c r="B69" s="63">
        <f t="shared" si="5"/>
        <v>900</v>
      </c>
      <c r="C69" s="62">
        <v>75</v>
      </c>
      <c r="D69" s="62">
        <v>75</v>
      </c>
      <c r="E69" s="62">
        <v>75</v>
      </c>
      <c r="F69" s="62">
        <v>75</v>
      </c>
      <c r="G69" s="62">
        <v>75</v>
      </c>
      <c r="H69" s="62">
        <v>75</v>
      </c>
      <c r="I69" s="62">
        <v>75</v>
      </c>
      <c r="J69" s="62">
        <v>75</v>
      </c>
      <c r="K69" s="62">
        <v>75</v>
      </c>
      <c r="L69" s="62">
        <v>75</v>
      </c>
      <c r="M69" s="62">
        <v>75</v>
      </c>
      <c r="N69" s="62">
        <v>75</v>
      </c>
    </row>
    <row r="70" spans="1:14" x14ac:dyDescent="0.2">
      <c r="A70" s="61" t="str">
        <f>CMS!A70</f>
        <v>Advertising</v>
      </c>
      <c r="B70" s="63">
        <f t="shared" si="5"/>
        <v>0</v>
      </c>
      <c r="C70" s="63"/>
      <c r="D70" s="62"/>
      <c r="E70" s="62"/>
      <c r="F70" s="62"/>
      <c r="G70" s="62"/>
      <c r="H70" s="62"/>
      <c r="I70" s="62"/>
      <c r="J70" s="62"/>
      <c r="K70" s="62"/>
      <c r="L70" s="62"/>
      <c r="M70" s="62"/>
      <c r="N70" s="62"/>
    </row>
    <row r="71" spans="1:14" x14ac:dyDescent="0.2">
      <c r="A71" s="61" t="str">
        <f>CMS!A71</f>
        <v>Repairs &amp; Maintenance</v>
      </c>
      <c r="B71" s="63">
        <f t="shared" si="5"/>
        <v>0</v>
      </c>
      <c r="C71" s="63"/>
      <c r="D71" s="62"/>
      <c r="E71" s="62"/>
      <c r="F71" s="62"/>
      <c r="G71" s="62"/>
      <c r="H71" s="62"/>
      <c r="I71" s="62"/>
      <c r="J71" s="62"/>
      <c r="K71" s="62"/>
      <c r="L71" s="62"/>
      <c r="M71" s="62"/>
      <c r="N71" s="62"/>
    </row>
    <row r="72" spans="1:14" x14ac:dyDescent="0.2">
      <c r="A72" s="61" t="str">
        <f>CMS!A72</f>
        <v>Client Expense</v>
      </c>
      <c r="B72" s="63">
        <f t="shared" si="5"/>
        <v>4600</v>
      </c>
      <c r="C72" s="62">
        <f>SUM(4600/12)</f>
        <v>383.33333333333331</v>
      </c>
      <c r="D72" s="62">
        <f t="shared" ref="D72:N72" si="7">SUM(4600/12)</f>
        <v>383.33333333333331</v>
      </c>
      <c r="E72" s="62">
        <f t="shared" si="7"/>
        <v>383.33333333333331</v>
      </c>
      <c r="F72" s="62">
        <f t="shared" si="7"/>
        <v>383.33333333333331</v>
      </c>
      <c r="G72" s="62">
        <f t="shared" si="7"/>
        <v>383.33333333333331</v>
      </c>
      <c r="H72" s="62">
        <f t="shared" si="7"/>
        <v>383.33333333333331</v>
      </c>
      <c r="I72" s="62">
        <f t="shared" si="7"/>
        <v>383.33333333333331</v>
      </c>
      <c r="J72" s="62">
        <f t="shared" si="7"/>
        <v>383.33333333333331</v>
      </c>
      <c r="K72" s="62">
        <f t="shared" si="7"/>
        <v>383.33333333333331</v>
      </c>
      <c r="L72" s="62">
        <f t="shared" si="7"/>
        <v>383.33333333333331</v>
      </c>
      <c r="M72" s="62">
        <f t="shared" si="7"/>
        <v>383.33333333333331</v>
      </c>
      <c r="N72" s="62">
        <f t="shared" si="7"/>
        <v>383.33333333333331</v>
      </c>
    </row>
    <row r="73" spans="1:14" x14ac:dyDescent="0.2">
      <c r="A73" s="61" t="str">
        <f>CMS!A73</f>
        <v>Printing</v>
      </c>
      <c r="B73" s="63">
        <f t="shared" si="5"/>
        <v>0</v>
      </c>
      <c r="C73" s="63"/>
      <c r="D73" s="62"/>
      <c r="E73" s="62"/>
      <c r="F73" s="62"/>
      <c r="G73" s="62"/>
      <c r="H73" s="62"/>
      <c r="I73" s="62"/>
      <c r="J73" s="62"/>
      <c r="K73" s="62"/>
      <c r="L73" s="62"/>
      <c r="M73" s="62"/>
      <c r="N73" s="62"/>
    </row>
    <row r="74" spans="1:14" x14ac:dyDescent="0.2">
      <c r="A74" s="61" t="str">
        <f>CMS!A74</f>
        <v>Postage</v>
      </c>
      <c r="B74" s="63">
        <f t="shared" si="5"/>
        <v>60</v>
      </c>
      <c r="C74" s="62">
        <v>5</v>
      </c>
      <c r="D74" s="62">
        <v>5</v>
      </c>
      <c r="E74" s="62">
        <v>5</v>
      </c>
      <c r="F74" s="62">
        <v>5</v>
      </c>
      <c r="G74" s="62">
        <v>5</v>
      </c>
      <c r="H74" s="62">
        <v>5</v>
      </c>
      <c r="I74" s="62">
        <v>5</v>
      </c>
      <c r="J74" s="62">
        <v>5</v>
      </c>
      <c r="K74" s="62">
        <v>5</v>
      </c>
      <c r="L74" s="62">
        <v>5</v>
      </c>
      <c r="M74" s="62">
        <v>5</v>
      </c>
      <c r="N74" s="62">
        <v>5</v>
      </c>
    </row>
    <row r="75" spans="1:14" ht="11.25" customHeight="1" x14ac:dyDescent="0.2">
      <c r="A75" s="61" t="str">
        <f>CMS!A75</f>
        <v>Rent/Lease Expense</v>
      </c>
      <c r="B75" s="63">
        <f t="shared" si="5"/>
        <v>180</v>
      </c>
      <c r="C75" s="62">
        <v>15</v>
      </c>
      <c r="D75" s="62">
        <v>15</v>
      </c>
      <c r="E75" s="62">
        <v>15</v>
      </c>
      <c r="F75" s="62">
        <v>15</v>
      </c>
      <c r="G75" s="62">
        <v>15</v>
      </c>
      <c r="H75" s="62">
        <v>15</v>
      </c>
      <c r="I75" s="62">
        <v>15</v>
      </c>
      <c r="J75" s="62">
        <v>15</v>
      </c>
      <c r="K75" s="62">
        <v>15</v>
      </c>
      <c r="L75" s="62">
        <v>15</v>
      </c>
      <c r="M75" s="62">
        <v>15</v>
      </c>
      <c r="N75" s="62">
        <v>15</v>
      </c>
    </row>
    <row r="76" spans="1:14" x14ac:dyDescent="0.2">
      <c r="A76" s="61" t="str">
        <f>CMS!A76</f>
        <v>Utilities</v>
      </c>
      <c r="B76" s="63">
        <f t="shared" si="5"/>
        <v>0</v>
      </c>
      <c r="C76" s="63"/>
      <c r="D76" s="62"/>
      <c r="E76" s="62"/>
      <c r="F76" s="62"/>
      <c r="G76" s="62"/>
      <c r="H76" s="62"/>
      <c r="I76" s="62"/>
      <c r="J76" s="62"/>
      <c r="K76" s="62"/>
      <c r="L76" s="62"/>
      <c r="M76" s="62"/>
      <c r="N76" s="62"/>
    </row>
    <row r="77" spans="1:14" x14ac:dyDescent="0.2">
      <c r="A77" s="61" t="str">
        <f>CMS!A77</f>
        <v>Bank Fees/Late Fees</v>
      </c>
      <c r="B77" s="63">
        <f t="shared" si="5"/>
        <v>0</v>
      </c>
      <c r="C77" s="63"/>
      <c r="D77" s="62"/>
      <c r="E77" s="62"/>
      <c r="F77" s="62"/>
      <c r="G77" s="62"/>
      <c r="H77" s="62"/>
      <c r="I77" s="62"/>
      <c r="J77" s="62"/>
      <c r="K77" s="62"/>
      <c r="L77" s="62"/>
      <c r="M77" s="62"/>
      <c r="N77" s="62"/>
    </row>
    <row r="78" spans="1:14" x14ac:dyDescent="0.2">
      <c r="A78" s="61" t="str">
        <f>CMS!A78</f>
        <v>Bad Debt Expense</v>
      </c>
      <c r="B78" s="63">
        <f t="shared" si="5"/>
        <v>0</v>
      </c>
      <c r="C78" s="62"/>
      <c r="D78" s="62"/>
      <c r="E78" s="62"/>
      <c r="F78" s="62"/>
      <c r="G78" s="62"/>
      <c r="H78" s="62"/>
      <c r="I78" s="62"/>
      <c r="J78" s="62"/>
      <c r="K78" s="62"/>
      <c r="L78" s="62"/>
      <c r="M78" s="62"/>
      <c r="N78" s="62"/>
    </row>
    <row r="79" spans="1:14" x14ac:dyDescent="0.2">
      <c r="A79" s="61" t="str">
        <f>CMS!A79</f>
        <v>Interest Expense</v>
      </c>
      <c r="B79" s="63">
        <f t="shared" si="5"/>
        <v>0</v>
      </c>
      <c r="C79" s="62"/>
      <c r="D79" s="62"/>
      <c r="E79" s="62"/>
      <c r="F79" s="62"/>
      <c r="G79" s="62"/>
      <c r="H79" s="62"/>
      <c r="I79" s="62"/>
      <c r="J79" s="62"/>
      <c r="K79" s="62"/>
      <c r="L79" s="62"/>
      <c r="M79" s="62"/>
      <c r="N79" s="62"/>
    </row>
    <row r="80" spans="1:14" x14ac:dyDescent="0.2">
      <c r="A80" s="61" t="str">
        <f>CMS!A80</f>
        <v>Meeting Expense</v>
      </c>
      <c r="B80" s="63">
        <f t="shared" si="5"/>
        <v>0</v>
      </c>
      <c r="C80" s="63"/>
      <c r="D80" s="62"/>
      <c r="E80" s="62"/>
      <c r="F80" s="62"/>
      <c r="G80" s="62"/>
      <c r="H80" s="62"/>
      <c r="I80" s="62"/>
      <c r="J80" s="62"/>
      <c r="K80" s="62"/>
      <c r="L80" s="62"/>
      <c r="M80" s="62"/>
      <c r="N80" s="62"/>
    </row>
    <row r="81" spans="1:14" s="84" customFormat="1" x14ac:dyDescent="0.2">
      <c r="A81" s="61" t="s">
        <v>272</v>
      </c>
      <c r="B81" s="63">
        <f t="shared" si="5"/>
        <v>780</v>
      </c>
      <c r="C81" s="62">
        <f>C41</f>
        <v>65</v>
      </c>
      <c r="D81" s="62">
        <f t="shared" ref="D81:N81" si="8">D41</f>
        <v>65</v>
      </c>
      <c r="E81" s="62">
        <f t="shared" si="8"/>
        <v>65</v>
      </c>
      <c r="F81" s="62">
        <f t="shared" si="8"/>
        <v>65</v>
      </c>
      <c r="G81" s="62">
        <f t="shared" si="8"/>
        <v>65</v>
      </c>
      <c r="H81" s="62">
        <f t="shared" si="8"/>
        <v>65</v>
      </c>
      <c r="I81" s="62">
        <f t="shared" si="8"/>
        <v>65</v>
      </c>
      <c r="J81" s="62">
        <f t="shared" si="8"/>
        <v>65</v>
      </c>
      <c r="K81" s="62">
        <f t="shared" si="8"/>
        <v>65</v>
      </c>
      <c r="L81" s="62">
        <f t="shared" si="8"/>
        <v>65</v>
      </c>
      <c r="M81" s="62">
        <f t="shared" si="8"/>
        <v>65</v>
      </c>
      <c r="N81" s="62">
        <f t="shared" si="8"/>
        <v>65</v>
      </c>
    </row>
    <row r="82" spans="1:14" s="43" customFormat="1" ht="13.5" thickBot="1" x14ac:dyDescent="0.25">
      <c r="A82" s="61" t="str">
        <f>CMS!A82</f>
        <v>Misc Expense</v>
      </c>
      <c r="B82" s="63">
        <f t="shared" si="5"/>
        <v>5600</v>
      </c>
      <c r="C82" s="62">
        <v>2800</v>
      </c>
      <c r="D82" s="93"/>
      <c r="E82" s="93">
        <v>2800</v>
      </c>
      <c r="F82" s="93"/>
      <c r="G82" s="93"/>
      <c r="H82" s="93"/>
      <c r="I82" s="93"/>
      <c r="J82" s="93"/>
      <c r="K82" s="93"/>
      <c r="L82" s="93"/>
      <c r="M82" s="93"/>
      <c r="N82" s="93"/>
    </row>
    <row r="83" spans="1:14" x14ac:dyDescent="0.2">
      <c r="A83" s="64" t="s">
        <v>24</v>
      </c>
      <c r="B83" s="65">
        <f>SUM(B57:B82)</f>
        <v>13713.765590809628</v>
      </c>
      <c r="C83" s="65">
        <f t="shared" ref="C83:N83" si="9">SUM(C57:C82)</f>
        <v>3480.8349744711886</v>
      </c>
      <c r="D83" s="65">
        <f t="shared" si="9"/>
        <v>680.83497447118884</v>
      </c>
      <c r="E83" s="65">
        <f t="shared" si="9"/>
        <v>3480.8349744711886</v>
      </c>
      <c r="F83" s="65">
        <f t="shared" si="9"/>
        <v>674.58451859956233</v>
      </c>
      <c r="G83" s="65">
        <f t="shared" si="9"/>
        <v>674.58451859956233</v>
      </c>
      <c r="H83" s="65">
        <f t="shared" si="9"/>
        <v>674.58451859956233</v>
      </c>
      <c r="I83" s="65">
        <f t="shared" si="9"/>
        <v>674.58451859956233</v>
      </c>
      <c r="J83" s="65">
        <f t="shared" si="9"/>
        <v>674.58451859956233</v>
      </c>
      <c r="K83" s="65">
        <f t="shared" si="9"/>
        <v>674.58451859956233</v>
      </c>
      <c r="L83" s="65">
        <f t="shared" si="9"/>
        <v>674.58451859956233</v>
      </c>
      <c r="M83" s="65">
        <f t="shared" si="9"/>
        <v>674.58451859956233</v>
      </c>
      <c r="N83" s="65">
        <f t="shared" si="9"/>
        <v>674.58451859956233</v>
      </c>
    </row>
    <row r="84" spans="1:14" x14ac:dyDescent="0.2">
      <c r="A84" s="59"/>
      <c r="B84" s="60"/>
      <c r="C84" s="60"/>
      <c r="D84" s="66"/>
      <c r="E84" s="66"/>
      <c r="F84" s="66"/>
      <c r="G84" s="66"/>
      <c r="H84" s="66"/>
      <c r="I84" s="66"/>
      <c r="J84" s="66"/>
      <c r="K84" s="66"/>
      <c r="L84" s="66"/>
      <c r="M84" s="66"/>
      <c r="N84" s="66"/>
    </row>
    <row r="85" spans="1:14" x14ac:dyDescent="0.2">
      <c r="A85" s="28"/>
      <c r="B85" s="86"/>
      <c r="C85" s="86"/>
      <c r="D85" s="86"/>
      <c r="E85" s="86"/>
      <c r="F85" s="86"/>
      <c r="G85" s="86"/>
      <c r="H85" s="86"/>
      <c r="I85" s="86"/>
      <c r="J85" s="86"/>
      <c r="K85" s="86"/>
      <c r="L85" s="86"/>
      <c r="M85" s="86"/>
      <c r="N85" s="86"/>
    </row>
    <row r="86" spans="1:14" x14ac:dyDescent="0.2">
      <c r="A86" s="58" t="s">
        <v>25</v>
      </c>
      <c r="B86" s="60"/>
      <c r="C86" s="60"/>
      <c r="D86" s="66"/>
      <c r="E86" s="66"/>
      <c r="F86" s="66"/>
      <c r="G86" s="66"/>
      <c r="H86" s="66"/>
      <c r="I86" s="66"/>
      <c r="J86" s="66"/>
      <c r="K86" s="66"/>
      <c r="L86" s="66"/>
      <c r="M86" s="66"/>
      <c r="N86" s="66"/>
    </row>
    <row r="87" spans="1:14" x14ac:dyDescent="0.2">
      <c r="A87" s="61" t="s">
        <v>329</v>
      </c>
      <c r="B87" s="63">
        <f>SUM(C87:N87)</f>
        <v>-1375.3069303951877</v>
      </c>
      <c r="C87" s="62">
        <f>SUM('CMS &amp; Fundraising Allocations'!B57)</f>
        <v>-208.76296402009805</v>
      </c>
      <c r="D87" s="62">
        <f>SUM('CMS &amp; Fundraising Allocations'!C57)</f>
        <v>-359.87701674592148</v>
      </c>
      <c r="E87" s="62">
        <f>SUM('CMS &amp; Fundraising Allocations'!D57)</f>
        <v>-539.19508687198993</v>
      </c>
      <c r="F87" s="62">
        <f>SUM('CMS &amp; Fundraising Allocations'!E57)</f>
        <v>-260.19566993583715</v>
      </c>
      <c r="G87" s="62">
        <f>SUM('CMS &amp; Fundraising Allocations'!F57)</f>
        <v>-247.10196361134808</v>
      </c>
      <c r="H87" s="62">
        <f>SUM('CMS &amp; Fundraising Allocations'!G57)</f>
        <v>-295.47257562267362</v>
      </c>
      <c r="I87" s="62">
        <f>SUM('CMS &amp; Fundraising Allocations'!H57)</f>
        <v>-67.879635707599675</v>
      </c>
      <c r="J87" s="62">
        <f>SUM('CMS &amp; Fundraising Allocations'!I57)</f>
        <v>-249.24275970242422</v>
      </c>
      <c r="K87" s="62">
        <f>SUM('CMS &amp; Fundraising Allocations'!J57)</f>
        <v>-255.03215511151393</v>
      </c>
      <c r="L87" s="62">
        <f>SUM('CMS &amp; Fundraising Allocations'!K57)</f>
        <v>-224.98988704272421</v>
      </c>
      <c r="M87" s="62">
        <f>SUM('CMS &amp; Fundraising Allocations'!L57)</f>
        <v>218.15490381004176</v>
      </c>
      <c r="N87" s="62">
        <f>SUM('CMS &amp; Fundraising Allocations'!M57)</f>
        <v>1114.287880166901</v>
      </c>
    </row>
    <row r="88" spans="1:14" x14ac:dyDescent="0.2">
      <c r="A88" s="61" t="s">
        <v>330</v>
      </c>
      <c r="B88" s="63">
        <f>SUM(C88:N88)</f>
        <v>-378.03123586967894</v>
      </c>
      <c r="C88" s="62">
        <f>SUM(-'1020 N State Allocations'!B49)</f>
        <v>-41.024006188427194</v>
      </c>
      <c r="D88" s="62">
        <f>SUM(-'1020 N State Allocations'!C49)</f>
        <v>-41.024006188427194</v>
      </c>
      <c r="E88" s="62">
        <f>SUM(-'1020 N State Allocations'!D49)</f>
        <v>-41.024006188427194</v>
      </c>
      <c r="F88" s="62">
        <f>SUM(-'1020 N State Allocations'!E49)</f>
        <v>-29.724624000537275</v>
      </c>
      <c r="G88" s="62">
        <f>SUM(-'1020 N State Allocations'!F49)</f>
        <v>-29.485347565082865</v>
      </c>
      <c r="H88" s="62">
        <f>SUM(-'1020 N State Allocations'!G49)</f>
        <v>-28.771994958341306</v>
      </c>
      <c r="I88" s="62">
        <f>SUM(-'1020 N State Allocations'!H49)</f>
        <v>-27.980753223308273</v>
      </c>
      <c r="J88" s="62">
        <f>SUM(-'1020 N State Allocations'!I49)</f>
        <v>-27.980753223308273</v>
      </c>
      <c r="K88" s="62">
        <f>SUM(-'1020 N State Allocations'!J49)</f>
        <v>-27.722392053629999</v>
      </c>
      <c r="L88" s="62">
        <f>SUM(-'1020 N State Allocations'!K49)</f>
        <v>-27.722392053629999</v>
      </c>
      <c r="M88" s="62">
        <f>SUM(-'1020 N State Allocations'!L49)</f>
        <v>-27.785480113279672</v>
      </c>
      <c r="N88" s="62">
        <f>SUM(-'1020 N State Allocations'!M49)</f>
        <v>-27.785480113279672</v>
      </c>
    </row>
    <row r="89" spans="1:14" ht="13.5" thickBot="1" x14ac:dyDescent="0.25">
      <c r="A89" s="61"/>
      <c r="B89" s="63">
        <f>SUM(C89:N89)</f>
        <v>0</v>
      </c>
      <c r="C89" s="63"/>
      <c r="D89" s="62"/>
      <c r="E89" s="62"/>
      <c r="F89" s="62"/>
      <c r="G89" s="62"/>
      <c r="H89" s="62"/>
      <c r="I89" s="62"/>
      <c r="J89" s="62"/>
      <c r="K89" s="62"/>
      <c r="L89" s="62"/>
      <c r="M89" s="62"/>
      <c r="N89" s="62"/>
    </row>
    <row r="90" spans="1:14" x14ac:dyDescent="0.2">
      <c r="A90" s="64" t="s">
        <v>26</v>
      </c>
      <c r="B90" s="65">
        <f t="shared" ref="B90:N90" si="10">SUM(B87:B89)</f>
        <v>-1753.3381662648667</v>
      </c>
      <c r="C90" s="65">
        <f t="shared" si="10"/>
        <v>-249.78697020852525</v>
      </c>
      <c r="D90" s="65">
        <f t="shared" si="10"/>
        <v>-400.9010229343487</v>
      </c>
      <c r="E90" s="65">
        <f t="shared" si="10"/>
        <v>-580.21909306041709</v>
      </c>
      <c r="F90" s="65">
        <f t="shared" si="10"/>
        <v>-289.92029393637443</v>
      </c>
      <c r="G90" s="65">
        <f t="shared" si="10"/>
        <v>-276.58731117643094</v>
      </c>
      <c r="H90" s="65">
        <f t="shared" si="10"/>
        <v>-324.2445705810149</v>
      </c>
      <c r="I90" s="65">
        <f t="shared" si="10"/>
        <v>-95.860388930907945</v>
      </c>
      <c r="J90" s="65">
        <f t="shared" si="10"/>
        <v>-277.22351292573251</v>
      </c>
      <c r="K90" s="65">
        <f t="shared" si="10"/>
        <v>-282.75454716514395</v>
      </c>
      <c r="L90" s="65">
        <f t="shared" si="10"/>
        <v>-252.71227909635419</v>
      </c>
      <c r="M90" s="65">
        <f t="shared" si="10"/>
        <v>190.36942369676208</v>
      </c>
      <c r="N90" s="65">
        <f t="shared" si="10"/>
        <v>1086.5024000536214</v>
      </c>
    </row>
    <row r="91" spans="1:14" x14ac:dyDescent="0.2">
      <c r="A91" s="59"/>
      <c r="B91" s="60"/>
      <c r="C91" s="60"/>
      <c r="D91" s="66"/>
      <c r="E91" s="66"/>
      <c r="F91" s="66"/>
      <c r="G91" s="66"/>
      <c r="H91" s="66"/>
      <c r="I91" s="66"/>
      <c r="J91" s="66"/>
      <c r="K91" s="66"/>
      <c r="L91" s="66"/>
      <c r="M91" s="66"/>
      <c r="N91" s="66"/>
    </row>
    <row r="92" spans="1:14" s="84" customFormat="1" x14ac:dyDescent="0.2">
      <c r="A92" s="265" t="s">
        <v>405</v>
      </c>
      <c r="B92" s="266"/>
      <c r="C92" s="266">
        <f>SUM(C46-C53-C83-C90)</f>
        <v>7373.4423128332264</v>
      </c>
      <c r="D92" s="266">
        <f t="shared" ref="D92:N92" si="11">SUM(D46-D53-D83-D90)</f>
        <v>279.91074692891357</v>
      </c>
      <c r="E92" s="266">
        <f t="shared" si="11"/>
        <v>-4129.1255643148806</v>
      </c>
      <c r="F92" s="266">
        <f t="shared" si="11"/>
        <v>-1273.6215608549687</v>
      </c>
      <c r="G92" s="266">
        <f t="shared" si="11"/>
        <v>8713.0454563850872</v>
      </c>
      <c r="H92" s="266">
        <f t="shared" si="11"/>
        <v>-1207.0014518815613</v>
      </c>
      <c r="I92" s="266">
        <f t="shared" si="11"/>
        <v>-1467.6814658604353</v>
      </c>
      <c r="J92" s="266">
        <f t="shared" si="11"/>
        <v>-1254.0225095368437</v>
      </c>
      <c r="K92" s="266">
        <f t="shared" si="11"/>
        <v>-1280.7873076261992</v>
      </c>
      <c r="L92" s="266">
        <f t="shared" si="11"/>
        <v>-1310.829575694989</v>
      </c>
      <c r="M92" s="266">
        <f t="shared" si="11"/>
        <v>-1657.023781501804</v>
      </c>
      <c r="N92" s="267">
        <f t="shared" si="11"/>
        <v>-2650.0442548449646</v>
      </c>
    </row>
    <row r="93" spans="1:14" s="84" customFormat="1" x14ac:dyDescent="0.2">
      <c r="A93" s="59"/>
      <c r="B93" s="60"/>
      <c r="C93" s="60"/>
      <c r="D93" s="66"/>
      <c r="E93" s="66"/>
      <c r="F93" s="66"/>
      <c r="G93" s="66"/>
      <c r="H93" s="66"/>
      <c r="I93" s="66"/>
      <c r="J93" s="66"/>
      <c r="K93" s="66"/>
      <c r="L93" s="66"/>
      <c r="M93" s="66"/>
      <c r="N93" s="66"/>
    </row>
    <row r="94" spans="1:14" x14ac:dyDescent="0.2">
      <c r="A94" s="59"/>
      <c r="B94" s="86" t="str">
        <f>B5</f>
        <v>Total</v>
      </c>
      <c r="C94" s="86"/>
      <c r="D94" s="66"/>
      <c r="E94" s="66"/>
      <c r="F94" s="66"/>
      <c r="G94" s="66"/>
      <c r="H94" s="66"/>
      <c r="I94" s="66"/>
      <c r="J94" s="66"/>
      <c r="K94" s="66"/>
      <c r="L94" s="66"/>
      <c r="M94" s="66"/>
      <c r="N94" s="66"/>
    </row>
    <row r="95" spans="1:14" x14ac:dyDescent="0.2">
      <c r="A95" s="58" t="s">
        <v>31</v>
      </c>
      <c r="B95" s="60">
        <f>SUM(B46)</f>
        <v>25106</v>
      </c>
      <c r="C95" s="81"/>
      <c r="D95" s="66"/>
      <c r="E95" s="66"/>
      <c r="F95" s="66"/>
      <c r="G95" s="66"/>
      <c r="H95" s="66"/>
      <c r="I95" s="66"/>
      <c r="J95" s="66"/>
      <c r="K95" s="66"/>
      <c r="L95" s="66"/>
      <c r="M95" s="66"/>
      <c r="N95" s="66"/>
    </row>
    <row r="96" spans="1:14" x14ac:dyDescent="0.2">
      <c r="A96" s="58" t="s">
        <v>32</v>
      </c>
      <c r="B96" s="60">
        <f>-B53</f>
        <v>-13009.311531424657</v>
      </c>
      <c r="C96" s="81"/>
      <c r="D96" s="66"/>
      <c r="E96" s="66"/>
      <c r="F96" s="66"/>
      <c r="G96" s="66"/>
      <c r="H96" s="66"/>
      <c r="I96" s="66"/>
      <c r="J96" s="66"/>
      <c r="K96" s="66"/>
      <c r="L96" s="66"/>
      <c r="M96" s="66"/>
      <c r="N96" s="66"/>
    </row>
    <row r="97" spans="1:14" x14ac:dyDescent="0.2">
      <c r="A97" s="58" t="s">
        <v>33</v>
      </c>
      <c r="B97" s="60">
        <f>SUM(-B83)</f>
        <v>-13713.765590809628</v>
      </c>
      <c r="C97" s="81"/>
      <c r="D97" s="66"/>
      <c r="E97" s="66"/>
      <c r="F97" s="66"/>
      <c r="G97" s="66"/>
      <c r="H97" s="66"/>
      <c r="I97" s="66"/>
      <c r="J97" s="66"/>
      <c r="K97" s="66"/>
      <c r="L97" s="66"/>
      <c r="M97" s="66"/>
      <c r="N97" s="66"/>
    </row>
    <row r="98" spans="1:14" x14ac:dyDescent="0.2">
      <c r="A98" s="58" t="s">
        <v>182</v>
      </c>
      <c r="B98" s="60">
        <f>SUM(B90)</f>
        <v>-1753.3381662648667</v>
      </c>
      <c r="C98" s="81"/>
      <c r="D98" s="66"/>
      <c r="E98" s="66"/>
      <c r="F98" s="66"/>
      <c r="G98" s="66"/>
      <c r="H98" s="66"/>
      <c r="I98" s="66"/>
      <c r="J98" s="66"/>
      <c r="K98" s="66"/>
      <c r="L98" s="66"/>
      <c r="M98" s="66"/>
      <c r="N98" s="66"/>
    </row>
    <row r="99" spans="1:14" x14ac:dyDescent="0.2">
      <c r="A99" s="87" t="s">
        <v>35</v>
      </c>
      <c r="B99" s="88">
        <f>SUM(B95:B98)</f>
        <v>-3370.4152884991513</v>
      </c>
      <c r="C99" s="81"/>
      <c r="D99" s="66"/>
      <c r="E99" s="73"/>
      <c r="F99" s="66"/>
      <c r="G99" s="81"/>
      <c r="H99" s="81"/>
      <c r="I99" s="66"/>
      <c r="J99" s="66"/>
      <c r="K99" s="66"/>
      <c r="L99" s="66"/>
      <c r="M99" s="66"/>
      <c r="N99" s="66"/>
    </row>
    <row r="100" spans="1:14" x14ac:dyDescent="0.2">
      <c r="A100" s="59"/>
      <c r="B100" s="60"/>
      <c r="C100" s="81"/>
      <c r="D100" s="66"/>
      <c r="E100" s="66"/>
      <c r="F100" s="66"/>
      <c r="G100" s="66"/>
      <c r="H100" s="66"/>
      <c r="I100" s="66"/>
      <c r="J100" s="66"/>
      <c r="K100" s="66"/>
      <c r="L100" s="66"/>
      <c r="M100" s="66"/>
      <c r="N100" s="66"/>
    </row>
    <row r="101" spans="1:14" x14ac:dyDescent="0.2">
      <c r="A101" s="59"/>
      <c r="B101" s="60"/>
      <c r="C101" s="60"/>
      <c r="D101" s="66"/>
      <c r="E101" s="66"/>
      <c r="F101" s="66"/>
      <c r="G101" s="66"/>
      <c r="H101" s="66"/>
      <c r="I101" s="66"/>
      <c r="J101" s="66"/>
      <c r="K101" s="66"/>
      <c r="L101" s="66"/>
      <c r="M101" s="66"/>
      <c r="N101" s="66"/>
    </row>
    <row r="102" spans="1:14" x14ac:dyDescent="0.2">
      <c r="A102" s="58"/>
      <c r="B102" s="60" t="s">
        <v>183</v>
      </c>
      <c r="C102" s="75">
        <f>SUM(C108+C121+C134+C147+C160+C173+C186+C199)</f>
        <v>0.36</v>
      </c>
      <c r="D102" s="75">
        <f t="shared" ref="D102:N102" si="12">SUM(D108+D121+D134+D147+D160+D173+D186+D199)</f>
        <v>0.36</v>
      </c>
      <c r="E102" s="75">
        <f t="shared" si="12"/>
        <v>0.36</v>
      </c>
      <c r="F102" s="75">
        <f t="shared" si="12"/>
        <v>0.26</v>
      </c>
      <c r="G102" s="75">
        <f t="shared" si="12"/>
        <v>0.26</v>
      </c>
      <c r="H102" s="75">
        <f t="shared" si="12"/>
        <v>0.26</v>
      </c>
      <c r="I102" s="75">
        <f t="shared" si="12"/>
        <v>0.26</v>
      </c>
      <c r="J102" s="75">
        <f t="shared" si="12"/>
        <v>0.26</v>
      </c>
      <c r="K102" s="75">
        <f t="shared" si="12"/>
        <v>0.26</v>
      </c>
      <c r="L102" s="75">
        <f t="shared" si="12"/>
        <v>0.26</v>
      </c>
      <c r="M102" s="75">
        <f t="shared" si="12"/>
        <v>0.26</v>
      </c>
      <c r="N102" s="75">
        <f t="shared" si="12"/>
        <v>0.26</v>
      </c>
    </row>
    <row r="103" spans="1:14" x14ac:dyDescent="0.2">
      <c r="A103" s="58"/>
      <c r="B103" s="60"/>
      <c r="C103" s="73"/>
      <c r="D103" s="66"/>
      <c r="E103" s="66"/>
      <c r="F103" s="66"/>
      <c r="G103" s="66"/>
      <c r="H103" s="66"/>
      <c r="I103" s="66"/>
      <c r="J103" s="66"/>
      <c r="K103" s="66"/>
      <c r="L103" s="66"/>
      <c r="M103" s="66"/>
      <c r="N103" s="84"/>
    </row>
    <row r="104" spans="1:14" x14ac:dyDescent="0.2">
      <c r="A104" s="116" t="s">
        <v>184</v>
      </c>
      <c r="B104" s="92"/>
      <c r="C104" s="25"/>
      <c r="D104" s="91"/>
      <c r="E104" s="91"/>
      <c r="F104" s="91"/>
      <c r="G104" s="91"/>
      <c r="H104" s="91"/>
      <c r="I104" s="91"/>
      <c r="J104" s="91"/>
      <c r="K104" s="91"/>
      <c r="L104" s="91"/>
      <c r="M104" s="91"/>
      <c r="N104" s="27"/>
    </row>
    <row r="105" spans="1:14" hidden="1" x14ac:dyDescent="0.2">
      <c r="A105" s="59"/>
      <c r="B105" s="60"/>
      <c r="C105" s="89" t="str">
        <f t="shared" ref="C105:N105" si="13">C5</f>
        <v>January</v>
      </c>
      <c r="D105" s="89" t="str">
        <f t="shared" si="13"/>
        <v>February</v>
      </c>
      <c r="E105" s="89" t="str">
        <f t="shared" si="13"/>
        <v>March</v>
      </c>
      <c r="F105" s="89" t="str">
        <f t="shared" si="13"/>
        <v>April</v>
      </c>
      <c r="G105" s="89" t="str">
        <f t="shared" si="13"/>
        <v>May</v>
      </c>
      <c r="H105" s="89" t="str">
        <f t="shared" si="13"/>
        <v>June</v>
      </c>
      <c r="I105" s="89" t="str">
        <f t="shared" si="13"/>
        <v>July</v>
      </c>
      <c r="J105" s="89" t="str">
        <f t="shared" si="13"/>
        <v>August</v>
      </c>
      <c r="K105" s="89" t="str">
        <f t="shared" si="13"/>
        <v>September</v>
      </c>
      <c r="L105" s="89" t="str">
        <f t="shared" si="13"/>
        <v>October</v>
      </c>
      <c r="M105" s="89" t="str">
        <f t="shared" si="13"/>
        <v>November</v>
      </c>
      <c r="N105" s="89" t="str">
        <f t="shared" si="13"/>
        <v>December</v>
      </c>
    </row>
    <row r="106" spans="1:14" hidden="1" x14ac:dyDescent="0.2">
      <c r="A106" s="59"/>
      <c r="B106" s="60"/>
      <c r="C106" s="72">
        <v>30</v>
      </c>
      <c r="D106" s="72">
        <v>31</v>
      </c>
      <c r="E106" s="72">
        <v>30</v>
      </c>
      <c r="F106" s="72">
        <v>31</v>
      </c>
      <c r="G106" s="72">
        <v>31</v>
      </c>
      <c r="H106" s="72">
        <v>30</v>
      </c>
      <c r="I106" s="72">
        <v>31</v>
      </c>
      <c r="J106" s="72">
        <v>30</v>
      </c>
      <c r="K106" s="72">
        <v>31</v>
      </c>
      <c r="L106" s="72">
        <v>31</v>
      </c>
      <c r="M106" s="72">
        <v>28</v>
      </c>
      <c r="N106" s="71">
        <v>31</v>
      </c>
    </row>
    <row r="107" spans="1:14" hidden="1" x14ac:dyDescent="0.2">
      <c r="A107" s="59"/>
      <c r="B107" s="78" t="s">
        <v>185</v>
      </c>
      <c r="C107" s="72"/>
      <c r="D107" s="72">
        <v>1</v>
      </c>
      <c r="E107" s="72"/>
      <c r="F107" s="72">
        <v>1</v>
      </c>
      <c r="G107" s="72"/>
      <c r="H107" s="72">
        <v>1</v>
      </c>
      <c r="I107" s="72">
        <v>1</v>
      </c>
      <c r="J107" s="72">
        <v>1</v>
      </c>
      <c r="K107" s="72">
        <v>1</v>
      </c>
      <c r="L107" s="72">
        <v>2</v>
      </c>
      <c r="M107" s="72">
        <v>1</v>
      </c>
      <c r="N107" s="84"/>
    </row>
    <row r="108" spans="1:14" hidden="1" x14ac:dyDescent="0.2">
      <c r="A108" s="59"/>
      <c r="B108" s="78" t="s">
        <v>44</v>
      </c>
      <c r="C108" s="37"/>
      <c r="D108" s="37"/>
      <c r="E108" s="37"/>
      <c r="F108" s="37"/>
      <c r="G108" s="37"/>
      <c r="H108" s="37"/>
      <c r="I108" s="37"/>
      <c r="J108" s="37"/>
      <c r="K108" s="37"/>
      <c r="L108" s="37"/>
      <c r="M108" s="37"/>
      <c r="N108" s="37"/>
    </row>
    <row r="109" spans="1:14" hidden="1" x14ac:dyDescent="0.2">
      <c r="A109" s="59"/>
      <c r="B109" s="78" t="s">
        <v>186</v>
      </c>
      <c r="C109" s="72">
        <f>SUM(174*C108)</f>
        <v>0</v>
      </c>
      <c r="D109" s="72">
        <f t="shared" ref="D109:N109" si="14">SUM(174*D108)</f>
        <v>0</v>
      </c>
      <c r="E109" s="72">
        <f t="shared" si="14"/>
        <v>0</v>
      </c>
      <c r="F109" s="72">
        <f t="shared" si="14"/>
        <v>0</v>
      </c>
      <c r="G109" s="72">
        <f t="shared" si="14"/>
        <v>0</v>
      </c>
      <c r="H109" s="72">
        <f t="shared" si="14"/>
        <v>0</v>
      </c>
      <c r="I109" s="72">
        <f t="shared" si="14"/>
        <v>0</v>
      </c>
      <c r="J109" s="72">
        <f t="shared" si="14"/>
        <v>0</v>
      </c>
      <c r="K109" s="72">
        <f t="shared" si="14"/>
        <v>0</v>
      </c>
      <c r="L109" s="72">
        <f t="shared" si="14"/>
        <v>0</v>
      </c>
      <c r="M109" s="72">
        <f t="shared" si="14"/>
        <v>0</v>
      </c>
      <c r="N109" s="72">
        <f t="shared" si="14"/>
        <v>0</v>
      </c>
    </row>
    <row r="110" spans="1:14" hidden="1" x14ac:dyDescent="0.2">
      <c r="A110" s="59" t="s">
        <v>193</v>
      </c>
      <c r="B110" s="78" t="s">
        <v>258</v>
      </c>
      <c r="C110" s="66">
        <f t="shared" ref="C110:N110" si="15">SUM(2080*$B$111/365*C106)*C108</f>
        <v>0</v>
      </c>
      <c r="D110" s="66">
        <f t="shared" si="15"/>
        <v>0</v>
      </c>
      <c r="E110" s="66">
        <f t="shared" si="15"/>
        <v>0</v>
      </c>
      <c r="F110" s="66">
        <f t="shared" si="15"/>
        <v>0</v>
      </c>
      <c r="G110" s="66">
        <f t="shared" si="15"/>
        <v>0</v>
      </c>
      <c r="H110" s="66">
        <f t="shared" si="15"/>
        <v>0</v>
      </c>
      <c r="I110" s="66">
        <f t="shared" si="15"/>
        <v>0</v>
      </c>
      <c r="J110" s="66">
        <f t="shared" si="15"/>
        <v>0</v>
      </c>
      <c r="K110" s="66">
        <f t="shared" si="15"/>
        <v>0</v>
      </c>
      <c r="L110" s="66">
        <f t="shared" si="15"/>
        <v>0</v>
      </c>
      <c r="M110" s="66">
        <f t="shared" si="15"/>
        <v>0</v>
      </c>
      <c r="N110" s="66">
        <f t="shared" si="15"/>
        <v>0</v>
      </c>
    </row>
    <row r="111" spans="1:14" hidden="1" x14ac:dyDescent="0.2">
      <c r="A111" s="59" t="s">
        <v>188</v>
      </c>
      <c r="B111" s="74"/>
      <c r="C111" s="66">
        <f>SUM(C110)*'Data Links'!$B$15</f>
        <v>0</v>
      </c>
      <c r="D111" s="66">
        <f>SUM(D110)*'Data Links'!$B$15</f>
        <v>0</v>
      </c>
      <c r="E111" s="66">
        <f>SUM(E110)*'Data Links'!$B$15</f>
        <v>0</v>
      </c>
      <c r="F111" s="66">
        <f>SUM(F110)*'Data Links'!$B$15</f>
        <v>0</v>
      </c>
      <c r="G111" s="66">
        <f>SUM(G110)*'Data Links'!$B$15</f>
        <v>0</v>
      </c>
      <c r="H111" s="66">
        <f>SUM(H110)*'Data Links'!$B$15</f>
        <v>0</v>
      </c>
      <c r="I111" s="66">
        <f>SUM(I110)*'Data Links'!$B$15</f>
        <v>0</v>
      </c>
      <c r="J111" s="66">
        <f>SUM(J110)*'Data Links'!$B$15</f>
        <v>0</v>
      </c>
      <c r="K111" s="66">
        <f>SUM(K110)*'Data Links'!$B$15</f>
        <v>0</v>
      </c>
      <c r="L111" s="66">
        <f>SUM(L110)*'Data Links'!$B$15</f>
        <v>0</v>
      </c>
      <c r="M111" s="66">
        <f>SUM(M110)*'Data Links'!$B$15</f>
        <v>0</v>
      </c>
      <c r="N111" s="66">
        <f>SUM(N110)*'Data Links'!$B$15</f>
        <v>0</v>
      </c>
    </row>
    <row r="112" spans="1:14" hidden="1" x14ac:dyDescent="0.2">
      <c r="A112" s="59" t="s">
        <v>189</v>
      </c>
      <c r="B112" s="60"/>
      <c r="C112" s="66"/>
      <c r="D112" s="66"/>
      <c r="E112" s="66"/>
      <c r="F112" s="66"/>
      <c r="G112" s="66"/>
      <c r="H112" s="66"/>
      <c r="I112" s="66"/>
      <c r="J112" s="66"/>
      <c r="K112" s="66"/>
      <c r="L112" s="66"/>
      <c r="M112" s="66"/>
      <c r="N112" s="66"/>
    </row>
    <row r="113" spans="1:14" hidden="1" x14ac:dyDescent="0.2">
      <c r="A113" s="59" t="s">
        <v>190</v>
      </c>
      <c r="B113" s="60"/>
      <c r="C113" s="66"/>
      <c r="D113" s="66"/>
      <c r="E113" s="66"/>
      <c r="F113" s="66"/>
      <c r="G113" s="66"/>
      <c r="H113" s="66"/>
      <c r="I113" s="66"/>
      <c r="J113" s="66"/>
      <c r="K113" s="66"/>
      <c r="L113" s="66"/>
      <c r="M113" s="66"/>
      <c r="N113" s="66"/>
    </row>
    <row r="114" spans="1:14" hidden="1" x14ac:dyDescent="0.2">
      <c r="A114" s="59" t="s">
        <v>191</v>
      </c>
      <c r="B114" s="60"/>
      <c r="C114" s="66"/>
      <c r="D114" s="66"/>
      <c r="E114" s="66"/>
      <c r="F114" s="66"/>
      <c r="G114" s="66"/>
      <c r="H114" s="66"/>
      <c r="I114" s="66"/>
      <c r="J114" s="66"/>
      <c r="K114" s="66"/>
      <c r="L114" s="66"/>
      <c r="M114" s="66"/>
      <c r="N114" s="66"/>
    </row>
    <row r="115" spans="1:14" hidden="1" x14ac:dyDescent="0.2">
      <c r="A115" s="59" t="s">
        <v>192</v>
      </c>
      <c r="B115" s="60"/>
      <c r="C115" s="66"/>
      <c r="D115" s="66"/>
      <c r="E115" s="66"/>
      <c r="F115" s="66"/>
      <c r="G115" s="66"/>
      <c r="H115" s="66"/>
      <c r="I115" s="66"/>
      <c r="J115" s="66"/>
      <c r="K115" s="66"/>
      <c r="L115" s="66"/>
      <c r="M115" s="66"/>
      <c r="N115" s="66"/>
    </row>
    <row r="116" spans="1:14" s="29" customFormat="1" hidden="1" x14ac:dyDescent="0.2">
      <c r="A116" s="58" t="s">
        <v>144</v>
      </c>
      <c r="B116" s="60"/>
      <c r="C116" s="60">
        <f t="shared" ref="C116:N116" si="16">SUM(C110:C115)</f>
        <v>0</v>
      </c>
      <c r="D116" s="60">
        <f t="shared" si="16"/>
        <v>0</v>
      </c>
      <c r="E116" s="60">
        <f t="shared" si="16"/>
        <v>0</v>
      </c>
      <c r="F116" s="60">
        <f t="shared" si="16"/>
        <v>0</v>
      </c>
      <c r="G116" s="60">
        <f t="shared" si="16"/>
        <v>0</v>
      </c>
      <c r="H116" s="60">
        <f t="shared" si="16"/>
        <v>0</v>
      </c>
      <c r="I116" s="60">
        <f t="shared" si="16"/>
        <v>0</v>
      </c>
      <c r="J116" s="60">
        <f t="shared" si="16"/>
        <v>0</v>
      </c>
      <c r="K116" s="60">
        <f t="shared" si="16"/>
        <v>0</v>
      </c>
      <c r="L116" s="60">
        <f t="shared" si="16"/>
        <v>0</v>
      </c>
      <c r="M116" s="60">
        <f t="shared" si="16"/>
        <v>0</v>
      </c>
      <c r="N116" s="60">
        <f t="shared" si="16"/>
        <v>0</v>
      </c>
    </row>
    <row r="117" spans="1:14" x14ac:dyDescent="0.2">
      <c r="A117" s="59"/>
      <c r="B117" s="60"/>
      <c r="C117" s="60"/>
      <c r="D117" s="66"/>
      <c r="E117" s="66"/>
      <c r="F117" s="66"/>
      <c r="G117" s="66"/>
      <c r="H117" s="66"/>
      <c r="I117" s="66"/>
      <c r="J117" s="66"/>
      <c r="K117" s="66"/>
      <c r="L117" s="66"/>
      <c r="M117" s="66"/>
      <c r="N117" s="66"/>
    </row>
    <row r="118" spans="1:14" hidden="1" x14ac:dyDescent="0.2">
      <c r="A118" s="59"/>
      <c r="B118" s="60"/>
      <c r="C118" s="89" t="str">
        <f>C105</f>
        <v>January</v>
      </c>
      <c r="D118" s="89" t="str">
        <f t="shared" ref="D118:N120" si="17">D105</f>
        <v>February</v>
      </c>
      <c r="E118" s="89" t="str">
        <f t="shared" si="17"/>
        <v>March</v>
      </c>
      <c r="F118" s="89" t="str">
        <f t="shared" si="17"/>
        <v>April</v>
      </c>
      <c r="G118" s="89" t="str">
        <f t="shared" si="17"/>
        <v>May</v>
      </c>
      <c r="H118" s="89" t="str">
        <f t="shared" si="17"/>
        <v>June</v>
      </c>
      <c r="I118" s="89" t="str">
        <f t="shared" si="17"/>
        <v>July</v>
      </c>
      <c r="J118" s="89" t="str">
        <f t="shared" si="17"/>
        <v>August</v>
      </c>
      <c r="K118" s="89" t="str">
        <f t="shared" si="17"/>
        <v>September</v>
      </c>
      <c r="L118" s="89" t="str">
        <f t="shared" si="17"/>
        <v>October</v>
      </c>
      <c r="M118" s="89" t="str">
        <f t="shared" si="17"/>
        <v>November</v>
      </c>
      <c r="N118" s="89" t="str">
        <f t="shared" si="17"/>
        <v>December</v>
      </c>
    </row>
    <row r="119" spans="1:14" hidden="1" x14ac:dyDescent="0.2">
      <c r="A119" s="59"/>
      <c r="B119" s="60"/>
      <c r="C119" s="72">
        <f>C106</f>
        <v>30</v>
      </c>
      <c r="D119" s="72">
        <f t="shared" si="17"/>
        <v>31</v>
      </c>
      <c r="E119" s="72">
        <f t="shared" si="17"/>
        <v>30</v>
      </c>
      <c r="F119" s="72">
        <f t="shared" si="17"/>
        <v>31</v>
      </c>
      <c r="G119" s="72">
        <f t="shared" si="17"/>
        <v>31</v>
      </c>
      <c r="H119" s="72">
        <f t="shared" si="17"/>
        <v>30</v>
      </c>
      <c r="I119" s="72">
        <f t="shared" si="17"/>
        <v>31</v>
      </c>
      <c r="J119" s="72">
        <f t="shared" si="17"/>
        <v>30</v>
      </c>
      <c r="K119" s="72">
        <f t="shared" si="17"/>
        <v>31</v>
      </c>
      <c r="L119" s="72">
        <f t="shared" si="17"/>
        <v>31</v>
      </c>
      <c r="M119" s="72">
        <f t="shared" si="17"/>
        <v>28</v>
      </c>
      <c r="N119" s="72">
        <f t="shared" si="17"/>
        <v>31</v>
      </c>
    </row>
    <row r="120" spans="1:14" hidden="1" x14ac:dyDescent="0.2">
      <c r="A120" s="59"/>
      <c r="B120" s="78" t="s">
        <v>185</v>
      </c>
      <c r="C120" s="72">
        <f>C107</f>
        <v>0</v>
      </c>
      <c r="D120" s="72">
        <f t="shared" si="17"/>
        <v>1</v>
      </c>
      <c r="E120" s="72">
        <f t="shared" si="17"/>
        <v>0</v>
      </c>
      <c r="F120" s="72">
        <f t="shared" si="17"/>
        <v>1</v>
      </c>
      <c r="G120" s="72">
        <f t="shared" si="17"/>
        <v>0</v>
      </c>
      <c r="H120" s="72">
        <f t="shared" si="17"/>
        <v>1</v>
      </c>
      <c r="I120" s="72">
        <f t="shared" si="17"/>
        <v>1</v>
      </c>
      <c r="J120" s="72">
        <f t="shared" si="17"/>
        <v>1</v>
      </c>
      <c r="K120" s="72">
        <f t="shared" si="17"/>
        <v>1</v>
      </c>
      <c r="L120" s="72">
        <f t="shared" si="17"/>
        <v>2</v>
      </c>
      <c r="M120" s="72">
        <f t="shared" si="17"/>
        <v>1</v>
      </c>
      <c r="N120" s="72">
        <f t="shared" si="17"/>
        <v>0</v>
      </c>
    </row>
    <row r="121" spans="1:14" hidden="1" x14ac:dyDescent="0.2">
      <c r="A121" s="59"/>
      <c r="B121" s="78" t="s">
        <v>44</v>
      </c>
      <c r="C121" s="37"/>
      <c r="D121" s="37"/>
      <c r="E121" s="37"/>
      <c r="F121" s="37"/>
      <c r="G121" s="37"/>
      <c r="H121" s="37"/>
      <c r="I121" s="37"/>
      <c r="J121" s="37"/>
      <c r="K121" s="37"/>
      <c r="L121" s="37"/>
      <c r="M121" s="37"/>
      <c r="N121" s="37"/>
    </row>
    <row r="122" spans="1:14" hidden="1" x14ac:dyDescent="0.2">
      <c r="A122" s="59"/>
      <c r="B122" s="78" t="s">
        <v>186</v>
      </c>
      <c r="C122" s="72">
        <f>SUM(174*C121)</f>
        <v>0</v>
      </c>
      <c r="D122" s="72">
        <f t="shared" ref="D122:N122" si="18">SUM(174*D121)</f>
        <v>0</v>
      </c>
      <c r="E122" s="72">
        <f t="shared" si="18"/>
        <v>0</v>
      </c>
      <c r="F122" s="72">
        <f t="shared" si="18"/>
        <v>0</v>
      </c>
      <c r="G122" s="72">
        <f t="shared" si="18"/>
        <v>0</v>
      </c>
      <c r="H122" s="72">
        <f t="shared" si="18"/>
        <v>0</v>
      </c>
      <c r="I122" s="72">
        <f t="shared" si="18"/>
        <v>0</v>
      </c>
      <c r="J122" s="72">
        <f t="shared" si="18"/>
        <v>0</v>
      </c>
      <c r="K122" s="72">
        <f t="shared" si="18"/>
        <v>0</v>
      </c>
      <c r="L122" s="72">
        <f t="shared" si="18"/>
        <v>0</v>
      </c>
      <c r="M122" s="72">
        <f t="shared" si="18"/>
        <v>0</v>
      </c>
      <c r="N122" s="72">
        <f t="shared" si="18"/>
        <v>0</v>
      </c>
    </row>
    <row r="123" spans="1:14" hidden="1" x14ac:dyDescent="0.2">
      <c r="A123" s="59" t="s">
        <v>193</v>
      </c>
      <c r="B123" s="78" t="s">
        <v>187</v>
      </c>
      <c r="C123" s="66">
        <f t="shared" ref="C123:L123" si="19">SUM(2080*$B$124/365*C119)*C121</f>
        <v>0</v>
      </c>
      <c r="D123" s="66">
        <f t="shared" si="19"/>
        <v>0</v>
      </c>
      <c r="E123" s="66">
        <f t="shared" si="19"/>
        <v>0</v>
      </c>
      <c r="F123" s="66">
        <f t="shared" si="19"/>
        <v>0</v>
      </c>
      <c r="G123" s="66">
        <f t="shared" si="19"/>
        <v>0</v>
      </c>
      <c r="H123" s="66">
        <f t="shared" si="19"/>
        <v>0</v>
      </c>
      <c r="I123" s="66">
        <f t="shared" si="19"/>
        <v>0</v>
      </c>
      <c r="J123" s="66">
        <f t="shared" si="19"/>
        <v>0</v>
      </c>
      <c r="K123" s="66">
        <f t="shared" si="19"/>
        <v>0</v>
      </c>
      <c r="L123" s="66">
        <f t="shared" si="19"/>
        <v>0</v>
      </c>
      <c r="M123" s="66">
        <f>SUM(2080*$B$124/365*M119)*M121*'Data Links'!$B$3</f>
        <v>0</v>
      </c>
      <c r="N123" s="66">
        <f>SUM(2080*$B$124/365*N119)*N121*'Data Links'!$B$3</f>
        <v>0</v>
      </c>
    </row>
    <row r="124" spans="1:14" hidden="1" x14ac:dyDescent="0.2">
      <c r="A124" s="59" t="s">
        <v>188</v>
      </c>
      <c r="B124" s="74"/>
      <c r="C124" s="66">
        <f>SUM(C123)*'Data Links'!$B$15</f>
        <v>0</v>
      </c>
      <c r="D124" s="66">
        <f>SUM(D123)*'Data Links'!$B$15</f>
        <v>0</v>
      </c>
      <c r="E124" s="66">
        <f>SUM(E123)*'Data Links'!$B$15</f>
        <v>0</v>
      </c>
      <c r="F124" s="66">
        <f>SUM(F123)*'Data Links'!$B$15</f>
        <v>0</v>
      </c>
      <c r="G124" s="66">
        <f>SUM(G123)*'Data Links'!$B$15</f>
        <v>0</v>
      </c>
      <c r="H124" s="66">
        <f>SUM(H123)*'Data Links'!$B$15</f>
        <v>0</v>
      </c>
      <c r="I124" s="66">
        <f>SUM(I123)*'Data Links'!$B$15</f>
        <v>0</v>
      </c>
      <c r="J124" s="66">
        <f>SUM(J123)*'Data Links'!$B$15</f>
        <v>0</v>
      </c>
      <c r="K124" s="66">
        <f>SUM(K123)*'Data Links'!$B$15</f>
        <v>0</v>
      </c>
      <c r="L124" s="66">
        <f>SUM(L123)*'Data Links'!$B$15</f>
        <v>0</v>
      </c>
      <c r="M124" s="66">
        <f>SUM(M123)*'Data Links'!$B$15</f>
        <v>0</v>
      </c>
      <c r="N124" s="66">
        <f>SUM(N123)*'Data Links'!$B$15</f>
        <v>0</v>
      </c>
    </row>
    <row r="125" spans="1:14" hidden="1" x14ac:dyDescent="0.2">
      <c r="A125" s="59" t="s">
        <v>189</v>
      </c>
      <c r="B125" s="60"/>
      <c r="C125" s="66">
        <f>SUM(C123*'Data Links'!$B$13)</f>
        <v>0</v>
      </c>
      <c r="D125" s="66">
        <f>SUM(D123*'Data Links'!$B$13)</f>
        <v>0</v>
      </c>
      <c r="E125" s="66">
        <f>SUM(E123*'Data Links'!$B$13)</f>
        <v>0</v>
      </c>
      <c r="F125" s="66">
        <f>SUM(F123*'Data Links'!$B$13)</f>
        <v>0</v>
      </c>
      <c r="G125" s="66">
        <f>SUM(G123*'Data Links'!$B$13)</f>
        <v>0</v>
      </c>
      <c r="H125" s="66">
        <f>SUM(H123*'Data Links'!$B$13)</f>
        <v>0</v>
      </c>
      <c r="I125" s="66">
        <f>SUM(I123*'Data Links'!$B$13)</f>
        <v>0</v>
      </c>
      <c r="J125" s="66">
        <f>SUM(J123*'Data Links'!$B$13)</f>
        <v>0</v>
      </c>
      <c r="K125" s="66">
        <f>SUM(K123*'Data Links'!$B$13)</f>
        <v>0</v>
      </c>
      <c r="L125" s="66">
        <f>SUM(L123*'Data Links'!$B$13)</f>
        <v>0</v>
      </c>
      <c r="M125" s="66">
        <f>SUM(M123*'Data Links'!$B$13)</f>
        <v>0</v>
      </c>
      <c r="N125" s="66">
        <f>SUM(N123*'Data Links'!$B$13)</f>
        <v>0</v>
      </c>
    </row>
    <row r="126" spans="1:14" hidden="1" x14ac:dyDescent="0.2">
      <c r="A126" s="59" t="s">
        <v>190</v>
      </c>
      <c r="B126" s="60"/>
      <c r="C126" s="66">
        <f>SUM(C122*'Data Links'!$B$8)</f>
        <v>0</v>
      </c>
      <c r="D126" s="66">
        <f>SUM(D122*'Data Links'!$B$8)</f>
        <v>0</v>
      </c>
      <c r="E126" s="66">
        <f>SUM(E122*'Data Links'!$B$8)</f>
        <v>0</v>
      </c>
      <c r="F126" s="66">
        <f>SUM(F122*'Data Links'!$B$8)</f>
        <v>0</v>
      </c>
      <c r="G126" s="66">
        <f>SUM(G122*'Data Links'!$B$8)</f>
        <v>0</v>
      </c>
      <c r="H126" s="66">
        <f>SUM(H122*'Data Links'!$B$8)</f>
        <v>0</v>
      </c>
      <c r="I126" s="66">
        <f>SUM(I122*'Data Links'!$B$8)</f>
        <v>0</v>
      </c>
      <c r="J126" s="66">
        <f>SUM(J122*'Data Links'!$B$8)</f>
        <v>0</v>
      </c>
      <c r="K126" s="66">
        <f>SUM(K122*'Data Links'!$B$8)</f>
        <v>0</v>
      </c>
      <c r="L126" s="66">
        <f>SUM(L122*'Data Links'!$B$8)</f>
        <v>0</v>
      </c>
      <c r="M126" s="66">
        <f>SUM(M122*'Data Links'!$B$8)</f>
        <v>0</v>
      </c>
      <c r="N126" s="66">
        <f>SUM(N122*'Data Links'!$B$8)</f>
        <v>0</v>
      </c>
    </row>
    <row r="127" spans="1:14" hidden="1" x14ac:dyDescent="0.2">
      <c r="A127" s="59" t="s">
        <v>191</v>
      </c>
      <c r="B127" s="60"/>
      <c r="C127" s="66"/>
      <c r="D127" s="66"/>
      <c r="E127" s="66"/>
      <c r="F127" s="66"/>
      <c r="G127" s="66"/>
      <c r="H127" s="66"/>
      <c r="I127" s="66"/>
      <c r="J127" s="66"/>
      <c r="K127" s="66"/>
      <c r="L127" s="66"/>
      <c r="M127" s="66"/>
      <c r="N127" s="66"/>
    </row>
    <row r="128" spans="1:14" hidden="1" x14ac:dyDescent="0.2">
      <c r="A128" s="59" t="s">
        <v>192</v>
      </c>
      <c r="B128" s="60"/>
      <c r="C128" s="66"/>
      <c r="D128" s="66"/>
      <c r="E128" s="66"/>
      <c r="F128" s="66"/>
      <c r="G128" s="66"/>
      <c r="H128" s="66"/>
      <c r="I128" s="66"/>
      <c r="J128" s="66"/>
      <c r="K128" s="66"/>
      <c r="L128" s="66"/>
      <c r="M128" s="66"/>
      <c r="N128" s="66"/>
    </row>
    <row r="129" spans="1:14" s="29" customFormat="1" hidden="1" x14ac:dyDescent="0.2">
      <c r="A129" s="58" t="s">
        <v>144</v>
      </c>
      <c r="B129" s="60"/>
      <c r="C129" s="60">
        <f t="shared" ref="C129:N129" si="20">SUM(C123:C128)</f>
        <v>0</v>
      </c>
      <c r="D129" s="60">
        <f t="shared" si="20"/>
        <v>0</v>
      </c>
      <c r="E129" s="60">
        <f t="shared" si="20"/>
        <v>0</v>
      </c>
      <c r="F129" s="60">
        <f t="shared" si="20"/>
        <v>0</v>
      </c>
      <c r="G129" s="60">
        <f t="shared" si="20"/>
        <v>0</v>
      </c>
      <c r="H129" s="60">
        <f t="shared" si="20"/>
        <v>0</v>
      </c>
      <c r="I129" s="60">
        <f t="shared" si="20"/>
        <v>0</v>
      </c>
      <c r="J129" s="60">
        <f t="shared" si="20"/>
        <v>0</v>
      </c>
      <c r="K129" s="60">
        <f t="shared" si="20"/>
        <v>0</v>
      </c>
      <c r="L129" s="60">
        <f t="shared" si="20"/>
        <v>0</v>
      </c>
      <c r="M129" s="60">
        <f t="shared" si="20"/>
        <v>0</v>
      </c>
      <c r="N129" s="60">
        <f t="shared" si="20"/>
        <v>0</v>
      </c>
    </row>
    <row r="130" spans="1:14" x14ac:dyDescent="0.2">
      <c r="A130" s="59"/>
      <c r="B130" s="60"/>
      <c r="C130" s="60"/>
      <c r="D130" s="66"/>
      <c r="E130" s="66"/>
      <c r="F130" s="66"/>
      <c r="G130" s="66"/>
      <c r="H130" s="66"/>
      <c r="I130" s="66"/>
      <c r="J130" s="66"/>
      <c r="K130" s="66"/>
      <c r="L130" s="66"/>
      <c r="M130" s="66"/>
      <c r="N130" s="66"/>
    </row>
    <row r="131" spans="1:14" x14ac:dyDescent="0.2">
      <c r="A131" s="59"/>
      <c r="B131" s="60"/>
      <c r="C131" s="89" t="str">
        <f>C118</f>
        <v>January</v>
      </c>
      <c r="D131" s="89" t="str">
        <f t="shared" ref="D131:N131" si="21">D118</f>
        <v>February</v>
      </c>
      <c r="E131" s="89" t="str">
        <f t="shared" si="21"/>
        <v>March</v>
      </c>
      <c r="F131" s="89" t="str">
        <f t="shared" si="21"/>
        <v>April</v>
      </c>
      <c r="G131" s="89" t="str">
        <f t="shared" si="21"/>
        <v>May</v>
      </c>
      <c r="H131" s="89" t="str">
        <f t="shared" si="21"/>
        <v>June</v>
      </c>
      <c r="I131" s="89" t="str">
        <f t="shared" si="21"/>
        <v>July</v>
      </c>
      <c r="J131" s="89" t="str">
        <f t="shared" si="21"/>
        <v>August</v>
      </c>
      <c r="K131" s="89" t="str">
        <f t="shared" si="21"/>
        <v>September</v>
      </c>
      <c r="L131" s="89" t="str">
        <f t="shared" si="21"/>
        <v>October</v>
      </c>
      <c r="M131" s="89" t="str">
        <f t="shared" si="21"/>
        <v>November</v>
      </c>
      <c r="N131" s="89" t="str">
        <f t="shared" si="21"/>
        <v>December</v>
      </c>
    </row>
    <row r="132" spans="1:14" x14ac:dyDescent="0.2">
      <c r="A132" s="59"/>
      <c r="B132" s="60"/>
      <c r="C132" s="89">
        <f t="shared" ref="C132:N133" si="22">C119</f>
        <v>30</v>
      </c>
      <c r="D132" s="89">
        <f t="shared" si="22"/>
        <v>31</v>
      </c>
      <c r="E132" s="89">
        <f t="shared" si="22"/>
        <v>30</v>
      </c>
      <c r="F132" s="89">
        <f t="shared" si="22"/>
        <v>31</v>
      </c>
      <c r="G132" s="89">
        <f t="shared" si="22"/>
        <v>31</v>
      </c>
      <c r="H132" s="89">
        <f t="shared" si="22"/>
        <v>30</v>
      </c>
      <c r="I132" s="89">
        <f t="shared" si="22"/>
        <v>31</v>
      </c>
      <c r="J132" s="89">
        <f t="shared" si="22"/>
        <v>30</v>
      </c>
      <c r="K132" s="89">
        <f t="shared" si="22"/>
        <v>31</v>
      </c>
      <c r="L132" s="89">
        <f t="shared" si="22"/>
        <v>31</v>
      </c>
      <c r="M132" s="89">
        <f t="shared" si="22"/>
        <v>28</v>
      </c>
      <c r="N132" s="89">
        <f t="shared" si="22"/>
        <v>31</v>
      </c>
    </row>
    <row r="133" spans="1:14" x14ac:dyDescent="0.2">
      <c r="A133" s="59"/>
      <c r="B133" s="89" t="s">
        <v>185</v>
      </c>
      <c r="C133" s="78">
        <f t="shared" si="22"/>
        <v>0</v>
      </c>
      <c r="D133" s="78">
        <f t="shared" si="22"/>
        <v>1</v>
      </c>
      <c r="E133" s="78">
        <f t="shared" si="22"/>
        <v>0</v>
      </c>
      <c r="F133" s="78">
        <f t="shared" si="22"/>
        <v>1</v>
      </c>
      <c r="G133" s="78">
        <f t="shared" si="22"/>
        <v>0</v>
      </c>
      <c r="H133" s="78">
        <f t="shared" si="22"/>
        <v>1</v>
      </c>
      <c r="I133" s="78">
        <f t="shared" si="22"/>
        <v>1</v>
      </c>
      <c r="J133" s="78">
        <f t="shared" si="22"/>
        <v>1</v>
      </c>
      <c r="K133" s="78">
        <f t="shared" si="22"/>
        <v>1</v>
      </c>
      <c r="L133" s="78">
        <f t="shared" si="22"/>
        <v>2</v>
      </c>
      <c r="M133" s="78">
        <f t="shared" si="22"/>
        <v>1</v>
      </c>
      <c r="N133" s="78">
        <f t="shared" si="22"/>
        <v>0</v>
      </c>
    </row>
    <row r="134" spans="1:14" x14ac:dyDescent="0.2">
      <c r="A134" s="223"/>
      <c r="B134" s="89" t="s">
        <v>44</v>
      </c>
      <c r="C134" s="49">
        <v>0.35</v>
      </c>
      <c r="D134" s="49">
        <v>0.35</v>
      </c>
      <c r="E134" s="49">
        <v>0.35</v>
      </c>
      <c r="F134" s="49">
        <v>0.25</v>
      </c>
      <c r="G134" s="49">
        <v>0.25</v>
      </c>
      <c r="H134" s="49">
        <v>0.25</v>
      </c>
      <c r="I134" s="49">
        <v>0.25</v>
      </c>
      <c r="J134" s="49">
        <v>0.25</v>
      </c>
      <c r="K134" s="49">
        <v>0.25</v>
      </c>
      <c r="L134" s="49">
        <v>0.25</v>
      </c>
      <c r="M134" s="49">
        <v>0.25</v>
      </c>
      <c r="N134" s="49">
        <v>0.25</v>
      </c>
    </row>
    <row r="135" spans="1:14" x14ac:dyDescent="0.2">
      <c r="A135" s="59"/>
      <c r="B135" s="89" t="s">
        <v>186</v>
      </c>
      <c r="C135" s="53">
        <f>SUM(174*C134)</f>
        <v>60.9</v>
      </c>
      <c r="D135" s="53">
        <f t="shared" ref="D135:N135" si="23">SUM(174*D134)</f>
        <v>60.9</v>
      </c>
      <c r="E135" s="53">
        <f t="shared" si="23"/>
        <v>60.9</v>
      </c>
      <c r="F135" s="53">
        <f t="shared" si="23"/>
        <v>43.5</v>
      </c>
      <c r="G135" s="53">
        <f t="shared" si="23"/>
        <v>43.5</v>
      </c>
      <c r="H135" s="53">
        <f t="shared" si="23"/>
        <v>43.5</v>
      </c>
      <c r="I135" s="53">
        <f t="shared" si="23"/>
        <v>43.5</v>
      </c>
      <c r="J135" s="53">
        <f t="shared" si="23"/>
        <v>43.5</v>
      </c>
      <c r="K135" s="53">
        <f t="shared" si="23"/>
        <v>43.5</v>
      </c>
      <c r="L135" s="53">
        <f t="shared" si="23"/>
        <v>43.5</v>
      </c>
      <c r="M135" s="53">
        <f t="shared" si="23"/>
        <v>43.5</v>
      </c>
      <c r="N135" s="53">
        <f t="shared" si="23"/>
        <v>43.5</v>
      </c>
    </row>
    <row r="136" spans="1:14" x14ac:dyDescent="0.2">
      <c r="A136" s="59" t="s">
        <v>376</v>
      </c>
      <c r="B136" s="78" t="s">
        <v>377</v>
      </c>
      <c r="C136" s="66">
        <f>SUM(2080*$B$137/365*C132)*C134</f>
        <v>1165.597808219178</v>
      </c>
      <c r="D136" s="66">
        <f t="shared" ref="D136:N136" si="24">SUM(2080*$B$137/365*D132)*D134</f>
        <v>1204.4510684931506</v>
      </c>
      <c r="E136" s="66">
        <f t="shared" si="24"/>
        <v>1165.597808219178</v>
      </c>
      <c r="F136" s="66">
        <f t="shared" si="24"/>
        <v>860.32219178082187</v>
      </c>
      <c r="G136" s="66">
        <f t="shared" si="24"/>
        <v>860.32219178082187</v>
      </c>
      <c r="H136" s="66">
        <f t="shared" si="24"/>
        <v>832.56986301369864</v>
      </c>
      <c r="I136" s="66">
        <f t="shared" si="24"/>
        <v>860.32219178082187</v>
      </c>
      <c r="J136" s="66">
        <f t="shared" si="24"/>
        <v>832.56986301369864</v>
      </c>
      <c r="K136" s="66">
        <f t="shared" si="24"/>
        <v>860.32219178082187</v>
      </c>
      <c r="L136" s="66">
        <f t="shared" si="24"/>
        <v>860.32219178082187</v>
      </c>
      <c r="M136" s="66">
        <f t="shared" si="24"/>
        <v>777.06520547945206</v>
      </c>
      <c r="N136" s="66">
        <f t="shared" si="24"/>
        <v>860.32219178082187</v>
      </c>
    </row>
    <row r="137" spans="1:14" x14ac:dyDescent="0.2">
      <c r="A137" s="59" t="s">
        <v>188</v>
      </c>
      <c r="B137" s="74">
        <v>19.48</v>
      </c>
      <c r="C137" s="66">
        <f>SUM(C136)*'Data Links'!$B$15</f>
        <v>89.168232328767118</v>
      </c>
      <c r="D137" s="66">
        <f>SUM(D136)*'Data Links'!$B$15</f>
        <v>92.140506739726021</v>
      </c>
      <c r="E137" s="66">
        <f>SUM(E136)*'Data Links'!$B$15</f>
        <v>89.168232328767118</v>
      </c>
      <c r="F137" s="66">
        <f>SUM(F136)*'Data Links'!$B$15</f>
        <v>65.814647671232876</v>
      </c>
      <c r="G137" s="66">
        <f>SUM(G136)*'Data Links'!$B$15</f>
        <v>65.814647671232876</v>
      </c>
      <c r="H137" s="66">
        <f>SUM(H136)*'Data Links'!$B$15</f>
        <v>63.691594520547945</v>
      </c>
      <c r="I137" s="66">
        <f>SUM(I136)*'Data Links'!$B$15</f>
        <v>65.814647671232876</v>
      </c>
      <c r="J137" s="66">
        <f>SUM(J136)*'Data Links'!$B$15</f>
        <v>63.691594520547945</v>
      </c>
      <c r="K137" s="66">
        <f>SUM(K136)*'Data Links'!$B$15</f>
        <v>65.814647671232876</v>
      </c>
      <c r="L137" s="66">
        <f>SUM(L136)*'Data Links'!$B$15</f>
        <v>65.814647671232876</v>
      </c>
      <c r="M137" s="66">
        <f>SUM(M136)*'Data Links'!$B$15</f>
        <v>59.445488219178081</v>
      </c>
      <c r="N137" s="66">
        <f>SUM(N136)*'Data Links'!$B$15</f>
        <v>65.814647671232876</v>
      </c>
    </row>
    <row r="138" spans="1:14" x14ac:dyDescent="0.2">
      <c r="A138" s="59" t="s">
        <v>189</v>
      </c>
      <c r="B138" s="60"/>
      <c r="C138" s="66">
        <f>SUM(C136*'Data Links'!$B$13)</f>
        <v>6.9935868493150677</v>
      </c>
      <c r="D138" s="66">
        <f>SUM(D136*'Data Links'!$B$13)</f>
        <v>7.2267064109589034</v>
      </c>
      <c r="E138" s="66">
        <f>SUM(E136*'Data Links'!$B$13)</f>
        <v>6.9935868493150677</v>
      </c>
      <c r="F138" s="66">
        <f>SUM(F136*'Data Links'!$B$13)</f>
        <v>5.1619331506849315</v>
      </c>
      <c r="G138" s="66">
        <f>SUM(G136*'Data Links'!$B$13)</f>
        <v>5.1619331506849315</v>
      </c>
      <c r="H138" s="66">
        <f>SUM(H136*'Data Links'!$B$13)</f>
        <v>4.9954191780821917</v>
      </c>
      <c r="I138" s="66">
        <f>SUM(I136*'Data Links'!$B$13)</f>
        <v>5.1619331506849315</v>
      </c>
      <c r="J138" s="66">
        <f>SUM(J136*'Data Links'!$B$13)</f>
        <v>4.9954191780821917</v>
      </c>
      <c r="K138" s="66">
        <f>SUM(K136*'Data Links'!$B$13)</f>
        <v>5.1619331506849315</v>
      </c>
      <c r="L138" s="66">
        <f>SUM(L136*'Data Links'!$B$13)</f>
        <v>5.1619331506849315</v>
      </c>
      <c r="M138" s="66">
        <f>SUM(M136*'Data Links'!$B$13)</f>
        <v>4.6623912328767121</v>
      </c>
      <c r="N138" s="66">
        <f>SUM(N136*'Data Links'!$B$13)</f>
        <v>5.1619331506849315</v>
      </c>
    </row>
    <row r="139" spans="1:14" x14ac:dyDescent="0.2">
      <c r="A139" s="59" t="s">
        <v>190</v>
      </c>
      <c r="B139" s="60"/>
      <c r="C139" s="66">
        <f>SUM(C135*'Data Links'!$B$8)</f>
        <v>4.7410649999999999</v>
      </c>
      <c r="D139" s="66">
        <f>SUM(D135*'Data Links'!$B$8)</f>
        <v>4.7410649999999999</v>
      </c>
      <c r="E139" s="66">
        <f>SUM(E135*'Data Links'!$B$8)</f>
        <v>4.7410649999999999</v>
      </c>
      <c r="F139" s="66">
        <f>SUM(F135*'Data Links'!$B$8)</f>
        <v>3.3864749999999999</v>
      </c>
      <c r="G139" s="66">
        <f>SUM(G135*'Data Links'!$B$8)</f>
        <v>3.3864749999999999</v>
      </c>
      <c r="H139" s="66">
        <f>SUM(H135*'Data Links'!$B$8)</f>
        <v>3.3864749999999999</v>
      </c>
      <c r="I139" s="66">
        <f>SUM(I135*'Data Links'!$B$8)</f>
        <v>3.3864749999999999</v>
      </c>
      <c r="J139" s="66">
        <f>SUM(J135*'Data Links'!$B$8)</f>
        <v>3.3864749999999999</v>
      </c>
      <c r="K139" s="66">
        <f>SUM(K135*'Data Links'!$B$8)</f>
        <v>3.3864749999999999</v>
      </c>
      <c r="L139" s="66">
        <f>SUM(L135*'Data Links'!$B$8)</f>
        <v>3.3864749999999999</v>
      </c>
      <c r="M139" s="66">
        <f>SUM(M135*'Data Links'!$B$8)</f>
        <v>3.3864749999999999</v>
      </c>
      <c r="N139" s="66">
        <f>SUM(N135*'Data Links'!$B$8)</f>
        <v>3.3864749999999999</v>
      </c>
    </row>
    <row r="140" spans="1:14" x14ac:dyDescent="0.2">
      <c r="A140" s="59" t="s">
        <v>191</v>
      </c>
      <c r="B140" s="60"/>
      <c r="C140" s="66"/>
      <c r="D140" s="66"/>
      <c r="E140" s="66"/>
      <c r="F140" s="66"/>
      <c r="G140" s="66"/>
      <c r="H140" s="66"/>
      <c r="I140" s="66"/>
      <c r="J140" s="66"/>
      <c r="K140" s="66"/>
      <c r="L140" s="66"/>
      <c r="M140" s="66"/>
      <c r="N140" s="66"/>
    </row>
    <row r="141" spans="1:14" x14ac:dyDescent="0.2">
      <c r="A141" s="59" t="s">
        <v>192</v>
      </c>
      <c r="B141" s="60"/>
      <c r="C141" s="66">
        <f>SUM(C136*'Data Links'!$B$17)</f>
        <v>34.967934246575339</v>
      </c>
      <c r="D141" s="66">
        <f>SUM(D136*'Data Links'!$B$17)</f>
        <v>36.133532054794514</v>
      </c>
      <c r="E141" s="66">
        <f>SUM(E136*'Data Links'!$B$17)</f>
        <v>34.967934246575339</v>
      </c>
      <c r="F141" s="66">
        <f>SUM(F136*'Data Links'!$B$17)</f>
        <v>25.809665753424657</v>
      </c>
      <c r="G141" s="66">
        <f>SUM(G136*'Data Links'!$B$17)</f>
        <v>25.809665753424657</v>
      </c>
      <c r="H141" s="66">
        <f>SUM(H136*'Data Links'!$B$17)</f>
        <v>24.977095890410958</v>
      </c>
      <c r="I141" s="66">
        <f>SUM(I136*'Data Links'!$B$17)</f>
        <v>25.809665753424657</v>
      </c>
      <c r="J141" s="66">
        <f>SUM(J136*'Data Links'!$B$17)</f>
        <v>24.977095890410958</v>
      </c>
      <c r="K141" s="66">
        <f>SUM(K136*'Data Links'!$B$17)</f>
        <v>25.809665753424657</v>
      </c>
      <c r="L141" s="66">
        <f>SUM(L136*'Data Links'!$B$17)</f>
        <v>25.809665753424657</v>
      </c>
      <c r="M141" s="66">
        <f>SUM(M136*'Data Links'!$B$17)</f>
        <v>23.31195616438356</v>
      </c>
      <c r="N141" s="66">
        <f>SUM(N136*'Data Links'!$B$17)</f>
        <v>25.809665753424657</v>
      </c>
    </row>
    <row r="142" spans="1:14" s="29" customFormat="1" x14ac:dyDescent="0.2">
      <c r="A142" s="58" t="s">
        <v>144</v>
      </c>
      <c r="B142" s="60"/>
      <c r="C142" s="60">
        <f t="shared" ref="C142:N142" si="25">SUM(C136:C141)</f>
        <v>1301.4686266438355</v>
      </c>
      <c r="D142" s="60">
        <f t="shared" si="25"/>
        <v>1344.6928786986302</v>
      </c>
      <c r="E142" s="60">
        <f t="shared" si="25"/>
        <v>1301.4686266438355</v>
      </c>
      <c r="F142" s="60">
        <f t="shared" si="25"/>
        <v>960.49491335616437</v>
      </c>
      <c r="G142" s="60">
        <f t="shared" si="25"/>
        <v>960.49491335616437</v>
      </c>
      <c r="H142" s="60">
        <f t="shared" si="25"/>
        <v>929.62044760273977</v>
      </c>
      <c r="I142" s="60">
        <f t="shared" si="25"/>
        <v>960.49491335616437</v>
      </c>
      <c r="J142" s="60">
        <f t="shared" si="25"/>
        <v>929.62044760273977</v>
      </c>
      <c r="K142" s="60">
        <f t="shared" si="25"/>
        <v>960.49491335616437</v>
      </c>
      <c r="L142" s="60">
        <f t="shared" si="25"/>
        <v>960.49491335616437</v>
      </c>
      <c r="M142" s="60">
        <f t="shared" si="25"/>
        <v>867.87151609589046</v>
      </c>
      <c r="N142" s="60">
        <f t="shared" si="25"/>
        <v>960.49491335616437</v>
      </c>
    </row>
    <row r="143" spans="1:14" x14ac:dyDescent="0.2">
      <c r="A143" s="59"/>
      <c r="B143" s="60"/>
      <c r="C143" s="60"/>
      <c r="D143" s="66"/>
      <c r="E143" s="66"/>
      <c r="F143" s="66"/>
      <c r="G143" s="66"/>
      <c r="H143" s="66"/>
      <c r="I143" s="66"/>
      <c r="J143" s="66"/>
      <c r="K143" s="66"/>
      <c r="L143" s="66"/>
      <c r="M143" s="66"/>
      <c r="N143" s="66"/>
    </row>
    <row r="144" spans="1:14" x14ac:dyDescent="0.2">
      <c r="A144" s="59"/>
      <c r="B144" s="60"/>
      <c r="C144" s="89" t="str">
        <f>C131</f>
        <v>January</v>
      </c>
      <c r="D144" s="89" t="str">
        <f t="shared" ref="D144:N144" si="26">D131</f>
        <v>February</v>
      </c>
      <c r="E144" s="89" t="str">
        <f t="shared" si="26"/>
        <v>March</v>
      </c>
      <c r="F144" s="89" t="str">
        <f t="shared" si="26"/>
        <v>April</v>
      </c>
      <c r="G144" s="89" t="str">
        <f t="shared" si="26"/>
        <v>May</v>
      </c>
      <c r="H144" s="89" t="str">
        <f t="shared" si="26"/>
        <v>June</v>
      </c>
      <c r="I144" s="89" t="str">
        <f t="shared" si="26"/>
        <v>July</v>
      </c>
      <c r="J144" s="89" t="str">
        <f t="shared" si="26"/>
        <v>August</v>
      </c>
      <c r="K144" s="89" t="str">
        <f t="shared" si="26"/>
        <v>September</v>
      </c>
      <c r="L144" s="89" t="str">
        <f t="shared" si="26"/>
        <v>October</v>
      </c>
      <c r="M144" s="89" t="str">
        <f t="shared" si="26"/>
        <v>November</v>
      </c>
      <c r="N144" s="89" t="str">
        <f t="shared" si="26"/>
        <v>December</v>
      </c>
    </row>
    <row r="145" spans="1:14" x14ac:dyDescent="0.2">
      <c r="A145" s="59"/>
      <c r="B145" s="60"/>
      <c r="C145" s="89">
        <f t="shared" ref="C145:N145" si="27">C132</f>
        <v>30</v>
      </c>
      <c r="D145" s="89">
        <f t="shared" si="27"/>
        <v>31</v>
      </c>
      <c r="E145" s="89">
        <f t="shared" si="27"/>
        <v>30</v>
      </c>
      <c r="F145" s="89">
        <f t="shared" si="27"/>
        <v>31</v>
      </c>
      <c r="G145" s="89">
        <f t="shared" si="27"/>
        <v>31</v>
      </c>
      <c r="H145" s="89">
        <f t="shared" si="27"/>
        <v>30</v>
      </c>
      <c r="I145" s="89">
        <f t="shared" si="27"/>
        <v>31</v>
      </c>
      <c r="J145" s="89">
        <f t="shared" si="27"/>
        <v>30</v>
      </c>
      <c r="K145" s="89">
        <f t="shared" si="27"/>
        <v>31</v>
      </c>
      <c r="L145" s="89">
        <f t="shared" si="27"/>
        <v>31</v>
      </c>
      <c r="M145" s="89">
        <f t="shared" si="27"/>
        <v>28</v>
      </c>
      <c r="N145" s="89">
        <f t="shared" si="27"/>
        <v>31</v>
      </c>
    </row>
    <row r="146" spans="1:14" x14ac:dyDescent="0.2">
      <c r="A146" s="59"/>
      <c r="B146" s="89" t="s">
        <v>185</v>
      </c>
      <c r="C146" s="72">
        <f>C133</f>
        <v>0</v>
      </c>
      <c r="D146" s="72">
        <f t="shared" ref="D146:N146" si="28">D133</f>
        <v>1</v>
      </c>
      <c r="E146" s="72">
        <f t="shared" si="28"/>
        <v>0</v>
      </c>
      <c r="F146" s="72">
        <f t="shared" si="28"/>
        <v>1</v>
      </c>
      <c r="G146" s="72">
        <f t="shared" si="28"/>
        <v>0</v>
      </c>
      <c r="H146" s="72">
        <f t="shared" si="28"/>
        <v>1</v>
      </c>
      <c r="I146" s="72">
        <f t="shared" si="28"/>
        <v>1</v>
      </c>
      <c r="J146" s="72">
        <f t="shared" si="28"/>
        <v>1</v>
      </c>
      <c r="K146" s="72">
        <f t="shared" si="28"/>
        <v>1</v>
      </c>
      <c r="L146" s="72">
        <f t="shared" si="28"/>
        <v>2</v>
      </c>
      <c r="M146" s="72">
        <f t="shared" si="28"/>
        <v>1</v>
      </c>
      <c r="N146" s="72">
        <f t="shared" si="28"/>
        <v>0</v>
      </c>
    </row>
    <row r="147" spans="1:14" x14ac:dyDescent="0.2">
      <c r="A147" s="59"/>
      <c r="B147" s="89" t="s">
        <v>44</v>
      </c>
      <c r="C147" s="49">
        <v>0.01</v>
      </c>
      <c r="D147" s="49">
        <v>0.01</v>
      </c>
      <c r="E147" s="49">
        <v>0.01</v>
      </c>
      <c r="F147" s="49">
        <v>0.01</v>
      </c>
      <c r="G147" s="49">
        <v>0.01</v>
      </c>
      <c r="H147" s="49">
        <v>0.01</v>
      </c>
      <c r="I147" s="49">
        <v>0.01</v>
      </c>
      <c r="J147" s="49">
        <v>0.01</v>
      </c>
      <c r="K147" s="49">
        <v>0.01</v>
      </c>
      <c r="L147" s="49">
        <v>0.01</v>
      </c>
      <c r="M147" s="49">
        <v>0.01</v>
      </c>
      <c r="N147" s="49">
        <v>0.01</v>
      </c>
    </row>
    <row r="148" spans="1:14" x14ac:dyDescent="0.2">
      <c r="A148" s="59"/>
      <c r="B148" s="89" t="s">
        <v>186</v>
      </c>
      <c r="C148" s="72">
        <f t="shared" ref="C148:N148" si="29">SUM(174*C147)</f>
        <v>1.74</v>
      </c>
      <c r="D148" s="72">
        <f t="shared" si="29"/>
        <v>1.74</v>
      </c>
      <c r="E148" s="72">
        <f t="shared" si="29"/>
        <v>1.74</v>
      </c>
      <c r="F148" s="72">
        <f t="shared" si="29"/>
        <v>1.74</v>
      </c>
      <c r="G148" s="72">
        <f t="shared" si="29"/>
        <v>1.74</v>
      </c>
      <c r="H148" s="72">
        <f t="shared" si="29"/>
        <v>1.74</v>
      </c>
      <c r="I148" s="72">
        <f t="shared" si="29"/>
        <v>1.74</v>
      </c>
      <c r="J148" s="72">
        <f t="shared" si="29"/>
        <v>1.74</v>
      </c>
      <c r="K148" s="72">
        <f t="shared" si="29"/>
        <v>1.74</v>
      </c>
      <c r="L148" s="72">
        <f t="shared" si="29"/>
        <v>1.74</v>
      </c>
      <c r="M148" s="72">
        <f t="shared" si="29"/>
        <v>1.74</v>
      </c>
      <c r="N148" s="72">
        <f t="shared" si="29"/>
        <v>1.74</v>
      </c>
    </row>
    <row r="149" spans="1:14" x14ac:dyDescent="0.2">
      <c r="A149" s="59" t="s">
        <v>476</v>
      </c>
      <c r="B149" s="78" t="s">
        <v>256</v>
      </c>
      <c r="C149" s="66">
        <f>SUM(2080*$B$150/365*C145)*C147</f>
        <v>38.328986301369866</v>
      </c>
      <c r="D149" s="66">
        <f t="shared" ref="D149:N149" si="30">SUM(2080*$B$150/365*D145)*D147</f>
        <v>39.606619178082198</v>
      </c>
      <c r="E149" s="66">
        <f t="shared" si="30"/>
        <v>38.328986301369866</v>
      </c>
      <c r="F149" s="66">
        <f t="shared" si="30"/>
        <v>39.606619178082198</v>
      </c>
      <c r="G149" s="66">
        <f t="shared" si="30"/>
        <v>39.606619178082198</v>
      </c>
      <c r="H149" s="66">
        <f t="shared" si="30"/>
        <v>38.328986301369866</v>
      </c>
      <c r="I149" s="66">
        <f t="shared" si="30"/>
        <v>39.606619178082198</v>
      </c>
      <c r="J149" s="66">
        <f t="shared" si="30"/>
        <v>38.328986301369866</v>
      </c>
      <c r="K149" s="66">
        <f t="shared" si="30"/>
        <v>39.606619178082198</v>
      </c>
      <c r="L149" s="66">
        <f t="shared" si="30"/>
        <v>39.606619178082198</v>
      </c>
      <c r="M149" s="66">
        <f t="shared" si="30"/>
        <v>35.77372054794521</v>
      </c>
      <c r="N149" s="66">
        <f t="shared" si="30"/>
        <v>39.606619178082198</v>
      </c>
    </row>
    <row r="150" spans="1:14" x14ac:dyDescent="0.2">
      <c r="A150" s="59" t="s">
        <v>188</v>
      </c>
      <c r="B150" s="74">
        <v>22.42</v>
      </c>
      <c r="C150" s="66">
        <f>SUM(C149)*'Data Links'!$B$15</f>
        <v>2.9321674520547947</v>
      </c>
      <c r="D150" s="66">
        <f>SUM(D149)*'Data Links'!$B$15</f>
        <v>3.0299063671232882</v>
      </c>
      <c r="E150" s="66">
        <f>SUM(E149)*'Data Links'!$B$15</f>
        <v>2.9321674520547947</v>
      </c>
      <c r="F150" s="66">
        <f>SUM(F149)*'Data Links'!$B$15</f>
        <v>3.0299063671232882</v>
      </c>
      <c r="G150" s="66">
        <f>SUM(G149)*'Data Links'!$B$15</f>
        <v>3.0299063671232882</v>
      </c>
      <c r="H150" s="66">
        <f>SUM(H149)*'Data Links'!$B$15</f>
        <v>2.9321674520547947</v>
      </c>
      <c r="I150" s="66">
        <f>SUM(I149)*'Data Links'!$B$15</f>
        <v>3.0299063671232882</v>
      </c>
      <c r="J150" s="66">
        <f>SUM(J149)*'Data Links'!$B$15</f>
        <v>2.9321674520547947</v>
      </c>
      <c r="K150" s="66">
        <f>SUM(K149)*'Data Links'!$B$15</f>
        <v>3.0299063671232882</v>
      </c>
      <c r="L150" s="66">
        <f>SUM(L149)*'Data Links'!$B$15</f>
        <v>3.0299063671232882</v>
      </c>
      <c r="M150" s="66">
        <f>SUM(M149)*'Data Links'!$B$15</f>
        <v>2.7366896219178085</v>
      </c>
      <c r="N150" s="66">
        <f>SUM(N149)*'Data Links'!$B$15</f>
        <v>3.0299063671232882</v>
      </c>
    </row>
    <row r="151" spans="1:14" x14ac:dyDescent="0.2">
      <c r="A151" s="59" t="s">
        <v>189</v>
      </c>
      <c r="B151" s="60"/>
      <c r="C151" s="66">
        <f>SUM(C149*'Data Links'!$B$13)</f>
        <v>0.22997391780821921</v>
      </c>
      <c r="D151" s="66">
        <f>SUM(D149*'Data Links'!$B$13)</f>
        <v>0.23763971506849318</v>
      </c>
      <c r="E151" s="66">
        <f>SUM(E149*'Data Links'!$B$13)</f>
        <v>0.22997391780821921</v>
      </c>
      <c r="F151" s="66">
        <f>SUM(F149*'Data Links'!$B$13)</f>
        <v>0.23763971506849318</v>
      </c>
      <c r="G151" s="66">
        <f>SUM(G149*'Data Links'!$B$13)</f>
        <v>0.23763971506849318</v>
      </c>
      <c r="H151" s="66">
        <f>SUM(H149*'Data Links'!$B$13)</f>
        <v>0.22997391780821921</v>
      </c>
      <c r="I151" s="66">
        <f>SUM(I149*'Data Links'!$B$13)</f>
        <v>0.23763971506849318</v>
      </c>
      <c r="J151" s="66">
        <f>SUM(J149*'Data Links'!$B$13)</f>
        <v>0.22997391780821921</v>
      </c>
      <c r="K151" s="66">
        <f>SUM(K149*'Data Links'!$B$13)</f>
        <v>0.23763971506849318</v>
      </c>
      <c r="L151" s="66">
        <f>SUM(L149*'Data Links'!$B$13)</f>
        <v>0.23763971506849318</v>
      </c>
      <c r="M151" s="66">
        <f>SUM(M149*'Data Links'!$B$13)</f>
        <v>0.21464232328767127</v>
      </c>
      <c r="N151" s="66">
        <f>SUM(N149*'Data Links'!$B$13)</f>
        <v>0.23763971506849318</v>
      </c>
    </row>
    <row r="152" spans="1:14" x14ac:dyDescent="0.2">
      <c r="A152" s="59" t="s">
        <v>190</v>
      </c>
      <c r="B152" s="60"/>
      <c r="C152" s="66">
        <f>SUM(C148*'Data Links'!$B$8)</f>
        <v>0.135459</v>
      </c>
      <c r="D152" s="66">
        <f>SUM(D148*'Data Links'!$B$8)</f>
        <v>0.135459</v>
      </c>
      <c r="E152" s="66">
        <f>SUM(E148*'Data Links'!$B$8)</f>
        <v>0.135459</v>
      </c>
      <c r="F152" s="66">
        <f>SUM(F148*'Data Links'!$B$8)</f>
        <v>0.135459</v>
      </c>
      <c r="G152" s="66">
        <f>SUM(G148*'Data Links'!$B$8)</f>
        <v>0.135459</v>
      </c>
      <c r="H152" s="66">
        <f>SUM(H148*'Data Links'!$B$8)</f>
        <v>0.135459</v>
      </c>
      <c r="I152" s="66">
        <f>SUM(I148*'Data Links'!$B$8)</f>
        <v>0.135459</v>
      </c>
      <c r="J152" s="66">
        <f>SUM(J148*'Data Links'!$B$8)</f>
        <v>0.135459</v>
      </c>
      <c r="K152" s="66">
        <f>SUM(K148*'Data Links'!$B$8)</f>
        <v>0.135459</v>
      </c>
      <c r="L152" s="66">
        <f>SUM(L148*'Data Links'!$B$8)</f>
        <v>0.135459</v>
      </c>
      <c r="M152" s="66">
        <f>SUM(M148*'Data Links'!$B$8)</f>
        <v>0.135459</v>
      </c>
      <c r="N152" s="66">
        <f>SUM(N148*'Data Links'!$B$8)</f>
        <v>0.135459</v>
      </c>
    </row>
    <row r="153" spans="1:14" x14ac:dyDescent="0.2">
      <c r="A153" s="59" t="s">
        <v>191</v>
      </c>
      <c r="B153" s="60"/>
      <c r="C153" s="66">
        <f>SUM(C147*'Data Links'!$B$25)</f>
        <v>4.2645999999999997</v>
      </c>
      <c r="D153" s="66">
        <f>SUM(D147*'Data Links'!$B$25)</f>
        <v>4.2645999999999997</v>
      </c>
      <c r="E153" s="66">
        <f>SUM(E147*'Data Links'!$B$25)</f>
        <v>4.2645999999999997</v>
      </c>
      <c r="F153" s="66">
        <f>SUM(F147*'Data Links'!$B$25)</f>
        <v>4.2645999999999997</v>
      </c>
      <c r="G153" s="66">
        <f>SUM(G147*'Data Links'!$B$25)</f>
        <v>4.2645999999999997</v>
      </c>
      <c r="H153" s="66">
        <f>SUM(H147*'Data Links'!$B$25)</f>
        <v>4.2645999999999997</v>
      </c>
      <c r="I153" s="66">
        <f>SUM(I147*'Data Links'!$B$25)</f>
        <v>4.2645999999999997</v>
      </c>
      <c r="J153" s="66">
        <f>SUM(J147*'Data Links'!$B$25)</f>
        <v>4.2645999999999997</v>
      </c>
      <c r="K153" s="66">
        <f>SUM(K147*'Data Links'!$B$25)</f>
        <v>4.2645999999999997</v>
      </c>
      <c r="L153" s="66">
        <f>SUM(L147*'Data Links'!$B$25)</f>
        <v>4.2645999999999997</v>
      </c>
      <c r="M153" s="66">
        <f>SUM(M147*'Data Links'!$B$25)</f>
        <v>4.2645999999999997</v>
      </c>
      <c r="N153" s="66">
        <f>SUM(N147*'Data Links'!$B$25)</f>
        <v>4.2645999999999997</v>
      </c>
    </row>
    <row r="154" spans="1:14" x14ac:dyDescent="0.2">
      <c r="A154" s="59" t="s">
        <v>192</v>
      </c>
      <c r="B154" s="60"/>
      <c r="C154" s="66">
        <f>SUM(C149*'Data Links'!$B$17)</f>
        <v>1.1498695890410959</v>
      </c>
      <c r="D154" s="66">
        <f>SUM(D149*'Data Links'!$B$17)</f>
        <v>1.188198575342466</v>
      </c>
      <c r="E154" s="66">
        <f>SUM(E149*'Data Links'!$B$17)</f>
        <v>1.1498695890410959</v>
      </c>
      <c r="F154" s="66">
        <f>SUM(F149*'Data Links'!$B$17)</f>
        <v>1.188198575342466</v>
      </c>
      <c r="G154" s="66">
        <f>SUM(G149*'Data Links'!$B$17)</f>
        <v>1.188198575342466</v>
      </c>
      <c r="H154" s="66">
        <f>SUM(H149*'Data Links'!$B$17)</f>
        <v>1.1498695890410959</v>
      </c>
      <c r="I154" s="66">
        <f>SUM(I149*'Data Links'!$B$17)</f>
        <v>1.188198575342466</v>
      </c>
      <c r="J154" s="66">
        <f>SUM(J149*'Data Links'!$B$17)</f>
        <v>1.1498695890410959</v>
      </c>
      <c r="K154" s="66">
        <f>SUM(K149*'Data Links'!$B$17)</f>
        <v>1.188198575342466</v>
      </c>
      <c r="L154" s="66">
        <f>SUM(L149*'Data Links'!$B$17)</f>
        <v>1.188198575342466</v>
      </c>
      <c r="M154" s="66">
        <f>SUM(M149*'Data Links'!$B$17)</f>
        <v>1.0732116164383563</v>
      </c>
      <c r="N154" s="66">
        <f>SUM(N149*'Data Links'!$B$17)</f>
        <v>1.188198575342466</v>
      </c>
    </row>
    <row r="155" spans="1:14" s="29" customFormat="1" x14ac:dyDescent="0.2">
      <c r="A155" s="58" t="s">
        <v>144</v>
      </c>
      <c r="B155" s="60"/>
      <c r="C155" s="60">
        <f t="shared" ref="C155:N155" si="31">SUM(C149:C154)</f>
        <v>47.041056260273969</v>
      </c>
      <c r="D155" s="60">
        <f t="shared" si="31"/>
        <v>48.462422835616451</v>
      </c>
      <c r="E155" s="60">
        <f t="shared" si="31"/>
        <v>47.041056260273969</v>
      </c>
      <c r="F155" s="60">
        <f t="shared" si="31"/>
        <v>48.462422835616451</v>
      </c>
      <c r="G155" s="60">
        <f t="shared" si="31"/>
        <v>48.462422835616451</v>
      </c>
      <c r="H155" s="60">
        <f t="shared" si="31"/>
        <v>47.041056260273969</v>
      </c>
      <c r="I155" s="60">
        <f t="shared" si="31"/>
        <v>48.462422835616451</v>
      </c>
      <c r="J155" s="60">
        <f t="shared" si="31"/>
        <v>47.041056260273969</v>
      </c>
      <c r="K155" s="60">
        <f t="shared" si="31"/>
        <v>48.462422835616451</v>
      </c>
      <c r="L155" s="60">
        <f t="shared" si="31"/>
        <v>48.462422835616451</v>
      </c>
      <c r="M155" s="60">
        <f t="shared" si="31"/>
        <v>44.198323109589047</v>
      </c>
      <c r="N155" s="60">
        <f t="shared" si="31"/>
        <v>48.462422835616451</v>
      </c>
    </row>
    <row r="156" spans="1:14" x14ac:dyDescent="0.2">
      <c r="A156" s="59"/>
      <c r="B156" s="60"/>
      <c r="C156" s="60"/>
      <c r="D156" s="66"/>
      <c r="E156" s="66"/>
      <c r="F156" s="66"/>
      <c r="G156" s="66"/>
      <c r="H156" s="66"/>
      <c r="I156" s="66"/>
      <c r="J156" s="66"/>
      <c r="K156" s="66"/>
      <c r="L156" s="66"/>
      <c r="M156" s="66"/>
      <c r="N156" s="66"/>
    </row>
    <row r="157" spans="1:14" hidden="1" x14ac:dyDescent="0.2">
      <c r="A157" s="59"/>
      <c r="B157" s="60"/>
      <c r="C157" s="89" t="str">
        <f>C144</f>
        <v>January</v>
      </c>
      <c r="D157" s="89" t="str">
        <f t="shared" ref="D157:N157" si="32">D144</f>
        <v>February</v>
      </c>
      <c r="E157" s="89" t="str">
        <f t="shared" si="32"/>
        <v>March</v>
      </c>
      <c r="F157" s="89" t="str">
        <f t="shared" si="32"/>
        <v>April</v>
      </c>
      <c r="G157" s="89" t="str">
        <f t="shared" si="32"/>
        <v>May</v>
      </c>
      <c r="H157" s="89" t="str">
        <f t="shared" si="32"/>
        <v>June</v>
      </c>
      <c r="I157" s="89" t="str">
        <f t="shared" si="32"/>
        <v>July</v>
      </c>
      <c r="J157" s="89" t="str">
        <f t="shared" si="32"/>
        <v>August</v>
      </c>
      <c r="K157" s="89" t="str">
        <f t="shared" si="32"/>
        <v>September</v>
      </c>
      <c r="L157" s="89" t="str">
        <f t="shared" si="32"/>
        <v>October</v>
      </c>
      <c r="M157" s="89" t="str">
        <f t="shared" si="32"/>
        <v>November</v>
      </c>
      <c r="N157" s="89" t="str">
        <f t="shared" si="32"/>
        <v>December</v>
      </c>
    </row>
    <row r="158" spans="1:14" hidden="1" x14ac:dyDescent="0.2">
      <c r="A158" s="59"/>
      <c r="B158" s="60"/>
      <c r="C158" s="89">
        <f t="shared" ref="C158:N158" si="33">C145</f>
        <v>30</v>
      </c>
      <c r="D158" s="89">
        <f t="shared" si="33"/>
        <v>31</v>
      </c>
      <c r="E158" s="89">
        <f t="shared" si="33"/>
        <v>30</v>
      </c>
      <c r="F158" s="89">
        <f t="shared" si="33"/>
        <v>31</v>
      </c>
      <c r="G158" s="89">
        <f t="shared" si="33"/>
        <v>31</v>
      </c>
      <c r="H158" s="89">
        <f t="shared" si="33"/>
        <v>30</v>
      </c>
      <c r="I158" s="89">
        <f t="shared" si="33"/>
        <v>31</v>
      </c>
      <c r="J158" s="89">
        <f t="shared" si="33"/>
        <v>30</v>
      </c>
      <c r="K158" s="89">
        <f t="shared" si="33"/>
        <v>31</v>
      </c>
      <c r="L158" s="89">
        <f t="shared" si="33"/>
        <v>31</v>
      </c>
      <c r="M158" s="89">
        <f t="shared" si="33"/>
        <v>28</v>
      </c>
      <c r="N158" s="89">
        <f t="shared" si="33"/>
        <v>31</v>
      </c>
    </row>
    <row r="159" spans="1:14" hidden="1" x14ac:dyDescent="0.2">
      <c r="A159" s="59"/>
      <c r="B159" s="78" t="s">
        <v>185</v>
      </c>
      <c r="C159" s="72">
        <f>C146</f>
        <v>0</v>
      </c>
      <c r="D159" s="72">
        <f t="shared" ref="D159:N159" si="34">D146</f>
        <v>1</v>
      </c>
      <c r="E159" s="72">
        <f t="shared" si="34"/>
        <v>0</v>
      </c>
      <c r="F159" s="72">
        <f t="shared" si="34"/>
        <v>1</v>
      </c>
      <c r="G159" s="72">
        <f t="shared" si="34"/>
        <v>0</v>
      </c>
      <c r="H159" s="72">
        <f t="shared" si="34"/>
        <v>1</v>
      </c>
      <c r="I159" s="72">
        <f t="shared" si="34"/>
        <v>1</v>
      </c>
      <c r="J159" s="72">
        <f t="shared" si="34"/>
        <v>1</v>
      </c>
      <c r="K159" s="72">
        <f t="shared" si="34"/>
        <v>1</v>
      </c>
      <c r="L159" s="72">
        <f t="shared" si="34"/>
        <v>2</v>
      </c>
      <c r="M159" s="72">
        <f t="shared" si="34"/>
        <v>1</v>
      </c>
      <c r="N159" s="72">
        <f t="shared" si="34"/>
        <v>0</v>
      </c>
    </row>
    <row r="160" spans="1:14" hidden="1" x14ac:dyDescent="0.2">
      <c r="A160" s="59"/>
      <c r="B160" s="78" t="s">
        <v>44</v>
      </c>
      <c r="C160" s="49"/>
      <c r="D160" s="49"/>
      <c r="E160" s="49"/>
      <c r="F160" s="49"/>
      <c r="G160" s="49"/>
      <c r="H160" s="49"/>
      <c r="I160" s="49"/>
      <c r="J160" s="49"/>
      <c r="K160" s="49"/>
      <c r="L160" s="49"/>
      <c r="M160" s="49"/>
      <c r="N160" s="49"/>
    </row>
    <row r="161" spans="1:14" hidden="1" x14ac:dyDescent="0.2">
      <c r="A161" s="59"/>
      <c r="B161" s="78" t="s">
        <v>186</v>
      </c>
      <c r="C161" s="72">
        <f t="shared" ref="C161:N161" si="35">SUM(174*C160)</f>
        <v>0</v>
      </c>
      <c r="D161" s="72">
        <f t="shared" si="35"/>
        <v>0</v>
      </c>
      <c r="E161" s="72">
        <f t="shared" si="35"/>
        <v>0</v>
      </c>
      <c r="F161" s="72">
        <f t="shared" si="35"/>
        <v>0</v>
      </c>
      <c r="G161" s="72">
        <f t="shared" si="35"/>
        <v>0</v>
      </c>
      <c r="H161" s="72">
        <f t="shared" si="35"/>
        <v>0</v>
      </c>
      <c r="I161" s="72">
        <f t="shared" si="35"/>
        <v>0</v>
      </c>
      <c r="J161" s="72">
        <f t="shared" si="35"/>
        <v>0</v>
      </c>
      <c r="K161" s="72">
        <f t="shared" si="35"/>
        <v>0</v>
      </c>
      <c r="L161" s="72">
        <f t="shared" si="35"/>
        <v>0</v>
      </c>
      <c r="M161" s="72">
        <f t="shared" si="35"/>
        <v>0</v>
      </c>
      <c r="N161" s="72">
        <f t="shared" si="35"/>
        <v>0</v>
      </c>
    </row>
    <row r="162" spans="1:14" hidden="1" x14ac:dyDescent="0.2">
      <c r="A162" s="59" t="s">
        <v>193</v>
      </c>
      <c r="B162" s="78" t="s">
        <v>187</v>
      </c>
      <c r="C162" s="66">
        <f>SUM(2080*$B$163/365*C158)*C160</f>
        <v>0</v>
      </c>
      <c r="D162" s="66">
        <f t="shared" ref="D162:N162" si="36">SUM(2080*$B$163/365*D158)*D160</f>
        <v>0</v>
      </c>
      <c r="E162" s="66">
        <f t="shared" si="36"/>
        <v>0</v>
      </c>
      <c r="F162" s="66">
        <f t="shared" si="36"/>
        <v>0</v>
      </c>
      <c r="G162" s="66">
        <f t="shared" si="36"/>
        <v>0</v>
      </c>
      <c r="H162" s="66">
        <f t="shared" si="36"/>
        <v>0</v>
      </c>
      <c r="I162" s="66">
        <f t="shared" si="36"/>
        <v>0</v>
      </c>
      <c r="J162" s="66">
        <f t="shared" si="36"/>
        <v>0</v>
      </c>
      <c r="K162" s="66">
        <f t="shared" si="36"/>
        <v>0</v>
      </c>
      <c r="L162" s="66">
        <f t="shared" si="36"/>
        <v>0</v>
      </c>
      <c r="M162" s="66">
        <f t="shared" si="36"/>
        <v>0</v>
      </c>
      <c r="N162" s="66">
        <f t="shared" si="36"/>
        <v>0</v>
      </c>
    </row>
    <row r="163" spans="1:14" hidden="1" x14ac:dyDescent="0.2">
      <c r="A163" s="59" t="s">
        <v>188</v>
      </c>
      <c r="B163" s="74">
        <v>0</v>
      </c>
      <c r="C163" s="66">
        <f>SUM(C162)*'Data Links'!$B$15</f>
        <v>0</v>
      </c>
      <c r="D163" s="66">
        <f>SUM(D162)*'Data Links'!$B$15</f>
        <v>0</v>
      </c>
      <c r="E163" s="66">
        <f>SUM(E162)*'Data Links'!$B$15</f>
        <v>0</v>
      </c>
      <c r="F163" s="66">
        <f>SUM(F162)*'Data Links'!$B$15</f>
        <v>0</v>
      </c>
      <c r="G163" s="66">
        <f>SUM(G162)*'Data Links'!$B$15</f>
        <v>0</v>
      </c>
      <c r="H163" s="66">
        <f>SUM(H162)*'Data Links'!$B$15</f>
        <v>0</v>
      </c>
      <c r="I163" s="66">
        <f>SUM(I162)*'Data Links'!$B$15</f>
        <v>0</v>
      </c>
      <c r="J163" s="66">
        <f>SUM(J162)*'Data Links'!$B$15</f>
        <v>0</v>
      </c>
      <c r="K163" s="66">
        <f>SUM(K162)*'Data Links'!$B$15</f>
        <v>0</v>
      </c>
      <c r="L163" s="66">
        <f>SUM(L162)*'Data Links'!$B$15</f>
        <v>0</v>
      </c>
      <c r="M163" s="66">
        <f>SUM(M162)*'Data Links'!$B$15</f>
        <v>0</v>
      </c>
      <c r="N163" s="66">
        <f>SUM(N162)*'Data Links'!$B$15</f>
        <v>0</v>
      </c>
    </row>
    <row r="164" spans="1:14" hidden="1" x14ac:dyDescent="0.2">
      <c r="A164" s="59" t="s">
        <v>189</v>
      </c>
      <c r="B164" s="60"/>
      <c r="C164" s="66">
        <f>SUM(C162*'Data Links'!$B$13)</f>
        <v>0</v>
      </c>
      <c r="D164" s="66">
        <f>SUM(D162*'Data Links'!$B$13)</f>
        <v>0</v>
      </c>
      <c r="E164" s="66">
        <f>SUM(E162*'Data Links'!$B$13)</f>
        <v>0</v>
      </c>
      <c r="F164" s="66">
        <f>SUM(F162*'Data Links'!$B$13)</f>
        <v>0</v>
      </c>
      <c r="G164" s="66">
        <f>SUM(G162*'Data Links'!$B$13)</f>
        <v>0</v>
      </c>
      <c r="H164" s="66">
        <f>SUM(H162*'Data Links'!$B$13)</f>
        <v>0</v>
      </c>
      <c r="I164" s="66">
        <f>SUM(I162*'Data Links'!$B$13)</f>
        <v>0</v>
      </c>
      <c r="J164" s="66">
        <f>SUM(J162*'Data Links'!$B$13)</f>
        <v>0</v>
      </c>
      <c r="K164" s="66">
        <f>SUM(K162*'Data Links'!$B$13)</f>
        <v>0</v>
      </c>
      <c r="L164" s="66">
        <f>SUM(L162*'Data Links'!$B$13)</f>
        <v>0</v>
      </c>
      <c r="M164" s="66">
        <f>SUM(M162*'Data Links'!$B$13)</f>
        <v>0</v>
      </c>
      <c r="N164" s="66">
        <f>SUM(N162*'Data Links'!$B$13)</f>
        <v>0</v>
      </c>
    </row>
    <row r="165" spans="1:14" hidden="1" x14ac:dyDescent="0.2">
      <c r="A165" s="59" t="s">
        <v>190</v>
      </c>
      <c r="B165" s="60"/>
      <c r="C165" s="66">
        <f>SUM(C161*'Data Links'!$B$8)</f>
        <v>0</v>
      </c>
      <c r="D165" s="66">
        <f>SUM(D161*'Data Links'!$B$8)</f>
        <v>0</v>
      </c>
      <c r="E165" s="66">
        <f>SUM(E161*'Data Links'!$B$8)</f>
        <v>0</v>
      </c>
      <c r="F165" s="66">
        <f>SUM(F161*'Data Links'!$B$8)</f>
        <v>0</v>
      </c>
      <c r="G165" s="66">
        <f>SUM(G161*'Data Links'!$B$8)</f>
        <v>0</v>
      </c>
      <c r="H165" s="66">
        <f>SUM(H161*'Data Links'!$B$8)</f>
        <v>0</v>
      </c>
      <c r="I165" s="66">
        <f>SUM(I161*'Data Links'!$B$8)</f>
        <v>0</v>
      </c>
      <c r="J165" s="66">
        <f>SUM(J161*'Data Links'!$B$8)</f>
        <v>0</v>
      </c>
      <c r="K165" s="66">
        <f>SUM(K161*'Data Links'!$B$8)</f>
        <v>0</v>
      </c>
      <c r="L165" s="66">
        <f>SUM(L161*'Data Links'!$B$8)</f>
        <v>0</v>
      </c>
      <c r="M165" s="66">
        <f>SUM(M161*'Data Links'!$B$8)</f>
        <v>0</v>
      </c>
      <c r="N165" s="66">
        <f>SUM(N161*'Data Links'!$B$8)</f>
        <v>0</v>
      </c>
    </row>
    <row r="166" spans="1:14" hidden="1" x14ac:dyDescent="0.2">
      <c r="A166" s="59" t="s">
        <v>191</v>
      </c>
      <c r="B166" s="60"/>
      <c r="C166" s="66">
        <f>SUM('Data Links'!$B$25*C160)</f>
        <v>0</v>
      </c>
      <c r="D166" s="66">
        <f>SUM('Data Links'!$B$25*D160)</f>
        <v>0</v>
      </c>
      <c r="E166" s="66">
        <f>SUM('Data Links'!$B$25*E160)</f>
        <v>0</v>
      </c>
      <c r="F166" s="66">
        <f>SUM('Data Links'!$B$25*F160)</f>
        <v>0</v>
      </c>
      <c r="G166" s="66">
        <f>SUM('Data Links'!$B$25*G160)</f>
        <v>0</v>
      </c>
      <c r="H166" s="66">
        <f>SUM('Data Links'!$B$25*H160)</f>
        <v>0</v>
      </c>
      <c r="I166" s="66">
        <f>SUM('Data Links'!$B$25*I160)</f>
        <v>0</v>
      </c>
      <c r="J166" s="66">
        <f>SUM('Data Links'!$B$25*J160)</f>
        <v>0</v>
      </c>
      <c r="K166" s="66">
        <f>SUM('Data Links'!$B$25*K160)</f>
        <v>0</v>
      </c>
      <c r="L166" s="66">
        <f>SUM('Data Links'!$B$25*L160)</f>
        <v>0</v>
      </c>
      <c r="M166" s="66">
        <f>SUM('Data Links'!$B$25*M160)</f>
        <v>0</v>
      </c>
      <c r="N166" s="66">
        <f>SUM('Data Links'!$B$25*N160)</f>
        <v>0</v>
      </c>
    </row>
    <row r="167" spans="1:14" hidden="1" x14ac:dyDescent="0.2">
      <c r="A167" s="59" t="s">
        <v>192</v>
      </c>
      <c r="B167" s="60"/>
      <c r="C167" s="66"/>
      <c r="D167" s="66"/>
      <c r="E167" s="66"/>
      <c r="F167" s="66"/>
      <c r="G167" s="66"/>
      <c r="H167" s="66"/>
      <c r="I167" s="66"/>
      <c r="J167" s="66"/>
      <c r="K167" s="66">
        <f>SUM(K162*'Data Links'!$B$17)</f>
        <v>0</v>
      </c>
      <c r="L167" s="66">
        <f>SUM(L162*'Data Links'!$B$17)</f>
        <v>0</v>
      </c>
      <c r="M167" s="66">
        <f>SUM(M162*'Data Links'!$B$17)</f>
        <v>0</v>
      </c>
      <c r="N167" s="66">
        <f>SUM(N162*'Data Links'!$B$17)</f>
        <v>0</v>
      </c>
    </row>
    <row r="168" spans="1:14" s="29" customFormat="1" hidden="1" x14ac:dyDescent="0.2">
      <c r="A168" s="58" t="s">
        <v>144</v>
      </c>
      <c r="B168" s="60"/>
      <c r="C168" s="60">
        <f t="shared" ref="C168:N168" si="37">SUM(C162:C167)</f>
        <v>0</v>
      </c>
      <c r="D168" s="60">
        <f t="shared" si="37"/>
        <v>0</v>
      </c>
      <c r="E168" s="60">
        <f t="shared" si="37"/>
        <v>0</v>
      </c>
      <c r="F168" s="60">
        <f t="shared" si="37"/>
        <v>0</v>
      </c>
      <c r="G168" s="60">
        <f t="shared" si="37"/>
        <v>0</v>
      </c>
      <c r="H168" s="60">
        <f t="shared" si="37"/>
        <v>0</v>
      </c>
      <c r="I168" s="60">
        <f t="shared" si="37"/>
        <v>0</v>
      </c>
      <c r="J168" s="60">
        <f t="shared" si="37"/>
        <v>0</v>
      </c>
      <c r="K168" s="60">
        <f t="shared" si="37"/>
        <v>0</v>
      </c>
      <c r="L168" s="60">
        <f t="shared" si="37"/>
        <v>0</v>
      </c>
      <c r="M168" s="60">
        <f t="shared" si="37"/>
        <v>0</v>
      </c>
      <c r="N168" s="60">
        <f t="shared" si="37"/>
        <v>0</v>
      </c>
    </row>
    <row r="169" spans="1:14" hidden="1" x14ac:dyDescent="0.2">
      <c r="A169" s="59"/>
      <c r="B169" s="60"/>
      <c r="C169" s="60"/>
      <c r="D169" s="66"/>
      <c r="E169" s="66"/>
      <c r="F169" s="66"/>
      <c r="G169" s="66"/>
      <c r="H169" s="66"/>
      <c r="I169" s="66"/>
      <c r="J169" s="66"/>
      <c r="K169" s="66"/>
      <c r="L169" s="66"/>
      <c r="M169" s="66"/>
      <c r="N169" s="66"/>
    </row>
    <row r="170" spans="1:14" hidden="1" x14ac:dyDescent="0.2">
      <c r="A170" s="59"/>
      <c r="B170" s="60"/>
      <c r="C170" s="89" t="str">
        <f>C157</f>
        <v>January</v>
      </c>
      <c r="D170" s="89" t="str">
        <f t="shared" ref="D170:N170" si="38">D157</f>
        <v>February</v>
      </c>
      <c r="E170" s="89" t="str">
        <f t="shared" si="38"/>
        <v>March</v>
      </c>
      <c r="F170" s="89" t="str">
        <f t="shared" si="38"/>
        <v>April</v>
      </c>
      <c r="G170" s="89" t="str">
        <f t="shared" si="38"/>
        <v>May</v>
      </c>
      <c r="H170" s="89" t="str">
        <f t="shared" si="38"/>
        <v>June</v>
      </c>
      <c r="I170" s="89" t="str">
        <f t="shared" si="38"/>
        <v>July</v>
      </c>
      <c r="J170" s="89" t="str">
        <f t="shared" si="38"/>
        <v>August</v>
      </c>
      <c r="K170" s="89" t="str">
        <f t="shared" si="38"/>
        <v>September</v>
      </c>
      <c r="L170" s="89" t="str">
        <f t="shared" si="38"/>
        <v>October</v>
      </c>
      <c r="M170" s="89" t="str">
        <f t="shared" si="38"/>
        <v>November</v>
      </c>
      <c r="N170" s="89" t="str">
        <f t="shared" si="38"/>
        <v>December</v>
      </c>
    </row>
    <row r="171" spans="1:14" hidden="1" x14ac:dyDescent="0.2">
      <c r="A171" s="59"/>
      <c r="B171" s="60"/>
      <c r="C171" s="89">
        <f t="shared" ref="C171:N171" si="39">C158</f>
        <v>30</v>
      </c>
      <c r="D171" s="89">
        <f t="shared" si="39"/>
        <v>31</v>
      </c>
      <c r="E171" s="89">
        <f t="shared" si="39"/>
        <v>30</v>
      </c>
      <c r="F171" s="89">
        <f t="shared" si="39"/>
        <v>31</v>
      </c>
      <c r="G171" s="89">
        <f t="shared" si="39"/>
        <v>31</v>
      </c>
      <c r="H171" s="89">
        <f t="shared" si="39"/>
        <v>30</v>
      </c>
      <c r="I171" s="89">
        <f t="shared" si="39"/>
        <v>31</v>
      </c>
      <c r="J171" s="89">
        <f t="shared" si="39"/>
        <v>30</v>
      </c>
      <c r="K171" s="89">
        <f t="shared" si="39"/>
        <v>31</v>
      </c>
      <c r="L171" s="89">
        <f t="shared" si="39"/>
        <v>31</v>
      </c>
      <c r="M171" s="89">
        <f t="shared" si="39"/>
        <v>28</v>
      </c>
      <c r="N171" s="89">
        <f t="shared" si="39"/>
        <v>31</v>
      </c>
    </row>
    <row r="172" spans="1:14" hidden="1" x14ac:dyDescent="0.2">
      <c r="A172" s="59"/>
      <c r="B172" s="78" t="s">
        <v>185</v>
      </c>
      <c r="C172" s="72">
        <f>C159</f>
        <v>0</v>
      </c>
      <c r="D172" s="72">
        <f t="shared" ref="D172:N172" si="40">D159</f>
        <v>1</v>
      </c>
      <c r="E172" s="72">
        <f t="shared" si="40"/>
        <v>0</v>
      </c>
      <c r="F172" s="72">
        <f t="shared" si="40"/>
        <v>1</v>
      </c>
      <c r="G172" s="72">
        <f t="shared" si="40"/>
        <v>0</v>
      </c>
      <c r="H172" s="72">
        <f t="shared" si="40"/>
        <v>1</v>
      </c>
      <c r="I172" s="72">
        <f t="shared" si="40"/>
        <v>1</v>
      </c>
      <c r="J172" s="72">
        <f t="shared" si="40"/>
        <v>1</v>
      </c>
      <c r="K172" s="72">
        <f t="shared" si="40"/>
        <v>1</v>
      </c>
      <c r="L172" s="72">
        <f t="shared" si="40"/>
        <v>2</v>
      </c>
      <c r="M172" s="72">
        <f t="shared" si="40"/>
        <v>1</v>
      </c>
      <c r="N172" s="72">
        <f t="shared" si="40"/>
        <v>0</v>
      </c>
    </row>
    <row r="173" spans="1:14" hidden="1" x14ac:dyDescent="0.2">
      <c r="A173" s="59"/>
      <c r="B173" s="78" t="s">
        <v>44</v>
      </c>
      <c r="C173" s="37"/>
      <c r="D173" s="37"/>
      <c r="E173" s="37"/>
      <c r="F173" s="37"/>
      <c r="G173" s="37"/>
      <c r="H173" s="37"/>
      <c r="I173" s="37"/>
      <c r="J173" s="37"/>
      <c r="K173" s="37"/>
      <c r="L173" s="37"/>
      <c r="M173" s="37"/>
      <c r="N173" s="37"/>
    </row>
    <row r="174" spans="1:14" hidden="1" x14ac:dyDescent="0.2">
      <c r="A174" s="59"/>
      <c r="B174" s="78" t="s">
        <v>186</v>
      </c>
      <c r="C174" s="72">
        <f t="shared" ref="C174:N174" si="41">SUM(174*C173)</f>
        <v>0</v>
      </c>
      <c r="D174" s="72">
        <f t="shared" si="41"/>
        <v>0</v>
      </c>
      <c r="E174" s="72">
        <f t="shared" si="41"/>
        <v>0</v>
      </c>
      <c r="F174" s="72">
        <f t="shared" si="41"/>
        <v>0</v>
      </c>
      <c r="G174" s="72">
        <f t="shared" si="41"/>
        <v>0</v>
      </c>
      <c r="H174" s="72">
        <f t="shared" si="41"/>
        <v>0</v>
      </c>
      <c r="I174" s="72">
        <f t="shared" si="41"/>
        <v>0</v>
      </c>
      <c r="J174" s="72">
        <f t="shared" si="41"/>
        <v>0</v>
      </c>
      <c r="K174" s="72">
        <f t="shared" si="41"/>
        <v>0</v>
      </c>
      <c r="L174" s="72">
        <f t="shared" si="41"/>
        <v>0</v>
      </c>
      <c r="M174" s="72">
        <f t="shared" si="41"/>
        <v>0</v>
      </c>
      <c r="N174" s="72">
        <f t="shared" si="41"/>
        <v>0</v>
      </c>
    </row>
    <row r="175" spans="1:14" hidden="1" x14ac:dyDescent="0.2">
      <c r="A175" s="59" t="s">
        <v>193</v>
      </c>
      <c r="B175" s="78" t="s">
        <v>187</v>
      </c>
      <c r="C175" s="66">
        <f>SUM(2080*$B$176/365*C171)*C173</f>
        <v>0</v>
      </c>
      <c r="D175" s="66">
        <f t="shared" ref="D175:N175" si="42">SUM(2080*$B$176/365*D171)*D173</f>
        <v>0</v>
      </c>
      <c r="E175" s="66">
        <f t="shared" si="42"/>
        <v>0</v>
      </c>
      <c r="F175" s="66">
        <f t="shared" si="42"/>
        <v>0</v>
      </c>
      <c r="G175" s="66">
        <f t="shared" si="42"/>
        <v>0</v>
      </c>
      <c r="H175" s="66">
        <f t="shared" si="42"/>
        <v>0</v>
      </c>
      <c r="I175" s="66">
        <f t="shared" si="42"/>
        <v>0</v>
      </c>
      <c r="J175" s="66">
        <f t="shared" si="42"/>
        <v>0</v>
      </c>
      <c r="K175" s="66">
        <f t="shared" si="42"/>
        <v>0</v>
      </c>
      <c r="L175" s="66">
        <f t="shared" si="42"/>
        <v>0</v>
      </c>
      <c r="M175" s="66">
        <f t="shared" si="42"/>
        <v>0</v>
      </c>
      <c r="N175" s="66">
        <f t="shared" si="42"/>
        <v>0</v>
      </c>
    </row>
    <row r="176" spans="1:14" hidden="1" x14ac:dyDescent="0.2">
      <c r="A176" s="59" t="s">
        <v>188</v>
      </c>
      <c r="B176" s="74">
        <v>0</v>
      </c>
      <c r="C176" s="66">
        <f>SUM(C175)*'Data Links'!$B$15</f>
        <v>0</v>
      </c>
      <c r="D176" s="66">
        <f>SUM(D175)*'Data Links'!$B$15</f>
        <v>0</v>
      </c>
      <c r="E176" s="66">
        <f>SUM(E175)*'Data Links'!$B$15</f>
        <v>0</v>
      </c>
      <c r="F176" s="66">
        <f>SUM(F175)*'Data Links'!$B$15</f>
        <v>0</v>
      </c>
      <c r="G176" s="66">
        <f>SUM(G175)*'Data Links'!$B$15</f>
        <v>0</v>
      </c>
      <c r="H176" s="66">
        <f>SUM(H175)*'Data Links'!$B$15</f>
        <v>0</v>
      </c>
      <c r="I176" s="66">
        <f>SUM(I175)*'Data Links'!$B$15</f>
        <v>0</v>
      </c>
      <c r="J176" s="66">
        <f>SUM(J175)*'Data Links'!$B$15</f>
        <v>0</v>
      </c>
      <c r="K176" s="66">
        <f>SUM(K175)*'Data Links'!$B$15</f>
        <v>0</v>
      </c>
      <c r="L176" s="66">
        <f>SUM(L175)*'Data Links'!$B$15</f>
        <v>0</v>
      </c>
      <c r="M176" s="66">
        <f>SUM(M175)*'Data Links'!$B$15</f>
        <v>0</v>
      </c>
      <c r="N176" s="66">
        <f>SUM(N175)*'Data Links'!$B$15</f>
        <v>0</v>
      </c>
    </row>
    <row r="177" spans="1:14" hidden="1" x14ac:dyDescent="0.2">
      <c r="A177" s="59" t="s">
        <v>189</v>
      </c>
      <c r="B177" s="60"/>
      <c r="C177" s="66">
        <f>SUM(C175*'Data Links'!$B$13)</f>
        <v>0</v>
      </c>
      <c r="D177" s="66">
        <f>SUM(D175*'Data Links'!$B$13)</f>
        <v>0</v>
      </c>
      <c r="E177" s="66">
        <f>SUM(E175*'Data Links'!$B$13)</f>
        <v>0</v>
      </c>
      <c r="F177" s="66">
        <f>SUM(F175*'Data Links'!$B$13)</f>
        <v>0</v>
      </c>
      <c r="G177" s="66">
        <f>SUM(G175*'Data Links'!$B$13)</f>
        <v>0</v>
      </c>
      <c r="H177" s="66">
        <f>SUM(H175*'Data Links'!$B$13)</f>
        <v>0</v>
      </c>
      <c r="I177" s="66">
        <f>SUM(I175*'Data Links'!$B$13)</f>
        <v>0</v>
      </c>
      <c r="J177" s="66">
        <f>SUM(J175*'Data Links'!$B$13)</f>
        <v>0</v>
      </c>
      <c r="K177" s="66">
        <f>SUM(K175*'Data Links'!$B$13)</f>
        <v>0</v>
      </c>
      <c r="L177" s="66">
        <f>SUM(L175*'Data Links'!$B$13)</f>
        <v>0</v>
      </c>
      <c r="M177" s="66">
        <f>SUM(M175*'Data Links'!$B$13)</f>
        <v>0</v>
      </c>
      <c r="N177" s="66">
        <f>SUM(N175*'Data Links'!$B$13)</f>
        <v>0</v>
      </c>
    </row>
    <row r="178" spans="1:14" hidden="1" x14ac:dyDescent="0.2">
      <c r="A178" s="59" t="s">
        <v>190</v>
      </c>
      <c r="B178" s="60"/>
      <c r="C178" s="66">
        <f>SUM(C174*'Data Links'!$B$8)</f>
        <v>0</v>
      </c>
      <c r="D178" s="66">
        <f>SUM(D174*'Data Links'!$B$8)</f>
        <v>0</v>
      </c>
      <c r="E178" s="66">
        <f>SUM(E174*'Data Links'!$B$8)</f>
        <v>0</v>
      </c>
      <c r="F178" s="66">
        <f>SUM(F174*'Data Links'!$B$8)</f>
        <v>0</v>
      </c>
      <c r="G178" s="66">
        <f>SUM(G174*'Data Links'!$B$8)</f>
        <v>0</v>
      </c>
      <c r="H178" s="66">
        <f>SUM(H174*'Data Links'!$B$8)</f>
        <v>0</v>
      </c>
      <c r="I178" s="66">
        <f>SUM(I174*'Data Links'!$B$8)</f>
        <v>0</v>
      </c>
      <c r="J178" s="66">
        <f>SUM(J174*'Data Links'!$B$8)</f>
        <v>0</v>
      </c>
      <c r="K178" s="66">
        <f>SUM(K174*'Data Links'!$B$8)</f>
        <v>0</v>
      </c>
      <c r="L178" s="66">
        <f>SUM(L174*'Data Links'!$B$8)</f>
        <v>0</v>
      </c>
      <c r="M178" s="66">
        <f>SUM(M174*'Data Links'!$B$8)</f>
        <v>0</v>
      </c>
      <c r="N178" s="66">
        <f>SUM(N174*'Data Links'!$B$8)</f>
        <v>0</v>
      </c>
    </row>
    <row r="179" spans="1:14" hidden="1" x14ac:dyDescent="0.2">
      <c r="A179" s="59" t="s">
        <v>191</v>
      </c>
      <c r="B179" s="60"/>
      <c r="C179" s="66"/>
      <c r="D179" s="66"/>
      <c r="E179" s="66"/>
      <c r="F179" s="66"/>
      <c r="G179" s="66"/>
      <c r="H179" s="66"/>
      <c r="I179" s="66"/>
      <c r="J179" s="66"/>
      <c r="K179" s="66"/>
      <c r="L179" s="66"/>
      <c r="M179" s="66"/>
      <c r="N179" s="66"/>
    </row>
    <row r="180" spans="1:14" hidden="1" x14ac:dyDescent="0.2">
      <c r="A180" s="59" t="s">
        <v>192</v>
      </c>
      <c r="B180" s="60"/>
      <c r="C180" s="66"/>
      <c r="D180" s="66"/>
      <c r="E180" s="66"/>
      <c r="F180" s="66"/>
      <c r="G180" s="66"/>
      <c r="H180" s="66"/>
      <c r="I180" s="66"/>
      <c r="J180" s="66"/>
      <c r="K180" s="66"/>
      <c r="L180" s="66"/>
      <c r="M180" s="66"/>
      <c r="N180" s="66"/>
    </row>
    <row r="181" spans="1:14" s="29" customFormat="1" hidden="1" x14ac:dyDescent="0.2">
      <c r="A181" s="58" t="s">
        <v>144</v>
      </c>
      <c r="B181" s="60"/>
      <c r="C181" s="60">
        <f t="shared" ref="C181:N181" si="43">SUM(C175:C180)</f>
        <v>0</v>
      </c>
      <c r="D181" s="60">
        <f t="shared" si="43"/>
        <v>0</v>
      </c>
      <c r="E181" s="60">
        <f t="shared" si="43"/>
        <v>0</v>
      </c>
      <c r="F181" s="60">
        <f t="shared" si="43"/>
        <v>0</v>
      </c>
      <c r="G181" s="60">
        <f t="shared" si="43"/>
        <v>0</v>
      </c>
      <c r="H181" s="60">
        <f t="shared" si="43"/>
        <v>0</v>
      </c>
      <c r="I181" s="60">
        <f t="shared" si="43"/>
        <v>0</v>
      </c>
      <c r="J181" s="60">
        <f t="shared" si="43"/>
        <v>0</v>
      </c>
      <c r="K181" s="60">
        <f t="shared" si="43"/>
        <v>0</v>
      </c>
      <c r="L181" s="60">
        <f t="shared" si="43"/>
        <v>0</v>
      </c>
      <c r="M181" s="60">
        <f t="shared" si="43"/>
        <v>0</v>
      </c>
      <c r="N181" s="60">
        <f t="shared" si="43"/>
        <v>0</v>
      </c>
    </row>
    <row r="182" spans="1:14" hidden="1" x14ac:dyDescent="0.2">
      <c r="A182" s="59"/>
      <c r="B182" s="60"/>
      <c r="C182" s="60"/>
      <c r="D182" s="66"/>
      <c r="E182" s="66"/>
      <c r="F182" s="66"/>
      <c r="G182" s="66"/>
      <c r="H182" s="66"/>
      <c r="I182" s="66"/>
      <c r="J182" s="66"/>
      <c r="K182" s="66"/>
      <c r="L182" s="66"/>
      <c r="M182" s="66"/>
      <c r="N182" s="66"/>
    </row>
    <row r="183" spans="1:14" hidden="1" x14ac:dyDescent="0.2">
      <c r="A183" s="59"/>
      <c r="B183" s="60"/>
      <c r="C183" s="89" t="str">
        <f>C170</f>
        <v>January</v>
      </c>
      <c r="D183" s="89" t="str">
        <f t="shared" ref="D183:N183" si="44">D170</f>
        <v>February</v>
      </c>
      <c r="E183" s="89" t="str">
        <f t="shared" si="44"/>
        <v>March</v>
      </c>
      <c r="F183" s="89" t="str">
        <f t="shared" si="44"/>
        <v>April</v>
      </c>
      <c r="G183" s="89" t="str">
        <f t="shared" si="44"/>
        <v>May</v>
      </c>
      <c r="H183" s="89" t="str">
        <f t="shared" si="44"/>
        <v>June</v>
      </c>
      <c r="I183" s="89" t="str">
        <f t="shared" si="44"/>
        <v>July</v>
      </c>
      <c r="J183" s="89" t="str">
        <f t="shared" si="44"/>
        <v>August</v>
      </c>
      <c r="K183" s="89" t="str">
        <f t="shared" si="44"/>
        <v>September</v>
      </c>
      <c r="L183" s="89" t="str">
        <f t="shared" si="44"/>
        <v>October</v>
      </c>
      <c r="M183" s="89" t="str">
        <f t="shared" si="44"/>
        <v>November</v>
      </c>
      <c r="N183" s="89" t="str">
        <f t="shared" si="44"/>
        <v>December</v>
      </c>
    </row>
    <row r="184" spans="1:14" hidden="1" x14ac:dyDescent="0.2">
      <c r="A184" s="59"/>
      <c r="B184" s="60"/>
      <c r="C184" s="89">
        <f t="shared" ref="C184:N185" si="45">C171</f>
        <v>30</v>
      </c>
      <c r="D184" s="89">
        <f t="shared" si="45"/>
        <v>31</v>
      </c>
      <c r="E184" s="89">
        <f t="shared" si="45"/>
        <v>30</v>
      </c>
      <c r="F184" s="89">
        <f t="shared" si="45"/>
        <v>31</v>
      </c>
      <c r="G184" s="89">
        <f t="shared" si="45"/>
        <v>31</v>
      </c>
      <c r="H184" s="89">
        <f t="shared" si="45"/>
        <v>30</v>
      </c>
      <c r="I184" s="89">
        <f t="shared" si="45"/>
        <v>31</v>
      </c>
      <c r="J184" s="89">
        <f t="shared" si="45"/>
        <v>30</v>
      </c>
      <c r="K184" s="89">
        <f t="shared" si="45"/>
        <v>31</v>
      </c>
      <c r="L184" s="89">
        <f t="shared" si="45"/>
        <v>31</v>
      </c>
      <c r="M184" s="89">
        <f t="shared" si="45"/>
        <v>28</v>
      </c>
      <c r="N184" s="89">
        <f t="shared" si="45"/>
        <v>31</v>
      </c>
    </row>
    <row r="185" spans="1:14" hidden="1" x14ac:dyDescent="0.2">
      <c r="A185" s="59"/>
      <c r="B185" s="78" t="s">
        <v>185</v>
      </c>
      <c r="C185" s="89">
        <f t="shared" si="45"/>
        <v>0</v>
      </c>
      <c r="D185" s="89">
        <f t="shared" si="45"/>
        <v>1</v>
      </c>
      <c r="E185" s="89">
        <f t="shared" si="45"/>
        <v>0</v>
      </c>
      <c r="F185" s="89">
        <f t="shared" si="45"/>
        <v>1</v>
      </c>
      <c r="G185" s="89">
        <f t="shared" si="45"/>
        <v>0</v>
      </c>
      <c r="H185" s="89">
        <f t="shared" si="45"/>
        <v>1</v>
      </c>
      <c r="I185" s="89">
        <f t="shared" si="45"/>
        <v>1</v>
      </c>
      <c r="J185" s="89">
        <f t="shared" si="45"/>
        <v>1</v>
      </c>
      <c r="K185" s="89">
        <f t="shared" si="45"/>
        <v>1</v>
      </c>
      <c r="L185" s="89">
        <f t="shared" si="45"/>
        <v>2</v>
      </c>
      <c r="M185" s="89">
        <f t="shared" si="45"/>
        <v>1</v>
      </c>
      <c r="N185" s="89">
        <f t="shared" si="45"/>
        <v>0</v>
      </c>
    </row>
    <row r="186" spans="1:14" hidden="1" x14ac:dyDescent="0.2">
      <c r="A186" s="59"/>
      <c r="B186" s="78" t="s">
        <v>44</v>
      </c>
      <c r="C186" s="37"/>
      <c r="D186" s="37"/>
      <c r="E186" s="37"/>
      <c r="F186" s="37"/>
      <c r="G186" s="37"/>
      <c r="H186" s="37"/>
      <c r="I186" s="37"/>
      <c r="J186" s="37"/>
      <c r="K186" s="37"/>
      <c r="L186" s="37"/>
      <c r="M186" s="37"/>
      <c r="N186" s="37"/>
    </row>
    <row r="187" spans="1:14" hidden="1" x14ac:dyDescent="0.2">
      <c r="A187" s="59"/>
      <c r="B187" s="78" t="s">
        <v>186</v>
      </c>
      <c r="C187" s="72">
        <f>SUM(174*C186)</f>
        <v>0</v>
      </c>
      <c r="D187" s="72">
        <f t="shared" ref="D187:N187" si="46">SUM(174*D186)</f>
        <v>0</v>
      </c>
      <c r="E187" s="72">
        <f t="shared" si="46"/>
        <v>0</v>
      </c>
      <c r="F187" s="72">
        <f t="shared" si="46"/>
        <v>0</v>
      </c>
      <c r="G187" s="72">
        <f t="shared" si="46"/>
        <v>0</v>
      </c>
      <c r="H187" s="72">
        <f t="shared" si="46"/>
        <v>0</v>
      </c>
      <c r="I187" s="72">
        <f t="shared" si="46"/>
        <v>0</v>
      </c>
      <c r="J187" s="72">
        <f t="shared" si="46"/>
        <v>0</v>
      </c>
      <c r="K187" s="72">
        <f t="shared" si="46"/>
        <v>0</v>
      </c>
      <c r="L187" s="72">
        <f t="shared" si="46"/>
        <v>0</v>
      </c>
      <c r="M187" s="72">
        <f t="shared" si="46"/>
        <v>0</v>
      </c>
      <c r="N187" s="72">
        <f t="shared" si="46"/>
        <v>0</v>
      </c>
    </row>
    <row r="188" spans="1:14" hidden="1" x14ac:dyDescent="0.2">
      <c r="A188" s="59" t="s">
        <v>200</v>
      </c>
      <c r="B188" s="78" t="s">
        <v>187</v>
      </c>
      <c r="C188" s="66">
        <f>SUM(2080*$B$189/365*C184)*C186</f>
        <v>0</v>
      </c>
      <c r="D188" s="66">
        <f t="shared" ref="D188:N188" si="47">SUM(2080*$B$189/365*D184)*D186</f>
        <v>0</v>
      </c>
      <c r="E188" s="66">
        <f t="shared" si="47"/>
        <v>0</v>
      </c>
      <c r="F188" s="66">
        <f t="shared" si="47"/>
        <v>0</v>
      </c>
      <c r="G188" s="66">
        <f t="shared" si="47"/>
        <v>0</v>
      </c>
      <c r="H188" s="66">
        <f t="shared" si="47"/>
        <v>0</v>
      </c>
      <c r="I188" s="66">
        <f t="shared" si="47"/>
        <v>0</v>
      </c>
      <c r="J188" s="66">
        <f t="shared" si="47"/>
        <v>0</v>
      </c>
      <c r="K188" s="66">
        <f t="shared" si="47"/>
        <v>0</v>
      </c>
      <c r="L188" s="66">
        <f t="shared" si="47"/>
        <v>0</v>
      </c>
      <c r="M188" s="66">
        <f t="shared" si="47"/>
        <v>0</v>
      </c>
      <c r="N188" s="66">
        <f t="shared" si="47"/>
        <v>0</v>
      </c>
    </row>
    <row r="189" spans="1:14" hidden="1" x14ac:dyDescent="0.2">
      <c r="A189" s="59" t="s">
        <v>188</v>
      </c>
      <c r="B189" s="74">
        <v>0</v>
      </c>
      <c r="C189" s="66">
        <f>SUM(C188)*'Data Links'!$B$15</f>
        <v>0</v>
      </c>
      <c r="D189" s="66">
        <f>SUM(D188)*'Data Links'!$B$15</f>
        <v>0</v>
      </c>
      <c r="E189" s="66">
        <f>SUM(E188)*'Data Links'!$B$15</f>
        <v>0</v>
      </c>
      <c r="F189" s="66">
        <f>SUM(F188)*'Data Links'!$B$15</f>
        <v>0</v>
      </c>
      <c r="G189" s="66">
        <f>SUM(G188)*'Data Links'!$B$15</f>
        <v>0</v>
      </c>
      <c r="H189" s="66">
        <f>SUM(H188)*'Data Links'!$B$15</f>
        <v>0</v>
      </c>
      <c r="I189" s="66">
        <f>SUM(I188)*'Data Links'!$B$15</f>
        <v>0</v>
      </c>
      <c r="J189" s="66">
        <f>SUM(J188)*'Data Links'!$B$15</f>
        <v>0</v>
      </c>
      <c r="K189" s="66">
        <f>SUM(K188)*'Data Links'!$B$15</f>
        <v>0</v>
      </c>
      <c r="L189" s="66">
        <f>SUM(L188)*'Data Links'!$B$15</f>
        <v>0</v>
      </c>
      <c r="M189" s="66">
        <f>SUM(M188)*'Data Links'!$B$15</f>
        <v>0</v>
      </c>
      <c r="N189" s="66">
        <f>SUM(N188)*'Data Links'!$B$15</f>
        <v>0</v>
      </c>
    </row>
    <row r="190" spans="1:14" hidden="1" x14ac:dyDescent="0.2">
      <c r="A190" s="59" t="s">
        <v>189</v>
      </c>
      <c r="B190" s="60"/>
      <c r="C190" s="66">
        <f>SUM(C188*'Data Links'!$B$13)</f>
        <v>0</v>
      </c>
      <c r="D190" s="66">
        <f>SUM(D188*'Data Links'!$B$13)</f>
        <v>0</v>
      </c>
      <c r="E190" s="66">
        <f>SUM(E188*'Data Links'!$B$13)</f>
        <v>0</v>
      </c>
      <c r="F190" s="66">
        <f>SUM(F188*'Data Links'!$B$13)</f>
        <v>0</v>
      </c>
      <c r="G190" s="66">
        <f>SUM(G188*'Data Links'!$B$13)</f>
        <v>0</v>
      </c>
      <c r="H190" s="66">
        <f>SUM(H188*'Data Links'!$B$13)</f>
        <v>0</v>
      </c>
      <c r="I190" s="66">
        <f>SUM(I188*'Data Links'!$B$13)</f>
        <v>0</v>
      </c>
      <c r="J190" s="66">
        <f>SUM(J188*'Data Links'!$B$13)</f>
        <v>0</v>
      </c>
      <c r="K190" s="66">
        <f>SUM(K188*'Data Links'!$B$13)</f>
        <v>0</v>
      </c>
      <c r="L190" s="66">
        <f>SUM(L188*'Data Links'!$B$13)</f>
        <v>0</v>
      </c>
      <c r="M190" s="66">
        <f>SUM(M188*'Data Links'!$B$13)</f>
        <v>0</v>
      </c>
      <c r="N190" s="66">
        <f>SUM(N188*'Data Links'!$B$13)</f>
        <v>0</v>
      </c>
    </row>
    <row r="191" spans="1:14" hidden="1" x14ac:dyDescent="0.2">
      <c r="A191" s="59" t="s">
        <v>190</v>
      </c>
      <c r="B191" s="60"/>
      <c r="C191" s="66">
        <f>SUM(C187*'Data Links'!$B$8)</f>
        <v>0</v>
      </c>
      <c r="D191" s="66">
        <f>SUM(D187*'Data Links'!$B$8)</f>
        <v>0</v>
      </c>
      <c r="E191" s="66">
        <f>SUM(E187*'Data Links'!$B$8)</f>
        <v>0</v>
      </c>
      <c r="F191" s="66">
        <f>SUM(F187*'Data Links'!$B$8)</f>
        <v>0</v>
      </c>
      <c r="G191" s="66">
        <f>SUM(G187*'Data Links'!$B$8)</f>
        <v>0</v>
      </c>
      <c r="H191" s="66">
        <f>SUM(H187*'Data Links'!$B$8)</f>
        <v>0</v>
      </c>
      <c r="I191" s="66">
        <f>SUM(I187*'Data Links'!$B$8)</f>
        <v>0</v>
      </c>
      <c r="J191" s="66">
        <f>SUM(J187*'Data Links'!$B$8)</f>
        <v>0</v>
      </c>
      <c r="K191" s="66">
        <f>SUM(K187*'Data Links'!$B$8)</f>
        <v>0</v>
      </c>
      <c r="L191" s="66">
        <f>SUM(L187*'Data Links'!$B$8)</f>
        <v>0</v>
      </c>
      <c r="M191" s="66">
        <f>SUM(M187*'Data Links'!$B$8)</f>
        <v>0</v>
      </c>
      <c r="N191" s="66">
        <f>SUM(N187*'Data Links'!$B$8)</f>
        <v>0</v>
      </c>
    </row>
    <row r="192" spans="1:14" hidden="1" x14ac:dyDescent="0.2">
      <c r="A192" s="59" t="s">
        <v>191</v>
      </c>
      <c r="B192" s="60"/>
      <c r="C192" s="66"/>
      <c r="D192" s="66"/>
      <c r="E192" s="66"/>
      <c r="F192" s="66"/>
      <c r="G192" s="66"/>
      <c r="H192" s="66"/>
      <c r="I192" s="66"/>
      <c r="J192" s="66"/>
      <c r="K192" s="66"/>
      <c r="L192" s="66"/>
      <c r="M192" s="66"/>
      <c r="N192" s="66"/>
    </row>
    <row r="193" spans="1:14" hidden="1" x14ac:dyDescent="0.2">
      <c r="A193" s="59" t="s">
        <v>192</v>
      </c>
      <c r="B193" s="60"/>
      <c r="C193" s="66"/>
      <c r="D193" s="66"/>
      <c r="E193" s="66"/>
      <c r="F193" s="66"/>
      <c r="G193" s="66"/>
      <c r="H193" s="66"/>
      <c r="I193" s="66"/>
      <c r="J193" s="66"/>
      <c r="K193" s="66"/>
      <c r="L193" s="66"/>
      <c r="M193" s="66"/>
      <c r="N193" s="66"/>
    </row>
    <row r="194" spans="1:14" s="29" customFormat="1" hidden="1" x14ac:dyDescent="0.2">
      <c r="A194" s="58" t="s">
        <v>144</v>
      </c>
      <c r="B194" s="60"/>
      <c r="C194" s="60">
        <f t="shared" ref="C194:N194" si="48">SUM(C188:C193)</f>
        <v>0</v>
      </c>
      <c r="D194" s="60">
        <f t="shared" si="48"/>
        <v>0</v>
      </c>
      <c r="E194" s="60">
        <f t="shared" si="48"/>
        <v>0</v>
      </c>
      <c r="F194" s="60">
        <f t="shared" si="48"/>
        <v>0</v>
      </c>
      <c r="G194" s="60">
        <f t="shared" si="48"/>
        <v>0</v>
      </c>
      <c r="H194" s="60">
        <f t="shared" si="48"/>
        <v>0</v>
      </c>
      <c r="I194" s="60">
        <f t="shared" si="48"/>
        <v>0</v>
      </c>
      <c r="J194" s="60">
        <f t="shared" si="48"/>
        <v>0</v>
      </c>
      <c r="K194" s="60">
        <f t="shared" si="48"/>
        <v>0</v>
      </c>
      <c r="L194" s="60">
        <f t="shared" si="48"/>
        <v>0</v>
      </c>
      <c r="M194" s="60">
        <f t="shared" si="48"/>
        <v>0</v>
      </c>
      <c r="N194" s="60">
        <f t="shared" si="48"/>
        <v>0</v>
      </c>
    </row>
    <row r="195" spans="1:14" hidden="1" x14ac:dyDescent="0.2">
      <c r="A195" s="59"/>
      <c r="B195" s="60"/>
      <c r="C195" s="60"/>
      <c r="D195" s="66"/>
      <c r="E195" s="66"/>
      <c r="F195" s="66"/>
      <c r="G195" s="66"/>
      <c r="H195" s="66"/>
      <c r="I195" s="66"/>
      <c r="J195" s="66"/>
      <c r="K195" s="66"/>
      <c r="L195" s="66"/>
      <c r="M195" s="66"/>
      <c r="N195" s="66"/>
    </row>
    <row r="196" spans="1:14" hidden="1" x14ac:dyDescent="0.2">
      <c r="A196" s="59"/>
      <c r="B196" s="60"/>
      <c r="C196" s="89" t="str">
        <f>C183</f>
        <v>January</v>
      </c>
      <c r="D196" s="89" t="str">
        <f t="shared" ref="D196:M196" si="49">D183</f>
        <v>February</v>
      </c>
      <c r="E196" s="89" t="str">
        <f t="shared" si="49"/>
        <v>March</v>
      </c>
      <c r="F196" s="89" t="str">
        <f t="shared" si="49"/>
        <v>April</v>
      </c>
      <c r="G196" s="89" t="str">
        <f t="shared" si="49"/>
        <v>May</v>
      </c>
      <c r="H196" s="89" t="str">
        <f t="shared" si="49"/>
        <v>June</v>
      </c>
      <c r="I196" s="89" t="str">
        <f t="shared" si="49"/>
        <v>July</v>
      </c>
      <c r="J196" s="89" t="str">
        <f t="shared" si="49"/>
        <v>August</v>
      </c>
      <c r="K196" s="89" t="str">
        <f t="shared" si="49"/>
        <v>September</v>
      </c>
      <c r="L196" s="89" t="str">
        <f t="shared" si="49"/>
        <v>October</v>
      </c>
      <c r="M196" s="89" t="str">
        <f t="shared" si="49"/>
        <v>November</v>
      </c>
      <c r="N196" s="89" t="str">
        <f>N183</f>
        <v>December</v>
      </c>
    </row>
    <row r="197" spans="1:14" hidden="1" x14ac:dyDescent="0.2">
      <c r="A197" s="59"/>
      <c r="B197" s="60"/>
      <c r="C197" s="89">
        <f t="shared" ref="C197:N198" si="50">C184</f>
        <v>30</v>
      </c>
      <c r="D197" s="89">
        <f t="shared" si="50"/>
        <v>31</v>
      </c>
      <c r="E197" s="89">
        <f t="shared" si="50"/>
        <v>30</v>
      </c>
      <c r="F197" s="89">
        <f t="shared" si="50"/>
        <v>31</v>
      </c>
      <c r="G197" s="89">
        <f t="shared" si="50"/>
        <v>31</v>
      </c>
      <c r="H197" s="89">
        <f t="shared" si="50"/>
        <v>30</v>
      </c>
      <c r="I197" s="89">
        <f t="shared" si="50"/>
        <v>31</v>
      </c>
      <c r="J197" s="89">
        <f t="shared" si="50"/>
        <v>30</v>
      </c>
      <c r="K197" s="89">
        <f t="shared" si="50"/>
        <v>31</v>
      </c>
      <c r="L197" s="89">
        <f t="shared" si="50"/>
        <v>31</v>
      </c>
      <c r="M197" s="89">
        <f t="shared" si="50"/>
        <v>28</v>
      </c>
      <c r="N197" s="89">
        <f t="shared" si="50"/>
        <v>31</v>
      </c>
    </row>
    <row r="198" spans="1:14" hidden="1" x14ac:dyDescent="0.2">
      <c r="A198" s="59"/>
      <c r="B198" s="78" t="s">
        <v>185</v>
      </c>
      <c r="C198" s="89">
        <f t="shared" si="50"/>
        <v>0</v>
      </c>
      <c r="D198" s="89">
        <f t="shared" si="50"/>
        <v>1</v>
      </c>
      <c r="E198" s="89">
        <f t="shared" si="50"/>
        <v>0</v>
      </c>
      <c r="F198" s="89">
        <f t="shared" si="50"/>
        <v>1</v>
      </c>
      <c r="G198" s="89">
        <f t="shared" si="50"/>
        <v>0</v>
      </c>
      <c r="H198" s="89">
        <f t="shared" si="50"/>
        <v>1</v>
      </c>
      <c r="I198" s="89">
        <f t="shared" si="50"/>
        <v>1</v>
      </c>
      <c r="J198" s="89">
        <f t="shared" si="50"/>
        <v>1</v>
      </c>
      <c r="K198" s="89">
        <f t="shared" si="50"/>
        <v>1</v>
      </c>
      <c r="L198" s="89">
        <f t="shared" si="50"/>
        <v>2</v>
      </c>
      <c r="M198" s="89">
        <f t="shared" si="50"/>
        <v>1</v>
      </c>
      <c r="N198" s="89">
        <f t="shared" si="50"/>
        <v>0</v>
      </c>
    </row>
    <row r="199" spans="1:14" hidden="1" x14ac:dyDescent="0.2">
      <c r="A199" s="59"/>
      <c r="B199" s="78" t="s">
        <v>44</v>
      </c>
      <c r="C199" s="37"/>
      <c r="D199" s="37"/>
      <c r="E199" s="37"/>
      <c r="F199" s="37"/>
      <c r="G199" s="37"/>
      <c r="H199" s="37"/>
      <c r="I199" s="37"/>
      <c r="J199" s="37"/>
      <c r="K199" s="37"/>
      <c r="L199" s="37"/>
      <c r="M199" s="37"/>
      <c r="N199" s="37"/>
    </row>
    <row r="200" spans="1:14" hidden="1" x14ac:dyDescent="0.2">
      <c r="A200" s="59"/>
      <c r="B200" s="78" t="s">
        <v>186</v>
      </c>
      <c r="C200" s="72">
        <f>SUM(174*C199)</f>
        <v>0</v>
      </c>
      <c r="D200" s="72">
        <f t="shared" ref="D200:N200" si="51">SUM(174*D199)</f>
        <v>0</v>
      </c>
      <c r="E200" s="72">
        <f t="shared" si="51"/>
        <v>0</v>
      </c>
      <c r="F200" s="72">
        <f t="shared" si="51"/>
        <v>0</v>
      </c>
      <c r="G200" s="72">
        <f t="shared" si="51"/>
        <v>0</v>
      </c>
      <c r="H200" s="72">
        <f t="shared" si="51"/>
        <v>0</v>
      </c>
      <c r="I200" s="72">
        <f t="shared" si="51"/>
        <v>0</v>
      </c>
      <c r="J200" s="72">
        <f t="shared" si="51"/>
        <v>0</v>
      </c>
      <c r="K200" s="72">
        <f t="shared" si="51"/>
        <v>0</v>
      </c>
      <c r="L200" s="72">
        <f t="shared" si="51"/>
        <v>0</v>
      </c>
      <c r="M200" s="72">
        <f t="shared" si="51"/>
        <v>0</v>
      </c>
      <c r="N200" s="72">
        <f t="shared" si="51"/>
        <v>0</v>
      </c>
    </row>
    <row r="201" spans="1:14" hidden="1" x14ac:dyDescent="0.2">
      <c r="A201" s="59" t="s">
        <v>193</v>
      </c>
      <c r="B201" s="78" t="s">
        <v>187</v>
      </c>
      <c r="C201" s="66">
        <f>SUM(2080*$B$202/365*C197)*C199</f>
        <v>0</v>
      </c>
      <c r="D201" s="66">
        <f t="shared" ref="D201:N201" si="52">SUM(2080*$B$202/365*D197)*D199</f>
        <v>0</v>
      </c>
      <c r="E201" s="66">
        <f t="shared" si="52"/>
        <v>0</v>
      </c>
      <c r="F201" s="66">
        <f t="shared" si="52"/>
        <v>0</v>
      </c>
      <c r="G201" s="66">
        <f t="shared" si="52"/>
        <v>0</v>
      </c>
      <c r="H201" s="66">
        <f t="shared" si="52"/>
        <v>0</v>
      </c>
      <c r="I201" s="66">
        <f t="shared" si="52"/>
        <v>0</v>
      </c>
      <c r="J201" s="66">
        <f t="shared" si="52"/>
        <v>0</v>
      </c>
      <c r="K201" s="66">
        <f t="shared" si="52"/>
        <v>0</v>
      </c>
      <c r="L201" s="66">
        <f t="shared" si="52"/>
        <v>0</v>
      </c>
      <c r="M201" s="66">
        <f t="shared" si="52"/>
        <v>0</v>
      </c>
      <c r="N201" s="66">
        <f t="shared" si="52"/>
        <v>0</v>
      </c>
    </row>
    <row r="202" spans="1:14" hidden="1" x14ac:dyDescent="0.2">
      <c r="A202" s="59" t="s">
        <v>188</v>
      </c>
      <c r="B202" s="74">
        <v>0</v>
      </c>
      <c r="C202" s="66">
        <f>SUM(C201)*'Data Links'!$B$15</f>
        <v>0</v>
      </c>
      <c r="D202" s="66">
        <f>SUM(D201)*'Data Links'!$B$15</f>
        <v>0</v>
      </c>
      <c r="E202" s="66">
        <f>SUM(E201)*'Data Links'!$B$15</f>
        <v>0</v>
      </c>
      <c r="F202" s="66">
        <f>SUM(F201)*'Data Links'!$B$15</f>
        <v>0</v>
      </c>
      <c r="G202" s="66">
        <f>SUM(G201)*'Data Links'!$B$15</f>
        <v>0</v>
      </c>
      <c r="H202" s="66">
        <f>SUM(H201)*'Data Links'!$B$15</f>
        <v>0</v>
      </c>
      <c r="I202" s="66">
        <f>SUM(I201)*'Data Links'!$B$15</f>
        <v>0</v>
      </c>
      <c r="J202" s="66">
        <f>SUM(J201)*'Data Links'!$B$15</f>
        <v>0</v>
      </c>
      <c r="K202" s="66">
        <f>SUM(K201)*'Data Links'!$B$15</f>
        <v>0</v>
      </c>
      <c r="L202" s="66">
        <f>SUM(L201)*'Data Links'!$B$15</f>
        <v>0</v>
      </c>
      <c r="M202" s="66">
        <f>SUM(M201)*'Data Links'!$B$15</f>
        <v>0</v>
      </c>
      <c r="N202" s="66">
        <f>SUM(N201)*'Data Links'!$B$15</f>
        <v>0</v>
      </c>
    </row>
    <row r="203" spans="1:14" hidden="1" x14ac:dyDescent="0.2">
      <c r="A203" s="59" t="s">
        <v>189</v>
      </c>
      <c r="B203" s="60"/>
      <c r="C203" s="66">
        <f>SUM(C201*'Data Links'!$B$13)</f>
        <v>0</v>
      </c>
      <c r="D203" s="66">
        <f>SUM(D201*'Data Links'!$B$13)</f>
        <v>0</v>
      </c>
      <c r="E203" s="66">
        <f>SUM(E201*'Data Links'!$B$13)</f>
        <v>0</v>
      </c>
      <c r="F203" s="66">
        <f>SUM(F201*'Data Links'!$B$13)</f>
        <v>0</v>
      </c>
      <c r="G203" s="66">
        <f>SUM(G201*'Data Links'!$B$13)</f>
        <v>0</v>
      </c>
      <c r="H203" s="66">
        <f>SUM(H201*'Data Links'!$B$13)</f>
        <v>0</v>
      </c>
      <c r="I203" s="66">
        <f>SUM(I201*'Data Links'!$B$13)</f>
        <v>0</v>
      </c>
      <c r="J203" s="66">
        <f>SUM(J201*'Data Links'!$B$13)</f>
        <v>0</v>
      </c>
      <c r="K203" s="66">
        <f>SUM(K201*'Data Links'!$B$13)</f>
        <v>0</v>
      </c>
      <c r="L203" s="66">
        <f>SUM(L201*'Data Links'!$B$13)</f>
        <v>0</v>
      </c>
      <c r="M203" s="66">
        <f>SUM(M201*'Data Links'!$B$13)</f>
        <v>0</v>
      </c>
      <c r="N203" s="66">
        <f>SUM(N201*'Data Links'!$B$13)</f>
        <v>0</v>
      </c>
    </row>
    <row r="204" spans="1:14" hidden="1" x14ac:dyDescent="0.2">
      <c r="A204" s="59" t="s">
        <v>190</v>
      </c>
      <c r="B204" s="60"/>
      <c r="C204" s="66">
        <f>SUM(C200*'Data Links'!$B$8)</f>
        <v>0</v>
      </c>
      <c r="D204" s="66">
        <f>SUM(D200*'Data Links'!$B$8)</f>
        <v>0</v>
      </c>
      <c r="E204" s="66">
        <f>SUM(E200*'Data Links'!$B$8)</f>
        <v>0</v>
      </c>
      <c r="F204" s="66">
        <f>SUM(F200*'Data Links'!$B$8)</f>
        <v>0</v>
      </c>
      <c r="G204" s="66">
        <f>SUM(G200*'Data Links'!$B$8)</f>
        <v>0</v>
      </c>
      <c r="H204" s="66">
        <f>SUM(H200*'Data Links'!$B$8)</f>
        <v>0</v>
      </c>
      <c r="I204" s="66">
        <f>SUM(I200*'Data Links'!$B$8)</f>
        <v>0</v>
      </c>
      <c r="J204" s="66">
        <f>SUM(J200*'Data Links'!$B$8)</f>
        <v>0</v>
      </c>
      <c r="K204" s="66">
        <f>SUM(K200*'Data Links'!$B$8)</f>
        <v>0</v>
      </c>
      <c r="L204" s="66">
        <f>SUM(L200*'Data Links'!$B$8)</f>
        <v>0</v>
      </c>
      <c r="M204" s="66">
        <f>SUM(M200*'Data Links'!$B$8)</f>
        <v>0</v>
      </c>
      <c r="N204" s="66">
        <f>SUM(N200*'Data Links'!$B$8)</f>
        <v>0</v>
      </c>
    </row>
    <row r="205" spans="1:14" hidden="1" x14ac:dyDescent="0.2">
      <c r="A205" s="59" t="s">
        <v>191</v>
      </c>
      <c r="B205" s="60"/>
      <c r="C205" s="66"/>
      <c r="D205" s="66"/>
      <c r="E205" s="66"/>
      <c r="F205" s="66"/>
      <c r="G205" s="66"/>
      <c r="H205" s="66"/>
      <c r="I205" s="66"/>
      <c r="J205" s="66"/>
      <c r="K205" s="66"/>
      <c r="L205" s="66"/>
      <c r="M205" s="66"/>
      <c r="N205" s="66"/>
    </row>
    <row r="206" spans="1:14" hidden="1" x14ac:dyDescent="0.2">
      <c r="A206" s="59" t="s">
        <v>192</v>
      </c>
      <c r="B206" s="60"/>
      <c r="C206" s="66"/>
      <c r="D206" s="66"/>
      <c r="E206" s="66"/>
      <c r="F206" s="66"/>
      <c r="G206" s="66"/>
      <c r="H206" s="66"/>
      <c r="I206" s="66"/>
      <c r="J206" s="66"/>
      <c r="K206" s="66"/>
      <c r="L206" s="66"/>
      <c r="M206" s="66"/>
      <c r="N206" s="66"/>
    </row>
    <row r="207" spans="1:14" s="29" customFormat="1" hidden="1" x14ac:dyDescent="0.2">
      <c r="A207" s="58" t="s">
        <v>144</v>
      </c>
      <c r="B207" s="60"/>
      <c r="C207" s="60">
        <f t="shared" ref="C207:N207" si="53">SUM(C201:C206)</f>
        <v>0</v>
      </c>
      <c r="D207" s="60">
        <f t="shared" si="53"/>
        <v>0</v>
      </c>
      <c r="E207" s="60">
        <f t="shared" si="53"/>
        <v>0</v>
      </c>
      <c r="F207" s="60">
        <f t="shared" si="53"/>
        <v>0</v>
      </c>
      <c r="G207" s="60">
        <f t="shared" si="53"/>
        <v>0</v>
      </c>
      <c r="H207" s="60">
        <f t="shared" si="53"/>
        <v>0</v>
      </c>
      <c r="I207" s="60">
        <f t="shared" si="53"/>
        <v>0</v>
      </c>
      <c r="J207" s="60">
        <f t="shared" si="53"/>
        <v>0</v>
      </c>
      <c r="K207" s="60">
        <f t="shared" si="53"/>
        <v>0</v>
      </c>
      <c r="L207" s="60">
        <f t="shared" si="53"/>
        <v>0</v>
      </c>
      <c r="M207" s="60">
        <f t="shared" si="53"/>
        <v>0</v>
      </c>
      <c r="N207" s="60">
        <f t="shared" si="53"/>
        <v>0</v>
      </c>
    </row>
    <row r="208" spans="1:14" hidden="1" x14ac:dyDescent="0.2">
      <c r="A208" s="59"/>
      <c r="B208" s="60"/>
      <c r="C208" s="60"/>
      <c r="D208" s="66"/>
      <c r="E208" s="66"/>
      <c r="F208" s="66"/>
      <c r="G208" s="66"/>
      <c r="H208" s="66"/>
      <c r="I208" s="66"/>
      <c r="J208" s="66"/>
      <c r="K208" s="66"/>
      <c r="L208" s="66"/>
      <c r="M208" s="66"/>
      <c r="N208" s="66"/>
    </row>
    <row r="209" spans="1:14" hidden="1" x14ac:dyDescent="0.2">
      <c r="A209" s="59"/>
      <c r="B209" s="60"/>
      <c r="C209" s="60"/>
      <c r="D209" s="66"/>
      <c r="E209" s="66"/>
      <c r="F209" s="66"/>
      <c r="G209" s="66"/>
      <c r="H209" s="66"/>
      <c r="I209" s="66"/>
      <c r="J209" s="66"/>
      <c r="K209" s="66"/>
      <c r="L209" s="66"/>
      <c r="M209" s="66"/>
      <c r="N209" s="66"/>
    </row>
    <row r="210" spans="1:14" hidden="1" x14ac:dyDescent="0.2">
      <c r="A210" s="59"/>
      <c r="B210" s="60"/>
      <c r="C210" s="60"/>
      <c r="D210" s="66"/>
      <c r="E210" s="66"/>
      <c r="F210" s="66"/>
      <c r="G210" s="66"/>
      <c r="H210" s="66"/>
      <c r="I210" s="66"/>
      <c r="J210" s="66"/>
      <c r="K210" s="66"/>
      <c r="L210" s="66"/>
      <c r="M210" s="66"/>
      <c r="N210" s="66"/>
    </row>
    <row r="211" spans="1:14" x14ac:dyDescent="0.2">
      <c r="A211" s="59"/>
      <c r="B211" s="60"/>
      <c r="C211" s="60"/>
      <c r="D211" s="66"/>
      <c r="E211" s="66"/>
      <c r="F211" s="66"/>
      <c r="G211" s="66"/>
      <c r="H211" s="66"/>
      <c r="I211" s="66"/>
      <c r="J211" s="66"/>
      <c r="K211" s="66"/>
      <c r="L211" s="66"/>
      <c r="M211" s="66"/>
      <c r="N211" s="66"/>
    </row>
    <row r="212" spans="1:14" x14ac:dyDescent="0.2">
      <c r="A212" s="58" t="s">
        <v>194</v>
      </c>
      <c r="B212" s="60"/>
      <c r="C212" s="60"/>
      <c r="D212" s="66"/>
      <c r="E212" s="66"/>
      <c r="F212" s="66"/>
      <c r="G212" s="66"/>
      <c r="H212" s="66"/>
      <c r="I212" s="66"/>
      <c r="J212" s="66"/>
      <c r="K212" s="66"/>
      <c r="L212" s="66"/>
      <c r="M212" s="66"/>
      <c r="N212" s="66"/>
    </row>
    <row r="213" spans="1:14" x14ac:dyDescent="0.2">
      <c r="A213" s="59" t="s">
        <v>195</v>
      </c>
      <c r="B213" s="60"/>
      <c r="C213" s="66">
        <f>SUM(C110+C123+C136+C149+C162+C175+C188+C201)</f>
        <v>1203.9267945205479</v>
      </c>
      <c r="D213" s="66">
        <f t="shared" ref="D213:N213" si="54">SUM(D110+D123+D136+D149+D162+D175+D188+D201)</f>
        <v>1244.0576876712328</v>
      </c>
      <c r="E213" s="66">
        <f t="shared" si="54"/>
        <v>1203.9267945205479</v>
      </c>
      <c r="F213" s="66">
        <f t="shared" si="54"/>
        <v>899.92881095890402</v>
      </c>
      <c r="G213" s="66">
        <f t="shared" si="54"/>
        <v>899.92881095890402</v>
      </c>
      <c r="H213" s="66">
        <f t="shared" si="54"/>
        <v>870.89884931506845</v>
      </c>
      <c r="I213" s="66">
        <f t="shared" si="54"/>
        <v>899.92881095890402</v>
      </c>
      <c r="J213" s="66">
        <f t="shared" si="54"/>
        <v>870.89884931506845</v>
      </c>
      <c r="K213" s="66">
        <f t="shared" si="54"/>
        <v>899.92881095890402</v>
      </c>
      <c r="L213" s="66">
        <f t="shared" si="54"/>
        <v>899.92881095890402</v>
      </c>
      <c r="M213" s="66">
        <f t="shared" si="54"/>
        <v>812.83892602739729</v>
      </c>
      <c r="N213" s="66">
        <f t="shared" si="54"/>
        <v>899.92881095890402</v>
      </c>
    </row>
    <row r="214" spans="1:14" x14ac:dyDescent="0.2">
      <c r="A214" s="59" t="s">
        <v>22</v>
      </c>
      <c r="B214" s="60"/>
      <c r="C214" s="66">
        <f>SUM(C111+C112+C113+C124+C125+C126+C137+C138+C139+C150+C151+C152+C163+C164+C165+C176+C177+C178+C189+C190+C191+C202+C203+C204)</f>
        <v>104.20048454794521</v>
      </c>
      <c r="D214" s="66">
        <f t="shared" ref="D214:N214" si="55">SUM(D111+D112+D113+D124+D125+D126+D137+D138+D139+D150+D151+D152+D163+D164+D165+D176+D177+D178+D189+D190+D191+D202+D203+D204)</f>
        <v>107.51128323287671</v>
      </c>
      <c r="E214" s="66">
        <f t="shared" si="55"/>
        <v>104.20048454794521</v>
      </c>
      <c r="F214" s="66">
        <f t="shared" si="55"/>
        <v>77.766060904109594</v>
      </c>
      <c r="G214" s="66">
        <f t="shared" si="55"/>
        <v>77.766060904109594</v>
      </c>
      <c r="H214" s="66">
        <f t="shared" si="55"/>
        <v>75.371089068493163</v>
      </c>
      <c r="I214" s="66">
        <f t="shared" si="55"/>
        <v>77.766060904109594</v>
      </c>
      <c r="J214" s="66">
        <f t="shared" si="55"/>
        <v>75.371089068493163</v>
      </c>
      <c r="K214" s="66">
        <f t="shared" si="55"/>
        <v>77.766060904109594</v>
      </c>
      <c r="L214" s="66">
        <f t="shared" si="55"/>
        <v>77.766060904109594</v>
      </c>
      <c r="M214" s="66">
        <f t="shared" si="55"/>
        <v>70.581145397260272</v>
      </c>
      <c r="N214" s="66">
        <f t="shared" si="55"/>
        <v>77.766060904109594</v>
      </c>
    </row>
    <row r="215" spans="1:14" x14ac:dyDescent="0.2">
      <c r="A215" s="59" t="s">
        <v>23</v>
      </c>
      <c r="B215" s="60"/>
      <c r="C215" s="66">
        <f>SUM(C114+C115+C127+C128+C140+C141+C153+C154+C167+C166+C179+C180+C192+C193+C205+C206)</f>
        <v>40.382403835616437</v>
      </c>
      <c r="D215" s="66">
        <f t="shared" ref="D215:N215" si="56">SUM(D114+D115+D127+D128+D140+D141+D153+D154+D167+D166+D179+D180+D192+D193+D205+D206)</f>
        <v>41.586330630136985</v>
      </c>
      <c r="E215" s="66">
        <f t="shared" si="56"/>
        <v>40.382403835616437</v>
      </c>
      <c r="F215" s="66">
        <f t="shared" si="56"/>
        <v>31.26246432876712</v>
      </c>
      <c r="G215" s="66">
        <f t="shared" si="56"/>
        <v>31.26246432876712</v>
      </c>
      <c r="H215" s="66">
        <f t="shared" si="56"/>
        <v>30.391565479452055</v>
      </c>
      <c r="I215" s="66">
        <f t="shared" si="56"/>
        <v>31.26246432876712</v>
      </c>
      <c r="J215" s="66">
        <f t="shared" si="56"/>
        <v>30.391565479452055</v>
      </c>
      <c r="K215" s="66">
        <f t="shared" si="56"/>
        <v>31.26246432876712</v>
      </c>
      <c r="L215" s="66">
        <f t="shared" si="56"/>
        <v>31.26246432876712</v>
      </c>
      <c r="M215" s="66">
        <f t="shared" si="56"/>
        <v>28.649767780821918</v>
      </c>
      <c r="N215" s="66">
        <f t="shared" si="56"/>
        <v>31.26246432876712</v>
      </c>
    </row>
    <row r="216" spans="1:14" s="29" customFormat="1" x14ac:dyDescent="0.2">
      <c r="A216" s="58" t="s">
        <v>196</v>
      </c>
      <c r="B216" s="60"/>
      <c r="C216" s="60">
        <f>SUM(C213:C215)</f>
        <v>1348.5096829041097</v>
      </c>
      <c r="D216" s="60">
        <f t="shared" ref="D216:N216" si="57">SUM(D213:D215)</f>
        <v>1393.1553015342463</v>
      </c>
      <c r="E216" s="60">
        <f t="shared" si="57"/>
        <v>1348.5096829041097</v>
      </c>
      <c r="F216" s="60">
        <f t="shared" si="57"/>
        <v>1008.9573361917808</v>
      </c>
      <c r="G216" s="60">
        <f t="shared" si="57"/>
        <v>1008.9573361917808</v>
      </c>
      <c r="H216" s="60">
        <f t="shared" si="57"/>
        <v>976.66150386301365</v>
      </c>
      <c r="I216" s="60">
        <f t="shared" si="57"/>
        <v>1008.9573361917808</v>
      </c>
      <c r="J216" s="60">
        <f t="shared" si="57"/>
        <v>976.66150386301365</v>
      </c>
      <c r="K216" s="60">
        <f t="shared" si="57"/>
        <v>1008.9573361917808</v>
      </c>
      <c r="L216" s="60">
        <f t="shared" si="57"/>
        <v>1008.9573361917808</v>
      </c>
      <c r="M216" s="60">
        <f t="shared" si="57"/>
        <v>912.06983920547941</v>
      </c>
      <c r="N216" s="60">
        <f t="shared" si="57"/>
        <v>1008.9573361917808</v>
      </c>
    </row>
    <row r="217" spans="1:14" x14ac:dyDescent="0.2">
      <c r="A217" s="59"/>
      <c r="B217" s="60"/>
      <c r="C217" s="60"/>
      <c r="D217" s="66"/>
      <c r="E217" s="66"/>
      <c r="F217" s="66"/>
      <c r="G217" s="66"/>
      <c r="H217" s="66"/>
      <c r="I217" s="66"/>
      <c r="J217" s="66"/>
      <c r="K217" s="66"/>
      <c r="L217" s="66"/>
      <c r="M217" s="66"/>
      <c r="N217" s="66"/>
    </row>
    <row r="218" spans="1:14" x14ac:dyDescent="0.2">
      <c r="A218" s="59"/>
      <c r="B218" s="60"/>
      <c r="C218" s="60"/>
      <c r="D218" s="66"/>
      <c r="E218" s="66"/>
      <c r="F218" s="66"/>
      <c r="G218" s="66"/>
      <c r="H218" s="66"/>
      <c r="I218" s="66"/>
      <c r="J218" s="66"/>
      <c r="K218" s="66"/>
      <c r="L218" s="66"/>
      <c r="M218" s="66"/>
      <c r="N218" s="66"/>
    </row>
    <row r="219" spans="1:14" x14ac:dyDescent="0.2">
      <c r="A219" s="59"/>
      <c r="B219" s="60"/>
      <c r="C219" s="60"/>
      <c r="D219" s="66"/>
      <c r="E219" s="66"/>
      <c r="F219" s="66"/>
      <c r="G219" s="66"/>
      <c r="H219" s="66"/>
      <c r="I219" s="66"/>
      <c r="J219" s="66"/>
      <c r="K219" s="66"/>
      <c r="L219" s="66"/>
      <c r="M219" s="66"/>
      <c r="N219" s="66"/>
    </row>
    <row r="220" spans="1:14" x14ac:dyDescent="0.2">
      <c r="A220" s="59"/>
      <c r="B220" s="60"/>
      <c r="C220" s="60"/>
      <c r="D220" s="66"/>
      <c r="E220" s="66"/>
      <c r="F220" s="66"/>
      <c r="G220" s="66"/>
      <c r="H220" s="66"/>
      <c r="I220" s="66"/>
      <c r="J220" s="66"/>
      <c r="K220" s="66"/>
      <c r="L220" s="66"/>
      <c r="M220" s="66"/>
      <c r="N220" s="66"/>
    </row>
    <row r="221" spans="1:14" x14ac:dyDescent="0.2">
      <c r="A221" s="84"/>
      <c r="B221" s="84"/>
      <c r="C221" s="60"/>
      <c r="D221" s="66"/>
      <c r="E221" s="66"/>
      <c r="F221" s="66"/>
      <c r="G221" s="66"/>
      <c r="H221" s="66"/>
      <c r="I221" s="66"/>
      <c r="J221" s="66"/>
      <c r="K221" s="66"/>
      <c r="L221" s="66"/>
      <c r="M221" s="66"/>
      <c r="N221" s="66"/>
    </row>
    <row r="222" spans="1:14" x14ac:dyDescent="0.2">
      <c r="A222" s="84"/>
      <c r="B222" s="84"/>
      <c r="C222" s="60"/>
      <c r="D222" s="66"/>
      <c r="E222" s="66"/>
      <c r="F222" s="66"/>
      <c r="G222" s="66"/>
      <c r="H222" s="66"/>
      <c r="I222" s="66"/>
      <c r="J222" s="66"/>
      <c r="K222" s="66"/>
      <c r="L222" s="66"/>
      <c r="M222" s="66"/>
      <c r="N222" s="66"/>
    </row>
    <row r="223" spans="1:14" x14ac:dyDescent="0.2">
      <c r="A223" s="84"/>
      <c r="B223" s="84"/>
      <c r="C223" s="60"/>
      <c r="D223" s="66"/>
      <c r="E223" s="66"/>
      <c r="F223" s="66"/>
      <c r="G223" s="66"/>
      <c r="H223" s="66"/>
      <c r="I223" s="66"/>
      <c r="J223" s="66"/>
      <c r="K223" s="66"/>
      <c r="L223" s="66"/>
      <c r="M223" s="66"/>
      <c r="N223" s="66"/>
    </row>
    <row r="224" spans="1:14" x14ac:dyDescent="0.2">
      <c r="A224" s="84"/>
      <c r="B224" s="84"/>
      <c r="C224" s="60"/>
      <c r="D224" s="66"/>
      <c r="E224" s="66"/>
      <c r="F224" s="66"/>
      <c r="G224" s="66"/>
      <c r="H224" s="66"/>
      <c r="I224" s="66"/>
      <c r="J224" s="66"/>
      <c r="K224" s="66"/>
      <c r="L224" s="66"/>
      <c r="M224" s="66"/>
      <c r="N224" s="66"/>
    </row>
    <row r="225" spans="1:14" x14ac:dyDescent="0.2">
      <c r="A225" s="84"/>
      <c r="B225" s="84"/>
      <c r="C225" s="60"/>
      <c r="D225" s="66"/>
      <c r="E225" s="66"/>
      <c r="F225" s="66"/>
      <c r="G225" s="66"/>
      <c r="H225" s="66"/>
      <c r="I225" s="66"/>
      <c r="J225" s="66"/>
      <c r="K225" s="66"/>
      <c r="L225" s="66"/>
      <c r="M225" s="66"/>
      <c r="N225" s="66"/>
    </row>
    <row r="226" spans="1:14" x14ac:dyDescent="0.2">
      <c r="A226" s="84"/>
      <c r="B226" s="84"/>
      <c r="C226" s="60"/>
      <c r="D226" s="66"/>
      <c r="E226" s="66"/>
      <c r="F226" s="66"/>
      <c r="G226" s="66"/>
      <c r="H226" s="66"/>
      <c r="I226" s="66"/>
      <c r="J226" s="66"/>
      <c r="K226" s="66"/>
      <c r="L226" s="66"/>
      <c r="M226" s="66"/>
      <c r="N226" s="66"/>
    </row>
    <row r="227" spans="1:14" x14ac:dyDescent="0.2">
      <c r="A227" s="84"/>
      <c r="B227" s="84"/>
      <c r="C227" s="60"/>
      <c r="D227" s="66"/>
      <c r="E227" s="66"/>
      <c r="F227" s="66"/>
      <c r="G227" s="66"/>
      <c r="H227" s="66"/>
      <c r="I227" s="66"/>
      <c r="J227" s="66"/>
      <c r="K227" s="66"/>
      <c r="L227" s="66"/>
      <c r="M227" s="66"/>
      <c r="N227" s="66"/>
    </row>
    <row r="228" spans="1:14" x14ac:dyDescent="0.2">
      <c r="A228" s="84"/>
      <c r="B228" s="84"/>
      <c r="C228" s="60"/>
      <c r="D228" s="66"/>
      <c r="E228" s="66"/>
      <c r="F228" s="66"/>
      <c r="G228" s="66"/>
      <c r="H228" s="66"/>
      <c r="I228" s="66"/>
      <c r="J228" s="66"/>
      <c r="K228" s="66"/>
      <c r="L228" s="66"/>
      <c r="M228" s="66"/>
      <c r="N228" s="66"/>
    </row>
    <row r="229" spans="1:14" x14ac:dyDescent="0.2">
      <c r="A229" s="84"/>
      <c r="B229" s="84"/>
      <c r="C229" s="60"/>
      <c r="D229" s="66"/>
      <c r="E229" s="66"/>
      <c r="F229" s="66"/>
      <c r="G229" s="66"/>
      <c r="H229" s="66"/>
      <c r="I229" s="66"/>
      <c r="J229" s="66"/>
      <c r="K229" s="66"/>
      <c r="L229" s="66"/>
      <c r="M229" s="66"/>
      <c r="N229" s="66"/>
    </row>
    <row r="230" spans="1:14" x14ac:dyDescent="0.2">
      <c r="A230" s="84"/>
      <c r="B230" s="84"/>
      <c r="C230" s="60"/>
      <c r="D230" s="66"/>
      <c r="E230" s="66"/>
      <c r="F230" s="66"/>
      <c r="G230" s="66"/>
      <c r="H230" s="66"/>
      <c r="I230" s="66"/>
      <c r="J230" s="66"/>
      <c r="K230" s="66"/>
      <c r="L230" s="66"/>
      <c r="M230" s="66"/>
      <c r="N230" s="66"/>
    </row>
    <row r="231" spans="1:14" x14ac:dyDescent="0.2">
      <c r="A231" s="84"/>
      <c r="B231" s="84"/>
      <c r="C231" s="60"/>
      <c r="D231" s="66"/>
      <c r="E231" s="66"/>
      <c r="F231" s="66"/>
      <c r="G231" s="66"/>
      <c r="H231" s="66"/>
      <c r="I231" s="66"/>
      <c r="J231" s="66"/>
      <c r="K231" s="66"/>
      <c r="L231" s="66"/>
      <c r="M231" s="66"/>
      <c r="N231" s="66"/>
    </row>
    <row r="232" spans="1:14" x14ac:dyDescent="0.2">
      <c r="A232" s="84"/>
      <c r="B232" s="84"/>
      <c r="C232" s="60"/>
      <c r="D232" s="66"/>
      <c r="E232" s="66"/>
      <c r="F232" s="66"/>
      <c r="G232" s="66"/>
      <c r="H232" s="66"/>
      <c r="I232" s="66"/>
      <c r="J232" s="66"/>
      <c r="K232" s="66"/>
      <c r="L232" s="66"/>
      <c r="M232" s="66"/>
      <c r="N232" s="66"/>
    </row>
    <row r="233" spans="1:14" x14ac:dyDescent="0.2">
      <c r="A233" s="84"/>
      <c r="B233" s="84"/>
      <c r="C233" s="60"/>
      <c r="D233" s="66"/>
      <c r="E233" s="66"/>
      <c r="F233" s="66"/>
      <c r="G233" s="66"/>
      <c r="H233" s="66"/>
      <c r="I233" s="66"/>
      <c r="J233" s="66"/>
      <c r="K233" s="66"/>
      <c r="L233" s="66"/>
      <c r="M233" s="66"/>
      <c r="N233" s="66"/>
    </row>
    <row r="234" spans="1:14" x14ac:dyDescent="0.2">
      <c r="A234" s="84"/>
      <c r="B234" s="84"/>
      <c r="C234" s="60"/>
      <c r="D234" s="66"/>
      <c r="E234" s="66"/>
      <c r="F234" s="66"/>
      <c r="G234" s="66"/>
      <c r="H234" s="66"/>
      <c r="I234" s="66"/>
      <c r="J234" s="66"/>
      <c r="K234" s="66"/>
      <c r="L234" s="66"/>
      <c r="M234" s="66"/>
      <c r="N234" s="66"/>
    </row>
    <row r="235" spans="1:14" x14ac:dyDescent="0.2">
      <c r="A235" s="84"/>
      <c r="B235" s="84"/>
      <c r="C235" s="60"/>
      <c r="D235" s="66"/>
      <c r="E235" s="66"/>
      <c r="F235" s="66"/>
      <c r="G235" s="66"/>
      <c r="H235" s="66"/>
      <c r="I235" s="66"/>
      <c r="J235" s="66"/>
      <c r="K235" s="66"/>
      <c r="L235" s="66"/>
      <c r="M235" s="66"/>
      <c r="N235" s="66"/>
    </row>
    <row r="236" spans="1:14" x14ac:dyDescent="0.2">
      <c r="A236" s="84"/>
      <c r="B236" s="84"/>
      <c r="C236" s="60"/>
      <c r="D236" s="66"/>
      <c r="E236" s="66"/>
      <c r="F236" s="66"/>
      <c r="G236" s="66"/>
      <c r="H236" s="66"/>
      <c r="I236" s="66"/>
      <c r="J236" s="66"/>
      <c r="K236" s="66"/>
      <c r="L236" s="66"/>
      <c r="M236" s="66"/>
      <c r="N236" s="66"/>
    </row>
    <row r="237" spans="1:14" x14ac:dyDescent="0.2">
      <c r="A237" s="84"/>
      <c r="B237" s="84"/>
      <c r="C237" s="60"/>
      <c r="D237" s="66"/>
      <c r="E237" s="66"/>
      <c r="F237" s="66"/>
      <c r="G237" s="66"/>
      <c r="H237" s="66"/>
      <c r="I237" s="66"/>
      <c r="J237" s="66"/>
      <c r="K237" s="66"/>
      <c r="L237" s="66"/>
      <c r="M237" s="66"/>
      <c r="N237" s="66"/>
    </row>
    <row r="238" spans="1:14" x14ac:dyDescent="0.2">
      <c r="A238" s="84"/>
      <c r="B238" s="84"/>
      <c r="C238" s="60"/>
      <c r="D238" s="66"/>
      <c r="E238" s="66"/>
      <c r="F238" s="66"/>
      <c r="G238" s="66"/>
      <c r="H238" s="66"/>
      <c r="I238" s="66"/>
      <c r="J238" s="66"/>
      <c r="K238" s="66"/>
      <c r="L238" s="66"/>
      <c r="M238" s="66"/>
      <c r="N238" s="66"/>
    </row>
    <row r="239" spans="1:14" x14ac:dyDescent="0.2">
      <c r="A239" s="84"/>
      <c r="B239" s="84"/>
      <c r="C239" s="60"/>
      <c r="D239" s="66"/>
      <c r="E239" s="66"/>
      <c r="F239" s="66"/>
      <c r="G239" s="66"/>
      <c r="H239" s="66"/>
      <c r="I239" s="66"/>
      <c r="J239" s="66"/>
      <c r="K239" s="66"/>
      <c r="L239" s="66"/>
      <c r="M239" s="66"/>
      <c r="N239" s="66"/>
    </row>
    <row r="240" spans="1:14" x14ac:dyDescent="0.2">
      <c r="A240" s="84"/>
      <c r="B240" s="84"/>
      <c r="C240" s="60"/>
      <c r="D240" s="66"/>
      <c r="E240" s="66"/>
      <c r="F240" s="66"/>
      <c r="G240" s="66"/>
      <c r="H240" s="66"/>
      <c r="I240" s="66"/>
      <c r="J240" s="66"/>
      <c r="K240" s="66"/>
      <c r="L240" s="66"/>
      <c r="M240" s="66"/>
      <c r="N240" s="66"/>
    </row>
    <row r="241" spans="1:14" x14ac:dyDescent="0.2">
      <c r="A241" s="84"/>
      <c r="B241" s="84"/>
      <c r="C241" s="60"/>
      <c r="D241" s="66"/>
      <c r="E241" s="66"/>
      <c r="F241" s="66"/>
      <c r="G241" s="66"/>
      <c r="H241" s="66"/>
      <c r="I241" s="66"/>
      <c r="J241" s="66"/>
      <c r="K241" s="66"/>
      <c r="L241" s="66"/>
      <c r="M241" s="66"/>
      <c r="N241" s="66"/>
    </row>
    <row r="242" spans="1:14" x14ac:dyDescent="0.2">
      <c r="A242" s="84"/>
      <c r="B242" s="84"/>
      <c r="C242" s="60"/>
      <c r="D242" s="66"/>
      <c r="E242" s="66"/>
      <c r="F242" s="66"/>
      <c r="G242" s="66"/>
      <c r="H242" s="66"/>
      <c r="I242" s="66"/>
      <c r="J242" s="66"/>
      <c r="K242" s="66"/>
      <c r="L242" s="66"/>
      <c r="M242" s="66"/>
      <c r="N242" s="66"/>
    </row>
    <row r="243" spans="1:14" x14ac:dyDescent="0.2">
      <c r="A243" s="84"/>
      <c r="B243" s="84"/>
      <c r="C243" s="60"/>
      <c r="D243" s="66"/>
      <c r="E243" s="66"/>
      <c r="F243" s="66"/>
      <c r="G243" s="66"/>
      <c r="H243" s="66"/>
      <c r="I243" s="66"/>
      <c r="J243" s="66"/>
      <c r="K243" s="66"/>
      <c r="L243" s="66"/>
      <c r="M243" s="66"/>
      <c r="N243" s="66"/>
    </row>
    <row r="244" spans="1:14" x14ac:dyDescent="0.2">
      <c r="A244" s="84"/>
      <c r="B244" s="84"/>
      <c r="C244" s="60"/>
      <c r="D244" s="66"/>
      <c r="E244" s="66"/>
      <c r="F244" s="66"/>
      <c r="G244" s="66"/>
      <c r="H244" s="66"/>
      <c r="I244" s="66"/>
      <c r="J244" s="66"/>
      <c r="K244" s="66"/>
      <c r="L244" s="66"/>
      <c r="M244" s="66"/>
      <c r="N244" s="66"/>
    </row>
    <row r="245" spans="1:14" x14ac:dyDescent="0.2">
      <c r="A245" s="84"/>
      <c r="B245" s="84"/>
      <c r="C245" s="60"/>
      <c r="D245" s="66"/>
      <c r="E245" s="66"/>
      <c r="F245" s="66"/>
      <c r="G245" s="66"/>
      <c r="H245" s="66"/>
      <c r="I245" s="66"/>
      <c r="J245" s="66"/>
      <c r="K245" s="66"/>
      <c r="L245" s="66"/>
      <c r="M245" s="66"/>
      <c r="N245" s="66"/>
    </row>
    <row r="246" spans="1:14" x14ac:dyDescent="0.2">
      <c r="A246" s="84"/>
      <c r="B246" s="84"/>
      <c r="C246" s="60"/>
      <c r="D246" s="66"/>
      <c r="E246" s="66"/>
      <c r="F246" s="66"/>
      <c r="G246" s="66"/>
      <c r="H246" s="66"/>
      <c r="I246" s="66"/>
      <c r="J246" s="66"/>
      <c r="K246" s="66"/>
      <c r="L246" s="66"/>
      <c r="M246" s="66"/>
      <c r="N246" s="66"/>
    </row>
    <row r="247" spans="1:14" x14ac:dyDescent="0.2">
      <c r="A247" s="84"/>
      <c r="B247" s="84"/>
      <c r="C247" s="60"/>
      <c r="D247" s="66"/>
      <c r="E247" s="66"/>
      <c r="F247" s="66"/>
      <c r="G247" s="66"/>
      <c r="H247" s="66"/>
      <c r="I247" s="66"/>
      <c r="J247" s="66"/>
      <c r="K247" s="66"/>
      <c r="L247" s="66"/>
      <c r="M247" s="66"/>
      <c r="N247" s="66"/>
    </row>
    <row r="248" spans="1:14" x14ac:dyDescent="0.2">
      <c r="A248" s="84"/>
      <c r="B248" s="84"/>
      <c r="C248" s="60"/>
      <c r="D248" s="66"/>
      <c r="E248" s="66"/>
      <c r="F248" s="66"/>
      <c r="G248" s="66"/>
      <c r="H248" s="66"/>
      <c r="I248" s="66"/>
      <c r="J248" s="66"/>
      <c r="K248" s="66"/>
      <c r="L248" s="66"/>
      <c r="M248" s="66"/>
      <c r="N248" s="66"/>
    </row>
    <row r="249" spans="1:14" x14ac:dyDescent="0.2">
      <c r="A249" s="84"/>
      <c r="B249" s="84"/>
      <c r="C249" s="60"/>
      <c r="D249" s="66"/>
      <c r="E249" s="66"/>
      <c r="F249" s="66"/>
      <c r="G249" s="66"/>
      <c r="H249" s="66"/>
      <c r="I249" s="66"/>
      <c r="J249" s="66"/>
      <c r="K249" s="66"/>
      <c r="L249" s="66"/>
      <c r="M249" s="66"/>
      <c r="N249" s="66"/>
    </row>
    <row r="250" spans="1:14" x14ac:dyDescent="0.2">
      <c r="A250" s="84"/>
      <c r="B250" s="84"/>
      <c r="C250" s="60"/>
      <c r="D250" s="66"/>
      <c r="E250" s="66"/>
      <c r="F250" s="66"/>
      <c r="G250" s="66"/>
      <c r="H250" s="66"/>
      <c r="I250" s="66"/>
      <c r="J250" s="66"/>
      <c r="K250" s="66"/>
      <c r="L250" s="66"/>
      <c r="M250" s="66"/>
      <c r="N250" s="66"/>
    </row>
    <row r="251" spans="1:14" x14ac:dyDescent="0.2">
      <c r="A251" s="84"/>
      <c r="B251" s="84"/>
      <c r="C251" s="60"/>
      <c r="D251" s="66"/>
      <c r="E251" s="66"/>
      <c r="F251" s="66"/>
      <c r="G251" s="66"/>
      <c r="H251" s="66"/>
      <c r="I251" s="66"/>
      <c r="J251" s="66"/>
      <c r="K251" s="66"/>
      <c r="L251" s="66"/>
      <c r="M251" s="66"/>
      <c r="N251" s="66"/>
    </row>
    <row r="252" spans="1:14" x14ac:dyDescent="0.2">
      <c r="A252" s="84"/>
      <c r="B252" s="84"/>
      <c r="C252" s="60"/>
      <c r="D252" s="66"/>
      <c r="E252" s="66"/>
      <c r="F252" s="66"/>
      <c r="G252" s="66"/>
      <c r="H252" s="66"/>
      <c r="I252" s="66"/>
      <c r="J252" s="66"/>
      <c r="K252" s="66"/>
      <c r="L252" s="66"/>
      <c r="M252" s="66"/>
      <c r="N252" s="66"/>
    </row>
    <row r="253" spans="1:14" x14ac:dyDescent="0.2">
      <c r="A253" s="84"/>
      <c r="B253" s="84"/>
      <c r="C253" s="60"/>
      <c r="D253" s="66"/>
      <c r="E253" s="66"/>
      <c r="F253" s="66"/>
      <c r="G253" s="66"/>
      <c r="H253" s="66"/>
      <c r="I253" s="66"/>
      <c r="J253" s="66"/>
      <c r="K253" s="66"/>
      <c r="L253" s="66"/>
      <c r="M253" s="66"/>
      <c r="N253" s="66"/>
    </row>
    <row r="254" spans="1:14" x14ac:dyDescent="0.2">
      <c r="A254" s="84"/>
      <c r="B254" s="84"/>
      <c r="C254" s="60"/>
      <c r="D254" s="66"/>
      <c r="E254" s="66"/>
      <c r="F254" s="66"/>
      <c r="G254" s="66"/>
      <c r="H254" s="66"/>
      <c r="I254" s="66"/>
      <c r="J254" s="66"/>
      <c r="K254" s="66"/>
      <c r="L254" s="66"/>
      <c r="M254" s="66"/>
      <c r="N254" s="66"/>
    </row>
    <row r="255" spans="1:14" x14ac:dyDescent="0.2">
      <c r="A255" s="84"/>
      <c r="B255" s="84"/>
      <c r="C255" s="60"/>
      <c r="D255" s="66"/>
      <c r="E255" s="66"/>
      <c r="F255" s="66"/>
      <c r="G255" s="66"/>
      <c r="H255" s="66"/>
      <c r="I255" s="66"/>
      <c r="J255" s="66"/>
      <c r="K255" s="66"/>
      <c r="L255" s="66"/>
      <c r="M255" s="66"/>
      <c r="N255" s="66"/>
    </row>
    <row r="256" spans="1:14" x14ac:dyDescent="0.2">
      <c r="A256" s="84"/>
      <c r="B256" s="84"/>
      <c r="C256" s="60"/>
      <c r="D256" s="66"/>
      <c r="E256" s="66"/>
      <c r="F256" s="66"/>
      <c r="G256" s="66"/>
      <c r="H256" s="66"/>
      <c r="I256" s="66"/>
      <c r="J256" s="66"/>
      <c r="K256" s="66"/>
      <c r="L256" s="66"/>
      <c r="M256" s="66"/>
      <c r="N256" s="66"/>
    </row>
    <row r="257" spans="1:14" x14ac:dyDescent="0.2">
      <c r="A257" s="84"/>
      <c r="B257" s="84"/>
      <c r="C257" s="60"/>
      <c r="D257" s="66"/>
      <c r="E257" s="66"/>
      <c r="F257" s="66"/>
      <c r="G257" s="66"/>
      <c r="H257" s="66"/>
      <c r="I257" s="66"/>
      <c r="J257" s="66"/>
      <c r="K257" s="66"/>
      <c r="L257" s="66"/>
      <c r="M257" s="66"/>
      <c r="N257" s="66"/>
    </row>
    <row r="258" spans="1:14" x14ac:dyDescent="0.2">
      <c r="A258" s="84"/>
      <c r="B258" s="84"/>
      <c r="C258" s="60"/>
      <c r="D258" s="66"/>
      <c r="E258" s="66"/>
      <c r="F258" s="66"/>
      <c r="G258" s="66"/>
      <c r="H258" s="66"/>
      <c r="I258" s="66"/>
      <c r="J258" s="66"/>
      <c r="K258" s="66"/>
      <c r="L258" s="66"/>
      <c r="M258" s="66"/>
      <c r="N258" s="66"/>
    </row>
    <row r="259" spans="1:14" x14ac:dyDescent="0.2">
      <c r="A259" s="84"/>
      <c r="B259" s="84"/>
      <c r="C259" s="60"/>
      <c r="D259" s="66"/>
      <c r="E259" s="66"/>
      <c r="F259" s="66"/>
      <c r="G259" s="66"/>
      <c r="H259" s="66"/>
      <c r="I259" s="66"/>
      <c r="J259" s="66"/>
      <c r="K259" s="66"/>
      <c r="L259" s="66"/>
      <c r="M259" s="66"/>
      <c r="N259" s="66"/>
    </row>
    <row r="260" spans="1:14" x14ac:dyDescent="0.2">
      <c r="A260" s="84"/>
      <c r="B260" s="84"/>
      <c r="C260" s="60"/>
      <c r="D260" s="66"/>
      <c r="E260" s="66"/>
      <c r="F260" s="66"/>
      <c r="G260" s="66"/>
      <c r="H260" s="66"/>
      <c r="I260" s="66"/>
      <c r="J260" s="66"/>
      <c r="K260" s="66"/>
      <c r="L260" s="66"/>
      <c r="M260" s="66"/>
      <c r="N260" s="66"/>
    </row>
    <row r="261" spans="1:14" x14ac:dyDescent="0.2">
      <c r="A261" s="84"/>
      <c r="B261" s="84"/>
      <c r="C261" s="60"/>
      <c r="D261" s="66"/>
      <c r="E261" s="66"/>
      <c r="F261" s="66"/>
      <c r="G261" s="66"/>
      <c r="H261" s="66"/>
      <c r="I261" s="66"/>
      <c r="J261" s="66"/>
      <c r="K261" s="66"/>
      <c r="L261" s="66"/>
      <c r="M261" s="66"/>
      <c r="N261" s="66"/>
    </row>
    <row r="262" spans="1:14" x14ac:dyDescent="0.2">
      <c r="A262" s="84"/>
      <c r="B262" s="84"/>
      <c r="C262" s="60"/>
      <c r="D262" s="66"/>
      <c r="E262" s="66"/>
      <c r="F262" s="66"/>
      <c r="G262" s="66"/>
      <c r="H262" s="66"/>
      <c r="I262" s="66"/>
      <c r="J262" s="66"/>
      <c r="K262" s="66"/>
      <c r="L262" s="66"/>
      <c r="M262" s="66"/>
      <c r="N262" s="66"/>
    </row>
    <row r="263" spans="1:14" x14ac:dyDescent="0.2">
      <c r="A263" s="84"/>
      <c r="B263" s="84"/>
      <c r="C263" s="60"/>
      <c r="D263" s="66"/>
      <c r="E263" s="66"/>
      <c r="F263" s="66"/>
      <c r="G263" s="66"/>
      <c r="H263" s="66"/>
      <c r="I263" s="66"/>
      <c r="J263" s="66"/>
      <c r="K263" s="66"/>
      <c r="L263" s="66"/>
      <c r="M263" s="66"/>
      <c r="N263" s="66"/>
    </row>
    <row r="264" spans="1:14" x14ac:dyDescent="0.2">
      <c r="A264" s="84"/>
      <c r="B264" s="84"/>
      <c r="C264" s="60"/>
      <c r="D264" s="66"/>
      <c r="E264" s="66"/>
      <c r="F264" s="66"/>
      <c r="G264" s="66"/>
      <c r="H264" s="66"/>
      <c r="I264" s="66"/>
      <c r="J264" s="66"/>
      <c r="K264" s="66"/>
      <c r="L264" s="66"/>
      <c r="M264" s="66"/>
      <c r="N264" s="66"/>
    </row>
    <row r="265" spans="1:14" x14ac:dyDescent="0.2">
      <c r="A265" s="84"/>
      <c r="B265" s="84"/>
      <c r="C265" s="60"/>
      <c r="D265" s="66"/>
      <c r="E265" s="66"/>
      <c r="F265" s="66"/>
      <c r="G265" s="66"/>
      <c r="H265" s="66"/>
      <c r="I265" s="66"/>
      <c r="J265" s="66"/>
      <c r="K265" s="66"/>
      <c r="L265" s="66"/>
      <c r="M265" s="66"/>
      <c r="N265" s="66"/>
    </row>
    <row r="266" spans="1:14" x14ac:dyDescent="0.2">
      <c r="A266" s="84"/>
      <c r="B266" s="84"/>
      <c r="C266" s="60"/>
      <c r="D266" s="66"/>
      <c r="E266" s="66"/>
      <c r="F266" s="66"/>
      <c r="G266" s="66"/>
      <c r="H266" s="66"/>
      <c r="I266" s="66"/>
      <c r="J266" s="66"/>
      <c r="K266" s="66"/>
      <c r="L266" s="66"/>
      <c r="M266" s="66"/>
      <c r="N266" s="66"/>
    </row>
    <row r="267" spans="1:14" x14ac:dyDescent="0.2">
      <c r="A267" s="84"/>
      <c r="B267" s="84"/>
      <c r="C267" s="60"/>
      <c r="D267" s="66"/>
      <c r="E267" s="66"/>
      <c r="F267" s="66"/>
      <c r="G267" s="66"/>
      <c r="H267" s="66"/>
      <c r="I267" s="66"/>
      <c r="J267" s="66"/>
      <c r="K267" s="66"/>
      <c r="L267" s="66"/>
      <c r="M267" s="66"/>
      <c r="N267" s="66"/>
    </row>
    <row r="268" spans="1:14" x14ac:dyDescent="0.2">
      <c r="A268" s="84"/>
      <c r="B268" s="84"/>
      <c r="C268" s="60"/>
      <c r="D268" s="66"/>
      <c r="E268" s="66"/>
      <c r="F268" s="66"/>
      <c r="G268" s="66"/>
      <c r="H268" s="66"/>
      <c r="I268" s="66"/>
      <c r="J268" s="66"/>
      <c r="K268" s="66"/>
      <c r="L268" s="66"/>
      <c r="M268" s="66"/>
      <c r="N268" s="66"/>
    </row>
    <row r="269" spans="1:14" x14ac:dyDescent="0.2">
      <c r="A269" s="84"/>
      <c r="B269" s="84"/>
      <c r="C269" s="60"/>
      <c r="D269" s="66"/>
      <c r="E269" s="66"/>
      <c r="F269" s="66"/>
      <c r="G269" s="66"/>
      <c r="H269" s="66"/>
      <c r="I269" s="66"/>
      <c r="J269" s="66"/>
      <c r="K269" s="66"/>
      <c r="L269" s="66"/>
      <c r="M269" s="66"/>
      <c r="N269" s="66"/>
    </row>
    <row r="270" spans="1:14" x14ac:dyDescent="0.2">
      <c r="A270" s="84"/>
      <c r="B270" s="84"/>
      <c r="C270" s="60"/>
      <c r="D270" s="66"/>
      <c r="E270" s="66"/>
      <c r="F270" s="66"/>
      <c r="G270" s="66"/>
      <c r="H270" s="66"/>
      <c r="I270" s="66"/>
      <c r="J270" s="66"/>
      <c r="K270" s="66"/>
      <c r="L270" s="66"/>
      <c r="M270" s="66"/>
      <c r="N270" s="66"/>
    </row>
    <row r="271" spans="1:14" x14ac:dyDescent="0.2">
      <c r="A271" s="84"/>
      <c r="B271" s="84"/>
      <c r="C271" s="60"/>
      <c r="D271" s="66"/>
      <c r="E271" s="66"/>
      <c r="F271" s="66"/>
      <c r="G271" s="66"/>
      <c r="H271" s="66"/>
      <c r="I271" s="66"/>
      <c r="J271" s="66"/>
      <c r="K271" s="66"/>
      <c r="L271" s="66"/>
      <c r="M271" s="66"/>
      <c r="N271" s="66"/>
    </row>
    <row r="272" spans="1:14" x14ac:dyDescent="0.2">
      <c r="A272" s="84"/>
      <c r="B272" s="84"/>
      <c r="C272" s="60"/>
      <c r="D272" s="66"/>
      <c r="E272" s="66"/>
      <c r="F272" s="66"/>
      <c r="G272" s="66"/>
      <c r="H272" s="66"/>
      <c r="I272" s="66"/>
      <c r="J272" s="66"/>
      <c r="K272" s="66"/>
      <c r="L272" s="66"/>
      <c r="M272" s="66"/>
      <c r="N272" s="66"/>
    </row>
    <row r="273" spans="1:14" x14ac:dyDescent="0.2">
      <c r="A273" s="84"/>
      <c r="B273" s="84"/>
      <c r="C273" s="60"/>
      <c r="D273" s="66"/>
      <c r="E273" s="66"/>
      <c r="F273" s="66"/>
      <c r="G273" s="66"/>
      <c r="H273" s="66"/>
      <c r="I273" s="66"/>
      <c r="J273" s="66"/>
      <c r="K273" s="66"/>
      <c r="L273" s="66"/>
      <c r="M273" s="66"/>
      <c r="N273" s="66"/>
    </row>
    <row r="274" spans="1:14" x14ac:dyDescent="0.2">
      <c r="A274" s="84"/>
      <c r="B274" s="84"/>
      <c r="C274" s="60"/>
      <c r="D274" s="66"/>
      <c r="E274" s="66"/>
      <c r="F274" s="66"/>
      <c r="G274" s="66"/>
      <c r="H274" s="66"/>
      <c r="I274" s="66"/>
      <c r="J274" s="66"/>
      <c r="K274" s="66"/>
      <c r="L274" s="66"/>
      <c r="M274" s="66"/>
      <c r="N274" s="66"/>
    </row>
    <row r="275" spans="1:14" x14ac:dyDescent="0.2">
      <c r="A275" s="84"/>
      <c r="B275" s="84"/>
      <c r="C275" s="60"/>
      <c r="D275" s="66"/>
      <c r="E275" s="66"/>
      <c r="F275" s="66"/>
      <c r="G275" s="66"/>
      <c r="H275" s="66"/>
      <c r="I275" s="66"/>
      <c r="J275" s="66"/>
      <c r="K275" s="66"/>
      <c r="L275" s="66"/>
      <c r="M275" s="66"/>
      <c r="N275" s="66"/>
    </row>
    <row r="276" spans="1:14" x14ac:dyDescent="0.2">
      <c r="A276" s="84"/>
      <c r="B276" s="84"/>
      <c r="C276" s="60"/>
      <c r="D276" s="66"/>
      <c r="E276" s="66"/>
      <c r="F276" s="66"/>
      <c r="G276" s="66"/>
      <c r="H276" s="66"/>
      <c r="I276" s="66"/>
      <c r="J276" s="66"/>
      <c r="K276" s="66"/>
      <c r="L276" s="66"/>
      <c r="M276" s="66"/>
      <c r="N276" s="66"/>
    </row>
    <row r="277" spans="1:14" x14ac:dyDescent="0.2">
      <c r="A277" s="84"/>
      <c r="B277" s="84"/>
      <c r="C277" s="60"/>
      <c r="D277" s="66"/>
      <c r="E277" s="66"/>
      <c r="F277" s="66"/>
      <c r="G277" s="66"/>
      <c r="H277" s="66"/>
      <c r="I277" s="66"/>
      <c r="J277" s="66"/>
      <c r="K277" s="66"/>
      <c r="L277" s="66"/>
      <c r="M277" s="66"/>
      <c r="N277" s="66"/>
    </row>
    <row r="278" spans="1:14" x14ac:dyDescent="0.2">
      <c r="A278" s="84"/>
      <c r="B278" s="84"/>
      <c r="C278" s="60"/>
      <c r="D278" s="66"/>
      <c r="E278" s="66"/>
      <c r="F278" s="66"/>
      <c r="G278" s="66"/>
      <c r="H278" s="66"/>
      <c r="I278" s="66"/>
      <c r="J278" s="66"/>
      <c r="K278" s="66"/>
      <c r="L278" s="66"/>
      <c r="M278" s="66"/>
      <c r="N278" s="66"/>
    </row>
    <row r="279" spans="1:14" x14ac:dyDescent="0.2">
      <c r="A279" s="84"/>
      <c r="B279" s="84"/>
      <c r="C279" s="60"/>
      <c r="D279" s="66"/>
      <c r="E279" s="66"/>
      <c r="F279" s="66"/>
      <c r="G279" s="66"/>
      <c r="H279" s="66"/>
      <c r="I279" s="66"/>
      <c r="J279" s="66"/>
      <c r="K279" s="66"/>
      <c r="L279" s="66"/>
      <c r="M279" s="66"/>
      <c r="N279" s="66"/>
    </row>
    <row r="280" spans="1:14" x14ac:dyDescent="0.2">
      <c r="A280" s="84"/>
      <c r="B280" s="84"/>
      <c r="C280" s="60"/>
      <c r="D280" s="66"/>
      <c r="E280" s="66"/>
      <c r="F280" s="66"/>
      <c r="G280" s="66"/>
      <c r="H280" s="66"/>
      <c r="I280" s="66"/>
      <c r="J280" s="66"/>
      <c r="K280" s="66"/>
      <c r="L280" s="66"/>
      <c r="M280" s="66"/>
      <c r="N280" s="66"/>
    </row>
    <row r="281" spans="1:14" x14ac:dyDescent="0.2">
      <c r="A281" s="84"/>
      <c r="B281" s="84"/>
      <c r="C281" s="60"/>
      <c r="D281" s="66"/>
      <c r="E281" s="66"/>
      <c r="F281" s="66"/>
      <c r="G281" s="66"/>
      <c r="H281" s="66"/>
      <c r="I281" s="66"/>
      <c r="J281" s="66"/>
      <c r="K281" s="66"/>
      <c r="L281" s="66"/>
      <c r="M281" s="66"/>
      <c r="N281" s="66"/>
    </row>
    <row r="282" spans="1:14" x14ac:dyDescent="0.2">
      <c r="A282" s="84"/>
      <c r="B282" s="84"/>
      <c r="C282" s="60"/>
      <c r="D282" s="66"/>
      <c r="E282" s="66"/>
      <c r="F282" s="66"/>
      <c r="G282" s="66"/>
      <c r="H282" s="66"/>
      <c r="I282" s="66"/>
      <c r="J282" s="66"/>
      <c r="K282" s="66"/>
      <c r="L282" s="66"/>
      <c r="M282" s="66"/>
      <c r="N282" s="66"/>
    </row>
    <row r="283" spans="1:14" x14ac:dyDescent="0.2">
      <c r="A283" s="84"/>
      <c r="B283" s="84"/>
      <c r="C283" s="60"/>
      <c r="D283" s="66"/>
      <c r="E283" s="66"/>
      <c r="F283" s="66"/>
      <c r="G283" s="66"/>
      <c r="H283" s="66"/>
      <c r="I283" s="66"/>
      <c r="J283" s="66"/>
      <c r="K283" s="66"/>
      <c r="L283" s="66"/>
      <c r="M283" s="66"/>
      <c r="N283" s="66"/>
    </row>
    <row r="284" spans="1:14" x14ac:dyDescent="0.2">
      <c r="A284" s="84"/>
      <c r="B284" s="84"/>
      <c r="C284" s="60"/>
      <c r="D284" s="66"/>
      <c r="E284" s="66"/>
      <c r="F284" s="66"/>
      <c r="G284" s="66"/>
      <c r="H284" s="66"/>
      <c r="I284" s="66"/>
      <c r="J284" s="66"/>
      <c r="K284" s="66"/>
      <c r="L284" s="66"/>
      <c r="M284" s="66"/>
      <c r="N284" s="66"/>
    </row>
    <row r="285" spans="1:14" x14ac:dyDescent="0.2">
      <c r="A285" s="84"/>
      <c r="B285" s="84"/>
      <c r="C285" s="60"/>
      <c r="D285" s="66"/>
      <c r="E285" s="66"/>
      <c r="F285" s="66"/>
      <c r="G285" s="66"/>
      <c r="H285" s="66"/>
      <c r="I285" s="66"/>
      <c r="J285" s="66"/>
      <c r="K285" s="66"/>
      <c r="L285" s="66"/>
      <c r="M285" s="66"/>
      <c r="N285" s="66"/>
    </row>
    <row r="286" spans="1:14" x14ac:dyDescent="0.2">
      <c r="A286" s="84"/>
      <c r="B286" s="84"/>
      <c r="C286" s="60"/>
      <c r="D286" s="66"/>
      <c r="E286" s="66"/>
      <c r="F286" s="66"/>
      <c r="G286" s="66"/>
      <c r="H286" s="66"/>
      <c r="I286" s="66"/>
      <c r="J286" s="66"/>
      <c r="K286" s="66"/>
      <c r="L286" s="66"/>
      <c r="M286" s="66"/>
      <c r="N286" s="66"/>
    </row>
    <row r="287" spans="1:14" x14ac:dyDescent="0.2">
      <c r="A287" s="84"/>
      <c r="B287" s="84"/>
      <c r="C287" s="60"/>
      <c r="D287" s="66"/>
      <c r="E287" s="66"/>
      <c r="F287" s="66"/>
      <c r="G287" s="66"/>
      <c r="H287" s="66"/>
      <c r="I287" s="66"/>
      <c r="J287" s="66"/>
      <c r="K287" s="66"/>
      <c r="L287" s="66"/>
      <c r="M287" s="66"/>
      <c r="N287" s="66"/>
    </row>
    <row r="288" spans="1:14" x14ac:dyDescent="0.2">
      <c r="A288" s="84"/>
      <c r="B288" s="84"/>
      <c r="C288" s="60"/>
      <c r="D288" s="66"/>
      <c r="E288" s="66"/>
      <c r="F288" s="66"/>
      <c r="G288" s="66"/>
      <c r="H288" s="66"/>
      <c r="I288" s="66"/>
      <c r="J288" s="66"/>
      <c r="K288" s="66"/>
      <c r="L288" s="66"/>
      <c r="M288" s="66"/>
      <c r="N288" s="66"/>
    </row>
    <row r="289" spans="1:14" x14ac:dyDescent="0.2">
      <c r="A289" s="84"/>
      <c r="B289" s="84"/>
      <c r="C289" s="60"/>
      <c r="D289" s="66"/>
      <c r="E289" s="66"/>
      <c r="F289" s="66"/>
      <c r="G289" s="66"/>
      <c r="H289" s="66"/>
      <c r="I289" s="66"/>
      <c r="J289" s="66"/>
      <c r="K289" s="66"/>
      <c r="L289" s="66"/>
      <c r="M289" s="66"/>
      <c r="N289" s="66"/>
    </row>
    <row r="290" spans="1:14" x14ac:dyDescent="0.2">
      <c r="A290" s="84"/>
      <c r="B290" s="84"/>
      <c r="C290" s="60"/>
      <c r="D290" s="66"/>
      <c r="E290" s="66"/>
      <c r="F290" s="66"/>
      <c r="G290" s="66"/>
      <c r="H290" s="66"/>
      <c r="I290" s="66"/>
      <c r="J290" s="66"/>
      <c r="K290" s="66"/>
      <c r="L290" s="66"/>
      <c r="M290" s="66"/>
      <c r="N290" s="66"/>
    </row>
    <row r="291" spans="1:14" x14ac:dyDescent="0.2">
      <c r="A291" s="84"/>
      <c r="B291" s="84"/>
      <c r="C291" s="60"/>
      <c r="D291" s="66"/>
      <c r="E291" s="66"/>
      <c r="F291" s="66"/>
      <c r="G291" s="66"/>
      <c r="H291" s="66"/>
      <c r="I291" s="66"/>
      <c r="J291" s="66"/>
      <c r="K291" s="66"/>
      <c r="L291" s="66"/>
      <c r="M291" s="66"/>
      <c r="N291" s="66"/>
    </row>
    <row r="292" spans="1:14" x14ac:dyDescent="0.2">
      <c r="A292" s="84"/>
      <c r="B292" s="84"/>
      <c r="C292" s="60"/>
      <c r="D292" s="66"/>
      <c r="E292" s="66"/>
      <c r="F292" s="66"/>
      <c r="G292" s="66"/>
      <c r="H292" s="66"/>
      <c r="I292" s="66"/>
      <c r="J292" s="66"/>
      <c r="K292" s="66"/>
      <c r="L292" s="66"/>
      <c r="M292" s="66"/>
      <c r="N292" s="66"/>
    </row>
    <row r="293" spans="1:14" x14ac:dyDescent="0.2">
      <c r="A293" s="84"/>
      <c r="B293" s="84"/>
      <c r="C293" s="60"/>
      <c r="D293" s="66"/>
      <c r="E293" s="66"/>
      <c r="F293" s="66"/>
      <c r="G293" s="66"/>
      <c r="H293" s="66"/>
      <c r="I293" s="66"/>
      <c r="J293" s="66"/>
      <c r="K293" s="66"/>
      <c r="L293" s="66"/>
      <c r="M293" s="66"/>
      <c r="N293" s="66"/>
    </row>
    <row r="294" spans="1:14" x14ac:dyDescent="0.2">
      <c r="A294" s="84"/>
      <c r="B294" s="84"/>
      <c r="C294" s="60"/>
      <c r="D294" s="66"/>
      <c r="E294" s="66"/>
      <c r="F294" s="66"/>
      <c r="G294" s="66"/>
      <c r="H294" s="66"/>
      <c r="I294" s="66"/>
      <c r="J294" s="66"/>
      <c r="K294" s="66"/>
      <c r="L294" s="66"/>
      <c r="M294" s="66"/>
      <c r="N294" s="66"/>
    </row>
    <row r="295" spans="1:14" x14ac:dyDescent="0.2">
      <c r="A295" s="84"/>
      <c r="B295" s="84"/>
      <c r="C295" s="60"/>
      <c r="D295" s="66"/>
      <c r="E295" s="66"/>
      <c r="F295" s="66"/>
      <c r="G295" s="66"/>
      <c r="H295" s="66"/>
      <c r="I295" s="66"/>
      <c r="J295" s="66"/>
      <c r="K295" s="66"/>
      <c r="L295" s="66"/>
      <c r="M295" s="66"/>
      <c r="N295" s="66"/>
    </row>
    <row r="296" spans="1:14" x14ac:dyDescent="0.2">
      <c r="A296" s="84"/>
      <c r="B296" s="84"/>
      <c r="C296" s="60"/>
      <c r="D296" s="66"/>
      <c r="E296" s="66"/>
      <c r="F296" s="66"/>
      <c r="G296" s="66"/>
      <c r="H296" s="66"/>
      <c r="I296" s="66"/>
      <c r="J296" s="66"/>
      <c r="K296" s="66"/>
      <c r="L296" s="66"/>
      <c r="M296" s="66"/>
      <c r="N296" s="66"/>
    </row>
    <row r="297" spans="1:14" x14ac:dyDescent="0.2">
      <c r="A297" s="84"/>
      <c r="B297" s="84"/>
      <c r="C297" s="60"/>
      <c r="D297" s="66"/>
      <c r="E297" s="66"/>
      <c r="F297" s="66"/>
      <c r="G297" s="66"/>
      <c r="H297" s="66"/>
      <c r="I297" s="66"/>
      <c r="J297" s="66"/>
      <c r="K297" s="66"/>
      <c r="L297" s="66"/>
      <c r="M297" s="66"/>
      <c r="N297" s="66"/>
    </row>
    <row r="298" spans="1:14" x14ac:dyDescent="0.2">
      <c r="A298" s="84"/>
      <c r="B298" s="84"/>
      <c r="C298" s="60"/>
      <c r="D298" s="66"/>
      <c r="E298" s="66"/>
      <c r="F298" s="66"/>
      <c r="G298" s="66"/>
      <c r="H298" s="66"/>
      <c r="I298" s="66"/>
      <c r="J298" s="66"/>
      <c r="K298" s="66"/>
      <c r="L298" s="66"/>
      <c r="M298" s="66"/>
      <c r="N298" s="66"/>
    </row>
    <row r="299" spans="1:14" x14ac:dyDescent="0.2">
      <c r="A299" s="84"/>
      <c r="B299" s="84"/>
      <c r="C299" s="60"/>
      <c r="D299" s="66"/>
      <c r="E299" s="66"/>
      <c r="F299" s="66"/>
      <c r="G299" s="66"/>
      <c r="H299" s="66"/>
      <c r="I299" s="66"/>
      <c r="J299" s="66"/>
      <c r="K299" s="66"/>
      <c r="L299" s="66"/>
      <c r="M299" s="66"/>
      <c r="N299" s="66"/>
    </row>
    <row r="300" spans="1:14" x14ac:dyDescent="0.2">
      <c r="A300" s="84"/>
      <c r="B300" s="84"/>
      <c r="C300" s="60"/>
      <c r="D300" s="66"/>
      <c r="E300" s="66"/>
      <c r="F300" s="66"/>
      <c r="G300" s="66"/>
      <c r="H300" s="66"/>
      <c r="I300" s="66"/>
      <c r="J300" s="66"/>
      <c r="K300" s="66"/>
      <c r="L300" s="66"/>
      <c r="M300" s="66"/>
      <c r="N300" s="66"/>
    </row>
    <row r="301" spans="1:14" x14ac:dyDescent="0.2">
      <c r="A301" s="84"/>
      <c r="B301" s="84"/>
      <c r="C301" s="60"/>
      <c r="D301" s="66"/>
      <c r="E301" s="66"/>
      <c r="F301" s="66"/>
      <c r="G301" s="66"/>
      <c r="H301" s="66"/>
      <c r="I301" s="66"/>
      <c r="J301" s="66"/>
      <c r="K301" s="66"/>
      <c r="L301" s="66"/>
      <c r="M301" s="66"/>
      <c r="N301" s="66"/>
    </row>
    <row r="302" spans="1:14" x14ac:dyDescent="0.2">
      <c r="A302" s="84"/>
      <c r="B302" s="84"/>
      <c r="C302" s="60"/>
      <c r="D302" s="66"/>
      <c r="E302" s="66"/>
      <c r="F302" s="66"/>
      <c r="G302" s="66"/>
      <c r="H302" s="66"/>
      <c r="I302" s="66"/>
      <c r="J302" s="66"/>
      <c r="K302" s="66"/>
      <c r="L302" s="66"/>
      <c r="M302" s="66"/>
      <c r="N302" s="66"/>
    </row>
    <row r="303" spans="1:14" x14ac:dyDescent="0.2">
      <c r="A303" s="84"/>
      <c r="B303" s="84"/>
      <c r="C303" s="60"/>
      <c r="D303" s="66"/>
      <c r="E303" s="66"/>
      <c r="F303" s="66"/>
      <c r="G303" s="66"/>
      <c r="H303" s="66"/>
      <c r="I303" s="66"/>
      <c r="J303" s="66"/>
      <c r="K303" s="66"/>
      <c r="L303" s="66"/>
      <c r="M303" s="66"/>
      <c r="N303" s="66"/>
    </row>
    <row r="304" spans="1:14" x14ac:dyDescent="0.2">
      <c r="A304" s="84"/>
      <c r="B304" s="84"/>
      <c r="C304" s="60"/>
      <c r="D304" s="66"/>
      <c r="E304" s="66"/>
      <c r="F304" s="66"/>
      <c r="G304" s="66"/>
      <c r="H304" s="66"/>
      <c r="I304" s="66"/>
      <c r="J304" s="66"/>
      <c r="K304" s="66"/>
      <c r="L304" s="66"/>
      <c r="M304" s="66"/>
      <c r="N304" s="66"/>
    </row>
    <row r="305" spans="1:14" x14ac:dyDescent="0.2">
      <c r="A305" s="84"/>
      <c r="B305" s="84"/>
      <c r="C305" s="60"/>
      <c r="D305" s="66"/>
      <c r="E305" s="66"/>
      <c r="F305" s="66"/>
      <c r="G305" s="66"/>
      <c r="H305" s="66"/>
      <c r="I305" s="66"/>
      <c r="J305" s="66"/>
      <c r="K305" s="66"/>
      <c r="L305" s="66"/>
      <c r="M305" s="66"/>
      <c r="N305" s="66"/>
    </row>
    <row r="306" spans="1:14" x14ac:dyDescent="0.2">
      <c r="A306" s="84"/>
      <c r="B306" s="84"/>
      <c r="C306" s="60"/>
      <c r="D306" s="66"/>
      <c r="E306" s="66"/>
      <c r="F306" s="66"/>
      <c r="G306" s="66"/>
      <c r="H306" s="66"/>
      <c r="I306" s="66"/>
      <c r="J306" s="66"/>
      <c r="K306" s="66"/>
      <c r="L306" s="66"/>
      <c r="M306" s="66"/>
      <c r="N306" s="66"/>
    </row>
    <row r="307" spans="1:14" x14ac:dyDescent="0.2">
      <c r="A307" s="84"/>
      <c r="B307" s="84"/>
      <c r="C307" s="60"/>
      <c r="D307" s="66"/>
      <c r="E307" s="66"/>
      <c r="F307" s="66"/>
      <c r="G307" s="66"/>
      <c r="H307" s="66"/>
      <c r="I307" s="66"/>
      <c r="J307" s="66"/>
      <c r="K307" s="66"/>
      <c r="L307" s="66"/>
      <c r="M307" s="66"/>
      <c r="N307" s="66"/>
    </row>
    <row r="308" spans="1:14" x14ac:dyDescent="0.2">
      <c r="A308" s="84"/>
      <c r="B308" s="84"/>
      <c r="C308" s="60"/>
      <c r="D308" s="66"/>
      <c r="E308" s="66"/>
      <c r="F308" s="66"/>
      <c r="G308" s="66"/>
      <c r="H308" s="66"/>
      <c r="I308" s="66"/>
      <c r="J308" s="66"/>
      <c r="K308" s="66"/>
      <c r="L308" s="66"/>
      <c r="M308" s="66"/>
      <c r="N308" s="66"/>
    </row>
    <row r="309" spans="1:14" x14ac:dyDescent="0.2">
      <c r="A309" s="84"/>
      <c r="B309" s="84"/>
      <c r="C309" s="60"/>
      <c r="D309" s="66"/>
      <c r="E309" s="66"/>
      <c r="F309" s="66"/>
      <c r="G309" s="66"/>
      <c r="H309" s="66"/>
      <c r="I309" s="66"/>
      <c r="J309" s="66"/>
      <c r="K309" s="66"/>
      <c r="L309" s="66"/>
      <c r="M309" s="66"/>
      <c r="N309" s="66"/>
    </row>
    <row r="310" spans="1:14" x14ac:dyDescent="0.2">
      <c r="A310" s="84"/>
      <c r="B310" s="84"/>
      <c r="C310" s="60"/>
      <c r="D310" s="66"/>
      <c r="E310" s="66"/>
      <c r="F310" s="66"/>
      <c r="G310" s="66"/>
      <c r="H310" s="66"/>
      <c r="I310" s="66"/>
      <c r="J310" s="66"/>
      <c r="K310" s="66"/>
      <c r="L310" s="66"/>
      <c r="M310" s="66"/>
      <c r="N310" s="66"/>
    </row>
    <row r="311" spans="1:14" x14ac:dyDescent="0.2">
      <c r="A311" s="84"/>
      <c r="B311" s="84"/>
      <c r="C311" s="60"/>
      <c r="D311" s="66"/>
      <c r="E311" s="66"/>
      <c r="F311" s="66"/>
      <c r="G311" s="66"/>
      <c r="H311" s="66"/>
      <c r="I311" s="66"/>
      <c r="J311" s="66"/>
      <c r="K311" s="66"/>
      <c r="L311" s="66"/>
      <c r="M311" s="66"/>
      <c r="N311" s="66"/>
    </row>
    <row r="312" spans="1:14" x14ac:dyDescent="0.2">
      <c r="A312" s="84"/>
      <c r="B312" s="84"/>
      <c r="C312" s="60"/>
      <c r="D312" s="66"/>
      <c r="E312" s="66"/>
      <c r="F312" s="66"/>
      <c r="G312" s="66"/>
      <c r="H312" s="66"/>
      <c r="I312" s="66"/>
      <c r="J312" s="66"/>
      <c r="K312" s="66"/>
      <c r="L312" s="66"/>
      <c r="M312" s="66"/>
      <c r="N312" s="66"/>
    </row>
    <row r="313" spans="1:14" x14ac:dyDescent="0.2">
      <c r="A313" s="84"/>
      <c r="B313" s="84"/>
      <c r="C313" s="60"/>
      <c r="D313" s="66"/>
      <c r="E313" s="66"/>
      <c r="F313" s="66"/>
      <c r="G313" s="66"/>
      <c r="H313" s="66"/>
      <c r="I313" s="66"/>
      <c r="J313" s="66"/>
      <c r="K313" s="66"/>
      <c r="L313" s="66"/>
      <c r="M313" s="66"/>
      <c r="N313" s="66"/>
    </row>
    <row r="314" spans="1:14" x14ac:dyDescent="0.2">
      <c r="A314" s="84"/>
      <c r="B314" s="84"/>
      <c r="C314" s="60"/>
      <c r="D314" s="66"/>
      <c r="E314" s="66"/>
      <c r="F314" s="66"/>
      <c r="G314" s="66"/>
      <c r="H314" s="66"/>
      <c r="I314" s="66"/>
      <c r="J314" s="66"/>
      <c r="K314" s="66"/>
      <c r="L314" s="66"/>
      <c r="M314" s="66"/>
      <c r="N314" s="66"/>
    </row>
    <row r="315" spans="1:14" x14ac:dyDescent="0.2">
      <c r="A315" s="84"/>
      <c r="B315" s="84"/>
      <c r="C315" s="60"/>
      <c r="D315" s="66"/>
      <c r="E315" s="66"/>
      <c r="F315" s="66"/>
      <c r="G315" s="66"/>
      <c r="H315" s="66"/>
      <c r="I315" s="66"/>
      <c r="J315" s="66"/>
      <c r="K315" s="66"/>
      <c r="L315" s="66"/>
      <c r="M315" s="66"/>
      <c r="N315" s="66"/>
    </row>
    <row r="316" spans="1:14" x14ac:dyDescent="0.2">
      <c r="A316" s="84"/>
      <c r="B316" s="84"/>
      <c r="C316" s="60"/>
      <c r="D316" s="66"/>
      <c r="E316" s="66"/>
      <c r="F316" s="66"/>
      <c r="G316" s="66"/>
      <c r="H316" s="66"/>
      <c r="I316" s="66"/>
      <c r="J316" s="66"/>
      <c r="K316" s="66"/>
      <c r="L316" s="66"/>
      <c r="M316" s="66"/>
      <c r="N316" s="66"/>
    </row>
    <row r="317" spans="1:14" x14ac:dyDescent="0.2">
      <c r="A317" s="84"/>
      <c r="B317" s="84"/>
      <c r="C317" s="60"/>
      <c r="D317" s="66"/>
      <c r="E317" s="66"/>
      <c r="F317" s="66"/>
      <c r="G317" s="66"/>
      <c r="H317" s="66"/>
      <c r="I317" s="66"/>
      <c r="J317" s="66"/>
      <c r="K317" s="66"/>
      <c r="L317" s="66"/>
      <c r="M317" s="66"/>
      <c r="N317" s="66"/>
    </row>
    <row r="318" spans="1:14" x14ac:dyDescent="0.2">
      <c r="A318" s="84"/>
      <c r="B318" s="84"/>
      <c r="C318" s="60"/>
      <c r="D318" s="66"/>
      <c r="E318" s="66"/>
      <c r="F318" s="66"/>
      <c r="G318" s="66"/>
      <c r="H318" s="66"/>
      <c r="I318" s="66"/>
      <c r="J318" s="66"/>
      <c r="K318" s="66"/>
      <c r="L318" s="66"/>
      <c r="M318" s="66"/>
      <c r="N318" s="66"/>
    </row>
    <row r="319" spans="1:14" x14ac:dyDescent="0.2">
      <c r="A319" s="84"/>
      <c r="B319" s="84"/>
      <c r="C319" s="60"/>
      <c r="D319" s="66"/>
      <c r="E319" s="66"/>
      <c r="F319" s="66"/>
      <c r="G319" s="66"/>
      <c r="H319" s="66"/>
      <c r="I319" s="66"/>
      <c r="J319" s="66"/>
      <c r="K319" s="66"/>
      <c r="L319" s="66"/>
      <c r="M319" s="66"/>
      <c r="N319" s="66"/>
    </row>
    <row r="320" spans="1:14" x14ac:dyDescent="0.2">
      <c r="A320" s="84"/>
      <c r="B320" s="84"/>
      <c r="C320" s="60"/>
      <c r="D320" s="66"/>
      <c r="E320" s="66"/>
      <c r="F320" s="66"/>
      <c r="G320" s="66"/>
      <c r="H320" s="66"/>
      <c r="I320" s="66"/>
      <c r="J320" s="66"/>
      <c r="K320" s="66"/>
      <c r="L320" s="66"/>
      <c r="M320" s="66"/>
      <c r="N320" s="66"/>
    </row>
    <row r="321" spans="1:14" x14ac:dyDescent="0.2">
      <c r="A321" s="84"/>
      <c r="B321" s="84"/>
      <c r="C321" s="60"/>
      <c r="D321" s="66"/>
      <c r="E321" s="66"/>
      <c r="F321" s="66"/>
      <c r="G321" s="66"/>
      <c r="H321" s="66"/>
      <c r="I321" s="66"/>
      <c r="J321" s="66"/>
      <c r="K321" s="66"/>
      <c r="L321" s="66"/>
      <c r="M321" s="66"/>
      <c r="N321" s="66"/>
    </row>
    <row r="322" spans="1:14" x14ac:dyDescent="0.2">
      <c r="A322" s="84"/>
      <c r="B322" s="84"/>
      <c r="C322" s="60"/>
      <c r="D322" s="66"/>
      <c r="E322" s="66"/>
      <c r="F322" s="66"/>
      <c r="G322" s="66"/>
      <c r="H322" s="66"/>
      <c r="I322" s="66"/>
      <c r="J322" s="66"/>
      <c r="K322" s="66"/>
      <c r="L322" s="66"/>
      <c r="M322" s="66"/>
      <c r="N322" s="66"/>
    </row>
    <row r="323" spans="1:14" x14ac:dyDescent="0.2">
      <c r="A323" s="84"/>
      <c r="B323" s="84"/>
      <c r="C323" s="60"/>
      <c r="D323" s="66"/>
      <c r="E323" s="66"/>
      <c r="F323" s="66"/>
      <c r="G323" s="66"/>
      <c r="H323" s="66"/>
      <c r="I323" s="66"/>
      <c r="J323" s="66"/>
      <c r="K323" s="66"/>
      <c r="L323" s="66"/>
      <c r="M323" s="66"/>
      <c r="N323" s="66"/>
    </row>
    <row r="324" spans="1:14" x14ac:dyDescent="0.2">
      <c r="A324" s="84"/>
      <c r="B324" s="84"/>
      <c r="C324" s="60"/>
      <c r="D324" s="66"/>
      <c r="E324" s="66"/>
      <c r="F324" s="66"/>
      <c r="G324" s="66"/>
      <c r="H324" s="66"/>
      <c r="I324" s="66"/>
      <c r="J324" s="66"/>
      <c r="K324" s="66"/>
      <c r="L324" s="66"/>
      <c r="M324" s="66"/>
      <c r="N324" s="66"/>
    </row>
    <row r="325" spans="1:14" x14ac:dyDescent="0.2">
      <c r="A325" s="84"/>
      <c r="B325" s="84"/>
      <c r="C325" s="60"/>
      <c r="D325" s="66"/>
      <c r="E325" s="66"/>
      <c r="F325" s="66"/>
      <c r="G325" s="66"/>
      <c r="H325" s="66"/>
      <c r="I325" s="66"/>
      <c r="J325" s="66"/>
      <c r="K325" s="66"/>
      <c r="L325" s="66"/>
      <c r="M325" s="66"/>
      <c r="N325" s="66"/>
    </row>
    <row r="326" spans="1:14" x14ac:dyDescent="0.2">
      <c r="A326" s="84"/>
      <c r="B326" s="84"/>
      <c r="C326" s="60"/>
      <c r="D326" s="66"/>
      <c r="E326" s="66"/>
      <c r="F326" s="66"/>
      <c r="G326" s="66"/>
      <c r="H326" s="66"/>
      <c r="I326" s="66"/>
      <c r="J326" s="66"/>
      <c r="K326" s="66"/>
      <c r="L326" s="66"/>
      <c r="M326" s="66"/>
      <c r="N326" s="66"/>
    </row>
    <row r="327" spans="1:14" x14ac:dyDescent="0.2">
      <c r="A327" s="84"/>
      <c r="B327" s="84"/>
      <c r="C327" s="60"/>
      <c r="D327" s="66"/>
      <c r="E327" s="66"/>
      <c r="F327" s="66"/>
      <c r="G327" s="66"/>
      <c r="H327" s="66"/>
      <c r="I327" s="66"/>
      <c r="J327" s="66"/>
      <c r="K327" s="66"/>
      <c r="L327" s="66"/>
      <c r="M327" s="66"/>
      <c r="N327" s="66"/>
    </row>
    <row r="328" spans="1:14" x14ac:dyDescent="0.2">
      <c r="A328" s="84"/>
      <c r="B328" s="84"/>
      <c r="C328" s="60"/>
      <c r="D328" s="66"/>
      <c r="E328" s="66"/>
      <c r="F328" s="66"/>
      <c r="G328" s="66"/>
      <c r="H328" s="66"/>
      <c r="I328" s="66"/>
      <c r="J328" s="66"/>
      <c r="K328" s="66"/>
      <c r="L328" s="66"/>
      <c r="M328" s="66"/>
      <c r="N328" s="66"/>
    </row>
    <row r="329" spans="1:14" x14ac:dyDescent="0.2">
      <c r="A329" s="84"/>
      <c r="B329" s="84"/>
      <c r="C329" s="60"/>
      <c r="D329" s="66"/>
      <c r="E329" s="66"/>
      <c r="F329" s="66"/>
      <c r="G329" s="66"/>
      <c r="H329" s="66"/>
      <c r="I329" s="66"/>
      <c r="J329" s="66"/>
      <c r="K329" s="66"/>
      <c r="L329" s="66"/>
      <c r="M329" s="66"/>
      <c r="N329" s="66"/>
    </row>
    <row r="330" spans="1:14" x14ac:dyDescent="0.2">
      <c r="A330" s="84"/>
      <c r="B330" s="84"/>
      <c r="C330" s="60"/>
      <c r="D330" s="66"/>
      <c r="E330" s="66"/>
      <c r="F330" s="66"/>
      <c r="G330" s="66"/>
      <c r="H330" s="66"/>
      <c r="I330" s="66"/>
      <c r="J330" s="66"/>
      <c r="K330" s="66"/>
      <c r="L330" s="66"/>
      <c r="M330" s="66"/>
      <c r="N330" s="66"/>
    </row>
    <row r="331" spans="1:14" x14ac:dyDescent="0.2">
      <c r="A331" s="84"/>
      <c r="B331" s="84"/>
      <c r="C331" s="60"/>
      <c r="D331" s="66"/>
      <c r="E331" s="66"/>
      <c r="F331" s="66"/>
      <c r="G331" s="66"/>
      <c r="H331" s="66"/>
      <c r="I331" s="66"/>
      <c r="J331" s="66"/>
      <c r="K331" s="66"/>
      <c r="L331" s="66"/>
      <c r="M331" s="66"/>
      <c r="N331" s="66"/>
    </row>
    <row r="332" spans="1:14" x14ac:dyDescent="0.2">
      <c r="A332" s="84"/>
      <c r="B332" s="84"/>
      <c r="C332" s="60"/>
      <c r="D332" s="66"/>
      <c r="E332" s="66"/>
      <c r="F332" s="66"/>
      <c r="G332" s="66"/>
      <c r="H332" s="66"/>
      <c r="I332" s="66"/>
      <c r="J332" s="66"/>
      <c r="K332" s="66"/>
      <c r="L332" s="66"/>
      <c r="M332" s="66"/>
      <c r="N332" s="66"/>
    </row>
    <row r="333" spans="1:14" x14ac:dyDescent="0.2">
      <c r="A333" s="84"/>
      <c r="B333" s="84"/>
      <c r="C333" s="60"/>
      <c r="D333" s="66"/>
      <c r="E333" s="66"/>
      <c r="F333" s="66"/>
      <c r="G333" s="66"/>
      <c r="H333" s="66"/>
      <c r="I333" s="66"/>
      <c r="J333" s="66"/>
      <c r="K333" s="66"/>
      <c r="L333" s="66"/>
      <c r="M333" s="66"/>
      <c r="N333" s="66"/>
    </row>
    <row r="334" spans="1:14" x14ac:dyDescent="0.2">
      <c r="A334" s="84"/>
      <c r="B334" s="84"/>
      <c r="C334" s="60"/>
      <c r="D334" s="66"/>
      <c r="E334" s="66"/>
      <c r="F334" s="66"/>
      <c r="G334" s="66"/>
      <c r="H334" s="66"/>
      <c r="I334" s="66"/>
      <c r="J334" s="66"/>
      <c r="K334" s="66"/>
      <c r="L334" s="66"/>
      <c r="M334" s="66"/>
      <c r="N334" s="66"/>
    </row>
    <row r="335" spans="1:14" x14ac:dyDescent="0.2">
      <c r="A335" s="84"/>
      <c r="B335" s="84"/>
      <c r="C335" s="60"/>
      <c r="D335" s="66"/>
      <c r="E335" s="66"/>
      <c r="F335" s="66"/>
      <c r="G335" s="66"/>
      <c r="H335" s="66"/>
      <c r="I335" s="66"/>
      <c r="J335" s="66"/>
      <c r="K335" s="66"/>
      <c r="L335" s="66"/>
      <c r="M335" s="66"/>
      <c r="N335" s="66"/>
    </row>
    <row r="336" spans="1:14" x14ac:dyDescent="0.2">
      <c r="A336" s="84"/>
      <c r="B336" s="84"/>
      <c r="C336" s="60"/>
      <c r="D336" s="66"/>
      <c r="E336" s="66"/>
      <c r="F336" s="66"/>
      <c r="G336" s="66"/>
      <c r="H336" s="66"/>
      <c r="I336" s="66"/>
      <c r="J336" s="66"/>
      <c r="K336" s="66"/>
      <c r="L336" s="66"/>
      <c r="M336" s="66"/>
      <c r="N336" s="66"/>
    </row>
    <row r="337" spans="1:14" x14ac:dyDescent="0.2">
      <c r="A337" s="84"/>
      <c r="B337" s="84"/>
      <c r="C337" s="60"/>
      <c r="D337" s="66"/>
      <c r="E337" s="66"/>
      <c r="F337" s="66"/>
      <c r="G337" s="66"/>
      <c r="H337" s="66"/>
      <c r="I337" s="66"/>
      <c r="J337" s="66"/>
      <c r="K337" s="66"/>
      <c r="L337" s="66"/>
      <c r="M337" s="66"/>
      <c r="N337" s="66"/>
    </row>
    <row r="338" spans="1:14" x14ac:dyDescent="0.2">
      <c r="A338" s="84"/>
      <c r="B338" s="84"/>
      <c r="C338" s="60"/>
      <c r="D338" s="66"/>
      <c r="E338" s="66"/>
      <c r="F338" s="66"/>
      <c r="G338" s="66"/>
      <c r="H338" s="66"/>
      <c r="I338" s="66"/>
      <c r="J338" s="66"/>
      <c r="K338" s="66"/>
      <c r="L338" s="66"/>
      <c r="M338" s="66"/>
      <c r="N338" s="66"/>
    </row>
    <row r="339" spans="1:14" x14ac:dyDescent="0.2">
      <c r="A339" s="84"/>
      <c r="B339" s="84"/>
      <c r="C339" s="60"/>
      <c r="D339" s="66"/>
      <c r="E339" s="66"/>
      <c r="F339" s="66"/>
      <c r="G339" s="66"/>
      <c r="H339" s="66"/>
      <c r="I339" s="66"/>
      <c r="J339" s="66"/>
      <c r="K339" s="66"/>
      <c r="L339" s="66"/>
      <c r="M339" s="66"/>
      <c r="N339" s="66"/>
    </row>
    <row r="340" spans="1:14" x14ac:dyDescent="0.2">
      <c r="A340" s="84"/>
      <c r="B340" s="84"/>
      <c r="C340" s="60"/>
      <c r="D340" s="66"/>
      <c r="E340" s="66"/>
      <c r="F340" s="66"/>
      <c r="G340" s="66"/>
      <c r="H340" s="66"/>
      <c r="I340" s="66"/>
      <c r="J340" s="66"/>
      <c r="K340" s="66"/>
      <c r="L340" s="66"/>
      <c r="M340" s="66"/>
      <c r="N340" s="66"/>
    </row>
    <row r="341" spans="1:14" x14ac:dyDescent="0.2">
      <c r="A341" s="84"/>
      <c r="B341" s="84"/>
      <c r="C341" s="60"/>
      <c r="D341" s="66"/>
      <c r="E341" s="66"/>
      <c r="F341" s="66"/>
      <c r="G341" s="66"/>
      <c r="H341" s="66"/>
      <c r="I341" s="66"/>
      <c r="J341" s="66"/>
      <c r="K341" s="66"/>
      <c r="L341" s="66"/>
      <c r="M341" s="66"/>
      <c r="N341" s="66"/>
    </row>
    <row r="342" spans="1:14" x14ac:dyDescent="0.2">
      <c r="A342" s="84"/>
      <c r="B342" s="84"/>
      <c r="C342" s="60"/>
      <c r="D342" s="66"/>
      <c r="E342" s="66"/>
      <c r="F342" s="66"/>
      <c r="G342" s="66"/>
      <c r="H342" s="66"/>
      <c r="I342" s="66"/>
      <c r="J342" s="66"/>
      <c r="K342" s="66"/>
      <c r="L342" s="66"/>
      <c r="M342" s="66"/>
      <c r="N342" s="66"/>
    </row>
    <row r="343" spans="1:14" x14ac:dyDescent="0.2">
      <c r="A343" s="84"/>
      <c r="B343" s="84"/>
      <c r="C343" s="60"/>
      <c r="D343" s="66"/>
      <c r="E343" s="66"/>
      <c r="F343" s="66"/>
      <c r="G343" s="66"/>
      <c r="H343" s="66"/>
      <c r="I343" s="66"/>
      <c r="J343" s="66"/>
      <c r="K343" s="66"/>
      <c r="L343" s="66"/>
      <c r="M343" s="66"/>
      <c r="N343" s="66"/>
    </row>
    <row r="344" spans="1:14" x14ac:dyDescent="0.2">
      <c r="A344" s="84"/>
      <c r="B344" s="84"/>
      <c r="C344" s="60"/>
      <c r="D344" s="66"/>
      <c r="E344" s="66"/>
      <c r="F344" s="66"/>
      <c r="G344" s="66"/>
      <c r="H344" s="66"/>
      <c r="I344" s="66"/>
      <c r="J344" s="66"/>
      <c r="K344" s="66"/>
      <c r="L344" s="66"/>
      <c r="M344" s="66"/>
      <c r="N344" s="66"/>
    </row>
    <row r="345" spans="1:14" x14ac:dyDescent="0.2">
      <c r="A345" s="84"/>
      <c r="B345" s="84"/>
      <c r="C345" s="60"/>
      <c r="D345" s="66"/>
      <c r="E345" s="66"/>
      <c r="F345" s="66"/>
      <c r="G345" s="66"/>
      <c r="H345" s="66"/>
      <c r="I345" s="66"/>
      <c r="J345" s="66"/>
      <c r="K345" s="66"/>
      <c r="L345" s="66"/>
      <c r="M345" s="66"/>
      <c r="N345" s="66"/>
    </row>
    <row r="346" spans="1:14" x14ac:dyDescent="0.2">
      <c r="A346" s="84"/>
      <c r="B346" s="84"/>
      <c r="C346" s="60"/>
      <c r="D346" s="66"/>
      <c r="E346" s="66"/>
      <c r="F346" s="66"/>
      <c r="G346" s="66"/>
      <c r="H346" s="66"/>
      <c r="I346" s="66"/>
      <c r="J346" s="66"/>
      <c r="K346" s="66"/>
      <c r="L346" s="66"/>
      <c r="M346" s="66"/>
      <c r="N346" s="66"/>
    </row>
    <row r="347" spans="1:14" x14ac:dyDescent="0.2">
      <c r="A347" s="84"/>
      <c r="B347" s="84"/>
      <c r="C347" s="60"/>
      <c r="D347" s="66"/>
      <c r="E347" s="66"/>
      <c r="F347" s="66"/>
      <c r="G347" s="66"/>
      <c r="H347" s="66"/>
      <c r="I347" s="66"/>
      <c r="J347" s="66"/>
      <c r="K347" s="66"/>
      <c r="L347" s="66"/>
      <c r="M347" s="66"/>
      <c r="N347" s="66"/>
    </row>
    <row r="348" spans="1:14" x14ac:dyDescent="0.2">
      <c r="A348" s="84"/>
      <c r="B348" s="84"/>
      <c r="C348" s="60"/>
      <c r="D348" s="66"/>
      <c r="E348" s="66"/>
      <c r="F348" s="66"/>
      <c r="G348" s="66"/>
      <c r="H348" s="66"/>
      <c r="I348" s="66"/>
      <c r="J348" s="66"/>
      <c r="K348" s="66"/>
      <c r="L348" s="66"/>
      <c r="M348" s="66"/>
      <c r="N348" s="66"/>
    </row>
    <row r="349" spans="1:14" x14ac:dyDescent="0.2">
      <c r="A349" s="84"/>
      <c r="B349" s="84"/>
      <c r="C349" s="60"/>
      <c r="D349" s="66"/>
      <c r="E349" s="66"/>
      <c r="F349" s="66"/>
      <c r="G349" s="66"/>
      <c r="H349" s="66"/>
      <c r="I349" s="66"/>
      <c r="J349" s="66"/>
      <c r="K349" s="66"/>
      <c r="L349" s="66"/>
      <c r="M349" s="66"/>
      <c r="N349" s="66"/>
    </row>
    <row r="350" spans="1:14" x14ac:dyDescent="0.2">
      <c r="A350" s="84"/>
      <c r="B350" s="84"/>
      <c r="C350" s="60"/>
      <c r="D350" s="66"/>
      <c r="E350" s="66"/>
      <c r="F350" s="66"/>
      <c r="G350" s="66"/>
      <c r="H350" s="66"/>
      <c r="I350" s="66"/>
      <c r="J350" s="66"/>
      <c r="K350" s="66"/>
      <c r="L350" s="66"/>
      <c r="M350" s="66"/>
      <c r="N350" s="66"/>
    </row>
    <row r="351" spans="1:14" x14ac:dyDescent="0.2">
      <c r="A351" s="84"/>
      <c r="B351" s="84"/>
      <c r="C351" s="60"/>
      <c r="D351" s="66"/>
      <c r="E351" s="66"/>
      <c r="F351" s="66"/>
      <c r="G351" s="66"/>
      <c r="H351" s="66"/>
      <c r="I351" s="66"/>
      <c r="J351" s="66"/>
      <c r="K351" s="66"/>
      <c r="L351" s="66"/>
      <c r="M351" s="66"/>
      <c r="N351" s="66"/>
    </row>
    <row r="352" spans="1:14" x14ac:dyDescent="0.2">
      <c r="A352" s="84"/>
      <c r="B352" s="84"/>
      <c r="C352" s="60"/>
      <c r="D352" s="66"/>
      <c r="E352" s="66"/>
      <c r="F352" s="66"/>
      <c r="G352" s="66"/>
      <c r="H352" s="66"/>
      <c r="I352" s="66"/>
      <c r="J352" s="66"/>
      <c r="K352" s="66"/>
      <c r="L352" s="66"/>
      <c r="M352" s="66"/>
      <c r="N352" s="66"/>
    </row>
    <row r="353" spans="1:14" x14ac:dyDescent="0.2">
      <c r="A353" s="84"/>
      <c r="B353" s="84"/>
      <c r="C353" s="60"/>
      <c r="D353" s="66"/>
      <c r="E353" s="66"/>
      <c r="F353" s="66"/>
      <c r="G353" s="66"/>
      <c r="H353" s="66"/>
      <c r="I353" s="66"/>
      <c r="J353" s="66"/>
      <c r="K353" s="66"/>
      <c r="L353" s="66"/>
      <c r="M353" s="66"/>
      <c r="N353" s="66"/>
    </row>
    <row r="354" spans="1:14" x14ac:dyDescent="0.2">
      <c r="A354" s="84"/>
      <c r="B354" s="84"/>
      <c r="C354" s="60"/>
      <c r="D354" s="66"/>
      <c r="E354" s="66"/>
      <c r="F354" s="66"/>
      <c r="G354" s="66"/>
      <c r="H354" s="66"/>
      <c r="I354" s="66"/>
      <c r="J354" s="66"/>
      <c r="K354" s="66"/>
      <c r="L354" s="66"/>
      <c r="M354" s="66"/>
      <c r="N354" s="66"/>
    </row>
    <row r="355" spans="1:14" x14ac:dyDescent="0.2">
      <c r="A355" s="84"/>
      <c r="B355" s="84"/>
      <c r="C355" s="60"/>
      <c r="D355" s="66"/>
      <c r="E355" s="66"/>
      <c r="F355" s="66"/>
      <c r="G355" s="66"/>
      <c r="H355" s="66"/>
      <c r="I355" s="66"/>
      <c r="J355" s="66"/>
      <c r="K355" s="66"/>
      <c r="L355" s="66"/>
      <c r="M355" s="66"/>
      <c r="N355" s="66"/>
    </row>
    <row r="356" spans="1:14" x14ac:dyDescent="0.2">
      <c r="A356" s="84"/>
      <c r="B356" s="84"/>
      <c r="C356" s="60"/>
      <c r="D356" s="66"/>
      <c r="E356" s="66"/>
      <c r="F356" s="66"/>
      <c r="G356" s="66"/>
      <c r="H356" s="66"/>
      <c r="I356" s="66"/>
      <c r="J356" s="66"/>
      <c r="K356" s="66"/>
      <c r="L356" s="66"/>
      <c r="M356" s="66"/>
      <c r="N356" s="66"/>
    </row>
    <row r="357" spans="1:14" x14ac:dyDescent="0.2">
      <c r="A357" s="84"/>
      <c r="B357" s="84"/>
      <c r="C357" s="60"/>
      <c r="D357" s="66"/>
      <c r="E357" s="66"/>
      <c r="F357" s="66"/>
      <c r="G357" s="66"/>
      <c r="H357" s="66"/>
      <c r="I357" s="66"/>
      <c r="J357" s="66"/>
      <c r="K357" s="66"/>
      <c r="L357" s="66"/>
      <c r="M357" s="66"/>
      <c r="N357" s="66"/>
    </row>
    <row r="358" spans="1:14" x14ac:dyDescent="0.2">
      <c r="A358" s="84"/>
      <c r="B358" s="84"/>
      <c r="C358" s="60"/>
      <c r="D358" s="66"/>
      <c r="E358" s="66"/>
      <c r="F358" s="66"/>
      <c r="G358" s="66"/>
      <c r="H358" s="66"/>
      <c r="I358" s="66"/>
      <c r="J358" s="66"/>
      <c r="K358" s="66"/>
      <c r="L358" s="66"/>
      <c r="M358" s="66"/>
      <c r="N358" s="66"/>
    </row>
    <row r="359" spans="1:14" x14ac:dyDescent="0.2">
      <c r="A359" s="84"/>
      <c r="B359" s="84"/>
      <c r="C359" s="60"/>
      <c r="D359" s="66"/>
      <c r="E359" s="66"/>
      <c r="F359" s="66"/>
      <c r="G359" s="66"/>
      <c r="H359" s="66"/>
      <c r="I359" s="66"/>
      <c r="J359" s="66"/>
      <c r="K359" s="66"/>
      <c r="L359" s="66"/>
      <c r="M359" s="66"/>
      <c r="N359" s="66"/>
    </row>
    <row r="360" spans="1:14" x14ac:dyDescent="0.2">
      <c r="A360" s="84"/>
      <c r="B360" s="84"/>
      <c r="C360" s="60"/>
      <c r="D360" s="66"/>
      <c r="E360" s="66"/>
      <c r="F360" s="66"/>
      <c r="G360" s="66"/>
      <c r="H360" s="66"/>
      <c r="I360" s="66"/>
      <c r="J360" s="66"/>
      <c r="K360" s="66"/>
      <c r="L360" s="66"/>
      <c r="M360" s="66"/>
      <c r="N360" s="66"/>
    </row>
    <row r="361" spans="1:14" x14ac:dyDescent="0.2">
      <c r="A361" s="84"/>
      <c r="B361" s="84"/>
      <c r="C361" s="60"/>
      <c r="D361" s="66"/>
      <c r="E361" s="66"/>
      <c r="F361" s="66"/>
      <c r="G361" s="66"/>
      <c r="H361" s="66"/>
      <c r="I361" s="66"/>
      <c r="J361" s="66"/>
      <c r="K361" s="66"/>
      <c r="L361" s="66"/>
      <c r="M361" s="66"/>
      <c r="N361" s="66"/>
    </row>
    <row r="362" spans="1:14" x14ac:dyDescent="0.2">
      <c r="A362" s="84"/>
      <c r="B362" s="84"/>
      <c r="C362" s="60"/>
      <c r="D362" s="66"/>
      <c r="E362" s="66"/>
      <c r="F362" s="66"/>
      <c r="G362" s="66"/>
      <c r="H362" s="66"/>
      <c r="I362" s="66"/>
      <c r="J362" s="66"/>
      <c r="K362" s="66"/>
      <c r="L362" s="66"/>
      <c r="M362" s="66"/>
      <c r="N362" s="66"/>
    </row>
    <row r="363" spans="1:14" x14ac:dyDescent="0.2">
      <c r="A363" s="84"/>
      <c r="B363" s="84"/>
      <c r="C363" s="60"/>
      <c r="D363" s="66"/>
      <c r="E363" s="66"/>
      <c r="F363" s="66"/>
      <c r="G363" s="66"/>
      <c r="H363" s="66"/>
      <c r="I363" s="66"/>
      <c r="J363" s="66"/>
      <c r="K363" s="66"/>
      <c r="L363" s="66"/>
      <c r="M363" s="66"/>
      <c r="N363" s="66"/>
    </row>
    <row r="364" spans="1:14" x14ac:dyDescent="0.2">
      <c r="A364" s="84"/>
      <c r="B364" s="84"/>
      <c r="C364" s="60"/>
      <c r="D364" s="66"/>
      <c r="E364" s="66"/>
      <c r="F364" s="66"/>
      <c r="G364" s="66"/>
      <c r="H364" s="66"/>
      <c r="I364" s="66"/>
      <c r="J364" s="66"/>
      <c r="K364" s="66"/>
      <c r="L364" s="66"/>
      <c r="M364" s="66"/>
      <c r="N364" s="66"/>
    </row>
    <row r="365" spans="1:14" x14ac:dyDescent="0.2">
      <c r="A365" s="84"/>
      <c r="B365" s="84"/>
      <c r="C365" s="60"/>
      <c r="D365" s="66"/>
      <c r="E365" s="66"/>
      <c r="F365" s="66"/>
      <c r="G365" s="66"/>
      <c r="H365" s="66"/>
      <c r="I365" s="66"/>
      <c r="J365" s="66"/>
      <c r="K365" s="66"/>
      <c r="L365" s="66"/>
      <c r="M365" s="66"/>
      <c r="N365" s="66"/>
    </row>
    <row r="366" spans="1:14" x14ac:dyDescent="0.2">
      <c r="A366" s="84"/>
      <c r="B366" s="84"/>
      <c r="C366" s="60"/>
      <c r="D366" s="66"/>
      <c r="E366" s="66"/>
      <c r="F366" s="66"/>
      <c r="G366" s="66"/>
      <c r="H366" s="66"/>
      <c r="I366" s="66"/>
      <c r="J366" s="66"/>
      <c r="K366" s="66"/>
      <c r="L366" s="66"/>
      <c r="M366" s="66"/>
      <c r="N366" s="66"/>
    </row>
    <row r="367" spans="1:14" x14ac:dyDescent="0.2">
      <c r="A367" s="84"/>
      <c r="B367" s="84"/>
      <c r="C367" s="60"/>
      <c r="D367" s="66"/>
      <c r="E367" s="66"/>
      <c r="F367" s="66"/>
      <c r="G367" s="66"/>
      <c r="H367" s="66"/>
      <c r="I367" s="66"/>
      <c r="J367" s="66"/>
      <c r="K367" s="66"/>
      <c r="L367" s="66"/>
      <c r="M367" s="66"/>
      <c r="N367" s="66"/>
    </row>
    <row r="368" spans="1:14" x14ac:dyDescent="0.2">
      <c r="A368" s="84"/>
      <c r="B368" s="84"/>
      <c r="C368" s="60"/>
      <c r="D368" s="66"/>
      <c r="E368" s="66"/>
      <c r="F368" s="66"/>
      <c r="G368" s="66"/>
      <c r="H368" s="66"/>
      <c r="I368" s="66"/>
      <c r="J368" s="66"/>
      <c r="K368" s="66"/>
      <c r="L368" s="66"/>
      <c r="M368" s="66"/>
      <c r="N368" s="66"/>
    </row>
    <row r="369" spans="1:14" x14ac:dyDescent="0.2">
      <c r="A369" s="84"/>
      <c r="B369" s="84"/>
      <c r="C369" s="60"/>
      <c r="D369" s="66"/>
      <c r="E369" s="66"/>
      <c r="F369" s="66"/>
      <c r="G369" s="66"/>
      <c r="H369" s="66"/>
      <c r="I369" s="66"/>
      <c r="J369" s="66"/>
      <c r="K369" s="66"/>
      <c r="L369" s="66"/>
      <c r="M369" s="66"/>
      <c r="N369" s="66"/>
    </row>
    <row r="370" spans="1:14" x14ac:dyDescent="0.2">
      <c r="A370" s="84"/>
      <c r="B370" s="84"/>
      <c r="C370" s="60"/>
      <c r="D370" s="66"/>
      <c r="E370" s="66"/>
      <c r="F370" s="66"/>
      <c r="G370" s="66"/>
      <c r="H370" s="66"/>
      <c r="I370" s="66"/>
      <c r="J370" s="66"/>
      <c r="K370" s="66"/>
      <c r="L370" s="66"/>
      <c r="M370" s="66"/>
      <c r="N370" s="66"/>
    </row>
    <row r="371" spans="1:14" x14ac:dyDescent="0.2">
      <c r="A371" s="84"/>
      <c r="B371" s="84"/>
      <c r="C371" s="60"/>
      <c r="D371" s="66"/>
      <c r="E371" s="66"/>
      <c r="F371" s="66"/>
      <c r="G371" s="66"/>
      <c r="H371" s="66"/>
      <c r="I371" s="66"/>
      <c r="J371" s="66"/>
      <c r="K371" s="66"/>
      <c r="L371" s="66"/>
      <c r="M371" s="66"/>
      <c r="N371" s="66"/>
    </row>
    <row r="372" spans="1:14" x14ac:dyDescent="0.2">
      <c r="A372" s="84"/>
      <c r="B372" s="84"/>
      <c r="C372" s="60"/>
      <c r="D372" s="66"/>
      <c r="E372" s="66"/>
      <c r="F372" s="66"/>
      <c r="G372" s="66"/>
      <c r="H372" s="66"/>
      <c r="I372" s="66"/>
      <c r="J372" s="66"/>
      <c r="K372" s="66"/>
      <c r="L372" s="66"/>
      <c r="M372" s="66"/>
      <c r="N372" s="66"/>
    </row>
    <row r="373" spans="1:14" x14ac:dyDescent="0.2">
      <c r="A373" s="84"/>
      <c r="B373" s="84"/>
      <c r="C373" s="60"/>
      <c r="D373" s="66"/>
      <c r="E373" s="66"/>
      <c r="F373" s="66"/>
      <c r="G373" s="66"/>
      <c r="H373" s="66"/>
      <c r="I373" s="66"/>
      <c r="J373" s="66"/>
      <c r="K373" s="66"/>
      <c r="L373" s="66"/>
      <c r="M373" s="66"/>
      <c r="N373" s="66"/>
    </row>
    <row r="374" spans="1:14" x14ac:dyDescent="0.2">
      <c r="A374" s="84"/>
      <c r="B374" s="84"/>
      <c r="C374" s="60"/>
      <c r="D374" s="66"/>
      <c r="E374" s="66"/>
      <c r="F374" s="66"/>
      <c r="G374" s="66"/>
      <c r="H374" s="66"/>
      <c r="I374" s="66"/>
      <c r="J374" s="66"/>
      <c r="K374" s="66"/>
      <c r="L374" s="66"/>
      <c r="M374" s="66"/>
      <c r="N374" s="66"/>
    </row>
    <row r="375" spans="1:14" x14ac:dyDescent="0.2">
      <c r="A375" s="84"/>
      <c r="B375" s="84"/>
      <c r="C375" s="60"/>
      <c r="D375" s="66"/>
      <c r="E375" s="66"/>
      <c r="F375" s="66"/>
      <c r="G375" s="66"/>
      <c r="H375" s="66"/>
      <c r="I375" s="66"/>
      <c r="J375" s="66"/>
      <c r="K375" s="66"/>
      <c r="L375" s="66"/>
      <c r="M375" s="66"/>
      <c r="N375" s="66"/>
    </row>
    <row r="376" spans="1:14" x14ac:dyDescent="0.2">
      <c r="A376" s="84"/>
      <c r="B376" s="84"/>
      <c r="C376" s="60"/>
      <c r="D376" s="66"/>
      <c r="E376" s="66"/>
      <c r="F376" s="66"/>
      <c r="G376" s="66"/>
      <c r="H376" s="66"/>
      <c r="I376" s="66"/>
      <c r="J376" s="66"/>
      <c r="K376" s="66"/>
      <c r="L376" s="66"/>
      <c r="M376" s="66"/>
      <c r="N376" s="66"/>
    </row>
    <row r="377" spans="1:14" x14ac:dyDescent="0.2">
      <c r="A377" s="84"/>
      <c r="B377" s="84"/>
      <c r="C377" s="60"/>
      <c r="D377" s="66"/>
      <c r="E377" s="66"/>
      <c r="F377" s="66"/>
      <c r="G377" s="66"/>
      <c r="H377" s="66"/>
      <c r="I377" s="66"/>
      <c r="J377" s="66"/>
      <c r="K377" s="66"/>
      <c r="L377" s="66"/>
      <c r="M377" s="66"/>
      <c r="N377" s="66"/>
    </row>
    <row r="378" spans="1:14" x14ac:dyDescent="0.2">
      <c r="A378" s="84"/>
      <c r="B378" s="84"/>
      <c r="C378" s="60"/>
      <c r="D378" s="66"/>
      <c r="E378" s="66"/>
      <c r="F378" s="66"/>
      <c r="G378" s="66"/>
      <c r="H378" s="66"/>
      <c r="I378" s="66"/>
      <c r="J378" s="66"/>
      <c r="K378" s="66"/>
      <c r="L378" s="66"/>
      <c r="M378" s="66"/>
      <c r="N378" s="66"/>
    </row>
    <row r="379" spans="1:14" x14ac:dyDescent="0.2">
      <c r="A379" s="84"/>
      <c r="B379" s="84"/>
      <c r="C379" s="60"/>
      <c r="D379" s="66"/>
      <c r="E379" s="66"/>
      <c r="F379" s="66"/>
      <c r="G379" s="66"/>
      <c r="H379" s="66"/>
      <c r="I379" s="66"/>
      <c r="J379" s="66"/>
      <c r="K379" s="66"/>
      <c r="L379" s="66"/>
      <c r="M379" s="66"/>
      <c r="N379" s="66"/>
    </row>
    <row r="380" spans="1:14" x14ac:dyDescent="0.2">
      <c r="A380" s="84"/>
      <c r="B380" s="84"/>
      <c r="C380" s="60"/>
      <c r="D380" s="66"/>
      <c r="E380" s="66"/>
      <c r="F380" s="66"/>
      <c r="G380" s="66"/>
      <c r="H380" s="66"/>
      <c r="I380" s="66"/>
      <c r="J380" s="66"/>
      <c r="K380" s="66"/>
      <c r="L380" s="66"/>
      <c r="M380" s="66"/>
      <c r="N380" s="66"/>
    </row>
    <row r="381" spans="1:14" x14ac:dyDescent="0.2">
      <c r="A381" s="84"/>
      <c r="B381" s="84"/>
      <c r="C381" s="60"/>
      <c r="D381" s="66"/>
      <c r="E381" s="66"/>
      <c r="F381" s="66"/>
      <c r="G381" s="66"/>
      <c r="H381" s="66"/>
      <c r="I381" s="66"/>
      <c r="J381" s="66"/>
      <c r="K381" s="66"/>
      <c r="L381" s="66"/>
      <c r="M381" s="66"/>
      <c r="N381" s="66"/>
    </row>
    <row r="382" spans="1:14" x14ac:dyDescent="0.2">
      <c r="A382" s="84"/>
      <c r="B382" s="84"/>
      <c r="C382" s="60"/>
      <c r="D382" s="66"/>
      <c r="E382" s="66"/>
      <c r="F382" s="66"/>
      <c r="G382" s="66"/>
      <c r="H382" s="66"/>
      <c r="I382" s="66"/>
      <c r="J382" s="66"/>
      <c r="K382" s="66"/>
      <c r="L382" s="66"/>
      <c r="M382" s="66"/>
      <c r="N382" s="66"/>
    </row>
    <row r="383" spans="1:14" x14ac:dyDescent="0.2">
      <c r="A383" s="84"/>
      <c r="B383" s="84"/>
      <c r="C383" s="60"/>
      <c r="D383" s="66"/>
      <c r="E383" s="66"/>
      <c r="F383" s="66"/>
      <c r="G383" s="66"/>
      <c r="H383" s="66"/>
      <c r="I383" s="66"/>
      <c r="J383" s="66"/>
      <c r="K383" s="66"/>
      <c r="L383" s="66"/>
      <c r="M383" s="66"/>
      <c r="N383" s="66"/>
    </row>
    <row r="384" spans="1:14" x14ac:dyDescent="0.2">
      <c r="A384" s="84"/>
      <c r="B384" s="84"/>
      <c r="C384" s="60"/>
      <c r="D384" s="66"/>
      <c r="E384" s="66"/>
      <c r="F384" s="66"/>
      <c r="G384" s="66"/>
      <c r="H384" s="66"/>
      <c r="I384" s="66"/>
      <c r="J384" s="66"/>
      <c r="K384" s="66"/>
      <c r="L384" s="66"/>
      <c r="M384" s="66"/>
      <c r="N384" s="66"/>
    </row>
    <row r="385" spans="1:14" x14ac:dyDescent="0.2">
      <c r="A385" s="84"/>
      <c r="B385" s="84"/>
      <c r="C385" s="60"/>
      <c r="D385" s="66"/>
      <c r="E385" s="66"/>
      <c r="F385" s="66"/>
      <c r="G385" s="66"/>
      <c r="H385" s="66"/>
      <c r="I385" s="66"/>
      <c r="J385" s="66"/>
      <c r="K385" s="66"/>
      <c r="L385" s="66"/>
      <c r="M385" s="66"/>
      <c r="N385" s="66"/>
    </row>
    <row r="386" spans="1:14" x14ac:dyDescent="0.2">
      <c r="A386" s="84"/>
      <c r="B386" s="84"/>
      <c r="C386" s="60"/>
      <c r="D386" s="66"/>
      <c r="E386" s="66"/>
      <c r="F386" s="66"/>
      <c r="G386" s="66"/>
      <c r="H386" s="66"/>
      <c r="I386" s="66"/>
      <c r="J386" s="66"/>
      <c r="K386" s="66"/>
      <c r="L386" s="66"/>
      <c r="M386" s="66"/>
      <c r="N386" s="66"/>
    </row>
    <row r="387" spans="1:14" x14ac:dyDescent="0.2">
      <c r="A387" s="84"/>
      <c r="B387" s="84"/>
      <c r="C387" s="60"/>
      <c r="D387" s="66"/>
      <c r="E387" s="66"/>
      <c r="F387" s="66"/>
      <c r="G387" s="66"/>
      <c r="H387" s="66"/>
      <c r="I387" s="66"/>
      <c r="J387" s="66"/>
      <c r="K387" s="66"/>
      <c r="L387" s="66"/>
      <c r="M387" s="66"/>
      <c r="N387" s="66"/>
    </row>
    <row r="388" spans="1:14" x14ac:dyDescent="0.2">
      <c r="A388" s="84"/>
      <c r="B388" s="84"/>
      <c r="C388" s="60"/>
      <c r="D388" s="66"/>
      <c r="E388" s="66"/>
      <c r="F388" s="66"/>
      <c r="G388" s="66"/>
      <c r="H388" s="66"/>
      <c r="I388" s="66"/>
      <c r="J388" s="66"/>
      <c r="K388" s="66"/>
      <c r="L388" s="66"/>
      <c r="M388" s="66"/>
      <c r="N388" s="66"/>
    </row>
    <row r="389" spans="1:14" x14ac:dyDescent="0.2">
      <c r="A389" s="84"/>
      <c r="B389" s="84"/>
      <c r="C389" s="60"/>
      <c r="D389" s="66"/>
      <c r="E389" s="66"/>
      <c r="F389" s="66"/>
      <c r="G389" s="66"/>
      <c r="H389" s="66"/>
      <c r="I389" s="66"/>
      <c r="J389" s="66"/>
      <c r="K389" s="66"/>
      <c r="L389" s="66"/>
      <c r="M389" s="66"/>
      <c r="N389" s="66"/>
    </row>
    <row r="390" spans="1:14" x14ac:dyDescent="0.2">
      <c r="A390" s="84"/>
      <c r="B390" s="84"/>
      <c r="C390" s="60"/>
      <c r="D390" s="66"/>
      <c r="E390" s="66"/>
      <c r="F390" s="66"/>
      <c r="G390" s="66"/>
      <c r="H390" s="66"/>
      <c r="I390" s="66"/>
      <c r="J390" s="66"/>
      <c r="K390" s="66"/>
      <c r="L390" s="66"/>
      <c r="M390" s="66"/>
      <c r="N390" s="66"/>
    </row>
    <row r="391" spans="1:14" x14ac:dyDescent="0.2">
      <c r="A391" s="84"/>
      <c r="B391" s="84"/>
      <c r="C391" s="60"/>
      <c r="D391" s="66"/>
      <c r="E391" s="66"/>
      <c r="F391" s="66"/>
      <c r="G391" s="66"/>
      <c r="H391" s="66"/>
      <c r="I391" s="66"/>
      <c r="J391" s="66"/>
      <c r="K391" s="66"/>
      <c r="L391" s="66"/>
      <c r="M391" s="66"/>
      <c r="N391" s="66"/>
    </row>
    <row r="392" spans="1:14" x14ac:dyDescent="0.2">
      <c r="A392" s="84"/>
      <c r="B392" s="84"/>
      <c r="C392" s="60"/>
      <c r="D392" s="66"/>
      <c r="E392" s="66"/>
      <c r="F392" s="66"/>
      <c r="G392" s="66"/>
      <c r="H392" s="66"/>
      <c r="I392" s="66"/>
      <c r="J392" s="66"/>
      <c r="K392" s="66"/>
      <c r="L392" s="66"/>
      <c r="M392" s="66"/>
      <c r="N392" s="66"/>
    </row>
    <row r="393" spans="1:14" x14ac:dyDescent="0.2">
      <c r="A393" s="84"/>
      <c r="B393" s="84"/>
      <c r="C393" s="60"/>
      <c r="D393" s="66"/>
      <c r="E393" s="66"/>
      <c r="F393" s="66"/>
      <c r="G393" s="66"/>
      <c r="H393" s="66"/>
      <c r="I393" s="66"/>
      <c r="J393" s="66"/>
      <c r="K393" s="66"/>
      <c r="L393" s="66"/>
      <c r="M393" s="66"/>
      <c r="N393" s="66"/>
    </row>
    <row r="394" spans="1:14" x14ac:dyDescent="0.2">
      <c r="A394" s="84"/>
      <c r="B394" s="84"/>
      <c r="C394" s="60"/>
      <c r="D394" s="66"/>
      <c r="E394" s="66"/>
      <c r="F394" s="66"/>
      <c r="G394" s="66"/>
      <c r="H394" s="66"/>
      <c r="I394" s="66"/>
      <c r="J394" s="66"/>
      <c r="K394" s="66"/>
      <c r="L394" s="66"/>
      <c r="M394" s="66"/>
      <c r="N394" s="66"/>
    </row>
    <row r="395" spans="1:14" x14ac:dyDescent="0.2">
      <c r="A395" s="84"/>
      <c r="B395" s="84"/>
      <c r="C395" s="60"/>
      <c r="D395" s="66"/>
      <c r="E395" s="66"/>
      <c r="F395" s="66"/>
      <c r="G395" s="66"/>
      <c r="H395" s="66"/>
      <c r="I395" s="66"/>
      <c r="J395" s="66"/>
      <c r="K395" s="66"/>
      <c r="L395" s="66"/>
      <c r="M395" s="66"/>
      <c r="N395" s="66"/>
    </row>
    <row r="396" spans="1:14" x14ac:dyDescent="0.2">
      <c r="A396" s="84"/>
      <c r="B396" s="84"/>
      <c r="C396" s="60"/>
      <c r="D396" s="66"/>
      <c r="E396" s="66"/>
      <c r="F396" s="66"/>
      <c r="G396" s="66"/>
      <c r="H396" s="66"/>
      <c r="I396" s="66"/>
      <c r="J396" s="66"/>
      <c r="K396" s="66"/>
      <c r="L396" s="66"/>
      <c r="M396" s="66"/>
      <c r="N396" s="66"/>
    </row>
    <row r="397" spans="1:14" x14ac:dyDescent="0.2">
      <c r="A397" s="84"/>
      <c r="B397" s="84"/>
      <c r="C397" s="60"/>
      <c r="D397" s="66"/>
      <c r="E397" s="66"/>
      <c r="F397" s="66"/>
      <c r="G397" s="66"/>
      <c r="H397" s="66"/>
      <c r="I397" s="66"/>
      <c r="J397" s="66"/>
      <c r="K397" s="66"/>
      <c r="L397" s="66"/>
      <c r="M397" s="66"/>
      <c r="N397" s="66"/>
    </row>
    <row r="398" spans="1:14" x14ac:dyDescent="0.2">
      <c r="A398" s="84"/>
      <c r="B398" s="84"/>
      <c r="C398" s="60"/>
      <c r="D398" s="66"/>
      <c r="E398" s="66"/>
      <c r="F398" s="66"/>
      <c r="G398" s="66"/>
      <c r="H398" s="66"/>
      <c r="I398" s="66"/>
      <c r="J398" s="66"/>
      <c r="K398" s="66"/>
      <c r="L398" s="66"/>
      <c r="M398" s="66"/>
      <c r="N398" s="66"/>
    </row>
    <row r="399" spans="1:14" x14ac:dyDescent="0.2">
      <c r="A399" s="84"/>
      <c r="B399" s="84"/>
      <c r="C399" s="60"/>
      <c r="D399" s="66"/>
      <c r="E399" s="66"/>
      <c r="F399" s="66"/>
      <c r="G399" s="66"/>
      <c r="H399" s="66"/>
      <c r="I399" s="66"/>
      <c r="J399" s="66"/>
      <c r="K399" s="66"/>
      <c r="L399" s="66"/>
      <c r="M399" s="66"/>
      <c r="N399" s="66"/>
    </row>
    <row r="400" spans="1:14" x14ac:dyDescent="0.2">
      <c r="A400" s="84"/>
      <c r="B400" s="84"/>
      <c r="C400" s="60"/>
      <c r="D400" s="66"/>
      <c r="E400" s="66"/>
      <c r="F400" s="66"/>
      <c r="G400" s="66"/>
      <c r="H400" s="66"/>
      <c r="I400" s="66"/>
      <c r="J400" s="66"/>
      <c r="K400" s="66"/>
      <c r="L400" s="66"/>
      <c r="M400" s="66"/>
      <c r="N400" s="66"/>
    </row>
    <row r="401" spans="1:14" x14ac:dyDescent="0.2">
      <c r="A401" s="84"/>
      <c r="B401" s="84"/>
      <c r="C401" s="60"/>
      <c r="D401" s="66"/>
      <c r="E401" s="66"/>
      <c r="F401" s="66"/>
      <c r="G401" s="66"/>
      <c r="H401" s="66"/>
      <c r="I401" s="66"/>
      <c r="J401" s="66"/>
      <c r="K401" s="66"/>
      <c r="L401" s="66"/>
      <c r="M401" s="66"/>
      <c r="N401" s="66"/>
    </row>
    <row r="402" spans="1:14" x14ac:dyDescent="0.2">
      <c r="A402" s="84"/>
      <c r="B402" s="84"/>
      <c r="C402" s="60"/>
      <c r="D402" s="66"/>
      <c r="E402" s="66"/>
      <c r="F402" s="66"/>
      <c r="G402" s="66"/>
      <c r="H402" s="66"/>
      <c r="I402" s="66"/>
      <c r="J402" s="66"/>
      <c r="K402" s="66"/>
      <c r="L402" s="66"/>
      <c r="M402" s="66"/>
      <c r="N402" s="66"/>
    </row>
    <row r="403" spans="1:14" x14ac:dyDescent="0.2">
      <c r="A403" s="84"/>
      <c r="B403" s="84"/>
      <c r="C403" s="60"/>
      <c r="D403" s="66"/>
      <c r="E403" s="66"/>
      <c r="F403" s="66"/>
      <c r="G403" s="66"/>
      <c r="H403" s="66"/>
      <c r="I403" s="66"/>
      <c r="J403" s="66"/>
      <c r="K403" s="66"/>
      <c r="L403" s="66"/>
      <c r="M403" s="66"/>
      <c r="N403" s="66"/>
    </row>
    <row r="404" spans="1:14" x14ac:dyDescent="0.2">
      <c r="A404" s="84"/>
      <c r="B404" s="84"/>
      <c r="C404" s="60"/>
      <c r="D404" s="66"/>
      <c r="E404" s="66"/>
      <c r="F404" s="66"/>
      <c r="G404" s="66"/>
      <c r="H404" s="66"/>
      <c r="I404" s="66"/>
      <c r="J404" s="66"/>
      <c r="K404" s="66"/>
      <c r="L404" s="66"/>
      <c r="M404" s="66"/>
      <c r="N404" s="66"/>
    </row>
    <row r="405" spans="1:14" x14ac:dyDescent="0.2">
      <c r="A405" s="84"/>
      <c r="B405" s="84"/>
      <c r="C405" s="60"/>
      <c r="D405" s="66"/>
      <c r="E405" s="66"/>
      <c r="F405" s="66"/>
      <c r="G405" s="66"/>
      <c r="H405" s="66"/>
      <c r="I405" s="66"/>
      <c r="J405" s="66"/>
      <c r="K405" s="66"/>
      <c r="L405" s="66"/>
      <c r="M405" s="66"/>
      <c r="N405" s="66"/>
    </row>
    <row r="406" spans="1:14" x14ac:dyDescent="0.2">
      <c r="A406" s="84"/>
      <c r="B406" s="84"/>
      <c r="C406" s="60"/>
      <c r="D406" s="66"/>
      <c r="E406" s="66"/>
      <c r="F406" s="66"/>
      <c r="G406" s="66"/>
      <c r="H406" s="66"/>
      <c r="I406" s="66"/>
      <c r="J406" s="66"/>
      <c r="K406" s="66"/>
      <c r="L406" s="66"/>
      <c r="M406" s="66"/>
      <c r="N406" s="66"/>
    </row>
    <row r="407" spans="1:14" x14ac:dyDescent="0.2">
      <c r="A407" s="84"/>
      <c r="B407" s="84"/>
      <c r="C407" s="60"/>
      <c r="D407" s="66"/>
      <c r="E407" s="66"/>
      <c r="F407" s="66"/>
      <c r="G407" s="66"/>
      <c r="H407" s="66"/>
      <c r="I407" s="66"/>
      <c r="J407" s="66"/>
      <c r="K407" s="66"/>
      <c r="L407" s="66"/>
      <c r="M407" s="66"/>
      <c r="N407" s="66"/>
    </row>
    <row r="408" spans="1:14" x14ac:dyDescent="0.2">
      <c r="A408" s="84"/>
      <c r="B408" s="84"/>
      <c r="C408" s="60"/>
      <c r="D408" s="66"/>
      <c r="E408" s="66"/>
      <c r="F408" s="66"/>
      <c r="G408" s="66"/>
      <c r="H408" s="66"/>
      <c r="I408" s="66"/>
      <c r="J408" s="66"/>
      <c r="K408" s="66"/>
      <c r="L408" s="66"/>
      <c r="M408" s="66"/>
      <c r="N408" s="66"/>
    </row>
    <row r="409" spans="1:14" x14ac:dyDescent="0.2">
      <c r="A409" s="84"/>
      <c r="B409" s="84"/>
      <c r="C409" s="60"/>
      <c r="D409" s="66"/>
      <c r="E409" s="66"/>
      <c r="F409" s="66"/>
      <c r="G409" s="66"/>
      <c r="H409" s="66"/>
      <c r="I409" s="66"/>
      <c r="J409" s="66"/>
      <c r="K409" s="66"/>
      <c r="L409" s="66"/>
      <c r="M409" s="66"/>
      <c r="N409" s="66"/>
    </row>
    <row r="410" spans="1:14" x14ac:dyDescent="0.2">
      <c r="A410" s="84"/>
      <c r="B410" s="84"/>
      <c r="C410" s="60"/>
      <c r="D410" s="66"/>
      <c r="E410" s="66"/>
      <c r="F410" s="66"/>
      <c r="G410" s="66"/>
      <c r="H410" s="66"/>
      <c r="I410" s="66"/>
      <c r="J410" s="66"/>
      <c r="K410" s="66"/>
      <c r="L410" s="66"/>
      <c r="M410" s="66"/>
      <c r="N410" s="66"/>
    </row>
    <row r="411" spans="1:14" x14ac:dyDescent="0.2">
      <c r="A411" s="84"/>
      <c r="B411" s="84"/>
      <c r="C411" s="60"/>
      <c r="D411" s="66"/>
      <c r="E411" s="66"/>
      <c r="F411" s="66"/>
      <c r="G411" s="66"/>
      <c r="H411" s="66"/>
      <c r="I411" s="66"/>
      <c r="J411" s="66"/>
      <c r="K411" s="66"/>
      <c r="L411" s="66"/>
      <c r="M411" s="66"/>
      <c r="N411" s="66"/>
    </row>
    <row r="412" spans="1:14" x14ac:dyDescent="0.2">
      <c r="A412" s="84"/>
      <c r="B412" s="84"/>
      <c r="C412" s="60"/>
      <c r="D412" s="66"/>
      <c r="E412" s="66"/>
      <c r="F412" s="66"/>
      <c r="G412" s="66"/>
      <c r="H412" s="66"/>
      <c r="I412" s="66"/>
      <c r="J412" s="66"/>
      <c r="K412" s="66"/>
      <c r="L412" s="66"/>
      <c r="M412" s="66"/>
      <c r="N412" s="66"/>
    </row>
    <row r="413" spans="1:14" x14ac:dyDescent="0.2">
      <c r="A413" s="84"/>
      <c r="B413" s="84"/>
      <c r="C413" s="60"/>
      <c r="D413" s="66"/>
      <c r="E413" s="66"/>
      <c r="F413" s="66"/>
      <c r="G413" s="66"/>
      <c r="H413" s="66"/>
      <c r="I413" s="66"/>
      <c r="J413" s="66"/>
      <c r="K413" s="66"/>
      <c r="L413" s="66"/>
      <c r="M413" s="66"/>
      <c r="N413" s="66"/>
    </row>
    <row r="414" spans="1:14" x14ac:dyDescent="0.2">
      <c r="A414" s="84"/>
      <c r="B414" s="84"/>
      <c r="C414" s="60"/>
      <c r="D414" s="66"/>
      <c r="E414" s="66"/>
      <c r="F414" s="66"/>
      <c r="G414" s="66"/>
      <c r="H414" s="66"/>
      <c r="I414" s="66"/>
      <c r="J414" s="66"/>
      <c r="K414" s="66"/>
      <c r="L414" s="66"/>
      <c r="M414" s="66"/>
      <c r="N414" s="66"/>
    </row>
    <row r="415" spans="1:14" x14ac:dyDescent="0.2">
      <c r="A415" s="84"/>
      <c r="B415" s="84"/>
      <c r="C415" s="60"/>
      <c r="D415" s="66"/>
      <c r="E415" s="66"/>
      <c r="F415" s="66"/>
      <c r="G415" s="66"/>
      <c r="H415" s="66"/>
      <c r="I415" s="66"/>
      <c r="J415" s="66"/>
      <c r="K415" s="66"/>
      <c r="L415" s="66"/>
      <c r="M415" s="66"/>
      <c r="N415" s="66"/>
    </row>
    <row r="416" spans="1:14" x14ac:dyDescent="0.2">
      <c r="A416" s="84"/>
      <c r="B416" s="84"/>
      <c r="C416" s="60"/>
      <c r="D416" s="66"/>
      <c r="E416" s="66"/>
      <c r="F416" s="66"/>
      <c r="G416" s="66"/>
      <c r="H416" s="66"/>
      <c r="I416" s="66"/>
      <c r="J416" s="66"/>
      <c r="K416" s="66"/>
      <c r="L416" s="66"/>
      <c r="M416" s="66"/>
      <c r="N416" s="66"/>
    </row>
    <row r="417" spans="1:14" x14ac:dyDescent="0.2">
      <c r="A417" s="84"/>
      <c r="B417" s="84"/>
      <c r="C417" s="60"/>
      <c r="D417" s="66"/>
      <c r="E417" s="66"/>
      <c r="F417" s="66"/>
      <c r="G417" s="66"/>
      <c r="H417" s="66"/>
      <c r="I417" s="66"/>
      <c r="J417" s="66"/>
      <c r="K417" s="66"/>
      <c r="L417" s="66"/>
      <c r="M417" s="66"/>
      <c r="N417" s="66"/>
    </row>
    <row r="418" spans="1:14" x14ac:dyDescent="0.2">
      <c r="A418" s="84"/>
      <c r="B418" s="84"/>
      <c r="C418" s="60"/>
      <c r="D418" s="66"/>
      <c r="E418" s="66"/>
      <c r="F418" s="66"/>
      <c r="G418" s="66"/>
      <c r="H418" s="66"/>
      <c r="I418" s="66"/>
      <c r="J418" s="66"/>
      <c r="K418" s="66"/>
      <c r="L418" s="66"/>
      <c r="M418" s="66"/>
      <c r="N418" s="66"/>
    </row>
    <row r="419" spans="1:14" x14ac:dyDescent="0.2">
      <c r="A419" s="84"/>
      <c r="B419" s="84"/>
      <c r="C419" s="60"/>
      <c r="D419" s="66"/>
      <c r="E419" s="66"/>
      <c r="F419" s="66"/>
      <c r="G419" s="66"/>
      <c r="H419" s="66"/>
      <c r="I419" s="66"/>
      <c r="J419" s="66"/>
      <c r="K419" s="66"/>
      <c r="L419" s="66"/>
      <c r="M419" s="66"/>
      <c r="N419" s="66"/>
    </row>
    <row r="420" spans="1:14" x14ac:dyDescent="0.2">
      <c r="A420" s="84"/>
      <c r="B420" s="84"/>
      <c r="C420" s="60"/>
      <c r="D420" s="66"/>
      <c r="E420" s="66"/>
      <c r="F420" s="66"/>
      <c r="G420" s="66"/>
      <c r="H420" s="66"/>
      <c r="I420" s="66"/>
      <c r="J420" s="66"/>
      <c r="K420" s="66"/>
      <c r="L420" s="66"/>
      <c r="M420" s="66"/>
      <c r="N420" s="66"/>
    </row>
    <row r="421" spans="1:14" x14ac:dyDescent="0.2">
      <c r="A421" s="84"/>
      <c r="B421" s="84"/>
      <c r="C421" s="60"/>
      <c r="D421" s="66"/>
      <c r="E421" s="66"/>
      <c r="F421" s="66"/>
      <c r="G421" s="66"/>
      <c r="H421" s="66"/>
      <c r="I421" s="66"/>
      <c r="J421" s="66"/>
      <c r="K421" s="66"/>
      <c r="L421" s="66"/>
      <c r="M421" s="66"/>
      <c r="N421" s="66"/>
    </row>
    <row r="422" spans="1:14" x14ac:dyDescent="0.2">
      <c r="A422" s="84"/>
      <c r="B422" s="84"/>
      <c r="C422" s="60"/>
      <c r="D422" s="66"/>
      <c r="E422" s="66"/>
      <c r="F422" s="66"/>
      <c r="G422" s="66"/>
      <c r="H422" s="66"/>
      <c r="I422" s="66"/>
      <c r="J422" s="66"/>
      <c r="K422" s="66"/>
      <c r="L422" s="66"/>
      <c r="M422" s="66"/>
      <c r="N422" s="66"/>
    </row>
    <row r="423" spans="1:14" x14ac:dyDescent="0.2">
      <c r="A423" s="84"/>
      <c r="B423" s="84"/>
      <c r="C423" s="60"/>
      <c r="D423" s="66"/>
      <c r="E423" s="66"/>
      <c r="F423" s="66"/>
      <c r="G423" s="66"/>
      <c r="H423" s="66"/>
      <c r="I423" s="66"/>
      <c r="J423" s="66"/>
      <c r="K423" s="66"/>
      <c r="L423" s="66"/>
      <c r="M423" s="66"/>
      <c r="N423" s="66"/>
    </row>
    <row r="424" spans="1:14" x14ac:dyDescent="0.2">
      <c r="A424" s="84"/>
      <c r="B424" s="84"/>
      <c r="C424" s="60"/>
      <c r="D424" s="66"/>
      <c r="E424" s="66"/>
      <c r="F424" s="66"/>
      <c r="G424" s="66"/>
      <c r="H424" s="66"/>
      <c r="I424" s="66"/>
      <c r="J424" s="66"/>
      <c r="K424" s="66"/>
      <c r="L424" s="66"/>
      <c r="M424" s="66"/>
      <c r="N424" s="66"/>
    </row>
    <row r="425" spans="1:14" x14ac:dyDescent="0.2">
      <c r="A425" s="84"/>
      <c r="B425" s="84"/>
      <c r="C425" s="60"/>
      <c r="D425" s="66"/>
      <c r="E425" s="66"/>
      <c r="F425" s="66"/>
      <c r="G425" s="66"/>
      <c r="H425" s="66"/>
      <c r="I425" s="66"/>
      <c r="J425" s="66"/>
      <c r="K425" s="66"/>
      <c r="L425" s="66"/>
      <c r="M425" s="66"/>
      <c r="N425" s="66"/>
    </row>
    <row r="426" spans="1:14" x14ac:dyDescent="0.2">
      <c r="A426" s="84"/>
      <c r="B426" s="84"/>
      <c r="C426" s="60"/>
      <c r="D426" s="66"/>
      <c r="E426" s="66"/>
      <c r="F426" s="66"/>
      <c r="G426" s="66"/>
      <c r="H426" s="66"/>
      <c r="I426" s="66"/>
      <c r="J426" s="66"/>
      <c r="K426" s="66"/>
      <c r="L426" s="66"/>
      <c r="M426" s="66"/>
      <c r="N426" s="66"/>
    </row>
    <row r="427" spans="1:14" x14ac:dyDescent="0.2">
      <c r="A427" s="84"/>
      <c r="B427" s="84"/>
      <c r="C427" s="60"/>
      <c r="D427" s="66"/>
      <c r="E427" s="66"/>
      <c r="F427" s="66"/>
      <c r="G427" s="66"/>
      <c r="H427" s="66"/>
      <c r="I427" s="66"/>
      <c r="J427" s="66"/>
      <c r="K427" s="66"/>
      <c r="L427" s="66"/>
      <c r="M427" s="66"/>
      <c r="N427" s="66"/>
    </row>
    <row r="428" spans="1:14" x14ac:dyDescent="0.2">
      <c r="A428" s="84"/>
      <c r="B428" s="84"/>
      <c r="C428" s="60"/>
      <c r="D428" s="66"/>
      <c r="E428" s="66"/>
      <c r="F428" s="66"/>
      <c r="G428" s="66"/>
      <c r="H428" s="66"/>
      <c r="I428" s="66"/>
      <c r="J428" s="66"/>
      <c r="K428" s="66"/>
      <c r="L428" s="66"/>
      <c r="M428" s="66"/>
      <c r="N428" s="66"/>
    </row>
    <row r="429" spans="1:14" x14ac:dyDescent="0.2">
      <c r="A429" s="84"/>
      <c r="B429" s="84"/>
      <c r="C429" s="60"/>
      <c r="D429" s="66"/>
      <c r="E429" s="66"/>
      <c r="F429" s="66"/>
      <c r="G429" s="66"/>
      <c r="H429" s="66"/>
      <c r="I429" s="66"/>
      <c r="J429" s="66"/>
      <c r="K429" s="66"/>
      <c r="L429" s="66"/>
      <c r="M429" s="66"/>
      <c r="N429" s="66"/>
    </row>
    <row r="430" spans="1:14" x14ac:dyDescent="0.2">
      <c r="A430" s="84"/>
      <c r="B430" s="84"/>
      <c r="C430" s="60"/>
      <c r="D430" s="66"/>
      <c r="E430" s="66"/>
      <c r="F430" s="66"/>
      <c r="G430" s="66"/>
      <c r="H430" s="66"/>
      <c r="I430" s="66"/>
      <c r="J430" s="66"/>
      <c r="K430" s="66"/>
      <c r="L430" s="66"/>
      <c r="M430" s="66"/>
      <c r="N430" s="66"/>
    </row>
    <row r="431" spans="1:14" x14ac:dyDescent="0.2">
      <c r="A431" s="84"/>
      <c r="B431" s="84"/>
      <c r="C431" s="60"/>
      <c r="D431" s="66"/>
      <c r="E431" s="66"/>
      <c r="F431" s="66"/>
      <c r="G431" s="66"/>
      <c r="H431" s="66"/>
      <c r="I431" s="66"/>
      <c r="J431" s="66"/>
      <c r="K431" s="66"/>
      <c r="L431" s="66"/>
      <c r="M431" s="66"/>
      <c r="N431" s="66"/>
    </row>
    <row r="432" spans="1:14" x14ac:dyDescent="0.2">
      <c r="A432" s="84"/>
      <c r="B432" s="84"/>
      <c r="C432" s="60"/>
      <c r="D432" s="66"/>
      <c r="E432" s="66"/>
      <c r="F432" s="66"/>
      <c r="G432" s="66"/>
      <c r="H432" s="66"/>
      <c r="I432" s="66"/>
      <c r="J432" s="66"/>
      <c r="K432" s="66"/>
      <c r="L432" s="66"/>
      <c r="M432" s="66"/>
      <c r="N432" s="66"/>
    </row>
    <row r="433" spans="1:14" x14ac:dyDescent="0.2">
      <c r="A433" s="84"/>
      <c r="B433" s="84"/>
      <c r="C433" s="60"/>
      <c r="D433" s="66"/>
      <c r="E433" s="66"/>
      <c r="F433" s="66"/>
      <c r="G433" s="66"/>
      <c r="H433" s="66"/>
      <c r="I433" s="66"/>
      <c r="J433" s="66"/>
      <c r="K433" s="66"/>
      <c r="L433" s="66"/>
      <c r="M433" s="66"/>
      <c r="N433" s="66"/>
    </row>
    <row r="434" spans="1:14" x14ac:dyDescent="0.2">
      <c r="A434" s="84"/>
      <c r="B434" s="84"/>
      <c r="C434" s="60"/>
      <c r="D434" s="66"/>
      <c r="E434" s="66"/>
      <c r="F434" s="66"/>
      <c r="G434" s="66"/>
      <c r="H434" s="66"/>
      <c r="I434" s="66"/>
      <c r="J434" s="66"/>
      <c r="K434" s="66"/>
      <c r="L434" s="66"/>
      <c r="M434" s="66"/>
      <c r="N434" s="66"/>
    </row>
    <row r="435" spans="1:14" x14ac:dyDescent="0.2">
      <c r="A435" s="84"/>
      <c r="B435" s="84"/>
      <c r="C435" s="60"/>
      <c r="D435" s="66"/>
      <c r="E435" s="66"/>
      <c r="F435" s="66"/>
      <c r="G435" s="66"/>
      <c r="H435" s="66"/>
      <c r="I435" s="66"/>
      <c r="J435" s="66"/>
      <c r="K435" s="66"/>
      <c r="L435" s="66"/>
      <c r="M435" s="66"/>
      <c r="N435" s="66"/>
    </row>
    <row r="436" spans="1:14" x14ac:dyDescent="0.2">
      <c r="A436" s="84"/>
      <c r="B436" s="84"/>
      <c r="C436" s="60"/>
      <c r="D436" s="66"/>
      <c r="E436" s="66"/>
      <c r="F436" s="66"/>
      <c r="G436" s="66"/>
      <c r="H436" s="66"/>
      <c r="I436" s="66"/>
      <c r="J436" s="66"/>
      <c r="K436" s="66"/>
      <c r="L436" s="66"/>
      <c r="M436" s="66"/>
      <c r="N436" s="66"/>
    </row>
    <row r="437" spans="1:14" x14ac:dyDescent="0.2">
      <c r="A437" s="84"/>
      <c r="B437" s="84"/>
      <c r="C437" s="60"/>
      <c r="D437" s="66"/>
      <c r="E437" s="66"/>
      <c r="F437" s="66"/>
      <c r="G437" s="66"/>
      <c r="H437" s="66"/>
      <c r="I437" s="66"/>
      <c r="J437" s="66"/>
      <c r="K437" s="66"/>
      <c r="L437" s="66"/>
      <c r="M437" s="66"/>
      <c r="N437" s="66"/>
    </row>
    <row r="438" spans="1:14" x14ac:dyDescent="0.2">
      <c r="A438" s="84"/>
      <c r="B438" s="84"/>
      <c r="C438" s="60"/>
      <c r="D438" s="66"/>
      <c r="E438" s="66"/>
      <c r="F438" s="66"/>
      <c r="G438" s="66"/>
      <c r="H438" s="66"/>
      <c r="I438" s="66"/>
      <c r="J438" s="66"/>
      <c r="K438" s="66"/>
      <c r="L438" s="66"/>
      <c r="M438" s="66"/>
      <c r="N438" s="66"/>
    </row>
    <row r="439" spans="1:14" x14ac:dyDescent="0.2">
      <c r="A439" s="84"/>
      <c r="B439" s="84"/>
      <c r="C439" s="60"/>
      <c r="D439" s="66"/>
      <c r="E439" s="66"/>
      <c r="F439" s="66"/>
      <c r="G439" s="66"/>
      <c r="H439" s="66"/>
      <c r="I439" s="66"/>
      <c r="J439" s="66"/>
      <c r="K439" s="66"/>
      <c r="L439" s="66"/>
      <c r="M439" s="66"/>
      <c r="N439" s="66"/>
    </row>
    <row r="440" spans="1:14" x14ac:dyDescent="0.2">
      <c r="A440" s="84"/>
      <c r="B440" s="84"/>
      <c r="C440" s="60"/>
      <c r="D440" s="66"/>
      <c r="E440" s="66"/>
      <c r="F440" s="66"/>
      <c r="G440" s="66"/>
      <c r="H440" s="66"/>
      <c r="I440" s="66"/>
      <c r="J440" s="66"/>
      <c r="K440" s="66"/>
      <c r="L440" s="66"/>
      <c r="M440" s="66"/>
      <c r="N440" s="66"/>
    </row>
    <row r="441" spans="1:14" x14ac:dyDescent="0.2">
      <c r="A441" s="84"/>
      <c r="B441" s="84"/>
      <c r="C441" s="60"/>
      <c r="D441" s="66"/>
      <c r="E441" s="66"/>
      <c r="F441" s="66"/>
      <c r="G441" s="66"/>
      <c r="H441" s="66"/>
      <c r="I441" s="66"/>
      <c r="J441" s="66"/>
      <c r="K441" s="66"/>
      <c r="L441" s="66"/>
      <c r="M441" s="66"/>
      <c r="N441" s="66"/>
    </row>
    <row r="442" spans="1:14" x14ac:dyDescent="0.2">
      <c r="A442" s="84"/>
      <c r="B442" s="84"/>
      <c r="C442" s="60"/>
      <c r="D442" s="66"/>
      <c r="E442" s="66"/>
      <c r="F442" s="66"/>
      <c r="G442" s="66"/>
      <c r="H442" s="66"/>
      <c r="I442" s="66"/>
      <c r="J442" s="66"/>
      <c r="K442" s="66"/>
      <c r="L442" s="66"/>
      <c r="M442" s="66"/>
      <c r="N442" s="66"/>
    </row>
    <row r="443" spans="1:14" x14ac:dyDescent="0.2">
      <c r="A443" s="84"/>
      <c r="B443" s="84"/>
      <c r="C443" s="60"/>
      <c r="D443" s="66"/>
      <c r="E443" s="66"/>
      <c r="F443" s="66"/>
      <c r="G443" s="66"/>
      <c r="H443" s="66"/>
      <c r="I443" s="66"/>
      <c r="J443" s="66"/>
      <c r="K443" s="66"/>
      <c r="L443" s="66"/>
      <c r="M443" s="66"/>
      <c r="N443" s="66"/>
    </row>
    <row r="444" spans="1:14" x14ac:dyDescent="0.2">
      <c r="A444" s="84"/>
      <c r="B444" s="84"/>
      <c r="C444" s="60"/>
      <c r="D444" s="66"/>
      <c r="E444" s="66"/>
      <c r="F444" s="66"/>
      <c r="G444" s="66"/>
      <c r="H444" s="66"/>
      <c r="I444" s="66"/>
      <c r="J444" s="66"/>
      <c r="K444" s="66"/>
      <c r="L444" s="66"/>
      <c r="M444" s="66"/>
      <c r="N444" s="66"/>
    </row>
    <row r="445" spans="1:14" x14ac:dyDescent="0.2">
      <c r="A445" s="84"/>
      <c r="B445" s="84"/>
      <c r="C445" s="60"/>
      <c r="D445" s="66"/>
      <c r="E445" s="66"/>
      <c r="F445" s="66"/>
      <c r="G445" s="66"/>
      <c r="H445" s="66"/>
      <c r="I445" s="66"/>
      <c r="J445" s="66"/>
      <c r="K445" s="66"/>
      <c r="L445" s="66"/>
      <c r="M445" s="66"/>
      <c r="N445" s="66"/>
    </row>
    <row r="446" spans="1:14" x14ac:dyDescent="0.2">
      <c r="A446" s="84"/>
      <c r="B446" s="84"/>
      <c r="C446" s="60"/>
      <c r="D446" s="66"/>
      <c r="E446" s="66"/>
      <c r="F446" s="66"/>
      <c r="G446" s="66"/>
      <c r="H446" s="66"/>
      <c r="I446" s="66"/>
      <c r="J446" s="66"/>
      <c r="K446" s="66"/>
      <c r="L446" s="66"/>
      <c r="M446" s="66"/>
      <c r="N446" s="66"/>
    </row>
    <row r="447" spans="1:14" x14ac:dyDescent="0.2">
      <c r="A447" s="84"/>
      <c r="B447" s="84"/>
      <c r="C447" s="60"/>
      <c r="D447" s="66"/>
      <c r="E447" s="66"/>
      <c r="F447" s="66"/>
      <c r="G447" s="66"/>
      <c r="H447" s="66"/>
      <c r="I447" s="66"/>
      <c r="J447" s="66"/>
      <c r="K447" s="66"/>
      <c r="L447" s="66"/>
      <c r="M447" s="66"/>
      <c r="N447" s="66"/>
    </row>
    <row r="448" spans="1:14" x14ac:dyDescent="0.2">
      <c r="A448" s="84"/>
      <c r="B448" s="84"/>
      <c r="C448" s="60"/>
      <c r="D448" s="66"/>
      <c r="E448" s="66"/>
      <c r="F448" s="66"/>
      <c r="G448" s="66"/>
      <c r="H448" s="66"/>
      <c r="I448" s="66"/>
      <c r="J448" s="66"/>
      <c r="K448" s="66"/>
      <c r="L448" s="66"/>
      <c r="M448" s="66"/>
      <c r="N448" s="66"/>
    </row>
    <row r="449" spans="1:14" x14ac:dyDescent="0.2">
      <c r="A449" s="84"/>
      <c r="B449" s="84"/>
      <c r="C449" s="60"/>
      <c r="D449" s="66"/>
      <c r="E449" s="66"/>
      <c r="F449" s="66"/>
      <c r="G449" s="66"/>
      <c r="H449" s="66"/>
      <c r="I449" s="66"/>
      <c r="J449" s="66"/>
      <c r="K449" s="66"/>
      <c r="L449" s="66"/>
      <c r="M449" s="66"/>
      <c r="N449" s="66"/>
    </row>
    <row r="450" spans="1:14" x14ac:dyDescent="0.2">
      <c r="A450" s="84"/>
      <c r="B450" s="84"/>
      <c r="C450" s="60"/>
      <c r="D450" s="66"/>
      <c r="E450" s="66"/>
      <c r="F450" s="66"/>
      <c r="G450" s="66"/>
      <c r="H450" s="66"/>
      <c r="I450" s="66"/>
      <c r="J450" s="66"/>
      <c r="K450" s="66"/>
      <c r="L450" s="66"/>
      <c r="M450" s="66"/>
      <c r="N450" s="66"/>
    </row>
    <row r="451" spans="1:14" x14ac:dyDescent="0.2">
      <c r="A451" s="84"/>
      <c r="B451" s="84"/>
      <c r="C451" s="60"/>
      <c r="D451" s="66"/>
      <c r="E451" s="66"/>
      <c r="F451" s="66"/>
      <c r="G451" s="66"/>
      <c r="H451" s="66"/>
      <c r="I451" s="66"/>
      <c r="J451" s="66"/>
      <c r="K451" s="66"/>
      <c r="L451" s="66"/>
      <c r="M451" s="66"/>
      <c r="N451" s="66"/>
    </row>
    <row r="452" spans="1:14" x14ac:dyDescent="0.2">
      <c r="A452" s="84"/>
      <c r="B452" s="84"/>
      <c r="C452" s="60"/>
      <c r="D452" s="66"/>
      <c r="E452" s="66"/>
      <c r="F452" s="66"/>
      <c r="G452" s="66"/>
      <c r="H452" s="66"/>
      <c r="I452" s="66"/>
      <c r="J452" s="66"/>
      <c r="K452" s="66"/>
      <c r="L452" s="66"/>
      <c r="M452" s="66"/>
      <c r="N452" s="66"/>
    </row>
    <row r="453" spans="1:14" x14ac:dyDescent="0.2">
      <c r="A453" s="84"/>
      <c r="B453" s="84"/>
      <c r="C453" s="60"/>
      <c r="D453" s="66"/>
      <c r="E453" s="66"/>
      <c r="F453" s="66"/>
      <c r="G453" s="66"/>
      <c r="H453" s="66"/>
      <c r="I453" s="66"/>
      <c r="J453" s="66"/>
      <c r="K453" s="66"/>
      <c r="L453" s="66"/>
      <c r="M453" s="66"/>
      <c r="N453" s="66"/>
    </row>
    <row r="454" spans="1:14" x14ac:dyDescent="0.2">
      <c r="A454" s="84"/>
      <c r="B454" s="84"/>
      <c r="C454" s="60"/>
      <c r="D454" s="66"/>
      <c r="E454" s="66"/>
      <c r="F454" s="66"/>
      <c r="G454" s="66"/>
      <c r="H454" s="66"/>
      <c r="I454" s="66"/>
      <c r="J454" s="66"/>
      <c r="K454" s="66"/>
      <c r="L454" s="66"/>
      <c r="M454" s="66"/>
      <c r="N454" s="66"/>
    </row>
    <row r="455" spans="1:14" x14ac:dyDescent="0.2">
      <c r="A455" s="84"/>
      <c r="B455" s="84"/>
      <c r="C455" s="60"/>
      <c r="D455" s="66"/>
      <c r="E455" s="66"/>
      <c r="F455" s="66"/>
      <c r="G455" s="66"/>
      <c r="H455" s="66"/>
      <c r="I455" s="66"/>
      <c r="J455" s="66"/>
      <c r="K455" s="66"/>
      <c r="L455" s="66"/>
      <c r="M455" s="66"/>
      <c r="N455" s="66"/>
    </row>
    <row r="456" spans="1:14" x14ac:dyDescent="0.2">
      <c r="A456" s="84"/>
      <c r="B456" s="84"/>
      <c r="C456" s="60"/>
      <c r="D456" s="66"/>
      <c r="E456" s="66"/>
      <c r="F456" s="66"/>
      <c r="G456" s="66"/>
      <c r="H456" s="66"/>
      <c r="I456" s="66"/>
      <c r="J456" s="66"/>
      <c r="K456" s="66"/>
      <c r="L456" s="66"/>
      <c r="M456" s="66"/>
      <c r="N456" s="66"/>
    </row>
    <row r="457" spans="1:14" x14ac:dyDescent="0.2">
      <c r="A457" s="84"/>
      <c r="B457" s="84"/>
      <c r="C457" s="60"/>
      <c r="D457" s="66"/>
      <c r="E457" s="66"/>
      <c r="F457" s="66"/>
      <c r="G457" s="66"/>
      <c r="H457" s="66"/>
      <c r="I457" s="66"/>
      <c r="J457" s="66"/>
      <c r="K457" s="66"/>
      <c r="L457" s="66"/>
      <c r="M457" s="66"/>
      <c r="N457" s="66"/>
    </row>
    <row r="458" spans="1:14" x14ac:dyDescent="0.2">
      <c r="A458" s="84"/>
      <c r="B458" s="84"/>
      <c r="C458" s="60"/>
      <c r="D458" s="66"/>
      <c r="E458" s="66"/>
      <c r="F458" s="66"/>
      <c r="G458" s="66"/>
      <c r="H458" s="66"/>
      <c r="I458" s="66"/>
      <c r="J458" s="66"/>
      <c r="K458" s="66"/>
      <c r="L458" s="66"/>
      <c r="M458" s="66"/>
      <c r="N458" s="66"/>
    </row>
    <row r="459" spans="1:14" x14ac:dyDescent="0.2">
      <c r="A459" s="84"/>
      <c r="B459" s="84"/>
      <c r="C459" s="60"/>
      <c r="D459" s="66"/>
      <c r="E459" s="66"/>
      <c r="F459" s="66"/>
      <c r="G459" s="66"/>
      <c r="H459" s="66"/>
      <c r="I459" s="66"/>
      <c r="J459" s="66"/>
      <c r="K459" s="66"/>
      <c r="L459" s="66"/>
      <c r="M459" s="66"/>
      <c r="N459" s="66"/>
    </row>
    <row r="460" spans="1:14" x14ac:dyDescent="0.2">
      <c r="A460" s="84"/>
      <c r="B460" s="84"/>
      <c r="C460" s="60"/>
      <c r="D460" s="66"/>
      <c r="E460" s="66"/>
      <c r="F460" s="66"/>
      <c r="G460" s="66"/>
      <c r="H460" s="66"/>
      <c r="I460" s="66"/>
      <c r="J460" s="66"/>
      <c r="K460" s="66"/>
      <c r="L460" s="66"/>
      <c r="M460" s="66"/>
      <c r="N460" s="66"/>
    </row>
    <row r="461" spans="1:14" x14ac:dyDescent="0.2">
      <c r="A461" s="84"/>
      <c r="B461" s="84"/>
      <c r="C461" s="60"/>
      <c r="D461" s="66"/>
      <c r="E461" s="66"/>
      <c r="F461" s="66"/>
      <c r="G461" s="66"/>
      <c r="H461" s="66"/>
      <c r="I461" s="66"/>
      <c r="J461" s="66"/>
      <c r="K461" s="66"/>
      <c r="L461" s="66"/>
      <c r="M461" s="66"/>
      <c r="N461" s="66"/>
    </row>
    <row r="462" spans="1:14" x14ac:dyDescent="0.2">
      <c r="A462" s="84"/>
      <c r="B462" s="84"/>
      <c r="C462" s="60"/>
      <c r="D462" s="66"/>
      <c r="E462" s="66"/>
      <c r="F462" s="66"/>
      <c r="G462" s="66"/>
      <c r="H462" s="66"/>
      <c r="I462" s="66"/>
      <c r="J462" s="66"/>
      <c r="K462" s="66"/>
      <c r="L462" s="66"/>
      <c r="M462" s="66"/>
      <c r="N462" s="66"/>
    </row>
    <row r="463" spans="1:14" x14ac:dyDescent="0.2">
      <c r="A463" s="84"/>
      <c r="B463" s="84"/>
      <c r="C463" s="60"/>
      <c r="D463" s="66"/>
      <c r="E463" s="66"/>
      <c r="F463" s="66"/>
      <c r="G463" s="66"/>
      <c r="H463" s="66"/>
      <c r="I463" s="66"/>
      <c r="J463" s="66"/>
      <c r="K463" s="66"/>
      <c r="L463" s="66"/>
      <c r="M463" s="66"/>
      <c r="N463" s="66"/>
    </row>
    <row r="464" spans="1:14" x14ac:dyDescent="0.2">
      <c r="A464" s="84"/>
      <c r="B464" s="84"/>
      <c r="C464" s="60"/>
      <c r="D464" s="66"/>
      <c r="E464" s="66"/>
      <c r="F464" s="66"/>
      <c r="G464" s="66"/>
      <c r="H464" s="66"/>
      <c r="I464" s="66"/>
      <c r="J464" s="66"/>
      <c r="K464" s="66"/>
      <c r="L464" s="66"/>
      <c r="M464" s="66"/>
      <c r="N464" s="66"/>
    </row>
    <row r="465" spans="1:14" x14ac:dyDescent="0.2">
      <c r="A465" s="84"/>
      <c r="B465" s="84"/>
      <c r="C465" s="60"/>
      <c r="D465" s="66"/>
      <c r="E465" s="66"/>
      <c r="F465" s="66"/>
      <c r="G465" s="66"/>
      <c r="H465" s="66"/>
      <c r="I465" s="66"/>
      <c r="J465" s="66"/>
      <c r="K465" s="66"/>
      <c r="L465" s="66"/>
      <c r="M465" s="66"/>
      <c r="N465" s="66"/>
    </row>
    <row r="466" spans="1:14" x14ac:dyDescent="0.2">
      <c r="A466" s="84"/>
      <c r="B466" s="84"/>
      <c r="C466" s="60"/>
      <c r="D466" s="66"/>
      <c r="E466" s="66"/>
      <c r="F466" s="66"/>
      <c r="G466" s="66"/>
      <c r="H466" s="66"/>
      <c r="I466" s="66"/>
      <c r="J466" s="66"/>
      <c r="K466" s="66"/>
      <c r="L466" s="66"/>
      <c r="M466" s="66"/>
      <c r="N466" s="66"/>
    </row>
    <row r="467" spans="1:14" x14ac:dyDescent="0.2">
      <c r="A467" s="84"/>
      <c r="B467" s="84"/>
      <c r="C467" s="60"/>
      <c r="D467" s="66"/>
      <c r="E467" s="66"/>
      <c r="F467" s="66"/>
      <c r="G467" s="66"/>
      <c r="H467" s="66"/>
      <c r="I467" s="66"/>
      <c r="J467" s="66"/>
      <c r="K467" s="66"/>
      <c r="L467" s="66"/>
      <c r="M467" s="66"/>
      <c r="N467" s="66"/>
    </row>
    <row r="468" spans="1:14" x14ac:dyDescent="0.2">
      <c r="A468" s="84"/>
      <c r="B468" s="84"/>
      <c r="C468" s="60"/>
      <c r="D468" s="66"/>
      <c r="E468" s="66"/>
      <c r="F468" s="66"/>
      <c r="G468" s="66"/>
      <c r="H468" s="66"/>
      <c r="I468" s="66"/>
      <c r="J468" s="66"/>
      <c r="K468" s="66"/>
      <c r="L468" s="66"/>
      <c r="M468" s="66"/>
      <c r="N468" s="66"/>
    </row>
    <row r="469" spans="1:14" x14ac:dyDescent="0.2">
      <c r="A469" s="84"/>
      <c r="B469" s="84"/>
      <c r="C469" s="60"/>
      <c r="D469" s="66"/>
      <c r="E469" s="66"/>
      <c r="F469" s="66"/>
      <c r="G469" s="66"/>
      <c r="H469" s="66"/>
      <c r="I469" s="66"/>
      <c r="J469" s="66"/>
      <c r="K469" s="66"/>
      <c r="L469" s="66"/>
      <c r="M469" s="66"/>
      <c r="N469" s="66"/>
    </row>
    <row r="470" spans="1:14" x14ac:dyDescent="0.2">
      <c r="A470" s="84"/>
      <c r="B470" s="84"/>
      <c r="C470" s="60"/>
      <c r="D470" s="66"/>
      <c r="E470" s="66"/>
      <c r="F470" s="66"/>
      <c r="G470" s="66"/>
      <c r="H470" s="66"/>
      <c r="I470" s="66"/>
      <c r="J470" s="66"/>
      <c r="K470" s="66"/>
      <c r="L470" s="66"/>
      <c r="M470" s="66"/>
      <c r="N470" s="66"/>
    </row>
    <row r="471" spans="1:14" x14ac:dyDescent="0.2">
      <c r="A471" s="84"/>
      <c r="B471" s="84"/>
      <c r="C471" s="60"/>
      <c r="D471" s="66"/>
      <c r="E471" s="66"/>
      <c r="F471" s="66"/>
      <c r="G471" s="66"/>
      <c r="H471" s="66"/>
      <c r="I471" s="66"/>
      <c r="J471" s="66"/>
      <c r="K471" s="66"/>
      <c r="L471" s="66"/>
      <c r="M471" s="66"/>
      <c r="N471" s="66"/>
    </row>
    <row r="472" spans="1:14" x14ac:dyDescent="0.2">
      <c r="A472" s="84"/>
      <c r="B472" s="84"/>
      <c r="C472" s="60"/>
      <c r="D472" s="66"/>
      <c r="E472" s="66"/>
      <c r="F472" s="66"/>
      <c r="G472" s="66"/>
      <c r="H472" s="66"/>
      <c r="I472" s="66"/>
      <c r="J472" s="66"/>
      <c r="K472" s="66"/>
      <c r="L472" s="66"/>
      <c r="M472" s="66"/>
      <c r="N472" s="66"/>
    </row>
    <row r="473" spans="1:14" x14ac:dyDescent="0.2">
      <c r="A473" s="84"/>
      <c r="B473" s="84"/>
      <c r="C473" s="60"/>
      <c r="D473" s="66"/>
      <c r="E473" s="66"/>
      <c r="F473" s="66"/>
      <c r="G473" s="66"/>
      <c r="H473" s="66"/>
      <c r="I473" s="66"/>
      <c r="J473" s="66"/>
      <c r="K473" s="66"/>
      <c r="L473" s="66"/>
      <c r="M473" s="66"/>
      <c r="N473" s="66"/>
    </row>
    <row r="474" spans="1:14" x14ac:dyDescent="0.2">
      <c r="A474" s="84"/>
      <c r="B474" s="84"/>
      <c r="C474" s="60"/>
      <c r="D474" s="66"/>
      <c r="E474" s="66"/>
      <c r="F474" s="66"/>
      <c r="G474" s="66"/>
      <c r="H474" s="66"/>
      <c r="I474" s="66"/>
      <c r="J474" s="66"/>
      <c r="K474" s="66"/>
      <c r="L474" s="66"/>
      <c r="M474" s="66"/>
      <c r="N474" s="66"/>
    </row>
    <row r="475" spans="1:14" x14ac:dyDescent="0.2">
      <c r="A475" s="84"/>
      <c r="B475" s="84"/>
      <c r="C475" s="60"/>
      <c r="D475" s="66"/>
      <c r="E475" s="66"/>
      <c r="F475" s="66"/>
      <c r="G475" s="66"/>
      <c r="H475" s="66"/>
      <c r="I475" s="66"/>
      <c r="J475" s="66"/>
      <c r="K475" s="66"/>
      <c r="L475" s="66"/>
      <c r="M475" s="66"/>
      <c r="N475" s="66"/>
    </row>
    <row r="476" spans="1:14" x14ac:dyDescent="0.2">
      <c r="A476" s="84"/>
      <c r="B476" s="84"/>
      <c r="C476" s="60"/>
      <c r="D476" s="66"/>
      <c r="E476" s="66"/>
      <c r="F476" s="66"/>
      <c r="G476" s="66"/>
      <c r="H476" s="66"/>
      <c r="I476" s="66"/>
      <c r="J476" s="66"/>
      <c r="K476" s="66"/>
      <c r="L476" s="66"/>
      <c r="M476" s="66"/>
      <c r="N476" s="66"/>
    </row>
    <row r="477" spans="1:14" x14ac:dyDescent="0.2">
      <c r="A477" s="84"/>
      <c r="B477" s="84"/>
      <c r="C477" s="60"/>
      <c r="D477" s="66"/>
      <c r="E477" s="66"/>
      <c r="F477" s="66"/>
      <c r="G477" s="66"/>
      <c r="H477" s="66"/>
      <c r="I477" s="66"/>
      <c r="J477" s="66"/>
      <c r="K477" s="66"/>
      <c r="L477" s="66"/>
      <c r="M477" s="66"/>
      <c r="N477" s="66"/>
    </row>
    <row r="478" spans="1:14" x14ac:dyDescent="0.2">
      <c r="A478" s="84"/>
      <c r="B478" s="84"/>
      <c r="C478" s="60"/>
      <c r="D478" s="66"/>
      <c r="E478" s="66"/>
      <c r="F478" s="66"/>
      <c r="G478" s="66"/>
      <c r="H478" s="66"/>
      <c r="I478" s="66"/>
      <c r="J478" s="66"/>
      <c r="K478" s="66"/>
      <c r="L478" s="66"/>
      <c r="M478" s="66"/>
      <c r="N478" s="66"/>
    </row>
    <row r="479" spans="1:14" x14ac:dyDescent="0.2">
      <c r="A479" s="84"/>
      <c r="B479" s="84"/>
      <c r="C479" s="60"/>
      <c r="D479" s="66"/>
      <c r="E479" s="66"/>
      <c r="F479" s="66"/>
      <c r="G479" s="66"/>
      <c r="H479" s="66"/>
      <c r="I479" s="66"/>
      <c r="J479" s="66"/>
      <c r="K479" s="66"/>
      <c r="L479" s="66"/>
      <c r="M479" s="66"/>
      <c r="N479" s="66"/>
    </row>
    <row r="480" spans="1:14" x14ac:dyDescent="0.2">
      <c r="A480" s="84"/>
      <c r="B480" s="84"/>
      <c r="C480" s="60"/>
      <c r="D480" s="66"/>
      <c r="E480" s="66"/>
      <c r="F480" s="66"/>
      <c r="G480" s="66"/>
      <c r="H480" s="66"/>
      <c r="I480" s="66"/>
      <c r="J480" s="66"/>
      <c r="K480" s="66"/>
      <c r="L480" s="66"/>
      <c r="M480" s="66"/>
      <c r="N480" s="66"/>
    </row>
    <row r="481" spans="1:14" x14ac:dyDescent="0.2">
      <c r="A481" s="84"/>
      <c r="B481" s="84"/>
      <c r="C481" s="60"/>
      <c r="D481" s="66"/>
      <c r="E481" s="66"/>
      <c r="F481" s="66"/>
      <c r="G481" s="66"/>
      <c r="H481" s="66"/>
      <c r="I481" s="66"/>
      <c r="J481" s="66"/>
      <c r="K481" s="66"/>
      <c r="L481" s="66"/>
      <c r="M481" s="66"/>
      <c r="N481" s="66"/>
    </row>
    <row r="482" spans="1:14" x14ac:dyDescent="0.2">
      <c r="A482" s="84"/>
      <c r="B482" s="84"/>
      <c r="C482" s="60"/>
      <c r="D482" s="66"/>
      <c r="E482" s="66"/>
      <c r="F482" s="66"/>
      <c r="G482" s="66"/>
      <c r="H482" s="66"/>
      <c r="I482" s="66"/>
      <c r="J482" s="66"/>
      <c r="K482" s="66"/>
      <c r="L482" s="66"/>
      <c r="M482" s="66"/>
      <c r="N482" s="66"/>
    </row>
    <row r="483" spans="1:14" x14ac:dyDescent="0.2">
      <c r="A483" s="84"/>
      <c r="B483" s="84"/>
      <c r="C483" s="60"/>
      <c r="D483" s="66"/>
      <c r="E483" s="66"/>
      <c r="F483" s="66"/>
      <c r="G483" s="66"/>
      <c r="H483" s="66"/>
      <c r="I483" s="66"/>
      <c r="J483" s="66"/>
      <c r="K483" s="66"/>
      <c r="L483" s="66"/>
      <c r="M483" s="66"/>
      <c r="N483" s="66"/>
    </row>
    <row r="484" spans="1:14" x14ac:dyDescent="0.2">
      <c r="A484" s="84"/>
      <c r="B484" s="84"/>
      <c r="C484" s="60"/>
      <c r="D484" s="66"/>
      <c r="E484" s="66"/>
      <c r="F484" s="66"/>
      <c r="G484" s="66"/>
      <c r="H484" s="66"/>
      <c r="I484" s="66"/>
      <c r="J484" s="66"/>
      <c r="K484" s="66"/>
      <c r="L484" s="66"/>
      <c r="M484" s="66"/>
      <c r="N484" s="66"/>
    </row>
    <row r="485" spans="1:14" x14ac:dyDescent="0.2">
      <c r="A485" s="84"/>
      <c r="B485" s="84"/>
      <c r="C485" s="60"/>
      <c r="D485" s="66"/>
      <c r="E485" s="66"/>
      <c r="F485" s="66"/>
      <c r="G485" s="66"/>
      <c r="H485" s="66"/>
      <c r="I485" s="66"/>
      <c r="J485" s="66"/>
      <c r="K485" s="66"/>
      <c r="L485" s="66"/>
      <c r="M485" s="66"/>
      <c r="N485" s="66"/>
    </row>
    <row r="486" spans="1:14" x14ac:dyDescent="0.2">
      <c r="A486" s="84"/>
      <c r="B486" s="84"/>
      <c r="C486" s="60"/>
      <c r="D486" s="66"/>
      <c r="E486" s="66"/>
      <c r="F486" s="66"/>
      <c r="G486" s="66"/>
      <c r="H486" s="66"/>
      <c r="I486" s="66"/>
      <c r="J486" s="66"/>
      <c r="K486" s="66"/>
      <c r="L486" s="66"/>
      <c r="M486" s="66"/>
      <c r="N486" s="66"/>
    </row>
    <row r="487" spans="1:14" x14ac:dyDescent="0.2">
      <c r="A487" s="84"/>
      <c r="B487" s="84"/>
      <c r="C487" s="60"/>
      <c r="D487" s="66"/>
      <c r="E487" s="66"/>
      <c r="F487" s="66"/>
      <c r="G487" s="66"/>
      <c r="H487" s="66"/>
      <c r="I487" s="66"/>
      <c r="J487" s="66"/>
      <c r="K487" s="66"/>
      <c r="L487" s="66"/>
      <c r="M487" s="66"/>
      <c r="N487" s="66"/>
    </row>
    <row r="488" spans="1:14" x14ac:dyDescent="0.2">
      <c r="A488" s="84"/>
      <c r="B488" s="84"/>
      <c r="C488" s="60"/>
      <c r="D488" s="66"/>
      <c r="E488" s="66"/>
      <c r="F488" s="66"/>
      <c r="G488" s="66"/>
      <c r="H488" s="66"/>
      <c r="I488" s="66"/>
      <c r="J488" s="66"/>
      <c r="K488" s="66"/>
      <c r="L488" s="66"/>
      <c r="M488" s="66"/>
      <c r="N488" s="66"/>
    </row>
    <row r="489" spans="1:14" x14ac:dyDescent="0.2">
      <c r="A489" s="84"/>
      <c r="B489" s="84"/>
      <c r="C489" s="60"/>
      <c r="D489" s="66"/>
      <c r="E489" s="66"/>
      <c r="F489" s="66"/>
      <c r="G489" s="66"/>
      <c r="H489" s="66"/>
      <c r="I489" s="66"/>
      <c r="J489" s="66"/>
      <c r="K489" s="66"/>
      <c r="L489" s="66"/>
      <c r="M489" s="66"/>
      <c r="N489" s="66"/>
    </row>
    <row r="490" spans="1:14" x14ac:dyDescent="0.2">
      <c r="A490" s="84"/>
      <c r="B490" s="84"/>
      <c r="C490" s="60"/>
      <c r="D490" s="66"/>
      <c r="E490" s="66"/>
      <c r="F490" s="66"/>
      <c r="G490" s="66"/>
      <c r="H490" s="66"/>
      <c r="I490" s="66"/>
      <c r="J490" s="66"/>
      <c r="K490" s="66"/>
      <c r="L490" s="66"/>
      <c r="M490" s="66"/>
      <c r="N490" s="66"/>
    </row>
    <row r="491" spans="1:14" x14ac:dyDescent="0.2">
      <c r="A491" s="84"/>
      <c r="B491" s="84"/>
      <c r="C491" s="60"/>
      <c r="D491" s="66"/>
      <c r="E491" s="66"/>
      <c r="F491" s="66"/>
      <c r="G491" s="66"/>
      <c r="H491" s="66"/>
      <c r="I491" s="66"/>
      <c r="J491" s="66"/>
      <c r="K491" s="66"/>
      <c r="L491" s="66"/>
      <c r="M491" s="66"/>
      <c r="N491" s="66"/>
    </row>
    <row r="492" spans="1:14" x14ac:dyDescent="0.2">
      <c r="A492" s="84"/>
      <c r="B492" s="84"/>
      <c r="C492" s="60"/>
      <c r="D492" s="66"/>
      <c r="E492" s="66"/>
      <c r="F492" s="66"/>
      <c r="G492" s="66"/>
      <c r="H492" s="66"/>
      <c r="I492" s="66"/>
      <c r="J492" s="66"/>
      <c r="K492" s="66"/>
      <c r="L492" s="66"/>
      <c r="M492" s="66"/>
      <c r="N492" s="66"/>
    </row>
    <row r="493" spans="1:14" x14ac:dyDescent="0.2">
      <c r="A493" s="84"/>
      <c r="B493" s="84"/>
      <c r="C493" s="60"/>
      <c r="D493" s="66"/>
      <c r="E493" s="66"/>
      <c r="F493" s="66"/>
      <c r="G493" s="66"/>
      <c r="H493" s="66"/>
      <c r="I493" s="66"/>
      <c r="J493" s="66"/>
      <c r="K493" s="66"/>
      <c r="L493" s="66"/>
      <c r="M493" s="66"/>
      <c r="N493" s="66"/>
    </row>
    <row r="494" spans="1:14" x14ac:dyDescent="0.2">
      <c r="A494" s="84"/>
      <c r="B494" s="84"/>
      <c r="C494" s="60"/>
      <c r="D494" s="66"/>
      <c r="E494" s="66"/>
      <c r="F494" s="66"/>
      <c r="G494" s="66"/>
      <c r="H494" s="66"/>
      <c r="I494" s="66"/>
      <c r="J494" s="66"/>
      <c r="K494" s="66"/>
      <c r="L494" s="66"/>
      <c r="M494" s="66"/>
      <c r="N494" s="66"/>
    </row>
    <row r="495" spans="1:14" x14ac:dyDescent="0.2">
      <c r="A495" s="84"/>
      <c r="B495" s="84"/>
      <c r="C495" s="60"/>
      <c r="D495" s="66"/>
      <c r="E495" s="66"/>
      <c r="F495" s="66"/>
      <c r="G495" s="66"/>
      <c r="H495" s="66"/>
      <c r="I495" s="66"/>
      <c r="J495" s="66"/>
      <c r="K495" s="66"/>
      <c r="L495" s="66"/>
      <c r="M495" s="66"/>
      <c r="N495" s="66"/>
    </row>
    <row r="496" spans="1:14" x14ac:dyDescent="0.2">
      <c r="A496" s="84"/>
      <c r="B496" s="84"/>
      <c r="C496" s="60"/>
      <c r="D496" s="66"/>
      <c r="E496" s="66"/>
      <c r="F496" s="66"/>
      <c r="G496" s="66"/>
      <c r="H496" s="66"/>
      <c r="I496" s="66"/>
      <c r="J496" s="66"/>
      <c r="K496" s="66"/>
      <c r="L496" s="66"/>
      <c r="M496" s="66"/>
      <c r="N496" s="66"/>
    </row>
    <row r="497" spans="1:14" x14ac:dyDescent="0.2">
      <c r="A497" s="84"/>
      <c r="B497" s="84"/>
      <c r="C497" s="60"/>
      <c r="D497" s="66"/>
      <c r="E497" s="66"/>
      <c r="F497" s="66"/>
      <c r="G497" s="66"/>
      <c r="H497" s="66"/>
      <c r="I497" s="66"/>
      <c r="J497" s="66"/>
      <c r="K497" s="66"/>
      <c r="L497" s="66"/>
      <c r="M497" s="66"/>
      <c r="N497" s="66"/>
    </row>
    <row r="498" spans="1:14" x14ac:dyDescent="0.2">
      <c r="A498" s="84"/>
      <c r="B498" s="84"/>
      <c r="C498" s="60"/>
      <c r="D498" s="66"/>
      <c r="E498" s="66"/>
      <c r="F498" s="66"/>
      <c r="G498" s="66"/>
      <c r="H498" s="66"/>
      <c r="I498" s="66"/>
      <c r="J498" s="66"/>
      <c r="K498" s="66"/>
      <c r="L498" s="66"/>
      <c r="M498" s="66"/>
      <c r="N498" s="66"/>
    </row>
    <row r="499" spans="1:14" x14ac:dyDescent="0.2">
      <c r="A499" s="84"/>
      <c r="B499" s="84"/>
      <c r="C499" s="60"/>
      <c r="D499" s="66"/>
      <c r="E499" s="66"/>
      <c r="F499" s="66"/>
      <c r="G499" s="66"/>
      <c r="H499" s="66"/>
      <c r="I499" s="66"/>
      <c r="J499" s="66"/>
      <c r="K499" s="66"/>
      <c r="L499" s="66"/>
      <c r="M499" s="66"/>
      <c r="N499" s="66"/>
    </row>
    <row r="500" spans="1:14" x14ac:dyDescent="0.2">
      <c r="A500" s="84"/>
      <c r="B500" s="84"/>
      <c r="C500" s="60"/>
      <c r="D500" s="66"/>
      <c r="E500" s="66"/>
      <c r="F500" s="66"/>
      <c r="G500" s="66"/>
      <c r="H500" s="66"/>
      <c r="I500" s="66"/>
      <c r="J500" s="66"/>
      <c r="K500" s="66"/>
      <c r="L500" s="66"/>
      <c r="M500" s="66"/>
      <c r="N500" s="66"/>
    </row>
    <row r="501" spans="1:14" x14ac:dyDescent="0.2">
      <c r="A501" s="84"/>
      <c r="B501" s="84"/>
      <c r="C501" s="60"/>
      <c r="D501" s="66"/>
      <c r="E501" s="66"/>
      <c r="F501" s="66"/>
      <c r="G501" s="66"/>
      <c r="H501" s="66"/>
      <c r="I501" s="66"/>
      <c r="J501" s="66"/>
      <c r="K501" s="66"/>
      <c r="L501" s="66"/>
      <c r="M501" s="66"/>
      <c r="N501" s="66"/>
    </row>
    <row r="502" spans="1:14" x14ac:dyDescent="0.2">
      <c r="A502" s="84"/>
      <c r="B502" s="84"/>
      <c r="C502" s="60"/>
      <c r="D502" s="66"/>
      <c r="E502" s="66"/>
      <c r="F502" s="66"/>
      <c r="G502" s="66"/>
      <c r="H502" s="66"/>
      <c r="I502" s="66"/>
      <c r="J502" s="66"/>
      <c r="K502" s="66"/>
      <c r="L502" s="66"/>
      <c r="M502" s="66"/>
      <c r="N502" s="66"/>
    </row>
    <row r="503" spans="1:14" x14ac:dyDescent="0.2">
      <c r="A503" s="84"/>
      <c r="B503" s="84"/>
      <c r="C503" s="60"/>
      <c r="D503" s="66"/>
      <c r="E503" s="66"/>
      <c r="F503" s="66"/>
      <c r="G503" s="66"/>
      <c r="H503" s="66"/>
      <c r="I503" s="66"/>
      <c r="J503" s="66"/>
      <c r="K503" s="66"/>
      <c r="L503" s="66"/>
      <c r="M503" s="66"/>
      <c r="N503" s="66"/>
    </row>
    <row r="504" spans="1:14" x14ac:dyDescent="0.2">
      <c r="A504" s="84"/>
      <c r="B504" s="84"/>
      <c r="C504" s="60"/>
      <c r="D504" s="66"/>
      <c r="E504" s="66"/>
      <c r="F504" s="66"/>
      <c r="G504" s="66"/>
      <c r="H504" s="66"/>
      <c r="I504" s="66"/>
      <c r="J504" s="66"/>
      <c r="K504" s="66"/>
      <c r="L504" s="66"/>
      <c r="M504" s="66"/>
      <c r="N504" s="66"/>
    </row>
    <row r="505" spans="1:14" x14ac:dyDescent="0.2">
      <c r="A505" s="84"/>
      <c r="B505" s="84"/>
      <c r="C505" s="60"/>
      <c r="D505" s="66"/>
      <c r="E505" s="66"/>
      <c r="F505" s="66"/>
      <c r="G505" s="66"/>
      <c r="H505" s="66"/>
      <c r="I505" s="66"/>
      <c r="J505" s="66"/>
      <c r="K505" s="66"/>
      <c r="L505" s="66"/>
      <c r="M505" s="66"/>
      <c r="N505" s="66"/>
    </row>
    <row r="506" spans="1:14" x14ac:dyDescent="0.2">
      <c r="A506" s="84"/>
      <c r="B506" s="84"/>
      <c r="C506" s="60"/>
      <c r="D506" s="66"/>
      <c r="E506" s="66"/>
      <c r="F506" s="66"/>
      <c r="G506" s="66"/>
      <c r="H506" s="66"/>
      <c r="I506" s="66"/>
      <c r="J506" s="66"/>
      <c r="K506" s="66"/>
      <c r="L506" s="66"/>
      <c r="M506" s="66"/>
      <c r="N506" s="66"/>
    </row>
    <row r="507" spans="1:14" x14ac:dyDescent="0.2">
      <c r="A507" s="84"/>
      <c r="B507" s="84"/>
      <c r="C507" s="60"/>
      <c r="D507" s="66"/>
      <c r="E507" s="66"/>
      <c r="F507" s="66"/>
      <c r="G507" s="66"/>
      <c r="H507" s="66"/>
      <c r="I507" s="66"/>
      <c r="J507" s="66"/>
      <c r="K507" s="66"/>
      <c r="L507" s="66"/>
      <c r="M507" s="66"/>
      <c r="N507" s="66"/>
    </row>
    <row r="508" spans="1:14" x14ac:dyDescent="0.2">
      <c r="A508" s="84"/>
      <c r="B508" s="84"/>
      <c r="C508" s="60"/>
      <c r="D508" s="66"/>
      <c r="E508" s="66"/>
      <c r="F508" s="66"/>
      <c r="G508" s="66"/>
      <c r="H508" s="66"/>
      <c r="I508" s="66"/>
      <c r="J508" s="66"/>
      <c r="K508" s="66"/>
      <c r="L508" s="66"/>
      <c r="M508" s="66"/>
      <c r="N508" s="66"/>
    </row>
    <row r="509" spans="1:14" x14ac:dyDescent="0.2">
      <c r="A509" s="84"/>
      <c r="B509" s="84"/>
      <c r="C509" s="60"/>
      <c r="D509" s="66"/>
      <c r="E509" s="66"/>
      <c r="F509" s="66"/>
      <c r="G509" s="66"/>
      <c r="H509" s="66"/>
      <c r="I509" s="66"/>
      <c r="J509" s="66"/>
      <c r="K509" s="66"/>
      <c r="L509" s="66"/>
      <c r="M509" s="66"/>
      <c r="N509" s="66"/>
    </row>
    <row r="510" spans="1:14" x14ac:dyDescent="0.2">
      <c r="A510" s="84"/>
      <c r="B510" s="84"/>
      <c r="C510" s="60"/>
      <c r="D510" s="66"/>
      <c r="E510" s="66"/>
      <c r="F510" s="66"/>
      <c r="G510" s="66"/>
      <c r="H510" s="66"/>
      <c r="I510" s="66"/>
      <c r="J510" s="66"/>
      <c r="K510" s="66"/>
      <c r="L510" s="66"/>
      <c r="M510" s="66"/>
      <c r="N510" s="66"/>
    </row>
    <row r="511" spans="1:14" x14ac:dyDescent="0.2">
      <c r="A511" s="84"/>
      <c r="B511" s="84"/>
      <c r="C511" s="60"/>
      <c r="D511" s="66"/>
      <c r="E511" s="66"/>
      <c r="F511" s="66"/>
      <c r="G511" s="66"/>
      <c r="H511" s="66"/>
      <c r="I511" s="66"/>
      <c r="J511" s="66"/>
      <c r="K511" s="66"/>
      <c r="L511" s="66"/>
      <c r="M511" s="66"/>
      <c r="N511" s="66"/>
    </row>
    <row r="512" spans="1:14" x14ac:dyDescent="0.2">
      <c r="A512" s="84"/>
      <c r="B512" s="84"/>
      <c r="C512" s="60"/>
      <c r="D512" s="66"/>
      <c r="E512" s="66"/>
      <c r="F512" s="66"/>
      <c r="G512" s="66"/>
      <c r="H512" s="66"/>
      <c r="I512" s="66"/>
      <c r="J512" s="66"/>
      <c r="K512" s="66"/>
      <c r="L512" s="66"/>
      <c r="M512" s="66"/>
      <c r="N512" s="66"/>
    </row>
    <row r="513" spans="1:14" x14ac:dyDescent="0.2">
      <c r="A513" s="84"/>
      <c r="B513" s="84"/>
      <c r="C513" s="60"/>
      <c r="D513" s="66"/>
      <c r="E513" s="66"/>
      <c r="F513" s="66"/>
      <c r="G513" s="66"/>
      <c r="H513" s="66"/>
      <c r="I513" s="66"/>
      <c r="J513" s="66"/>
      <c r="K513" s="66"/>
      <c r="L513" s="66"/>
      <c r="M513" s="66"/>
      <c r="N513" s="66"/>
    </row>
    <row r="514" spans="1:14" x14ac:dyDescent="0.2">
      <c r="A514" s="84"/>
      <c r="B514" s="84"/>
      <c r="C514" s="60"/>
      <c r="D514" s="66"/>
      <c r="E514" s="66"/>
      <c r="F514" s="66"/>
      <c r="G514" s="66"/>
      <c r="H514" s="66"/>
      <c r="I514" s="66"/>
      <c r="J514" s="66"/>
      <c r="K514" s="66"/>
      <c r="L514" s="66"/>
      <c r="M514" s="66"/>
      <c r="N514" s="66"/>
    </row>
    <row r="515" spans="1:14" x14ac:dyDescent="0.2">
      <c r="A515" s="84"/>
      <c r="B515" s="84"/>
      <c r="C515" s="60"/>
      <c r="D515" s="66"/>
      <c r="E515" s="66"/>
      <c r="F515" s="66"/>
      <c r="G515" s="66"/>
      <c r="H515" s="66"/>
      <c r="I515" s="66"/>
      <c r="J515" s="66"/>
      <c r="K515" s="66"/>
      <c r="L515" s="66"/>
      <c r="M515" s="66"/>
      <c r="N515" s="66"/>
    </row>
    <row r="516" spans="1:14" x14ac:dyDescent="0.2">
      <c r="A516" s="84"/>
      <c r="B516" s="84"/>
      <c r="C516" s="60"/>
      <c r="D516" s="66"/>
      <c r="E516" s="66"/>
      <c r="F516" s="66"/>
      <c r="G516" s="66"/>
      <c r="H516" s="66"/>
      <c r="I516" s="66"/>
      <c r="J516" s="66"/>
      <c r="K516" s="66"/>
      <c r="L516" s="66"/>
      <c r="M516" s="66"/>
      <c r="N516" s="66"/>
    </row>
    <row r="517" spans="1:14" x14ac:dyDescent="0.2">
      <c r="A517" s="84"/>
      <c r="B517" s="84"/>
      <c r="C517" s="60"/>
      <c r="D517" s="66"/>
      <c r="E517" s="66"/>
      <c r="F517" s="66"/>
      <c r="G517" s="66"/>
      <c r="H517" s="66"/>
      <c r="I517" s="66"/>
      <c r="J517" s="66"/>
      <c r="K517" s="66"/>
      <c r="L517" s="66"/>
      <c r="M517" s="66"/>
      <c r="N517" s="66"/>
    </row>
    <row r="518" spans="1:14" x14ac:dyDescent="0.2">
      <c r="A518" s="84"/>
      <c r="B518" s="84"/>
      <c r="C518" s="60"/>
      <c r="D518" s="66"/>
      <c r="E518" s="66"/>
      <c r="F518" s="66"/>
      <c r="G518" s="66"/>
      <c r="H518" s="66"/>
      <c r="I518" s="66"/>
      <c r="J518" s="66"/>
      <c r="K518" s="66"/>
      <c r="L518" s="66"/>
      <c r="M518" s="66"/>
      <c r="N518" s="66"/>
    </row>
    <row r="519" spans="1:14" x14ac:dyDescent="0.2">
      <c r="A519" s="84"/>
      <c r="B519" s="84"/>
      <c r="C519" s="60"/>
      <c r="D519" s="66"/>
      <c r="E519" s="66"/>
      <c r="F519" s="66"/>
      <c r="G519" s="66"/>
      <c r="H519" s="66"/>
      <c r="I519" s="66"/>
      <c r="J519" s="66"/>
      <c r="K519" s="66"/>
      <c r="L519" s="66"/>
      <c r="M519" s="66"/>
      <c r="N519" s="66"/>
    </row>
    <row r="520" spans="1:14" x14ac:dyDescent="0.2">
      <c r="A520" s="84"/>
      <c r="B520" s="84"/>
      <c r="C520" s="60"/>
      <c r="D520" s="66"/>
      <c r="E520" s="66"/>
      <c r="F520" s="66"/>
      <c r="G520" s="66"/>
      <c r="H520" s="66"/>
      <c r="I520" s="66"/>
      <c r="J520" s="66"/>
      <c r="K520" s="66"/>
      <c r="L520" s="66"/>
      <c r="M520" s="66"/>
      <c r="N520" s="66"/>
    </row>
    <row r="521" spans="1:14" x14ac:dyDescent="0.2">
      <c r="A521" s="84"/>
      <c r="B521" s="84"/>
      <c r="C521" s="60"/>
      <c r="D521" s="66"/>
      <c r="E521" s="66"/>
      <c r="F521" s="66"/>
      <c r="G521" s="66"/>
      <c r="H521" s="66"/>
      <c r="I521" s="66"/>
      <c r="J521" s="66"/>
      <c r="K521" s="66"/>
      <c r="L521" s="66"/>
      <c r="M521" s="66"/>
      <c r="N521" s="66"/>
    </row>
    <row r="522" spans="1:14" x14ac:dyDescent="0.2">
      <c r="A522" s="84"/>
      <c r="B522" s="84"/>
      <c r="C522" s="60"/>
      <c r="D522" s="66"/>
      <c r="E522" s="66"/>
      <c r="F522" s="66"/>
      <c r="G522" s="66"/>
      <c r="H522" s="66"/>
      <c r="I522" s="66"/>
      <c r="J522" s="66"/>
      <c r="K522" s="66"/>
      <c r="L522" s="66"/>
      <c r="M522" s="66"/>
      <c r="N522" s="66"/>
    </row>
    <row r="523" spans="1:14" x14ac:dyDescent="0.2">
      <c r="A523" s="84"/>
      <c r="B523" s="84"/>
      <c r="C523" s="60"/>
      <c r="D523" s="66"/>
      <c r="E523" s="66"/>
      <c r="F523" s="66"/>
      <c r="G523" s="66"/>
      <c r="H523" s="66"/>
      <c r="I523" s="66"/>
      <c r="J523" s="66"/>
      <c r="K523" s="66"/>
      <c r="L523" s="66"/>
      <c r="M523" s="66"/>
      <c r="N523" s="66"/>
    </row>
    <row r="524" spans="1:14" x14ac:dyDescent="0.2">
      <c r="A524" s="84"/>
      <c r="B524" s="84"/>
      <c r="C524" s="60"/>
      <c r="D524" s="66"/>
      <c r="E524" s="66"/>
      <c r="F524" s="66"/>
      <c r="G524" s="66"/>
      <c r="H524" s="66"/>
      <c r="I524" s="66"/>
      <c r="J524" s="66"/>
      <c r="K524" s="66"/>
      <c r="L524" s="66"/>
      <c r="M524" s="66"/>
      <c r="N524" s="66"/>
    </row>
    <row r="525" spans="1:14" x14ac:dyDescent="0.2">
      <c r="A525" s="84"/>
      <c r="B525" s="84"/>
      <c r="C525" s="60"/>
      <c r="D525" s="66"/>
      <c r="E525" s="66"/>
      <c r="F525" s="66"/>
      <c r="G525" s="66"/>
      <c r="H525" s="66"/>
      <c r="I525" s="66"/>
      <c r="J525" s="66"/>
      <c r="K525" s="66"/>
      <c r="L525" s="66"/>
      <c r="M525" s="66"/>
      <c r="N525" s="66"/>
    </row>
    <row r="526" spans="1:14" x14ac:dyDescent="0.2">
      <c r="A526" s="84"/>
      <c r="B526" s="84"/>
      <c r="C526" s="60"/>
      <c r="D526" s="66"/>
      <c r="E526" s="66"/>
      <c r="F526" s="66"/>
      <c r="G526" s="66"/>
      <c r="H526" s="66"/>
      <c r="I526" s="66"/>
      <c r="J526" s="66"/>
      <c r="K526" s="66"/>
      <c r="L526" s="66"/>
      <c r="M526" s="66"/>
      <c r="N526" s="66"/>
    </row>
    <row r="527" spans="1:14" x14ac:dyDescent="0.2">
      <c r="A527" s="84"/>
      <c r="B527" s="84"/>
      <c r="C527" s="60"/>
      <c r="D527" s="66"/>
      <c r="E527" s="66"/>
      <c r="F527" s="66"/>
      <c r="G527" s="66"/>
      <c r="H527" s="66"/>
      <c r="I527" s="66"/>
      <c r="J527" s="66"/>
      <c r="K527" s="66"/>
      <c r="L527" s="66"/>
      <c r="M527" s="66"/>
      <c r="N527" s="66"/>
    </row>
    <row r="528" spans="1:14" x14ac:dyDescent="0.2">
      <c r="A528" s="84"/>
      <c r="B528" s="84"/>
      <c r="C528" s="60"/>
      <c r="D528" s="66"/>
      <c r="E528" s="66"/>
      <c r="F528" s="66"/>
      <c r="G528" s="66"/>
      <c r="H528" s="66"/>
      <c r="I528" s="66"/>
      <c r="J528" s="66"/>
      <c r="K528" s="66"/>
      <c r="L528" s="66"/>
      <c r="M528" s="66"/>
      <c r="N528" s="66"/>
    </row>
    <row r="529" spans="1:14" x14ac:dyDescent="0.2">
      <c r="A529" s="84"/>
      <c r="B529" s="84"/>
      <c r="C529" s="60"/>
      <c r="D529" s="66"/>
      <c r="E529" s="66"/>
      <c r="F529" s="66"/>
      <c r="G529" s="66"/>
      <c r="H529" s="66"/>
      <c r="I529" s="66"/>
      <c r="J529" s="66"/>
      <c r="K529" s="66"/>
      <c r="L529" s="66"/>
      <c r="M529" s="66"/>
      <c r="N529" s="66"/>
    </row>
    <row r="530" spans="1:14" x14ac:dyDescent="0.2">
      <c r="A530" s="84"/>
      <c r="B530" s="84"/>
      <c r="C530" s="60"/>
      <c r="D530" s="66"/>
      <c r="E530" s="66"/>
      <c r="F530" s="66"/>
      <c r="G530" s="66"/>
      <c r="H530" s="66"/>
      <c r="I530" s="66"/>
      <c r="J530" s="66"/>
      <c r="K530" s="66"/>
      <c r="L530" s="66"/>
      <c r="M530" s="66"/>
      <c r="N530" s="66"/>
    </row>
    <row r="531" spans="1:14" x14ac:dyDescent="0.2">
      <c r="A531" s="84"/>
      <c r="B531" s="84"/>
      <c r="C531" s="60"/>
      <c r="D531" s="66"/>
      <c r="E531" s="66"/>
      <c r="F531" s="66"/>
      <c r="G531" s="66"/>
      <c r="H531" s="66"/>
      <c r="I531" s="66"/>
      <c r="J531" s="66"/>
      <c r="K531" s="66"/>
      <c r="L531" s="66"/>
      <c r="M531" s="66"/>
      <c r="N531" s="66"/>
    </row>
    <row r="532" spans="1:14" x14ac:dyDescent="0.2">
      <c r="A532" s="84"/>
      <c r="B532" s="84"/>
      <c r="C532" s="60"/>
      <c r="D532" s="66"/>
      <c r="E532" s="66"/>
      <c r="F532" s="66"/>
      <c r="G532" s="66"/>
      <c r="H532" s="66"/>
      <c r="I532" s="66"/>
      <c r="J532" s="66"/>
      <c r="K532" s="66"/>
      <c r="L532" s="66"/>
      <c r="M532" s="66"/>
      <c r="N532" s="66"/>
    </row>
    <row r="533" spans="1:14" x14ac:dyDescent="0.2">
      <c r="A533" s="84"/>
      <c r="B533" s="84"/>
      <c r="C533" s="60"/>
      <c r="D533" s="66"/>
      <c r="E533" s="66"/>
      <c r="F533" s="66"/>
      <c r="G533" s="66"/>
      <c r="H533" s="66"/>
      <c r="I533" s="66"/>
      <c r="J533" s="66"/>
      <c r="K533" s="66"/>
      <c r="L533" s="66"/>
      <c r="M533" s="66"/>
      <c r="N533" s="66"/>
    </row>
    <row r="534" spans="1:14" x14ac:dyDescent="0.2">
      <c r="A534" s="84"/>
      <c r="B534" s="84"/>
      <c r="C534" s="60"/>
      <c r="D534" s="66"/>
      <c r="E534" s="66"/>
      <c r="F534" s="66"/>
      <c r="G534" s="66"/>
      <c r="H534" s="66"/>
      <c r="I534" s="66"/>
      <c r="J534" s="66"/>
      <c r="K534" s="66"/>
      <c r="L534" s="66"/>
      <c r="M534" s="66"/>
      <c r="N534" s="66"/>
    </row>
    <row r="535" spans="1:14" x14ac:dyDescent="0.2">
      <c r="A535" s="84"/>
      <c r="B535" s="84"/>
      <c r="C535" s="60"/>
      <c r="D535" s="66"/>
      <c r="E535" s="66"/>
      <c r="F535" s="66"/>
      <c r="G535" s="66"/>
      <c r="H535" s="66"/>
      <c r="I535" s="66"/>
      <c r="J535" s="66"/>
      <c r="K535" s="66"/>
      <c r="L535" s="66"/>
      <c r="M535" s="66"/>
      <c r="N535" s="66"/>
    </row>
    <row r="536" spans="1:14" x14ac:dyDescent="0.2">
      <c r="A536" s="84"/>
      <c r="B536" s="84"/>
      <c r="C536" s="60"/>
      <c r="D536" s="66"/>
      <c r="E536" s="66"/>
      <c r="F536" s="66"/>
      <c r="G536" s="66"/>
      <c r="H536" s="66"/>
      <c r="I536" s="66"/>
      <c r="J536" s="66"/>
      <c r="K536" s="66"/>
      <c r="L536" s="66"/>
      <c r="M536" s="66"/>
      <c r="N536" s="66"/>
    </row>
    <row r="537" spans="1:14" x14ac:dyDescent="0.2">
      <c r="A537" s="84"/>
      <c r="B537" s="84"/>
      <c r="C537" s="60"/>
      <c r="D537" s="66"/>
      <c r="E537" s="66"/>
      <c r="F537" s="66"/>
      <c r="G537" s="66"/>
      <c r="H537" s="66"/>
      <c r="I537" s="66"/>
      <c r="J537" s="66"/>
      <c r="K537" s="66"/>
      <c r="L537" s="66"/>
      <c r="M537" s="66"/>
      <c r="N537" s="66"/>
    </row>
    <row r="538" spans="1:14" x14ac:dyDescent="0.2">
      <c r="A538" s="84"/>
      <c r="B538" s="84"/>
      <c r="C538" s="60"/>
      <c r="D538" s="66"/>
      <c r="E538" s="66"/>
      <c r="F538" s="66"/>
      <c r="G538" s="66"/>
      <c r="H538" s="66"/>
      <c r="I538" s="66"/>
      <c r="J538" s="66"/>
      <c r="K538" s="66"/>
      <c r="L538" s="66"/>
      <c r="M538" s="66"/>
      <c r="N538" s="66"/>
    </row>
    <row r="539" spans="1:14" x14ac:dyDescent="0.2">
      <c r="A539" s="84"/>
      <c r="B539" s="84"/>
      <c r="C539" s="60"/>
      <c r="D539" s="66"/>
      <c r="E539" s="66"/>
      <c r="F539" s="66"/>
      <c r="G539" s="66"/>
      <c r="H539" s="66"/>
      <c r="I539" s="66"/>
      <c r="J539" s="66"/>
      <c r="K539" s="66"/>
      <c r="L539" s="66"/>
      <c r="M539" s="66"/>
      <c r="N539" s="66"/>
    </row>
    <row r="540" spans="1:14" x14ac:dyDescent="0.2">
      <c r="A540" s="84"/>
      <c r="B540" s="84"/>
      <c r="C540" s="60"/>
      <c r="D540" s="66"/>
      <c r="E540" s="66"/>
      <c r="F540" s="66"/>
      <c r="G540" s="66"/>
      <c r="H540" s="66"/>
      <c r="I540" s="66"/>
      <c r="J540" s="66"/>
      <c r="K540" s="66"/>
      <c r="L540" s="66"/>
      <c r="M540" s="66"/>
      <c r="N540" s="66"/>
    </row>
    <row r="541" spans="1:14" x14ac:dyDescent="0.2">
      <c r="A541" s="84"/>
      <c r="B541" s="84"/>
      <c r="C541" s="60"/>
      <c r="D541" s="66"/>
      <c r="E541" s="66"/>
      <c r="F541" s="66"/>
      <c r="G541" s="66"/>
      <c r="H541" s="66"/>
      <c r="I541" s="66"/>
      <c r="J541" s="66"/>
      <c r="K541" s="66"/>
      <c r="L541" s="66"/>
      <c r="M541" s="66"/>
      <c r="N541" s="66"/>
    </row>
    <row r="542" spans="1:14" x14ac:dyDescent="0.2">
      <c r="A542" s="84"/>
      <c r="B542" s="84"/>
      <c r="C542" s="60"/>
      <c r="D542" s="66"/>
      <c r="E542" s="66"/>
      <c r="F542" s="66"/>
      <c r="G542" s="66"/>
      <c r="H542" s="66"/>
      <c r="I542" s="66"/>
      <c r="J542" s="66"/>
      <c r="K542" s="66"/>
      <c r="L542" s="66"/>
      <c r="M542" s="66"/>
      <c r="N542" s="66"/>
    </row>
    <row r="543" spans="1:14" x14ac:dyDescent="0.2">
      <c r="A543" s="84"/>
      <c r="B543" s="84"/>
      <c r="C543" s="60"/>
      <c r="D543" s="66"/>
      <c r="E543" s="66"/>
      <c r="F543" s="66"/>
      <c r="G543" s="66"/>
      <c r="H543" s="66"/>
      <c r="I543" s="66"/>
      <c r="J543" s="66"/>
      <c r="K543" s="66"/>
      <c r="L543" s="66"/>
      <c r="M543" s="66"/>
      <c r="N543" s="66"/>
    </row>
    <row r="544" spans="1:14" x14ac:dyDescent="0.2">
      <c r="A544" s="84"/>
      <c r="B544" s="84"/>
      <c r="C544" s="60"/>
      <c r="D544" s="66"/>
      <c r="E544" s="66"/>
      <c r="F544" s="66"/>
      <c r="G544" s="66"/>
      <c r="H544" s="66"/>
      <c r="I544" s="66"/>
      <c r="J544" s="66"/>
      <c r="K544" s="66"/>
      <c r="L544" s="66"/>
      <c r="M544" s="66"/>
      <c r="N544" s="66"/>
    </row>
    <row r="545" spans="1:14" x14ac:dyDescent="0.2">
      <c r="A545" s="84"/>
      <c r="B545" s="84"/>
      <c r="C545" s="60"/>
      <c r="D545" s="66"/>
      <c r="E545" s="66"/>
      <c r="F545" s="66"/>
      <c r="G545" s="66"/>
      <c r="H545" s="66"/>
      <c r="I545" s="66"/>
      <c r="J545" s="66"/>
      <c r="K545" s="66"/>
      <c r="L545" s="66"/>
      <c r="M545" s="66"/>
      <c r="N545" s="66"/>
    </row>
    <row r="546" spans="1:14" x14ac:dyDescent="0.2">
      <c r="A546" s="84"/>
      <c r="B546" s="84"/>
      <c r="C546" s="60"/>
      <c r="D546" s="66"/>
      <c r="E546" s="66"/>
      <c r="F546" s="66"/>
      <c r="G546" s="66"/>
      <c r="H546" s="66"/>
      <c r="I546" s="66"/>
      <c r="J546" s="66"/>
      <c r="K546" s="66"/>
      <c r="L546" s="66"/>
      <c r="M546" s="66"/>
      <c r="N546" s="66"/>
    </row>
    <row r="547" spans="1:14" x14ac:dyDescent="0.2">
      <c r="A547" s="84"/>
      <c r="B547" s="84"/>
      <c r="C547" s="60"/>
      <c r="D547" s="66"/>
      <c r="E547" s="66"/>
      <c r="F547" s="66"/>
      <c r="G547" s="66"/>
      <c r="H547" s="66"/>
      <c r="I547" s="66"/>
      <c r="J547" s="66"/>
      <c r="K547" s="66"/>
      <c r="L547" s="66"/>
      <c r="M547" s="66"/>
      <c r="N547" s="66"/>
    </row>
    <row r="548" spans="1:14" x14ac:dyDescent="0.2">
      <c r="A548" s="84"/>
      <c r="B548" s="84"/>
      <c r="C548" s="60"/>
      <c r="D548" s="66"/>
      <c r="E548" s="66"/>
      <c r="F548" s="66"/>
      <c r="G548" s="66"/>
      <c r="H548" s="66"/>
      <c r="I548" s="66"/>
      <c r="J548" s="66"/>
      <c r="K548" s="66"/>
      <c r="L548" s="66"/>
      <c r="M548" s="66"/>
      <c r="N548" s="66"/>
    </row>
    <row r="549" spans="1:14" x14ac:dyDescent="0.2">
      <c r="A549" s="84"/>
      <c r="B549" s="84"/>
      <c r="C549" s="60"/>
      <c r="D549" s="66"/>
      <c r="E549" s="66"/>
      <c r="F549" s="66"/>
      <c r="G549" s="66"/>
      <c r="H549" s="66"/>
      <c r="I549" s="66"/>
      <c r="J549" s="66"/>
      <c r="K549" s="66"/>
      <c r="L549" s="66"/>
      <c r="M549" s="66"/>
      <c r="N549" s="66"/>
    </row>
    <row r="550" spans="1:14" x14ac:dyDescent="0.2">
      <c r="A550" s="84"/>
      <c r="B550" s="84"/>
      <c r="C550" s="60"/>
      <c r="D550" s="66"/>
      <c r="E550" s="66"/>
      <c r="F550" s="66"/>
      <c r="G550" s="66"/>
      <c r="H550" s="66"/>
      <c r="I550" s="66"/>
      <c r="J550" s="66"/>
      <c r="K550" s="66"/>
      <c r="L550" s="66"/>
      <c r="M550" s="66"/>
      <c r="N550" s="66"/>
    </row>
    <row r="551" spans="1:14" x14ac:dyDescent="0.2">
      <c r="A551" s="84"/>
      <c r="B551" s="84"/>
      <c r="C551" s="60"/>
      <c r="D551" s="66"/>
      <c r="E551" s="66"/>
      <c r="F551" s="66"/>
      <c r="G551" s="66"/>
      <c r="H551" s="66"/>
      <c r="I551" s="66"/>
      <c r="J551" s="66"/>
      <c r="K551" s="66"/>
      <c r="L551" s="66"/>
      <c r="M551" s="66"/>
      <c r="N551" s="66"/>
    </row>
    <row r="552" spans="1:14" x14ac:dyDescent="0.2">
      <c r="A552" s="84"/>
      <c r="B552" s="84"/>
      <c r="C552" s="60"/>
      <c r="D552" s="66"/>
      <c r="E552" s="66"/>
      <c r="F552" s="66"/>
      <c r="G552" s="66"/>
      <c r="H552" s="66"/>
      <c r="I552" s="66"/>
      <c r="J552" s="66"/>
      <c r="K552" s="66"/>
      <c r="L552" s="66"/>
      <c r="M552" s="66"/>
      <c r="N552" s="66"/>
    </row>
    <row r="553" spans="1:14" x14ac:dyDescent="0.2">
      <c r="A553" s="84"/>
      <c r="B553" s="84"/>
      <c r="C553" s="60"/>
      <c r="D553" s="66"/>
      <c r="E553" s="66"/>
      <c r="F553" s="66"/>
      <c r="G553" s="66"/>
      <c r="H553" s="66"/>
      <c r="I553" s="66"/>
      <c r="J553" s="66"/>
      <c r="K553" s="66"/>
      <c r="L553" s="66"/>
      <c r="M553" s="66"/>
      <c r="N553" s="66"/>
    </row>
    <row r="554" spans="1:14" x14ac:dyDescent="0.2">
      <c r="A554" s="84"/>
      <c r="B554" s="84"/>
      <c r="C554" s="60"/>
      <c r="D554" s="66"/>
      <c r="E554" s="66"/>
      <c r="F554" s="66"/>
      <c r="G554" s="66"/>
      <c r="H554" s="66"/>
      <c r="I554" s="66"/>
      <c r="J554" s="66"/>
      <c r="K554" s="66"/>
      <c r="L554" s="66"/>
      <c r="M554" s="66"/>
      <c r="N554" s="66"/>
    </row>
    <row r="555" spans="1:14" x14ac:dyDescent="0.2">
      <c r="A555" s="84"/>
      <c r="B555" s="84"/>
      <c r="C555" s="60"/>
      <c r="D555" s="66"/>
      <c r="E555" s="66"/>
      <c r="F555" s="66"/>
      <c r="G555" s="66"/>
      <c r="H555" s="66"/>
      <c r="I555" s="66"/>
      <c r="J555" s="66"/>
      <c r="K555" s="66"/>
      <c r="L555" s="66"/>
      <c r="M555" s="66"/>
      <c r="N555" s="66"/>
    </row>
    <row r="556" spans="1:14" x14ac:dyDescent="0.2">
      <c r="A556" s="84"/>
      <c r="B556" s="84"/>
      <c r="C556" s="60"/>
      <c r="D556" s="66"/>
      <c r="E556" s="66"/>
      <c r="F556" s="66"/>
      <c r="G556" s="66"/>
      <c r="H556" s="66"/>
      <c r="I556" s="66"/>
      <c r="J556" s="66"/>
      <c r="K556" s="66"/>
      <c r="L556" s="66"/>
      <c r="M556" s="66"/>
      <c r="N556" s="66"/>
    </row>
    <row r="557" spans="1:14" x14ac:dyDescent="0.2">
      <c r="A557" s="84"/>
      <c r="B557" s="84"/>
      <c r="C557" s="60"/>
      <c r="D557" s="66"/>
      <c r="E557" s="66"/>
      <c r="F557" s="66"/>
      <c r="G557" s="66"/>
      <c r="H557" s="66"/>
      <c r="I557" s="66"/>
      <c r="J557" s="66"/>
      <c r="K557" s="66"/>
      <c r="L557" s="66"/>
      <c r="M557" s="66"/>
      <c r="N557" s="66"/>
    </row>
    <row r="558" spans="1:14" x14ac:dyDescent="0.2">
      <c r="A558" s="84"/>
      <c r="B558" s="84"/>
      <c r="C558" s="60"/>
      <c r="D558" s="66"/>
      <c r="E558" s="66"/>
      <c r="F558" s="66"/>
      <c r="G558" s="66"/>
      <c r="H558" s="66"/>
      <c r="I558" s="66"/>
      <c r="J558" s="66"/>
      <c r="K558" s="66"/>
      <c r="L558" s="66"/>
      <c r="M558" s="66"/>
      <c r="N558" s="66"/>
    </row>
    <row r="559" spans="1:14" x14ac:dyDescent="0.2">
      <c r="A559" s="84"/>
      <c r="B559" s="84"/>
      <c r="C559" s="60"/>
      <c r="D559" s="66"/>
      <c r="E559" s="66"/>
      <c r="F559" s="66"/>
      <c r="G559" s="66"/>
      <c r="H559" s="66"/>
      <c r="I559" s="66"/>
      <c r="J559" s="66"/>
      <c r="K559" s="66"/>
      <c r="L559" s="66"/>
      <c r="M559" s="66"/>
      <c r="N559" s="66"/>
    </row>
    <row r="560" spans="1:14" x14ac:dyDescent="0.2">
      <c r="A560" s="84"/>
      <c r="B560" s="84"/>
      <c r="C560" s="60"/>
      <c r="D560" s="66"/>
      <c r="E560" s="66"/>
      <c r="F560" s="66"/>
      <c r="G560" s="66"/>
      <c r="H560" s="66"/>
      <c r="I560" s="66"/>
      <c r="J560" s="66"/>
      <c r="K560" s="66"/>
      <c r="L560" s="66"/>
      <c r="M560" s="66"/>
      <c r="N560" s="66"/>
    </row>
    <row r="561" spans="1:14" x14ac:dyDescent="0.2">
      <c r="A561" s="84"/>
      <c r="B561" s="84"/>
      <c r="C561" s="60"/>
      <c r="D561" s="66"/>
      <c r="E561" s="66"/>
      <c r="F561" s="66"/>
      <c r="G561" s="66"/>
      <c r="H561" s="66"/>
      <c r="I561" s="66"/>
      <c r="J561" s="66"/>
      <c r="K561" s="66"/>
      <c r="L561" s="66"/>
      <c r="M561" s="66"/>
      <c r="N561" s="66"/>
    </row>
    <row r="562" spans="1:14" x14ac:dyDescent="0.2">
      <c r="A562" s="84"/>
      <c r="B562" s="84"/>
      <c r="C562" s="60"/>
      <c r="D562" s="66"/>
      <c r="E562" s="66"/>
      <c r="F562" s="66"/>
      <c r="G562" s="66"/>
      <c r="H562" s="66"/>
      <c r="I562" s="66"/>
      <c r="J562" s="66"/>
      <c r="K562" s="66"/>
      <c r="L562" s="66"/>
      <c r="M562" s="66"/>
      <c r="N562" s="66"/>
    </row>
    <row r="563" spans="1:14" x14ac:dyDescent="0.2">
      <c r="A563" s="84"/>
      <c r="B563" s="84"/>
      <c r="C563" s="60"/>
      <c r="D563" s="66"/>
      <c r="E563" s="66"/>
      <c r="F563" s="66"/>
      <c r="G563" s="66"/>
      <c r="H563" s="66"/>
      <c r="I563" s="66"/>
      <c r="J563" s="66"/>
      <c r="K563" s="66"/>
      <c r="L563" s="66"/>
      <c r="M563" s="66"/>
      <c r="N563" s="66"/>
    </row>
    <row r="564" spans="1:14" x14ac:dyDescent="0.2">
      <c r="A564" s="84"/>
      <c r="B564" s="84"/>
      <c r="C564" s="60"/>
      <c r="D564" s="66"/>
      <c r="E564" s="66"/>
      <c r="F564" s="66"/>
      <c r="G564" s="66"/>
      <c r="H564" s="66"/>
      <c r="I564" s="66"/>
      <c r="J564" s="66"/>
      <c r="K564" s="66"/>
      <c r="L564" s="66"/>
      <c r="M564" s="66"/>
      <c r="N564" s="66"/>
    </row>
    <row r="565" spans="1:14" x14ac:dyDescent="0.2">
      <c r="A565" s="84"/>
      <c r="B565" s="84"/>
      <c r="C565" s="60"/>
      <c r="D565" s="66"/>
      <c r="E565" s="66"/>
      <c r="F565" s="66"/>
      <c r="G565" s="66"/>
      <c r="H565" s="66"/>
      <c r="I565" s="66"/>
      <c r="J565" s="66"/>
      <c r="K565" s="66"/>
      <c r="L565" s="66"/>
      <c r="M565" s="66"/>
      <c r="N565" s="66"/>
    </row>
    <row r="566" spans="1:14" x14ac:dyDescent="0.2">
      <c r="A566" s="84"/>
      <c r="B566" s="84"/>
      <c r="C566" s="60"/>
      <c r="D566" s="66"/>
      <c r="E566" s="66"/>
      <c r="F566" s="66"/>
      <c r="G566" s="66"/>
      <c r="H566" s="66"/>
      <c r="I566" s="66"/>
      <c r="J566" s="66"/>
      <c r="K566" s="66"/>
      <c r="L566" s="66"/>
      <c r="M566" s="66"/>
      <c r="N566" s="66"/>
    </row>
    <row r="567" spans="1:14" x14ac:dyDescent="0.2">
      <c r="A567" s="84"/>
      <c r="B567" s="84"/>
      <c r="C567" s="60"/>
      <c r="D567" s="66"/>
      <c r="E567" s="66"/>
      <c r="F567" s="66"/>
      <c r="G567" s="66"/>
      <c r="H567" s="66"/>
      <c r="I567" s="66"/>
      <c r="J567" s="66"/>
      <c r="K567" s="66"/>
      <c r="L567" s="66"/>
      <c r="M567" s="66"/>
      <c r="N567" s="66"/>
    </row>
    <row r="568" spans="1:14" x14ac:dyDescent="0.2">
      <c r="A568" s="84"/>
      <c r="B568" s="84"/>
      <c r="C568" s="60"/>
      <c r="D568" s="66"/>
      <c r="E568" s="66"/>
      <c r="F568" s="66"/>
      <c r="G568" s="66"/>
      <c r="H568" s="66"/>
      <c r="I568" s="66"/>
      <c r="J568" s="66"/>
      <c r="K568" s="66"/>
      <c r="L568" s="66"/>
      <c r="M568" s="66"/>
      <c r="N568" s="66"/>
    </row>
    <row r="569" spans="1:14" x14ac:dyDescent="0.2">
      <c r="A569" s="84"/>
      <c r="B569" s="84"/>
      <c r="C569" s="60"/>
      <c r="D569" s="66"/>
      <c r="E569" s="66"/>
      <c r="F569" s="66"/>
      <c r="G569" s="66"/>
      <c r="H569" s="66"/>
      <c r="I569" s="66"/>
      <c r="J569" s="66"/>
      <c r="K569" s="66"/>
      <c r="L569" s="66"/>
      <c r="M569" s="66"/>
      <c r="N569" s="66"/>
    </row>
    <row r="570" spans="1:14" x14ac:dyDescent="0.2">
      <c r="A570" s="84"/>
      <c r="B570" s="84"/>
      <c r="C570" s="60"/>
      <c r="D570" s="66"/>
      <c r="E570" s="66"/>
      <c r="F570" s="66"/>
      <c r="G570" s="66"/>
      <c r="H570" s="66"/>
      <c r="I570" s="66"/>
      <c r="J570" s="66"/>
      <c r="K570" s="66"/>
      <c r="L570" s="66"/>
      <c r="M570" s="66"/>
      <c r="N570" s="66"/>
    </row>
    <row r="571" spans="1:14" x14ac:dyDescent="0.2">
      <c r="A571" s="84"/>
      <c r="B571" s="84"/>
      <c r="C571" s="60"/>
      <c r="D571" s="66"/>
      <c r="E571" s="66"/>
      <c r="F571" s="66"/>
      <c r="G571" s="66"/>
      <c r="H571" s="66"/>
      <c r="I571" s="66"/>
      <c r="J571" s="66"/>
      <c r="K571" s="66"/>
      <c r="L571" s="66"/>
      <c r="M571" s="66"/>
      <c r="N571" s="66"/>
    </row>
    <row r="572" spans="1:14" x14ac:dyDescent="0.2">
      <c r="A572" s="84"/>
      <c r="B572" s="84"/>
      <c r="C572" s="60"/>
      <c r="D572" s="66"/>
      <c r="E572" s="66"/>
      <c r="F572" s="66"/>
      <c r="G572" s="66"/>
      <c r="H572" s="66"/>
      <c r="I572" s="66"/>
      <c r="J572" s="66"/>
      <c r="K572" s="66"/>
      <c r="L572" s="66"/>
      <c r="M572" s="66"/>
      <c r="N572" s="66"/>
    </row>
    <row r="573" spans="1:14" x14ac:dyDescent="0.2">
      <c r="A573" s="84"/>
      <c r="B573" s="84"/>
      <c r="C573" s="60"/>
      <c r="D573" s="66"/>
      <c r="E573" s="66"/>
      <c r="F573" s="66"/>
      <c r="G573" s="66"/>
      <c r="H573" s="66"/>
      <c r="I573" s="66"/>
      <c r="J573" s="66"/>
      <c r="K573" s="66"/>
      <c r="L573" s="66"/>
      <c r="M573" s="66"/>
      <c r="N573" s="66"/>
    </row>
    <row r="574" spans="1:14" x14ac:dyDescent="0.2">
      <c r="A574" s="84"/>
      <c r="B574" s="84"/>
      <c r="C574" s="60"/>
      <c r="D574" s="66"/>
      <c r="E574" s="66"/>
      <c r="F574" s="66"/>
      <c r="G574" s="66"/>
      <c r="H574" s="66"/>
      <c r="I574" s="66"/>
      <c r="J574" s="66"/>
      <c r="K574" s="66"/>
      <c r="L574" s="66"/>
      <c r="M574" s="66"/>
      <c r="N574" s="66"/>
    </row>
    <row r="575" spans="1:14" x14ac:dyDescent="0.2">
      <c r="A575" s="84"/>
      <c r="B575" s="84"/>
      <c r="C575" s="60"/>
      <c r="D575" s="66"/>
      <c r="E575" s="66"/>
      <c r="F575" s="66"/>
      <c r="G575" s="66"/>
      <c r="H575" s="66"/>
      <c r="I575" s="66"/>
      <c r="J575" s="66"/>
      <c r="K575" s="66"/>
      <c r="L575" s="66"/>
      <c r="M575" s="66"/>
      <c r="N575" s="66"/>
    </row>
    <row r="576" spans="1:14" x14ac:dyDescent="0.2">
      <c r="A576" s="84"/>
      <c r="B576" s="84"/>
      <c r="C576" s="60"/>
      <c r="D576" s="66"/>
      <c r="E576" s="66"/>
      <c r="F576" s="66"/>
      <c r="G576" s="66"/>
      <c r="H576" s="66"/>
      <c r="I576" s="66"/>
      <c r="J576" s="66"/>
      <c r="K576" s="66"/>
      <c r="L576" s="66"/>
      <c r="M576" s="66"/>
      <c r="N576" s="66"/>
    </row>
    <row r="577" spans="1:14" x14ac:dyDescent="0.2">
      <c r="A577" s="84"/>
      <c r="B577" s="84"/>
      <c r="C577" s="60"/>
      <c r="D577" s="66"/>
      <c r="E577" s="66"/>
      <c r="F577" s="66"/>
      <c r="G577" s="66"/>
      <c r="H577" s="66"/>
      <c r="I577" s="66"/>
      <c r="J577" s="66"/>
      <c r="K577" s="66"/>
      <c r="L577" s="66"/>
      <c r="M577" s="66"/>
      <c r="N577" s="66"/>
    </row>
    <row r="578" spans="1:14" x14ac:dyDescent="0.2">
      <c r="A578" s="84"/>
      <c r="B578" s="84"/>
      <c r="C578" s="60"/>
      <c r="D578" s="66"/>
      <c r="E578" s="66"/>
      <c r="F578" s="66"/>
      <c r="G578" s="66"/>
      <c r="H578" s="66"/>
      <c r="I578" s="66"/>
      <c r="J578" s="66"/>
      <c r="K578" s="66"/>
      <c r="L578" s="66"/>
      <c r="M578" s="66"/>
      <c r="N578" s="66"/>
    </row>
    <row r="579" spans="1:14" x14ac:dyDescent="0.2">
      <c r="A579" s="84"/>
      <c r="B579" s="84"/>
      <c r="C579" s="60"/>
      <c r="D579" s="66"/>
      <c r="E579" s="66"/>
      <c r="F579" s="66"/>
      <c r="G579" s="66"/>
      <c r="H579" s="66"/>
      <c r="I579" s="66"/>
      <c r="J579" s="66"/>
      <c r="K579" s="66"/>
      <c r="L579" s="66"/>
      <c r="M579" s="66"/>
      <c r="N579" s="66"/>
    </row>
    <row r="580" spans="1:14" x14ac:dyDescent="0.2">
      <c r="A580" s="84"/>
      <c r="B580" s="84"/>
      <c r="C580" s="60"/>
      <c r="D580" s="66"/>
      <c r="E580" s="66"/>
      <c r="F580" s="66"/>
      <c r="G580" s="66"/>
      <c r="H580" s="66"/>
      <c r="I580" s="66"/>
      <c r="J580" s="66"/>
      <c r="K580" s="66"/>
      <c r="L580" s="66"/>
      <c r="M580" s="66"/>
      <c r="N580" s="66"/>
    </row>
    <row r="581" spans="1:14" x14ac:dyDescent="0.2">
      <c r="A581" s="84"/>
      <c r="B581" s="84"/>
      <c r="C581" s="60"/>
      <c r="D581" s="66"/>
      <c r="E581" s="66"/>
      <c r="F581" s="66"/>
      <c r="G581" s="66"/>
      <c r="H581" s="66"/>
      <c r="I581" s="66"/>
      <c r="J581" s="66"/>
      <c r="K581" s="66"/>
      <c r="L581" s="66"/>
      <c r="M581" s="66"/>
      <c r="N581" s="66"/>
    </row>
    <row r="582" spans="1:14" x14ac:dyDescent="0.2">
      <c r="A582" s="84"/>
      <c r="B582" s="84"/>
      <c r="C582" s="60"/>
      <c r="D582" s="66"/>
      <c r="E582" s="66"/>
      <c r="F582" s="66"/>
      <c r="G582" s="66"/>
      <c r="H582" s="66"/>
      <c r="I582" s="66"/>
      <c r="J582" s="66"/>
      <c r="K582" s="66"/>
      <c r="L582" s="66"/>
      <c r="M582" s="66"/>
      <c r="N582" s="66"/>
    </row>
    <row r="583" spans="1:14" x14ac:dyDescent="0.2">
      <c r="A583" s="84"/>
      <c r="B583" s="84"/>
      <c r="C583" s="60"/>
      <c r="D583" s="66"/>
      <c r="E583" s="66"/>
      <c r="F583" s="66"/>
      <c r="G583" s="66"/>
      <c r="H583" s="66"/>
      <c r="I583" s="66"/>
      <c r="J583" s="66"/>
      <c r="K583" s="66"/>
      <c r="L583" s="66"/>
      <c r="M583" s="66"/>
      <c r="N583" s="66"/>
    </row>
    <row r="584" spans="1:14" x14ac:dyDescent="0.2">
      <c r="A584" s="84"/>
      <c r="B584" s="84"/>
      <c r="C584" s="60"/>
      <c r="D584" s="66"/>
      <c r="E584" s="66"/>
      <c r="F584" s="66"/>
      <c r="G584" s="66"/>
      <c r="H584" s="66"/>
      <c r="I584" s="66"/>
      <c r="J584" s="66"/>
      <c r="K584" s="66"/>
      <c r="L584" s="66"/>
      <c r="M584" s="66"/>
      <c r="N584" s="66"/>
    </row>
    <row r="585" spans="1:14" x14ac:dyDescent="0.2">
      <c r="A585" s="84"/>
      <c r="B585" s="84"/>
      <c r="C585" s="60"/>
      <c r="D585" s="66"/>
      <c r="E585" s="66"/>
      <c r="F585" s="66"/>
      <c r="G585" s="66"/>
      <c r="H585" s="66"/>
      <c r="I585" s="66"/>
      <c r="J585" s="66"/>
      <c r="K585" s="66"/>
      <c r="L585" s="66"/>
      <c r="M585" s="66"/>
      <c r="N585" s="66"/>
    </row>
    <row r="586" spans="1:14" x14ac:dyDescent="0.2">
      <c r="A586" s="84"/>
      <c r="B586" s="84"/>
      <c r="C586" s="60"/>
      <c r="D586" s="66"/>
      <c r="E586" s="66"/>
      <c r="F586" s="66"/>
      <c r="G586" s="66"/>
      <c r="H586" s="66"/>
      <c r="I586" s="66"/>
      <c r="J586" s="66"/>
      <c r="K586" s="66"/>
      <c r="L586" s="66"/>
      <c r="M586" s="66"/>
      <c r="N586" s="66"/>
    </row>
    <row r="587" spans="1:14" x14ac:dyDescent="0.2">
      <c r="A587" s="84"/>
      <c r="B587" s="84"/>
      <c r="C587" s="60"/>
      <c r="D587" s="66"/>
      <c r="E587" s="66"/>
      <c r="F587" s="66"/>
      <c r="G587" s="66"/>
      <c r="H587" s="66"/>
      <c r="I587" s="66"/>
      <c r="J587" s="66"/>
      <c r="K587" s="66"/>
      <c r="L587" s="66"/>
      <c r="M587" s="66"/>
      <c r="N587" s="66"/>
    </row>
    <row r="588" spans="1:14" x14ac:dyDescent="0.2">
      <c r="A588" s="84"/>
      <c r="B588" s="84"/>
      <c r="C588" s="60"/>
      <c r="D588" s="66"/>
      <c r="E588" s="66"/>
      <c r="F588" s="66"/>
      <c r="G588" s="66"/>
      <c r="H588" s="66"/>
      <c r="I588" s="66"/>
      <c r="J588" s="66"/>
      <c r="K588" s="66"/>
      <c r="L588" s="66"/>
      <c r="M588" s="66"/>
      <c r="N588" s="66"/>
    </row>
    <row r="589" spans="1:14" x14ac:dyDescent="0.2">
      <c r="A589" s="84"/>
      <c r="B589" s="84"/>
      <c r="C589" s="60"/>
      <c r="D589" s="66"/>
      <c r="E589" s="66"/>
      <c r="F589" s="66"/>
      <c r="G589" s="66"/>
      <c r="H589" s="66"/>
      <c r="I589" s="66"/>
      <c r="J589" s="66"/>
      <c r="K589" s="66"/>
      <c r="L589" s="66"/>
      <c r="M589" s="66"/>
      <c r="N589" s="66"/>
    </row>
    <row r="590" spans="1:14" x14ac:dyDescent="0.2">
      <c r="A590" s="84"/>
      <c r="B590" s="84"/>
      <c r="C590" s="60"/>
      <c r="D590" s="66"/>
      <c r="E590" s="66"/>
      <c r="F590" s="66"/>
      <c r="G590" s="66"/>
      <c r="H590" s="66"/>
      <c r="I590" s="66"/>
      <c r="J590" s="66"/>
      <c r="K590" s="66"/>
      <c r="L590" s="66"/>
      <c r="M590" s="66"/>
      <c r="N590" s="66"/>
    </row>
    <row r="591" spans="1:14" x14ac:dyDescent="0.2">
      <c r="A591" s="84"/>
      <c r="B591" s="84"/>
      <c r="C591" s="60"/>
      <c r="D591" s="66"/>
      <c r="E591" s="66"/>
      <c r="F591" s="66"/>
      <c r="G591" s="66"/>
      <c r="H591" s="66"/>
      <c r="I591" s="66"/>
      <c r="J591" s="66"/>
      <c r="K591" s="66"/>
      <c r="L591" s="66"/>
      <c r="M591" s="66"/>
      <c r="N591" s="66"/>
    </row>
    <row r="592" spans="1:14" x14ac:dyDescent="0.2">
      <c r="A592" s="84"/>
      <c r="B592" s="84"/>
      <c r="C592" s="60"/>
      <c r="D592" s="66"/>
      <c r="E592" s="66"/>
      <c r="F592" s="66"/>
      <c r="G592" s="66"/>
      <c r="H592" s="66"/>
      <c r="I592" s="66"/>
      <c r="J592" s="66"/>
      <c r="K592" s="66"/>
      <c r="L592" s="66"/>
      <c r="M592" s="66"/>
      <c r="N592" s="66"/>
    </row>
    <row r="593" spans="1:14" x14ac:dyDescent="0.2">
      <c r="A593" s="84"/>
      <c r="B593" s="84"/>
      <c r="C593" s="60"/>
      <c r="D593" s="66"/>
      <c r="E593" s="66"/>
      <c r="F593" s="66"/>
      <c r="G593" s="66"/>
      <c r="H593" s="66"/>
      <c r="I593" s="66"/>
      <c r="J593" s="66"/>
      <c r="K593" s="66"/>
      <c r="L593" s="66"/>
      <c r="M593" s="66"/>
      <c r="N593" s="66"/>
    </row>
    <row r="594" spans="1:14" x14ac:dyDescent="0.2">
      <c r="A594" s="84"/>
      <c r="B594" s="84"/>
      <c r="C594" s="60"/>
      <c r="D594" s="66"/>
      <c r="E594" s="66"/>
      <c r="F594" s="66"/>
      <c r="G594" s="66"/>
      <c r="H594" s="66"/>
      <c r="I594" s="66"/>
      <c r="J594" s="66"/>
      <c r="K594" s="66"/>
      <c r="L594" s="66"/>
      <c r="M594" s="66"/>
      <c r="N594" s="66"/>
    </row>
    <row r="595" spans="1:14" x14ac:dyDescent="0.2">
      <c r="A595" s="84"/>
      <c r="B595" s="84"/>
      <c r="C595" s="60"/>
      <c r="D595" s="66"/>
      <c r="E595" s="66"/>
      <c r="F595" s="66"/>
      <c r="G595" s="66"/>
      <c r="H595" s="66"/>
      <c r="I595" s="66"/>
      <c r="J595" s="66"/>
      <c r="K595" s="66"/>
      <c r="L595" s="66"/>
      <c r="M595" s="66"/>
      <c r="N595" s="66"/>
    </row>
    <row r="596" spans="1:14" x14ac:dyDescent="0.2">
      <c r="A596" s="84"/>
      <c r="B596" s="84"/>
      <c r="C596" s="60"/>
      <c r="D596" s="66"/>
      <c r="E596" s="66"/>
      <c r="F596" s="66"/>
      <c r="G596" s="66"/>
      <c r="H596" s="66"/>
      <c r="I596" s="66"/>
      <c r="J596" s="66"/>
      <c r="K596" s="66"/>
      <c r="L596" s="66"/>
      <c r="M596" s="66"/>
      <c r="N596" s="66"/>
    </row>
    <row r="597" spans="1:14" x14ac:dyDescent="0.2">
      <c r="A597" s="84"/>
      <c r="B597" s="84"/>
      <c r="C597" s="60"/>
      <c r="D597" s="66"/>
      <c r="E597" s="66"/>
      <c r="F597" s="66"/>
      <c r="G597" s="66"/>
      <c r="H597" s="66"/>
      <c r="I597" s="66"/>
      <c r="J597" s="66"/>
      <c r="K597" s="66"/>
      <c r="L597" s="66"/>
      <c r="M597" s="66"/>
      <c r="N597" s="66"/>
    </row>
    <row r="598" spans="1:14" x14ac:dyDescent="0.2">
      <c r="A598" s="84"/>
      <c r="B598" s="84"/>
      <c r="C598" s="60"/>
      <c r="D598" s="66"/>
      <c r="E598" s="66"/>
      <c r="F598" s="66"/>
      <c r="G598" s="66"/>
      <c r="H598" s="66"/>
      <c r="I598" s="66"/>
      <c r="J598" s="66"/>
      <c r="K598" s="66"/>
      <c r="L598" s="66"/>
      <c r="M598" s="66"/>
      <c r="N598" s="66"/>
    </row>
    <row r="599" spans="1:14" x14ac:dyDescent="0.2">
      <c r="A599" s="84"/>
      <c r="B599" s="84"/>
      <c r="C599" s="60"/>
      <c r="D599" s="66"/>
      <c r="E599" s="66"/>
      <c r="F599" s="66"/>
      <c r="G599" s="66"/>
      <c r="H599" s="66"/>
      <c r="I599" s="66"/>
      <c r="J599" s="66"/>
      <c r="K599" s="66"/>
      <c r="L599" s="66"/>
      <c r="M599" s="66"/>
      <c r="N599" s="66"/>
    </row>
    <row r="600" spans="1:14" x14ac:dyDescent="0.2">
      <c r="A600" s="84"/>
      <c r="B600" s="84"/>
      <c r="C600" s="60"/>
      <c r="D600" s="66"/>
      <c r="E600" s="66"/>
      <c r="F600" s="66"/>
      <c r="G600" s="66"/>
      <c r="H600" s="66"/>
      <c r="I600" s="66"/>
      <c r="J600" s="66"/>
      <c r="K600" s="66"/>
      <c r="L600" s="66"/>
      <c r="M600" s="66"/>
      <c r="N600" s="66"/>
    </row>
    <row r="601" spans="1:14" x14ac:dyDescent="0.2">
      <c r="A601" s="84"/>
      <c r="B601" s="84"/>
      <c r="C601" s="60"/>
      <c r="D601" s="66"/>
      <c r="E601" s="66"/>
      <c r="F601" s="66"/>
      <c r="G601" s="66"/>
      <c r="H601" s="66"/>
      <c r="I601" s="66"/>
      <c r="J601" s="66"/>
      <c r="K601" s="66"/>
      <c r="L601" s="66"/>
      <c r="M601" s="66"/>
      <c r="N601" s="66"/>
    </row>
    <row r="602" spans="1:14" x14ac:dyDescent="0.2">
      <c r="A602" s="84"/>
      <c r="B602" s="84"/>
      <c r="C602" s="60"/>
      <c r="D602" s="66"/>
      <c r="E602" s="66"/>
      <c r="F602" s="66"/>
      <c r="G602" s="66"/>
      <c r="H602" s="66"/>
      <c r="I602" s="66"/>
      <c r="J602" s="66"/>
      <c r="K602" s="66"/>
      <c r="L602" s="66"/>
      <c r="M602" s="66"/>
      <c r="N602" s="66"/>
    </row>
    <row r="603" spans="1:14" x14ac:dyDescent="0.2">
      <c r="A603" s="84"/>
      <c r="B603" s="84"/>
      <c r="C603" s="60"/>
      <c r="D603" s="66"/>
      <c r="E603" s="66"/>
      <c r="F603" s="66"/>
      <c r="G603" s="66"/>
      <c r="H603" s="66"/>
      <c r="I603" s="66"/>
      <c r="J603" s="66"/>
      <c r="K603" s="66"/>
      <c r="L603" s="66"/>
      <c r="M603" s="66"/>
      <c r="N603" s="66"/>
    </row>
    <row r="604" spans="1:14" x14ac:dyDescent="0.2">
      <c r="A604" s="84"/>
      <c r="B604" s="84"/>
      <c r="C604" s="60"/>
      <c r="D604" s="66"/>
      <c r="E604" s="66"/>
      <c r="F604" s="66"/>
      <c r="G604" s="66"/>
      <c r="H604" s="66"/>
      <c r="I604" s="66"/>
      <c r="J604" s="66"/>
      <c r="K604" s="66"/>
      <c r="L604" s="66"/>
      <c r="M604" s="66"/>
      <c r="N604" s="66"/>
    </row>
    <row r="605" spans="1:14" x14ac:dyDescent="0.2">
      <c r="A605" s="84"/>
      <c r="B605" s="84"/>
      <c r="C605" s="60"/>
      <c r="D605" s="66"/>
      <c r="E605" s="66"/>
      <c r="F605" s="66"/>
      <c r="G605" s="66"/>
      <c r="H605" s="66"/>
      <c r="I605" s="66"/>
      <c r="J605" s="66"/>
      <c r="K605" s="66"/>
      <c r="L605" s="66"/>
      <c r="M605" s="66"/>
      <c r="N605" s="66"/>
    </row>
    <row r="606" spans="1:14" x14ac:dyDescent="0.2">
      <c r="A606" s="84"/>
      <c r="B606" s="84"/>
      <c r="C606" s="60"/>
      <c r="D606" s="66"/>
      <c r="E606" s="66"/>
      <c r="F606" s="66"/>
      <c r="G606" s="66"/>
      <c r="H606" s="66"/>
      <c r="I606" s="66"/>
      <c r="J606" s="66"/>
      <c r="K606" s="66"/>
      <c r="L606" s="66"/>
      <c r="M606" s="66"/>
      <c r="N606" s="66"/>
    </row>
    <row r="607" spans="1:14" x14ac:dyDescent="0.2">
      <c r="A607" s="84"/>
      <c r="B607" s="84"/>
      <c r="C607" s="60"/>
      <c r="D607" s="66"/>
      <c r="E607" s="66"/>
      <c r="F607" s="66"/>
      <c r="G607" s="66"/>
      <c r="H607" s="66"/>
      <c r="I607" s="66"/>
      <c r="J607" s="66"/>
      <c r="K607" s="66"/>
      <c r="L607" s="66"/>
      <c r="M607" s="66"/>
      <c r="N607" s="66"/>
    </row>
    <row r="608" spans="1:14" x14ac:dyDescent="0.2">
      <c r="A608" s="84"/>
      <c r="B608" s="84"/>
      <c r="C608" s="60"/>
      <c r="D608" s="66"/>
      <c r="E608" s="66"/>
      <c r="F608" s="66"/>
      <c r="G608" s="66"/>
      <c r="H608" s="66"/>
      <c r="I608" s="66"/>
      <c r="J608" s="66"/>
      <c r="K608" s="66"/>
      <c r="L608" s="66"/>
      <c r="M608" s="66"/>
      <c r="N608" s="66"/>
    </row>
    <row r="609" spans="1:14" x14ac:dyDescent="0.2">
      <c r="A609" s="84"/>
      <c r="B609" s="84"/>
      <c r="C609" s="60"/>
      <c r="D609" s="66"/>
      <c r="E609" s="66"/>
      <c r="F609" s="66"/>
      <c r="G609" s="66"/>
      <c r="H609" s="66"/>
      <c r="I609" s="66"/>
      <c r="J609" s="66"/>
      <c r="K609" s="66"/>
      <c r="L609" s="66"/>
      <c r="M609" s="66"/>
      <c r="N609" s="66"/>
    </row>
    <row r="610" spans="1:14" x14ac:dyDescent="0.2">
      <c r="A610" s="84"/>
      <c r="B610" s="84"/>
      <c r="C610" s="60"/>
      <c r="D610" s="66"/>
      <c r="E610" s="66"/>
      <c r="F610" s="66"/>
      <c r="G610" s="66"/>
      <c r="H610" s="66"/>
      <c r="I610" s="66"/>
      <c r="J610" s="66"/>
      <c r="K610" s="66"/>
      <c r="L610" s="66"/>
      <c r="M610" s="66"/>
      <c r="N610" s="66"/>
    </row>
    <row r="611" spans="1:14" x14ac:dyDescent="0.2">
      <c r="A611" s="84"/>
      <c r="B611" s="84"/>
      <c r="C611" s="60"/>
      <c r="D611" s="66"/>
      <c r="E611" s="66"/>
      <c r="F611" s="66"/>
      <c r="G611" s="66"/>
      <c r="H611" s="66"/>
      <c r="I611" s="66"/>
      <c r="J611" s="66"/>
      <c r="K611" s="66"/>
      <c r="L611" s="66"/>
      <c r="M611" s="66"/>
      <c r="N611" s="66"/>
    </row>
    <row r="612" spans="1:14" x14ac:dyDescent="0.2">
      <c r="A612" s="84"/>
      <c r="B612" s="84"/>
      <c r="C612" s="60"/>
      <c r="D612" s="66"/>
      <c r="E612" s="66"/>
      <c r="F612" s="66"/>
      <c r="G612" s="66"/>
      <c r="H612" s="66"/>
      <c r="I612" s="66"/>
      <c r="J612" s="66"/>
      <c r="K612" s="66"/>
      <c r="L612" s="66"/>
      <c r="M612" s="66"/>
      <c r="N612" s="66"/>
    </row>
    <row r="613" spans="1:14" x14ac:dyDescent="0.2">
      <c r="A613" s="84"/>
      <c r="B613" s="84"/>
      <c r="C613" s="60"/>
      <c r="D613" s="66"/>
      <c r="E613" s="66"/>
      <c r="F613" s="66"/>
      <c r="G613" s="66"/>
      <c r="H613" s="66"/>
      <c r="I613" s="66"/>
      <c r="J613" s="66"/>
      <c r="K613" s="66"/>
      <c r="L613" s="66"/>
      <c r="M613" s="66"/>
      <c r="N613" s="66"/>
    </row>
    <row r="614" spans="1:14" x14ac:dyDescent="0.2">
      <c r="A614" s="84"/>
      <c r="B614" s="84"/>
      <c r="C614" s="60"/>
      <c r="D614" s="66"/>
      <c r="E614" s="66"/>
      <c r="F614" s="66"/>
      <c r="G614" s="66"/>
      <c r="H614" s="66"/>
      <c r="I614" s="66"/>
      <c r="J614" s="66"/>
      <c r="K614" s="66"/>
      <c r="L614" s="66"/>
      <c r="M614" s="66"/>
      <c r="N614" s="66"/>
    </row>
    <row r="615" spans="1:14" x14ac:dyDescent="0.2">
      <c r="A615" s="84"/>
      <c r="B615" s="84"/>
      <c r="C615" s="60"/>
      <c r="D615" s="66"/>
      <c r="E615" s="66"/>
      <c r="F615" s="66"/>
      <c r="G615" s="66"/>
      <c r="H615" s="66"/>
      <c r="I615" s="66"/>
      <c r="J615" s="66"/>
      <c r="K615" s="66"/>
      <c r="L615" s="66"/>
      <c r="M615" s="66"/>
      <c r="N615" s="66"/>
    </row>
    <row r="616" spans="1:14" x14ac:dyDescent="0.2">
      <c r="A616" s="84"/>
      <c r="B616" s="84"/>
      <c r="C616" s="60"/>
      <c r="D616" s="66"/>
      <c r="E616" s="66"/>
      <c r="F616" s="66"/>
      <c r="G616" s="66"/>
      <c r="H616" s="66"/>
      <c r="I616" s="66"/>
      <c r="J616" s="66"/>
      <c r="K616" s="66"/>
      <c r="L616" s="66"/>
      <c r="M616" s="66"/>
      <c r="N616" s="66"/>
    </row>
    <row r="617" spans="1:14" x14ac:dyDescent="0.2">
      <c r="A617" s="84"/>
      <c r="B617" s="84"/>
      <c r="C617" s="60"/>
      <c r="D617" s="66"/>
      <c r="E617" s="66"/>
      <c r="F617" s="66"/>
      <c r="G617" s="66"/>
      <c r="H617" s="66"/>
      <c r="I617" s="66"/>
      <c r="J617" s="66"/>
      <c r="K617" s="66"/>
      <c r="L617" s="66"/>
      <c r="M617" s="66"/>
      <c r="N617" s="66"/>
    </row>
    <row r="618" spans="1:14" x14ac:dyDescent="0.2">
      <c r="A618" s="84"/>
      <c r="B618" s="84"/>
      <c r="C618" s="60"/>
      <c r="D618" s="66"/>
      <c r="E618" s="66"/>
      <c r="F618" s="66"/>
      <c r="G618" s="66"/>
      <c r="H618" s="66"/>
      <c r="I618" s="66"/>
      <c r="J618" s="66"/>
      <c r="K618" s="66"/>
      <c r="L618" s="66"/>
      <c r="M618" s="66"/>
      <c r="N618" s="66"/>
    </row>
    <row r="619" spans="1:14" x14ac:dyDescent="0.2">
      <c r="A619" s="84"/>
      <c r="B619" s="84"/>
      <c r="C619" s="60"/>
      <c r="D619" s="66"/>
      <c r="E619" s="66"/>
      <c r="F619" s="66"/>
      <c r="G619" s="66"/>
      <c r="H619" s="66"/>
      <c r="I619" s="66"/>
      <c r="J619" s="66"/>
      <c r="K619" s="66"/>
      <c r="L619" s="66"/>
      <c r="M619" s="66"/>
      <c r="N619" s="66"/>
    </row>
    <row r="620" spans="1:14" x14ac:dyDescent="0.2">
      <c r="A620" s="84"/>
      <c r="B620" s="84"/>
      <c r="C620" s="60"/>
      <c r="D620" s="66"/>
      <c r="E620" s="66"/>
      <c r="F620" s="66"/>
      <c r="G620" s="66"/>
      <c r="H620" s="66"/>
      <c r="I620" s="66"/>
      <c r="J620" s="66"/>
      <c r="K620" s="66"/>
      <c r="L620" s="66"/>
      <c r="M620" s="66"/>
      <c r="N620" s="66"/>
    </row>
    <row r="621" spans="1:14" x14ac:dyDescent="0.2">
      <c r="A621" s="84"/>
      <c r="B621" s="84"/>
      <c r="C621" s="60"/>
      <c r="D621" s="66"/>
      <c r="E621" s="66"/>
      <c r="F621" s="66"/>
      <c r="G621" s="66"/>
      <c r="H621" s="66"/>
      <c r="I621" s="66"/>
      <c r="J621" s="66"/>
      <c r="K621" s="66"/>
      <c r="L621" s="66"/>
      <c r="M621" s="66"/>
      <c r="N621" s="66"/>
    </row>
    <row r="622" spans="1:14" x14ac:dyDescent="0.2">
      <c r="A622" s="84"/>
      <c r="B622" s="84"/>
      <c r="C622" s="60"/>
      <c r="D622" s="66"/>
      <c r="E622" s="66"/>
      <c r="F622" s="66"/>
      <c r="G622" s="66"/>
      <c r="H622" s="66"/>
      <c r="I622" s="66"/>
      <c r="J622" s="66"/>
      <c r="K622" s="66"/>
      <c r="L622" s="66"/>
      <c r="M622" s="66"/>
      <c r="N622" s="66"/>
    </row>
    <row r="623" spans="1:14" x14ac:dyDescent="0.2">
      <c r="A623" s="84"/>
      <c r="B623" s="84"/>
      <c r="C623" s="60"/>
      <c r="D623" s="66"/>
      <c r="E623" s="66"/>
      <c r="F623" s="66"/>
      <c r="G623" s="66"/>
      <c r="H623" s="66"/>
      <c r="I623" s="66"/>
      <c r="J623" s="66"/>
      <c r="K623" s="66"/>
      <c r="L623" s="66"/>
      <c r="M623" s="66"/>
      <c r="N623" s="66"/>
    </row>
    <row r="624" spans="1:14" x14ac:dyDescent="0.2">
      <c r="A624" s="84"/>
      <c r="B624" s="84"/>
      <c r="C624" s="60"/>
      <c r="D624" s="66"/>
      <c r="E624" s="66"/>
      <c r="F624" s="66"/>
      <c r="G624" s="66"/>
      <c r="H624" s="66"/>
      <c r="I624" s="66"/>
      <c r="J624" s="66"/>
      <c r="K624" s="66"/>
      <c r="L624" s="66"/>
      <c r="M624" s="66"/>
      <c r="N624" s="66"/>
    </row>
    <row r="625" spans="1:14" x14ac:dyDescent="0.2">
      <c r="A625" s="84"/>
      <c r="B625" s="84"/>
      <c r="C625" s="60"/>
      <c r="D625" s="66"/>
      <c r="E625" s="66"/>
      <c r="F625" s="66"/>
      <c r="G625" s="66"/>
      <c r="H625" s="66"/>
      <c r="I625" s="66"/>
      <c r="J625" s="66"/>
      <c r="K625" s="66"/>
      <c r="L625" s="66"/>
      <c r="M625" s="66"/>
      <c r="N625" s="66"/>
    </row>
    <row r="626" spans="1:14" x14ac:dyDescent="0.2">
      <c r="A626" s="84"/>
      <c r="B626" s="84"/>
      <c r="C626" s="60"/>
      <c r="D626" s="66"/>
      <c r="E626" s="66"/>
      <c r="F626" s="66"/>
      <c r="G626" s="66"/>
      <c r="H626" s="66"/>
      <c r="I626" s="66"/>
      <c r="J626" s="66"/>
      <c r="K626" s="66"/>
      <c r="L626" s="66"/>
      <c r="M626" s="66"/>
      <c r="N626" s="66"/>
    </row>
    <row r="627" spans="1:14" x14ac:dyDescent="0.2">
      <c r="A627" s="84"/>
      <c r="B627" s="84"/>
      <c r="C627" s="60"/>
      <c r="D627" s="66"/>
      <c r="E627" s="66"/>
      <c r="F627" s="66"/>
      <c r="G627" s="66"/>
      <c r="H627" s="66"/>
      <c r="I627" s="66"/>
      <c r="J627" s="66"/>
      <c r="K627" s="66"/>
      <c r="L627" s="66"/>
      <c r="M627" s="66"/>
      <c r="N627" s="66"/>
    </row>
    <row r="628" spans="1:14" x14ac:dyDescent="0.2">
      <c r="A628" s="84"/>
      <c r="B628" s="84"/>
      <c r="C628" s="60"/>
      <c r="D628" s="66"/>
      <c r="E628" s="66"/>
      <c r="F628" s="66"/>
      <c r="G628" s="66"/>
      <c r="H628" s="66"/>
      <c r="I628" s="66"/>
      <c r="J628" s="66"/>
      <c r="K628" s="66"/>
      <c r="L628" s="66"/>
      <c r="M628" s="66"/>
      <c r="N628" s="66"/>
    </row>
    <row r="629" spans="1:14" x14ac:dyDescent="0.2">
      <c r="A629" s="84"/>
      <c r="B629" s="84"/>
      <c r="C629" s="60"/>
      <c r="D629" s="66"/>
      <c r="E629" s="66"/>
      <c r="F629" s="66"/>
      <c r="G629" s="66"/>
      <c r="H629" s="66"/>
      <c r="I629" s="66"/>
      <c r="J629" s="66"/>
      <c r="K629" s="66"/>
      <c r="L629" s="66"/>
      <c r="M629" s="66"/>
      <c r="N629" s="66"/>
    </row>
    <row r="630" spans="1:14" x14ac:dyDescent="0.2">
      <c r="A630" s="84"/>
      <c r="B630" s="84"/>
      <c r="C630" s="60"/>
      <c r="D630" s="66"/>
      <c r="E630" s="66"/>
      <c r="F630" s="66"/>
      <c r="G630" s="66"/>
      <c r="H630" s="66"/>
      <c r="I630" s="66"/>
      <c r="J630" s="66"/>
      <c r="K630" s="66"/>
      <c r="L630" s="66"/>
      <c r="M630" s="66"/>
      <c r="N630" s="66"/>
    </row>
    <row r="631" spans="1:14" x14ac:dyDescent="0.2">
      <c r="A631" s="84"/>
      <c r="B631" s="84"/>
      <c r="C631" s="60"/>
      <c r="D631" s="66"/>
      <c r="E631" s="66"/>
      <c r="F631" s="66"/>
      <c r="G631" s="66"/>
      <c r="H631" s="66"/>
      <c r="I631" s="66"/>
      <c r="J631" s="66"/>
      <c r="K631" s="66"/>
      <c r="L631" s="66"/>
      <c r="M631" s="66"/>
      <c r="N631" s="66"/>
    </row>
    <row r="632" spans="1:14" x14ac:dyDescent="0.2">
      <c r="A632" s="84"/>
      <c r="B632" s="84"/>
      <c r="C632" s="60"/>
      <c r="D632" s="66"/>
      <c r="E632" s="66"/>
      <c r="F632" s="66"/>
      <c r="G632" s="66"/>
      <c r="H632" s="66"/>
      <c r="I632" s="66"/>
      <c r="J632" s="66"/>
      <c r="K632" s="66"/>
      <c r="L632" s="66"/>
      <c r="M632" s="66"/>
      <c r="N632" s="66"/>
    </row>
    <row r="633" spans="1:14" x14ac:dyDescent="0.2">
      <c r="A633" s="84"/>
      <c r="B633" s="84"/>
      <c r="C633" s="60"/>
      <c r="D633" s="66"/>
      <c r="E633" s="66"/>
      <c r="F633" s="66"/>
      <c r="G633" s="66"/>
      <c r="H633" s="66"/>
      <c r="I633" s="66"/>
      <c r="J633" s="66"/>
      <c r="K633" s="66"/>
      <c r="L633" s="66"/>
      <c r="M633" s="66"/>
      <c r="N633" s="66"/>
    </row>
    <row r="634" spans="1:14" x14ac:dyDescent="0.2">
      <c r="A634" s="84"/>
      <c r="B634" s="84"/>
      <c r="C634" s="60"/>
      <c r="D634" s="66"/>
      <c r="E634" s="66"/>
      <c r="F634" s="66"/>
      <c r="G634" s="66"/>
      <c r="H634" s="66"/>
      <c r="I634" s="66"/>
      <c r="J634" s="66"/>
      <c r="K634" s="66"/>
      <c r="L634" s="66"/>
      <c r="M634" s="66"/>
      <c r="N634" s="66"/>
    </row>
    <row r="635" spans="1:14" x14ac:dyDescent="0.2">
      <c r="A635" s="84"/>
      <c r="B635" s="84"/>
      <c r="C635" s="60"/>
      <c r="D635" s="66"/>
      <c r="E635" s="66"/>
      <c r="F635" s="66"/>
      <c r="G635" s="66"/>
      <c r="H635" s="66"/>
      <c r="I635" s="66"/>
      <c r="J635" s="66"/>
      <c r="K635" s="66"/>
      <c r="L635" s="66"/>
      <c r="M635" s="66"/>
      <c r="N635" s="66"/>
    </row>
    <row r="636" spans="1:14" x14ac:dyDescent="0.2">
      <c r="A636" s="84"/>
      <c r="B636" s="84"/>
      <c r="C636" s="60"/>
      <c r="D636" s="66"/>
      <c r="E636" s="66"/>
      <c r="F636" s="66"/>
      <c r="G636" s="66"/>
      <c r="H636" s="66"/>
      <c r="I636" s="66"/>
      <c r="J636" s="66"/>
      <c r="K636" s="66"/>
      <c r="L636" s="66"/>
      <c r="M636" s="66"/>
      <c r="N636" s="66"/>
    </row>
    <row r="637" spans="1:14" x14ac:dyDescent="0.2">
      <c r="A637" s="84"/>
      <c r="B637" s="84"/>
      <c r="C637" s="60"/>
      <c r="D637" s="66"/>
      <c r="E637" s="66"/>
      <c r="F637" s="66"/>
      <c r="G637" s="66"/>
      <c r="H637" s="66"/>
      <c r="I637" s="66"/>
      <c r="J637" s="66"/>
      <c r="K637" s="66"/>
      <c r="L637" s="66"/>
      <c r="M637" s="66"/>
      <c r="N637" s="66"/>
    </row>
    <row r="638" spans="1:14" x14ac:dyDescent="0.2">
      <c r="A638" s="84"/>
      <c r="B638" s="84"/>
      <c r="C638" s="60"/>
      <c r="D638" s="66"/>
      <c r="E638" s="66"/>
      <c r="F638" s="66"/>
      <c r="G638" s="66"/>
      <c r="H638" s="66"/>
      <c r="I638" s="66"/>
      <c r="J638" s="66"/>
      <c r="K638" s="66"/>
      <c r="L638" s="66"/>
      <c r="M638" s="66"/>
      <c r="N638" s="66"/>
    </row>
    <row r="639" spans="1:14" x14ac:dyDescent="0.2">
      <c r="A639" s="84"/>
      <c r="B639" s="84"/>
      <c r="C639" s="60"/>
      <c r="D639" s="66"/>
      <c r="E639" s="66"/>
      <c r="F639" s="66"/>
      <c r="G639" s="66"/>
      <c r="H639" s="66"/>
      <c r="I639" s="66"/>
      <c r="J639" s="66"/>
      <c r="K639" s="66"/>
      <c r="L639" s="66"/>
      <c r="M639" s="66"/>
      <c r="N639" s="66"/>
    </row>
    <row r="640" spans="1:14" x14ac:dyDescent="0.2">
      <c r="A640" s="84"/>
      <c r="B640" s="84"/>
      <c r="C640" s="60"/>
      <c r="D640" s="66"/>
      <c r="E640" s="66"/>
      <c r="F640" s="66"/>
      <c r="G640" s="66"/>
      <c r="H640" s="66"/>
      <c r="I640" s="66"/>
      <c r="J640" s="66"/>
      <c r="K640" s="66"/>
      <c r="L640" s="66"/>
      <c r="M640" s="66"/>
      <c r="N640" s="66"/>
    </row>
    <row r="641" spans="1:14" x14ac:dyDescent="0.2">
      <c r="A641" s="84"/>
      <c r="B641" s="84"/>
      <c r="C641" s="60"/>
      <c r="D641" s="66"/>
      <c r="E641" s="66"/>
      <c r="F641" s="66"/>
      <c r="G641" s="66"/>
      <c r="H641" s="66"/>
      <c r="I641" s="66"/>
      <c r="J641" s="66"/>
      <c r="K641" s="66"/>
      <c r="L641" s="66"/>
      <c r="M641" s="66"/>
      <c r="N641" s="66"/>
    </row>
    <row r="642" spans="1:14" x14ac:dyDescent="0.2">
      <c r="A642" s="84"/>
      <c r="B642" s="84"/>
      <c r="C642" s="60"/>
      <c r="D642" s="66"/>
      <c r="E642" s="66"/>
      <c r="F642" s="66"/>
      <c r="G642" s="66"/>
      <c r="H642" s="66"/>
      <c r="I642" s="66"/>
      <c r="J642" s="66"/>
      <c r="K642" s="66"/>
      <c r="L642" s="66"/>
      <c r="M642" s="66"/>
      <c r="N642" s="66"/>
    </row>
    <row r="643" spans="1:14" x14ac:dyDescent="0.2">
      <c r="A643" s="84"/>
      <c r="B643" s="84"/>
      <c r="C643" s="60"/>
      <c r="D643" s="66"/>
      <c r="E643" s="66"/>
      <c r="F643" s="66"/>
      <c r="G643" s="66"/>
      <c r="H643" s="66"/>
      <c r="I643" s="66"/>
      <c r="J643" s="66"/>
      <c r="K643" s="66"/>
      <c r="L643" s="66"/>
      <c r="M643" s="66"/>
      <c r="N643" s="66"/>
    </row>
    <row r="644" spans="1:14" x14ac:dyDescent="0.2">
      <c r="A644" s="84"/>
      <c r="B644" s="84"/>
      <c r="C644" s="60"/>
      <c r="D644" s="66"/>
      <c r="E644" s="66"/>
      <c r="F644" s="66"/>
      <c r="G644" s="66"/>
      <c r="H644" s="66"/>
      <c r="I644" s="66"/>
      <c r="J644" s="66"/>
      <c r="K644" s="66"/>
      <c r="L644" s="66"/>
      <c r="M644" s="66"/>
      <c r="N644" s="66"/>
    </row>
    <row r="645" spans="1:14" x14ac:dyDescent="0.2">
      <c r="A645" s="84"/>
      <c r="B645" s="84"/>
      <c r="C645" s="60"/>
      <c r="D645" s="66"/>
      <c r="E645" s="66"/>
      <c r="F645" s="66"/>
      <c r="G645" s="66"/>
      <c r="H645" s="66"/>
      <c r="I645" s="66"/>
      <c r="J645" s="66"/>
      <c r="K645" s="66"/>
      <c r="L645" s="66"/>
      <c r="M645" s="66"/>
      <c r="N645" s="66"/>
    </row>
    <row r="646" spans="1:14" x14ac:dyDescent="0.2">
      <c r="A646" s="84"/>
      <c r="B646" s="84"/>
      <c r="C646" s="60"/>
      <c r="D646" s="66"/>
      <c r="E646" s="66"/>
      <c r="F646" s="66"/>
      <c r="G646" s="66"/>
      <c r="H646" s="66"/>
      <c r="I646" s="66"/>
      <c r="J646" s="66"/>
      <c r="K646" s="66"/>
      <c r="L646" s="66"/>
      <c r="M646" s="66"/>
      <c r="N646" s="66"/>
    </row>
    <row r="647" spans="1:14" x14ac:dyDescent="0.2">
      <c r="A647" s="84"/>
      <c r="B647" s="84"/>
      <c r="C647" s="60"/>
      <c r="D647" s="66"/>
      <c r="E647" s="66"/>
      <c r="F647" s="66"/>
      <c r="G647" s="66"/>
      <c r="H647" s="66"/>
      <c r="I647" s="66"/>
      <c r="J647" s="66"/>
      <c r="K647" s="66"/>
      <c r="L647" s="66"/>
      <c r="M647" s="66"/>
      <c r="N647" s="66"/>
    </row>
    <row r="648" spans="1:14" x14ac:dyDescent="0.2">
      <c r="A648" s="84"/>
      <c r="B648" s="84"/>
      <c r="C648" s="60"/>
      <c r="D648" s="66"/>
      <c r="E648" s="66"/>
      <c r="F648" s="66"/>
      <c r="G648" s="66"/>
      <c r="H648" s="66"/>
      <c r="I648" s="66"/>
      <c r="J648" s="66"/>
      <c r="K648" s="66"/>
      <c r="L648" s="66"/>
      <c r="M648" s="66"/>
      <c r="N648" s="66"/>
    </row>
    <row r="649" spans="1:14" x14ac:dyDescent="0.2">
      <c r="A649" s="84"/>
      <c r="B649" s="84"/>
      <c r="C649" s="60"/>
      <c r="D649" s="66"/>
      <c r="E649" s="66"/>
      <c r="F649" s="66"/>
      <c r="G649" s="66"/>
      <c r="H649" s="66"/>
      <c r="I649" s="66"/>
      <c r="J649" s="66"/>
      <c r="K649" s="66"/>
      <c r="L649" s="66"/>
      <c r="M649" s="66"/>
      <c r="N649" s="66"/>
    </row>
    <row r="650" spans="1:14" x14ac:dyDescent="0.2">
      <c r="A650" s="84"/>
      <c r="B650" s="84"/>
      <c r="C650" s="60"/>
      <c r="D650" s="66"/>
      <c r="E650" s="66"/>
      <c r="F650" s="66"/>
      <c r="G650" s="66"/>
      <c r="H650" s="66"/>
      <c r="I650" s="66"/>
      <c r="J650" s="66"/>
      <c r="K650" s="66"/>
      <c r="L650" s="66"/>
      <c r="M650" s="66"/>
      <c r="N650" s="66"/>
    </row>
    <row r="651" spans="1:14" x14ac:dyDescent="0.2">
      <c r="A651" s="84"/>
      <c r="B651" s="84"/>
      <c r="C651" s="60"/>
      <c r="D651" s="66"/>
      <c r="E651" s="66"/>
      <c r="F651" s="66"/>
      <c r="G651" s="66"/>
      <c r="H651" s="66"/>
      <c r="I651" s="66"/>
      <c r="J651" s="66"/>
      <c r="K651" s="66"/>
      <c r="L651" s="66"/>
      <c r="M651" s="66"/>
      <c r="N651" s="66"/>
    </row>
    <row r="652" spans="1:14" x14ac:dyDescent="0.2">
      <c r="A652" s="84"/>
      <c r="B652" s="84"/>
      <c r="C652" s="60"/>
      <c r="D652" s="66"/>
      <c r="E652" s="66"/>
      <c r="F652" s="66"/>
      <c r="G652" s="66"/>
      <c r="H652" s="66"/>
      <c r="I652" s="66"/>
      <c r="J652" s="66"/>
      <c r="K652" s="66"/>
      <c r="L652" s="66"/>
      <c r="M652" s="66"/>
      <c r="N652" s="66"/>
    </row>
    <row r="653" spans="1:14" x14ac:dyDescent="0.2">
      <c r="A653" s="84"/>
      <c r="B653" s="84"/>
      <c r="C653" s="60"/>
      <c r="D653" s="66"/>
      <c r="E653" s="66"/>
      <c r="F653" s="66"/>
      <c r="G653" s="66"/>
      <c r="H653" s="66"/>
      <c r="I653" s="66"/>
      <c r="J653" s="66"/>
      <c r="K653" s="66"/>
      <c r="L653" s="66"/>
      <c r="M653" s="66"/>
      <c r="N653" s="66"/>
    </row>
    <row r="654" spans="1:14" x14ac:dyDescent="0.2">
      <c r="A654" s="84"/>
      <c r="B654" s="84"/>
      <c r="C654" s="60"/>
      <c r="D654" s="66"/>
      <c r="E654" s="66"/>
      <c r="F654" s="66"/>
      <c r="G654" s="66"/>
      <c r="H654" s="66"/>
      <c r="I654" s="66"/>
      <c r="J654" s="66"/>
      <c r="K654" s="66"/>
      <c r="L654" s="66"/>
      <c r="M654" s="66"/>
      <c r="N654" s="66"/>
    </row>
    <row r="655" spans="1:14" x14ac:dyDescent="0.2">
      <c r="A655" s="84"/>
      <c r="B655" s="84"/>
      <c r="C655" s="60"/>
      <c r="D655" s="66"/>
      <c r="E655" s="66"/>
      <c r="F655" s="66"/>
      <c r="G655" s="66"/>
      <c r="H655" s="66"/>
      <c r="I655" s="66"/>
      <c r="J655" s="66"/>
      <c r="K655" s="66"/>
      <c r="L655" s="66"/>
      <c r="M655" s="66"/>
      <c r="N655" s="66"/>
    </row>
    <row r="656" spans="1:14" x14ac:dyDescent="0.2">
      <c r="A656" s="84"/>
      <c r="B656" s="84"/>
      <c r="C656" s="60"/>
      <c r="D656" s="66"/>
      <c r="E656" s="66"/>
      <c r="F656" s="66"/>
      <c r="G656" s="66"/>
      <c r="H656" s="66"/>
      <c r="I656" s="66"/>
      <c r="J656" s="66"/>
      <c r="K656" s="66"/>
      <c r="L656" s="66"/>
      <c r="M656" s="66"/>
      <c r="N656" s="66"/>
    </row>
    <row r="657" spans="1:14" x14ac:dyDescent="0.2">
      <c r="A657" s="84"/>
      <c r="B657" s="84"/>
      <c r="C657" s="60"/>
      <c r="D657" s="66"/>
      <c r="E657" s="66"/>
      <c r="F657" s="66"/>
      <c r="G657" s="66"/>
      <c r="H657" s="66"/>
      <c r="I657" s="66"/>
      <c r="J657" s="66"/>
      <c r="K657" s="66"/>
      <c r="L657" s="66"/>
      <c r="M657" s="66"/>
      <c r="N657" s="66"/>
    </row>
    <row r="658" spans="1:14" x14ac:dyDescent="0.2">
      <c r="A658" s="84"/>
      <c r="B658" s="84"/>
      <c r="C658" s="60"/>
      <c r="D658" s="66"/>
      <c r="E658" s="66"/>
      <c r="F658" s="66"/>
      <c r="G658" s="66"/>
      <c r="H658" s="66"/>
      <c r="I658" s="66"/>
      <c r="J658" s="66"/>
      <c r="K658" s="66"/>
      <c r="L658" s="66"/>
      <c r="M658" s="66"/>
      <c r="N658" s="66"/>
    </row>
    <row r="659" spans="1:14" x14ac:dyDescent="0.2">
      <c r="A659" s="84"/>
      <c r="B659" s="84"/>
      <c r="C659" s="60"/>
      <c r="D659" s="66"/>
      <c r="E659" s="66"/>
      <c r="F659" s="66"/>
      <c r="G659" s="66"/>
      <c r="H659" s="66"/>
      <c r="I659" s="66"/>
      <c r="J659" s="66"/>
      <c r="K659" s="66"/>
      <c r="L659" s="66"/>
      <c r="M659" s="66"/>
      <c r="N659" s="66"/>
    </row>
    <row r="660" spans="1:14" x14ac:dyDescent="0.2">
      <c r="A660" s="84"/>
      <c r="B660" s="84"/>
      <c r="C660" s="60"/>
      <c r="D660" s="66"/>
      <c r="E660" s="66"/>
      <c r="F660" s="66"/>
      <c r="G660" s="66"/>
      <c r="H660" s="66"/>
      <c r="I660" s="66"/>
      <c r="J660" s="66"/>
      <c r="K660" s="66"/>
      <c r="L660" s="66"/>
      <c r="M660" s="66"/>
      <c r="N660" s="66"/>
    </row>
    <row r="661" spans="1:14" x14ac:dyDescent="0.2">
      <c r="A661" s="84"/>
      <c r="B661" s="84"/>
      <c r="C661" s="60"/>
      <c r="D661" s="66"/>
      <c r="E661" s="66"/>
      <c r="F661" s="66"/>
      <c r="G661" s="66"/>
      <c r="H661" s="66"/>
      <c r="I661" s="66"/>
      <c r="J661" s="66"/>
      <c r="K661" s="66"/>
      <c r="L661" s="66"/>
      <c r="M661" s="66"/>
      <c r="N661" s="66"/>
    </row>
    <row r="662" spans="1:14" x14ac:dyDescent="0.2">
      <c r="A662" s="84"/>
      <c r="B662" s="84"/>
      <c r="C662" s="60"/>
      <c r="D662" s="66"/>
      <c r="E662" s="66"/>
      <c r="F662" s="66"/>
      <c r="G662" s="66"/>
      <c r="H662" s="66"/>
      <c r="I662" s="66"/>
      <c r="J662" s="66"/>
      <c r="K662" s="66"/>
      <c r="L662" s="66"/>
      <c r="M662" s="66"/>
      <c r="N662" s="66"/>
    </row>
    <row r="663" spans="1:14" x14ac:dyDescent="0.2">
      <c r="A663" s="84"/>
      <c r="B663" s="84"/>
      <c r="C663" s="60"/>
      <c r="D663" s="66"/>
      <c r="E663" s="66"/>
      <c r="F663" s="66"/>
      <c r="G663" s="66"/>
      <c r="H663" s="66"/>
      <c r="I663" s="66"/>
      <c r="J663" s="66"/>
      <c r="K663" s="66"/>
      <c r="L663" s="66"/>
      <c r="M663" s="66"/>
      <c r="N663" s="66"/>
    </row>
    <row r="664" spans="1:14" x14ac:dyDescent="0.2">
      <c r="A664" s="84"/>
      <c r="B664" s="84"/>
      <c r="C664" s="60"/>
      <c r="D664" s="66"/>
      <c r="E664" s="66"/>
      <c r="F664" s="66"/>
      <c r="G664" s="66"/>
      <c r="H664" s="66"/>
      <c r="I664" s="66"/>
      <c r="J664" s="66"/>
      <c r="K664" s="66"/>
      <c r="L664" s="66"/>
      <c r="M664" s="66"/>
      <c r="N664" s="66"/>
    </row>
    <row r="665" spans="1:14" x14ac:dyDescent="0.2">
      <c r="A665" s="84"/>
      <c r="B665" s="84"/>
      <c r="C665" s="60"/>
      <c r="D665" s="66"/>
      <c r="E665" s="66"/>
      <c r="F665" s="66"/>
      <c r="G665" s="66"/>
      <c r="H665" s="66"/>
      <c r="I665" s="66"/>
      <c r="J665" s="66"/>
      <c r="K665" s="66"/>
      <c r="L665" s="66"/>
      <c r="M665" s="66"/>
      <c r="N665" s="66"/>
    </row>
    <row r="666" spans="1:14" x14ac:dyDescent="0.2">
      <c r="A666" s="84"/>
      <c r="B666" s="84"/>
      <c r="C666" s="60"/>
      <c r="D666" s="66"/>
      <c r="E666" s="66"/>
      <c r="F666" s="66"/>
      <c r="G666" s="66"/>
      <c r="H666" s="66"/>
      <c r="I666" s="66"/>
      <c r="J666" s="66"/>
      <c r="K666" s="66"/>
      <c r="L666" s="66"/>
      <c r="M666" s="66"/>
      <c r="N666" s="66"/>
    </row>
    <row r="667" spans="1:14" x14ac:dyDescent="0.2">
      <c r="A667" s="84"/>
      <c r="B667" s="84"/>
      <c r="C667" s="60"/>
      <c r="D667" s="66"/>
      <c r="E667" s="66"/>
      <c r="F667" s="66"/>
      <c r="G667" s="66"/>
      <c r="H667" s="66"/>
      <c r="I667" s="66"/>
      <c r="J667" s="66"/>
      <c r="K667" s="66"/>
      <c r="L667" s="66"/>
      <c r="M667" s="66"/>
      <c r="N667" s="66"/>
    </row>
    <row r="668" spans="1:14" x14ac:dyDescent="0.2">
      <c r="A668" s="84"/>
      <c r="B668" s="84"/>
      <c r="C668" s="60"/>
      <c r="D668" s="66"/>
      <c r="E668" s="66"/>
      <c r="F668" s="66"/>
      <c r="G668" s="66"/>
      <c r="H668" s="66"/>
      <c r="I668" s="66"/>
      <c r="J668" s="66"/>
      <c r="K668" s="66"/>
      <c r="L668" s="66"/>
      <c r="M668" s="66"/>
      <c r="N668" s="66"/>
    </row>
    <row r="669" spans="1:14" x14ac:dyDescent="0.2">
      <c r="A669" s="84"/>
      <c r="B669" s="84"/>
      <c r="C669" s="60"/>
      <c r="D669" s="66"/>
      <c r="E669" s="66"/>
      <c r="F669" s="66"/>
      <c r="G669" s="66"/>
      <c r="H669" s="66"/>
      <c r="I669" s="66"/>
      <c r="J669" s="66"/>
      <c r="K669" s="66"/>
      <c r="L669" s="66"/>
      <c r="M669" s="66"/>
      <c r="N669" s="66"/>
    </row>
    <row r="670" spans="1:14" x14ac:dyDescent="0.2">
      <c r="A670" s="84"/>
      <c r="B670" s="84"/>
      <c r="C670" s="60"/>
      <c r="D670" s="66"/>
      <c r="E670" s="66"/>
      <c r="F670" s="66"/>
      <c r="G670" s="66"/>
      <c r="H670" s="66"/>
      <c r="I670" s="66"/>
      <c r="J670" s="66"/>
      <c r="K670" s="66"/>
      <c r="L670" s="66"/>
      <c r="M670" s="66"/>
      <c r="N670" s="66"/>
    </row>
    <row r="671" spans="1:14" x14ac:dyDescent="0.2">
      <c r="A671" s="84"/>
      <c r="B671" s="84"/>
      <c r="C671" s="60"/>
      <c r="D671" s="66"/>
      <c r="E671" s="66"/>
      <c r="F671" s="66"/>
      <c r="G671" s="66"/>
      <c r="H671" s="66"/>
      <c r="I671" s="66"/>
      <c r="J671" s="66"/>
      <c r="K671" s="66"/>
      <c r="L671" s="66"/>
      <c r="M671" s="66"/>
      <c r="N671" s="66"/>
    </row>
    <row r="672" spans="1:14" x14ac:dyDescent="0.2">
      <c r="A672" s="84"/>
      <c r="B672" s="84"/>
      <c r="C672" s="60"/>
      <c r="D672" s="66"/>
      <c r="E672" s="66"/>
      <c r="F672" s="66"/>
      <c r="G672" s="66"/>
      <c r="H672" s="66"/>
      <c r="I672" s="66"/>
      <c r="J672" s="66"/>
      <c r="K672" s="66"/>
      <c r="L672" s="66"/>
      <c r="M672" s="66"/>
      <c r="N672" s="66"/>
    </row>
    <row r="673" spans="1:14" x14ac:dyDescent="0.2">
      <c r="A673" s="84"/>
      <c r="B673" s="84"/>
      <c r="C673" s="60"/>
      <c r="D673" s="66"/>
      <c r="E673" s="66"/>
      <c r="F673" s="66"/>
      <c r="G673" s="66"/>
      <c r="H673" s="66"/>
      <c r="I673" s="66"/>
      <c r="J673" s="66"/>
      <c r="K673" s="66"/>
      <c r="L673" s="66"/>
      <c r="M673" s="66"/>
      <c r="N673" s="66"/>
    </row>
    <row r="674" spans="1:14" x14ac:dyDescent="0.2">
      <c r="A674" s="84"/>
      <c r="B674" s="84"/>
      <c r="C674" s="60"/>
      <c r="D674" s="66"/>
      <c r="E674" s="66"/>
      <c r="F674" s="66"/>
      <c r="G674" s="66"/>
      <c r="H674" s="66"/>
      <c r="I674" s="66"/>
      <c r="J674" s="66"/>
      <c r="K674" s="66"/>
      <c r="L674" s="66"/>
      <c r="M674" s="66"/>
      <c r="N674" s="66"/>
    </row>
    <row r="675" spans="1:14" x14ac:dyDescent="0.2">
      <c r="A675" s="84"/>
      <c r="B675" s="84"/>
      <c r="C675" s="60"/>
      <c r="D675" s="66"/>
      <c r="E675" s="66"/>
      <c r="F675" s="66"/>
      <c r="G675" s="66"/>
      <c r="H675" s="66"/>
      <c r="I675" s="66"/>
      <c r="J675" s="66"/>
      <c r="K675" s="66"/>
      <c r="L675" s="66"/>
      <c r="M675" s="66"/>
      <c r="N675" s="66"/>
    </row>
    <row r="676" spans="1:14" x14ac:dyDescent="0.2">
      <c r="A676" s="84"/>
      <c r="B676" s="84"/>
      <c r="C676" s="60"/>
      <c r="D676" s="66"/>
      <c r="E676" s="66"/>
      <c r="F676" s="66"/>
      <c r="G676" s="66"/>
      <c r="H676" s="66"/>
      <c r="I676" s="66"/>
      <c r="J676" s="66"/>
      <c r="K676" s="66"/>
      <c r="L676" s="66"/>
      <c r="M676" s="66"/>
      <c r="N676" s="66"/>
    </row>
    <row r="677" spans="1:14" x14ac:dyDescent="0.2">
      <c r="A677" s="84"/>
      <c r="B677" s="84"/>
      <c r="C677" s="60"/>
      <c r="D677" s="66"/>
      <c r="E677" s="66"/>
      <c r="F677" s="66"/>
      <c r="G677" s="66"/>
      <c r="H677" s="66"/>
      <c r="I677" s="66"/>
      <c r="J677" s="66"/>
      <c r="K677" s="66"/>
      <c r="L677" s="66"/>
      <c r="M677" s="66"/>
      <c r="N677" s="66"/>
    </row>
    <row r="678" spans="1:14" x14ac:dyDescent="0.2">
      <c r="A678" s="84"/>
      <c r="B678" s="84"/>
      <c r="C678" s="60"/>
      <c r="D678" s="66"/>
      <c r="E678" s="66"/>
      <c r="F678" s="66"/>
      <c r="G678" s="66"/>
      <c r="H678" s="66"/>
      <c r="I678" s="66"/>
      <c r="J678" s="66"/>
      <c r="K678" s="66"/>
      <c r="L678" s="66"/>
      <c r="M678" s="66"/>
      <c r="N678" s="66"/>
    </row>
    <row r="679" spans="1:14" x14ac:dyDescent="0.2">
      <c r="A679" s="84"/>
      <c r="B679" s="84"/>
      <c r="C679" s="60"/>
      <c r="D679" s="66"/>
      <c r="E679" s="66"/>
      <c r="F679" s="66"/>
      <c r="G679" s="66"/>
      <c r="H679" s="66"/>
      <c r="I679" s="66"/>
      <c r="J679" s="66"/>
      <c r="K679" s="66"/>
      <c r="L679" s="66"/>
      <c r="M679" s="66"/>
      <c r="N679" s="66"/>
    </row>
    <row r="680" spans="1:14" x14ac:dyDescent="0.2">
      <c r="A680" s="84"/>
      <c r="B680" s="84"/>
      <c r="C680" s="60"/>
      <c r="D680" s="66"/>
      <c r="E680" s="66"/>
      <c r="F680" s="66"/>
      <c r="G680" s="66"/>
      <c r="H680" s="66"/>
      <c r="I680" s="66"/>
      <c r="J680" s="66"/>
      <c r="K680" s="66"/>
      <c r="L680" s="66"/>
      <c r="M680" s="66"/>
      <c r="N680" s="66"/>
    </row>
    <row r="681" spans="1:14" x14ac:dyDescent="0.2">
      <c r="A681" s="84"/>
      <c r="B681" s="84"/>
      <c r="C681" s="60"/>
      <c r="D681" s="66"/>
      <c r="E681" s="66"/>
      <c r="F681" s="66"/>
      <c r="G681" s="66"/>
      <c r="H681" s="66"/>
      <c r="I681" s="66"/>
      <c r="J681" s="66"/>
      <c r="K681" s="66"/>
      <c r="L681" s="66"/>
      <c r="M681" s="66"/>
      <c r="N681" s="66"/>
    </row>
    <row r="682" spans="1:14" x14ac:dyDescent="0.2">
      <c r="A682" s="84"/>
      <c r="B682" s="84"/>
      <c r="C682" s="60"/>
      <c r="D682" s="66"/>
      <c r="E682" s="66"/>
      <c r="F682" s="66"/>
      <c r="G682" s="66"/>
      <c r="H682" s="66"/>
      <c r="I682" s="66"/>
      <c r="J682" s="66"/>
      <c r="K682" s="66"/>
      <c r="L682" s="66"/>
      <c r="M682" s="66"/>
      <c r="N682" s="66"/>
    </row>
    <row r="683" spans="1:14" x14ac:dyDescent="0.2">
      <c r="A683" s="84"/>
      <c r="B683" s="84"/>
      <c r="C683" s="60"/>
      <c r="D683" s="66"/>
      <c r="E683" s="66"/>
      <c r="F683" s="66"/>
      <c r="G683" s="66"/>
      <c r="H683" s="66"/>
      <c r="I683" s="66"/>
      <c r="J683" s="66"/>
      <c r="K683" s="66"/>
      <c r="L683" s="66"/>
      <c r="M683" s="66"/>
      <c r="N683" s="66"/>
    </row>
    <row r="684" spans="1:14" x14ac:dyDescent="0.2">
      <c r="A684" s="84"/>
      <c r="B684" s="84"/>
      <c r="C684" s="60"/>
      <c r="D684" s="66"/>
      <c r="E684" s="66"/>
      <c r="F684" s="66"/>
      <c r="G684" s="66"/>
      <c r="H684" s="66"/>
      <c r="I684" s="66"/>
      <c r="J684" s="66"/>
      <c r="K684" s="66"/>
      <c r="L684" s="66"/>
      <c r="M684" s="66"/>
      <c r="N684" s="66"/>
    </row>
    <row r="685" spans="1:14" x14ac:dyDescent="0.2">
      <c r="A685" s="84"/>
      <c r="B685" s="84"/>
      <c r="C685" s="60"/>
      <c r="D685" s="66"/>
      <c r="E685" s="66"/>
      <c r="F685" s="66"/>
      <c r="G685" s="66"/>
      <c r="H685" s="66"/>
      <c r="I685" s="66"/>
      <c r="J685" s="66"/>
      <c r="K685" s="66"/>
      <c r="L685" s="66"/>
      <c r="M685" s="66"/>
      <c r="N685" s="66"/>
    </row>
    <row r="686" spans="1:14" x14ac:dyDescent="0.2">
      <c r="A686" s="84"/>
      <c r="B686" s="84"/>
      <c r="C686" s="60"/>
      <c r="D686" s="66"/>
      <c r="E686" s="66"/>
      <c r="F686" s="66"/>
      <c r="G686" s="66"/>
      <c r="H686" s="66"/>
      <c r="I686" s="66"/>
      <c r="J686" s="66"/>
      <c r="K686" s="66"/>
      <c r="L686" s="66"/>
      <c r="M686" s="66"/>
      <c r="N686" s="66"/>
    </row>
    <row r="687" spans="1:14" x14ac:dyDescent="0.2">
      <c r="A687" s="84"/>
      <c r="B687" s="84"/>
      <c r="C687" s="60"/>
      <c r="D687" s="66"/>
      <c r="E687" s="66"/>
      <c r="F687" s="66"/>
      <c r="G687" s="66"/>
      <c r="H687" s="66"/>
      <c r="I687" s="66"/>
      <c r="J687" s="66"/>
      <c r="K687" s="66"/>
      <c r="L687" s="66"/>
      <c r="M687" s="66"/>
      <c r="N687" s="66"/>
    </row>
    <row r="688" spans="1:14" x14ac:dyDescent="0.2">
      <c r="A688" s="84"/>
      <c r="B688" s="84"/>
      <c r="C688" s="60"/>
      <c r="D688" s="66"/>
      <c r="E688" s="66"/>
      <c r="F688" s="66"/>
      <c r="G688" s="66"/>
      <c r="H688" s="66"/>
      <c r="I688" s="66"/>
      <c r="J688" s="66"/>
      <c r="K688" s="66"/>
      <c r="L688" s="66"/>
      <c r="M688" s="66"/>
      <c r="N688" s="66"/>
    </row>
    <row r="689" spans="1:14" x14ac:dyDescent="0.2">
      <c r="A689" s="84"/>
      <c r="B689" s="84"/>
      <c r="C689" s="60"/>
      <c r="D689" s="66"/>
      <c r="E689" s="66"/>
      <c r="F689" s="66"/>
      <c r="G689" s="66"/>
      <c r="H689" s="66"/>
      <c r="I689" s="66"/>
      <c r="J689" s="66"/>
      <c r="K689" s="66"/>
      <c r="L689" s="66"/>
      <c r="M689" s="66"/>
      <c r="N689" s="66"/>
    </row>
    <row r="690" spans="1:14" x14ac:dyDescent="0.2">
      <c r="A690" s="84"/>
      <c r="B690" s="84"/>
      <c r="C690" s="60"/>
      <c r="D690" s="66"/>
      <c r="E690" s="66"/>
      <c r="F690" s="66"/>
      <c r="G690" s="66"/>
      <c r="H690" s="66"/>
      <c r="I690" s="66"/>
      <c r="J690" s="66"/>
      <c r="K690" s="66"/>
      <c r="L690" s="66"/>
      <c r="M690" s="66"/>
      <c r="N690" s="66"/>
    </row>
    <row r="691" spans="1:14" x14ac:dyDescent="0.2">
      <c r="A691" s="84"/>
      <c r="B691" s="84"/>
      <c r="C691" s="60"/>
      <c r="D691" s="66"/>
      <c r="E691" s="66"/>
      <c r="F691" s="66"/>
      <c r="G691" s="66"/>
      <c r="H691" s="66"/>
      <c r="I691" s="66"/>
      <c r="J691" s="66"/>
      <c r="K691" s="66"/>
      <c r="L691" s="66"/>
      <c r="M691" s="66"/>
      <c r="N691" s="66"/>
    </row>
    <row r="692" spans="1:14" x14ac:dyDescent="0.2">
      <c r="A692" s="84"/>
      <c r="B692" s="84"/>
      <c r="C692" s="60"/>
      <c r="D692" s="66"/>
      <c r="E692" s="66"/>
      <c r="F692" s="66"/>
      <c r="G692" s="66"/>
      <c r="H692" s="66"/>
      <c r="I692" s="66"/>
      <c r="J692" s="66"/>
      <c r="K692" s="66"/>
      <c r="L692" s="66"/>
      <c r="M692" s="66"/>
      <c r="N692" s="66"/>
    </row>
    <row r="693" spans="1:14" x14ac:dyDescent="0.2">
      <c r="A693" s="84"/>
      <c r="B693" s="84"/>
      <c r="C693" s="60"/>
      <c r="D693" s="66"/>
      <c r="E693" s="66"/>
      <c r="F693" s="66"/>
      <c r="G693" s="66"/>
      <c r="H693" s="66"/>
      <c r="I693" s="66"/>
      <c r="J693" s="66"/>
      <c r="K693" s="66"/>
      <c r="L693" s="66"/>
      <c r="M693" s="66"/>
      <c r="N693" s="66"/>
    </row>
    <row r="694" spans="1:14" x14ac:dyDescent="0.2">
      <c r="A694" s="84"/>
      <c r="B694" s="84"/>
      <c r="C694" s="60"/>
      <c r="D694" s="66"/>
      <c r="E694" s="66"/>
      <c r="F694" s="66"/>
      <c r="G694" s="66"/>
      <c r="H694" s="66"/>
      <c r="I694" s="66"/>
      <c r="J694" s="66"/>
      <c r="K694" s="66"/>
      <c r="L694" s="66"/>
      <c r="M694" s="66"/>
      <c r="N694" s="66"/>
    </row>
    <row r="695" spans="1:14" x14ac:dyDescent="0.2">
      <c r="A695" s="84"/>
      <c r="B695" s="84"/>
      <c r="C695" s="60"/>
      <c r="D695" s="66"/>
      <c r="E695" s="66"/>
      <c r="F695" s="66"/>
      <c r="G695" s="66"/>
      <c r="H695" s="66"/>
      <c r="I695" s="66"/>
      <c r="J695" s="66"/>
      <c r="K695" s="66"/>
      <c r="L695" s="66"/>
      <c r="M695" s="66"/>
      <c r="N695" s="66"/>
    </row>
    <row r="696" spans="1:14" x14ac:dyDescent="0.2">
      <c r="A696" s="84"/>
      <c r="B696" s="84"/>
      <c r="C696" s="60"/>
      <c r="D696" s="66"/>
      <c r="E696" s="66"/>
      <c r="F696" s="66"/>
      <c r="G696" s="66"/>
      <c r="H696" s="66"/>
      <c r="I696" s="66"/>
      <c r="J696" s="66"/>
      <c r="K696" s="66"/>
      <c r="L696" s="66"/>
      <c r="M696" s="66"/>
      <c r="N696" s="66"/>
    </row>
    <row r="697" spans="1:14" x14ac:dyDescent="0.2">
      <c r="A697" s="84"/>
      <c r="B697" s="84"/>
      <c r="C697" s="60"/>
      <c r="D697" s="66"/>
      <c r="E697" s="66"/>
      <c r="F697" s="66"/>
      <c r="G697" s="66"/>
      <c r="H697" s="66"/>
      <c r="I697" s="66"/>
      <c r="J697" s="66"/>
      <c r="K697" s="66"/>
      <c r="L697" s="66"/>
      <c r="M697" s="66"/>
      <c r="N697" s="66"/>
    </row>
    <row r="698" spans="1:14" x14ac:dyDescent="0.2">
      <c r="A698" s="84"/>
      <c r="B698" s="84"/>
      <c r="C698" s="60"/>
      <c r="D698" s="66"/>
      <c r="E698" s="66"/>
      <c r="F698" s="66"/>
      <c r="G698" s="66"/>
      <c r="H698" s="66"/>
      <c r="I698" s="66"/>
      <c r="J698" s="66"/>
      <c r="K698" s="66"/>
      <c r="L698" s="66"/>
      <c r="M698" s="66"/>
      <c r="N698" s="66"/>
    </row>
    <row r="699" spans="1:14" x14ac:dyDescent="0.2">
      <c r="A699" s="84"/>
      <c r="B699" s="84"/>
      <c r="C699" s="60"/>
      <c r="D699" s="66"/>
      <c r="E699" s="66"/>
      <c r="F699" s="66"/>
      <c r="G699" s="66"/>
      <c r="H699" s="66"/>
      <c r="I699" s="66"/>
      <c r="J699" s="66"/>
      <c r="K699" s="66"/>
      <c r="L699" s="66"/>
      <c r="M699" s="66"/>
      <c r="N699" s="66"/>
    </row>
    <row r="700" spans="1:14" x14ac:dyDescent="0.2">
      <c r="A700" s="84"/>
      <c r="B700" s="84"/>
      <c r="C700" s="60"/>
      <c r="D700" s="66"/>
      <c r="E700" s="66"/>
      <c r="F700" s="66"/>
      <c r="G700" s="66"/>
      <c r="H700" s="66"/>
      <c r="I700" s="66"/>
      <c r="J700" s="66"/>
      <c r="K700" s="66"/>
      <c r="L700" s="66"/>
      <c r="M700" s="66"/>
      <c r="N700" s="66"/>
    </row>
    <row r="701" spans="1:14" x14ac:dyDescent="0.2">
      <c r="A701" s="84"/>
      <c r="B701" s="84"/>
      <c r="C701" s="60"/>
      <c r="D701" s="66"/>
      <c r="E701" s="66"/>
      <c r="F701" s="66"/>
      <c r="G701" s="66"/>
      <c r="H701" s="66"/>
      <c r="I701" s="66"/>
      <c r="J701" s="66"/>
      <c r="K701" s="66"/>
      <c r="L701" s="66"/>
      <c r="M701" s="66"/>
      <c r="N701" s="66"/>
    </row>
    <row r="702" spans="1:14" x14ac:dyDescent="0.2">
      <c r="A702" s="84"/>
      <c r="B702" s="84"/>
      <c r="C702" s="60"/>
      <c r="D702" s="66"/>
      <c r="E702" s="66"/>
      <c r="F702" s="66"/>
      <c r="G702" s="66"/>
      <c r="H702" s="66"/>
      <c r="I702" s="66"/>
      <c r="J702" s="66"/>
      <c r="K702" s="66"/>
      <c r="L702" s="66"/>
      <c r="M702" s="66"/>
      <c r="N702" s="66"/>
    </row>
    <row r="703" spans="1:14" x14ac:dyDescent="0.2">
      <c r="A703" s="84"/>
      <c r="B703" s="84"/>
      <c r="C703" s="60"/>
      <c r="D703" s="66"/>
      <c r="E703" s="66"/>
      <c r="F703" s="66"/>
      <c r="G703" s="66"/>
      <c r="H703" s="66"/>
      <c r="I703" s="66"/>
      <c r="J703" s="66"/>
      <c r="K703" s="66"/>
      <c r="L703" s="66"/>
      <c r="M703" s="66"/>
      <c r="N703" s="66"/>
    </row>
    <row r="704" spans="1:14" x14ac:dyDescent="0.2">
      <c r="A704" s="84"/>
      <c r="B704" s="84"/>
      <c r="C704" s="60"/>
      <c r="D704" s="66"/>
      <c r="E704" s="66"/>
      <c r="F704" s="66"/>
      <c r="G704" s="66"/>
      <c r="H704" s="66"/>
      <c r="I704" s="66"/>
      <c r="J704" s="66"/>
      <c r="K704" s="66"/>
      <c r="L704" s="66"/>
      <c r="M704" s="66"/>
      <c r="N704" s="66"/>
    </row>
    <row r="705" spans="1:14" x14ac:dyDescent="0.2">
      <c r="A705" s="84"/>
      <c r="B705" s="84"/>
      <c r="C705" s="60"/>
      <c r="D705" s="66"/>
      <c r="E705" s="66"/>
      <c r="F705" s="66"/>
      <c r="G705" s="66"/>
      <c r="H705" s="66"/>
      <c r="I705" s="66"/>
      <c r="J705" s="66"/>
      <c r="K705" s="66"/>
      <c r="L705" s="66"/>
      <c r="M705" s="66"/>
      <c r="N705" s="66"/>
    </row>
    <row r="706" spans="1:14" x14ac:dyDescent="0.2">
      <c r="A706" s="84"/>
      <c r="B706" s="84"/>
      <c r="C706" s="60"/>
      <c r="D706" s="66"/>
      <c r="E706" s="66"/>
      <c r="F706" s="66"/>
      <c r="G706" s="66"/>
      <c r="H706" s="66"/>
      <c r="I706" s="66"/>
      <c r="J706" s="66"/>
      <c r="K706" s="66"/>
      <c r="L706" s="66"/>
      <c r="M706" s="66"/>
      <c r="N706" s="66"/>
    </row>
    <row r="707" spans="1:14" x14ac:dyDescent="0.2">
      <c r="A707" s="84"/>
      <c r="B707" s="84"/>
      <c r="C707" s="60"/>
      <c r="D707" s="66"/>
      <c r="E707" s="66"/>
      <c r="F707" s="66"/>
      <c r="G707" s="66"/>
      <c r="H707" s="66"/>
      <c r="I707" s="66"/>
      <c r="J707" s="66"/>
      <c r="K707" s="66"/>
      <c r="L707" s="66"/>
      <c r="M707" s="66"/>
      <c r="N707" s="66"/>
    </row>
    <row r="708" spans="1:14" x14ac:dyDescent="0.2">
      <c r="A708" s="84"/>
      <c r="B708" s="84"/>
      <c r="C708" s="60"/>
      <c r="D708" s="66"/>
      <c r="E708" s="66"/>
      <c r="F708" s="66"/>
      <c r="G708" s="66"/>
      <c r="H708" s="66"/>
      <c r="I708" s="66"/>
      <c r="J708" s="66"/>
      <c r="K708" s="66"/>
      <c r="L708" s="66"/>
      <c r="M708" s="66"/>
      <c r="N708" s="66"/>
    </row>
    <row r="709" spans="1:14" x14ac:dyDescent="0.2">
      <c r="A709" s="84"/>
      <c r="B709" s="84"/>
      <c r="C709" s="60"/>
      <c r="D709" s="66"/>
      <c r="E709" s="66"/>
      <c r="F709" s="66"/>
      <c r="G709" s="66"/>
      <c r="H709" s="66"/>
      <c r="I709" s="66"/>
      <c r="J709" s="66"/>
      <c r="K709" s="66"/>
      <c r="L709" s="66"/>
      <c r="M709" s="66"/>
      <c r="N709" s="66"/>
    </row>
    <row r="710" spans="1:14" x14ac:dyDescent="0.2">
      <c r="A710" s="84"/>
      <c r="B710" s="84"/>
      <c r="C710" s="60"/>
      <c r="D710" s="66"/>
      <c r="E710" s="66"/>
      <c r="F710" s="66"/>
      <c r="G710" s="66"/>
      <c r="H710" s="66"/>
      <c r="I710" s="66"/>
      <c r="J710" s="66"/>
      <c r="K710" s="66"/>
      <c r="L710" s="66"/>
      <c r="M710" s="66"/>
      <c r="N710" s="66"/>
    </row>
    <row r="711" spans="1:14" x14ac:dyDescent="0.2">
      <c r="A711" s="84"/>
      <c r="B711" s="84"/>
      <c r="C711" s="60"/>
      <c r="D711" s="66"/>
      <c r="E711" s="66"/>
      <c r="F711" s="66"/>
      <c r="G711" s="66"/>
      <c r="H711" s="66"/>
      <c r="I711" s="66"/>
      <c r="J711" s="66"/>
      <c r="K711" s="66"/>
      <c r="L711" s="66"/>
      <c r="M711" s="66"/>
      <c r="N711" s="66"/>
    </row>
    <row r="712" spans="1:14" x14ac:dyDescent="0.2">
      <c r="A712" s="84"/>
      <c r="B712" s="84"/>
      <c r="C712" s="60"/>
      <c r="D712" s="66"/>
      <c r="E712" s="66"/>
      <c r="F712" s="66"/>
      <c r="G712" s="66"/>
      <c r="H712" s="66"/>
      <c r="I712" s="66"/>
      <c r="J712" s="66"/>
      <c r="K712" s="66"/>
      <c r="L712" s="66"/>
      <c r="M712" s="66"/>
      <c r="N712" s="66"/>
    </row>
    <row r="713" spans="1:14" x14ac:dyDescent="0.2">
      <c r="A713" s="84"/>
      <c r="B713" s="84"/>
      <c r="C713" s="60"/>
      <c r="D713" s="66"/>
      <c r="E713" s="66"/>
      <c r="F713" s="66"/>
      <c r="G713" s="66"/>
      <c r="H713" s="66"/>
      <c r="I713" s="66"/>
      <c r="J713" s="66"/>
      <c r="K713" s="66"/>
      <c r="L713" s="66"/>
      <c r="M713" s="66"/>
      <c r="N713" s="66"/>
    </row>
    <row r="714" spans="1:14" x14ac:dyDescent="0.2">
      <c r="A714" s="84"/>
      <c r="B714" s="84"/>
      <c r="C714" s="60"/>
      <c r="D714" s="66"/>
      <c r="E714" s="66"/>
      <c r="F714" s="66"/>
      <c r="G714" s="66"/>
      <c r="H714" s="66"/>
      <c r="I714" s="66"/>
      <c r="J714" s="66"/>
      <c r="K714" s="66"/>
      <c r="L714" s="66"/>
      <c r="M714" s="66"/>
      <c r="N714" s="66"/>
    </row>
    <row r="715" spans="1:14" x14ac:dyDescent="0.2">
      <c r="A715" s="84"/>
      <c r="B715" s="84"/>
      <c r="C715" s="60"/>
      <c r="D715" s="66"/>
      <c r="E715" s="66"/>
      <c r="F715" s="66"/>
      <c r="G715" s="66"/>
      <c r="H715" s="66"/>
      <c r="I715" s="66"/>
      <c r="J715" s="66"/>
      <c r="K715" s="66"/>
      <c r="L715" s="66"/>
      <c r="M715" s="66"/>
      <c r="N715" s="66"/>
    </row>
    <row r="716" spans="1:14" x14ac:dyDescent="0.2">
      <c r="A716" s="84"/>
      <c r="B716" s="84"/>
      <c r="C716" s="60"/>
      <c r="D716" s="66"/>
      <c r="E716" s="66"/>
      <c r="F716" s="66"/>
      <c r="G716" s="66"/>
      <c r="H716" s="66"/>
      <c r="I716" s="66"/>
      <c r="J716" s="66"/>
      <c r="K716" s="66"/>
      <c r="L716" s="66"/>
      <c r="M716" s="66"/>
      <c r="N716" s="66"/>
    </row>
    <row r="717" spans="1:14" x14ac:dyDescent="0.2">
      <c r="A717" s="84"/>
      <c r="B717" s="84"/>
      <c r="C717" s="60"/>
      <c r="D717" s="66"/>
      <c r="E717" s="66"/>
      <c r="F717" s="66"/>
      <c r="G717" s="66"/>
      <c r="H717" s="66"/>
      <c r="I717" s="66"/>
      <c r="J717" s="66"/>
      <c r="K717" s="66"/>
      <c r="L717" s="66"/>
      <c r="M717" s="66"/>
      <c r="N717" s="66"/>
    </row>
    <row r="718" spans="1:14" x14ac:dyDescent="0.2">
      <c r="A718" s="84"/>
      <c r="B718" s="84"/>
      <c r="C718" s="60"/>
      <c r="D718" s="66"/>
      <c r="E718" s="66"/>
      <c r="F718" s="66"/>
      <c r="G718" s="66"/>
      <c r="H718" s="66"/>
      <c r="I718" s="66"/>
      <c r="J718" s="66"/>
      <c r="K718" s="66"/>
      <c r="L718" s="66"/>
      <c r="M718" s="66"/>
      <c r="N718" s="66"/>
    </row>
    <row r="719" spans="1:14" x14ac:dyDescent="0.2">
      <c r="A719" s="84"/>
      <c r="B719" s="84"/>
      <c r="C719" s="60"/>
      <c r="D719" s="66"/>
      <c r="E719" s="66"/>
      <c r="F719" s="66"/>
      <c r="G719" s="66"/>
      <c r="H719" s="66"/>
      <c r="I719" s="66"/>
      <c r="J719" s="66"/>
      <c r="K719" s="66"/>
      <c r="L719" s="66"/>
      <c r="M719" s="66"/>
      <c r="N719" s="66"/>
    </row>
    <row r="720" spans="1:14" x14ac:dyDescent="0.2">
      <c r="A720" s="84"/>
      <c r="B720" s="84"/>
      <c r="C720" s="60"/>
      <c r="D720" s="66"/>
      <c r="E720" s="66"/>
      <c r="F720" s="66"/>
      <c r="G720" s="66"/>
      <c r="H720" s="66"/>
      <c r="I720" s="66"/>
      <c r="J720" s="66"/>
      <c r="K720" s="66"/>
      <c r="L720" s="66"/>
      <c r="M720" s="66"/>
      <c r="N720" s="66"/>
    </row>
    <row r="721" spans="1:14" x14ac:dyDescent="0.2">
      <c r="A721" s="84"/>
      <c r="B721" s="84"/>
      <c r="C721" s="60"/>
      <c r="D721" s="66"/>
      <c r="E721" s="66"/>
      <c r="F721" s="66"/>
      <c r="G721" s="66"/>
      <c r="H721" s="66"/>
      <c r="I721" s="66"/>
      <c r="J721" s="66"/>
      <c r="K721" s="66"/>
      <c r="L721" s="66"/>
      <c r="M721" s="66"/>
      <c r="N721" s="66"/>
    </row>
    <row r="722" spans="1:14" x14ac:dyDescent="0.2">
      <c r="A722" s="84"/>
      <c r="B722" s="84"/>
      <c r="C722" s="60"/>
      <c r="D722" s="66"/>
      <c r="E722" s="66"/>
      <c r="F722" s="66"/>
      <c r="G722" s="66"/>
      <c r="H722" s="66"/>
      <c r="I722" s="66"/>
      <c r="J722" s="66"/>
      <c r="K722" s="66"/>
      <c r="L722" s="66"/>
      <c r="M722" s="66"/>
      <c r="N722" s="66"/>
    </row>
    <row r="723" spans="1:14" x14ac:dyDescent="0.2">
      <c r="A723" s="84"/>
      <c r="B723" s="84"/>
      <c r="C723" s="60"/>
      <c r="D723" s="66"/>
      <c r="E723" s="66"/>
      <c r="F723" s="66"/>
      <c r="G723" s="66"/>
      <c r="H723" s="66"/>
      <c r="I723" s="66"/>
      <c r="J723" s="66"/>
      <c r="K723" s="66"/>
      <c r="L723" s="66"/>
      <c r="M723" s="66"/>
      <c r="N723" s="66"/>
    </row>
    <row r="724" spans="1:14" x14ac:dyDescent="0.2">
      <c r="A724" s="84"/>
      <c r="B724" s="84"/>
      <c r="C724" s="60"/>
      <c r="D724" s="66"/>
      <c r="E724" s="66"/>
      <c r="F724" s="66"/>
      <c r="G724" s="66"/>
      <c r="H724" s="66"/>
      <c r="I724" s="66"/>
      <c r="J724" s="66"/>
      <c r="K724" s="66"/>
      <c r="L724" s="66"/>
      <c r="M724" s="66"/>
      <c r="N724" s="66"/>
    </row>
    <row r="725" spans="1:14" x14ac:dyDescent="0.2">
      <c r="A725" s="84"/>
      <c r="B725" s="84"/>
      <c r="C725" s="60"/>
      <c r="D725" s="66"/>
      <c r="E725" s="66"/>
      <c r="F725" s="66"/>
      <c r="G725" s="66"/>
      <c r="H725" s="66"/>
      <c r="I725" s="66"/>
      <c r="J725" s="66"/>
      <c r="K725" s="66"/>
      <c r="L725" s="66"/>
      <c r="M725" s="66"/>
      <c r="N725" s="66"/>
    </row>
    <row r="726" spans="1:14" x14ac:dyDescent="0.2">
      <c r="A726" s="84"/>
      <c r="B726" s="84"/>
      <c r="C726" s="60"/>
      <c r="D726" s="66"/>
      <c r="E726" s="66"/>
      <c r="F726" s="66"/>
      <c r="G726" s="66"/>
      <c r="H726" s="66"/>
      <c r="I726" s="66"/>
      <c r="J726" s="66"/>
      <c r="K726" s="66"/>
      <c r="L726" s="66"/>
      <c r="M726" s="66"/>
      <c r="N726" s="66"/>
    </row>
    <row r="727" spans="1:14" x14ac:dyDescent="0.2">
      <c r="A727" s="84"/>
      <c r="B727" s="84"/>
      <c r="C727" s="60"/>
      <c r="D727" s="66"/>
      <c r="E727" s="66"/>
      <c r="F727" s="66"/>
      <c r="G727" s="66"/>
      <c r="H727" s="66"/>
      <c r="I727" s="66"/>
      <c r="J727" s="66"/>
      <c r="K727" s="66"/>
      <c r="L727" s="66"/>
      <c r="M727" s="66"/>
      <c r="N727" s="66"/>
    </row>
    <row r="728" spans="1:14" x14ac:dyDescent="0.2">
      <c r="A728" s="84"/>
      <c r="B728" s="84"/>
      <c r="C728" s="60"/>
      <c r="D728" s="66"/>
      <c r="E728" s="66"/>
      <c r="F728" s="66"/>
      <c r="G728" s="66"/>
      <c r="H728" s="66"/>
      <c r="I728" s="66"/>
      <c r="J728" s="66"/>
      <c r="K728" s="66"/>
      <c r="L728" s="66"/>
      <c r="M728" s="66"/>
      <c r="N728" s="66"/>
    </row>
    <row r="729" spans="1:14" x14ac:dyDescent="0.2">
      <c r="A729" s="84"/>
      <c r="B729" s="84"/>
      <c r="C729" s="60"/>
      <c r="D729" s="66"/>
      <c r="E729" s="66"/>
      <c r="F729" s="66"/>
      <c r="G729" s="66"/>
      <c r="H729" s="66"/>
      <c r="I729" s="66"/>
      <c r="J729" s="66"/>
      <c r="K729" s="66"/>
      <c r="L729" s="66"/>
      <c r="M729" s="66"/>
      <c r="N729" s="66"/>
    </row>
    <row r="730" spans="1:14" x14ac:dyDescent="0.2">
      <c r="A730" s="84"/>
      <c r="B730" s="84"/>
      <c r="C730" s="60"/>
      <c r="D730" s="66"/>
      <c r="E730" s="66"/>
      <c r="F730" s="66"/>
      <c r="G730" s="66"/>
      <c r="H730" s="66"/>
      <c r="I730" s="66"/>
      <c r="J730" s="66"/>
      <c r="K730" s="66"/>
      <c r="L730" s="66"/>
      <c r="M730" s="66"/>
      <c r="N730" s="66"/>
    </row>
    <row r="731" spans="1:14" x14ac:dyDescent="0.2">
      <c r="A731" s="84"/>
      <c r="B731" s="84"/>
      <c r="C731" s="60"/>
      <c r="D731" s="66"/>
      <c r="E731" s="66"/>
      <c r="F731" s="66"/>
      <c r="G731" s="66"/>
      <c r="H731" s="66"/>
      <c r="I731" s="66"/>
      <c r="J731" s="66"/>
      <c r="K731" s="66"/>
      <c r="L731" s="66"/>
      <c r="M731" s="66"/>
      <c r="N731" s="66"/>
    </row>
    <row r="732" spans="1:14" x14ac:dyDescent="0.2">
      <c r="A732" s="84"/>
      <c r="B732" s="84"/>
      <c r="C732" s="60"/>
      <c r="D732" s="66"/>
      <c r="E732" s="66"/>
      <c r="F732" s="66"/>
      <c r="G732" s="66"/>
      <c r="H732" s="66"/>
      <c r="I732" s="66"/>
      <c r="J732" s="66"/>
      <c r="K732" s="66"/>
      <c r="L732" s="66"/>
      <c r="M732" s="66"/>
      <c r="N732" s="66"/>
    </row>
    <row r="733" spans="1:14" x14ac:dyDescent="0.2">
      <c r="A733" s="84"/>
      <c r="B733" s="84"/>
      <c r="C733" s="60"/>
      <c r="D733" s="66"/>
      <c r="E733" s="66"/>
      <c r="F733" s="66"/>
      <c r="G733" s="66"/>
      <c r="H733" s="66"/>
      <c r="I733" s="66"/>
      <c r="J733" s="66"/>
      <c r="K733" s="66"/>
      <c r="L733" s="66"/>
      <c r="M733" s="66"/>
      <c r="N733" s="66"/>
    </row>
    <row r="734" spans="1:14" x14ac:dyDescent="0.2">
      <c r="A734" s="84"/>
      <c r="B734" s="84"/>
      <c r="C734" s="60"/>
      <c r="D734" s="66"/>
      <c r="E734" s="66"/>
      <c r="F734" s="66"/>
      <c r="G734" s="66"/>
      <c r="H734" s="66"/>
      <c r="I734" s="66"/>
      <c r="J734" s="66"/>
      <c r="K734" s="66"/>
      <c r="L734" s="66"/>
      <c r="M734" s="66"/>
      <c r="N734" s="66"/>
    </row>
    <row r="735" spans="1:14" x14ac:dyDescent="0.2">
      <c r="A735" s="84"/>
      <c r="B735" s="84"/>
      <c r="C735" s="60"/>
      <c r="D735" s="66"/>
      <c r="E735" s="66"/>
      <c r="F735" s="66"/>
      <c r="G735" s="66"/>
      <c r="H735" s="66"/>
      <c r="I735" s="66"/>
      <c r="J735" s="66"/>
      <c r="K735" s="66"/>
      <c r="L735" s="66"/>
      <c r="M735" s="66"/>
      <c r="N735" s="66"/>
    </row>
    <row r="736" spans="1:14" x14ac:dyDescent="0.2">
      <c r="A736" s="84"/>
      <c r="B736" s="84"/>
      <c r="C736" s="60"/>
      <c r="D736" s="66"/>
      <c r="E736" s="66"/>
      <c r="F736" s="66"/>
      <c r="G736" s="66"/>
      <c r="H736" s="66"/>
      <c r="I736" s="66"/>
      <c r="J736" s="66"/>
      <c r="K736" s="66"/>
      <c r="L736" s="66"/>
      <c r="M736" s="66"/>
      <c r="N736" s="66"/>
    </row>
    <row r="737" spans="1:14" x14ac:dyDescent="0.2">
      <c r="A737" s="84"/>
      <c r="B737" s="84"/>
      <c r="C737" s="60"/>
      <c r="D737" s="66"/>
      <c r="E737" s="66"/>
      <c r="F737" s="66"/>
      <c r="G737" s="66"/>
      <c r="H737" s="66"/>
      <c r="I737" s="66"/>
      <c r="J737" s="66"/>
      <c r="K737" s="66"/>
      <c r="L737" s="66"/>
      <c r="M737" s="66"/>
      <c r="N737" s="66"/>
    </row>
    <row r="738" spans="1:14" x14ac:dyDescent="0.2">
      <c r="A738" s="84"/>
      <c r="B738" s="84"/>
      <c r="C738" s="60"/>
      <c r="D738" s="66"/>
      <c r="E738" s="66"/>
      <c r="F738" s="66"/>
      <c r="G738" s="66"/>
      <c r="H738" s="66"/>
      <c r="I738" s="66"/>
      <c r="J738" s="66"/>
      <c r="K738" s="66"/>
      <c r="L738" s="66"/>
      <c r="M738" s="66"/>
      <c r="N738" s="66"/>
    </row>
    <row r="739" spans="1:14" x14ac:dyDescent="0.2">
      <c r="A739" s="84"/>
      <c r="B739" s="84"/>
      <c r="C739" s="60"/>
      <c r="D739" s="66"/>
      <c r="E739" s="66"/>
      <c r="F739" s="66"/>
      <c r="G739" s="66"/>
      <c r="H739" s="66"/>
      <c r="I739" s="66"/>
      <c r="J739" s="66"/>
      <c r="K739" s="66"/>
      <c r="L739" s="66"/>
      <c r="M739" s="66"/>
      <c r="N739" s="66"/>
    </row>
    <row r="740" spans="1:14" x14ac:dyDescent="0.2">
      <c r="A740" s="84"/>
      <c r="B740" s="84"/>
      <c r="C740" s="60"/>
      <c r="D740" s="66"/>
      <c r="E740" s="66"/>
      <c r="F740" s="66"/>
      <c r="G740" s="66"/>
      <c r="H740" s="66"/>
      <c r="I740" s="66"/>
      <c r="J740" s="66"/>
      <c r="K740" s="66"/>
      <c r="L740" s="66"/>
      <c r="M740" s="66"/>
      <c r="N740" s="66"/>
    </row>
    <row r="741" spans="1:14" x14ac:dyDescent="0.2">
      <c r="A741" s="84"/>
      <c r="B741" s="84"/>
      <c r="C741" s="60"/>
      <c r="D741" s="66"/>
      <c r="E741" s="66"/>
      <c r="F741" s="66"/>
      <c r="G741" s="66"/>
      <c r="H741" s="66"/>
      <c r="I741" s="66"/>
      <c r="J741" s="66"/>
      <c r="K741" s="66"/>
      <c r="L741" s="66"/>
      <c r="M741" s="66"/>
      <c r="N741" s="66"/>
    </row>
    <row r="742" spans="1:14" x14ac:dyDescent="0.2">
      <c r="A742" s="84"/>
      <c r="B742" s="84"/>
      <c r="C742" s="60"/>
      <c r="D742" s="66"/>
      <c r="E742" s="66"/>
      <c r="F742" s="66"/>
      <c r="G742" s="66"/>
      <c r="H742" s="66"/>
      <c r="I742" s="66"/>
      <c r="J742" s="66"/>
      <c r="K742" s="66"/>
      <c r="L742" s="66"/>
      <c r="M742" s="66"/>
      <c r="N742" s="66"/>
    </row>
    <row r="743" spans="1:14" x14ac:dyDescent="0.2">
      <c r="A743" s="84"/>
      <c r="B743" s="84"/>
      <c r="C743" s="60"/>
      <c r="D743" s="66"/>
      <c r="E743" s="66"/>
      <c r="F743" s="66"/>
      <c r="G743" s="66"/>
      <c r="H743" s="66"/>
      <c r="I743" s="66"/>
      <c r="J743" s="66"/>
      <c r="K743" s="66"/>
      <c r="L743" s="66"/>
      <c r="M743" s="66"/>
      <c r="N743" s="66"/>
    </row>
    <row r="744" spans="1:14" x14ac:dyDescent="0.2">
      <c r="A744" s="84"/>
      <c r="B744" s="84"/>
      <c r="C744" s="60"/>
      <c r="D744" s="66"/>
      <c r="E744" s="66"/>
      <c r="F744" s="66"/>
      <c r="G744" s="66"/>
      <c r="H744" s="66"/>
      <c r="I744" s="66"/>
      <c r="J744" s="66"/>
      <c r="K744" s="66"/>
      <c r="L744" s="66"/>
      <c r="M744" s="66"/>
      <c r="N744" s="66"/>
    </row>
    <row r="745" spans="1:14" x14ac:dyDescent="0.2">
      <c r="A745" s="84"/>
      <c r="B745" s="84"/>
      <c r="C745" s="60"/>
      <c r="D745" s="66"/>
      <c r="E745" s="66"/>
      <c r="F745" s="66"/>
      <c r="G745" s="66"/>
      <c r="H745" s="66"/>
      <c r="I745" s="66"/>
      <c r="J745" s="66"/>
      <c r="K745" s="66"/>
      <c r="L745" s="66"/>
      <c r="M745" s="66"/>
      <c r="N745" s="66"/>
    </row>
    <row r="746" spans="1:14" x14ac:dyDescent="0.2">
      <c r="A746" s="84"/>
      <c r="B746" s="84"/>
      <c r="C746" s="60"/>
      <c r="D746" s="66"/>
      <c r="E746" s="66"/>
      <c r="F746" s="66"/>
      <c r="G746" s="66"/>
      <c r="H746" s="66"/>
      <c r="I746" s="66"/>
      <c r="J746" s="66"/>
      <c r="K746" s="66"/>
      <c r="L746" s="66"/>
      <c r="M746" s="66"/>
      <c r="N746" s="66"/>
    </row>
    <row r="747" spans="1:14" x14ac:dyDescent="0.2">
      <c r="A747" s="84"/>
      <c r="B747" s="84"/>
      <c r="C747" s="60"/>
      <c r="D747" s="66"/>
      <c r="E747" s="66"/>
      <c r="F747" s="66"/>
      <c r="G747" s="66"/>
      <c r="H747" s="66"/>
      <c r="I747" s="66"/>
      <c r="J747" s="66"/>
      <c r="K747" s="66"/>
      <c r="L747" s="66"/>
      <c r="M747" s="66"/>
      <c r="N747" s="66"/>
    </row>
    <row r="748" spans="1:14" x14ac:dyDescent="0.2">
      <c r="A748" s="84"/>
      <c r="B748" s="84"/>
      <c r="C748" s="60"/>
      <c r="D748" s="66"/>
      <c r="E748" s="66"/>
      <c r="F748" s="66"/>
      <c r="G748" s="66"/>
      <c r="H748" s="66"/>
      <c r="I748" s="66"/>
      <c r="J748" s="66"/>
      <c r="K748" s="66"/>
      <c r="L748" s="66"/>
      <c r="M748" s="66"/>
      <c r="N748" s="66"/>
    </row>
    <row r="749" spans="1:14" x14ac:dyDescent="0.2">
      <c r="A749" s="84"/>
      <c r="B749" s="84"/>
      <c r="C749" s="60"/>
      <c r="D749" s="66"/>
      <c r="E749" s="66"/>
      <c r="F749" s="66"/>
      <c r="G749" s="66"/>
      <c r="H749" s="66"/>
      <c r="I749" s="66"/>
      <c r="J749" s="66"/>
      <c r="K749" s="66"/>
      <c r="L749" s="66"/>
      <c r="M749" s="66"/>
      <c r="N749" s="66"/>
    </row>
    <row r="750" spans="1:14" x14ac:dyDescent="0.2">
      <c r="A750" s="84"/>
      <c r="B750" s="84"/>
      <c r="C750" s="60"/>
      <c r="D750" s="66"/>
      <c r="E750" s="66"/>
      <c r="F750" s="66"/>
      <c r="G750" s="66"/>
      <c r="H750" s="66"/>
      <c r="I750" s="66"/>
      <c r="J750" s="66"/>
      <c r="K750" s="66"/>
      <c r="L750" s="66"/>
      <c r="M750" s="66"/>
      <c r="N750" s="66"/>
    </row>
    <row r="751" spans="1:14" x14ac:dyDescent="0.2">
      <c r="A751" s="84"/>
      <c r="B751" s="84"/>
      <c r="C751" s="60"/>
      <c r="D751" s="66"/>
      <c r="E751" s="66"/>
      <c r="F751" s="66"/>
      <c r="G751" s="66"/>
      <c r="H751" s="66"/>
      <c r="I751" s="66"/>
      <c r="J751" s="66"/>
      <c r="K751" s="66"/>
      <c r="L751" s="66"/>
      <c r="M751" s="66"/>
      <c r="N751" s="66"/>
    </row>
    <row r="752" spans="1:14" x14ac:dyDescent="0.2">
      <c r="A752" s="84"/>
      <c r="B752" s="84"/>
      <c r="C752" s="60"/>
      <c r="D752" s="66"/>
      <c r="E752" s="66"/>
      <c r="F752" s="66"/>
      <c r="G752" s="66"/>
      <c r="H752" s="66"/>
      <c r="I752" s="66"/>
      <c r="J752" s="66"/>
      <c r="K752" s="66"/>
      <c r="L752" s="66"/>
      <c r="M752" s="66"/>
      <c r="N752" s="66"/>
    </row>
    <row r="753" spans="1:14" x14ac:dyDescent="0.2">
      <c r="A753" s="84"/>
      <c r="B753" s="84"/>
      <c r="C753" s="60"/>
      <c r="D753" s="66"/>
      <c r="E753" s="66"/>
      <c r="F753" s="66"/>
      <c r="G753" s="66"/>
      <c r="H753" s="66"/>
      <c r="I753" s="66"/>
      <c r="J753" s="66"/>
      <c r="K753" s="66"/>
      <c r="L753" s="66"/>
      <c r="M753" s="66"/>
      <c r="N753" s="66"/>
    </row>
    <row r="754" spans="1:14" x14ac:dyDescent="0.2">
      <c r="A754" s="84"/>
      <c r="B754" s="84"/>
      <c r="C754" s="60"/>
      <c r="D754" s="66"/>
      <c r="E754" s="66"/>
      <c r="F754" s="66"/>
      <c r="G754" s="66"/>
      <c r="H754" s="66"/>
      <c r="I754" s="66"/>
      <c r="J754" s="66"/>
      <c r="K754" s="66"/>
      <c r="L754" s="66"/>
      <c r="M754" s="66"/>
      <c r="N754" s="66"/>
    </row>
    <row r="755" spans="1:14" x14ac:dyDescent="0.2">
      <c r="A755" s="84"/>
      <c r="B755" s="84"/>
      <c r="C755" s="60"/>
      <c r="D755" s="66"/>
      <c r="E755" s="66"/>
      <c r="F755" s="66"/>
      <c r="G755" s="66"/>
      <c r="H755" s="66"/>
      <c r="I755" s="66"/>
      <c r="J755" s="66"/>
      <c r="K755" s="66"/>
      <c r="L755" s="66"/>
      <c r="M755" s="66"/>
      <c r="N755" s="66"/>
    </row>
    <row r="756" spans="1:14" x14ac:dyDescent="0.2">
      <c r="A756" s="84"/>
      <c r="B756" s="84"/>
      <c r="C756" s="60"/>
      <c r="D756" s="66"/>
      <c r="E756" s="66"/>
      <c r="F756" s="66"/>
      <c r="G756" s="66"/>
      <c r="H756" s="66"/>
      <c r="I756" s="66"/>
      <c r="J756" s="66"/>
      <c r="K756" s="66"/>
      <c r="L756" s="66"/>
      <c r="M756" s="66"/>
      <c r="N756" s="66"/>
    </row>
    <row r="757" spans="1:14" x14ac:dyDescent="0.2">
      <c r="A757" s="84"/>
      <c r="B757" s="84"/>
      <c r="C757" s="60"/>
      <c r="D757" s="66"/>
      <c r="E757" s="66"/>
      <c r="F757" s="66"/>
      <c r="G757" s="66"/>
      <c r="H757" s="66"/>
      <c r="I757" s="66"/>
      <c r="J757" s="66"/>
      <c r="K757" s="66"/>
      <c r="L757" s="66"/>
      <c r="M757" s="66"/>
      <c r="N757" s="66"/>
    </row>
    <row r="758" spans="1:14" x14ac:dyDescent="0.2">
      <c r="A758" s="84"/>
      <c r="B758" s="84"/>
      <c r="C758" s="60"/>
      <c r="D758" s="66"/>
      <c r="E758" s="66"/>
      <c r="F758" s="66"/>
      <c r="G758" s="66"/>
      <c r="H758" s="66"/>
      <c r="I758" s="66"/>
      <c r="J758" s="66"/>
      <c r="K758" s="66"/>
      <c r="L758" s="66"/>
      <c r="M758" s="66"/>
      <c r="N758" s="66"/>
    </row>
    <row r="759" spans="1:14" x14ac:dyDescent="0.2">
      <c r="A759" s="84"/>
      <c r="B759" s="84"/>
      <c r="C759" s="60"/>
      <c r="D759" s="66"/>
      <c r="E759" s="66"/>
      <c r="F759" s="66"/>
      <c r="G759" s="66"/>
      <c r="H759" s="66"/>
      <c r="I759" s="66"/>
      <c r="J759" s="66"/>
      <c r="K759" s="66"/>
      <c r="L759" s="66"/>
      <c r="M759" s="66"/>
      <c r="N759" s="66"/>
    </row>
    <row r="760" spans="1:14" x14ac:dyDescent="0.2">
      <c r="A760" s="84"/>
      <c r="B760" s="84"/>
      <c r="C760" s="60"/>
      <c r="D760" s="66"/>
      <c r="E760" s="66"/>
      <c r="F760" s="66"/>
      <c r="G760" s="66"/>
      <c r="H760" s="66"/>
      <c r="I760" s="66"/>
      <c r="J760" s="66"/>
      <c r="K760" s="66"/>
      <c r="L760" s="66"/>
      <c r="M760" s="66"/>
      <c r="N760" s="66"/>
    </row>
    <row r="761" spans="1:14" x14ac:dyDescent="0.2">
      <c r="A761" s="84"/>
      <c r="B761" s="84"/>
      <c r="C761" s="60"/>
      <c r="D761" s="66"/>
      <c r="E761" s="66"/>
      <c r="F761" s="66"/>
      <c r="G761" s="66"/>
      <c r="H761" s="66"/>
      <c r="I761" s="66"/>
      <c r="J761" s="66"/>
      <c r="K761" s="66"/>
      <c r="L761" s="66"/>
      <c r="M761" s="66"/>
      <c r="N761" s="66"/>
    </row>
    <row r="762" spans="1:14" x14ac:dyDescent="0.2">
      <c r="A762" s="84"/>
      <c r="B762" s="84"/>
      <c r="C762" s="60"/>
      <c r="D762" s="66"/>
      <c r="E762" s="66"/>
      <c r="F762" s="66"/>
      <c r="G762" s="66"/>
      <c r="H762" s="66"/>
      <c r="I762" s="66"/>
      <c r="J762" s="66"/>
      <c r="K762" s="66"/>
      <c r="L762" s="66"/>
      <c r="M762" s="66"/>
      <c r="N762" s="66"/>
    </row>
    <row r="763" spans="1:14" x14ac:dyDescent="0.2">
      <c r="A763" s="84"/>
      <c r="B763" s="84"/>
      <c r="C763" s="60"/>
      <c r="D763" s="66"/>
      <c r="E763" s="66"/>
      <c r="F763" s="66"/>
      <c r="G763" s="66"/>
      <c r="H763" s="66"/>
      <c r="I763" s="66"/>
      <c r="J763" s="66"/>
      <c r="K763" s="66"/>
      <c r="L763" s="66"/>
      <c r="M763" s="66"/>
      <c r="N763" s="66"/>
    </row>
    <row r="764" spans="1:14" x14ac:dyDescent="0.2">
      <c r="A764" s="84"/>
      <c r="B764" s="84"/>
      <c r="C764" s="60"/>
      <c r="D764" s="66"/>
      <c r="E764" s="66"/>
      <c r="F764" s="66"/>
      <c r="G764" s="66"/>
      <c r="H764" s="66"/>
      <c r="I764" s="66"/>
      <c r="J764" s="66"/>
      <c r="K764" s="66"/>
      <c r="L764" s="66"/>
      <c r="M764" s="66"/>
      <c r="N764" s="66"/>
    </row>
    <row r="765" spans="1:14" x14ac:dyDescent="0.2">
      <c r="A765" s="84"/>
      <c r="B765" s="84"/>
      <c r="C765" s="60"/>
      <c r="D765" s="66"/>
      <c r="E765" s="66"/>
      <c r="F765" s="66"/>
      <c r="G765" s="66"/>
      <c r="H765" s="66"/>
      <c r="I765" s="66"/>
      <c r="J765" s="66"/>
      <c r="K765" s="66"/>
      <c r="L765" s="66"/>
      <c r="M765" s="66"/>
      <c r="N765" s="66"/>
    </row>
    <row r="766" spans="1:14" x14ac:dyDescent="0.2">
      <c r="A766" s="84"/>
      <c r="B766" s="84"/>
      <c r="C766" s="60"/>
      <c r="D766" s="66"/>
      <c r="E766" s="66"/>
      <c r="F766" s="66"/>
      <c r="G766" s="66"/>
      <c r="H766" s="66"/>
      <c r="I766" s="66"/>
      <c r="J766" s="66"/>
      <c r="K766" s="66"/>
      <c r="L766" s="66"/>
      <c r="M766" s="66"/>
      <c r="N766" s="66"/>
    </row>
    <row r="767" spans="1:14" x14ac:dyDescent="0.2">
      <c r="A767" s="84"/>
      <c r="B767" s="84"/>
      <c r="C767" s="60"/>
      <c r="D767" s="66"/>
      <c r="E767" s="66"/>
      <c r="F767" s="66"/>
      <c r="G767" s="66"/>
      <c r="H767" s="66"/>
      <c r="I767" s="66"/>
      <c r="J767" s="66"/>
      <c r="K767" s="66"/>
      <c r="L767" s="66"/>
      <c r="M767" s="66"/>
      <c r="N767" s="66"/>
    </row>
    <row r="768" spans="1:14" x14ac:dyDescent="0.2">
      <c r="A768" s="84"/>
      <c r="B768" s="84"/>
      <c r="C768" s="60"/>
      <c r="D768" s="66"/>
      <c r="E768" s="66"/>
      <c r="F768" s="66"/>
      <c r="G768" s="66"/>
      <c r="H768" s="66"/>
      <c r="I768" s="66"/>
      <c r="J768" s="66"/>
      <c r="K768" s="66"/>
      <c r="L768" s="66"/>
      <c r="M768" s="66"/>
      <c r="N768" s="66"/>
    </row>
    <row r="769" spans="1:14" x14ac:dyDescent="0.2">
      <c r="A769" s="84"/>
      <c r="B769" s="84"/>
      <c r="C769" s="60"/>
      <c r="D769" s="66"/>
      <c r="E769" s="66"/>
      <c r="F769" s="66"/>
      <c r="G769" s="66"/>
      <c r="H769" s="66"/>
      <c r="I769" s="66"/>
      <c r="J769" s="66"/>
      <c r="K769" s="66"/>
      <c r="L769" s="66"/>
      <c r="M769" s="66"/>
      <c r="N769" s="66"/>
    </row>
    <row r="770" spans="1:14" x14ac:dyDescent="0.2">
      <c r="A770" s="84"/>
      <c r="B770" s="84"/>
      <c r="C770" s="60"/>
      <c r="D770" s="66"/>
      <c r="E770" s="66"/>
      <c r="F770" s="66"/>
      <c r="G770" s="66"/>
      <c r="H770" s="66"/>
      <c r="I770" s="66"/>
      <c r="J770" s="66"/>
      <c r="K770" s="66"/>
      <c r="L770" s="66"/>
      <c r="M770" s="66"/>
      <c r="N770" s="66"/>
    </row>
    <row r="771" spans="1:14" x14ac:dyDescent="0.2">
      <c r="A771" s="84"/>
      <c r="B771" s="84"/>
      <c r="C771" s="60"/>
      <c r="D771" s="66"/>
      <c r="E771" s="66"/>
      <c r="F771" s="66"/>
      <c r="G771" s="66"/>
      <c r="H771" s="66"/>
      <c r="I771" s="66"/>
      <c r="J771" s="66"/>
      <c r="K771" s="66"/>
      <c r="L771" s="66"/>
      <c r="M771" s="66"/>
      <c r="N771" s="66"/>
    </row>
    <row r="772" spans="1:14" x14ac:dyDescent="0.2">
      <c r="A772" s="84"/>
      <c r="B772" s="84"/>
      <c r="C772" s="60"/>
      <c r="D772" s="66"/>
      <c r="E772" s="66"/>
      <c r="F772" s="66"/>
      <c r="G772" s="66"/>
      <c r="H772" s="66"/>
      <c r="I772" s="66"/>
      <c r="J772" s="66"/>
      <c r="K772" s="66"/>
      <c r="L772" s="66"/>
      <c r="M772" s="66"/>
      <c r="N772" s="66"/>
    </row>
    <row r="773" spans="1:14" x14ac:dyDescent="0.2">
      <c r="A773" s="84"/>
      <c r="B773" s="84"/>
      <c r="C773" s="60"/>
      <c r="D773" s="66"/>
      <c r="E773" s="66"/>
      <c r="F773" s="66"/>
      <c r="G773" s="66"/>
      <c r="H773" s="66"/>
      <c r="I773" s="66"/>
      <c r="J773" s="66"/>
      <c r="K773" s="66"/>
      <c r="L773" s="66"/>
      <c r="M773" s="66"/>
      <c r="N773" s="66"/>
    </row>
    <row r="774" spans="1:14" x14ac:dyDescent="0.2">
      <c r="A774" s="84"/>
      <c r="B774" s="84"/>
      <c r="C774" s="60"/>
      <c r="D774" s="66"/>
      <c r="E774" s="66"/>
      <c r="F774" s="66"/>
      <c r="G774" s="66"/>
      <c r="H774" s="66"/>
      <c r="I774" s="66"/>
      <c r="J774" s="66"/>
      <c r="K774" s="66"/>
      <c r="L774" s="66"/>
      <c r="M774" s="66"/>
      <c r="N774" s="66"/>
    </row>
    <row r="775" spans="1:14" x14ac:dyDescent="0.2">
      <c r="A775" s="84"/>
      <c r="B775" s="84"/>
      <c r="C775" s="60"/>
      <c r="D775" s="66"/>
      <c r="E775" s="66"/>
      <c r="F775" s="66"/>
      <c r="G775" s="66"/>
      <c r="H775" s="66"/>
      <c r="I775" s="66"/>
      <c r="J775" s="66"/>
      <c r="K775" s="66"/>
      <c r="L775" s="66"/>
      <c r="M775" s="66"/>
      <c r="N775" s="66"/>
    </row>
    <row r="776" spans="1:14" x14ac:dyDescent="0.2">
      <c r="A776" s="84"/>
      <c r="B776" s="84"/>
      <c r="C776" s="60"/>
      <c r="D776" s="66"/>
      <c r="E776" s="66"/>
      <c r="F776" s="66"/>
      <c r="G776" s="66"/>
      <c r="H776" s="66"/>
      <c r="I776" s="66"/>
      <c r="J776" s="66"/>
      <c r="K776" s="66"/>
      <c r="L776" s="66"/>
      <c r="M776" s="66"/>
      <c r="N776" s="66"/>
    </row>
    <row r="777" spans="1:14" x14ac:dyDescent="0.2">
      <c r="A777" s="84"/>
      <c r="B777" s="84"/>
      <c r="C777" s="60"/>
      <c r="D777" s="66"/>
      <c r="E777" s="66"/>
      <c r="F777" s="66"/>
      <c r="G777" s="66"/>
      <c r="H777" s="66"/>
      <c r="I777" s="66"/>
      <c r="J777" s="66"/>
      <c r="K777" s="66"/>
      <c r="L777" s="66"/>
      <c r="M777" s="66"/>
      <c r="N777" s="66"/>
    </row>
    <row r="778" spans="1:14" x14ac:dyDescent="0.2">
      <c r="A778" s="84"/>
      <c r="B778" s="84"/>
      <c r="C778" s="60"/>
      <c r="D778" s="66"/>
      <c r="E778" s="66"/>
      <c r="F778" s="66"/>
      <c r="G778" s="66"/>
      <c r="H778" s="66"/>
      <c r="I778" s="66"/>
      <c r="J778" s="66"/>
      <c r="K778" s="66"/>
      <c r="L778" s="66"/>
      <c r="M778" s="66"/>
      <c r="N778" s="66"/>
    </row>
    <row r="779" spans="1:14" x14ac:dyDescent="0.2">
      <c r="A779" s="84"/>
      <c r="B779" s="84"/>
      <c r="C779" s="60"/>
      <c r="D779" s="66"/>
      <c r="E779" s="66"/>
      <c r="F779" s="66"/>
      <c r="G779" s="66"/>
      <c r="H779" s="66"/>
      <c r="I779" s="66"/>
      <c r="J779" s="66"/>
      <c r="K779" s="66"/>
      <c r="L779" s="66"/>
      <c r="M779" s="66"/>
      <c r="N779" s="66"/>
    </row>
    <row r="780" spans="1:14" x14ac:dyDescent="0.2">
      <c r="A780" s="84"/>
      <c r="B780" s="84"/>
      <c r="C780" s="60"/>
      <c r="D780" s="66"/>
      <c r="E780" s="66"/>
      <c r="F780" s="66"/>
      <c r="G780" s="66"/>
      <c r="H780" s="66"/>
      <c r="I780" s="66"/>
      <c r="J780" s="66"/>
      <c r="K780" s="66"/>
      <c r="L780" s="66"/>
      <c r="M780" s="66"/>
      <c r="N780" s="66"/>
    </row>
    <row r="781" spans="1:14" x14ac:dyDescent="0.2">
      <c r="A781" s="84"/>
      <c r="B781" s="84"/>
      <c r="C781" s="60"/>
      <c r="D781" s="66"/>
      <c r="E781" s="66"/>
      <c r="F781" s="66"/>
      <c r="G781" s="66"/>
      <c r="H781" s="66"/>
      <c r="I781" s="66"/>
      <c r="J781" s="66"/>
      <c r="K781" s="66"/>
      <c r="L781" s="66"/>
      <c r="M781" s="66"/>
      <c r="N781" s="66"/>
    </row>
    <row r="782" spans="1:14" x14ac:dyDescent="0.2">
      <c r="A782" s="84"/>
      <c r="B782" s="84"/>
      <c r="C782" s="60"/>
      <c r="D782" s="66"/>
      <c r="E782" s="66"/>
      <c r="F782" s="66"/>
      <c r="G782" s="66"/>
      <c r="H782" s="66"/>
      <c r="I782" s="66"/>
      <c r="J782" s="66"/>
      <c r="K782" s="66"/>
      <c r="L782" s="66"/>
      <c r="M782" s="66"/>
      <c r="N782" s="66"/>
    </row>
    <row r="783" spans="1:14" x14ac:dyDescent="0.2">
      <c r="A783" s="84"/>
      <c r="B783" s="84"/>
      <c r="C783" s="60"/>
      <c r="D783" s="66"/>
      <c r="E783" s="66"/>
      <c r="F783" s="66"/>
      <c r="G783" s="66"/>
      <c r="H783" s="66"/>
      <c r="I783" s="66"/>
      <c r="J783" s="66"/>
      <c r="K783" s="66"/>
      <c r="L783" s="66"/>
      <c r="M783" s="66"/>
      <c r="N783" s="66"/>
    </row>
    <row r="784" spans="1:14" x14ac:dyDescent="0.2">
      <c r="A784" s="84"/>
      <c r="B784" s="84"/>
      <c r="C784" s="60"/>
      <c r="D784" s="66"/>
      <c r="E784" s="66"/>
      <c r="F784" s="66"/>
      <c r="G784" s="66"/>
      <c r="H784" s="66"/>
      <c r="I784" s="66"/>
      <c r="J784" s="66"/>
      <c r="K784" s="66"/>
      <c r="L784" s="66"/>
      <c r="M784" s="66"/>
      <c r="N784" s="66"/>
    </row>
    <row r="785" spans="1:14" x14ac:dyDescent="0.2">
      <c r="A785" s="84"/>
      <c r="B785" s="84"/>
      <c r="C785" s="60"/>
      <c r="D785" s="66"/>
      <c r="E785" s="66"/>
      <c r="F785" s="66"/>
      <c r="G785" s="66"/>
      <c r="H785" s="66"/>
      <c r="I785" s="66"/>
      <c r="J785" s="66"/>
      <c r="K785" s="66"/>
      <c r="L785" s="66"/>
      <c r="M785" s="66"/>
      <c r="N785" s="66"/>
    </row>
    <row r="786" spans="1:14" x14ac:dyDescent="0.2">
      <c r="A786" s="84"/>
      <c r="B786" s="84"/>
      <c r="C786" s="60"/>
      <c r="D786" s="66"/>
      <c r="E786" s="66"/>
      <c r="F786" s="66"/>
      <c r="G786" s="66"/>
      <c r="H786" s="66"/>
      <c r="I786" s="66"/>
      <c r="J786" s="66"/>
      <c r="K786" s="66"/>
      <c r="L786" s="66"/>
      <c r="M786" s="66"/>
      <c r="N786" s="66"/>
    </row>
    <row r="787" spans="1:14" x14ac:dyDescent="0.2">
      <c r="A787" s="84"/>
      <c r="B787" s="84"/>
      <c r="C787" s="60"/>
      <c r="D787" s="66"/>
      <c r="E787" s="66"/>
      <c r="F787" s="66"/>
      <c r="G787" s="66"/>
      <c r="H787" s="66"/>
      <c r="I787" s="66"/>
      <c r="J787" s="66"/>
      <c r="K787" s="66"/>
      <c r="L787" s="66"/>
      <c r="M787" s="66"/>
      <c r="N787" s="66"/>
    </row>
    <row r="788" spans="1:14" x14ac:dyDescent="0.2">
      <c r="A788" s="84"/>
      <c r="B788" s="84"/>
      <c r="C788" s="60"/>
      <c r="D788" s="66"/>
      <c r="E788" s="66"/>
      <c r="F788" s="66"/>
      <c r="G788" s="66"/>
      <c r="H788" s="66"/>
      <c r="I788" s="66"/>
      <c r="J788" s="66"/>
      <c r="K788" s="66"/>
      <c r="L788" s="66"/>
      <c r="M788" s="66"/>
      <c r="N788" s="66"/>
    </row>
    <row r="789" spans="1:14" x14ac:dyDescent="0.2">
      <c r="A789" s="84"/>
      <c r="B789" s="84"/>
      <c r="C789" s="60"/>
      <c r="D789" s="66"/>
      <c r="E789" s="66"/>
      <c r="F789" s="66"/>
      <c r="G789" s="66"/>
      <c r="H789" s="66"/>
      <c r="I789" s="66"/>
      <c r="J789" s="66"/>
      <c r="K789" s="66"/>
      <c r="L789" s="66"/>
      <c r="M789" s="66"/>
      <c r="N789" s="66"/>
    </row>
    <row r="790" spans="1:14" x14ac:dyDescent="0.2">
      <c r="A790" s="84"/>
      <c r="B790" s="84"/>
      <c r="C790" s="60"/>
      <c r="D790" s="66"/>
      <c r="E790" s="66"/>
      <c r="F790" s="66"/>
      <c r="G790" s="66"/>
      <c r="H790" s="66"/>
      <c r="I790" s="66"/>
      <c r="J790" s="66"/>
      <c r="K790" s="66"/>
      <c r="L790" s="66"/>
      <c r="M790" s="66"/>
      <c r="N790" s="66"/>
    </row>
    <row r="791" spans="1:14" x14ac:dyDescent="0.2">
      <c r="A791" s="84"/>
      <c r="B791" s="84"/>
      <c r="C791" s="60"/>
      <c r="D791" s="66"/>
      <c r="E791" s="66"/>
      <c r="F791" s="66"/>
      <c r="G791" s="66"/>
      <c r="H791" s="66"/>
      <c r="I791" s="66"/>
      <c r="J791" s="66"/>
      <c r="K791" s="66"/>
      <c r="L791" s="66"/>
      <c r="M791" s="66"/>
      <c r="N791" s="66"/>
    </row>
    <row r="792" spans="1:14" x14ac:dyDescent="0.2">
      <c r="A792" s="84"/>
      <c r="B792" s="84"/>
      <c r="C792" s="60"/>
      <c r="D792" s="66"/>
      <c r="E792" s="66"/>
      <c r="F792" s="66"/>
      <c r="G792" s="66"/>
      <c r="H792" s="66"/>
      <c r="I792" s="66"/>
      <c r="J792" s="66"/>
      <c r="K792" s="66"/>
      <c r="L792" s="66"/>
      <c r="M792" s="66"/>
      <c r="N792" s="66"/>
    </row>
    <row r="793" spans="1:14" x14ac:dyDescent="0.2">
      <c r="A793" s="84"/>
      <c r="B793" s="84"/>
      <c r="C793" s="60"/>
      <c r="D793" s="66"/>
      <c r="E793" s="66"/>
      <c r="F793" s="66"/>
      <c r="G793" s="66"/>
      <c r="H793" s="66"/>
      <c r="I793" s="66"/>
      <c r="J793" s="66"/>
      <c r="K793" s="66"/>
      <c r="L793" s="66"/>
      <c r="M793" s="66"/>
      <c r="N793" s="66"/>
    </row>
    <row r="794" spans="1:14" x14ac:dyDescent="0.2">
      <c r="A794" s="84"/>
      <c r="B794" s="84"/>
      <c r="C794" s="60"/>
      <c r="D794" s="66"/>
      <c r="E794" s="66"/>
      <c r="F794" s="66"/>
      <c r="G794" s="66"/>
      <c r="H794" s="66"/>
      <c r="I794" s="66"/>
      <c r="J794" s="66"/>
      <c r="K794" s="66"/>
      <c r="L794" s="66"/>
      <c r="M794" s="66"/>
      <c r="N794" s="66"/>
    </row>
    <row r="795" spans="1:14" x14ac:dyDescent="0.2">
      <c r="A795" s="84"/>
      <c r="B795" s="84"/>
      <c r="C795" s="60"/>
      <c r="D795" s="66"/>
      <c r="E795" s="66"/>
      <c r="F795" s="66"/>
      <c r="G795" s="66"/>
      <c r="H795" s="66"/>
      <c r="I795" s="66"/>
      <c r="J795" s="66"/>
      <c r="K795" s="66"/>
      <c r="L795" s="66"/>
      <c r="M795" s="66"/>
      <c r="N795" s="66"/>
    </row>
    <row r="796" spans="1:14" x14ac:dyDescent="0.2">
      <c r="A796" s="84"/>
      <c r="B796" s="84"/>
      <c r="C796" s="60"/>
      <c r="D796" s="66"/>
      <c r="E796" s="66"/>
      <c r="F796" s="66"/>
      <c r="G796" s="66"/>
      <c r="H796" s="66"/>
      <c r="I796" s="66"/>
      <c r="J796" s="66"/>
      <c r="K796" s="66"/>
      <c r="L796" s="66"/>
      <c r="M796" s="66"/>
      <c r="N796" s="66"/>
    </row>
    <row r="797" spans="1:14" x14ac:dyDescent="0.2">
      <c r="A797" s="84"/>
      <c r="B797" s="84"/>
      <c r="C797" s="60"/>
      <c r="D797" s="66"/>
      <c r="E797" s="66"/>
      <c r="F797" s="66"/>
      <c r="G797" s="66"/>
      <c r="H797" s="66"/>
      <c r="I797" s="66"/>
      <c r="J797" s="66"/>
      <c r="K797" s="66"/>
      <c r="L797" s="66"/>
      <c r="M797" s="66"/>
      <c r="N797" s="66"/>
    </row>
    <row r="798" spans="1:14" x14ac:dyDescent="0.2">
      <c r="A798" s="84"/>
      <c r="B798" s="84"/>
      <c r="C798" s="60"/>
      <c r="D798" s="66"/>
      <c r="E798" s="66"/>
      <c r="F798" s="66"/>
      <c r="G798" s="66"/>
      <c r="H798" s="66"/>
      <c r="I798" s="66"/>
      <c r="J798" s="66"/>
      <c r="K798" s="66"/>
      <c r="L798" s="66"/>
      <c r="M798" s="66"/>
      <c r="N798" s="66"/>
    </row>
    <row r="799" spans="1:14" x14ac:dyDescent="0.2">
      <c r="A799" s="84"/>
      <c r="B799" s="84"/>
      <c r="C799" s="60"/>
      <c r="D799" s="66"/>
      <c r="E799" s="66"/>
      <c r="F799" s="66"/>
      <c r="G799" s="66"/>
      <c r="H799" s="66"/>
      <c r="I799" s="66"/>
      <c r="J799" s="66"/>
      <c r="K799" s="66"/>
      <c r="L799" s="66"/>
      <c r="M799" s="66"/>
      <c r="N799" s="66"/>
    </row>
    <row r="800" spans="1:14" x14ac:dyDescent="0.2">
      <c r="A800" s="84"/>
      <c r="B800" s="84"/>
      <c r="C800" s="60"/>
      <c r="D800" s="66"/>
      <c r="E800" s="66"/>
      <c r="F800" s="66"/>
      <c r="G800" s="66"/>
      <c r="H800" s="66"/>
      <c r="I800" s="66"/>
      <c r="J800" s="66"/>
      <c r="K800" s="66"/>
      <c r="L800" s="66"/>
      <c r="M800" s="66"/>
      <c r="N800" s="66"/>
    </row>
    <row r="801" spans="1:14" x14ac:dyDescent="0.2">
      <c r="A801" s="84"/>
      <c r="B801" s="84"/>
      <c r="C801" s="60"/>
      <c r="D801" s="66"/>
      <c r="E801" s="66"/>
      <c r="F801" s="66"/>
      <c r="G801" s="66"/>
      <c r="H801" s="66"/>
      <c r="I801" s="66"/>
      <c r="J801" s="66"/>
      <c r="K801" s="66"/>
      <c r="L801" s="66"/>
      <c r="M801" s="66"/>
      <c r="N801" s="66"/>
    </row>
    <row r="802" spans="1:14" x14ac:dyDescent="0.2">
      <c r="A802" s="84"/>
      <c r="B802" s="84"/>
      <c r="C802" s="60"/>
      <c r="D802" s="66"/>
      <c r="E802" s="66"/>
      <c r="F802" s="66"/>
      <c r="G802" s="66"/>
      <c r="H802" s="66"/>
      <c r="I802" s="66"/>
      <c r="J802" s="66"/>
      <c r="K802" s="66"/>
      <c r="L802" s="66"/>
      <c r="M802" s="66"/>
      <c r="N802" s="66"/>
    </row>
    <row r="803" spans="1:14" x14ac:dyDescent="0.2">
      <c r="A803" s="84"/>
      <c r="B803" s="84"/>
      <c r="C803" s="60"/>
      <c r="D803" s="66"/>
      <c r="E803" s="66"/>
      <c r="F803" s="66"/>
      <c r="G803" s="66"/>
      <c r="H803" s="66"/>
      <c r="I803" s="66"/>
      <c r="J803" s="66"/>
      <c r="K803" s="66"/>
      <c r="L803" s="66"/>
      <c r="M803" s="66"/>
      <c r="N803" s="66"/>
    </row>
    <row r="804" spans="1:14" x14ac:dyDescent="0.2">
      <c r="A804" s="84"/>
      <c r="B804" s="84"/>
      <c r="C804" s="60"/>
      <c r="D804" s="66"/>
      <c r="E804" s="66"/>
      <c r="F804" s="66"/>
      <c r="G804" s="66"/>
      <c r="H804" s="66"/>
      <c r="I804" s="66"/>
      <c r="J804" s="66"/>
      <c r="K804" s="66"/>
      <c r="L804" s="66"/>
      <c r="M804" s="66"/>
      <c r="N804" s="66"/>
    </row>
    <row r="805" spans="1:14" x14ac:dyDescent="0.2">
      <c r="A805" s="84"/>
      <c r="B805" s="84"/>
      <c r="C805" s="60"/>
      <c r="D805" s="66"/>
      <c r="E805" s="66"/>
      <c r="F805" s="66"/>
      <c r="G805" s="66"/>
      <c r="H805" s="66"/>
      <c r="I805" s="66"/>
      <c r="J805" s="66"/>
      <c r="K805" s="66"/>
      <c r="L805" s="66"/>
      <c r="M805" s="66"/>
      <c r="N805" s="66"/>
    </row>
    <row r="806" spans="1:14" x14ac:dyDescent="0.2">
      <c r="A806" s="84"/>
      <c r="B806" s="84"/>
      <c r="C806" s="60"/>
      <c r="D806" s="66"/>
      <c r="E806" s="66"/>
      <c r="F806" s="66"/>
      <c r="G806" s="66"/>
      <c r="H806" s="66"/>
      <c r="I806" s="66"/>
      <c r="J806" s="66"/>
      <c r="K806" s="66"/>
      <c r="L806" s="66"/>
      <c r="M806" s="66"/>
      <c r="N806" s="66"/>
    </row>
    <row r="807" spans="1:14" x14ac:dyDescent="0.2">
      <c r="A807" s="84"/>
      <c r="B807" s="84"/>
      <c r="C807" s="60"/>
      <c r="D807" s="66"/>
      <c r="E807" s="66"/>
      <c r="F807" s="66"/>
      <c r="G807" s="66"/>
      <c r="H807" s="66"/>
      <c r="I807" s="66"/>
      <c r="J807" s="66"/>
      <c r="K807" s="66"/>
      <c r="L807" s="66"/>
      <c r="M807" s="66"/>
      <c r="N807" s="66"/>
    </row>
    <row r="808" spans="1:14" x14ac:dyDescent="0.2">
      <c r="A808" s="84"/>
      <c r="B808" s="84"/>
      <c r="C808" s="60"/>
      <c r="D808" s="66"/>
      <c r="E808" s="66"/>
      <c r="F808" s="66"/>
      <c r="G808" s="66"/>
      <c r="H808" s="66"/>
      <c r="I808" s="66"/>
      <c r="J808" s="66"/>
      <c r="K808" s="66"/>
      <c r="L808" s="66"/>
      <c r="M808" s="66"/>
      <c r="N808" s="66"/>
    </row>
    <row r="809" spans="1:14" x14ac:dyDescent="0.2">
      <c r="A809" s="84"/>
      <c r="B809" s="84"/>
      <c r="C809" s="60"/>
      <c r="D809" s="66"/>
      <c r="E809" s="66"/>
      <c r="F809" s="66"/>
      <c r="G809" s="66"/>
      <c r="H809" s="66"/>
      <c r="I809" s="66"/>
      <c r="J809" s="66"/>
      <c r="K809" s="66"/>
      <c r="L809" s="66"/>
      <c r="M809" s="66"/>
      <c r="N809" s="66"/>
    </row>
    <row r="810" spans="1:14" x14ac:dyDescent="0.2">
      <c r="A810" s="84"/>
      <c r="B810" s="84"/>
      <c r="C810" s="60"/>
      <c r="D810" s="66"/>
      <c r="E810" s="66"/>
      <c r="F810" s="66"/>
      <c r="G810" s="66"/>
      <c r="H810" s="66"/>
      <c r="I810" s="66"/>
      <c r="J810" s="66"/>
      <c r="K810" s="66"/>
      <c r="L810" s="66"/>
      <c r="M810" s="66"/>
      <c r="N810" s="66"/>
    </row>
    <row r="811" spans="1:14" x14ac:dyDescent="0.2">
      <c r="A811" s="84"/>
      <c r="B811" s="84"/>
      <c r="C811" s="60"/>
      <c r="D811" s="66"/>
      <c r="E811" s="66"/>
      <c r="F811" s="66"/>
      <c r="G811" s="66"/>
      <c r="H811" s="66"/>
      <c r="I811" s="66"/>
      <c r="J811" s="66"/>
      <c r="K811" s="66"/>
      <c r="L811" s="66"/>
      <c r="M811" s="66"/>
      <c r="N811" s="66"/>
    </row>
    <row r="812" spans="1:14" x14ac:dyDescent="0.2">
      <c r="A812" s="84"/>
      <c r="B812" s="84"/>
      <c r="C812" s="60"/>
      <c r="D812" s="66"/>
      <c r="E812" s="66"/>
      <c r="F812" s="66"/>
      <c r="G812" s="66"/>
      <c r="H812" s="66"/>
      <c r="I812" s="66"/>
      <c r="J812" s="66"/>
      <c r="K812" s="66"/>
      <c r="L812" s="66"/>
      <c r="M812" s="66"/>
      <c r="N812" s="66"/>
    </row>
    <row r="813" spans="1:14" x14ac:dyDescent="0.2">
      <c r="A813" s="84"/>
      <c r="B813" s="84"/>
      <c r="C813" s="60"/>
      <c r="D813" s="66"/>
      <c r="E813" s="66"/>
      <c r="F813" s="66"/>
      <c r="G813" s="66"/>
      <c r="H813" s="66"/>
      <c r="I813" s="66"/>
      <c r="J813" s="66"/>
      <c r="K813" s="66"/>
      <c r="L813" s="66"/>
      <c r="M813" s="66"/>
      <c r="N813" s="66"/>
    </row>
    <row r="814" spans="1:14" x14ac:dyDescent="0.2">
      <c r="A814" s="84"/>
      <c r="B814" s="84"/>
      <c r="C814" s="60"/>
      <c r="D814" s="66"/>
      <c r="E814" s="66"/>
      <c r="F814" s="66"/>
      <c r="G814" s="66"/>
      <c r="H814" s="66"/>
      <c r="I814" s="66"/>
      <c r="J814" s="66"/>
      <c r="K814" s="66"/>
      <c r="L814" s="66"/>
      <c r="M814" s="66"/>
      <c r="N814" s="66"/>
    </row>
    <row r="815" spans="1:14" x14ac:dyDescent="0.2">
      <c r="A815" s="84"/>
      <c r="B815" s="84"/>
      <c r="C815" s="60"/>
      <c r="D815" s="66"/>
      <c r="E815" s="66"/>
      <c r="F815" s="66"/>
      <c r="G815" s="66"/>
      <c r="H815" s="66"/>
      <c r="I815" s="66"/>
      <c r="J815" s="66"/>
      <c r="K815" s="66"/>
      <c r="L815" s="66"/>
      <c r="M815" s="66"/>
      <c r="N815" s="66"/>
    </row>
    <row r="816" spans="1:14" x14ac:dyDescent="0.2">
      <c r="A816" s="84"/>
      <c r="B816" s="84"/>
      <c r="C816" s="60"/>
      <c r="D816" s="66"/>
      <c r="E816" s="66"/>
      <c r="F816" s="66"/>
      <c r="G816" s="66"/>
      <c r="H816" s="66"/>
      <c r="I816" s="66"/>
      <c r="J816" s="66"/>
      <c r="K816" s="66"/>
      <c r="L816" s="66"/>
      <c r="M816" s="66"/>
      <c r="N816" s="66"/>
    </row>
    <row r="817" spans="1:14" x14ac:dyDescent="0.2">
      <c r="A817" s="84"/>
      <c r="B817" s="84"/>
      <c r="C817" s="60"/>
      <c r="D817" s="66"/>
      <c r="E817" s="66"/>
      <c r="F817" s="66"/>
      <c r="G817" s="66"/>
      <c r="H817" s="66"/>
      <c r="I817" s="66"/>
      <c r="J817" s="66"/>
      <c r="K817" s="66"/>
      <c r="L817" s="66"/>
      <c r="M817" s="66"/>
      <c r="N817" s="66"/>
    </row>
    <row r="818" spans="1:14" x14ac:dyDescent="0.2">
      <c r="A818" s="84"/>
      <c r="B818" s="84"/>
      <c r="C818" s="60"/>
      <c r="D818" s="66"/>
      <c r="E818" s="66"/>
      <c r="F818" s="66"/>
      <c r="G818" s="66"/>
      <c r="H818" s="66"/>
      <c r="I818" s="66"/>
      <c r="J818" s="66"/>
      <c r="K818" s="66"/>
      <c r="L818" s="66"/>
      <c r="M818" s="66"/>
      <c r="N818" s="66"/>
    </row>
    <row r="819" spans="1:14" x14ac:dyDescent="0.2">
      <c r="A819" s="84"/>
      <c r="B819" s="84"/>
      <c r="C819" s="60"/>
      <c r="D819" s="66"/>
      <c r="E819" s="66"/>
      <c r="F819" s="66"/>
      <c r="G819" s="66"/>
      <c r="H819" s="66"/>
      <c r="I819" s="66"/>
      <c r="J819" s="66"/>
      <c r="K819" s="66"/>
      <c r="L819" s="66"/>
      <c r="M819" s="66"/>
      <c r="N819" s="66"/>
    </row>
    <row r="820" spans="1:14" x14ac:dyDescent="0.2">
      <c r="A820" s="84"/>
      <c r="B820" s="84"/>
      <c r="C820" s="60"/>
      <c r="D820" s="66"/>
      <c r="E820" s="66"/>
      <c r="F820" s="66"/>
      <c r="G820" s="66"/>
      <c r="H820" s="66"/>
      <c r="I820" s="66"/>
      <c r="J820" s="66"/>
      <c r="K820" s="66"/>
      <c r="L820" s="66"/>
      <c r="M820" s="66"/>
      <c r="N820" s="66"/>
    </row>
    <row r="821" spans="1:14" x14ac:dyDescent="0.2">
      <c r="A821" s="84"/>
      <c r="B821" s="84"/>
      <c r="C821" s="60"/>
      <c r="D821" s="66"/>
      <c r="E821" s="66"/>
      <c r="F821" s="66"/>
      <c r="G821" s="66"/>
      <c r="H821" s="66"/>
      <c r="I821" s="66"/>
      <c r="J821" s="66"/>
      <c r="K821" s="66"/>
      <c r="L821" s="66"/>
      <c r="M821" s="66"/>
      <c r="N821" s="66"/>
    </row>
    <row r="822" spans="1:14" x14ac:dyDescent="0.2">
      <c r="A822" s="84"/>
      <c r="B822" s="84"/>
      <c r="C822" s="60"/>
      <c r="D822" s="66"/>
      <c r="E822" s="66"/>
      <c r="F822" s="66"/>
      <c r="G822" s="66"/>
      <c r="H822" s="66"/>
      <c r="I822" s="66"/>
      <c r="J822" s="66"/>
      <c r="K822" s="66"/>
      <c r="L822" s="66"/>
      <c r="M822" s="66"/>
      <c r="N822" s="66"/>
    </row>
    <row r="823" spans="1:14" x14ac:dyDescent="0.2">
      <c r="A823" s="84"/>
      <c r="B823" s="84"/>
      <c r="C823" s="60"/>
      <c r="D823" s="66"/>
      <c r="E823" s="66"/>
      <c r="F823" s="66"/>
      <c r="G823" s="66"/>
      <c r="H823" s="66"/>
      <c r="I823" s="66"/>
      <c r="J823" s="66"/>
      <c r="K823" s="66"/>
      <c r="L823" s="66"/>
      <c r="M823" s="66"/>
      <c r="N823" s="66"/>
    </row>
    <row r="824" spans="1:14" x14ac:dyDescent="0.2">
      <c r="A824" s="84"/>
      <c r="B824" s="84"/>
      <c r="C824" s="60"/>
      <c r="D824" s="66"/>
      <c r="E824" s="66"/>
      <c r="F824" s="66"/>
      <c r="G824" s="66"/>
      <c r="H824" s="66"/>
      <c r="I824" s="66"/>
      <c r="J824" s="66"/>
      <c r="K824" s="66"/>
      <c r="L824" s="66"/>
      <c r="M824" s="66"/>
      <c r="N824" s="66"/>
    </row>
    <row r="825" spans="1:14" x14ac:dyDescent="0.2">
      <c r="A825" s="84"/>
      <c r="B825" s="84"/>
      <c r="C825" s="60"/>
      <c r="D825" s="66"/>
      <c r="E825" s="66"/>
      <c r="F825" s="66"/>
      <c r="G825" s="66"/>
      <c r="H825" s="66"/>
      <c r="I825" s="66"/>
      <c r="J825" s="66"/>
      <c r="K825" s="66"/>
      <c r="L825" s="66"/>
      <c r="M825" s="66"/>
      <c r="N825" s="66"/>
    </row>
    <row r="826" spans="1:14" x14ac:dyDescent="0.2">
      <c r="A826" s="84"/>
      <c r="B826" s="84"/>
      <c r="C826" s="60"/>
      <c r="D826" s="66"/>
      <c r="E826" s="66"/>
      <c r="F826" s="66"/>
      <c r="G826" s="66"/>
      <c r="H826" s="66"/>
      <c r="I826" s="66"/>
      <c r="J826" s="66"/>
      <c r="K826" s="66"/>
      <c r="L826" s="66"/>
      <c r="M826" s="66"/>
      <c r="N826" s="66"/>
    </row>
    <row r="827" spans="1:14" x14ac:dyDescent="0.2">
      <c r="A827" s="84"/>
      <c r="B827" s="84"/>
      <c r="C827" s="60"/>
      <c r="D827" s="66"/>
      <c r="E827" s="66"/>
      <c r="F827" s="66"/>
      <c r="G827" s="66"/>
      <c r="H827" s="66"/>
      <c r="I827" s="66"/>
      <c r="J827" s="66"/>
      <c r="K827" s="66"/>
      <c r="L827" s="66"/>
      <c r="M827" s="66"/>
      <c r="N827" s="66"/>
    </row>
    <row r="828" spans="1:14" x14ac:dyDescent="0.2">
      <c r="A828" s="84"/>
      <c r="B828" s="84"/>
      <c r="C828" s="60"/>
      <c r="D828" s="66"/>
      <c r="E828" s="66"/>
      <c r="F828" s="66"/>
      <c r="G828" s="66"/>
      <c r="H828" s="66"/>
      <c r="I828" s="66"/>
      <c r="J828" s="66"/>
      <c r="K828" s="66"/>
      <c r="L828" s="66"/>
      <c r="M828" s="66"/>
      <c r="N828" s="66"/>
    </row>
    <row r="829" spans="1:14" x14ac:dyDescent="0.2">
      <c r="A829" s="84"/>
      <c r="B829" s="84"/>
      <c r="C829" s="60"/>
      <c r="D829" s="66"/>
      <c r="E829" s="66"/>
      <c r="F829" s="66"/>
      <c r="G829" s="66"/>
      <c r="H829" s="66"/>
      <c r="I829" s="66"/>
      <c r="J829" s="66"/>
      <c r="K829" s="66"/>
      <c r="L829" s="66"/>
      <c r="M829" s="66"/>
      <c r="N829" s="66"/>
    </row>
    <row r="830" spans="1:14" x14ac:dyDescent="0.2">
      <c r="A830" s="84"/>
      <c r="B830" s="84"/>
      <c r="C830" s="60"/>
      <c r="D830" s="66"/>
      <c r="E830" s="66"/>
      <c r="F830" s="66"/>
      <c r="G830" s="66"/>
      <c r="H830" s="66"/>
      <c r="I830" s="66"/>
      <c r="J830" s="66"/>
      <c r="K830" s="66"/>
      <c r="L830" s="66"/>
      <c r="M830" s="66"/>
      <c r="N830" s="66"/>
    </row>
    <row r="831" spans="1:14" x14ac:dyDescent="0.2">
      <c r="A831" s="84"/>
      <c r="B831" s="84"/>
      <c r="C831" s="60"/>
      <c r="D831" s="66"/>
      <c r="E831" s="66"/>
      <c r="F831" s="66"/>
      <c r="G831" s="66"/>
      <c r="H831" s="66"/>
      <c r="I831" s="66"/>
      <c r="J831" s="66"/>
      <c r="K831" s="66"/>
      <c r="L831" s="66"/>
      <c r="M831" s="66"/>
      <c r="N831" s="66"/>
    </row>
    <row r="832" spans="1:14" x14ac:dyDescent="0.2">
      <c r="A832" s="84"/>
      <c r="B832" s="84"/>
      <c r="C832" s="60"/>
      <c r="D832" s="66"/>
      <c r="E832" s="66"/>
      <c r="F832" s="66"/>
      <c r="G832" s="66"/>
      <c r="H832" s="66"/>
      <c r="I832" s="66"/>
      <c r="J832" s="66"/>
      <c r="K832" s="66"/>
      <c r="L832" s="66"/>
      <c r="M832" s="66"/>
      <c r="N832" s="66"/>
    </row>
    <row r="833" spans="1:14" x14ac:dyDescent="0.2">
      <c r="A833" s="84"/>
      <c r="B833" s="84"/>
      <c r="C833" s="60"/>
      <c r="D833" s="66"/>
      <c r="E833" s="66"/>
      <c r="F833" s="66"/>
      <c r="G833" s="66"/>
      <c r="H833" s="66"/>
      <c r="I833" s="66"/>
      <c r="J833" s="66"/>
      <c r="K833" s="66"/>
      <c r="L833" s="66"/>
      <c r="M833" s="66"/>
      <c r="N833" s="66"/>
    </row>
    <row r="834" spans="1:14" x14ac:dyDescent="0.2">
      <c r="A834" s="84"/>
      <c r="B834" s="84"/>
      <c r="C834" s="60"/>
      <c r="D834" s="66"/>
      <c r="E834" s="66"/>
      <c r="F834" s="66"/>
      <c r="G834" s="66"/>
      <c r="H834" s="66"/>
      <c r="I834" s="66"/>
      <c r="J834" s="66"/>
      <c r="K834" s="66"/>
      <c r="L834" s="66"/>
      <c r="M834" s="66"/>
      <c r="N834" s="66"/>
    </row>
    <row r="835" spans="1:14" x14ac:dyDescent="0.2">
      <c r="A835" s="84"/>
      <c r="B835" s="84"/>
      <c r="C835" s="60"/>
      <c r="D835" s="66"/>
      <c r="E835" s="66"/>
      <c r="F835" s="66"/>
      <c r="G835" s="66"/>
      <c r="H835" s="66"/>
      <c r="I835" s="66"/>
      <c r="J835" s="66"/>
      <c r="K835" s="66"/>
      <c r="L835" s="66"/>
      <c r="M835" s="66"/>
      <c r="N835" s="66"/>
    </row>
    <row r="836" spans="1:14" x14ac:dyDescent="0.2">
      <c r="A836" s="84"/>
      <c r="B836" s="84"/>
      <c r="C836" s="60"/>
      <c r="D836" s="66"/>
      <c r="E836" s="66"/>
      <c r="F836" s="66"/>
      <c r="G836" s="66"/>
      <c r="H836" s="66"/>
      <c r="I836" s="66"/>
      <c r="J836" s="66"/>
      <c r="K836" s="66"/>
      <c r="L836" s="66"/>
      <c r="M836" s="66"/>
      <c r="N836" s="66"/>
    </row>
    <row r="837" spans="1:14" x14ac:dyDescent="0.2">
      <c r="A837" s="84"/>
      <c r="B837" s="84"/>
      <c r="C837" s="60"/>
      <c r="D837" s="66"/>
      <c r="E837" s="66"/>
      <c r="F837" s="66"/>
      <c r="G837" s="66"/>
      <c r="H837" s="66"/>
      <c r="I837" s="66"/>
      <c r="J837" s="66"/>
      <c r="K837" s="66"/>
      <c r="L837" s="66"/>
      <c r="M837" s="66"/>
      <c r="N837" s="66"/>
    </row>
    <row r="838" spans="1:14" x14ac:dyDescent="0.2">
      <c r="A838" s="84"/>
      <c r="B838" s="84"/>
      <c r="C838" s="60"/>
      <c r="D838" s="66"/>
      <c r="E838" s="66"/>
      <c r="F838" s="66"/>
      <c r="G838" s="66"/>
      <c r="H838" s="66"/>
      <c r="I838" s="66"/>
      <c r="J838" s="66"/>
      <c r="K838" s="66"/>
      <c r="L838" s="66"/>
      <c r="M838" s="66"/>
      <c r="N838" s="66"/>
    </row>
    <row r="839" spans="1:14" x14ac:dyDescent="0.2">
      <c r="A839" s="84"/>
      <c r="B839" s="84"/>
      <c r="C839" s="60"/>
      <c r="D839" s="66"/>
      <c r="E839" s="66"/>
      <c r="F839" s="66"/>
      <c r="G839" s="66"/>
      <c r="H839" s="66"/>
      <c r="I839" s="66"/>
      <c r="J839" s="66"/>
      <c r="K839" s="66"/>
      <c r="L839" s="66"/>
      <c r="M839" s="66"/>
      <c r="N839" s="66"/>
    </row>
    <row r="840" spans="1:14" x14ac:dyDescent="0.2">
      <c r="A840" s="84"/>
      <c r="B840" s="84"/>
      <c r="C840" s="60"/>
      <c r="D840" s="66"/>
      <c r="E840" s="66"/>
      <c r="F840" s="66"/>
      <c r="G840" s="66"/>
      <c r="H840" s="66"/>
      <c r="I840" s="66"/>
      <c r="J840" s="66"/>
      <c r="K840" s="66"/>
      <c r="L840" s="66"/>
      <c r="M840" s="66"/>
      <c r="N840" s="66"/>
    </row>
    <row r="841" spans="1:14" x14ac:dyDescent="0.2">
      <c r="A841" s="84"/>
      <c r="B841" s="84"/>
      <c r="C841" s="60"/>
      <c r="D841" s="66"/>
      <c r="E841" s="66"/>
      <c r="F841" s="66"/>
      <c r="G841" s="66"/>
      <c r="H841" s="66"/>
      <c r="I841" s="66"/>
      <c r="J841" s="66"/>
      <c r="K841" s="66"/>
      <c r="L841" s="66"/>
      <c r="M841" s="66"/>
      <c r="N841" s="66"/>
    </row>
    <row r="842" spans="1:14" x14ac:dyDescent="0.2">
      <c r="A842" s="84"/>
      <c r="B842" s="84"/>
      <c r="C842" s="60"/>
      <c r="D842" s="66"/>
      <c r="E842" s="66"/>
      <c r="F842" s="66"/>
      <c r="G842" s="66"/>
      <c r="H842" s="66"/>
      <c r="I842" s="66"/>
      <c r="J842" s="66"/>
      <c r="K842" s="66"/>
      <c r="L842" s="66"/>
      <c r="M842" s="66"/>
      <c r="N842" s="66"/>
    </row>
    <row r="843" spans="1:14" x14ac:dyDescent="0.2">
      <c r="A843" s="84"/>
      <c r="B843" s="84"/>
      <c r="C843" s="60"/>
      <c r="D843" s="66"/>
      <c r="E843" s="66"/>
      <c r="F843" s="66"/>
      <c r="G843" s="66"/>
      <c r="H843" s="66"/>
      <c r="I843" s="66"/>
      <c r="J843" s="66"/>
      <c r="K843" s="66"/>
      <c r="L843" s="66"/>
      <c r="M843" s="66"/>
      <c r="N843" s="66"/>
    </row>
    <row r="844" spans="1:14" x14ac:dyDescent="0.2">
      <c r="A844" s="84"/>
      <c r="B844" s="84"/>
      <c r="C844" s="60"/>
      <c r="D844" s="66"/>
      <c r="E844" s="66"/>
      <c r="F844" s="66"/>
      <c r="G844" s="66"/>
      <c r="H844" s="66"/>
      <c r="I844" s="66"/>
      <c r="J844" s="66"/>
      <c r="K844" s="66"/>
      <c r="L844" s="66"/>
      <c r="M844" s="66"/>
      <c r="N844" s="66"/>
    </row>
    <row r="845" spans="1:14" x14ac:dyDescent="0.2">
      <c r="A845" s="84"/>
      <c r="B845" s="84"/>
      <c r="C845" s="60"/>
      <c r="D845" s="66"/>
      <c r="E845" s="66"/>
      <c r="F845" s="66"/>
      <c r="G845" s="66"/>
      <c r="H845" s="66"/>
      <c r="I845" s="66"/>
      <c r="J845" s="66"/>
      <c r="K845" s="66"/>
      <c r="L845" s="66"/>
      <c r="M845" s="66"/>
      <c r="N845" s="66"/>
    </row>
    <row r="846" spans="1:14" x14ac:dyDescent="0.2">
      <c r="A846" s="84"/>
      <c r="B846" s="84"/>
      <c r="C846" s="60"/>
      <c r="D846" s="66"/>
      <c r="E846" s="66"/>
      <c r="F846" s="66"/>
      <c r="G846" s="66"/>
      <c r="H846" s="66"/>
      <c r="I846" s="66"/>
      <c r="J846" s="66"/>
      <c r="K846" s="66"/>
      <c r="L846" s="66"/>
      <c r="M846" s="66"/>
      <c r="N846" s="66"/>
    </row>
    <row r="847" spans="1:14" x14ac:dyDescent="0.2">
      <c r="A847" s="84"/>
      <c r="B847" s="84"/>
      <c r="C847" s="60"/>
      <c r="D847" s="66"/>
      <c r="E847" s="66"/>
      <c r="F847" s="66"/>
      <c r="G847" s="66"/>
      <c r="H847" s="66"/>
      <c r="I847" s="66"/>
      <c r="J847" s="66"/>
      <c r="K847" s="66"/>
      <c r="L847" s="66"/>
      <c r="M847" s="66"/>
      <c r="N847" s="66"/>
    </row>
    <row r="848" spans="1:14" x14ac:dyDescent="0.2">
      <c r="A848" s="84"/>
      <c r="B848" s="84"/>
      <c r="C848" s="60"/>
      <c r="D848" s="66"/>
      <c r="E848" s="66"/>
      <c r="F848" s="66"/>
      <c r="G848" s="66"/>
      <c r="H848" s="66"/>
      <c r="I848" s="66"/>
      <c r="J848" s="66"/>
      <c r="K848" s="66"/>
      <c r="L848" s="66"/>
      <c r="M848" s="66"/>
      <c r="N848" s="66"/>
    </row>
    <row r="849" spans="1:14" x14ac:dyDescent="0.2">
      <c r="A849" s="84"/>
      <c r="B849" s="84"/>
      <c r="C849" s="60"/>
      <c r="D849" s="66"/>
      <c r="E849" s="66"/>
      <c r="F849" s="66"/>
      <c r="G849" s="66"/>
      <c r="H849" s="66"/>
      <c r="I849" s="66"/>
      <c r="J849" s="66"/>
      <c r="K849" s="66"/>
      <c r="L849" s="66"/>
      <c r="M849" s="66"/>
      <c r="N849" s="66"/>
    </row>
    <row r="850" spans="1:14" x14ac:dyDescent="0.2">
      <c r="A850" s="84"/>
      <c r="B850" s="84"/>
      <c r="C850" s="60"/>
      <c r="D850" s="66"/>
      <c r="E850" s="66"/>
      <c r="F850" s="66"/>
      <c r="G850" s="66"/>
      <c r="H850" s="66"/>
      <c r="I850" s="66"/>
      <c r="J850" s="66"/>
      <c r="K850" s="66"/>
      <c r="L850" s="66"/>
      <c r="M850" s="66"/>
      <c r="N850" s="66"/>
    </row>
    <row r="851" spans="1:14" x14ac:dyDescent="0.2">
      <c r="A851" s="84"/>
      <c r="B851" s="84"/>
      <c r="C851" s="60"/>
      <c r="D851" s="66"/>
      <c r="E851" s="66"/>
      <c r="F851" s="66"/>
      <c r="G851" s="66"/>
      <c r="H851" s="66"/>
      <c r="I851" s="66"/>
      <c r="J851" s="66"/>
      <c r="K851" s="66"/>
      <c r="L851" s="66"/>
      <c r="M851" s="66"/>
      <c r="N851" s="66"/>
    </row>
    <row r="852" spans="1:14" x14ac:dyDescent="0.2">
      <c r="A852" s="84"/>
      <c r="B852" s="84"/>
      <c r="C852" s="60"/>
      <c r="D852" s="66"/>
      <c r="E852" s="66"/>
      <c r="F852" s="66"/>
      <c r="G852" s="66"/>
      <c r="H852" s="66"/>
      <c r="I852" s="66"/>
      <c r="J852" s="66"/>
      <c r="K852" s="66"/>
      <c r="L852" s="66"/>
      <c r="M852" s="66"/>
      <c r="N852" s="66"/>
    </row>
    <row r="853" spans="1:14" x14ac:dyDescent="0.2">
      <c r="A853" s="84"/>
      <c r="B853" s="84"/>
      <c r="C853" s="60"/>
      <c r="D853" s="66"/>
      <c r="E853" s="66"/>
      <c r="F853" s="66"/>
      <c r="G853" s="66"/>
      <c r="H853" s="66"/>
      <c r="I853" s="66"/>
      <c r="J853" s="66"/>
      <c r="K853" s="66"/>
      <c r="L853" s="66"/>
      <c r="M853" s="66"/>
      <c r="N853" s="66"/>
    </row>
    <row r="854" spans="1:14" x14ac:dyDescent="0.2">
      <c r="A854" s="84"/>
      <c r="B854" s="84"/>
      <c r="C854" s="60"/>
      <c r="D854" s="66"/>
      <c r="E854" s="66"/>
      <c r="F854" s="66"/>
      <c r="G854" s="66"/>
      <c r="H854" s="66"/>
      <c r="I854" s="66"/>
      <c r="J854" s="66"/>
      <c r="K854" s="66"/>
      <c r="L854" s="66"/>
      <c r="M854" s="66"/>
      <c r="N854" s="66"/>
    </row>
    <row r="855" spans="1:14" x14ac:dyDescent="0.2">
      <c r="A855" s="84"/>
      <c r="B855" s="84"/>
      <c r="C855" s="60"/>
      <c r="D855" s="66"/>
      <c r="E855" s="66"/>
      <c r="F855" s="66"/>
      <c r="G855" s="66"/>
      <c r="H855" s="66"/>
      <c r="I855" s="66"/>
      <c r="J855" s="66"/>
      <c r="K855" s="66"/>
      <c r="L855" s="66"/>
      <c r="M855" s="66"/>
      <c r="N855" s="66"/>
    </row>
    <row r="856" spans="1:14" x14ac:dyDescent="0.2">
      <c r="A856" s="84"/>
      <c r="B856" s="84"/>
      <c r="C856" s="60"/>
      <c r="D856" s="66"/>
      <c r="E856" s="66"/>
      <c r="F856" s="66"/>
      <c r="G856" s="66"/>
      <c r="H856" s="66"/>
      <c r="I856" s="66"/>
      <c r="J856" s="66"/>
      <c r="K856" s="66"/>
      <c r="L856" s="66"/>
      <c r="M856" s="66"/>
      <c r="N856" s="66"/>
    </row>
    <row r="857" spans="1:14" x14ac:dyDescent="0.2">
      <c r="A857" s="84"/>
      <c r="B857" s="84"/>
      <c r="C857" s="60"/>
      <c r="D857" s="66"/>
      <c r="E857" s="66"/>
      <c r="F857" s="66"/>
      <c r="G857" s="66"/>
      <c r="H857" s="66"/>
      <c r="I857" s="66"/>
      <c r="J857" s="66"/>
      <c r="K857" s="66"/>
      <c r="L857" s="66"/>
      <c r="M857" s="66"/>
      <c r="N857" s="66"/>
    </row>
    <row r="858" spans="1:14" x14ac:dyDescent="0.2">
      <c r="A858" s="84"/>
      <c r="B858" s="84"/>
      <c r="C858" s="60"/>
      <c r="D858" s="66"/>
      <c r="E858" s="66"/>
      <c r="F858" s="66"/>
      <c r="G858" s="66"/>
      <c r="H858" s="66"/>
      <c r="I858" s="66"/>
      <c r="J858" s="66"/>
      <c r="K858" s="66"/>
      <c r="L858" s="66"/>
      <c r="M858" s="66"/>
      <c r="N858" s="66"/>
    </row>
    <row r="859" spans="1:14" x14ac:dyDescent="0.2">
      <c r="A859" s="84"/>
      <c r="B859" s="84"/>
      <c r="C859" s="60"/>
      <c r="D859" s="66"/>
      <c r="E859" s="66"/>
      <c r="F859" s="66"/>
      <c r="G859" s="66"/>
      <c r="H859" s="66"/>
      <c r="I859" s="66"/>
      <c r="J859" s="66"/>
      <c r="K859" s="66"/>
      <c r="L859" s="66"/>
      <c r="M859" s="66"/>
      <c r="N859" s="66"/>
    </row>
    <row r="860" spans="1:14" x14ac:dyDescent="0.2">
      <c r="A860" s="84"/>
      <c r="B860" s="84"/>
      <c r="C860" s="60"/>
      <c r="D860" s="66"/>
      <c r="E860" s="66"/>
      <c r="F860" s="66"/>
      <c r="G860" s="66"/>
      <c r="H860" s="66"/>
      <c r="I860" s="66"/>
      <c r="J860" s="66"/>
      <c r="K860" s="66"/>
      <c r="L860" s="66"/>
      <c r="M860" s="66"/>
      <c r="N860" s="66"/>
    </row>
    <row r="861" spans="1:14" x14ac:dyDescent="0.2">
      <c r="A861" s="84"/>
      <c r="B861" s="84"/>
      <c r="C861" s="60"/>
      <c r="D861" s="66"/>
      <c r="E861" s="66"/>
      <c r="F861" s="66"/>
      <c r="G861" s="66"/>
      <c r="H861" s="66"/>
      <c r="I861" s="66"/>
      <c r="J861" s="66"/>
      <c r="K861" s="66"/>
      <c r="L861" s="66"/>
      <c r="M861" s="66"/>
      <c r="N861" s="66"/>
    </row>
    <row r="862" spans="1:14" x14ac:dyDescent="0.2">
      <c r="A862" s="84"/>
      <c r="B862" s="84"/>
      <c r="C862" s="60"/>
      <c r="D862" s="66"/>
      <c r="E862" s="66"/>
      <c r="F862" s="66"/>
      <c r="G862" s="66"/>
      <c r="H862" s="66"/>
      <c r="I862" s="66"/>
      <c r="J862" s="66"/>
      <c r="K862" s="66"/>
      <c r="L862" s="66"/>
      <c r="M862" s="66"/>
      <c r="N862" s="66"/>
    </row>
    <row r="863" spans="1:14" x14ac:dyDescent="0.2">
      <c r="A863" s="84"/>
      <c r="B863" s="84"/>
      <c r="C863" s="60"/>
      <c r="D863" s="66"/>
      <c r="E863" s="66"/>
      <c r="F863" s="66"/>
      <c r="G863" s="66"/>
      <c r="H863" s="66"/>
      <c r="I863" s="66"/>
      <c r="J863" s="66"/>
      <c r="K863" s="66"/>
      <c r="L863" s="66"/>
      <c r="M863" s="66"/>
      <c r="N863" s="66"/>
    </row>
    <row r="864" spans="1:14" x14ac:dyDescent="0.2">
      <c r="A864" s="84"/>
      <c r="B864" s="84"/>
      <c r="C864" s="60"/>
      <c r="D864" s="66"/>
      <c r="E864" s="66"/>
      <c r="F864" s="66"/>
      <c r="G864" s="66"/>
      <c r="H864" s="66"/>
      <c r="I864" s="66"/>
      <c r="J864" s="66"/>
      <c r="K864" s="66"/>
      <c r="L864" s="66"/>
      <c r="M864" s="66"/>
      <c r="N864" s="66"/>
    </row>
    <row r="865" spans="1:14" x14ac:dyDescent="0.2">
      <c r="A865" s="84"/>
      <c r="B865" s="84"/>
      <c r="C865" s="60"/>
      <c r="D865" s="66"/>
      <c r="E865" s="66"/>
      <c r="F865" s="66"/>
      <c r="G865" s="66"/>
      <c r="H865" s="66"/>
      <c r="I865" s="66"/>
      <c r="J865" s="66"/>
      <c r="K865" s="66"/>
      <c r="L865" s="66"/>
      <c r="M865" s="66"/>
      <c r="N865" s="66"/>
    </row>
    <row r="866" spans="1:14" x14ac:dyDescent="0.2">
      <c r="A866" s="84"/>
      <c r="B866" s="84"/>
      <c r="C866" s="60"/>
      <c r="D866" s="66"/>
      <c r="E866" s="66"/>
      <c r="F866" s="66"/>
      <c r="G866" s="66"/>
      <c r="H866" s="66"/>
      <c r="I866" s="66"/>
      <c r="J866" s="66"/>
      <c r="K866" s="66"/>
      <c r="L866" s="66"/>
      <c r="M866" s="66"/>
      <c r="N866" s="66"/>
    </row>
    <row r="867" spans="1:14" x14ac:dyDescent="0.2">
      <c r="A867" s="84"/>
      <c r="B867" s="84"/>
      <c r="C867" s="60"/>
      <c r="D867" s="66"/>
      <c r="E867" s="66"/>
      <c r="F867" s="66"/>
      <c r="G867" s="66"/>
      <c r="H867" s="66"/>
      <c r="I867" s="66"/>
      <c r="J867" s="66"/>
      <c r="K867" s="66"/>
      <c r="L867" s="66"/>
      <c r="M867" s="66"/>
      <c r="N867" s="66"/>
    </row>
    <row r="868" spans="1:14" x14ac:dyDescent="0.2">
      <c r="A868" s="84"/>
      <c r="B868" s="84"/>
      <c r="C868" s="60"/>
      <c r="D868" s="66"/>
      <c r="E868" s="66"/>
      <c r="F868" s="66"/>
      <c r="G868" s="66"/>
      <c r="H868" s="66"/>
      <c r="I868" s="66"/>
      <c r="J868" s="66"/>
      <c r="K868" s="66"/>
      <c r="L868" s="66"/>
      <c r="M868" s="66"/>
      <c r="N868" s="66"/>
    </row>
    <row r="869" spans="1:14" x14ac:dyDescent="0.2">
      <c r="A869" s="84"/>
      <c r="B869" s="84"/>
      <c r="C869" s="60"/>
      <c r="D869" s="66"/>
      <c r="E869" s="66"/>
      <c r="F869" s="66"/>
      <c r="G869" s="66"/>
      <c r="H869" s="66"/>
      <c r="I869" s="66"/>
      <c r="J869" s="66"/>
      <c r="K869" s="66"/>
      <c r="L869" s="66"/>
      <c r="M869" s="66"/>
      <c r="N869" s="66"/>
    </row>
    <row r="870" spans="1:14" x14ac:dyDescent="0.2">
      <c r="A870" s="84"/>
      <c r="B870" s="84"/>
      <c r="C870" s="60"/>
      <c r="D870" s="66"/>
      <c r="E870" s="66"/>
      <c r="F870" s="66"/>
      <c r="G870" s="66"/>
      <c r="H870" s="66"/>
      <c r="I870" s="66"/>
      <c r="J870" s="66"/>
      <c r="K870" s="66"/>
      <c r="L870" s="66"/>
      <c r="M870" s="66"/>
      <c r="N870" s="66"/>
    </row>
    <row r="871" spans="1:14" x14ac:dyDescent="0.2">
      <c r="A871" s="84"/>
      <c r="B871" s="84"/>
      <c r="C871" s="60"/>
      <c r="D871" s="66"/>
      <c r="E871" s="66"/>
      <c r="F871" s="66"/>
      <c r="G871" s="66"/>
      <c r="H871" s="66"/>
      <c r="I871" s="66"/>
      <c r="J871" s="66"/>
      <c r="K871" s="66"/>
      <c r="L871" s="66"/>
      <c r="M871" s="66"/>
      <c r="N871" s="66"/>
    </row>
    <row r="872" spans="1:14" x14ac:dyDescent="0.2">
      <c r="A872" s="84"/>
      <c r="B872" s="84"/>
      <c r="C872" s="60"/>
      <c r="D872" s="66"/>
      <c r="E872" s="66"/>
      <c r="F872" s="66"/>
      <c r="G872" s="66"/>
      <c r="H872" s="66"/>
      <c r="I872" s="66"/>
      <c r="J872" s="66"/>
      <c r="K872" s="66"/>
      <c r="L872" s="66"/>
      <c r="M872" s="66"/>
      <c r="N872" s="66"/>
    </row>
    <row r="873" spans="1:14" x14ac:dyDescent="0.2">
      <c r="A873" s="84"/>
      <c r="B873" s="84"/>
      <c r="C873" s="60"/>
      <c r="D873" s="66"/>
      <c r="E873" s="66"/>
      <c r="F873" s="66"/>
      <c r="G873" s="66"/>
      <c r="H873" s="66"/>
      <c r="I873" s="66"/>
      <c r="J873" s="66"/>
      <c r="K873" s="66"/>
      <c r="L873" s="66"/>
      <c r="M873" s="66"/>
      <c r="N873" s="66"/>
    </row>
    <row r="874" spans="1:14" x14ac:dyDescent="0.2">
      <c r="A874" s="84"/>
      <c r="B874" s="84"/>
      <c r="C874" s="60"/>
      <c r="D874" s="66"/>
      <c r="E874" s="66"/>
      <c r="F874" s="66"/>
      <c r="G874" s="66"/>
      <c r="H874" s="66"/>
      <c r="I874" s="66"/>
      <c r="J874" s="66"/>
      <c r="K874" s="66"/>
      <c r="L874" s="66"/>
      <c r="M874" s="66"/>
      <c r="N874" s="66"/>
    </row>
    <row r="875" spans="1:14" x14ac:dyDescent="0.2">
      <c r="A875" s="84"/>
      <c r="B875" s="84"/>
      <c r="C875" s="60"/>
      <c r="D875" s="66"/>
      <c r="E875" s="66"/>
      <c r="F875" s="66"/>
      <c r="G875" s="66"/>
      <c r="H875" s="66"/>
      <c r="I875" s="66"/>
      <c r="J875" s="66"/>
      <c r="K875" s="66"/>
      <c r="L875" s="66"/>
      <c r="M875" s="66"/>
      <c r="N875" s="66"/>
    </row>
    <row r="876" spans="1:14" x14ac:dyDescent="0.2">
      <c r="A876" s="84"/>
      <c r="B876" s="84"/>
      <c r="C876" s="60"/>
      <c r="D876" s="66"/>
      <c r="E876" s="66"/>
      <c r="F876" s="66"/>
      <c r="G876" s="66"/>
      <c r="H876" s="66"/>
      <c r="I876" s="66"/>
      <c r="J876" s="66"/>
      <c r="K876" s="66"/>
      <c r="L876" s="66"/>
      <c r="M876" s="66"/>
      <c r="N876" s="66"/>
    </row>
    <row r="877" spans="1:14" x14ac:dyDescent="0.2">
      <c r="A877" s="84"/>
      <c r="B877" s="84"/>
      <c r="C877" s="60"/>
      <c r="D877" s="66"/>
      <c r="E877" s="66"/>
      <c r="F877" s="66"/>
      <c r="G877" s="66"/>
      <c r="H877" s="66"/>
      <c r="I877" s="66"/>
      <c r="J877" s="66"/>
      <c r="K877" s="66"/>
      <c r="L877" s="66"/>
      <c r="M877" s="66"/>
      <c r="N877" s="66"/>
    </row>
    <row r="878" spans="1:14" x14ac:dyDescent="0.2">
      <c r="A878" s="84"/>
      <c r="B878" s="84"/>
      <c r="C878" s="60"/>
      <c r="D878" s="66"/>
      <c r="E878" s="66"/>
      <c r="F878" s="66"/>
      <c r="G878" s="66"/>
      <c r="H878" s="66"/>
      <c r="I878" s="66"/>
      <c r="J878" s="66"/>
      <c r="K878" s="66"/>
      <c r="L878" s="66"/>
      <c r="M878" s="66"/>
      <c r="N878" s="66"/>
    </row>
    <row r="879" spans="1:14" x14ac:dyDescent="0.2">
      <c r="A879" s="84"/>
      <c r="B879" s="84"/>
      <c r="C879" s="60"/>
      <c r="D879" s="66"/>
      <c r="E879" s="66"/>
      <c r="F879" s="66"/>
      <c r="G879" s="66"/>
      <c r="H879" s="66"/>
      <c r="I879" s="66"/>
      <c r="J879" s="66"/>
      <c r="K879" s="66"/>
      <c r="L879" s="66"/>
      <c r="M879" s="66"/>
      <c r="N879" s="66"/>
    </row>
    <row r="880" spans="1:14" x14ac:dyDescent="0.2">
      <c r="A880" s="84"/>
      <c r="B880" s="84"/>
      <c r="C880" s="60"/>
      <c r="D880" s="66"/>
      <c r="E880" s="66"/>
      <c r="F880" s="66"/>
      <c r="G880" s="66"/>
      <c r="H880" s="66"/>
      <c r="I880" s="66"/>
      <c r="J880" s="66"/>
      <c r="K880" s="66"/>
      <c r="L880" s="66"/>
      <c r="M880" s="66"/>
      <c r="N880" s="66"/>
    </row>
    <row r="881" spans="1:14" x14ac:dyDescent="0.2">
      <c r="A881" s="84"/>
      <c r="B881" s="84"/>
      <c r="C881" s="60"/>
      <c r="D881" s="66"/>
      <c r="E881" s="66"/>
      <c r="F881" s="66"/>
      <c r="G881" s="66"/>
      <c r="H881" s="66"/>
      <c r="I881" s="66"/>
      <c r="J881" s="66"/>
      <c r="K881" s="66"/>
      <c r="L881" s="66"/>
      <c r="M881" s="66"/>
      <c r="N881" s="66"/>
    </row>
    <row r="882" spans="1:14" x14ac:dyDescent="0.2">
      <c r="A882" s="84"/>
      <c r="B882" s="84"/>
      <c r="C882" s="60"/>
      <c r="D882" s="66"/>
      <c r="E882" s="66"/>
      <c r="F882" s="66"/>
      <c r="G882" s="66"/>
      <c r="H882" s="66"/>
      <c r="I882" s="66"/>
      <c r="J882" s="66"/>
      <c r="K882" s="66"/>
      <c r="L882" s="66"/>
      <c r="M882" s="66"/>
      <c r="N882" s="66"/>
    </row>
    <row r="883" spans="1:14" x14ac:dyDescent="0.2">
      <c r="A883" s="84"/>
      <c r="B883" s="84"/>
      <c r="C883" s="60"/>
      <c r="D883" s="66"/>
      <c r="E883" s="66"/>
      <c r="F883" s="66"/>
      <c r="G883" s="66"/>
      <c r="H883" s="66"/>
      <c r="I883" s="66"/>
      <c r="J883" s="66"/>
      <c r="K883" s="66"/>
      <c r="L883" s="66"/>
      <c r="M883" s="66"/>
      <c r="N883" s="66"/>
    </row>
    <row r="884" spans="1:14" x14ac:dyDescent="0.2">
      <c r="A884" s="84"/>
      <c r="B884" s="84"/>
      <c r="C884" s="60"/>
      <c r="D884" s="66"/>
      <c r="E884" s="66"/>
      <c r="F884" s="66"/>
      <c r="G884" s="66"/>
      <c r="H884" s="66"/>
      <c r="I884" s="66"/>
      <c r="J884" s="66"/>
      <c r="K884" s="66"/>
      <c r="L884" s="66"/>
      <c r="M884" s="66"/>
      <c r="N884" s="66"/>
    </row>
    <row r="885" spans="1:14" x14ac:dyDescent="0.2">
      <c r="A885" s="84"/>
      <c r="B885" s="84"/>
      <c r="C885" s="60"/>
      <c r="D885" s="66"/>
      <c r="E885" s="66"/>
      <c r="F885" s="66"/>
      <c r="G885" s="66"/>
      <c r="H885" s="66"/>
      <c r="I885" s="66"/>
      <c r="J885" s="66"/>
      <c r="K885" s="66"/>
      <c r="L885" s="66"/>
      <c r="M885" s="66"/>
      <c r="N885" s="66"/>
    </row>
    <row r="886" spans="1:14" x14ac:dyDescent="0.2">
      <c r="A886" s="84"/>
      <c r="B886" s="84"/>
      <c r="C886" s="60"/>
      <c r="D886" s="66"/>
      <c r="E886" s="66"/>
      <c r="F886" s="66"/>
      <c r="G886" s="66"/>
      <c r="H886" s="66"/>
      <c r="I886" s="66"/>
      <c r="J886" s="66"/>
      <c r="K886" s="66"/>
      <c r="L886" s="66"/>
      <c r="M886" s="66"/>
      <c r="N886" s="66"/>
    </row>
    <row r="887" spans="1:14" x14ac:dyDescent="0.2">
      <c r="A887" s="84"/>
      <c r="B887" s="84"/>
      <c r="C887" s="60"/>
      <c r="D887" s="66"/>
      <c r="E887" s="66"/>
      <c r="F887" s="66"/>
      <c r="G887" s="66"/>
      <c r="H887" s="66"/>
      <c r="I887" s="66"/>
      <c r="J887" s="66"/>
      <c r="K887" s="66"/>
      <c r="L887" s="66"/>
      <c r="M887" s="66"/>
      <c r="N887" s="66"/>
    </row>
    <row r="888" spans="1:14" x14ac:dyDescent="0.2">
      <c r="A888" s="84"/>
      <c r="B888" s="84"/>
      <c r="C888" s="60"/>
      <c r="D888" s="66"/>
      <c r="E888" s="66"/>
      <c r="F888" s="66"/>
      <c r="G888" s="66"/>
      <c r="H888" s="66"/>
      <c r="I888" s="66"/>
      <c r="J888" s="66"/>
      <c r="K888" s="66"/>
      <c r="L888" s="66"/>
      <c r="M888" s="66"/>
      <c r="N888" s="66"/>
    </row>
    <row r="889" spans="1:14" x14ac:dyDescent="0.2">
      <c r="A889" s="84"/>
      <c r="B889" s="84"/>
      <c r="C889" s="60"/>
      <c r="D889" s="66"/>
      <c r="E889" s="66"/>
      <c r="F889" s="66"/>
      <c r="G889" s="66"/>
      <c r="H889" s="66"/>
      <c r="I889" s="66"/>
      <c r="J889" s="66"/>
      <c r="K889" s="66"/>
      <c r="L889" s="66"/>
      <c r="M889" s="66"/>
      <c r="N889" s="66"/>
    </row>
    <row r="890" spans="1:14" x14ac:dyDescent="0.2">
      <c r="A890" s="84"/>
      <c r="B890" s="84"/>
      <c r="C890" s="60"/>
      <c r="D890" s="66"/>
      <c r="E890" s="66"/>
      <c r="F890" s="66"/>
      <c r="G890" s="66"/>
      <c r="H890" s="66"/>
      <c r="I890" s="66"/>
      <c r="J890" s="66"/>
      <c r="K890" s="66"/>
      <c r="L890" s="66"/>
      <c r="M890" s="66"/>
      <c r="N890" s="66"/>
    </row>
    <row r="891" spans="1:14" x14ac:dyDescent="0.2">
      <c r="A891" s="84"/>
      <c r="B891" s="84"/>
      <c r="C891" s="60"/>
      <c r="D891" s="66"/>
      <c r="E891" s="66"/>
      <c r="F891" s="66"/>
      <c r="G891" s="66"/>
      <c r="H891" s="66"/>
      <c r="I891" s="66"/>
      <c r="J891" s="66"/>
      <c r="K891" s="66"/>
      <c r="L891" s="66"/>
      <c r="M891" s="66"/>
      <c r="N891" s="66"/>
    </row>
    <row r="892" spans="1:14" x14ac:dyDescent="0.2">
      <c r="A892" s="84"/>
      <c r="B892" s="84"/>
      <c r="C892" s="60"/>
      <c r="D892" s="66"/>
      <c r="E892" s="66"/>
      <c r="F892" s="66"/>
      <c r="G892" s="66"/>
      <c r="H892" s="66"/>
      <c r="I892" s="66"/>
      <c r="J892" s="66"/>
      <c r="K892" s="66"/>
      <c r="L892" s="66"/>
      <c r="M892" s="66"/>
      <c r="N892" s="66"/>
    </row>
    <row r="893" spans="1:14" x14ac:dyDescent="0.2">
      <c r="A893" s="84"/>
      <c r="B893" s="84"/>
      <c r="C893" s="60"/>
      <c r="D893" s="66"/>
      <c r="E893" s="66"/>
      <c r="F893" s="66"/>
      <c r="G893" s="66"/>
      <c r="H893" s="66"/>
      <c r="I893" s="66"/>
      <c r="J893" s="66"/>
      <c r="K893" s="66"/>
      <c r="L893" s="66"/>
      <c r="M893" s="66"/>
      <c r="N893" s="66"/>
    </row>
    <row r="894" spans="1:14" x14ac:dyDescent="0.2">
      <c r="A894" s="84"/>
      <c r="B894" s="84"/>
      <c r="C894" s="60"/>
      <c r="D894" s="66"/>
      <c r="E894" s="66"/>
      <c r="F894" s="66"/>
      <c r="G894" s="66"/>
      <c r="H894" s="66"/>
      <c r="I894" s="66"/>
      <c r="J894" s="66"/>
      <c r="K894" s="66"/>
      <c r="L894" s="66"/>
      <c r="M894" s="66"/>
      <c r="N894" s="66"/>
    </row>
    <row r="895" spans="1:14" x14ac:dyDescent="0.2">
      <c r="A895" s="84"/>
      <c r="B895" s="84"/>
      <c r="C895" s="60"/>
      <c r="D895" s="66"/>
      <c r="E895" s="66"/>
      <c r="F895" s="66"/>
      <c r="G895" s="66"/>
      <c r="H895" s="66"/>
      <c r="I895" s="66"/>
      <c r="J895" s="66"/>
      <c r="K895" s="66"/>
      <c r="L895" s="66"/>
      <c r="M895" s="66"/>
      <c r="N895" s="66"/>
    </row>
    <row r="896" spans="1:14" x14ac:dyDescent="0.2">
      <c r="A896" s="84"/>
      <c r="B896" s="84"/>
      <c r="C896" s="60"/>
      <c r="D896" s="66"/>
      <c r="E896" s="66"/>
      <c r="F896" s="66"/>
      <c r="G896" s="66"/>
      <c r="H896" s="66"/>
      <c r="I896" s="66"/>
      <c r="J896" s="66"/>
      <c r="K896" s="66"/>
      <c r="L896" s="66"/>
      <c r="M896" s="66"/>
      <c r="N896" s="66"/>
    </row>
    <row r="897" spans="1:14" x14ac:dyDescent="0.2">
      <c r="A897" s="84"/>
      <c r="B897" s="84"/>
      <c r="C897" s="60"/>
      <c r="D897" s="66"/>
      <c r="E897" s="66"/>
      <c r="F897" s="66"/>
      <c r="G897" s="66"/>
      <c r="H897" s="66"/>
      <c r="I897" s="66"/>
      <c r="J897" s="66"/>
      <c r="K897" s="66"/>
      <c r="L897" s="66"/>
      <c r="M897" s="66"/>
      <c r="N897" s="66"/>
    </row>
    <row r="898" spans="1:14" x14ac:dyDescent="0.2">
      <c r="A898" s="84"/>
      <c r="B898" s="84"/>
      <c r="C898" s="60"/>
      <c r="D898" s="66"/>
      <c r="E898" s="66"/>
      <c r="F898" s="66"/>
      <c r="G898" s="66"/>
      <c r="H898" s="66"/>
      <c r="I898" s="66"/>
      <c r="J898" s="66"/>
      <c r="K898" s="66"/>
      <c r="L898" s="66"/>
      <c r="M898" s="66"/>
      <c r="N898" s="66"/>
    </row>
    <row r="899" spans="1:14" x14ac:dyDescent="0.2">
      <c r="A899" s="84"/>
      <c r="B899" s="84"/>
      <c r="C899" s="60"/>
      <c r="D899" s="66"/>
      <c r="E899" s="66"/>
      <c r="F899" s="66"/>
      <c r="G899" s="66"/>
      <c r="H899" s="66"/>
      <c r="I899" s="66"/>
      <c r="J899" s="66"/>
      <c r="K899" s="66"/>
      <c r="L899" s="66"/>
      <c r="M899" s="66"/>
      <c r="N899" s="66"/>
    </row>
    <row r="900" spans="1:14" x14ac:dyDescent="0.2">
      <c r="A900" s="84"/>
      <c r="B900" s="84"/>
      <c r="C900" s="60"/>
      <c r="D900" s="66"/>
      <c r="E900" s="66"/>
      <c r="F900" s="66"/>
      <c r="G900" s="66"/>
      <c r="H900" s="66"/>
      <c r="I900" s="66"/>
      <c r="J900" s="66"/>
      <c r="K900" s="66"/>
      <c r="L900" s="66"/>
      <c r="M900" s="66"/>
      <c r="N900" s="66"/>
    </row>
    <row r="901" spans="1:14" x14ac:dyDescent="0.2">
      <c r="A901" s="84"/>
      <c r="B901" s="84"/>
      <c r="C901" s="60"/>
      <c r="D901" s="66"/>
      <c r="E901" s="66"/>
      <c r="F901" s="66"/>
      <c r="G901" s="66"/>
      <c r="H901" s="66"/>
      <c r="I901" s="66"/>
      <c r="J901" s="66"/>
      <c r="K901" s="66"/>
      <c r="L901" s="66"/>
      <c r="M901" s="66"/>
      <c r="N901" s="66"/>
    </row>
    <row r="902" spans="1:14" x14ac:dyDescent="0.2">
      <c r="A902" s="84"/>
      <c r="B902" s="84"/>
      <c r="C902" s="60"/>
      <c r="D902" s="66"/>
      <c r="E902" s="66"/>
      <c r="F902" s="66"/>
      <c r="G902" s="66"/>
      <c r="H902" s="66"/>
      <c r="I902" s="66"/>
      <c r="J902" s="66"/>
      <c r="K902" s="66"/>
      <c r="L902" s="66"/>
      <c r="M902" s="66"/>
      <c r="N902" s="66"/>
    </row>
    <row r="903" spans="1:14" x14ac:dyDescent="0.2">
      <c r="A903" s="84"/>
      <c r="B903" s="84"/>
      <c r="C903" s="60"/>
      <c r="D903" s="66"/>
      <c r="E903" s="66"/>
      <c r="F903" s="66"/>
      <c r="G903" s="66"/>
      <c r="H903" s="66"/>
      <c r="I903" s="66"/>
      <c r="J903" s="66"/>
      <c r="K903" s="66"/>
      <c r="L903" s="66"/>
      <c r="M903" s="66"/>
      <c r="N903" s="66"/>
    </row>
    <row r="904" spans="1:14" x14ac:dyDescent="0.2">
      <c r="A904" s="84"/>
      <c r="B904" s="84"/>
      <c r="C904" s="60"/>
      <c r="D904" s="66"/>
      <c r="E904" s="66"/>
      <c r="F904" s="66"/>
      <c r="G904" s="66"/>
      <c r="H904" s="66"/>
      <c r="I904" s="66"/>
      <c r="J904" s="66"/>
      <c r="K904" s="66"/>
      <c r="L904" s="66"/>
      <c r="M904" s="66"/>
      <c r="N904" s="66"/>
    </row>
    <row r="905" spans="1:14" x14ac:dyDescent="0.2">
      <c r="A905" s="84"/>
      <c r="B905" s="84"/>
      <c r="C905" s="60"/>
      <c r="D905" s="66"/>
      <c r="E905" s="66"/>
      <c r="F905" s="66"/>
      <c r="G905" s="66"/>
      <c r="H905" s="66"/>
      <c r="I905" s="66"/>
      <c r="J905" s="66"/>
      <c r="K905" s="66"/>
      <c r="L905" s="66"/>
      <c r="M905" s="66"/>
      <c r="N905" s="66"/>
    </row>
    <row r="906" spans="1:14" x14ac:dyDescent="0.2">
      <c r="A906" s="84"/>
      <c r="B906" s="84"/>
      <c r="C906" s="60"/>
      <c r="D906" s="66"/>
      <c r="E906" s="66"/>
      <c r="F906" s="66"/>
      <c r="G906" s="66"/>
      <c r="H906" s="66"/>
      <c r="I906" s="66"/>
      <c r="J906" s="66"/>
      <c r="K906" s="66"/>
      <c r="L906" s="66"/>
      <c r="M906" s="66"/>
      <c r="N906" s="66"/>
    </row>
    <row r="907" spans="1:14" x14ac:dyDescent="0.2">
      <c r="A907" s="84"/>
      <c r="B907" s="84"/>
      <c r="C907" s="60"/>
      <c r="D907" s="66"/>
      <c r="E907" s="66"/>
      <c r="F907" s="66"/>
      <c r="G907" s="66"/>
      <c r="H907" s="66"/>
      <c r="I907" s="66"/>
      <c r="J907" s="66"/>
      <c r="K907" s="66"/>
      <c r="L907" s="66"/>
      <c r="M907" s="66"/>
      <c r="N907" s="66"/>
    </row>
    <row r="908" spans="1:14" x14ac:dyDescent="0.2">
      <c r="A908" s="84"/>
      <c r="B908" s="84"/>
      <c r="C908" s="60"/>
      <c r="D908" s="66"/>
      <c r="E908" s="66"/>
      <c r="F908" s="66"/>
      <c r="G908" s="66"/>
      <c r="H908" s="66"/>
      <c r="I908" s="66"/>
      <c r="J908" s="66"/>
      <c r="K908" s="66"/>
      <c r="L908" s="66"/>
      <c r="M908" s="66"/>
      <c r="N908" s="66"/>
    </row>
    <row r="909" spans="1:14" x14ac:dyDescent="0.2">
      <c r="A909" s="84"/>
      <c r="B909" s="84"/>
      <c r="C909" s="60"/>
      <c r="D909" s="66"/>
      <c r="E909" s="66"/>
      <c r="F909" s="66"/>
      <c r="G909" s="66"/>
      <c r="H909" s="66"/>
      <c r="I909" s="66"/>
      <c r="J909" s="66"/>
      <c r="K909" s="66"/>
      <c r="L909" s="66"/>
      <c r="M909" s="66"/>
      <c r="N909" s="66"/>
    </row>
    <row r="910" spans="1:14" x14ac:dyDescent="0.2">
      <c r="A910" s="84"/>
      <c r="B910" s="84"/>
      <c r="C910" s="60"/>
      <c r="D910" s="66"/>
      <c r="E910" s="66"/>
      <c r="F910" s="66"/>
      <c r="G910" s="66"/>
      <c r="H910" s="66"/>
      <c r="I910" s="66"/>
      <c r="J910" s="66"/>
      <c r="K910" s="66"/>
      <c r="L910" s="66"/>
      <c r="M910" s="66"/>
      <c r="N910" s="66"/>
    </row>
    <row r="911" spans="1:14" x14ac:dyDescent="0.2">
      <c r="A911" s="84"/>
      <c r="B911" s="84"/>
      <c r="C911" s="60"/>
      <c r="D911" s="66"/>
      <c r="E911" s="66"/>
      <c r="F911" s="66"/>
      <c r="G911" s="66"/>
      <c r="H911" s="66"/>
      <c r="I911" s="66"/>
      <c r="J911" s="66"/>
      <c r="K911" s="66"/>
      <c r="L911" s="66"/>
      <c r="M911" s="66"/>
      <c r="N911" s="66"/>
    </row>
    <row r="912" spans="1:14" x14ac:dyDescent="0.2">
      <c r="A912" s="84"/>
      <c r="B912" s="84"/>
      <c r="C912" s="60"/>
      <c r="D912" s="66"/>
      <c r="E912" s="66"/>
      <c r="F912" s="66"/>
      <c r="G912" s="66"/>
      <c r="H912" s="66"/>
      <c r="I912" s="66"/>
      <c r="J912" s="66"/>
      <c r="K912" s="66"/>
      <c r="L912" s="66"/>
      <c r="M912" s="66"/>
      <c r="N912" s="66"/>
    </row>
    <row r="913" spans="1:14" x14ac:dyDescent="0.2">
      <c r="A913" s="84"/>
      <c r="B913" s="84"/>
      <c r="C913" s="60"/>
      <c r="D913" s="66"/>
      <c r="E913" s="66"/>
      <c r="F913" s="66"/>
      <c r="G913" s="66"/>
      <c r="H913" s="66"/>
      <c r="I913" s="66"/>
      <c r="J913" s="66"/>
      <c r="K913" s="66"/>
      <c r="L913" s="66"/>
      <c r="M913" s="66"/>
      <c r="N913" s="66"/>
    </row>
    <row r="914" spans="1:14" x14ac:dyDescent="0.2">
      <c r="A914" s="84"/>
      <c r="B914" s="84"/>
      <c r="C914" s="60"/>
      <c r="D914" s="66"/>
      <c r="E914" s="66"/>
      <c r="F914" s="66"/>
      <c r="G914" s="66"/>
      <c r="H914" s="66"/>
      <c r="I914" s="66"/>
      <c r="J914" s="66"/>
      <c r="K914" s="66"/>
      <c r="L914" s="66"/>
      <c r="M914" s="66"/>
      <c r="N914" s="66"/>
    </row>
    <row r="915" spans="1:14" x14ac:dyDescent="0.2">
      <c r="A915" s="84"/>
      <c r="B915" s="84"/>
      <c r="C915" s="60"/>
      <c r="D915" s="66"/>
      <c r="E915" s="66"/>
      <c r="F915" s="66"/>
      <c r="G915" s="66"/>
      <c r="H915" s="66"/>
      <c r="I915" s="66"/>
      <c r="J915" s="66"/>
      <c r="K915" s="66"/>
      <c r="L915" s="66"/>
      <c r="M915" s="66"/>
      <c r="N915" s="66"/>
    </row>
    <row r="916" spans="1:14" x14ac:dyDescent="0.2">
      <c r="A916" s="84"/>
      <c r="B916" s="84"/>
      <c r="C916" s="60"/>
      <c r="D916" s="66"/>
      <c r="E916" s="66"/>
      <c r="F916" s="66"/>
      <c r="G916" s="66"/>
      <c r="H916" s="66"/>
      <c r="I916" s="66"/>
      <c r="J916" s="66"/>
      <c r="K916" s="66"/>
      <c r="L916" s="66"/>
      <c r="M916" s="66"/>
      <c r="N916" s="66"/>
    </row>
    <row r="917" spans="1:14" x14ac:dyDescent="0.2">
      <c r="A917" s="84"/>
      <c r="B917" s="84"/>
      <c r="C917" s="60"/>
      <c r="D917" s="66"/>
      <c r="E917" s="66"/>
      <c r="F917" s="66"/>
      <c r="G917" s="66"/>
      <c r="H917" s="66"/>
      <c r="I917" s="66"/>
      <c r="J917" s="66"/>
      <c r="K917" s="66"/>
      <c r="L917" s="66"/>
      <c r="M917" s="66"/>
      <c r="N917" s="66"/>
    </row>
    <row r="918" spans="1:14" x14ac:dyDescent="0.2">
      <c r="A918" s="84"/>
      <c r="B918" s="84"/>
      <c r="C918" s="60"/>
      <c r="D918" s="66"/>
      <c r="E918" s="66"/>
      <c r="F918" s="66"/>
      <c r="G918" s="66"/>
      <c r="H918" s="66"/>
      <c r="I918" s="66"/>
      <c r="J918" s="66"/>
      <c r="K918" s="66"/>
      <c r="L918" s="66"/>
      <c r="M918" s="66"/>
      <c r="N918" s="66"/>
    </row>
    <row r="919" spans="1:14" x14ac:dyDescent="0.2">
      <c r="A919" s="84"/>
      <c r="B919" s="84"/>
      <c r="C919" s="60"/>
      <c r="D919" s="66"/>
      <c r="E919" s="66"/>
      <c r="F919" s="66"/>
      <c r="G919" s="66"/>
      <c r="H919" s="66"/>
      <c r="I919" s="66"/>
      <c r="J919" s="66"/>
      <c r="K919" s="66"/>
      <c r="L919" s="66"/>
      <c r="M919" s="66"/>
      <c r="N919" s="66"/>
    </row>
    <row r="920" spans="1:14" x14ac:dyDescent="0.2">
      <c r="A920" s="84"/>
      <c r="B920" s="84"/>
      <c r="C920" s="60"/>
      <c r="D920" s="66"/>
      <c r="E920" s="66"/>
      <c r="F920" s="66"/>
      <c r="G920" s="66"/>
      <c r="H920" s="66"/>
      <c r="I920" s="66"/>
      <c r="J920" s="66"/>
      <c r="K920" s="66"/>
      <c r="L920" s="66"/>
      <c r="M920" s="66"/>
      <c r="N920" s="66"/>
    </row>
    <row r="921" spans="1:14" x14ac:dyDescent="0.2">
      <c r="A921" s="84"/>
      <c r="B921" s="84"/>
      <c r="C921" s="60"/>
      <c r="D921" s="66"/>
      <c r="E921" s="66"/>
      <c r="F921" s="66"/>
      <c r="G921" s="66"/>
      <c r="H921" s="66"/>
      <c r="I921" s="66"/>
      <c r="J921" s="66"/>
      <c r="K921" s="66"/>
      <c r="L921" s="66"/>
      <c r="M921" s="66"/>
      <c r="N921" s="66"/>
    </row>
    <row r="922" spans="1:14" x14ac:dyDescent="0.2">
      <c r="A922" s="84"/>
      <c r="B922" s="84"/>
      <c r="C922" s="60"/>
      <c r="D922" s="66"/>
      <c r="E922" s="66"/>
      <c r="F922" s="66"/>
      <c r="G922" s="66"/>
      <c r="H922" s="66"/>
      <c r="I922" s="66"/>
      <c r="J922" s="66"/>
      <c r="K922" s="66"/>
      <c r="L922" s="66"/>
      <c r="M922" s="66"/>
      <c r="N922" s="66"/>
    </row>
    <row r="923" spans="1:14" x14ac:dyDescent="0.2">
      <c r="A923" s="84"/>
      <c r="B923" s="84"/>
      <c r="C923" s="60"/>
      <c r="D923" s="66"/>
      <c r="E923" s="66"/>
      <c r="F923" s="66"/>
      <c r="G923" s="66"/>
      <c r="H923" s="66"/>
      <c r="I923" s="66"/>
      <c r="J923" s="66"/>
      <c r="K923" s="66"/>
      <c r="L923" s="66"/>
      <c r="M923" s="66"/>
      <c r="N923" s="66"/>
    </row>
    <row r="924" spans="1:14" x14ac:dyDescent="0.2">
      <c r="A924" s="84"/>
      <c r="B924" s="84"/>
      <c r="C924" s="60"/>
      <c r="D924" s="66"/>
      <c r="E924" s="66"/>
      <c r="F924" s="66"/>
      <c r="G924" s="66"/>
      <c r="H924" s="66"/>
      <c r="I924" s="66"/>
      <c r="J924" s="66"/>
      <c r="K924" s="66"/>
      <c r="L924" s="66"/>
      <c r="M924" s="66"/>
      <c r="N924" s="66"/>
    </row>
    <row r="925" spans="1:14" x14ac:dyDescent="0.2">
      <c r="A925" s="84"/>
      <c r="B925" s="84"/>
      <c r="C925" s="60"/>
      <c r="D925" s="66"/>
      <c r="E925" s="66"/>
      <c r="F925" s="66"/>
      <c r="G925" s="66"/>
      <c r="H925" s="66"/>
      <c r="I925" s="66"/>
      <c r="J925" s="66"/>
      <c r="K925" s="66"/>
      <c r="L925" s="66"/>
      <c r="M925" s="66"/>
      <c r="N925" s="66"/>
    </row>
    <row r="926" spans="1:14" x14ac:dyDescent="0.2">
      <c r="A926" s="84"/>
      <c r="B926" s="84"/>
      <c r="C926" s="60"/>
      <c r="D926" s="66"/>
      <c r="E926" s="66"/>
      <c r="F926" s="66"/>
      <c r="G926" s="66"/>
      <c r="H926" s="66"/>
      <c r="I926" s="66"/>
      <c r="J926" s="66"/>
      <c r="K926" s="66"/>
      <c r="L926" s="66"/>
      <c r="M926" s="66"/>
      <c r="N926" s="66"/>
    </row>
    <row r="927" spans="1:14" x14ac:dyDescent="0.2">
      <c r="A927" s="84"/>
      <c r="B927" s="84"/>
      <c r="C927" s="60"/>
      <c r="D927" s="66"/>
      <c r="E927" s="66"/>
      <c r="F927" s="66"/>
      <c r="G927" s="66"/>
      <c r="H927" s="66"/>
      <c r="I927" s="66"/>
      <c r="J927" s="66"/>
      <c r="K927" s="66"/>
      <c r="L927" s="66"/>
      <c r="M927" s="66"/>
      <c r="N927" s="66"/>
    </row>
    <row r="928" spans="1:14" x14ac:dyDescent="0.2">
      <c r="A928" s="84"/>
      <c r="B928" s="84"/>
      <c r="C928" s="60"/>
      <c r="D928" s="66"/>
      <c r="E928" s="66"/>
      <c r="F928" s="66"/>
      <c r="G928" s="66"/>
      <c r="H928" s="66"/>
      <c r="I928" s="66"/>
      <c r="J928" s="66"/>
      <c r="K928" s="66"/>
      <c r="L928" s="66"/>
      <c r="M928" s="66"/>
      <c r="N928" s="66"/>
    </row>
    <row r="929" spans="1:14" x14ac:dyDescent="0.2">
      <c r="A929" s="84"/>
      <c r="B929" s="84"/>
      <c r="C929" s="60"/>
      <c r="D929" s="66"/>
      <c r="E929" s="66"/>
      <c r="F929" s="66"/>
      <c r="G929" s="66"/>
      <c r="H929" s="66"/>
      <c r="I929" s="66"/>
      <c r="J929" s="66"/>
      <c r="K929" s="66"/>
      <c r="L929" s="66"/>
      <c r="M929" s="66"/>
      <c r="N929" s="66"/>
    </row>
    <row r="930" spans="1:14" x14ac:dyDescent="0.2">
      <c r="A930" s="84"/>
      <c r="B930" s="84"/>
      <c r="C930" s="60"/>
      <c r="D930" s="66"/>
      <c r="E930" s="66"/>
      <c r="F930" s="66"/>
      <c r="G930" s="66"/>
      <c r="H930" s="66"/>
      <c r="I930" s="66"/>
      <c r="J930" s="66"/>
      <c r="K930" s="66"/>
      <c r="L930" s="66"/>
      <c r="M930" s="66"/>
      <c r="N930" s="66"/>
    </row>
    <row r="931" spans="1:14" x14ac:dyDescent="0.2">
      <c r="A931" s="84"/>
      <c r="B931" s="84"/>
      <c r="C931" s="60"/>
      <c r="D931" s="66"/>
      <c r="E931" s="66"/>
      <c r="F931" s="66"/>
      <c r="G931" s="66"/>
      <c r="H931" s="66"/>
      <c r="I931" s="66"/>
      <c r="J931" s="66"/>
      <c r="K931" s="66"/>
      <c r="L931" s="66"/>
      <c r="M931" s="66"/>
      <c r="N931" s="66"/>
    </row>
    <row r="932" spans="1:14" x14ac:dyDescent="0.2">
      <c r="A932" s="84"/>
      <c r="B932" s="84"/>
      <c r="C932" s="60"/>
      <c r="D932" s="66"/>
      <c r="E932" s="66"/>
      <c r="F932" s="66"/>
      <c r="G932" s="66"/>
      <c r="H932" s="66"/>
      <c r="I932" s="66"/>
      <c r="J932" s="66"/>
      <c r="K932" s="66"/>
      <c r="L932" s="66"/>
      <c r="M932" s="66"/>
      <c r="N932" s="66"/>
    </row>
    <row r="933" spans="1:14" x14ac:dyDescent="0.2">
      <c r="A933" s="84"/>
      <c r="B933" s="84"/>
      <c r="C933" s="60"/>
      <c r="D933" s="66"/>
      <c r="E933" s="66"/>
      <c r="F933" s="66"/>
      <c r="G933" s="66"/>
      <c r="H933" s="66"/>
      <c r="I933" s="66"/>
      <c r="J933" s="66"/>
      <c r="K933" s="66"/>
      <c r="L933" s="66"/>
      <c r="M933" s="66"/>
      <c r="N933" s="66"/>
    </row>
    <row r="934" spans="1:14" x14ac:dyDescent="0.2">
      <c r="A934" s="84"/>
      <c r="B934" s="84"/>
      <c r="C934" s="60"/>
      <c r="D934" s="66"/>
      <c r="E934" s="66"/>
      <c r="F934" s="66"/>
      <c r="G934" s="66"/>
      <c r="H934" s="66"/>
      <c r="I934" s="66"/>
      <c r="J934" s="66"/>
      <c r="K934" s="66"/>
      <c r="L934" s="66"/>
      <c r="M934" s="66"/>
      <c r="N934" s="66"/>
    </row>
    <row r="935" spans="1:14" x14ac:dyDescent="0.2">
      <c r="A935" s="84"/>
      <c r="B935" s="84"/>
      <c r="C935" s="60"/>
      <c r="D935" s="66"/>
      <c r="E935" s="66"/>
      <c r="F935" s="66"/>
      <c r="G935" s="66"/>
      <c r="H935" s="66"/>
      <c r="I935" s="66"/>
      <c r="J935" s="66"/>
      <c r="K935" s="66"/>
      <c r="L935" s="66"/>
      <c r="M935" s="66"/>
      <c r="N935" s="66"/>
    </row>
    <row r="936" spans="1:14" x14ac:dyDescent="0.2">
      <c r="A936" s="84"/>
      <c r="B936" s="84"/>
      <c r="C936" s="60"/>
      <c r="D936" s="66"/>
      <c r="E936" s="66"/>
      <c r="F936" s="66"/>
      <c r="G936" s="66"/>
      <c r="H936" s="66"/>
      <c r="I936" s="66"/>
      <c r="J936" s="66"/>
      <c r="K936" s="66"/>
      <c r="L936" s="66"/>
      <c r="M936" s="66"/>
      <c r="N936" s="66"/>
    </row>
    <row r="937" spans="1:14" x14ac:dyDescent="0.2">
      <c r="A937" s="84"/>
      <c r="B937" s="84"/>
      <c r="C937" s="60"/>
      <c r="D937" s="66"/>
      <c r="E937" s="66"/>
      <c r="F937" s="66"/>
      <c r="G937" s="66"/>
      <c r="H937" s="66"/>
      <c r="I937" s="66"/>
      <c r="J937" s="66"/>
      <c r="K937" s="66"/>
      <c r="L937" s="66"/>
      <c r="M937" s="66"/>
      <c r="N937" s="66"/>
    </row>
    <row r="938" spans="1:14" x14ac:dyDescent="0.2">
      <c r="A938" s="84"/>
      <c r="B938" s="84"/>
      <c r="C938" s="60"/>
      <c r="D938" s="66"/>
      <c r="E938" s="66"/>
      <c r="F938" s="66"/>
      <c r="G938" s="66"/>
      <c r="H938" s="66"/>
      <c r="I938" s="66"/>
      <c r="J938" s="66"/>
      <c r="K938" s="66"/>
      <c r="L938" s="66"/>
      <c r="M938" s="66"/>
      <c r="N938" s="66"/>
    </row>
    <row r="939" spans="1:14" x14ac:dyDescent="0.2">
      <c r="A939" s="84"/>
      <c r="B939" s="84"/>
      <c r="C939" s="60"/>
      <c r="D939" s="66"/>
      <c r="E939" s="66"/>
      <c r="F939" s="66"/>
      <c r="G939" s="66"/>
      <c r="H939" s="66"/>
      <c r="I939" s="66"/>
      <c r="J939" s="66"/>
      <c r="K939" s="66"/>
      <c r="L939" s="66"/>
      <c r="M939" s="66"/>
      <c r="N939" s="66"/>
    </row>
    <row r="940" spans="1:14" x14ac:dyDescent="0.2">
      <c r="A940" s="84"/>
      <c r="B940" s="84"/>
      <c r="C940" s="60"/>
      <c r="D940" s="66"/>
      <c r="E940" s="66"/>
      <c r="F940" s="66"/>
      <c r="G940" s="66"/>
      <c r="H940" s="66"/>
      <c r="I940" s="66"/>
      <c r="J940" s="66"/>
      <c r="K940" s="66"/>
      <c r="L940" s="66"/>
      <c r="M940" s="66"/>
      <c r="N940" s="66"/>
    </row>
    <row r="941" spans="1:14" x14ac:dyDescent="0.2">
      <c r="A941" s="84"/>
      <c r="B941" s="84"/>
      <c r="C941" s="60"/>
      <c r="D941" s="66"/>
      <c r="E941" s="66"/>
      <c r="F941" s="66"/>
      <c r="G941" s="66"/>
      <c r="H941" s="66"/>
      <c r="I941" s="66"/>
      <c r="J941" s="66"/>
      <c r="K941" s="66"/>
      <c r="L941" s="66"/>
      <c r="M941" s="66"/>
      <c r="N941" s="66"/>
    </row>
    <row r="942" spans="1:14" x14ac:dyDescent="0.2">
      <c r="A942" s="84"/>
      <c r="B942" s="84"/>
      <c r="C942" s="60"/>
      <c r="D942" s="66"/>
      <c r="E942" s="66"/>
      <c r="F942" s="66"/>
      <c r="G942" s="66"/>
      <c r="H942" s="66"/>
      <c r="I942" s="66"/>
      <c r="J942" s="66"/>
      <c r="K942" s="66"/>
      <c r="L942" s="66"/>
      <c r="M942" s="66"/>
      <c r="N942" s="66"/>
    </row>
    <row r="943" spans="1:14" x14ac:dyDescent="0.2">
      <c r="A943" s="84"/>
      <c r="B943" s="84"/>
      <c r="C943" s="60"/>
      <c r="D943" s="66"/>
      <c r="E943" s="66"/>
      <c r="F943" s="66"/>
      <c r="G943" s="66"/>
      <c r="H943" s="66"/>
      <c r="I943" s="66"/>
      <c r="J943" s="66"/>
      <c r="K943" s="66"/>
      <c r="L943" s="66"/>
      <c r="M943" s="66"/>
      <c r="N943" s="66"/>
    </row>
    <row r="944" spans="1:14" x14ac:dyDescent="0.2">
      <c r="A944" s="84"/>
      <c r="B944" s="84"/>
      <c r="C944" s="60"/>
      <c r="D944" s="66"/>
      <c r="E944" s="66"/>
      <c r="F944" s="66"/>
      <c r="G944" s="66"/>
      <c r="H944" s="66"/>
      <c r="I944" s="66"/>
      <c r="J944" s="66"/>
      <c r="K944" s="66"/>
      <c r="L944" s="66"/>
      <c r="M944" s="66"/>
      <c r="N944" s="66"/>
    </row>
    <row r="945" spans="1:14" x14ac:dyDescent="0.2">
      <c r="A945" s="84"/>
      <c r="B945" s="84"/>
      <c r="C945" s="60"/>
      <c r="D945" s="66"/>
      <c r="E945" s="66"/>
      <c r="F945" s="66"/>
      <c r="G945" s="66"/>
      <c r="H945" s="66"/>
      <c r="I945" s="66"/>
      <c r="J945" s="66"/>
      <c r="K945" s="66"/>
      <c r="L945" s="66"/>
      <c r="M945" s="66"/>
      <c r="N945" s="66"/>
    </row>
    <row r="946" spans="1:14" x14ac:dyDescent="0.2">
      <c r="A946" s="84"/>
      <c r="B946" s="84"/>
      <c r="C946" s="60"/>
      <c r="D946" s="66"/>
      <c r="E946" s="66"/>
      <c r="F946" s="66"/>
      <c r="G946" s="66"/>
      <c r="H946" s="66"/>
      <c r="I946" s="66"/>
      <c r="J946" s="66"/>
      <c r="K946" s="66"/>
      <c r="L946" s="66"/>
      <c r="M946" s="66"/>
      <c r="N946" s="66"/>
    </row>
    <row r="947" spans="1:14" x14ac:dyDescent="0.2">
      <c r="A947" s="84"/>
      <c r="B947" s="84"/>
      <c r="C947" s="60"/>
      <c r="D947" s="66"/>
      <c r="E947" s="66"/>
      <c r="F947" s="66"/>
      <c r="G947" s="66"/>
      <c r="H947" s="66"/>
      <c r="I947" s="66"/>
      <c r="J947" s="66"/>
      <c r="K947" s="66"/>
      <c r="L947" s="66"/>
      <c r="M947" s="66"/>
      <c r="N947" s="66"/>
    </row>
    <row r="948" spans="1:14" x14ac:dyDescent="0.2">
      <c r="A948" s="84"/>
      <c r="B948" s="84"/>
      <c r="C948" s="60"/>
      <c r="D948" s="66"/>
      <c r="E948" s="66"/>
      <c r="F948" s="66"/>
      <c r="G948" s="66"/>
      <c r="H948" s="66"/>
      <c r="I948" s="66"/>
      <c r="J948" s="66"/>
      <c r="K948" s="66"/>
      <c r="L948" s="66"/>
      <c r="M948" s="66"/>
      <c r="N948" s="66"/>
    </row>
    <row r="949" spans="1:14" x14ac:dyDescent="0.2">
      <c r="A949" s="84"/>
      <c r="B949" s="84"/>
      <c r="C949" s="60"/>
      <c r="D949" s="66"/>
      <c r="E949" s="66"/>
      <c r="F949" s="66"/>
      <c r="G949" s="66"/>
      <c r="H949" s="66"/>
      <c r="I949" s="66"/>
      <c r="J949" s="66"/>
      <c r="K949" s="66"/>
      <c r="L949" s="66"/>
      <c r="M949" s="66"/>
      <c r="N949" s="66"/>
    </row>
    <row r="950" spans="1:14" x14ac:dyDescent="0.2">
      <c r="A950" s="84"/>
      <c r="B950" s="84"/>
      <c r="C950" s="60"/>
      <c r="D950" s="66"/>
      <c r="E950" s="66"/>
      <c r="F950" s="66"/>
      <c r="G950" s="66"/>
      <c r="H950" s="66"/>
      <c r="I950" s="66"/>
      <c r="J950" s="66"/>
      <c r="K950" s="66"/>
      <c r="L950" s="66"/>
      <c r="M950" s="66"/>
      <c r="N950" s="66"/>
    </row>
    <row r="951" spans="1:14" x14ac:dyDescent="0.2">
      <c r="A951" s="84"/>
      <c r="B951" s="84"/>
      <c r="C951" s="60"/>
      <c r="D951" s="66"/>
      <c r="E951" s="66"/>
      <c r="F951" s="66"/>
      <c r="G951" s="66"/>
      <c r="H951" s="66"/>
      <c r="I951" s="66"/>
      <c r="J951" s="66"/>
      <c r="K951" s="66"/>
      <c r="L951" s="66"/>
      <c r="M951" s="66"/>
      <c r="N951" s="66"/>
    </row>
    <row r="952" spans="1:14" x14ac:dyDescent="0.2">
      <c r="A952" s="84"/>
      <c r="B952" s="84"/>
      <c r="C952" s="60"/>
      <c r="D952" s="66"/>
      <c r="E952" s="66"/>
      <c r="F952" s="66"/>
      <c r="G952" s="66"/>
      <c r="H952" s="66"/>
      <c r="I952" s="66"/>
      <c r="J952" s="66"/>
      <c r="K952" s="66"/>
      <c r="L952" s="66"/>
      <c r="M952" s="66"/>
      <c r="N952" s="66"/>
    </row>
    <row r="953" spans="1:14" x14ac:dyDescent="0.2">
      <c r="A953" s="84"/>
      <c r="B953" s="84"/>
      <c r="C953" s="60"/>
      <c r="D953" s="66"/>
      <c r="E953" s="66"/>
      <c r="F953" s="66"/>
      <c r="G953" s="66"/>
      <c r="H953" s="66"/>
      <c r="I953" s="66"/>
      <c r="J953" s="66"/>
      <c r="K953" s="66"/>
      <c r="L953" s="66"/>
      <c r="M953" s="66"/>
      <c r="N953" s="66"/>
    </row>
    <row r="954" spans="1:14" x14ac:dyDescent="0.2">
      <c r="A954" s="84"/>
      <c r="B954" s="84"/>
      <c r="C954" s="60"/>
      <c r="D954" s="66"/>
      <c r="E954" s="66"/>
      <c r="F954" s="66"/>
      <c r="G954" s="66"/>
      <c r="H954" s="66"/>
      <c r="I954" s="66"/>
      <c r="J954" s="66"/>
      <c r="K954" s="66"/>
      <c r="L954" s="66"/>
      <c r="M954" s="66"/>
      <c r="N954" s="66"/>
    </row>
    <row r="955" spans="1:14" x14ac:dyDescent="0.2">
      <c r="A955" s="84"/>
      <c r="B955" s="84"/>
      <c r="C955" s="60"/>
      <c r="D955" s="66"/>
      <c r="E955" s="66"/>
      <c r="F955" s="66"/>
      <c r="G955" s="66"/>
      <c r="H955" s="66"/>
      <c r="I955" s="66"/>
      <c r="J955" s="66"/>
      <c r="K955" s="66"/>
      <c r="L955" s="66"/>
      <c r="M955" s="66"/>
      <c r="N955" s="66"/>
    </row>
    <row r="956" spans="1:14" x14ac:dyDescent="0.2">
      <c r="A956" s="84"/>
      <c r="B956" s="84"/>
      <c r="C956" s="60"/>
      <c r="D956" s="66"/>
      <c r="E956" s="66"/>
      <c r="F956" s="66"/>
      <c r="G956" s="66"/>
      <c r="H956" s="66"/>
      <c r="I956" s="66"/>
      <c r="J956" s="66"/>
      <c r="K956" s="66"/>
      <c r="L956" s="66"/>
      <c r="M956" s="66"/>
      <c r="N956" s="66"/>
    </row>
    <row r="957" spans="1:14" x14ac:dyDescent="0.2">
      <c r="A957" s="84"/>
      <c r="B957" s="84"/>
      <c r="C957" s="60"/>
      <c r="D957" s="66"/>
      <c r="E957" s="66"/>
      <c r="F957" s="66"/>
      <c r="G957" s="66"/>
      <c r="H957" s="66"/>
      <c r="I957" s="66"/>
      <c r="J957" s="66"/>
      <c r="K957" s="66"/>
      <c r="L957" s="66"/>
      <c r="M957" s="66"/>
      <c r="N957" s="66"/>
    </row>
    <row r="958" spans="1:14" x14ac:dyDescent="0.2">
      <c r="A958" s="84"/>
      <c r="B958" s="84"/>
      <c r="C958" s="60"/>
      <c r="D958" s="66"/>
      <c r="E958" s="66"/>
      <c r="F958" s="66"/>
      <c r="G958" s="66"/>
      <c r="H958" s="66"/>
      <c r="I958" s="66"/>
      <c r="J958" s="66"/>
      <c r="K958" s="66"/>
      <c r="L958" s="66"/>
      <c r="M958" s="66"/>
      <c r="N958" s="66"/>
    </row>
    <row r="959" spans="1:14" x14ac:dyDescent="0.2">
      <c r="A959" s="84"/>
      <c r="B959" s="84"/>
      <c r="C959" s="60"/>
      <c r="D959" s="66"/>
      <c r="E959" s="66"/>
      <c r="F959" s="66"/>
      <c r="G959" s="66"/>
      <c r="H959" s="66"/>
      <c r="I959" s="66"/>
      <c r="J959" s="66"/>
      <c r="K959" s="66"/>
      <c r="L959" s="66"/>
      <c r="M959" s="66"/>
      <c r="N959" s="66"/>
    </row>
    <row r="960" spans="1:14" x14ac:dyDescent="0.2">
      <c r="A960" s="84"/>
      <c r="B960" s="84"/>
      <c r="C960" s="60"/>
      <c r="D960" s="66"/>
      <c r="E960" s="66"/>
      <c r="F960" s="66"/>
      <c r="G960" s="66"/>
      <c r="H960" s="66"/>
      <c r="I960" s="66"/>
      <c r="J960" s="66"/>
      <c r="K960" s="66"/>
      <c r="L960" s="66"/>
      <c r="M960" s="66"/>
      <c r="N960" s="66"/>
    </row>
    <row r="961" spans="1:14" x14ac:dyDescent="0.2">
      <c r="A961" s="84"/>
      <c r="B961" s="84"/>
      <c r="C961" s="60"/>
      <c r="D961" s="66"/>
      <c r="E961" s="66"/>
      <c r="F961" s="66"/>
      <c r="G961" s="66"/>
      <c r="H961" s="66"/>
      <c r="I961" s="66"/>
      <c r="J961" s="66"/>
      <c r="K961" s="66"/>
      <c r="L961" s="66"/>
      <c r="M961" s="66"/>
      <c r="N961" s="66"/>
    </row>
    <row r="962" spans="1:14" x14ac:dyDescent="0.2">
      <c r="A962" s="84"/>
      <c r="B962" s="84"/>
      <c r="C962" s="60"/>
      <c r="D962" s="66"/>
      <c r="E962" s="66"/>
      <c r="F962" s="66"/>
      <c r="G962" s="66"/>
      <c r="H962" s="66"/>
      <c r="I962" s="66"/>
      <c r="J962" s="66"/>
      <c r="K962" s="66"/>
      <c r="L962" s="66"/>
      <c r="M962" s="66"/>
      <c r="N962" s="66"/>
    </row>
    <row r="963" spans="1:14" x14ac:dyDescent="0.2">
      <c r="A963" s="84"/>
      <c r="B963" s="84"/>
      <c r="C963" s="60"/>
      <c r="D963" s="66"/>
      <c r="E963" s="66"/>
      <c r="F963" s="66"/>
      <c r="G963" s="66"/>
      <c r="H963" s="66"/>
      <c r="I963" s="66"/>
      <c r="J963" s="66"/>
      <c r="K963" s="66"/>
      <c r="L963" s="66"/>
      <c r="M963" s="66"/>
      <c r="N963" s="66"/>
    </row>
    <row r="964" spans="1:14" x14ac:dyDescent="0.2">
      <c r="A964" s="84"/>
      <c r="B964" s="84"/>
      <c r="C964" s="60"/>
      <c r="D964" s="66"/>
      <c r="E964" s="66"/>
      <c r="F964" s="66"/>
      <c r="G964" s="66"/>
      <c r="H964" s="66"/>
      <c r="I964" s="66"/>
      <c r="J964" s="66"/>
      <c r="K964" s="66"/>
      <c r="L964" s="66"/>
      <c r="M964" s="66"/>
      <c r="N964" s="66"/>
    </row>
    <row r="965" spans="1:14" x14ac:dyDescent="0.2">
      <c r="A965" s="84"/>
      <c r="B965" s="84"/>
      <c r="C965" s="60"/>
      <c r="D965" s="66"/>
      <c r="E965" s="66"/>
      <c r="F965" s="66"/>
      <c r="G965" s="66"/>
      <c r="H965" s="66"/>
      <c r="I965" s="66"/>
      <c r="J965" s="66"/>
      <c r="K965" s="66"/>
      <c r="L965" s="66"/>
      <c r="M965" s="66"/>
      <c r="N965" s="66"/>
    </row>
    <row r="966" spans="1:14" x14ac:dyDescent="0.2">
      <c r="A966" s="84"/>
      <c r="B966" s="84"/>
      <c r="C966" s="60"/>
      <c r="D966" s="66"/>
      <c r="E966" s="66"/>
      <c r="F966" s="66"/>
      <c r="G966" s="66"/>
      <c r="H966" s="66"/>
      <c r="I966" s="66"/>
      <c r="J966" s="66"/>
      <c r="K966" s="66"/>
      <c r="L966" s="66"/>
      <c r="M966" s="66"/>
      <c r="N966" s="66"/>
    </row>
    <row r="967" spans="1:14" x14ac:dyDescent="0.2">
      <c r="A967" s="84"/>
      <c r="B967" s="84"/>
      <c r="C967" s="60"/>
      <c r="D967" s="66"/>
      <c r="E967" s="66"/>
      <c r="F967" s="66"/>
      <c r="G967" s="66"/>
      <c r="H967" s="66"/>
      <c r="I967" s="66"/>
      <c r="J967" s="66"/>
      <c r="K967" s="66"/>
      <c r="L967" s="66"/>
      <c r="M967" s="66"/>
      <c r="N967" s="66"/>
    </row>
    <row r="968" spans="1:14" x14ac:dyDescent="0.2">
      <c r="A968" s="84"/>
      <c r="B968" s="84"/>
      <c r="C968" s="60"/>
      <c r="D968" s="66"/>
      <c r="E968" s="66"/>
      <c r="F968" s="66"/>
      <c r="G968" s="66"/>
      <c r="H968" s="66"/>
      <c r="I968" s="66"/>
      <c r="J968" s="66"/>
      <c r="K968" s="66"/>
      <c r="L968" s="66"/>
      <c r="M968" s="66"/>
      <c r="N968" s="66"/>
    </row>
    <row r="969" spans="1:14" x14ac:dyDescent="0.2">
      <c r="A969" s="84"/>
      <c r="B969" s="84"/>
      <c r="C969" s="60"/>
      <c r="D969" s="66"/>
      <c r="E969" s="66"/>
      <c r="F969" s="66"/>
      <c r="G969" s="66"/>
      <c r="H969" s="66"/>
      <c r="I969" s="66"/>
      <c r="J969" s="66"/>
      <c r="K969" s="66"/>
      <c r="L969" s="66"/>
      <c r="M969" s="66"/>
      <c r="N969" s="66"/>
    </row>
    <row r="970" spans="1:14" x14ac:dyDescent="0.2">
      <c r="A970" s="84"/>
      <c r="B970" s="84"/>
      <c r="C970" s="60"/>
      <c r="D970" s="66"/>
      <c r="E970" s="66"/>
      <c r="F970" s="66"/>
      <c r="G970" s="66"/>
      <c r="H970" s="66"/>
      <c r="I970" s="66"/>
      <c r="J970" s="66"/>
      <c r="K970" s="66"/>
      <c r="L970" s="66"/>
      <c r="M970" s="66"/>
      <c r="N970" s="66"/>
    </row>
    <row r="971" spans="1:14" x14ac:dyDescent="0.2">
      <c r="A971" s="84"/>
      <c r="B971" s="84"/>
      <c r="C971" s="60"/>
      <c r="D971" s="66"/>
      <c r="E971" s="66"/>
      <c r="F971" s="66"/>
      <c r="G971" s="66"/>
      <c r="H971" s="66"/>
      <c r="I971" s="66"/>
      <c r="J971" s="66"/>
      <c r="K971" s="66"/>
      <c r="L971" s="66"/>
      <c r="M971" s="66"/>
      <c r="N971" s="66"/>
    </row>
    <row r="972" spans="1:14" x14ac:dyDescent="0.2">
      <c r="A972" s="84"/>
      <c r="B972" s="84"/>
      <c r="C972" s="60"/>
      <c r="D972" s="66"/>
      <c r="E972" s="66"/>
      <c r="F972" s="66"/>
      <c r="G972" s="66"/>
      <c r="H972" s="66"/>
      <c r="I972" s="66"/>
      <c r="J972" s="66"/>
      <c r="K972" s="66"/>
      <c r="L972" s="66"/>
      <c r="M972" s="66"/>
      <c r="N972" s="66"/>
    </row>
    <row r="973" spans="1:14" x14ac:dyDescent="0.2">
      <c r="A973" s="84"/>
      <c r="B973" s="84"/>
      <c r="C973" s="60"/>
      <c r="D973" s="66"/>
      <c r="E973" s="66"/>
      <c r="F973" s="66"/>
      <c r="G973" s="66"/>
      <c r="H973" s="66"/>
      <c r="I973" s="66"/>
      <c r="J973" s="66"/>
      <c r="K973" s="66"/>
      <c r="L973" s="66"/>
      <c r="M973" s="66"/>
      <c r="N973" s="66"/>
    </row>
    <row r="974" spans="1:14" x14ac:dyDescent="0.2">
      <c r="A974" s="84"/>
      <c r="B974" s="84"/>
      <c r="C974" s="60"/>
      <c r="D974" s="66"/>
      <c r="E974" s="66"/>
      <c r="F974" s="66"/>
      <c r="G974" s="66"/>
      <c r="H974" s="66"/>
      <c r="I974" s="66"/>
      <c r="J974" s="66"/>
      <c r="K974" s="66"/>
      <c r="L974" s="66"/>
      <c r="M974" s="66"/>
      <c r="N974" s="66"/>
    </row>
    <row r="975" spans="1:14" x14ac:dyDescent="0.2">
      <c r="A975" s="84"/>
      <c r="B975" s="84"/>
      <c r="C975" s="60"/>
      <c r="D975" s="66"/>
      <c r="E975" s="66"/>
      <c r="F975" s="66"/>
      <c r="G975" s="66"/>
      <c r="H975" s="66"/>
      <c r="I975" s="66"/>
      <c r="J975" s="66"/>
      <c r="K975" s="66"/>
      <c r="L975" s="66"/>
      <c r="M975" s="66"/>
      <c r="N975" s="66"/>
    </row>
    <row r="976" spans="1:14" x14ac:dyDescent="0.2">
      <c r="A976" s="84"/>
      <c r="B976" s="84"/>
      <c r="C976" s="60"/>
      <c r="D976" s="66"/>
      <c r="E976" s="66"/>
      <c r="F976" s="66"/>
      <c r="G976" s="66"/>
      <c r="H976" s="66"/>
      <c r="I976" s="66"/>
      <c r="J976" s="66"/>
      <c r="K976" s="66"/>
      <c r="L976" s="66"/>
      <c r="M976" s="66"/>
      <c r="N976" s="66"/>
    </row>
    <row r="977" spans="1:14" x14ac:dyDescent="0.2">
      <c r="A977" s="84"/>
      <c r="B977" s="84"/>
      <c r="C977" s="60"/>
      <c r="D977" s="66"/>
      <c r="E977" s="66"/>
      <c r="F977" s="66"/>
      <c r="G977" s="66"/>
      <c r="H977" s="66"/>
      <c r="I977" s="66"/>
      <c r="J977" s="66"/>
      <c r="K977" s="66"/>
      <c r="L977" s="66"/>
      <c r="M977" s="66"/>
      <c r="N977" s="66"/>
    </row>
    <row r="978" spans="1:14" x14ac:dyDescent="0.2">
      <c r="A978" s="84"/>
      <c r="B978" s="84"/>
      <c r="C978" s="60"/>
      <c r="D978" s="66"/>
      <c r="E978" s="66"/>
      <c r="F978" s="66"/>
      <c r="G978" s="66"/>
      <c r="H978" s="66"/>
      <c r="I978" s="66"/>
      <c r="J978" s="66"/>
      <c r="K978" s="66"/>
      <c r="L978" s="66"/>
      <c r="M978" s="66"/>
      <c r="N978" s="66"/>
    </row>
    <row r="979" spans="1:14" x14ac:dyDescent="0.2">
      <c r="A979" s="84"/>
      <c r="B979" s="84"/>
      <c r="C979" s="60"/>
      <c r="D979" s="66"/>
      <c r="E979" s="66"/>
      <c r="F979" s="66"/>
      <c r="G979" s="66"/>
      <c r="H979" s="66"/>
      <c r="I979" s="66"/>
      <c r="J979" s="66"/>
      <c r="K979" s="66"/>
      <c r="L979" s="66"/>
      <c r="M979" s="66"/>
      <c r="N979" s="66"/>
    </row>
    <row r="980" spans="1:14" x14ac:dyDescent="0.2">
      <c r="A980" s="84"/>
      <c r="B980" s="84"/>
      <c r="C980" s="60"/>
      <c r="D980" s="66"/>
      <c r="E980" s="66"/>
      <c r="F980" s="66"/>
      <c r="G980" s="66"/>
      <c r="H980" s="66"/>
      <c r="I980" s="66"/>
      <c r="J980" s="66"/>
      <c r="K980" s="66"/>
      <c r="L980" s="66"/>
      <c r="M980" s="66"/>
      <c r="N980" s="66"/>
    </row>
    <row r="981" spans="1:14" x14ac:dyDescent="0.2">
      <c r="A981" s="84"/>
      <c r="B981" s="84"/>
      <c r="C981" s="60"/>
      <c r="D981" s="66"/>
      <c r="E981" s="66"/>
      <c r="F981" s="66"/>
      <c r="G981" s="66"/>
      <c r="H981" s="66"/>
      <c r="I981" s="66"/>
      <c r="J981" s="66"/>
      <c r="K981" s="66"/>
      <c r="L981" s="66"/>
      <c r="M981" s="66"/>
      <c r="N981" s="66"/>
    </row>
    <row r="982" spans="1:14" x14ac:dyDescent="0.2">
      <c r="A982" s="84"/>
      <c r="B982" s="84"/>
      <c r="C982" s="60"/>
      <c r="D982" s="66"/>
      <c r="E982" s="66"/>
      <c r="F982" s="66"/>
      <c r="G982" s="66"/>
      <c r="H982" s="66"/>
      <c r="I982" s="66"/>
      <c r="J982" s="66"/>
      <c r="K982" s="66"/>
      <c r="L982" s="66"/>
      <c r="M982" s="66"/>
      <c r="N982" s="66"/>
    </row>
    <row r="983" spans="1:14" x14ac:dyDescent="0.2">
      <c r="A983" s="84"/>
      <c r="B983" s="84"/>
      <c r="C983" s="60"/>
      <c r="D983" s="66"/>
      <c r="E983" s="66"/>
      <c r="F983" s="66"/>
      <c r="G983" s="66"/>
      <c r="H983" s="66"/>
      <c r="I983" s="66"/>
      <c r="J983" s="66"/>
      <c r="K983" s="66"/>
      <c r="L983" s="66"/>
      <c r="M983" s="66"/>
      <c r="N983" s="66"/>
    </row>
    <row r="984" spans="1:14" x14ac:dyDescent="0.2">
      <c r="A984" s="84"/>
      <c r="B984" s="84"/>
      <c r="C984" s="60"/>
      <c r="D984" s="66"/>
      <c r="E984" s="66"/>
      <c r="F984" s="66"/>
      <c r="G984" s="66"/>
      <c r="H984" s="66"/>
      <c r="I984" s="66"/>
      <c r="J984" s="66"/>
      <c r="K984" s="66"/>
      <c r="L984" s="66"/>
      <c r="M984" s="66"/>
      <c r="N984" s="66"/>
    </row>
    <row r="985" spans="1:14" x14ac:dyDescent="0.2">
      <c r="A985" s="84"/>
      <c r="B985" s="84"/>
      <c r="C985" s="60"/>
      <c r="D985" s="66"/>
      <c r="E985" s="66"/>
      <c r="F985" s="66"/>
      <c r="G985" s="66"/>
      <c r="H985" s="66"/>
      <c r="I985" s="66"/>
      <c r="J985" s="66"/>
      <c r="K985" s="66"/>
      <c r="L985" s="66"/>
      <c r="M985" s="66"/>
      <c r="N985" s="66"/>
    </row>
    <row r="986" spans="1:14" x14ac:dyDescent="0.2">
      <c r="A986" s="84"/>
      <c r="B986" s="84"/>
      <c r="C986" s="60"/>
      <c r="D986" s="66"/>
      <c r="E986" s="66"/>
      <c r="F986" s="66"/>
      <c r="G986" s="66"/>
      <c r="H986" s="66"/>
      <c r="I986" s="66"/>
      <c r="J986" s="66"/>
      <c r="K986" s="66"/>
      <c r="L986" s="66"/>
      <c r="M986" s="66"/>
      <c r="N986" s="66"/>
    </row>
    <row r="987" spans="1:14" x14ac:dyDescent="0.2">
      <c r="A987" s="84"/>
      <c r="B987" s="84"/>
      <c r="C987" s="60"/>
      <c r="D987" s="66"/>
      <c r="E987" s="66"/>
      <c r="F987" s="66"/>
      <c r="G987" s="66"/>
      <c r="H987" s="66"/>
      <c r="I987" s="66"/>
      <c r="J987" s="66"/>
      <c r="K987" s="66"/>
      <c r="L987" s="66"/>
      <c r="M987" s="66"/>
      <c r="N987" s="66"/>
    </row>
    <row r="988" spans="1:14" x14ac:dyDescent="0.2">
      <c r="A988" s="84"/>
      <c r="B988" s="84"/>
      <c r="C988" s="60"/>
      <c r="D988" s="66"/>
      <c r="E988" s="66"/>
      <c r="F988" s="66"/>
      <c r="G988" s="66"/>
      <c r="H988" s="66"/>
      <c r="I988" s="66"/>
      <c r="J988" s="66"/>
      <c r="K988" s="66"/>
      <c r="L988" s="66"/>
      <c r="M988" s="66"/>
      <c r="N988" s="66"/>
    </row>
    <row r="989" spans="1:14" x14ac:dyDescent="0.2">
      <c r="A989" s="84"/>
      <c r="B989" s="84"/>
      <c r="C989" s="60"/>
      <c r="D989" s="66"/>
      <c r="E989" s="66"/>
      <c r="F989" s="66"/>
      <c r="G989" s="66"/>
      <c r="H989" s="66"/>
      <c r="I989" s="66"/>
      <c r="J989" s="66"/>
      <c r="K989" s="66"/>
      <c r="L989" s="66"/>
      <c r="M989" s="66"/>
      <c r="N989" s="66"/>
    </row>
    <row r="990" spans="1:14" x14ac:dyDescent="0.2">
      <c r="A990" s="84"/>
      <c r="B990" s="84"/>
      <c r="C990" s="60"/>
      <c r="D990" s="66"/>
      <c r="E990" s="66"/>
      <c r="F990" s="66"/>
      <c r="G990" s="66"/>
      <c r="H990" s="66"/>
      <c r="I990" s="66"/>
      <c r="J990" s="66"/>
      <c r="K990" s="66"/>
      <c r="L990" s="66"/>
      <c r="M990" s="66"/>
      <c r="N990" s="66"/>
    </row>
    <row r="991" spans="1:14" x14ac:dyDescent="0.2">
      <c r="A991" s="84"/>
      <c r="B991" s="84"/>
      <c r="C991" s="60"/>
      <c r="D991" s="66"/>
      <c r="E991" s="66"/>
      <c r="F991" s="66"/>
      <c r="G991" s="66"/>
      <c r="H991" s="66"/>
      <c r="I991" s="66"/>
      <c r="J991" s="66"/>
      <c r="K991" s="66"/>
      <c r="L991" s="66"/>
      <c r="M991" s="66"/>
      <c r="N991" s="66"/>
    </row>
    <row r="992" spans="1:14" x14ac:dyDescent="0.2">
      <c r="A992" s="84"/>
      <c r="B992" s="84"/>
      <c r="C992" s="60"/>
      <c r="D992" s="66"/>
      <c r="E992" s="66"/>
      <c r="F992" s="66"/>
      <c r="G992" s="66"/>
      <c r="H992" s="66"/>
      <c r="I992" s="66"/>
      <c r="J992" s="66"/>
      <c r="K992" s="66"/>
      <c r="L992" s="66"/>
      <c r="M992" s="66"/>
      <c r="N992" s="66"/>
    </row>
    <row r="993" spans="1:14" x14ac:dyDescent="0.2">
      <c r="A993" s="84"/>
      <c r="B993" s="84"/>
      <c r="C993" s="60"/>
      <c r="D993" s="66"/>
      <c r="E993" s="66"/>
      <c r="F993" s="66"/>
      <c r="G993" s="66"/>
      <c r="H993" s="66"/>
      <c r="I993" s="66"/>
      <c r="J993" s="66"/>
      <c r="K993" s="66"/>
      <c r="L993" s="66"/>
      <c r="M993" s="66"/>
      <c r="N993" s="66"/>
    </row>
    <row r="994" spans="1:14" x14ac:dyDescent="0.2">
      <c r="A994" s="84"/>
      <c r="B994" s="84"/>
      <c r="C994" s="60"/>
      <c r="D994" s="66"/>
      <c r="E994" s="66"/>
      <c r="F994" s="66"/>
      <c r="G994" s="66"/>
      <c r="H994" s="66"/>
      <c r="I994" s="66"/>
      <c r="J994" s="66"/>
      <c r="K994" s="66"/>
      <c r="L994" s="66"/>
      <c r="M994" s="66"/>
      <c r="N994" s="66"/>
    </row>
    <row r="995" spans="1:14" x14ac:dyDescent="0.2">
      <c r="A995" s="84"/>
      <c r="B995" s="84"/>
      <c r="C995" s="60"/>
      <c r="D995" s="66"/>
      <c r="E995" s="66"/>
      <c r="F995" s="66"/>
      <c r="G995" s="66"/>
      <c r="H995" s="66"/>
      <c r="I995" s="66"/>
      <c r="J995" s="66"/>
      <c r="K995" s="66"/>
      <c r="L995" s="66"/>
      <c r="M995" s="66"/>
      <c r="N995" s="66"/>
    </row>
    <row r="996" spans="1:14" x14ac:dyDescent="0.2">
      <c r="A996" s="84"/>
      <c r="B996" s="84"/>
      <c r="C996" s="60"/>
      <c r="D996" s="66"/>
      <c r="E996" s="66"/>
      <c r="F996" s="66"/>
      <c r="G996" s="66"/>
      <c r="H996" s="66"/>
      <c r="I996" s="66"/>
      <c r="J996" s="66"/>
      <c r="K996" s="66"/>
      <c r="L996" s="66"/>
      <c r="M996" s="66"/>
      <c r="N996" s="66"/>
    </row>
    <row r="997" spans="1:14" x14ac:dyDescent="0.2">
      <c r="A997" s="84"/>
      <c r="B997" s="84"/>
      <c r="C997" s="60"/>
      <c r="D997" s="66"/>
      <c r="E997" s="66"/>
      <c r="F997" s="66"/>
      <c r="G997" s="66"/>
      <c r="H997" s="66"/>
      <c r="I997" s="66"/>
      <c r="J997" s="66"/>
      <c r="K997" s="66"/>
      <c r="L997" s="66"/>
      <c r="M997" s="66"/>
      <c r="N997" s="66"/>
    </row>
    <row r="998" spans="1:14" x14ac:dyDescent="0.2">
      <c r="A998" s="84"/>
      <c r="B998" s="84"/>
      <c r="C998" s="60"/>
      <c r="D998" s="66"/>
      <c r="E998" s="66"/>
      <c r="F998" s="66"/>
      <c r="G998" s="66"/>
      <c r="H998" s="66"/>
      <c r="I998" s="66"/>
      <c r="J998" s="66"/>
      <c r="K998" s="66"/>
      <c r="L998" s="66"/>
      <c r="M998" s="66"/>
      <c r="N998" s="66"/>
    </row>
    <row r="999" spans="1:14" x14ac:dyDescent="0.2">
      <c r="A999" s="84"/>
      <c r="B999" s="84"/>
      <c r="C999" s="60"/>
      <c r="D999" s="66"/>
      <c r="E999" s="66"/>
      <c r="F999" s="66"/>
      <c r="G999" s="66"/>
      <c r="H999" s="66"/>
      <c r="I999" s="66"/>
      <c r="J999" s="66"/>
      <c r="K999" s="66"/>
      <c r="L999" s="66"/>
      <c r="M999" s="66"/>
      <c r="N999" s="66"/>
    </row>
    <row r="1000" spans="1:14" x14ac:dyDescent="0.2">
      <c r="A1000" s="84"/>
      <c r="B1000" s="84"/>
      <c r="C1000" s="60"/>
      <c r="D1000" s="66"/>
      <c r="E1000" s="66"/>
      <c r="F1000" s="66"/>
      <c r="G1000" s="66"/>
      <c r="H1000" s="66"/>
      <c r="I1000" s="66"/>
      <c r="J1000" s="66"/>
      <c r="K1000" s="66"/>
      <c r="L1000" s="66"/>
      <c r="M1000" s="66"/>
      <c r="N1000" s="66"/>
    </row>
    <row r="1001" spans="1:14" x14ac:dyDescent="0.2">
      <c r="A1001" s="84"/>
      <c r="B1001" s="84"/>
      <c r="C1001" s="60"/>
      <c r="D1001" s="66"/>
      <c r="E1001" s="66"/>
      <c r="F1001" s="66"/>
      <c r="G1001" s="66"/>
      <c r="H1001" s="66"/>
      <c r="I1001" s="66"/>
      <c r="J1001" s="66"/>
      <c r="K1001" s="66"/>
      <c r="L1001" s="66"/>
      <c r="M1001" s="66"/>
      <c r="N1001" s="66"/>
    </row>
    <row r="1002" spans="1:14" x14ac:dyDescent="0.2">
      <c r="A1002" s="84"/>
      <c r="B1002" s="84"/>
      <c r="C1002" s="60"/>
      <c r="D1002" s="66"/>
      <c r="E1002" s="66"/>
      <c r="F1002" s="66"/>
      <c r="G1002" s="66"/>
      <c r="H1002" s="66"/>
      <c r="I1002" s="66"/>
      <c r="J1002" s="66"/>
      <c r="K1002" s="66"/>
      <c r="L1002" s="66"/>
      <c r="M1002" s="66"/>
      <c r="N1002" s="66"/>
    </row>
    <row r="1003" spans="1:14" x14ac:dyDescent="0.2">
      <c r="A1003" s="84"/>
      <c r="B1003" s="84"/>
      <c r="C1003" s="60"/>
      <c r="D1003" s="66"/>
      <c r="E1003" s="66"/>
      <c r="F1003" s="66"/>
      <c r="G1003" s="66"/>
      <c r="H1003" s="66"/>
      <c r="I1003" s="66"/>
      <c r="J1003" s="66"/>
      <c r="K1003" s="66"/>
      <c r="L1003" s="66"/>
      <c r="M1003" s="66"/>
      <c r="N1003" s="66"/>
    </row>
    <row r="1004" spans="1:14" x14ac:dyDescent="0.2">
      <c r="A1004" s="84"/>
      <c r="B1004" s="84"/>
      <c r="C1004" s="60"/>
      <c r="D1004" s="66"/>
      <c r="E1004" s="66"/>
      <c r="F1004" s="66"/>
      <c r="G1004" s="66"/>
      <c r="H1004" s="66"/>
      <c r="I1004" s="66"/>
      <c r="J1004" s="66"/>
      <c r="K1004" s="66"/>
      <c r="L1004" s="66"/>
      <c r="M1004" s="66"/>
      <c r="N1004" s="66"/>
    </row>
    <row r="1005" spans="1:14" x14ac:dyDescent="0.2">
      <c r="A1005" s="84"/>
      <c r="B1005" s="84"/>
      <c r="C1005" s="60"/>
      <c r="D1005" s="66"/>
      <c r="E1005" s="66"/>
      <c r="F1005" s="66"/>
      <c r="G1005" s="66"/>
      <c r="H1005" s="66"/>
      <c r="I1005" s="66"/>
      <c r="J1005" s="66"/>
      <c r="K1005" s="66"/>
      <c r="L1005" s="66"/>
      <c r="M1005" s="66"/>
      <c r="N1005" s="66"/>
    </row>
    <row r="1006" spans="1:14" x14ac:dyDescent="0.2">
      <c r="A1006" s="84"/>
      <c r="B1006" s="84"/>
      <c r="C1006" s="60"/>
      <c r="D1006" s="66"/>
      <c r="E1006" s="66"/>
      <c r="F1006" s="66"/>
      <c r="G1006" s="66"/>
      <c r="H1006" s="66"/>
      <c r="I1006" s="66"/>
      <c r="J1006" s="66"/>
      <c r="K1006" s="66"/>
      <c r="L1006" s="66"/>
      <c r="M1006" s="66"/>
      <c r="N1006" s="66"/>
    </row>
    <row r="1007" spans="1:14" x14ac:dyDescent="0.2">
      <c r="A1007" s="84"/>
      <c r="B1007" s="84"/>
      <c r="C1007" s="60"/>
      <c r="D1007" s="66"/>
      <c r="E1007" s="66"/>
      <c r="F1007" s="66"/>
      <c r="G1007" s="66"/>
      <c r="H1007" s="66"/>
      <c r="I1007" s="66"/>
      <c r="J1007" s="66"/>
      <c r="K1007" s="66"/>
      <c r="L1007" s="66"/>
      <c r="M1007" s="66"/>
      <c r="N1007" s="66"/>
    </row>
    <row r="1008" spans="1:14" x14ac:dyDescent="0.2">
      <c r="A1008" s="84"/>
      <c r="B1008" s="84"/>
      <c r="C1008" s="60"/>
      <c r="D1008" s="66"/>
      <c r="E1008" s="66"/>
      <c r="F1008" s="66"/>
      <c r="G1008" s="66"/>
      <c r="H1008" s="66"/>
      <c r="I1008" s="66"/>
      <c r="J1008" s="66"/>
      <c r="K1008" s="66"/>
      <c r="L1008" s="66"/>
      <c r="M1008" s="66"/>
      <c r="N1008" s="66"/>
    </row>
    <row r="1009" spans="1:14" x14ac:dyDescent="0.2">
      <c r="A1009" s="84"/>
      <c r="B1009" s="84"/>
      <c r="C1009" s="60"/>
      <c r="D1009" s="66"/>
      <c r="E1009" s="66"/>
      <c r="F1009" s="66"/>
      <c r="G1009" s="66"/>
      <c r="H1009" s="66"/>
      <c r="I1009" s="66"/>
      <c r="J1009" s="66"/>
      <c r="K1009" s="66"/>
      <c r="L1009" s="66"/>
      <c r="M1009" s="66"/>
      <c r="N1009" s="66"/>
    </row>
    <row r="1010" spans="1:14" x14ac:dyDescent="0.2">
      <c r="A1010" s="84"/>
      <c r="B1010" s="84"/>
      <c r="C1010" s="60"/>
      <c r="D1010" s="66"/>
      <c r="E1010" s="66"/>
      <c r="F1010" s="66"/>
      <c r="G1010" s="66"/>
      <c r="H1010" s="66"/>
      <c r="I1010" s="66"/>
      <c r="J1010" s="66"/>
      <c r="K1010" s="66"/>
      <c r="L1010" s="66"/>
      <c r="M1010" s="66"/>
      <c r="N1010" s="66"/>
    </row>
    <row r="1011" spans="1:14" x14ac:dyDescent="0.2">
      <c r="A1011" s="84"/>
      <c r="B1011" s="84"/>
      <c r="C1011" s="60"/>
      <c r="D1011" s="66"/>
      <c r="E1011" s="66"/>
      <c r="F1011" s="66"/>
      <c r="G1011" s="66"/>
      <c r="H1011" s="66"/>
      <c r="I1011" s="66"/>
      <c r="J1011" s="66"/>
      <c r="K1011" s="66"/>
      <c r="L1011" s="66"/>
      <c r="M1011" s="66"/>
      <c r="N1011" s="66"/>
    </row>
    <row r="1012" spans="1:14" x14ac:dyDescent="0.2">
      <c r="A1012" s="84"/>
      <c r="B1012" s="84"/>
      <c r="C1012" s="60"/>
      <c r="D1012" s="66"/>
      <c r="E1012" s="66"/>
      <c r="F1012" s="66"/>
      <c r="G1012" s="66"/>
      <c r="H1012" s="66"/>
      <c r="I1012" s="66"/>
      <c r="J1012" s="66"/>
      <c r="K1012" s="66"/>
      <c r="L1012" s="66"/>
      <c r="M1012" s="66"/>
      <c r="N1012" s="66"/>
    </row>
    <row r="1013" spans="1:14" x14ac:dyDescent="0.2">
      <c r="A1013" s="84"/>
      <c r="B1013" s="84"/>
      <c r="C1013" s="60"/>
      <c r="D1013" s="66"/>
      <c r="E1013" s="66"/>
      <c r="F1013" s="66"/>
      <c r="G1013" s="66"/>
      <c r="H1013" s="66"/>
      <c r="I1013" s="66"/>
      <c r="J1013" s="66"/>
      <c r="K1013" s="66"/>
      <c r="L1013" s="66"/>
      <c r="M1013" s="66"/>
      <c r="N1013" s="66"/>
    </row>
    <row r="1014" spans="1:14" x14ac:dyDescent="0.2">
      <c r="A1014" s="84"/>
      <c r="B1014" s="84"/>
      <c r="C1014" s="60"/>
      <c r="D1014" s="66"/>
      <c r="E1014" s="66"/>
      <c r="F1014" s="66"/>
      <c r="G1014" s="66"/>
      <c r="H1014" s="66"/>
      <c r="I1014" s="66"/>
      <c r="J1014" s="66"/>
      <c r="K1014" s="66"/>
      <c r="L1014" s="66"/>
      <c r="M1014" s="66"/>
      <c r="N1014" s="66"/>
    </row>
    <row r="1015" spans="1:14" x14ac:dyDescent="0.2">
      <c r="A1015" s="84"/>
      <c r="B1015" s="84"/>
      <c r="C1015" s="60"/>
      <c r="D1015" s="66"/>
      <c r="E1015" s="66"/>
      <c r="F1015" s="66"/>
      <c r="G1015" s="66"/>
      <c r="H1015" s="66"/>
      <c r="I1015" s="66"/>
      <c r="J1015" s="66"/>
      <c r="K1015" s="66"/>
      <c r="L1015" s="66"/>
      <c r="M1015" s="66"/>
      <c r="N1015" s="66"/>
    </row>
    <row r="1016" spans="1:14" x14ac:dyDescent="0.2">
      <c r="A1016" s="84"/>
      <c r="B1016" s="84"/>
      <c r="C1016" s="60"/>
      <c r="D1016" s="66"/>
      <c r="E1016" s="66"/>
      <c r="F1016" s="66"/>
      <c r="G1016" s="66"/>
      <c r="H1016" s="66"/>
      <c r="I1016" s="66"/>
      <c r="J1016" s="66"/>
      <c r="K1016" s="66"/>
      <c r="L1016" s="66"/>
      <c r="M1016" s="66"/>
      <c r="N1016" s="66"/>
    </row>
    <row r="1017" spans="1:14" x14ac:dyDescent="0.2">
      <c r="A1017" s="84"/>
      <c r="B1017" s="84"/>
      <c r="C1017" s="60"/>
      <c r="D1017" s="66"/>
      <c r="E1017" s="66"/>
      <c r="F1017" s="66"/>
      <c r="G1017" s="66"/>
      <c r="H1017" s="66"/>
      <c r="I1017" s="66"/>
      <c r="J1017" s="66"/>
      <c r="K1017" s="66"/>
      <c r="L1017" s="66"/>
      <c r="M1017" s="66"/>
      <c r="N1017" s="66"/>
    </row>
    <row r="1018" spans="1:14" x14ac:dyDescent="0.2">
      <c r="A1018" s="84"/>
      <c r="B1018" s="84"/>
      <c r="C1018" s="60"/>
      <c r="D1018" s="66"/>
      <c r="E1018" s="66"/>
      <c r="F1018" s="66"/>
      <c r="G1018" s="66"/>
      <c r="H1018" s="66"/>
      <c r="I1018" s="66"/>
      <c r="J1018" s="66"/>
      <c r="K1018" s="66"/>
      <c r="L1018" s="66"/>
      <c r="M1018" s="66"/>
      <c r="N1018" s="66"/>
    </row>
    <row r="1019" spans="1:14" x14ac:dyDescent="0.2">
      <c r="A1019" s="84"/>
      <c r="B1019" s="84"/>
      <c r="C1019" s="60"/>
      <c r="D1019" s="66"/>
      <c r="E1019" s="66"/>
      <c r="F1019" s="66"/>
      <c r="G1019" s="66"/>
      <c r="H1019" s="66"/>
      <c r="I1019" s="66"/>
      <c r="J1019" s="66"/>
      <c r="K1019" s="66"/>
      <c r="L1019" s="66"/>
      <c r="M1019" s="66"/>
      <c r="N1019" s="66"/>
    </row>
    <row r="1020" spans="1:14" x14ac:dyDescent="0.2">
      <c r="A1020" s="84"/>
      <c r="B1020" s="84"/>
      <c r="C1020" s="60"/>
      <c r="D1020" s="66"/>
      <c r="E1020" s="66"/>
      <c r="F1020" s="66"/>
      <c r="G1020" s="66"/>
      <c r="H1020" s="66"/>
      <c r="I1020" s="66"/>
      <c r="J1020" s="66"/>
      <c r="K1020" s="66"/>
      <c r="L1020" s="66"/>
      <c r="M1020" s="66"/>
      <c r="N1020" s="66"/>
    </row>
    <row r="1021" spans="1:14" x14ac:dyDescent="0.2">
      <c r="A1021" s="84"/>
      <c r="B1021" s="84"/>
      <c r="C1021" s="60"/>
      <c r="D1021" s="66"/>
      <c r="E1021" s="66"/>
      <c r="F1021" s="66"/>
      <c r="G1021" s="66"/>
      <c r="H1021" s="66"/>
      <c r="I1021" s="66"/>
      <c r="J1021" s="66"/>
      <c r="K1021" s="66"/>
      <c r="L1021" s="66"/>
      <c r="M1021" s="66"/>
      <c r="N1021" s="66"/>
    </row>
    <row r="1022" spans="1:14" x14ac:dyDescent="0.2">
      <c r="A1022" s="84"/>
      <c r="B1022" s="84"/>
      <c r="C1022" s="60"/>
      <c r="D1022" s="66"/>
      <c r="E1022" s="66"/>
      <c r="F1022" s="66"/>
      <c r="G1022" s="66"/>
      <c r="H1022" s="66"/>
      <c r="I1022" s="66"/>
      <c r="J1022" s="66"/>
      <c r="K1022" s="66"/>
      <c r="L1022" s="66"/>
      <c r="M1022" s="66"/>
      <c r="N1022" s="66"/>
    </row>
    <row r="1023" spans="1:14" x14ac:dyDescent="0.2">
      <c r="A1023" s="84"/>
      <c r="B1023" s="84"/>
      <c r="C1023" s="60"/>
      <c r="D1023" s="66"/>
      <c r="E1023" s="66"/>
      <c r="F1023" s="66"/>
      <c r="G1023" s="66"/>
      <c r="H1023" s="66"/>
      <c r="I1023" s="66"/>
      <c r="J1023" s="66"/>
      <c r="K1023" s="66"/>
      <c r="L1023" s="66"/>
      <c r="M1023" s="66"/>
      <c r="N1023" s="66"/>
    </row>
    <row r="1024" spans="1:14" x14ac:dyDescent="0.2">
      <c r="A1024" s="84"/>
      <c r="B1024" s="84"/>
      <c r="C1024" s="60"/>
      <c r="D1024" s="66"/>
      <c r="E1024" s="66"/>
      <c r="F1024" s="66"/>
      <c r="G1024" s="66"/>
      <c r="H1024" s="66"/>
      <c r="I1024" s="66"/>
      <c r="J1024" s="66"/>
      <c r="K1024" s="66"/>
      <c r="L1024" s="66"/>
      <c r="M1024" s="66"/>
      <c r="N1024" s="66"/>
    </row>
    <row r="1025" spans="1:14" x14ac:dyDescent="0.2">
      <c r="A1025" s="84"/>
      <c r="B1025" s="84"/>
      <c r="C1025" s="60"/>
      <c r="D1025" s="66"/>
      <c r="E1025" s="66"/>
      <c r="F1025" s="66"/>
      <c r="G1025" s="66"/>
      <c r="H1025" s="66"/>
      <c r="I1025" s="66"/>
      <c r="J1025" s="66"/>
      <c r="K1025" s="66"/>
      <c r="L1025" s="66"/>
      <c r="M1025" s="66"/>
      <c r="N1025" s="66"/>
    </row>
    <row r="1026" spans="1:14" x14ac:dyDescent="0.2">
      <c r="A1026" s="84"/>
      <c r="B1026" s="84"/>
      <c r="C1026" s="60"/>
      <c r="D1026" s="66"/>
      <c r="E1026" s="66"/>
      <c r="F1026" s="66"/>
      <c r="G1026" s="66"/>
      <c r="H1026" s="66"/>
      <c r="I1026" s="66"/>
      <c r="J1026" s="66"/>
      <c r="K1026" s="66"/>
      <c r="L1026" s="66"/>
      <c r="M1026" s="66"/>
      <c r="N1026" s="66"/>
    </row>
    <row r="1027" spans="1:14" x14ac:dyDescent="0.2">
      <c r="A1027" s="84"/>
      <c r="B1027" s="84"/>
      <c r="C1027" s="60"/>
      <c r="D1027" s="66"/>
      <c r="E1027" s="66"/>
      <c r="F1027" s="66"/>
      <c r="G1027" s="66"/>
      <c r="H1027" s="66"/>
      <c r="I1027" s="66"/>
      <c r="J1027" s="66"/>
      <c r="K1027" s="66"/>
      <c r="L1027" s="66"/>
      <c r="M1027" s="66"/>
      <c r="N1027" s="66"/>
    </row>
    <row r="1028" spans="1:14" x14ac:dyDescent="0.2">
      <c r="A1028" s="84"/>
      <c r="B1028" s="84"/>
      <c r="C1028" s="60"/>
      <c r="D1028" s="66"/>
      <c r="E1028" s="66"/>
      <c r="F1028" s="66"/>
      <c r="G1028" s="66"/>
      <c r="H1028" s="66"/>
      <c r="I1028" s="66"/>
      <c r="J1028" s="66"/>
      <c r="K1028" s="66"/>
      <c r="L1028" s="66"/>
      <c r="M1028" s="66"/>
      <c r="N1028" s="66"/>
    </row>
    <row r="1029" spans="1:14" x14ac:dyDescent="0.2">
      <c r="A1029" s="84"/>
      <c r="B1029" s="84"/>
      <c r="C1029" s="60"/>
      <c r="D1029" s="66"/>
      <c r="E1029" s="66"/>
      <c r="F1029" s="66"/>
      <c r="G1029" s="66"/>
      <c r="H1029" s="66"/>
      <c r="I1029" s="66"/>
      <c r="J1029" s="66"/>
      <c r="K1029" s="66"/>
      <c r="L1029" s="66"/>
      <c r="M1029" s="66"/>
      <c r="N1029" s="66"/>
    </row>
    <row r="1030" spans="1:14" x14ac:dyDescent="0.2">
      <c r="A1030" s="84"/>
      <c r="B1030" s="84"/>
      <c r="C1030" s="60"/>
      <c r="D1030" s="66"/>
      <c r="E1030" s="66"/>
      <c r="F1030" s="66"/>
      <c r="G1030" s="66"/>
      <c r="H1030" s="66"/>
      <c r="I1030" s="66"/>
      <c r="J1030" s="66"/>
      <c r="K1030" s="66"/>
      <c r="L1030" s="66"/>
      <c r="M1030" s="66"/>
      <c r="N1030" s="66"/>
    </row>
    <row r="1031" spans="1:14" x14ac:dyDescent="0.2">
      <c r="A1031" s="84"/>
      <c r="B1031" s="84"/>
      <c r="C1031" s="60"/>
      <c r="D1031" s="66"/>
      <c r="E1031" s="66"/>
      <c r="F1031" s="66"/>
      <c r="G1031" s="66"/>
      <c r="H1031" s="66"/>
      <c r="I1031" s="66"/>
      <c r="J1031" s="66"/>
      <c r="K1031" s="66"/>
      <c r="L1031" s="66"/>
      <c r="M1031" s="66"/>
      <c r="N1031" s="66"/>
    </row>
    <row r="1032" spans="1:14" x14ac:dyDescent="0.2">
      <c r="A1032" s="84"/>
      <c r="B1032" s="84"/>
      <c r="C1032" s="60"/>
      <c r="D1032" s="66"/>
      <c r="E1032" s="66"/>
      <c r="F1032" s="66"/>
      <c r="G1032" s="66"/>
      <c r="H1032" s="66"/>
      <c r="I1032" s="66"/>
      <c r="J1032" s="66"/>
      <c r="K1032" s="66"/>
      <c r="L1032" s="66"/>
      <c r="M1032" s="66"/>
      <c r="N1032" s="66"/>
    </row>
    <row r="1033" spans="1:14" x14ac:dyDescent="0.2">
      <c r="A1033" s="84"/>
      <c r="B1033" s="84"/>
      <c r="C1033" s="60"/>
      <c r="D1033" s="66"/>
      <c r="E1033" s="66"/>
      <c r="F1033" s="66"/>
      <c r="G1033" s="66"/>
      <c r="H1033" s="66"/>
      <c r="I1033" s="66"/>
      <c r="J1033" s="66"/>
      <c r="K1033" s="66"/>
      <c r="L1033" s="66"/>
      <c r="M1033" s="66"/>
      <c r="N1033" s="66"/>
    </row>
    <row r="1034" spans="1:14" x14ac:dyDescent="0.2">
      <c r="A1034" s="84"/>
      <c r="B1034" s="84"/>
      <c r="C1034" s="60"/>
      <c r="D1034" s="66"/>
      <c r="E1034" s="66"/>
      <c r="F1034" s="66"/>
      <c r="G1034" s="66"/>
      <c r="H1034" s="66"/>
      <c r="I1034" s="66"/>
      <c r="J1034" s="66"/>
      <c r="K1034" s="66"/>
      <c r="L1034" s="66"/>
      <c r="M1034" s="66"/>
      <c r="N1034" s="66"/>
    </row>
    <row r="1035" spans="1:14" x14ac:dyDescent="0.2">
      <c r="A1035" s="84"/>
      <c r="B1035" s="84"/>
      <c r="C1035" s="60"/>
      <c r="D1035" s="66"/>
      <c r="E1035" s="66"/>
      <c r="F1035" s="66"/>
      <c r="G1035" s="66"/>
      <c r="H1035" s="66"/>
      <c r="I1035" s="66"/>
      <c r="J1035" s="66"/>
      <c r="K1035" s="66"/>
      <c r="L1035" s="66"/>
      <c r="M1035" s="66"/>
      <c r="N1035" s="66"/>
    </row>
    <row r="1036" spans="1:14" x14ac:dyDescent="0.2">
      <c r="A1036" s="84"/>
      <c r="B1036" s="84"/>
      <c r="C1036" s="60"/>
      <c r="D1036" s="66"/>
      <c r="E1036" s="66"/>
      <c r="F1036" s="66"/>
      <c r="G1036" s="66"/>
      <c r="H1036" s="66"/>
      <c r="I1036" s="66"/>
      <c r="J1036" s="66"/>
      <c r="K1036" s="66"/>
      <c r="L1036" s="66"/>
      <c r="M1036" s="66"/>
      <c r="N1036" s="66"/>
    </row>
    <row r="1037" spans="1:14" x14ac:dyDescent="0.2">
      <c r="A1037" s="84"/>
      <c r="B1037" s="84"/>
      <c r="C1037" s="60"/>
      <c r="D1037" s="66"/>
      <c r="E1037" s="66"/>
      <c r="F1037" s="66"/>
      <c r="G1037" s="66"/>
      <c r="H1037" s="66"/>
      <c r="I1037" s="66"/>
      <c r="J1037" s="66"/>
      <c r="K1037" s="66"/>
      <c r="L1037" s="66"/>
      <c r="M1037" s="66"/>
      <c r="N1037" s="66"/>
    </row>
    <row r="1038" spans="1:14" x14ac:dyDescent="0.2">
      <c r="A1038" s="84"/>
      <c r="B1038" s="84"/>
      <c r="C1038" s="60"/>
      <c r="D1038" s="66"/>
      <c r="E1038" s="66"/>
      <c r="F1038" s="66"/>
      <c r="G1038" s="66"/>
      <c r="H1038" s="66"/>
      <c r="I1038" s="66"/>
      <c r="J1038" s="66"/>
      <c r="K1038" s="66"/>
      <c r="L1038" s="66"/>
      <c r="M1038" s="66"/>
      <c r="N1038" s="66"/>
    </row>
    <row r="1039" spans="1:14" x14ac:dyDescent="0.2">
      <c r="A1039" s="84"/>
      <c r="B1039" s="84"/>
      <c r="C1039" s="60"/>
      <c r="D1039" s="66"/>
      <c r="E1039" s="66"/>
      <c r="F1039" s="66"/>
      <c r="G1039" s="66"/>
      <c r="H1039" s="66"/>
      <c r="I1039" s="66"/>
      <c r="J1039" s="66"/>
      <c r="K1039" s="66"/>
      <c r="L1039" s="66"/>
      <c r="M1039" s="66"/>
      <c r="N1039" s="66"/>
    </row>
    <row r="1040" spans="1:14" x14ac:dyDescent="0.2">
      <c r="A1040" s="84"/>
      <c r="B1040" s="84"/>
      <c r="C1040" s="60"/>
      <c r="D1040" s="66"/>
      <c r="E1040" s="66"/>
      <c r="F1040" s="66"/>
      <c r="G1040" s="66"/>
      <c r="H1040" s="66"/>
      <c r="I1040" s="66"/>
      <c r="J1040" s="66"/>
      <c r="K1040" s="66"/>
      <c r="L1040" s="66"/>
      <c r="M1040" s="66"/>
      <c r="N1040" s="66"/>
    </row>
    <row r="1041" spans="1:14" x14ac:dyDescent="0.2">
      <c r="A1041" s="84"/>
      <c r="B1041" s="84"/>
      <c r="C1041" s="60"/>
      <c r="D1041" s="66"/>
      <c r="E1041" s="66"/>
      <c r="F1041" s="66"/>
      <c r="G1041" s="66"/>
      <c r="H1041" s="66"/>
      <c r="I1041" s="66"/>
      <c r="J1041" s="66"/>
      <c r="K1041" s="66"/>
      <c r="L1041" s="66"/>
      <c r="M1041" s="66"/>
      <c r="N1041" s="66"/>
    </row>
    <row r="1042" spans="1:14" x14ac:dyDescent="0.2">
      <c r="A1042" s="84"/>
      <c r="B1042" s="84"/>
      <c r="C1042" s="60"/>
      <c r="D1042" s="66"/>
      <c r="E1042" s="66"/>
      <c r="F1042" s="66"/>
      <c r="G1042" s="66"/>
      <c r="H1042" s="66"/>
      <c r="I1042" s="66"/>
      <c r="J1042" s="66"/>
      <c r="K1042" s="66"/>
      <c r="L1042" s="66"/>
      <c r="M1042" s="66"/>
      <c r="N1042" s="66"/>
    </row>
    <row r="1043" spans="1:14" x14ac:dyDescent="0.2">
      <c r="A1043" s="84"/>
      <c r="B1043" s="84"/>
      <c r="C1043" s="60"/>
      <c r="D1043" s="66"/>
      <c r="E1043" s="66"/>
      <c r="F1043" s="66"/>
      <c r="G1043" s="66"/>
      <c r="H1043" s="66"/>
      <c r="I1043" s="66"/>
      <c r="J1043" s="66"/>
      <c r="K1043" s="66"/>
      <c r="L1043" s="66"/>
      <c r="M1043" s="66"/>
      <c r="N1043" s="66"/>
    </row>
    <row r="1044" spans="1:14" x14ac:dyDescent="0.2">
      <c r="A1044" s="84"/>
      <c r="B1044" s="84"/>
      <c r="C1044" s="60"/>
      <c r="D1044" s="66"/>
      <c r="E1044" s="66"/>
      <c r="F1044" s="66"/>
      <c r="G1044" s="66"/>
      <c r="H1044" s="66"/>
      <c r="I1044" s="66"/>
      <c r="J1044" s="66"/>
      <c r="K1044" s="66"/>
      <c r="L1044" s="66"/>
      <c r="M1044" s="66"/>
      <c r="N1044" s="66"/>
    </row>
    <row r="1045" spans="1:14" x14ac:dyDescent="0.2">
      <c r="A1045" s="84"/>
      <c r="B1045" s="84"/>
      <c r="C1045" s="60"/>
      <c r="D1045" s="66"/>
      <c r="E1045" s="66"/>
      <c r="F1045" s="66"/>
      <c r="G1045" s="66"/>
      <c r="H1045" s="66"/>
      <c r="I1045" s="66"/>
      <c r="J1045" s="66"/>
      <c r="K1045" s="66"/>
      <c r="L1045" s="66"/>
      <c r="M1045" s="66"/>
      <c r="N1045" s="66"/>
    </row>
    <row r="1046" spans="1:14" x14ac:dyDescent="0.2">
      <c r="A1046" s="84"/>
      <c r="B1046" s="84"/>
      <c r="C1046" s="60"/>
      <c r="D1046" s="66"/>
      <c r="E1046" s="66"/>
      <c r="F1046" s="66"/>
      <c r="G1046" s="66"/>
      <c r="H1046" s="66"/>
      <c r="I1046" s="66"/>
      <c r="J1046" s="66"/>
      <c r="K1046" s="66"/>
      <c r="L1046" s="66"/>
      <c r="M1046" s="66"/>
      <c r="N1046" s="66"/>
    </row>
    <row r="1047" spans="1:14" x14ac:dyDescent="0.2">
      <c r="A1047" s="84"/>
      <c r="B1047" s="84"/>
      <c r="C1047" s="60"/>
      <c r="D1047" s="66"/>
      <c r="E1047" s="66"/>
      <c r="F1047" s="66"/>
      <c r="G1047" s="66"/>
      <c r="H1047" s="66"/>
      <c r="I1047" s="66"/>
      <c r="J1047" s="66"/>
      <c r="K1047" s="66"/>
      <c r="L1047" s="66"/>
      <c r="M1047" s="66"/>
      <c r="N1047" s="66"/>
    </row>
    <row r="1048" spans="1:14" x14ac:dyDescent="0.2">
      <c r="A1048" s="84"/>
      <c r="B1048" s="84"/>
      <c r="C1048" s="60"/>
      <c r="D1048" s="66"/>
      <c r="E1048" s="66"/>
      <c r="F1048" s="66"/>
      <c r="G1048" s="66"/>
      <c r="H1048" s="66"/>
      <c r="I1048" s="66"/>
      <c r="J1048" s="66"/>
      <c r="K1048" s="66"/>
      <c r="L1048" s="66"/>
      <c r="M1048" s="66"/>
      <c r="N1048" s="66"/>
    </row>
    <row r="1049" spans="1:14" x14ac:dyDescent="0.2">
      <c r="A1049" s="84"/>
      <c r="B1049" s="84"/>
      <c r="C1049" s="60"/>
      <c r="D1049" s="66"/>
      <c r="E1049" s="66"/>
      <c r="F1049" s="66"/>
      <c r="G1049" s="66"/>
      <c r="H1049" s="66"/>
      <c r="I1049" s="66"/>
      <c r="J1049" s="66"/>
      <c r="K1049" s="66"/>
      <c r="L1049" s="66"/>
      <c r="M1049" s="66"/>
      <c r="N1049" s="66"/>
    </row>
    <row r="1050" spans="1:14" x14ac:dyDescent="0.2">
      <c r="A1050" s="84"/>
      <c r="B1050" s="84"/>
      <c r="C1050" s="60"/>
      <c r="D1050" s="66"/>
      <c r="E1050" s="66"/>
      <c r="F1050" s="66"/>
      <c r="G1050" s="66"/>
      <c r="H1050" s="66"/>
      <c r="I1050" s="66"/>
      <c r="J1050" s="66"/>
      <c r="K1050" s="66"/>
      <c r="L1050" s="66"/>
      <c r="M1050" s="66"/>
      <c r="N1050" s="66"/>
    </row>
    <row r="1051" spans="1:14" x14ac:dyDescent="0.2">
      <c r="A1051" s="84"/>
      <c r="B1051" s="84"/>
      <c r="C1051" s="60"/>
      <c r="D1051" s="66"/>
      <c r="E1051" s="66"/>
      <c r="F1051" s="66"/>
      <c r="G1051" s="66"/>
      <c r="H1051" s="66"/>
      <c r="I1051" s="66"/>
      <c r="J1051" s="66"/>
      <c r="K1051" s="66"/>
      <c r="L1051" s="66"/>
      <c r="M1051" s="66"/>
      <c r="N1051" s="66"/>
    </row>
    <row r="1052" spans="1:14" x14ac:dyDescent="0.2">
      <c r="A1052" s="84"/>
      <c r="B1052" s="84"/>
      <c r="C1052" s="60"/>
      <c r="D1052" s="66"/>
      <c r="E1052" s="66"/>
      <c r="F1052" s="66"/>
      <c r="G1052" s="66"/>
      <c r="H1052" s="66"/>
      <c r="I1052" s="66"/>
      <c r="J1052" s="66"/>
      <c r="K1052" s="66"/>
      <c r="L1052" s="66"/>
      <c r="M1052" s="66"/>
      <c r="N1052" s="66"/>
    </row>
    <row r="1053" spans="1:14" x14ac:dyDescent="0.2">
      <c r="A1053" s="84"/>
      <c r="B1053" s="84"/>
      <c r="C1053" s="60"/>
      <c r="D1053" s="66"/>
      <c r="E1053" s="66"/>
      <c r="F1053" s="66"/>
      <c r="G1053" s="66"/>
      <c r="H1053" s="66"/>
      <c r="I1053" s="66"/>
      <c r="J1053" s="66"/>
      <c r="K1053" s="66"/>
      <c r="L1053" s="66"/>
      <c r="M1053" s="66"/>
      <c r="N1053" s="66"/>
    </row>
    <row r="1054" spans="1:14" x14ac:dyDescent="0.2">
      <c r="A1054" s="84"/>
      <c r="B1054" s="84"/>
      <c r="C1054" s="60"/>
      <c r="D1054" s="66"/>
      <c r="E1054" s="66"/>
      <c r="F1054" s="66"/>
      <c r="G1054" s="66"/>
      <c r="H1054" s="66"/>
      <c r="I1054" s="66"/>
      <c r="J1054" s="66"/>
      <c r="K1054" s="66"/>
      <c r="L1054" s="66"/>
      <c r="M1054" s="66"/>
      <c r="N1054" s="66"/>
    </row>
    <row r="1055" spans="1:14" x14ac:dyDescent="0.2">
      <c r="A1055" s="84"/>
      <c r="B1055" s="84"/>
      <c r="C1055" s="60"/>
      <c r="D1055" s="66"/>
      <c r="E1055" s="66"/>
      <c r="F1055" s="66"/>
      <c r="G1055" s="66"/>
      <c r="H1055" s="66"/>
      <c r="I1055" s="66"/>
      <c r="J1055" s="66"/>
      <c r="K1055" s="66"/>
      <c r="L1055" s="66"/>
      <c r="M1055" s="66"/>
      <c r="N1055" s="66"/>
    </row>
    <row r="1056" spans="1:14" x14ac:dyDescent="0.2">
      <c r="A1056" s="84"/>
      <c r="B1056" s="84"/>
      <c r="C1056" s="60"/>
      <c r="D1056" s="66"/>
      <c r="E1056" s="66"/>
      <c r="F1056" s="66"/>
      <c r="G1056" s="66"/>
      <c r="H1056" s="66"/>
      <c r="I1056" s="66"/>
      <c r="J1056" s="66"/>
      <c r="K1056" s="66"/>
      <c r="L1056" s="66"/>
      <c r="M1056" s="66"/>
      <c r="N1056" s="66"/>
    </row>
    <row r="1057" spans="1:14" x14ac:dyDescent="0.2">
      <c r="A1057" s="84"/>
      <c r="B1057" s="84"/>
      <c r="C1057" s="60"/>
      <c r="D1057" s="66"/>
      <c r="E1057" s="66"/>
      <c r="F1057" s="66"/>
      <c r="G1057" s="66"/>
      <c r="H1057" s="66"/>
      <c r="I1057" s="66"/>
      <c r="J1057" s="66"/>
      <c r="K1057" s="66"/>
      <c r="L1057" s="66"/>
      <c r="M1057" s="66"/>
      <c r="N1057" s="66"/>
    </row>
    <row r="1058" spans="1:14" x14ac:dyDescent="0.2">
      <c r="A1058" s="84"/>
      <c r="B1058" s="84"/>
      <c r="C1058" s="60"/>
      <c r="D1058" s="66"/>
      <c r="E1058" s="66"/>
      <c r="F1058" s="66"/>
      <c r="G1058" s="66"/>
      <c r="H1058" s="66"/>
      <c r="I1058" s="66"/>
      <c r="J1058" s="66"/>
      <c r="K1058" s="66"/>
      <c r="L1058" s="66"/>
      <c r="M1058" s="66"/>
      <c r="N1058" s="66"/>
    </row>
    <row r="1059" spans="1:14" x14ac:dyDescent="0.2">
      <c r="A1059" s="84"/>
      <c r="B1059" s="84"/>
      <c r="C1059" s="60"/>
      <c r="D1059" s="66"/>
      <c r="E1059" s="66"/>
      <c r="F1059" s="66"/>
      <c r="G1059" s="66"/>
      <c r="H1059" s="66"/>
      <c r="I1059" s="66"/>
      <c r="J1059" s="66"/>
      <c r="K1059" s="66"/>
      <c r="L1059" s="66"/>
      <c r="M1059" s="66"/>
      <c r="N1059" s="66"/>
    </row>
    <row r="1060" spans="1:14" x14ac:dyDescent="0.2">
      <c r="A1060" s="84"/>
      <c r="B1060" s="84"/>
      <c r="C1060" s="60"/>
      <c r="D1060" s="66"/>
      <c r="E1060" s="66"/>
      <c r="F1060" s="66"/>
      <c r="G1060" s="66"/>
      <c r="H1060" s="66"/>
      <c r="I1060" s="66"/>
      <c r="J1060" s="66"/>
      <c r="K1060" s="66"/>
      <c r="L1060" s="66"/>
      <c r="M1060" s="66"/>
      <c r="N1060" s="66"/>
    </row>
    <row r="1061" spans="1:14" x14ac:dyDescent="0.2">
      <c r="A1061" s="84"/>
      <c r="B1061" s="84"/>
      <c r="C1061" s="60"/>
      <c r="D1061" s="66"/>
      <c r="E1061" s="66"/>
      <c r="F1061" s="66"/>
      <c r="G1061" s="66"/>
      <c r="H1061" s="66"/>
      <c r="I1061" s="66"/>
      <c r="J1061" s="66"/>
      <c r="K1061" s="66"/>
      <c r="L1061" s="66"/>
      <c r="M1061" s="66"/>
      <c r="N1061" s="66"/>
    </row>
    <row r="1062" spans="1:14" x14ac:dyDescent="0.2">
      <c r="A1062" s="84"/>
      <c r="B1062" s="84"/>
      <c r="C1062" s="60"/>
      <c r="D1062" s="66"/>
      <c r="E1062" s="66"/>
      <c r="F1062" s="66"/>
      <c r="G1062" s="66"/>
      <c r="H1062" s="66"/>
      <c r="I1062" s="66"/>
      <c r="J1062" s="66"/>
      <c r="K1062" s="66"/>
      <c r="L1062" s="66"/>
      <c r="M1062" s="66"/>
      <c r="N1062" s="66"/>
    </row>
    <row r="1063" spans="1:14" x14ac:dyDescent="0.2">
      <c r="A1063" s="84"/>
      <c r="B1063" s="84"/>
      <c r="C1063" s="60"/>
      <c r="D1063" s="66"/>
      <c r="E1063" s="66"/>
      <c r="F1063" s="66"/>
      <c r="G1063" s="66"/>
      <c r="H1063" s="66"/>
      <c r="I1063" s="66"/>
      <c r="J1063" s="66"/>
      <c r="K1063" s="66"/>
      <c r="L1063" s="66"/>
      <c r="M1063" s="66"/>
      <c r="N1063" s="66"/>
    </row>
    <row r="1064" spans="1:14" x14ac:dyDescent="0.2">
      <c r="A1064" s="84"/>
      <c r="B1064" s="84"/>
      <c r="C1064" s="60"/>
      <c r="D1064" s="66"/>
      <c r="E1064" s="66"/>
      <c r="F1064" s="66"/>
      <c r="G1064" s="66"/>
      <c r="H1064" s="66"/>
      <c r="I1064" s="66"/>
      <c r="J1064" s="66"/>
      <c r="K1064" s="66"/>
      <c r="L1064" s="66"/>
      <c r="M1064" s="66"/>
      <c r="N1064" s="66"/>
    </row>
    <row r="1065" spans="1:14" x14ac:dyDescent="0.2">
      <c r="A1065" s="84"/>
      <c r="B1065" s="84"/>
      <c r="C1065" s="60"/>
      <c r="D1065" s="66"/>
      <c r="E1065" s="66"/>
      <c r="F1065" s="66"/>
      <c r="G1065" s="66"/>
      <c r="H1065" s="66"/>
      <c r="I1065" s="66"/>
      <c r="J1065" s="66"/>
      <c r="K1065" s="66"/>
      <c r="L1065" s="66"/>
      <c r="M1065" s="66"/>
      <c r="N1065" s="66"/>
    </row>
    <row r="1066" spans="1:14" x14ac:dyDescent="0.2">
      <c r="A1066" s="84"/>
      <c r="B1066" s="84"/>
      <c r="C1066" s="60"/>
      <c r="D1066" s="66"/>
      <c r="E1066" s="66"/>
      <c r="F1066" s="66"/>
      <c r="G1066" s="66"/>
      <c r="H1066" s="66"/>
      <c r="I1066" s="66"/>
      <c r="J1066" s="66"/>
      <c r="K1066" s="66"/>
      <c r="L1066" s="66"/>
      <c r="M1066" s="66"/>
      <c r="N1066" s="66"/>
    </row>
    <row r="1067" spans="1:14" x14ac:dyDescent="0.2">
      <c r="A1067" s="84"/>
      <c r="B1067" s="84"/>
      <c r="C1067" s="60"/>
      <c r="D1067" s="66"/>
      <c r="E1067" s="66"/>
      <c r="F1067" s="66"/>
      <c r="G1067" s="66"/>
      <c r="H1067" s="66"/>
      <c r="I1067" s="66"/>
      <c r="J1067" s="66"/>
      <c r="K1067" s="66"/>
      <c r="L1067" s="66"/>
      <c r="M1067" s="66"/>
      <c r="N1067" s="66"/>
    </row>
    <row r="1068" spans="1:14" x14ac:dyDescent="0.2">
      <c r="A1068" s="84"/>
      <c r="B1068" s="84"/>
      <c r="C1068" s="60"/>
      <c r="D1068" s="66"/>
      <c r="E1068" s="66"/>
      <c r="F1068" s="66"/>
      <c r="G1068" s="66"/>
      <c r="H1068" s="66"/>
      <c r="I1068" s="66"/>
      <c r="J1068" s="66"/>
      <c r="K1068" s="66"/>
      <c r="L1068" s="66"/>
      <c r="M1068" s="66"/>
      <c r="N1068" s="66"/>
    </row>
    <row r="1069" spans="1:14" x14ac:dyDescent="0.2">
      <c r="A1069" s="84"/>
      <c r="B1069" s="84"/>
      <c r="C1069" s="60"/>
      <c r="D1069" s="66"/>
      <c r="E1069" s="66"/>
      <c r="F1069" s="66"/>
      <c r="G1069" s="66"/>
      <c r="H1069" s="66"/>
      <c r="I1069" s="66"/>
      <c r="J1069" s="66"/>
      <c r="K1069" s="66"/>
      <c r="L1069" s="66"/>
      <c r="M1069" s="66"/>
      <c r="N1069" s="66"/>
    </row>
    <row r="1070" spans="1:14" x14ac:dyDescent="0.2">
      <c r="A1070" s="84"/>
      <c r="B1070" s="84"/>
      <c r="C1070" s="60"/>
      <c r="D1070" s="66"/>
      <c r="E1070" s="66"/>
      <c r="F1070" s="66"/>
      <c r="G1070" s="66"/>
      <c r="H1070" s="66"/>
      <c r="I1070" s="66"/>
      <c r="J1070" s="66"/>
      <c r="K1070" s="66"/>
      <c r="L1070" s="66"/>
      <c r="M1070" s="66"/>
      <c r="N1070" s="66"/>
    </row>
    <row r="1071" spans="1:14" x14ac:dyDescent="0.2">
      <c r="A1071" s="84"/>
      <c r="B1071" s="84"/>
      <c r="C1071" s="60"/>
      <c r="D1071" s="66"/>
      <c r="E1071" s="66"/>
      <c r="F1071" s="66"/>
      <c r="G1071" s="66"/>
      <c r="H1071" s="66"/>
      <c r="I1071" s="66"/>
      <c r="J1071" s="66"/>
      <c r="K1071" s="66"/>
      <c r="L1071" s="66"/>
      <c r="M1071" s="66"/>
      <c r="N1071" s="66"/>
    </row>
    <row r="1072" spans="1:14" x14ac:dyDescent="0.2">
      <c r="A1072" s="84"/>
      <c r="B1072" s="84"/>
      <c r="C1072" s="60"/>
      <c r="D1072" s="66"/>
      <c r="E1072" s="66"/>
      <c r="F1072" s="66"/>
      <c r="G1072" s="66"/>
      <c r="H1072" s="66"/>
      <c r="I1072" s="66"/>
      <c r="J1072" s="66"/>
      <c r="K1072" s="66"/>
      <c r="L1072" s="66"/>
      <c r="M1072" s="66"/>
      <c r="N1072" s="66"/>
    </row>
    <row r="1073" spans="1:14" x14ac:dyDescent="0.2">
      <c r="A1073" s="84"/>
      <c r="B1073" s="84"/>
      <c r="C1073" s="60"/>
      <c r="D1073" s="66"/>
      <c r="E1073" s="66"/>
      <c r="F1073" s="66"/>
      <c r="G1073" s="66"/>
      <c r="H1073" s="66"/>
      <c r="I1073" s="66"/>
      <c r="J1073" s="66"/>
      <c r="K1073" s="66"/>
      <c r="L1073" s="66"/>
      <c r="M1073" s="66"/>
      <c r="N1073" s="66"/>
    </row>
    <row r="1074" spans="1:14" x14ac:dyDescent="0.2">
      <c r="A1074" s="84"/>
      <c r="B1074" s="84"/>
      <c r="C1074" s="60"/>
      <c r="D1074" s="66"/>
      <c r="E1074" s="66"/>
      <c r="F1074" s="66"/>
      <c r="G1074" s="66"/>
      <c r="H1074" s="66"/>
      <c r="I1074" s="66"/>
      <c r="J1074" s="66"/>
      <c r="K1074" s="66"/>
      <c r="L1074" s="66"/>
      <c r="M1074" s="66"/>
      <c r="N1074" s="66"/>
    </row>
    <row r="1075" spans="1:14" x14ac:dyDescent="0.2">
      <c r="A1075" s="84"/>
      <c r="B1075" s="84"/>
      <c r="C1075" s="60"/>
      <c r="D1075" s="66"/>
      <c r="E1075" s="66"/>
      <c r="F1075" s="66"/>
      <c r="G1075" s="66"/>
      <c r="H1075" s="66"/>
      <c r="I1075" s="66"/>
      <c r="J1075" s="66"/>
      <c r="K1075" s="66"/>
      <c r="L1075" s="66"/>
      <c r="M1075" s="66"/>
      <c r="N1075" s="66"/>
    </row>
    <row r="1076" spans="1:14" x14ac:dyDescent="0.2">
      <c r="A1076" s="84"/>
      <c r="B1076" s="84"/>
      <c r="C1076" s="60"/>
      <c r="D1076" s="66"/>
      <c r="E1076" s="66"/>
      <c r="F1076" s="66"/>
      <c r="G1076" s="66"/>
      <c r="H1076" s="66"/>
      <c r="I1076" s="66"/>
      <c r="J1076" s="66"/>
      <c r="K1076" s="66"/>
      <c r="L1076" s="66"/>
      <c r="M1076" s="66"/>
      <c r="N1076" s="66"/>
    </row>
    <row r="1077" spans="1:14" x14ac:dyDescent="0.2">
      <c r="A1077" s="84"/>
      <c r="B1077" s="84"/>
      <c r="C1077" s="60"/>
      <c r="D1077" s="66"/>
      <c r="E1077" s="66"/>
      <c r="F1077" s="66"/>
      <c r="G1077" s="66"/>
      <c r="H1077" s="66"/>
      <c r="I1077" s="66"/>
      <c r="J1077" s="66"/>
      <c r="K1077" s="66"/>
      <c r="L1077" s="66"/>
      <c r="M1077" s="66"/>
      <c r="N1077" s="66"/>
    </row>
    <row r="1078" spans="1:14" x14ac:dyDescent="0.2">
      <c r="A1078" s="84"/>
      <c r="B1078" s="84"/>
      <c r="C1078" s="60"/>
      <c r="D1078" s="66"/>
      <c r="E1078" s="66"/>
      <c r="F1078" s="66"/>
      <c r="G1078" s="66"/>
      <c r="H1078" s="66"/>
      <c r="I1078" s="66"/>
      <c r="J1078" s="66"/>
      <c r="K1078" s="66"/>
      <c r="L1078" s="66"/>
      <c r="M1078" s="66"/>
      <c r="N1078" s="66"/>
    </row>
    <row r="1079" spans="1:14" x14ac:dyDescent="0.2">
      <c r="A1079" s="84"/>
      <c r="B1079" s="84"/>
      <c r="C1079" s="60"/>
      <c r="D1079" s="66"/>
      <c r="E1079" s="66"/>
      <c r="F1079" s="66"/>
      <c r="G1079" s="66"/>
      <c r="H1079" s="66"/>
      <c r="I1079" s="66"/>
      <c r="J1079" s="66"/>
      <c r="K1079" s="66"/>
      <c r="L1079" s="66"/>
      <c r="M1079" s="66"/>
      <c r="N1079" s="66"/>
    </row>
    <row r="1080" spans="1:14" x14ac:dyDescent="0.2">
      <c r="A1080" s="84"/>
      <c r="B1080" s="84"/>
      <c r="C1080" s="60"/>
      <c r="D1080" s="66"/>
      <c r="E1080" s="66"/>
      <c r="F1080" s="66"/>
      <c r="G1080" s="66"/>
      <c r="H1080" s="66"/>
      <c r="I1080" s="66"/>
      <c r="J1080" s="66"/>
      <c r="K1080" s="66"/>
      <c r="L1080" s="66"/>
      <c r="M1080" s="66"/>
      <c r="N1080" s="66"/>
    </row>
    <row r="1081" spans="1:14" x14ac:dyDescent="0.2">
      <c r="A1081" s="84"/>
      <c r="B1081" s="84"/>
      <c r="C1081" s="60"/>
      <c r="D1081" s="66"/>
      <c r="E1081" s="66"/>
      <c r="F1081" s="66"/>
      <c r="G1081" s="66"/>
      <c r="H1081" s="66"/>
      <c r="I1081" s="66"/>
      <c r="J1081" s="66"/>
      <c r="K1081" s="66"/>
      <c r="L1081" s="66"/>
      <c r="M1081" s="66"/>
      <c r="N1081" s="66"/>
    </row>
    <row r="1082" spans="1:14" x14ac:dyDescent="0.2">
      <c r="A1082" s="84"/>
      <c r="B1082" s="84"/>
      <c r="C1082" s="60"/>
      <c r="D1082" s="66"/>
      <c r="E1082" s="66"/>
      <c r="F1082" s="66"/>
      <c r="G1082" s="66"/>
      <c r="H1082" s="66"/>
      <c r="I1082" s="66"/>
      <c r="J1082" s="66"/>
      <c r="K1082" s="66"/>
      <c r="L1082" s="66"/>
      <c r="M1082" s="66"/>
      <c r="N1082" s="66"/>
    </row>
    <row r="1083" spans="1:14" x14ac:dyDescent="0.2">
      <c r="A1083" s="84"/>
      <c r="B1083" s="84"/>
      <c r="C1083" s="60"/>
      <c r="D1083" s="66"/>
      <c r="E1083" s="66"/>
      <c r="F1083" s="66"/>
      <c r="G1083" s="66"/>
      <c r="H1083" s="66"/>
      <c r="I1083" s="66"/>
      <c r="J1083" s="66"/>
      <c r="K1083" s="66"/>
      <c r="L1083" s="66"/>
      <c r="M1083" s="66"/>
      <c r="N1083" s="66"/>
    </row>
    <row r="1084" spans="1:14" x14ac:dyDescent="0.2">
      <c r="A1084" s="84"/>
      <c r="B1084" s="84"/>
      <c r="C1084" s="60"/>
      <c r="D1084" s="66"/>
      <c r="E1084" s="66"/>
      <c r="F1084" s="66"/>
      <c r="G1084" s="66"/>
      <c r="H1084" s="66"/>
      <c r="I1084" s="66"/>
      <c r="J1084" s="66"/>
      <c r="K1084" s="66"/>
      <c r="L1084" s="66"/>
      <c r="M1084" s="66"/>
      <c r="N1084" s="66"/>
    </row>
    <row r="1085" spans="1:14" x14ac:dyDescent="0.2">
      <c r="A1085" s="84"/>
      <c r="B1085" s="84"/>
      <c r="C1085" s="60"/>
      <c r="D1085" s="66"/>
      <c r="E1085" s="66"/>
      <c r="F1085" s="66"/>
      <c r="G1085" s="66"/>
      <c r="H1085" s="66"/>
      <c r="I1085" s="66"/>
      <c r="J1085" s="66"/>
      <c r="K1085" s="66"/>
      <c r="L1085" s="66"/>
      <c r="M1085" s="66"/>
      <c r="N1085" s="66"/>
    </row>
    <row r="1086" spans="1:14" x14ac:dyDescent="0.2">
      <c r="A1086" s="84"/>
      <c r="B1086" s="84"/>
      <c r="C1086" s="60"/>
      <c r="D1086" s="66"/>
      <c r="E1086" s="66"/>
      <c r="F1086" s="66"/>
      <c r="G1086" s="66"/>
      <c r="H1086" s="66"/>
      <c r="I1086" s="66"/>
      <c r="J1086" s="66"/>
      <c r="K1086" s="66"/>
      <c r="L1086" s="66"/>
      <c r="M1086" s="66"/>
      <c r="N1086" s="66"/>
    </row>
    <row r="1087" spans="1:14" x14ac:dyDescent="0.2">
      <c r="A1087" s="84"/>
      <c r="B1087" s="84"/>
      <c r="C1087" s="60"/>
      <c r="D1087" s="66"/>
      <c r="E1087" s="66"/>
      <c r="F1087" s="66"/>
      <c r="G1087" s="66"/>
      <c r="H1087" s="66"/>
      <c r="I1087" s="66"/>
      <c r="J1087" s="66"/>
      <c r="K1087" s="66"/>
      <c r="L1087" s="66"/>
      <c r="M1087" s="66"/>
      <c r="N1087" s="66"/>
    </row>
    <row r="1088" spans="1:14" x14ac:dyDescent="0.2">
      <c r="A1088" s="84"/>
      <c r="B1088" s="84"/>
      <c r="C1088" s="60"/>
      <c r="D1088" s="66"/>
      <c r="E1088" s="66"/>
      <c r="F1088" s="66"/>
      <c r="G1088" s="66"/>
      <c r="H1088" s="66"/>
      <c r="I1088" s="66"/>
      <c r="J1088" s="66"/>
      <c r="K1088" s="66"/>
      <c r="L1088" s="66"/>
      <c r="M1088" s="66"/>
      <c r="N1088" s="66"/>
    </row>
    <row r="1089" spans="1:14" x14ac:dyDescent="0.2">
      <c r="A1089" s="84"/>
      <c r="B1089" s="84"/>
      <c r="C1089" s="60"/>
      <c r="D1089" s="66"/>
      <c r="E1089" s="66"/>
      <c r="F1089" s="66"/>
      <c r="G1089" s="66"/>
      <c r="H1089" s="66"/>
      <c r="I1089" s="66"/>
      <c r="J1089" s="66"/>
      <c r="K1089" s="66"/>
      <c r="L1089" s="66"/>
      <c r="M1089" s="66"/>
      <c r="N1089" s="66"/>
    </row>
    <row r="1090" spans="1:14" x14ac:dyDescent="0.2">
      <c r="A1090" s="84"/>
      <c r="B1090" s="84"/>
      <c r="C1090" s="60"/>
      <c r="D1090" s="66"/>
      <c r="E1090" s="66"/>
      <c r="F1090" s="66"/>
      <c r="G1090" s="66"/>
      <c r="H1090" s="66"/>
      <c r="I1090" s="66"/>
      <c r="J1090" s="66"/>
      <c r="K1090" s="66"/>
      <c r="L1090" s="66"/>
      <c r="M1090" s="66"/>
      <c r="N1090" s="66"/>
    </row>
    <row r="1091" spans="1:14" x14ac:dyDescent="0.2">
      <c r="A1091" s="84"/>
      <c r="B1091" s="84"/>
      <c r="C1091" s="60"/>
      <c r="D1091" s="66"/>
      <c r="E1091" s="66"/>
      <c r="F1091" s="66"/>
      <c r="G1091" s="66"/>
      <c r="H1091" s="66"/>
      <c r="I1091" s="66"/>
      <c r="J1091" s="66"/>
      <c r="K1091" s="66"/>
      <c r="L1091" s="66"/>
      <c r="M1091" s="66"/>
      <c r="N1091" s="66"/>
    </row>
    <row r="1092" spans="1:14" x14ac:dyDescent="0.2">
      <c r="A1092" s="84"/>
      <c r="B1092" s="84"/>
      <c r="C1092" s="60"/>
      <c r="D1092" s="66"/>
      <c r="E1092" s="66"/>
      <c r="F1092" s="66"/>
      <c r="G1092" s="66"/>
      <c r="H1092" s="66"/>
      <c r="I1092" s="66"/>
      <c r="J1092" s="66"/>
      <c r="K1092" s="66"/>
      <c r="L1092" s="66"/>
      <c r="M1092" s="66"/>
      <c r="N1092" s="66"/>
    </row>
    <row r="1093" spans="1:14" x14ac:dyDescent="0.2">
      <c r="A1093" s="84"/>
      <c r="B1093" s="84"/>
      <c r="C1093" s="60"/>
      <c r="D1093" s="66"/>
      <c r="E1093" s="66"/>
      <c r="F1093" s="66"/>
      <c r="G1093" s="66"/>
      <c r="H1093" s="66"/>
      <c r="I1093" s="66"/>
      <c r="J1093" s="66"/>
      <c r="K1093" s="66"/>
      <c r="L1093" s="66"/>
      <c r="M1093" s="66"/>
      <c r="N1093" s="66"/>
    </row>
    <row r="1094" spans="1:14" x14ac:dyDescent="0.2">
      <c r="A1094" s="84"/>
      <c r="B1094" s="84"/>
      <c r="C1094" s="60"/>
      <c r="D1094" s="66"/>
      <c r="E1094" s="66"/>
      <c r="F1094" s="66"/>
      <c r="G1094" s="66"/>
      <c r="H1094" s="66"/>
      <c r="I1094" s="66"/>
      <c r="J1094" s="66"/>
      <c r="K1094" s="66"/>
      <c r="L1094" s="66"/>
      <c r="M1094" s="66"/>
      <c r="N1094" s="66"/>
    </row>
    <row r="1095" spans="1:14" x14ac:dyDescent="0.2">
      <c r="A1095" s="84"/>
      <c r="B1095" s="84"/>
      <c r="C1095" s="60"/>
      <c r="D1095" s="66"/>
      <c r="E1095" s="66"/>
      <c r="F1095" s="66"/>
      <c r="G1095" s="66"/>
      <c r="H1095" s="66"/>
      <c r="I1095" s="66"/>
      <c r="J1095" s="66"/>
      <c r="K1095" s="66"/>
      <c r="L1095" s="66"/>
      <c r="M1095" s="66"/>
      <c r="N1095" s="66"/>
    </row>
    <row r="1096" spans="1:14" x14ac:dyDescent="0.2">
      <c r="A1096" s="84"/>
      <c r="B1096" s="84"/>
      <c r="C1096" s="60"/>
      <c r="D1096" s="66"/>
      <c r="E1096" s="66"/>
      <c r="F1096" s="66"/>
      <c r="G1096" s="66"/>
      <c r="H1096" s="66"/>
      <c r="I1096" s="66"/>
      <c r="J1096" s="66"/>
      <c r="K1096" s="66"/>
      <c r="L1096" s="66"/>
      <c r="M1096" s="66"/>
      <c r="N1096" s="66"/>
    </row>
    <row r="1097" spans="1:14" x14ac:dyDescent="0.2">
      <c r="A1097" s="84"/>
      <c r="B1097" s="84"/>
      <c r="C1097" s="60"/>
      <c r="D1097" s="66"/>
      <c r="E1097" s="66"/>
      <c r="F1097" s="66"/>
      <c r="G1097" s="66"/>
      <c r="H1097" s="66"/>
      <c r="I1097" s="66"/>
      <c r="J1097" s="66"/>
      <c r="K1097" s="66"/>
      <c r="L1097" s="66"/>
      <c r="M1097" s="66"/>
      <c r="N1097" s="66"/>
    </row>
    <row r="1098" spans="1:14" x14ac:dyDescent="0.2">
      <c r="A1098" s="84"/>
      <c r="B1098" s="84"/>
      <c r="C1098" s="60"/>
      <c r="D1098" s="66"/>
      <c r="E1098" s="66"/>
      <c r="F1098" s="66"/>
      <c r="G1098" s="66"/>
      <c r="H1098" s="66"/>
      <c r="I1098" s="66"/>
      <c r="J1098" s="66"/>
      <c r="K1098" s="66"/>
      <c r="L1098" s="66"/>
      <c r="M1098" s="66"/>
      <c r="N1098" s="66"/>
    </row>
    <row r="1099" spans="1:14" x14ac:dyDescent="0.2">
      <c r="A1099" s="84"/>
      <c r="B1099" s="84"/>
      <c r="C1099" s="60"/>
      <c r="D1099" s="66"/>
      <c r="E1099" s="66"/>
      <c r="F1099" s="66"/>
      <c r="G1099" s="66"/>
      <c r="H1099" s="66"/>
      <c r="I1099" s="66"/>
      <c r="J1099" s="66"/>
      <c r="K1099" s="66"/>
      <c r="L1099" s="66"/>
      <c r="M1099" s="66"/>
      <c r="N1099" s="66"/>
    </row>
    <row r="1100" spans="1:14" x14ac:dyDescent="0.2">
      <c r="A1100" s="84"/>
      <c r="B1100" s="84"/>
      <c r="C1100" s="60"/>
      <c r="D1100" s="66"/>
      <c r="E1100" s="66"/>
      <c r="F1100" s="66"/>
      <c r="G1100" s="66"/>
      <c r="H1100" s="66"/>
      <c r="I1100" s="66"/>
      <c r="J1100" s="66"/>
      <c r="K1100" s="66"/>
      <c r="L1100" s="66"/>
      <c r="M1100" s="66"/>
      <c r="N1100" s="66"/>
    </row>
    <row r="1101" spans="1:14" x14ac:dyDescent="0.2">
      <c r="A1101" s="84"/>
      <c r="B1101" s="84"/>
      <c r="C1101" s="60"/>
      <c r="D1101" s="66"/>
      <c r="E1101" s="66"/>
      <c r="F1101" s="66"/>
      <c r="G1101" s="66"/>
      <c r="H1101" s="66"/>
      <c r="I1101" s="66"/>
      <c r="J1101" s="66"/>
      <c r="K1101" s="66"/>
      <c r="L1101" s="66"/>
      <c r="M1101" s="66"/>
      <c r="N1101" s="66"/>
    </row>
    <row r="1102" spans="1:14" x14ac:dyDescent="0.2">
      <c r="A1102" s="84"/>
      <c r="B1102" s="84"/>
      <c r="C1102" s="60"/>
      <c r="D1102" s="66"/>
      <c r="E1102" s="66"/>
      <c r="F1102" s="66"/>
      <c r="G1102" s="66"/>
      <c r="H1102" s="66"/>
      <c r="I1102" s="66"/>
      <c r="J1102" s="66"/>
      <c r="K1102" s="66"/>
      <c r="L1102" s="66"/>
      <c r="M1102" s="66"/>
      <c r="N1102" s="66"/>
    </row>
    <row r="1103" spans="1:14" x14ac:dyDescent="0.2">
      <c r="A1103" s="84"/>
      <c r="B1103" s="84"/>
      <c r="C1103" s="60"/>
      <c r="D1103" s="66"/>
      <c r="E1103" s="66"/>
      <c r="F1103" s="66"/>
      <c r="G1103" s="66"/>
      <c r="H1103" s="66"/>
      <c r="I1103" s="66"/>
      <c r="J1103" s="66"/>
      <c r="K1103" s="66"/>
      <c r="L1103" s="66"/>
      <c r="M1103" s="66"/>
      <c r="N1103" s="66"/>
    </row>
    <row r="1104" spans="1:14" x14ac:dyDescent="0.2">
      <c r="A1104" s="84"/>
      <c r="B1104" s="84"/>
      <c r="C1104" s="60"/>
      <c r="D1104" s="66"/>
      <c r="E1104" s="66"/>
      <c r="F1104" s="66"/>
      <c r="G1104" s="66"/>
      <c r="H1104" s="66"/>
      <c r="I1104" s="66"/>
      <c r="J1104" s="66"/>
      <c r="K1104" s="66"/>
      <c r="L1104" s="66"/>
      <c r="M1104" s="66"/>
      <c r="N1104" s="66"/>
    </row>
    <row r="1105" spans="1:14" x14ac:dyDescent="0.2">
      <c r="A1105" s="84"/>
      <c r="B1105" s="84"/>
      <c r="C1105" s="60"/>
      <c r="D1105" s="66"/>
      <c r="E1105" s="66"/>
      <c r="F1105" s="66"/>
      <c r="G1105" s="66"/>
      <c r="H1105" s="66"/>
      <c r="I1105" s="66"/>
      <c r="J1105" s="66"/>
      <c r="K1105" s="66"/>
      <c r="L1105" s="66"/>
      <c r="M1105" s="66"/>
      <c r="N1105" s="66"/>
    </row>
    <row r="1106" spans="1:14" x14ac:dyDescent="0.2">
      <c r="A1106" s="84"/>
      <c r="B1106" s="84"/>
      <c r="C1106" s="60"/>
      <c r="D1106" s="66"/>
      <c r="E1106" s="66"/>
      <c r="F1106" s="66"/>
      <c r="G1106" s="66"/>
      <c r="H1106" s="66"/>
      <c r="I1106" s="66"/>
      <c r="J1106" s="66"/>
      <c r="K1106" s="66"/>
      <c r="L1106" s="66"/>
      <c r="M1106" s="66"/>
      <c r="N1106" s="66"/>
    </row>
    <row r="1107" spans="1:14" x14ac:dyDescent="0.2">
      <c r="A1107" s="84"/>
      <c r="B1107" s="84"/>
      <c r="C1107" s="60"/>
      <c r="D1107" s="66"/>
      <c r="E1107" s="66"/>
      <c r="F1107" s="66"/>
      <c r="G1107" s="66"/>
      <c r="H1107" s="66"/>
      <c r="I1107" s="66"/>
      <c r="J1107" s="66"/>
      <c r="K1107" s="66"/>
      <c r="L1107" s="66"/>
      <c r="M1107" s="66"/>
      <c r="N1107" s="66"/>
    </row>
    <row r="1108" spans="1:14" x14ac:dyDescent="0.2">
      <c r="A1108" s="84"/>
      <c r="B1108" s="84"/>
      <c r="C1108" s="60"/>
      <c r="D1108" s="66"/>
      <c r="E1108" s="66"/>
      <c r="F1108" s="66"/>
      <c r="G1108" s="66"/>
      <c r="H1108" s="66"/>
      <c r="I1108" s="66"/>
      <c r="J1108" s="66"/>
      <c r="K1108" s="66"/>
      <c r="L1108" s="66"/>
      <c r="M1108" s="66"/>
      <c r="N1108" s="66"/>
    </row>
    <row r="1109" spans="1:14" x14ac:dyDescent="0.2">
      <c r="A1109" s="84"/>
      <c r="B1109" s="84"/>
      <c r="C1109" s="60"/>
      <c r="D1109" s="66"/>
      <c r="E1109" s="66"/>
      <c r="F1109" s="66"/>
      <c r="G1109" s="66"/>
      <c r="H1109" s="66"/>
      <c r="I1109" s="66"/>
      <c r="J1109" s="66"/>
      <c r="K1109" s="66"/>
      <c r="L1109" s="66"/>
      <c r="M1109" s="66"/>
      <c r="N1109" s="66"/>
    </row>
    <row r="1110" spans="1:14" x14ac:dyDescent="0.2">
      <c r="A1110" s="84"/>
      <c r="B1110" s="84"/>
      <c r="C1110" s="60"/>
      <c r="D1110" s="66"/>
      <c r="E1110" s="66"/>
      <c r="F1110" s="66"/>
      <c r="G1110" s="66"/>
      <c r="H1110" s="66"/>
      <c r="I1110" s="66"/>
      <c r="J1110" s="66"/>
      <c r="K1110" s="66"/>
      <c r="L1110" s="66"/>
      <c r="M1110" s="66"/>
      <c r="N1110" s="66"/>
    </row>
    <row r="1111" spans="1:14" x14ac:dyDescent="0.2">
      <c r="A1111" s="84"/>
      <c r="B1111" s="84"/>
      <c r="C1111" s="60"/>
      <c r="D1111" s="66"/>
      <c r="E1111" s="66"/>
      <c r="F1111" s="66"/>
      <c r="G1111" s="66"/>
      <c r="H1111" s="66"/>
      <c r="I1111" s="66"/>
      <c r="J1111" s="66"/>
      <c r="K1111" s="66"/>
      <c r="L1111" s="66"/>
      <c r="M1111" s="66"/>
      <c r="N1111" s="66"/>
    </row>
    <row r="1112" spans="1:14" x14ac:dyDescent="0.2">
      <c r="A1112" s="84"/>
      <c r="B1112" s="84"/>
      <c r="C1112" s="60"/>
      <c r="D1112" s="66"/>
      <c r="E1112" s="66"/>
      <c r="F1112" s="66"/>
      <c r="G1112" s="66"/>
      <c r="H1112" s="66"/>
      <c r="I1112" s="66"/>
      <c r="J1112" s="66"/>
      <c r="K1112" s="66"/>
      <c r="L1112" s="66"/>
      <c r="M1112" s="66"/>
      <c r="N1112" s="66"/>
    </row>
    <row r="1113" spans="1:14" x14ac:dyDescent="0.2">
      <c r="A1113" s="84"/>
      <c r="B1113" s="84"/>
      <c r="C1113" s="60"/>
      <c r="D1113" s="66"/>
      <c r="E1113" s="66"/>
      <c r="F1113" s="66"/>
      <c r="G1113" s="66"/>
      <c r="H1113" s="66"/>
      <c r="I1113" s="66"/>
      <c r="J1113" s="66"/>
      <c r="K1113" s="66"/>
      <c r="L1113" s="66"/>
      <c r="M1113" s="66"/>
      <c r="N1113" s="66"/>
    </row>
    <row r="1114" spans="1:14" x14ac:dyDescent="0.2">
      <c r="A1114" s="84"/>
      <c r="B1114" s="84"/>
      <c r="C1114" s="60"/>
      <c r="D1114" s="66"/>
      <c r="E1114" s="66"/>
      <c r="F1114" s="66"/>
      <c r="G1114" s="66"/>
      <c r="H1114" s="66"/>
      <c r="I1114" s="66"/>
      <c r="J1114" s="66"/>
      <c r="K1114" s="66"/>
      <c r="L1114" s="66"/>
      <c r="M1114" s="66"/>
      <c r="N1114" s="66"/>
    </row>
    <row r="1115" spans="1:14" x14ac:dyDescent="0.2">
      <c r="A1115" s="84"/>
      <c r="B1115" s="84"/>
      <c r="C1115" s="60"/>
      <c r="D1115" s="66"/>
      <c r="E1115" s="66"/>
      <c r="F1115" s="66"/>
      <c r="G1115" s="66"/>
      <c r="H1115" s="66"/>
      <c r="I1115" s="66"/>
      <c r="J1115" s="66"/>
      <c r="K1115" s="66"/>
      <c r="L1115" s="66"/>
      <c r="M1115" s="66"/>
      <c r="N1115" s="66"/>
    </row>
    <row r="1116" spans="1:14" x14ac:dyDescent="0.2">
      <c r="A1116" s="84"/>
      <c r="B1116" s="84"/>
      <c r="C1116" s="60"/>
      <c r="D1116" s="66"/>
      <c r="E1116" s="66"/>
      <c r="F1116" s="66"/>
      <c r="G1116" s="66"/>
      <c r="H1116" s="66"/>
      <c r="I1116" s="66"/>
      <c r="J1116" s="66"/>
      <c r="K1116" s="66"/>
      <c r="L1116" s="66"/>
      <c r="M1116" s="66"/>
      <c r="N1116" s="66"/>
    </row>
    <row r="1117" spans="1:14" x14ac:dyDescent="0.2">
      <c r="A1117" s="84"/>
      <c r="B1117" s="84"/>
      <c r="C1117" s="60"/>
      <c r="D1117" s="66"/>
      <c r="E1117" s="66"/>
      <c r="F1117" s="66"/>
      <c r="G1117" s="66"/>
      <c r="H1117" s="66"/>
      <c r="I1117" s="66"/>
      <c r="J1117" s="66"/>
      <c r="K1117" s="66"/>
      <c r="L1117" s="66"/>
      <c r="M1117" s="66"/>
      <c r="N1117" s="66"/>
    </row>
    <row r="1118" spans="1:14" x14ac:dyDescent="0.2">
      <c r="A1118" s="84"/>
      <c r="B1118" s="84"/>
      <c r="C1118" s="60"/>
      <c r="D1118" s="66"/>
      <c r="E1118" s="66"/>
      <c r="F1118" s="66"/>
      <c r="G1118" s="66"/>
      <c r="H1118" s="66"/>
      <c r="I1118" s="66"/>
      <c r="J1118" s="66"/>
      <c r="K1118" s="66"/>
      <c r="L1118" s="66"/>
      <c r="M1118" s="66"/>
      <c r="N1118" s="66"/>
    </row>
    <row r="1119" spans="1:14" x14ac:dyDescent="0.2">
      <c r="A1119" s="84"/>
      <c r="B1119" s="84"/>
      <c r="C1119" s="60"/>
      <c r="D1119" s="66"/>
      <c r="E1119" s="66"/>
      <c r="F1119" s="66"/>
      <c r="G1119" s="66"/>
      <c r="H1119" s="66"/>
      <c r="I1119" s="66"/>
      <c r="J1119" s="66"/>
      <c r="K1119" s="66"/>
      <c r="L1119" s="66"/>
      <c r="M1119" s="66"/>
      <c r="N1119" s="66"/>
    </row>
    <row r="1120" spans="1:14" x14ac:dyDescent="0.2">
      <c r="A1120" s="84"/>
      <c r="B1120" s="84"/>
      <c r="C1120" s="60"/>
      <c r="D1120" s="66"/>
      <c r="E1120" s="66"/>
      <c r="F1120" s="66"/>
      <c r="G1120" s="66"/>
      <c r="H1120" s="66"/>
      <c r="I1120" s="66"/>
      <c r="J1120" s="66"/>
      <c r="K1120" s="66"/>
      <c r="L1120" s="66"/>
      <c r="M1120" s="66"/>
      <c r="N1120" s="66"/>
    </row>
    <row r="1121" spans="1:14" x14ac:dyDescent="0.2">
      <c r="A1121" s="84"/>
      <c r="B1121" s="84"/>
      <c r="C1121" s="60"/>
      <c r="D1121" s="66"/>
      <c r="E1121" s="66"/>
      <c r="F1121" s="66"/>
      <c r="G1121" s="66"/>
      <c r="H1121" s="66"/>
      <c r="I1121" s="66"/>
      <c r="J1121" s="66"/>
      <c r="K1121" s="66"/>
      <c r="L1121" s="66"/>
      <c r="M1121" s="66"/>
      <c r="N1121" s="66"/>
    </row>
    <row r="1122" spans="1:14" x14ac:dyDescent="0.2">
      <c r="A1122" s="84"/>
      <c r="B1122" s="84"/>
      <c r="C1122" s="60"/>
      <c r="D1122" s="66"/>
      <c r="E1122" s="66"/>
      <c r="F1122" s="66"/>
      <c r="G1122" s="66"/>
      <c r="H1122" s="66"/>
      <c r="I1122" s="66"/>
      <c r="J1122" s="66"/>
      <c r="K1122" s="66"/>
      <c r="L1122" s="66"/>
      <c r="M1122" s="66"/>
      <c r="N1122" s="66"/>
    </row>
    <row r="1123" spans="1:14" x14ac:dyDescent="0.2">
      <c r="A1123" s="84"/>
      <c r="B1123" s="84"/>
      <c r="C1123" s="60"/>
      <c r="D1123" s="66"/>
      <c r="E1123" s="66"/>
      <c r="F1123" s="66"/>
      <c r="G1123" s="66"/>
      <c r="H1123" s="66"/>
      <c r="I1123" s="66"/>
      <c r="J1123" s="66"/>
      <c r="K1123" s="66"/>
      <c r="L1123" s="66"/>
      <c r="M1123" s="66"/>
      <c r="N1123" s="66"/>
    </row>
    <row r="1124" spans="1:14" x14ac:dyDescent="0.2">
      <c r="A1124" s="84"/>
      <c r="B1124" s="84"/>
      <c r="C1124" s="60"/>
      <c r="D1124" s="66"/>
      <c r="E1124" s="66"/>
      <c r="F1124" s="66"/>
      <c r="G1124" s="66"/>
      <c r="H1124" s="66"/>
      <c r="I1124" s="66"/>
      <c r="J1124" s="66"/>
      <c r="K1124" s="66"/>
      <c r="L1124" s="66"/>
      <c r="M1124" s="66"/>
      <c r="N1124" s="66"/>
    </row>
    <row r="1125" spans="1:14" x14ac:dyDescent="0.2">
      <c r="A1125" s="84"/>
      <c r="B1125" s="84"/>
      <c r="C1125" s="60"/>
      <c r="D1125" s="66"/>
      <c r="E1125" s="66"/>
      <c r="F1125" s="66"/>
      <c r="G1125" s="66"/>
      <c r="H1125" s="66"/>
      <c r="I1125" s="66"/>
      <c r="J1125" s="66"/>
      <c r="K1125" s="66"/>
      <c r="L1125" s="66"/>
      <c r="M1125" s="66"/>
      <c r="N1125" s="66"/>
    </row>
    <row r="1126" spans="1:14" x14ac:dyDescent="0.2">
      <c r="A1126" s="84"/>
      <c r="B1126" s="84"/>
      <c r="C1126" s="60"/>
      <c r="D1126" s="66"/>
      <c r="E1126" s="66"/>
      <c r="F1126" s="66"/>
      <c r="G1126" s="66"/>
      <c r="H1126" s="66"/>
      <c r="I1126" s="66"/>
      <c r="J1126" s="66"/>
      <c r="K1126" s="66"/>
      <c r="L1126" s="66"/>
      <c r="M1126" s="66"/>
      <c r="N1126" s="66"/>
    </row>
    <row r="1127" spans="1:14" x14ac:dyDescent="0.2">
      <c r="A1127" s="84"/>
      <c r="B1127" s="84"/>
      <c r="C1127" s="60"/>
      <c r="D1127" s="66"/>
      <c r="E1127" s="66"/>
      <c r="F1127" s="66"/>
      <c r="G1127" s="66"/>
      <c r="H1127" s="66"/>
      <c r="I1127" s="66"/>
      <c r="J1127" s="66"/>
      <c r="K1127" s="66"/>
      <c r="L1127" s="66"/>
      <c r="M1127" s="66"/>
      <c r="N1127" s="66"/>
    </row>
    <row r="1128" spans="1:14" x14ac:dyDescent="0.2">
      <c r="A1128" s="84"/>
      <c r="B1128" s="84"/>
      <c r="C1128" s="60"/>
      <c r="D1128" s="66"/>
      <c r="E1128" s="66"/>
      <c r="F1128" s="66"/>
      <c r="G1128" s="66"/>
      <c r="H1128" s="66"/>
      <c r="I1128" s="66"/>
      <c r="J1128" s="66"/>
      <c r="K1128" s="66"/>
      <c r="L1128" s="66"/>
      <c r="M1128" s="66"/>
      <c r="N1128" s="66"/>
    </row>
    <row r="1129" spans="1:14" x14ac:dyDescent="0.2">
      <c r="A1129" s="84"/>
      <c r="B1129" s="84"/>
      <c r="C1129" s="60"/>
      <c r="D1129" s="66"/>
      <c r="E1129" s="66"/>
      <c r="F1129" s="66"/>
      <c r="G1129" s="66"/>
      <c r="H1129" s="66"/>
      <c r="I1129" s="66"/>
      <c r="J1129" s="66"/>
      <c r="K1129" s="66"/>
      <c r="L1129" s="66"/>
      <c r="M1129" s="66"/>
      <c r="N1129" s="66"/>
    </row>
    <row r="1130" spans="1:14" x14ac:dyDescent="0.2">
      <c r="A1130" s="84"/>
      <c r="B1130" s="84"/>
      <c r="C1130" s="60"/>
      <c r="D1130" s="66"/>
      <c r="E1130" s="66"/>
      <c r="F1130" s="66"/>
      <c r="G1130" s="66"/>
      <c r="H1130" s="66"/>
      <c r="I1130" s="66"/>
      <c r="J1130" s="66"/>
      <c r="K1130" s="66"/>
      <c r="L1130" s="66"/>
      <c r="M1130" s="66"/>
      <c r="N1130" s="66"/>
    </row>
    <row r="1131" spans="1:14" x14ac:dyDescent="0.2">
      <c r="A1131" s="84"/>
      <c r="B1131" s="84"/>
      <c r="C1131" s="60"/>
      <c r="D1131" s="66"/>
      <c r="E1131" s="66"/>
      <c r="F1131" s="66"/>
      <c r="G1131" s="66"/>
      <c r="H1131" s="66"/>
      <c r="I1131" s="66"/>
      <c r="J1131" s="66"/>
      <c r="K1131" s="66"/>
      <c r="L1131" s="66"/>
      <c r="M1131" s="66"/>
      <c r="N1131" s="66"/>
    </row>
    <row r="1132" spans="1:14" x14ac:dyDescent="0.2">
      <c r="A1132" s="84"/>
      <c r="B1132" s="84"/>
      <c r="C1132" s="60"/>
      <c r="D1132" s="66"/>
      <c r="E1132" s="66"/>
      <c r="F1132" s="66"/>
      <c r="G1132" s="66"/>
      <c r="H1132" s="66"/>
      <c r="I1132" s="66"/>
      <c r="J1132" s="66"/>
      <c r="K1132" s="66"/>
      <c r="L1132" s="66"/>
      <c r="M1132" s="66"/>
      <c r="N1132" s="66"/>
    </row>
    <row r="1133" spans="1:14" x14ac:dyDescent="0.2">
      <c r="A1133" s="84"/>
      <c r="B1133" s="84"/>
      <c r="C1133" s="60"/>
      <c r="D1133" s="66"/>
      <c r="E1133" s="66"/>
      <c r="F1133" s="66"/>
      <c r="G1133" s="66"/>
      <c r="H1133" s="66"/>
      <c r="I1133" s="66"/>
      <c r="J1133" s="66"/>
      <c r="K1133" s="66"/>
      <c r="L1133" s="66"/>
      <c r="M1133" s="66"/>
      <c r="N1133" s="66"/>
    </row>
    <row r="1134" spans="1:14" x14ac:dyDescent="0.2">
      <c r="A1134" s="84"/>
      <c r="B1134" s="84"/>
      <c r="C1134" s="60"/>
      <c r="D1134" s="66"/>
      <c r="E1134" s="66"/>
      <c r="F1134" s="66"/>
      <c r="G1134" s="66"/>
      <c r="H1134" s="66"/>
      <c r="I1134" s="66"/>
      <c r="J1134" s="66"/>
      <c r="K1134" s="66"/>
      <c r="L1134" s="66"/>
      <c r="M1134" s="66"/>
      <c r="N1134" s="66"/>
    </row>
    <row r="1135" spans="1:14" x14ac:dyDescent="0.2">
      <c r="A1135" s="84"/>
      <c r="B1135" s="84"/>
      <c r="C1135" s="60"/>
      <c r="D1135" s="66"/>
      <c r="E1135" s="66"/>
      <c r="F1135" s="66"/>
      <c r="G1135" s="66"/>
      <c r="H1135" s="66"/>
      <c r="I1135" s="66"/>
      <c r="J1135" s="66"/>
      <c r="K1135" s="66"/>
      <c r="L1135" s="66"/>
      <c r="M1135" s="66"/>
      <c r="N1135" s="66"/>
    </row>
    <row r="1136" spans="1:14" x14ac:dyDescent="0.2">
      <c r="A1136" s="84"/>
      <c r="B1136" s="84"/>
      <c r="C1136" s="60"/>
      <c r="D1136" s="66"/>
      <c r="E1136" s="66"/>
      <c r="F1136" s="66"/>
      <c r="G1136" s="66"/>
      <c r="H1136" s="66"/>
      <c r="I1136" s="66"/>
      <c r="J1136" s="66"/>
      <c r="K1136" s="66"/>
      <c r="L1136" s="66"/>
      <c r="M1136" s="66"/>
      <c r="N1136" s="66"/>
    </row>
    <row r="1137" spans="1:14" x14ac:dyDescent="0.2">
      <c r="A1137" s="84"/>
      <c r="B1137" s="84"/>
      <c r="C1137" s="60"/>
      <c r="D1137" s="66"/>
      <c r="E1137" s="66"/>
      <c r="F1137" s="66"/>
      <c r="G1137" s="66"/>
      <c r="H1137" s="66"/>
      <c r="I1137" s="66"/>
      <c r="J1137" s="66"/>
      <c r="K1137" s="66"/>
      <c r="L1137" s="66"/>
      <c r="M1137" s="66"/>
      <c r="N1137" s="66"/>
    </row>
    <row r="1138" spans="1:14" x14ac:dyDescent="0.2">
      <c r="A1138" s="84"/>
      <c r="B1138" s="84"/>
      <c r="C1138" s="60"/>
      <c r="D1138" s="66"/>
      <c r="E1138" s="66"/>
      <c r="F1138" s="66"/>
      <c r="G1138" s="66"/>
      <c r="H1138" s="66"/>
      <c r="I1138" s="66"/>
      <c r="J1138" s="66"/>
      <c r="K1138" s="66"/>
      <c r="L1138" s="66"/>
      <c r="M1138" s="66"/>
      <c r="N1138" s="66"/>
    </row>
    <row r="1139" spans="1:14" x14ac:dyDescent="0.2">
      <c r="A1139" s="84"/>
      <c r="B1139" s="84"/>
      <c r="C1139" s="60"/>
      <c r="D1139" s="66"/>
      <c r="E1139" s="66"/>
      <c r="F1139" s="66"/>
      <c r="G1139" s="66"/>
      <c r="H1139" s="66"/>
      <c r="I1139" s="66"/>
      <c r="J1139" s="66"/>
      <c r="K1139" s="66"/>
      <c r="L1139" s="66"/>
      <c r="M1139" s="66"/>
      <c r="N1139" s="66"/>
    </row>
    <row r="1140" spans="1:14" x14ac:dyDescent="0.2">
      <c r="A1140" s="84"/>
      <c r="B1140" s="84"/>
      <c r="C1140" s="60"/>
      <c r="D1140" s="66"/>
      <c r="E1140" s="66"/>
      <c r="F1140" s="66"/>
      <c r="G1140" s="66"/>
      <c r="H1140" s="66"/>
      <c r="I1140" s="66"/>
      <c r="J1140" s="66"/>
      <c r="K1140" s="66"/>
      <c r="L1140" s="66"/>
      <c r="M1140" s="66"/>
      <c r="N1140" s="66"/>
    </row>
    <row r="1141" spans="1:14" x14ac:dyDescent="0.2">
      <c r="A1141" s="84"/>
      <c r="B1141" s="84"/>
      <c r="C1141" s="60"/>
      <c r="D1141" s="66"/>
      <c r="E1141" s="66"/>
      <c r="F1141" s="66"/>
      <c r="G1141" s="66"/>
      <c r="H1141" s="66"/>
      <c r="I1141" s="66"/>
      <c r="J1141" s="66"/>
      <c r="K1141" s="66"/>
      <c r="L1141" s="66"/>
      <c r="M1141" s="66"/>
      <c r="N1141" s="66"/>
    </row>
    <row r="1142" spans="1:14" x14ac:dyDescent="0.2">
      <c r="A1142" s="84"/>
      <c r="B1142" s="84"/>
      <c r="C1142" s="60"/>
      <c r="D1142" s="66"/>
      <c r="E1142" s="66"/>
      <c r="F1142" s="66"/>
      <c r="G1142" s="66"/>
      <c r="H1142" s="66"/>
      <c r="I1142" s="66"/>
      <c r="J1142" s="66"/>
      <c r="K1142" s="66"/>
      <c r="L1142" s="66"/>
      <c r="M1142" s="66"/>
      <c r="N1142" s="66"/>
    </row>
    <row r="1143" spans="1:14" x14ac:dyDescent="0.2">
      <c r="A1143" s="84"/>
      <c r="B1143" s="84"/>
      <c r="C1143" s="60"/>
      <c r="D1143" s="66"/>
      <c r="E1143" s="66"/>
      <c r="F1143" s="66"/>
      <c r="G1143" s="66"/>
      <c r="H1143" s="66"/>
      <c r="I1143" s="66"/>
      <c r="J1143" s="66"/>
      <c r="K1143" s="66"/>
      <c r="L1143" s="66"/>
      <c r="M1143" s="66"/>
      <c r="N1143" s="66"/>
    </row>
    <row r="1144" spans="1:14" x14ac:dyDescent="0.2">
      <c r="A1144" s="84"/>
      <c r="B1144" s="84"/>
      <c r="C1144" s="60"/>
      <c r="D1144" s="66"/>
      <c r="E1144" s="66"/>
      <c r="F1144" s="66"/>
      <c r="G1144" s="66"/>
      <c r="H1144" s="66"/>
      <c r="I1144" s="66"/>
      <c r="J1144" s="66"/>
      <c r="K1144" s="66"/>
      <c r="L1144" s="66"/>
      <c r="M1144" s="66"/>
      <c r="N1144" s="66"/>
    </row>
    <row r="1145" spans="1:14" x14ac:dyDescent="0.2">
      <c r="A1145" s="84"/>
      <c r="B1145" s="84"/>
      <c r="C1145" s="60"/>
      <c r="D1145" s="66"/>
      <c r="E1145" s="66"/>
      <c r="F1145" s="66"/>
      <c r="G1145" s="66"/>
      <c r="H1145" s="66"/>
      <c r="I1145" s="66"/>
      <c r="J1145" s="66"/>
      <c r="K1145" s="66"/>
      <c r="L1145" s="66"/>
      <c r="M1145" s="66"/>
      <c r="N1145" s="66"/>
    </row>
    <row r="1146" spans="1:14" x14ac:dyDescent="0.2">
      <c r="A1146" s="84"/>
      <c r="B1146" s="84"/>
      <c r="C1146" s="60"/>
      <c r="D1146" s="66"/>
      <c r="E1146" s="66"/>
      <c r="F1146" s="66"/>
      <c r="G1146" s="66"/>
      <c r="H1146" s="66"/>
      <c r="I1146" s="66"/>
      <c r="J1146" s="66"/>
      <c r="K1146" s="66"/>
      <c r="L1146" s="66"/>
      <c r="M1146" s="66"/>
      <c r="N1146" s="66"/>
    </row>
    <row r="1147" spans="1:14" x14ac:dyDescent="0.2">
      <c r="A1147" s="84"/>
      <c r="B1147" s="84"/>
      <c r="C1147" s="60"/>
      <c r="D1147" s="66"/>
      <c r="E1147" s="66"/>
      <c r="F1147" s="66"/>
      <c r="G1147" s="66"/>
      <c r="H1147" s="66"/>
      <c r="I1147" s="66"/>
      <c r="J1147" s="66"/>
      <c r="K1147" s="66"/>
      <c r="L1147" s="66"/>
      <c r="M1147" s="66"/>
      <c r="N1147" s="66"/>
    </row>
    <row r="1148" spans="1:14" x14ac:dyDescent="0.2">
      <c r="A1148" s="84"/>
      <c r="B1148" s="84"/>
      <c r="C1148" s="60"/>
      <c r="D1148" s="66"/>
      <c r="E1148" s="66"/>
      <c r="F1148" s="66"/>
      <c r="G1148" s="66"/>
      <c r="H1148" s="66"/>
      <c r="I1148" s="66"/>
      <c r="J1148" s="66"/>
      <c r="K1148" s="66"/>
      <c r="L1148" s="66"/>
      <c r="M1148" s="66"/>
      <c r="N1148" s="66"/>
    </row>
    <row r="1149" spans="1:14" x14ac:dyDescent="0.2">
      <c r="A1149" s="84"/>
      <c r="B1149" s="84"/>
      <c r="C1149" s="60"/>
      <c r="D1149" s="66"/>
      <c r="E1149" s="66"/>
      <c r="F1149" s="66"/>
      <c r="G1149" s="66"/>
      <c r="H1149" s="66"/>
      <c r="I1149" s="66"/>
      <c r="J1149" s="66"/>
      <c r="K1149" s="66"/>
      <c r="L1149" s="66"/>
      <c r="M1149" s="66"/>
      <c r="N1149" s="66"/>
    </row>
    <row r="1150" spans="1:14" x14ac:dyDescent="0.2">
      <c r="A1150" s="84"/>
      <c r="B1150" s="84"/>
      <c r="C1150" s="60"/>
      <c r="D1150" s="66"/>
      <c r="E1150" s="66"/>
      <c r="F1150" s="66"/>
      <c r="G1150" s="66"/>
      <c r="H1150" s="66"/>
      <c r="I1150" s="66"/>
      <c r="J1150" s="66"/>
      <c r="K1150" s="66"/>
      <c r="L1150" s="66"/>
      <c r="M1150" s="66"/>
      <c r="N1150" s="66"/>
    </row>
    <row r="1151" spans="1:14" x14ac:dyDescent="0.2">
      <c r="A1151" s="84"/>
      <c r="B1151" s="84"/>
      <c r="C1151" s="60"/>
      <c r="D1151" s="66"/>
      <c r="E1151" s="66"/>
      <c r="F1151" s="66"/>
      <c r="G1151" s="66"/>
      <c r="H1151" s="66"/>
      <c r="I1151" s="66"/>
      <c r="J1151" s="66"/>
      <c r="K1151" s="66"/>
      <c r="L1151" s="66"/>
      <c r="M1151" s="66"/>
      <c r="N1151" s="66"/>
    </row>
    <row r="1152" spans="1:14" x14ac:dyDescent="0.2">
      <c r="A1152" s="84"/>
      <c r="B1152" s="84"/>
      <c r="C1152" s="60"/>
      <c r="D1152" s="66"/>
      <c r="E1152" s="66"/>
      <c r="F1152" s="66"/>
      <c r="G1152" s="66"/>
      <c r="H1152" s="66"/>
      <c r="I1152" s="66"/>
      <c r="J1152" s="66"/>
      <c r="K1152" s="66"/>
      <c r="L1152" s="66"/>
      <c r="M1152" s="66"/>
      <c r="N1152" s="66"/>
    </row>
    <row r="1153" spans="1:14" x14ac:dyDescent="0.2">
      <c r="A1153" s="84"/>
      <c r="B1153" s="84"/>
      <c r="C1153" s="60"/>
      <c r="D1153" s="66"/>
      <c r="E1153" s="66"/>
      <c r="F1153" s="66"/>
      <c r="G1153" s="66"/>
      <c r="H1153" s="66"/>
      <c r="I1153" s="66"/>
      <c r="J1153" s="66"/>
      <c r="K1153" s="66"/>
      <c r="L1153" s="66"/>
      <c r="M1153" s="66"/>
      <c r="N1153" s="66"/>
    </row>
    <row r="1154" spans="1:14" x14ac:dyDescent="0.2">
      <c r="A1154" s="84"/>
      <c r="B1154" s="84"/>
      <c r="C1154" s="60"/>
      <c r="D1154" s="66"/>
      <c r="E1154" s="66"/>
      <c r="F1154" s="66"/>
      <c r="G1154" s="66"/>
      <c r="H1154" s="66"/>
      <c r="I1154" s="66"/>
      <c r="J1154" s="66"/>
      <c r="K1154" s="66"/>
      <c r="L1154" s="66"/>
      <c r="M1154" s="66"/>
      <c r="N1154" s="66"/>
    </row>
    <row r="1155" spans="1:14" x14ac:dyDescent="0.2">
      <c r="A1155" s="84"/>
      <c r="B1155" s="84"/>
      <c r="C1155" s="60"/>
      <c r="D1155" s="66"/>
      <c r="E1155" s="66"/>
      <c r="F1155" s="66"/>
      <c r="G1155" s="66"/>
      <c r="H1155" s="66"/>
      <c r="I1155" s="66"/>
      <c r="J1155" s="66"/>
      <c r="K1155" s="66"/>
      <c r="L1155" s="66"/>
      <c r="M1155" s="66"/>
      <c r="N1155" s="66"/>
    </row>
    <row r="1156" spans="1:14" x14ac:dyDescent="0.2">
      <c r="A1156" s="84"/>
      <c r="B1156" s="84"/>
      <c r="C1156" s="60"/>
      <c r="D1156" s="66"/>
      <c r="E1156" s="66"/>
      <c r="F1156" s="66"/>
      <c r="G1156" s="66"/>
      <c r="H1156" s="66"/>
      <c r="I1156" s="66"/>
      <c r="J1156" s="66"/>
      <c r="K1156" s="66"/>
      <c r="L1156" s="66"/>
      <c r="M1156" s="66"/>
      <c r="N1156" s="66"/>
    </row>
    <row r="1157" spans="1:14" x14ac:dyDescent="0.2">
      <c r="A1157" s="84"/>
      <c r="B1157" s="84"/>
      <c r="C1157" s="60"/>
      <c r="D1157" s="66"/>
      <c r="E1157" s="66"/>
      <c r="F1157" s="66"/>
      <c r="G1157" s="66"/>
      <c r="H1157" s="66"/>
      <c r="I1157" s="66"/>
      <c r="J1157" s="66"/>
      <c r="K1157" s="66"/>
      <c r="L1157" s="66"/>
      <c r="M1157" s="66"/>
      <c r="N1157" s="66"/>
    </row>
    <row r="1158" spans="1:14" x14ac:dyDescent="0.2">
      <c r="A1158" s="84"/>
      <c r="B1158" s="84"/>
      <c r="C1158" s="60"/>
      <c r="D1158" s="66"/>
      <c r="E1158" s="66"/>
      <c r="F1158" s="66"/>
      <c r="G1158" s="66"/>
      <c r="H1158" s="66"/>
      <c r="I1158" s="66"/>
      <c r="J1158" s="66"/>
      <c r="K1158" s="66"/>
      <c r="L1158" s="66"/>
      <c r="M1158" s="66"/>
      <c r="N1158" s="66"/>
    </row>
    <row r="1159" spans="1:14" x14ac:dyDescent="0.2">
      <c r="A1159" s="84"/>
      <c r="B1159" s="84"/>
      <c r="C1159" s="60"/>
      <c r="D1159" s="66"/>
      <c r="E1159" s="66"/>
      <c r="F1159" s="66"/>
      <c r="G1159" s="66"/>
      <c r="H1159" s="66"/>
      <c r="I1159" s="66"/>
      <c r="J1159" s="66"/>
      <c r="K1159" s="66"/>
      <c r="L1159" s="66"/>
      <c r="M1159" s="66"/>
      <c r="N1159" s="66"/>
    </row>
    <row r="1160" spans="1:14" x14ac:dyDescent="0.2">
      <c r="A1160" s="84"/>
      <c r="B1160" s="84"/>
      <c r="C1160" s="60"/>
      <c r="D1160" s="66"/>
      <c r="E1160" s="66"/>
      <c r="F1160" s="66"/>
      <c r="G1160" s="66"/>
      <c r="H1160" s="66"/>
      <c r="I1160" s="66"/>
      <c r="J1160" s="66"/>
      <c r="K1160" s="66"/>
      <c r="L1160" s="66"/>
      <c r="M1160" s="66"/>
      <c r="N1160" s="66"/>
    </row>
    <row r="1161" spans="1:14" x14ac:dyDescent="0.2">
      <c r="A1161" s="84"/>
      <c r="B1161" s="84"/>
      <c r="C1161" s="60"/>
      <c r="D1161" s="66"/>
      <c r="E1161" s="66"/>
      <c r="F1161" s="66"/>
      <c r="G1161" s="66"/>
      <c r="H1161" s="66"/>
      <c r="I1161" s="66"/>
      <c r="J1161" s="66"/>
      <c r="K1161" s="66"/>
      <c r="L1161" s="66"/>
      <c r="M1161" s="66"/>
      <c r="N1161" s="66"/>
    </row>
    <row r="1162" spans="1:14" x14ac:dyDescent="0.2">
      <c r="A1162" s="84"/>
      <c r="B1162" s="84"/>
      <c r="C1162" s="60"/>
      <c r="D1162" s="66"/>
      <c r="E1162" s="66"/>
      <c r="F1162" s="66"/>
      <c r="G1162" s="66"/>
      <c r="H1162" s="66"/>
      <c r="I1162" s="66"/>
      <c r="J1162" s="66"/>
      <c r="K1162" s="66"/>
      <c r="L1162" s="66"/>
      <c r="M1162" s="66"/>
      <c r="N1162" s="66"/>
    </row>
    <row r="1163" spans="1:14" x14ac:dyDescent="0.2">
      <c r="A1163" s="84"/>
      <c r="B1163" s="84"/>
      <c r="C1163" s="60"/>
      <c r="D1163" s="66"/>
      <c r="E1163" s="66"/>
      <c r="F1163" s="66"/>
      <c r="G1163" s="66"/>
      <c r="H1163" s="66"/>
      <c r="I1163" s="66"/>
      <c r="J1163" s="66"/>
      <c r="K1163" s="66"/>
      <c r="L1163" s="66"/>
      <c r="M1163" s="66"/>
      <c r="N1163" s="66"/>
    </row>
    <row r="1164" spans="1:14" x14ac:dyDescent="0.2">
      <c r="A1164" s="84"/>
      <c r="B1164" s="84"/>
      <c r="C1164" s="60"/>
      <c r="D1164" s="66"/>
      <c r="E1164" s="66"/>
      <c r="F1164" s="66"/>
      <c r="G1164" s="66"/>
      <c r="H1164" s="66"/>
      <c r="I1164" s="66"/>
      <c r="J1164" s="66"/>
      <c r="K1164" s="66"/>
      <c r="L1164" s="66"/>
      <c r="M1164" s="66"/>
      <c r="N1164" s="66"/>
    </row>
    <row r="1165" spans="1:14" x14ac:dyDescent="0.2">
      <c r="A1165" s="84"/>
      <c r="B1165" s="84"/>
      <c r="C1165" s="60"/>
      <c r="D1165" s="66"/>
      <c r="E1165" s="66"/>
      <c r="F1165" s="66"/>
      <c r="G1165" s="66"/>
      <c r="H1165" s="66"/>
      <c r="I1165" s="66"/>
      <c r="J1165" s="66"/>
      <c r="K1165" s="66"/>
      <c r="L1165" s="66"/>
      <c r="M1165" s="66"/>
      <c r="N1165" s="66"/>
    </row>
    <row r="1166" spans="1:14" x14ac:dyDescent="0.2">
      <c r="A1166" s="84"/>
      <c r="B1166" s="84"/>
      <c r="C1166" s="60"/>
      <c r="D1166" s="66"/>
      <c r="E1166" s="66"/>
      <c r="F1166" s="66"/>
      <c r="G1166" s="66"/>
      <c r="H1166" s="66"/>
      <c r="I1166" s="66"/>
      <c r="J1166" s="66"/>
      <c r="K1166" s="66"/>
      <c r="L1166" s="66"/>
      <c r="M1166" s="66"/>
      <c r="N1166" s="66"/>
    </row>
    <row r="1167" spans="1:14" x14ac:dyDescent="0.2">
      <c r="A1167" s="84"/>
      <c r="B1167" s="84"/>
      <c r="C1167" s="60"/>
      <c r="D1167" s="66"/>
      <c r="E1167" s="66"/>
      <c r="F1167" s="66"/>
      <c r="G1167" s="66"/>
      <c r="H1167" s="66"/>
      <c r="I1167" s="66"/>
      <c r="J1167" s="66"/>
      <c r="K1167" s="66"/>
      <c r="L1167" s="66"/>
      <c r="M1167" s="66"/>
      <c r="N1167" s="66"/>
    </row>
    <row r="1168" spans="1:14" x14ac:dyDescent="0.2">
      <c r="A1168" s="84"/>
      <c r="B1168" s="84"/>
      <c r="C1168" s="60"/>
      <c r="D1168" s="66"/>
      <c r="E1168" s="66"/>
      <c r="F1168" s="66"/>
      <c r="G1168" s="66"/>
      <c r="H1168" s="66"/>
      <c r="I1168" s="66"/>
      <c r="J1168" s="66"/>
      <c r="K1168" s="66"/>
      <c r="L1168" s="66"/>
      <c r="M1168" s="66"/>
      <c r="N1168" s="66"/>
    </row>
    <row r="1169" spans="1:14" x14ac:dyDescent="0.2">
      <c r="A1169" s="84"/>
      <c r="B1169" s="84"/>
      <c r="C1169" s="60"/>
      <c r="D1169" s="66"/>
      <c r="E1169" s="66"/>
      <c r="F1169" s="66"/>
      <c r="G1169" s="66"/>
      <c r="H1169" s="66"/>
      <c r="I1169" s="66"/>
      <c r="J1169" s="66"/>
      <c r="K1169" s="66"/>
      <c r="L1169" s="66"/>
      <c r="M1169" s="66"/>
      <c r="N1169" s="66"/>
    </row>
    <row r="1170" spans="1:14" x14ac:dyDescent="0.2">
      <c r="A1170" s="84"/>
      <c r="B1170" s="84"/>
      <c r="C1170" s="60"/>
      <c r="D1170" s="66"/>
      <c r="E1170" s="66"/>
      <c r="F1170" s="66"/>
      <c r="G1170" s="66"/>
      <c r="H1170" s="66"/>
      <c r="I1170" s="66"/>
      <c r="J1170" s="66"/>
      <c r="K1170" s="66"/>
      <c r="L1170" s="66"/>
      <c r="M1170" s="66"/>
      <c r="N1170" s="66"/>
    </row>
    <row r="1171" spans="1:14" x14ac:dyDescent="0.2">
      <c r="A1171" s="84"/>
      <c r="B1171" s="84"/>
      <c r="C1171" s="60"/>
      <c r="D1171" s="66"/>
      <c r="E1171" s="66"/>
      <c r="F1171" s="66"/>
      <c r="G1171" s="66"/>
      <c r="H1171" s="66"/>
      <c r="I1171" s="66"/>
      <c r="J1171" s="66"/>
      <c r="K1171" s="66"/>
      <c r="L1171" s="66"/>
      <c r="M1171" s="66"/>
      <c r="N1171" s="66"/>
    </row>
    <row r="1172" spans="1:14" x14ac:dyDescent="0.2">
      <c r="A1172" s="84"/>
      <c r="B1172" s="84"/>
      <c r="C1172" s="60"/>
      <c r="D1172" s="66"/>
      <c r="E1172" s="66"/>
      <c r="F1172" s="66"/>
      <c r="G1172" s="66"/>
      <c r="H1172" s="66"/>
      <c r="I1172" s="66"/>
      <c r="J1172" s="66"/>
      <c r="K1172" s="66"/>
      <c r="L1172" s="66"/>
      <c r="M1172" s="66"/>
      <c r="N1172" s="66"/>
    </row>
    <row r="1173" spans="1:14" x14ac:dyDescent="0.2">
      <c r="A1173" s="84"/>
      <c r="B1173" s="84"/>
      <c r="C1173" s="60"/>
      <c r="D1173" s="66"/>
      <c r="E1173" s="66"/>
      <c r="F1173" s="66"/>
      <c r="G1173" s="66"/>
      <c r="H1173" s="66"/>
      <c r="I1173" s="66"/>
      <c r="J1173" s="66"/>
      <c r="K1173" s="66"/>
      <c r="L1173" s="66"/>
      <c r="M1173" s="66"/>
      <c r="N1173" s="66"/>
    </row>
    <row r="1174" spans="1:14" x14ac:dyDescent="0.2">
      <c r="A1174" s="84"/>
      <c r="B1174" s="84"/>
      <c r="C1174" s="60"/>
      <c r="D1174" s="66"/>
      <c r="E1174" s="66"/>
      <c r="F1174" s="66"/>
      <c r="G1174" s="66"/>
      <c r="H1174" s="66"/>
      <c r="I1174" s="66"/>
      <c r="J1174" s="66"/>
      <c r="K1174" s="66"/>
      <c r="L1174" s="66"/>
      <c r="M1174" s="66"/>
      <c r="N1174" s="66"/>
    </row>
    <row r="1175" spans="1:14" x14ac:dyDescent="0.2">
      <c r="A1175" s="84"/>
      <c r="B1175" s="84"/>
      <c r="C1175" s="60"/>
      <c r="D1175" s="66"/>
      <c r="E1175" s="66"/>
      <c r="F1175" s="66"/>
      <c r="G1175" s="66"/>
      <c r="H1175" s="66"/>
      <c r="I1175" s="66"/>
      <c r="J1175" s="66"/>
      <c r="K1175" s="66"/>
      <c r="L1175" s="66"/>
      <c r="M1175" s="66"/>
      <c r="N1175" s="66"/>
    </row>
    <row r="1176" spans="1:14" x14ac:dyDescent="0.2">
      <c r="A1176" s="84"/>
      <c r="B1176" s="84"/>
      <c r="C1176" s="60"/>
      <c r="D1176" s="66"/>
      <c r="E1176" s="66"/>
      <c r="F1176" s="66"/>
      <c r="G1176" s="66"/>
      <c r="H1176" s="66"/>
      <c r="I1176" s="66"/>
      <c r="J1176" s="66"/>
      <c r="K1176" s="66"/>
      <c r="L1176" s="66"/>
      <c r="M1176" s="66"/>
      <c r="N1176" s="66"/>
    </row>
    <row r="1177" spans="1:14" x14ac:dyDescent="0.2">
      <c r="A1177" s="84"/>
      <c r="B1177" s="84"/>
      <c r="C1177" s="60"/>
      <c r="D1177" s="66"/>
      <c r="E1177" s="66"/>
      <c r="F1177" s="66"/>
      <c r="G1177" s="66"/>
      <c r="H1177" s="66"/>
      <c r="I1177" s="66"/>
      <c r="J1177" s="66"/>
      <c r="K1177" s="66"/>
      <c r="L1177" s="66"/>
      <c r="M1177" s="66"/>
      <c r="N1177" s="66"/>
    </row>
    <row r="1178" spans="1:14" x14ac:dyDescent="0.2">
      <c r="A1178" s="84"/>
      <c r="B1178" s="84"/>
      <c r="C1178" s="60"/>
      <c r="D1178" s="66"/>
      <c r="E1178" s="66"/>
      <c r="F1178" s="66"/>
      <c r="G1178" s="66"/>
      <c r="H1178" s="66"/>
      <c r="I1178" s="66"/>
      <c r="J1178" s="66"/>
      <c r="K1178" s="66"/>
      <c r="L1178" s="66"/>
      <c r="M1178" s="66"/>
      <c r="N1178" s="66"/>
    </row>
    <row r="1179" spans="1:14" x14ac:dyDescent="0.2">
      <c r="A1179" s="84"/>
      <c r="B1179" s="84"/>
      <c r="C1179" s="60"/>
      <c r="D1179" s="66"/>
      <c r="E1179" s="66"/>
      <c r="F1179" s="66"/>
      <c r="G1179" s="66"/>
      <c r="H1179" s="66"/>
      <c r="I1179" s="66"/>
      <c r="J1179" s="66"/>
      <c r="K1179" s="66"/>
      <c r="L1179" s="66"/>
      <c r="M1179" s="66"/>
      <c r="N1179" s="66"/>
    </row>
    <row r="1180" spans="1:14" x14ac:dyDescent="0.2">
      <c r="A1180" s="84"/>
      <c r="B1180" s="84"/>
      <c r="C1180" s="60"/>
      <c r="D1180" s="66"/>
      <c r="E1180" s="66"/>
      <c r="F1180" s="66"/>
      <c r="G1180" s="66"/>
      <c r="H1180" s="66"/>
      <c r="I1180" s="66"/>
      <c r="J1180" s="66"/>
      <c r="K1180" s="66"/>
      <c r="L1180" s="66"/>
      <c r="M1180" s="66"/>
      <c r="N1180" s="66"/>
    </row>
    <row r="1181" spans="1:14" x14ac:dyDescent="0.2">
      <c r="A1181" s="84"/>
      <c r="B1181" s="84"/>
      <c r="C1181" s="60"/>
      <c r="D1181" s="66"/>
      <c r="E1181" s="66"/>
      <c r="F1181" s="66"/>
      <c r="G1181" s="66"/>
      <c r="H1181" s="66"/>
      <c r="I1181" s="66"/>
      <c r="J1181" s="66"/>
      <c r="K1181" s="66"/>
      <c r="L1181" s="66"/>
      <c r="M1181" s="66"/>
      <c r="N1181" s="66"/>
    </row>
    <row r="1182" spans="1:14" x14ac:dyDescent="0.2">
      <c r="A1182" s="84"/>
      <c r="B1182" s="84"/>
      <c r="C1182" s="60"/>
      <c r="D1182" s="66"/>
      <c r="E1182" s="66"/>
      <c r="F1182" s="66"/>
      <c r="G1182" s="66"/>
      <c r="H1182" s="66"/>
      <c r="I1182" s="66"/>
      <c r="J1182" s="66"/>
      <c r="K1182" s="66"/>
      <c r="L1182" s="66"/>
      <c r="M1182" s="66"/>
      <c r="N1182" s="66"/>
    </row>
    <row r="1183" spans="1:14" x14ac:dyDescent="0.2">
      <c r="A1183" s="84"/>
      <c r="B1183" s="84"/>
      <c r="C1183" s="60"/>
      <c r="D1183" s="66"/>
      <c r="E1183" s="66"/>
      <c r="F1183" s="66"/>
      <c r="G1183" s="66"/>
      <c r="H1183" s="66"/>
      <c r="I1183" s="66"/>
      <c r="J1183" s="66"/>
      <c r="K1183" s="66"/>
      <c r="L1183" s="66"/>
      <c r="M1183" s="66"/>
      <c r="N1183" s="66"/>
    </row>
    <row r="1184" spans="1:14" x14ac:dyDescent="0.2">
      <c r="A1184" s="84"/>
      <c r="B1184" s="84"/>
      <c r="C1184" s="60"/>
      <c r="D1184" s="66"/>
      <c r="E1184" s="66"/>
      <c r="F1184" s="66"/>
      <c r="G1184" s="66"/>
      <c r="H1184" s="66"/>
      <c r="I1184" s="66"/>
      <c r="J1184" s="66"/>
      <c r="K1184" s="66"/>
      <c r="L1184" s="66"/>
      <c r="M1184" s="66"/>
      <c r="N1184" s="66"/>
    </row>
    <row r="1185" spans="1:14" x14ac:dyDescent="0.2">
      <c r="A1185" s="84"/>
      <c r="B1185" s="84"/>
      <c r="C1185" s="60"/>
      <c r="D1185" s="66"/>
      <c r="E1185" s="66"/>
      <c r="F1185" s="66"/>
      <c r="G1185" s="66"/>
      <c r="H1185" s="66"/>
      <c r="I1185" s="66"/>
      <c r="J1185" s="66"/>
      <c r="K1185" s="66"/>
      <c r="L1185" s="66"/>
      <c r="M1185" s="66"/>
      <c r="N1185" s="66"/>
    </row>
    <row r="1186" spans="1:14" x14ac:dyDescent="0.2">
      <c r="A1186" s="84"/>
      <c r="B1186" s="84"/>
      <c r="C1186" s="60"/>
      <c r="D1186" s="66"/>
      <c r="E1186" s="66"/>
      <c r="F1186" s="66"/>
      <c r="G1186" s="66"/>
      <c r="H1186" s="66"/>
      <c r="I1186" s="66"/>
      <c r="J1186" s="66"/>
      <c r="K1186" s="66"/>
      <c r="L1186" s="66"/>
      <c r="M1186" s="66"/>
      <c r="N1186" s="66"/>
    </row>
    <row r="1187" spans="1:14" x14ac:dyDescent="0.2">
      <c r="A1187" s="84"/>
      <c r="B1187" s="84"/>
      <c r="C1187" s="60"/>
      <c r="D1187" s="66"/>
      <c r="E1187" s="66"/>
      <c r="F1187" s="66"/>
      <c r="G1187" s="66"/>
      <c r="H1187" s="66"/>
      <c r="I1187" s="66"/>
      <c r="J1187" s="66"/>
      <c r="K1187" s="66"/>
      <c r="L1187" s="66"/>
      <c r="M1187" s="66"/>
      <c r="N1187" s="66"/>
    </row>
    <row r="1188" spans="1:14" x14ac:dyDescent="0.2">
      <c r="A1188" s="84"/>
      <c r="B1188" s="84"/>
      <c r="C1188" s="60"/>
      <c r="D1188" s="66"/>
      <c r="E1188" s="66"/>
      <c r="F1188" s="66"/>
      <c r="G1188" s="66"/>
      <c r="H1188" s="66"/>
      <c r="I1188" s="66"/>
      <c r="J1188" s="66"/>
      <c r="K1188" s="66"/>
      <c r="L1188" s="66"/>
      <c r="M1188" s="66"/>
      <c r="N1188" s="66"/>
    </row>
    <row r="1189" spans="1:14" x14ac:dyDescent="0.2">
      <c r="A1189" s="84"/>
      <c r="B1189" s="84"/>
      <c r="C1189" s="60"/>
      <c r="D1189" s="66"/>
      <c r="E1189" s="66"/>
      <c r="F1189" s="66"/>
      <c r="G1189" s="66"/>
      <c r="H1189" s="66"/>
      <c r="I1189" s="66"/>
      <c r="J1189" s="66"/>
      <c r="K1189" s="66"/>
      <c r="L1189" s="66"/>
      <c r="M1189" s="66"/>
      <c r="N1189" s="66"/>
    </row>
    <row r="1190" spans="1:14" x14ac:dyDescent="0.2">
      <c r="A1190" s="84"/>
      <c r="B1190" s="84"/>
      <c r="C1190" s="60"/>
      <c r="D1190" s="66"/>
      <c r="E1190" s="66"/>
      <c r="F1190" s="66"/>
      <c r="G1190" s="66"/>
      <c r="H1190" s="66"/>
      <c r="I1190" s="66"/>
      <c r="J1190" s="66"/>
      <c r="K1190" s="66"/>
      <c r="L1190" s="66"/>
      <c r="M1190" s="66"/>
      <c r="N1190" s="66"/>
    </row>
    <row r="1191" spans="1:14" x14ac:dyDescent="0.2">
      <c r="A1191" s="84"/>
      <c r="B1191" s="84"/>
      <c r="C1191" s="60"/>
      <c r="D1191" s="66"/>
      <c r="E1191" s="66"/>
      <c r="F1191" s="66"/>
      <c r="G1191" s="66"/>
      <c r="H1191" s="66"/>
      <c r="I1191" s="66"/>
      <c r="J1191" s="66"/>
      <c r="K1191" s="66"/>
      <c r="L1191" s="66"/>
      <c r="M1191" s="66"/>
      <c r="N1191" s="66"/>
    </row>
    <row r="1192" spans="1:14" x14ac:dyDescent="0.2">
      <c r="A1192" s="84"/>
      <c r="B1192" s="84"/>
      <c r="C1192" s="60"/>
      <c r="D1192" s="66"/>
      <c r="E1192" s="66"/>
      <c r="F1192" s="66"/>
      <c r="G1192" s="66"/>
      <c r="H1192" s="66"/>
      <c r="I1192" s="66"/>
      <c r="J1192" s="66"/>
      <c r="K1192" s="66"/>
      <c r="L1192" s="66"/>
      <c r="M1192" s="66"/>
      <c r="N1192" s="66"/>
    </row>
    <row r="1193" spans="1:14" x14ac:dyDescent="0.2">
      <c r="A1193" s="84"/>
      <c r="B1193" s="84"/>
      <c r="C1193" s="60"/>
      <c r="D1193" s="66"/>
      <c r="E1193" s="66"/>
      <c r="F1193" s="66"/>
      <c r="G1193" s="66"/>
      <c r="H1193" s="66"/>
      <c r="I1193" s="66"/>
      <c r="J1193" s="66"/>
      <c r="K1193" s="66"/>
      <c r="L1193" s="66"/>
      <c r="M1193" s="66"/>
      <c r="N1193" s="66"/>
    </row>
    <row r="1194" spans="1:14" x14ac:dyDescent="0.2">
      <c r="A1194" s="84"/>
      <c r="B1194" s="84"/>
      <c r="C1194" s="60"/>
      <c r="D1194" s="66"/>
      <c r="E1194" s="66"/>
      <c r="F1194" s="66"/>
      <c r="G1194" s="66"/>
      <c r="H1194" s="66"/>
      <c r="I1194" s="66"/>
      <c r="J1194" s="66"/>
      <c r="K1194" s="66"/>
      <c r="L1194" s="66"/>
      <c r="M1194" s="66"/>
      <c r="N1194" s="66"/>
    </row>
    <row r="1195" spans="1:14" x14ac:dyDescent="0.2">
      <c r="A1195" s="84"/>
      <c r="B1195" s="84"/>
      <c r="C1195" s="60"/>
      <c r="D1195" s="66"/>
      <c r="E1195" s="66"/>
      <c r="F1195" s="66"/>
      <c r="G1195" s="66"/>
      <c r="H1195" s="66"/>
      <c r="I1195" s="66"/>
      <c r="J1195" s="66"/>
      <c r="K1195" s="66"/>
      <c r="L1195" s="66"/>
      <c r="M1195" s="66"/>
      <c r="N1195" s="66"/>
    </row>
    <row r="1196" spans="1:14" x14ac:dyDescent="0.2">
      <c r="A1196" s="84"/>
      <c r="B1196" s="84"/>
      <c r="C1196" s="60"/>
      <c r="D1196" s="66"/>
      <c r="E1196" s="66"/>
      <c r="F1196" s="66"/>
      <c r="G1196" s="66"/>
      <c r="H1196" s="66"/>
      <c r="I1196" s="66"/>
      <c r="J1196" s="66"/>
      <c r="K1196" s="66"/>
      <c r="L1196" s="66"/>
      <c r="M1196" s="66"/>
      <c r="N1196" s="66"/>
    </row>
    <row r="1197" spans="1:14" x14ac:dyDescent="0.2">
      <c r="A1197" s="84"/>
      <c r="B1197" s="84"/>
      <c r="C1197" s="60"/>
      <c r="D1197" s="66"/>
      <c r="E1197" s="66"/>
      <c r="F1197" s="66"/>
      <c r="G1197" s="66"/>
      <c r="H1197" s="66"/>
      <c r="I1197" s="66"/>
      <c r="J1197" s="66"/>
      <c r="K1197" s="66"/>
      <c r="L1197" s="66"/>
      <c r="M1197" s="66"/>
      <c r="N1197" s="66"/>
    </row>
    <row r="1198" spans="1:14" x14ac:dyDescent="0.2">
      <c r="A1198" s="84"/>
      <c r="B1198" s="84"/>
      <c r="C1198" s="60"/>
      <c r="D1198" s="66"/>
      <c r="E1198" s="66"/>
      <c r="F1198" s="66"/>
      <c r="G1198" s="66"/>
      <c r="H1198" s="66"/>
      <c r="I1198" s="66"/>
      <c r="J1198" s="66"/>
      <c r="K1198" s="66"/>
      <c r="L1198" s="66"/>
      <c r="M1198" s="66"/>
      <c r="N1198" s="66"/>
    </row>
    <row r="1199" spans="1:14" x14ac:dyDescent="0.2">
      <c r="A1199" s="84"/>
      <c r="B1199" s="84"/>
      <c r="C1199" s="60"/>
      <c r="D1199" s="66"/>
      <c r="E1199" s="66"/>
      <c r="F1199" s="66"/>
      <c r="G1199" s="66"/>
      <c r="H1199" s="66"/>
      <c r="I1199" s="66"/>
      <c r="J1199" s="66"/>
      <c r="K1199" s="66"/>
      <c r="L1199" s="66"/>
      <c r="M1199" s="66"/>
      <c r="N1199" s="66"/>
    </row>
    <row r="1200" spans="1:14" x14ac:dyDescent="0.2">
      <c r="A1200" s="84"/>
      <c r="B1200" s="84"/>
      <c r="C1200" s="60"/>
      <c r="D1200" s="66"/>
      <c r="E1200" s="66"/>
      <c r="F1200" s="66"/>
      <c r="G1200" s="66"/>
      <c r="H1200" s="66"/>
      <c r="I1200" s="66"/>
      <c r="J1200" s="66"/>
      <c r="K1200" s="66"/>
      <c r="L1200" s="66"/>
      <c r="M1200" s="66"/>
      <c r="N1200" s="66"/>
    </row>
    <row r="1201" spans="1:14" x14ac:dyDescent="0.2">
      <c r="A1201" s="84"/>
      <c r="B1201" s="84"/>
      <c r="C1201" s="60"/>
      <c r="D1201" s="66"/>
      <c r="E1201" s="66"/>
      <c r="F1201" s="66"/>
      <c r="G1201" s="66"/>
      <c r="H1201" s="66"/>
      <c r="I1201" s="66"/>
      <c r="J1201" s="66"/>
      <c r="K1201" s="66"/>
      <c r="L1201" s="66"/>
      <c r="M1201" s="66"/>
      <c r="N1201" s="66"/>
    </row>
    <row r="1202" spans="1:14" x14ac:dyDescent="0.2">
      <c r="A1202" s="84"/>
      <c r="B1202" s="84"/>
      <c r="C1202" s="60"/>
      <c r="D1202" s="66"/>
      <c r="E1202" s="66"/>
      <c r="F1202" s="66"/>
      <c r="G1202" s="66"/>
      <c r="H1202" s="66"/>
      <c r="I1202" s="66"/>
      <c r="J1202" s="66"/>
      <c r="K1202" s="66"/>
      <c r="L1202" s="66"/>
      <c r="M1202" s="66"/>
      <c r="N1202" s="66"/>
    </row>
    <row r="1203" spans="1:14" x14ac:dyDescent="0.2">
      <c r="A1203" s="84"/>
      <c r="B1203" s="84"/>
      <c r="C1203" s="60"/>
      <c r="D1203" s="66"/>
      <c r="E1203" s="66"/>
      <c r="F1203" s="66"/>
      <c r="G1203" s="66"/>
      <c r="H1203" s="66"/>
      <c r="I1203" s="66"/>
      <c r="J1203" s="66"/>
      <c r="K1203" s="66"/>
      <c r="L1203" s="66"/>
      <c r="M1203" s="66"/>
      <c r="N1203" s="66"/>
    </row>
    <row r="1204" spans="1:14" x14ac:dyDescent="0.2">
      <c r="A1204" s="84"/>
      <c r="B1204" s="84"/>
      <c r="C1204" s="60"/>
      <c r="D1204" s="66"/>
      <c r="E1204" s="66"/>
      <c r="F1204" s="66"/>
      <c r="G1204" s="66"/>
      <c r="H1204" s="66"/>
      <c r="I1204" s="66"/>
      <c r="J1204" s="66"/>
      <c r="K1204" s="66"/>
      <c r="L1204" s="66"/>
      <c r="M1204" s="66"/>
      <c r="N1204" s="66"/>
    </row>
    <row r="1205" spans="1:14" x14ac:dyDescent="0.2">
      <c r="A1205" s="84"/>
      <c r="B1205" s="84"/>
      <c r="C1205" s="60"/>
      <c r="D1205" s="66"/>
      <c r="E1205" s="66"/>
      <c r="F1205" s="66"/>
      <c r="G1205" s="66"/>
      <c r="H1205" s="66"/>
      <c r="I1205" s="66"/>
      <c r="J1205" s="66"/>
      <c r="K1205" s="66"/>
      <c r="L1205" s="66"/>
      <c r="M1205" s="66"/>
      <c r="N1205" s="66"/>
    </row>
    <row r="1206" spans="1:14" x14ac:dyDescent="0.2">
      <c r="A1206" s="84"/>
      <c r="B1206" s="84"/>
      <c r="C1206" s="60"/>
      <c r="D1206" s="66"/>
      <c r="E1206" s="66"/>
      <c r="F1206" s="66"/>
      <c r="G1206" s="66"/>
      <c r="H1206" s="66"/>
      <c r="I1206" s="66"/>
      <c r="J1206" s="66"/>
      <c r="K1206" s="66"/>
      <c r="L1206" s="66"/>
      <c r="M1206" s="66"/>
      <c r="N1206" s="66"/>
    </row>
    <row r="1207" spans="1:14" x14ac:dyDescent="0.2">
      <c r="A1207" s="84"/>
      <c r="B1207" s="84"/>
      <c r="C1207" s="60"/>
      <c r="D1207" s="66"/>
      <c r="E1207" s="66"/>
      <c r="F1207" s="66"/>
      <c r="G1207" s="66"/>
      <c r="H1207" s="66"/>
      <c r="I1207" s="66"/>
      <c r="J1207" s="66"/>
      <c r="K1207" s="66"/>
      <c r="L1207" s="66"/>
      <c r="M1207" s="66"/>
      <c r="N1207" s="66"/>
    </row>
    <row r="1208" spans="1:14" x14ac:dyDescent="0.2">
      <c r="A1208" s="84"/>
      <c r="B1208" s="84"/>
      <c r="C1208" s="60"/>
      <c r="D1208" s="66"/>
      <c r="E1208" s="66"/>
      <c r="F1208" s="66"/>
      <c r="G1208" s="66"/>
      <c r="H1208" s="66"/>
      <c r="I1208" s="66"/>
      <c r="J1208" s="66"/>
      <c r="K1208" s="66"/>
      <c r="L1208" s="66"/>
      <c r="M1208" s="66"/>
      <c r="N1208" s="66"/>
    </row>
    <row r="1209" spans="1:14" x14ac:dyDescent="0.2">
      <c r="A1209" s="84"/>
      <c r="B1209" s="84"/>
      <c r="C1209" s="60"/>
      <c r="D1209" s="66"/>
      <c r="E1209" s="66"/>
      <c r="F1209" s="66"/>
      <c r="G1209" s="66"/>
      <c r="H1209" s="66"/>
      <c r="I1209" s="66"/>
      <c r="J1209" s="66"/>
      <c r="K1209" s="66"/>
      <c r="L1209" s="66"/>
      <c r="M1209" s="66"/>
      <c r="N1209" s="66"/>
    </row>
    <row r="1210" spans="1:14" x14ac:dyDescent="0.2">
      <c r="A1210" s="84"/>
      <c r="B1210" s="84"/>
      <c r="C1210" s="60"/>
      <c r="D1210" s="66"/>
      <c r="E1210" s="66"/>
      <c r="F1210" s="66"/>
      <c r="G1210" s="66"/>
      <c r="H1210" s="66"/>
      <c r="I1210" s="66"/>
      <c r="J1210" s="66"/>
      <c r="K1210" s="66"/>
      <c r="L1210" s="66"/>
      <c r="M1210" s="66"/>
      <c r="N1210" s="66"/>
    </row>
  </sheetData>
  <pageMargins left="0.25" right="0.25" top="0.75" bottom="0.75" header="0.3" footer="0.3"/>
  <pageSetup scale="80" fitToHeight="0" orientation="landscape" r:id="rId1"/>
  <headerFooter>
    <oddFooter>&amp;LRev &amp;D&amp;C&amp;P</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1253"/>
  <sheetViews>
    <sheetView topLeftCell="A235" workbookViewId="0">
      <selection sqref="A1:N259"/>
    </sheetView>
  </sheetViews>
  <sheetFormatPr defaultColWidth="9" defaultRowHeight="12.75" x14ac:dyDescent="0.2"/>
  <cols>
    <col min="1" max="1" width="27.25" style="59" customWidth="1"/>
    <col min="2" max="2" width="9.5" style="60" customWidth="1"/>
    <col min="3" max="4" width="9" style="84" customWidth="1"/>
    <col min="5" max="16384" width="9" style="84"/>
  </cols>
  <sheetData>
    <row r="1" spans="1:14" s="58" customFormat="1" ht="13.5" thickBot="1" x14ac:dyDescent="0.25">
      <c r="A1" s="67" t="str">
        <f>CMS!A1</f>
        <v>Northwest Youth Services Budget - 2018 - APPROVED BY BOARD NOV 30, 2017</v>
      </c>
      <c r="B1" s="79"/>
      <c r="C1" s="67"/>
      <c r="D1" s="67"/>
      <c r="E1" s="67"/>
      <c r="F1" s="67"/>
      <c r="G1" s="67"/>
      <c r="H1" s="67"/>
      <c r="I1" s="67"/>
      <c r="J1" s="67"/>
      <c r="K1" s="67"/>
      <c r="L1" s="67"/>
      <c r="M1" s="67"/>
      <c r="N1" s="67"/>
    </row>
    <row r="2" spans="1:14" s="58" customFormat="1" x14ac:dyDescent="0.2">
      <c r="A2" s="80"/>
      <c r="B2" s="81"/>
    </row>
    <row r="3" spans="1:14" s="58" customFormat="1" x14ac:dyDescent="0.2">
      <c r="A3" s="81" t="s">
        <v>477</v>
      </c>
      <c r="B3" s="81"/>
    </row>
    <row r="5" spans="1:14" s="70" customFormat="1" ht="13.5" thickBot="1" x14ac:dyDescent="0.25">
      <c r="A5" s="82" t="s">
        <v>143</v>
      </c>
      <c r="B5" s="83" t="s">
        <v>144</v>
      </c>
      <c r="C5" s="83" t="str">
        <f>CMS!C5</f>
        <v>January</v>
      </c>
      <c r="D5" s="83" t="str">
        <f>CMS!D5</f>
        <v>February</v>
      </c>
      <c r="E5" s="83" t="str">
        <f>CMS!E5</f>
        <v>March</v>
      </c>
      <c r="F5" s="83" t="str">
        <f>CMS!F5</f>
        <v>April</v>
      </c>
      <c r="G5" s="83" t="str">
        <f>CMS!G5</f>
        <v>May</v>
      </c>
      <c r="H5" s="83" t="str">
        <f>CMS!H5</f>
        <v>June</v>
      </c>
      <c r="I5" s="83" t="str">
        <f>CMS!I5</f>
        <v>July</v>
      </c>
      <c r="J5" s="83" t="str">
        <f>CMS!J5</f>
        <v>August</v>
      </c>
      <c r="K5" s="83" t="str">
        <f>CMS!K5</f>
        <v>September</v>
      </c>
      <c r="L5" s="83" t="str">
        <f>CMS!L5</f>
        <v>October</v>
      </c>
      <c r="M5" s="83" t="str">
        <f>CMS!M5</f>
        <v>November</v>
      </c>
      <c r="N5" s="83" t="str">
        <f>CMS!N5</f>
        <v>December</v>
      </c>
    </row>
    <row r="6" spans="1:14" s="70" customFormat="1" x14ac:dyDescent="0.2">
      <c r="A6" s="28"/>
      <c r="B6" s="86"/>
      <c r="C6" s="86"/>
      <c r="D6" s="26"/>
      <c r="E6" s="26"/>
      <c r="F6" s="26"/>
      <c r="G6" s="26"/>
      <c r="H6" s="26"/>
      <c r="I6" s="26"/>
      <c r="J6" s="26"/>
      <c r="K6" s="26"/>
      <c r="L6" s="26"/>
      <c r="M6" s="26"/>
      <c r="N6" s="26"/>
    </row>
    <row r="7" spans="1:14" s="70" customFormat="1" x14ac:dyDescent="0.2">
      <c r="A7" s="58" t="s">
        <v>14</v>
      </c>
      <c r="B7" s="60"/>
      <c r="C7" s="60"/>
      <c r="D7" s="94"/>
      <c r="E7" s="94"/>
      <c r="F7" s="94"/>
      <c r="G7" s="94"/>
      <c r="H7" s="94"/>
      <c r="I7" s="94"/>
      <c r="J7" s="94"/>
      <c r="K7" s="94"/>
      <c r="L7" s="94"/>
      <c r="M7" s="94"/>
      <c r="N7" s="94"/>
    </row>
    <row r="8" spans="1:14" x14ac:dyDescent="0.2">
      <c r="A8" s="61" t="s">
        <v>513</v>
      </c>
      <c r="B8" s="63">
        <f>SUM(C8:N8)</f>
        <v>42994.6180092</v>
      </c>
      <c r="C8" s="62">
        <f>SUM(C199+C212)*1.1</f>
        <v>3582.8848340999998</v>
      </c>
      <c r="D8" s="62">
        <f t="shared" ref="D8:N8" si="0">SUM(D199+D212)*1.1</f>
        <v>3582.8848340999998</v>
      </c>
      <c r="E8" s="62">
        <f t="shared" si="0"/>
        <v>3582.8848340999998</v>
      </c>
      <c r="F8" s="62">
        <f t="shared" si="0"/>
        <v>3582.8848340999998</v>
      </c>
      <c r="G8" s="62">
        <f t="shared" si="0"/>
        <v>3582.8848340999998</v>
      </c>
      <c r="H8" s="62">
        <f t="shared" si="0"/>
        <v>3582.8848340999998</v>
      </c>
      <c r="I8" s="62">
        <f t="shared" si="0"/>
        <v>3582.8848340999998</v>
      </c>
      <c r="J8" s="62">
        <f t="shared" si="0"/>
        <v>3582.8848340999998</v>
      </c>
      <c r="K8" s="62">
        <f t="shared" si="0"/>
        <v>3582.8848340999998</v>
      </c>
      <c r="L8" s="62">
        <f t="shared" si="0"/>
        <v>3582.8848340999998</v>
      </c>
      <c r="M8" s="62">
        <f t="shared" si="0"/>
        <v>3582.8848340999998</v>
      </c>
      <c r="N8" s="62">
        <f t="shared" si="0"/>
        <v>3582.8848340999998</v>
      </c>
    </row>
    <row r="9" spans="1:14" x14ac:dyDescent="0.2">
      <c r="A9" s="61" t="s">
        <v>651</v>
      </c>
      <c r="B9" s="63">
        <f>SUM(C9:N9)</f>
        <v>101423.93928052609</v>
      </c>
      <c r="C9" s="62">
        <f>SUM(C251+C88+C89+C98+C93+(C238+C225)*0.1)*1.15</f>
        <v>11087.762995599396</v>
      </c>
      <c r="D9" s="62">
        <f t="shared" ref="D9:N9" si="1">SUM(D251+D88+D89+D98+D93+(D238+D225)*0.1)*1.15</f>
        <v>8212.3796622660648</v>
      </c>
      <c r="E9" s="62">
        <f t="shared" si="1"/>
        <v>8212.3796622660648</v>
      </c>
      <c r="F9" s="62">
        <f t="shared" si="1"/>
        <v>8212.3796622660648</v>
      </c>
      <c r="G9" s="62">
        <f t="shared" si="1"/>
        <v>8212.3796622660648</v>
      </c>
      <c r="H9" s="62">
        <f t="shared" si="1"/>
        <v>8212.3796622660648</v>
      </c>
      <c r="I9" s="62">
        <f t="shared" si="1"/>
        <v>8212.3796622660648</v>
      </c>
      <c r="J9" s="62">
        <f t="shared" si="1"/>
        <v>8212.3796622660648</v>
      </c>
      <c r="K9" s="62">
        <f t="shared" si="1"/>
        <v>8212.3796622660648</v>
      </c>
      <c r="L9" s="62">
        <f t="shared" si="1"/>
        <v>8212.3796622660648</v>
      </c>
      <c r="M9" s="62">
        <f t="shared" si="1"/>
        <v>8212.3796622660648</v>
      </c>
      <c r="N9" s="62">
        <f t="shared" si="1"/>
        <v>8212.3796622660648</v>
      </c>
    </row>
    <row r="10" spans="1:14" hidden="1" x14ac:dyDescent="0.2">
      <c r="A10" s="61"/>
      <c r="B10" s="63"/>
      <c r="C10" s="62"/>
      <c r="D10" s="62"/>
      <c r="E10" s="62"/>
      <c r="F10" s="62"/>
      <c r="G10" s="62"/>
      <c r="H10" s="62"/>
      <c r="I10" s="62"/>
      <c r="J10" s="62"/>
      <c r="K10" s="62"/>
      <c r="L10" s="62"/>
      <c r="M10" s="62"/>
      <c r="N10" s="62"/>
    </row>
    <row r="11" spans="1:14" hidden="1" x14ac:dyDescent="0.2">
      <c r="A11" s="61"/>
      <c r="B11" s="63"/>
      <c r="C11" s="62"/>
      <c r="D11" s="62"/>
      <c r="E11" s="62"/>
      <c r="F11" s="62"/>
      <c r="G11" s="62"/>
      <c r="H11" s="62"/>
      <c r="I11" s="62"/>
      <c r="J11" s="62"/>
      <c r="K11" s="62"/>
      <c r="L11" s="62"/>
      <c r="M11" s="62"/>
      <c r="N11" s="62"/>
    </row>
    <row r="12" spans="1:14" hidden="1" x14ac:dyDescent="0.2">
      <c r="A12" s="61"/>
      <c r="B12" s="63"/>
      <c r="C12" s="62"/>
      <c r="D12" s="62"/>
      <c r="E12" s="62"/>
      <c r="F12" s="62"/>
      <c r="G12" s="62"/>
      <c r="H12" s="62"/>
      <c r="I12" s="62"/>
      <c r="J12" s="62"/>
      <c r="K12" s="62"/>
      <c r="L12" s="62"/>
      <c r="M12" s="62"/>
      <c r="N12" s="62"/>
    </row>
    <row r="13" spans="1:14" hidden="1" x14ac:dyDescent="0.2">
      <c r="A13" s="61"/>
      <c r="B13" s="63"/>
      <c r="C13" s="62"/>
      <c r="D13" s="62"/>
      <c r="E13" s="62"/>
      <c r="F13" s="62"/>
      <c r="G13" s="62"/>
      <c r="H13" s="62"/>
      <c r="I13" s="62"/>
      <c r="J13" s="62"/>
      <c r="K13" s="62"/>
      <c r="L13" s="62"/>
      <c r="M13" s="62"/>
      <c r="N13" s="62"/>
    </row>
    <row r="14" spans="1:14" hidden="1" x14ac:dyDescent="0.2">
      <c r="A14" s="61"/>
      <c r="B14" s="63"/>
      <c r="C14" s="62"/>
      <c r="D14" s="62"/>
      <c r="E14" s="62"/>
      <c r="F14" s="62"/>
      <c r="G14" s="62"/>
      <c r="H14" s="62"/>
      <c r="I14" s="62"/>
      <c r="J14" s="62"/>
      <c r="K14" s="62"/>
      <c r="L14" s="62"/>
      <c r="M14" s="62"/>
      <c r="N14" s="62"/>
    </row>
    <row r="15" spans="1:14" hidden="1" x14ac:dyDescent="0.2">
      <c r="A15" s="61"/>
      <c r="B15" s="63"/>
      <c r="C15" s="62"/>
      <c r="D15" s="62"/>
      <c r="E15" s="62"/>
      <c r="F15" s="62"/>
      <c r="G15" s="62"/>
      <c r="H15" s="62"/>
      <c r="I15" s="62"/>
      <c r="J15" s="62"/>
      <c r="K15" s="62"/>
      <c r="L15" s="62"/>
      <c r="M15" s="62"/>
      <c r="N15" s="62"/>
    </row>
    <row r="16" spans="1:14" hidden="1" x14ac:dyDescent="0.2">
      <c r="A16" s="61"/>
      <c r="B16" s="63"/>
      <c r="C16" s="62"/>
      <c r="D16" s="62"/>
      <c r="E16" s="62"/>
      <c r="F16" s="62"/>
      <c r="G16" s="62"/>
      <c r="H16" s="62"/>
      <c r="I16" s="62"/>
      <c r="J16" s="62"/>
      <c r="K16" s="62"/>
      <c r="L16" s="62"/>
      <c r="M16" s="62"/>
      <c r="N16" s="62"/>
    </row>
    <row r="17" spans="1:14" hidden="1" x14ac:dyDescent="0.2">
      <c r="A17" s="61"/>
      <c r="B17" s="63"/>
      <c r="C17" s="62"/>
      <c r="D17" s="62"/>
      <c r="E17" s="62"/>
      <c r="F17" s="62"/>
      <c r="G17" s="62"/>
      <c r="H17" s="62"/>
      <c r="I17" s="62"/>
      <c r="J17" s="62"/>
      <c r="K17" s="62"/>
      <c r="L17" s="62"/>
      <c r="M17" s="62"/>
      <c r="N17" s="62"/>
    </row>
    <row r="18" spans="1:14" hidden="1" x14ac:dyDescent="0.2">
      <c r="A18" s="61"/>
      <c r="B18" s="63"/>
      <c r="C18" s="62"/>
      <c r="D18" s="62"/>
      <c r="E18" s="62"/>
      <c r="F18" s="62"/>
      <c r="G18" s="62"/>
      <c r="H18" s="62"/>
      <c r="I18" s="62"/>
      <c r="J18" s="62"/>
      <c r="K18" s="62"/>
      <c r="L18" s="62"/>
      <c r="M18" s="62"/>
      <c r="N18" s="62"/>
    </row>
    <row r="19" spans="1:14" hidden="1" x14ac:dyDescent="0.2">
      <c r="A19" s="61"/>
      <c r="B19" s="63"/>
      <c r="C19" s="62"/>
      <c r="D19" s="62"/>
      <c r="E19" s="62"/>
      <c r="F19" s="62"/>
      <c r="G19" s="62"/>
      <c r="H19" s="62"/>
      <c r="I19" s="62"/>
      <c r="J19" s="62"/>
      <c r="K19" s="62"/>
      <c r="L19" s="62"/>
      <c r="M19" s="62"/>
      <c r="N19" s="62"/>
    </row>
    <row r="20" spans="1:14" hidden="1" x14ac:dyDescent="0.2">
      <c r="A20" s="61"/>
      <c r="B20" s="63"/>
      <c r="C20" s="62"/>
      <c r="D20" s="62"/>
      <c r="E20" s="62"/>
      <c r="F20" s="62"/>
      <c r="G20" s="62"/>
      <c r="H20" s="62"/>
      <c r="I20" s="62"/>
      <c r="J20" s="62"/>
      <c r="K20" s="62"/>
      <c r="L20" s="62"/>
      <c r="M20" s="62"/>
      <c r="N20" s="62"/>
    </row>
    <row r="21" spans="1:14" hidden="1" x14ac:dyDescent="0.2">
      <c r="A21" s="61"/>
      <c r="B21" s="63"/>
      <c r="C21" s="62"/>
      <c r="D21" s="62"/>
      <c r="E21" s="62"/>
      <c r="F21" s="62"/>
      <c r="G21" s="62"/>
      <c r="H21" s="62"/>
      <c r="I21" s="62"/>
      <c r="J21" s="62"/>
      <c r="K21" s="62"/>
      <c r="L21" s="62"/>
      <c r="M21" s="62"/>
      <c r="N21" s="62"/>
    </row>
    <row r="22" spans="1:14" hidden="1" x14ac:dyDescent="0.2">
      <c r="A22" s="61"/>
      <c r="B22" s="63"/>
      <c r="C22" s="62"/>
      <c r="D22" s="62"/>
      <c r="E22" s="62"/>
      <c r="F22" s="62"/>
      <c r="G22" s="62"/>
      <c r="H22" s="62"/>
      <c r="I22" s="62"/>
      <c r="J22" s="62"/>
      <c r="K22" s="62"/>
      <c r="L22" s="62"/>
      <c r="M22" s="62"/>
      <c r="N22" s="62"/>
    </row>
    <row r="23" spans="1:14" hidden="1" x14ac:dyDescent="0.2">
      <c r="A23" s="61"/>
      <c r="B23" s="63"/>
      <c r="C23" s="62"/>
      <c r="D23" s="62"/>
      <c r="E23" s="62"/>
      <c r="F23" s="62"/>
      <c r="G23" s="62"/>
      <c r="H23" s="62"/>
      <c r="I23" s="62"/>
      <c r="J23" s="62"/>
      <c r="K23" s="62"/>
      <c r="L23" s="62"/>
      <c r="M23" s="62"/>
      <c r="N23" s="62"/>
    </row>
    <row r="24" spans="1:14" hidden="1" x14ac:dyDescent="0.2">
      <c r="A24" s="61"/>
      <c r="B24" s="63"/>
      <c r="C24" s="62"/>
      <c r="D24" s="62"/>
      <c r="E24" s="62"/>
      <c r="F24" s="62"/>
      <c r="G24" s="62"/>
      <c r="H24" s="62"/>
      <c r="I24" s="62"/>
      <c r="J24" s="62"/>
      <c r="K24" s="62"/>
      <c r="L24" s="62"/>
      <c r="M24" s="62"/>
      <c r="N24" s="62"/>
    </row>
    <row r="25" spans="1:14" hidden="1" x14ac:dyDescent="0.2">
      <c r="A25" s="61"/>
      <c r="B25" s="63"/>
      <c r="C25" s="62"/>
      <c r="D25" s="62"/>
      <c r="E25" s="62"/>
      <c r="F25" s="62"/>
      <c r="G25" s="62"/>
      <c r="H25" s="62"/>
      <c r="I25" s="62"/>
      <c r="J25" s="62"/>
      <c r="K25" s="62"/>
      <c r="L25" s="62"/>
      <c r="M25" s="62"/>
      <c r="N25" s="62"/>
    </row>
    <row r="26" spans="1:14" hidden="1" x14ac:dyDescent="0.2">
      <c r="A26" s="61"/>
      <c r="B26" s="63"/>
      <c r="C26" s="62"/>
      <c r="D26" s="62"/>
      <c r="E26" s="62"/>
      <c r="F26" s="62"/>
      <c r="G26" s="62"/>
      <c r="H26" s="62"/>
      <c r="I26" s="62"/>
      <c r="J26" s="62"/>
      <c r="K26" s="62"/>
      <c r="L26" s="62"/>
      <c r="M26" s="62"/>
      <c r="N26" s="62"/>
    </row>
    <row r="27" spans="1:14" hidden="1" x14ac:dyDescent="0.2">
      <c r="A27" s="61"/>
      <c r="B27" s="63"/>
      <c r="C27" s="62"/>
      <c r="D27" s="62"/>
      <c r="E27" s="62"/>
      <c r="F27" s="62"/>
      <c r="G27" s="62"/>
      <c r="H27" s="62"/>
      <c r="I27" s="62"/>
      <c r="J27" s="62"/>
      <c r="K27" s="62"/>
      <c r="L27" s="62"/>
      <c r="M27" s="62"/>
      <c r="N27" s="62"/>
    </row>
    <row r="28" spans="1:14" hidden="1" x14ac:dyDescent="0.2">
      <c r="A28" s="61"/>
      <c r="B28" s="63"/>
      <c r="C28" s="62"/>
      <c r="D28" s="62"/>
      <c r="E28" s="62"/>
      <c r="F28" s="62"/>
      <c r="G28" s="62"/>
      <c r="H28" s="62"/>
      <c r="I28" s="62"/>
      <c r="J28" s="62"/>
      <c r="K28" s="62"/>
      <c r="L28" s="62"/>
      <c r="M28" s="62"/>
      <c r="N28" s="62"/>
    </row>
    <row r="29" spans="1:14" hidden="1" x14ac:dyDescent="0.2">
      <c r="A29" s="61"/>
      <c r="B29" s="63"/>
      <c r="C29" s="62"/>
      <c r="D29" s="62"/>
      <c r="E29" s="62"/>
      <c r="F29" s="62"/>
      <c r="G29" s="62"/>
      <c r="H29" s="62"/>
      <c r="I29" s="62"/>
      <c r="J29" s="62"/>
      <c r="K29" s="62"/>
      <c r="L29" s="62"/>
      <c r="M29" s="62"/>
      <c r="N29" s="62"/>
    </row>
    <row r="30" spans="1:14" hidden="1" x14ac:dyDescent="0.2">
      <c r="A30" s="61"/>
      <c r="B30" s="63"/>
      <c r="C30" s="62"/>
      <c r="D30" s="62"/>
      <c r="E30" s="62"/>
      <c r="F30" s="62"/>
      <c r="G30" s="62"/>
      <c r="H30" s="62"/>
      <c r="I30" s="62"/>
      <c r="J30" s="62"/>
      <c r="K30" s="62"/>
      <c r="L30" s="62"/>
      <c r="M30" s="62"/>
      <c r="N30" s="62"/>
    </row>
    <row r="31" spans="1:14" hidden="1" x14ac:dyDescent="0.2">
      <c r="A31" s="61"/>
      <c r="B31" s="63"/>
      <c r="C31" s="62"/>
      <c r="D31" s="62"/>
      <c r="E31" s="62"/>
      <c r="F31" s="62"/>
      <c r="G31" s="62"/>
      <c r="H31" s="62"/>
      <c r="I31" s="62"/>
      <c r="J31" s="62"/>
      <c r="K31" s="62"/>
      <c r="L31" s="62"/>
      <c r="M31" s="62"/>
      <c r="N31" s="62"/>
    </row>
    <row r="32" spans="1:14" hidden="1" x14ac:dyDescent="0.2">
      <c r="A32" s="61"/>
      <c r="B32" s="63"/>
      <c r="C32" s="62"/>
      <c r="D32" s="62"/>
      <c r="E32" s="62"/>
      <c r="F32" s="62"/>
      <c r="G32" s="62"/>
      <c r="H32" s="62"/>
      <c r="I32" s="62"/>
      <c r="J32" s="62"/>
      <c r="K32" s="62"/>
      <c r="L32" s="62"/>
      <c r="M32" s="62"/>
      <c r="N32" s="62"/>
    </row>
    <row r="33" spans="1:14" hidden="1" x14ac:dyDescent="0.2">
      <c r="A33" s="61"/>
      <c r="B33" s="63"/>
      <c r="C33" s="62"/>
      <c r="D33" s="62"/>
      <c r="E33" s="62"/>
      <c r="F33" s="62"/>
      <c r="G33" s="62"/>
      <c r="H33" s="62"/>
      <c r="I33" s="62"/>
      <c r="J33" s="62"/>
      <c r="K33" s="62"/>
      <c r="L33" s="62"/>
      <c r="M33" s="62"/>
      <c r="N33" s="62"/>
    </row>
    <row r="34" spans="1:14" hidden="1" x14ac:dyDescent="0.2">
      <c r="A34" s="61"/>
      <c r="B34" s="63"/>
      <c r="C34" s="62"/>
      <c r="D34" s="62"/>
      <c r="E34" s="62"/>
      <c r="F34" s="62"/>
      <c r="G34" s="62"/>
      <c r="H34" s="62"/>
      <c r="I34" s="62"/>
      <c r="J34" s="62"/>
      <c r="K34" s="62"/>
      <c r="L34" s="62"/>
      <c r="M34" s="62"/>
      <c r="N34" s="62"/>
    </row>
    <row r="35" spans="1:14" hidden="1" x14ac:dyDescent="0.2">
      <c r="A35" s="61"/>
      <c r="B35" s="63"/>
      <c r="C35" s="62"/>
      <c r="D35" s="62"/>
      <c r="E35" s="62"/>
      <c r="F35" s="62"/>
      <c r="G35" s="62"/>
      <c r="H35" s="62"/>
      <c r="I35" s="62"/>
      <c r="J35" s="62"/>
      <c r="K35" s="62"/>
      <c r="L35" s="62"/>
      <c r="M35" s="62"/>
      <c r="N35" s="62"/>
    </row>
    <row r="36" spans="1:14" hidden="1" x14ac:dyDescent="0.2">
      <c r="A36" s="61"/>
      <c r="B36" s="63"/>
      <c r="C36" s="62"/>
      <c r="D36" s="62"/>
      <c r="E36" s="62"/>
      <c r="F36" s="62"/>
      <c r="G36" s="62"/>
      <c r="H36" s="62"/>
      <c r="I36" s="62"/>
      <c r="J36" s="62"/>
      <c r="K36" s="62"/>
      <c r="L36" s="62"/>
      <c r="M36" s="62"/>
      <c r="N36" s="62"/>
    </row>
    <row r="37" spans="1:14" hidden="1" x14ac:dyDescent="0.2">
      <c r="A37" s="61"/>
      <c r="B37" s="63"/>
      <c r="C37" s="62"/>
      <c r="D37" s="62"/>
      <c r="E37" s="62"/>
      <c r="F37" s="62"/>
      <c r="G37" s="62"/>
      <c r="H37" s="62"/>
      <c r="I37" s="62"/>
      <c r="J37" s="62"/>
      <c r="K37" s="62"/>
      <c r="L37" s="62"/>
      <c r="M37" s="62"/>
      <c r="N37" s="62"/>
    </row>
    <row r="38" spans="1:14" hidden="1" x14ac:dyDescent="0.2">
      <c r="A38" s="61"/>
      <c r="B38" s="63"/>
      <c r="C38" s="62"/>
      <c r="D38" s="62"/>
      <c r="E38" s="62"/>
      <c r="F38" s="62"/>
      <c r="G38" s="62"/>
      <c r="H38" s="62"/>
      <c r="I38" s="62"/>
      <c r="J38" s="62"/>
      <c r="K38" s="62"/>
      <c r="L38" s="62"/>
      <c r="M38" s="62"/>
      <c r="N38" s="62"/>
    </row>
    <row r="39" spans="1:14" x14ac:dyDescent="0.2">
      <c r="A39" s="61"/>
      <c r="B39" s="63"/>
      <c r="C39" s="62"/>
      <c r="D39" s="62"/>
      <c r="E39" s="62"/>
      <c r="F39" s="62"/>
      <c r="G39" s="62"/>
      <c r="H39" s="62"/>
      <c r="I39" s="62"/>
      <c r="J39" s="62"/>
      <c r="K39" s="62"/>
      <c r="L39" s="62"/>
      <c r="M39" s="62"/>
      <c r="N39" s="62"/>
    </row>
    <row r="40" spans="1:14" x14ac:dyDescent="0.2">
      <c r="A40" s="61" t="s">
        <v>514</v>
      </c>
      <c r="B40" s="63">
        <f>SUM(C40:N40)</f>
        <v>378736.61930620694</v>
      </c>
      <c r="C40" s="62">
        <f>SUM(C94+C147+C160+C173+C186)+(C225+C238)*0.9</f>
        <v>31561.384942183911</v>
      </c>
      <c r="D40" s="62">
        <f t="shared" ref="D40:N40" si="2">SUM(D94+D147+D160+D173+D186)+(D225+D238)*0.9</f>
        <v>31561.384942183911</v>
      </c>
      <c r="E40" s="62">
        <f t="shared" si="2"/>
        <v>31561.384942183911</v>
      </c>
      <c r="F40" s="62">
        <f t="shared" si="2"/>
        <v>31561.384942183911</v>
      </c>
      <c r="G40" s="62">
        <f t="shared" si="2"/>
        <v>31561.384942183911</v>
      </c>
      <c r="H40" s="62">
        <f t="shared" si="2"/>
        <v>31561.384942183911</v>
      </c>
      <c r="I40" s="62">
        <f t="shared" si="2"/>
        <v>31561.384942183911</v>
      </c>
      <c r="J40" s="62">
        <f t="shared" si="2"/>
        <v>31561.384942183911</v>
      </c>
      <c r="K40" s="62">
        <f t="shared" si="2"/>
        <v>31561.384942183911</v>
      </c>
      <c r="L40" s="62">
        <f t="shared" si="2"/>
        <v>31561.384942183911</v>
      </c>
      <c r="M40" s="62">
        <f t="shared" si="2"/>
        <v>31561.384942183911</v>
      </c>
      <c r="N40" s="62">
        <f t="shared" si="2"/>
        <v>31561.384942183911</v>
      </c>
    </row>
    <row r="41" spans="1:14" hidden="1" x14ac:dyDescent="0.2">
      <c r="A41" s="61" t="s">
        <v>145</v>
      </c>
      <c r="B41" s="63">
        <f t="shared" ref="B41:B75" si="3">SUM(C41:N41)</f>
        <v>0</v>
      </c>
      <c r="C41" s="63"/>
      <c r="D41" s="62"/>
      <c r="E41" s="62"/>
      <c r="F41" s="62"/>
      <c r="G41" s="62"/>
      <c r="H41" s="62"/>
      <c r="I41" s="62"/>
      <c r="J41" s="62"/>
      <c r="K41" s="62"/>
      <c r="L41" s="62"/>
      <c r="M41" s="62"/>
      <c r="N41" s="62"/>
    </row>
    <row r="42" spans="1:14" hidden="1" x14ac:dyDescent="0.2">
      <c r="A42" s="61" t="s">
        <v>145</v>
      </c>
      <c r="B42" s="63">
        <f t="shared" si="3"/>
        <v>0</v>
      </c>
      <c r="C42" s="63"/>
      <c r="D42" s="62"/>
      <c r="E42" s="62"/>
      <c r="F42" s="62"/>
      <c r="G42" s="62"/>
      <c r="H42" s="62"/>
      <c r="I42" s="62"/>
      <c r="J42" s="93"/>
      <c r="K42" s="93"/>
      <c r="L42" s="93"/>
      <c r="M42" s="93"/>
      <c r="N42" s="93"/>
    </row>
    <row r="43" spans="1:14" hidden="1" x14ac:dyDescent="0.2">
      <c r="A43" s="61" t="s">
        <v>145</v>
      </c>
      <c r="B43" s="63">
        <f t="shared" si="3"/>
        <v>0</v>
      </c>
      <c r="C43" s="63"/>
      <c r="D43" s="62"/>
      <c r="E43" s="62"/>
      <c r="F43" s="62"/>
      <c r="G43" s="62"/>
      <c r="H43" s="62"/>
      <c r="I43" s="62"/>
      <c r="J43" s="93"/>
      <c r="K43" s="93"/>
      <c r="L43" s="93"/>
      <c r="M43" s="93"/>
      <c r="N43" s="93"/>
    </row>
    <row r="44" spans="1:14" hidden="1" x14ac:dyDescent="0.2">
      <c r="A44" s="61" t="s">
        <v>145</v>
      </c>
      <c r="B44" s="63">
        <f t="shared" si="3"/>
        <v>0</v>
      </c>
      <c r="C44" s="63"/>
      <c r="D44" s="62"/>
      <c r="E44" s="62"/>
      <c r="F44" s="62"/>
      <c r="G44" s="62"/>
      <c r="H44" s="62"/>
      <c r="I44" s="62"/>
      <c r="J44" s="62"/>
      <c r="K44" s="62"/>
      <c r="L44" s="62"/>
      <c r="M44" s="62"/>
      <c r="N44" s="62"/>
    </row>
    <row r="45" spans="1:14" hidden="1" x14ac:dyDescent="0.2">
      <c r="A45" s="61" t="s">
        <v>145</v>
      </c>
      <c r="B45" s="63">
        <f t="shared" si="3"/>
        <v>0</v>
      </c>
      <c r="C45" s="63"/>
      <c r="D45" s="62"/>
      <c r="E45" s="62"/>
      <c r="F45" s="62"/>
      <c r="G45" s="62"/>
      <c r="H45" s="62"/>
      <c r="I45" s="62"/>
      <c r="J45" s="62"/>
      <c r="K45" s="62"/>
      <c r="L45" s="62"/>
      <c r="M45" s="62"/>
      <c r="N45" s="62"/>
    </row>
    <row r="46" spans="1:14" hidden="1" x14ac:dyDescent="0.2">
      <c r="A46" s="61" t="s">
        <v>145</v>
      </c>
      <c r="B46" s="63">
        <f t="shared" si="3"/>
        <v>0</v>
      </c>
      <c r="C46" s="63"/>
      <c r="D46" s="62"/>
      <c r="E46" s="62"/>
      <c r="F46" s="62"/>
      <c r="G46" s="62"/>
      <c r="H46" s="62"/>
      <c r="I46" s="62"/>
      <c r="J46" s="62"/>
      <c r="K46" s="62"/>
      <c r="L46" s="62"/>
      <c r="M46" s="62"/>
      <c r="N46" s="62"/>
    </row>
    <row r="47" spans="1:14" hidden="1" x14ac:dyDescent="0.2">
      <c r="A47" s="61" t="s">
        <v>145</v>
      </c>
      <c r="B47" s="63">
        <f t="shared" si="3"/>
        <v>0</v>
      </c>
      <c r="C47" s="63"/>
      <c r="D47" s="62"/>
      <c r="E47" s="62"/>
      <c r="F47" s="62"/>
      <c r="G47" s="62"/>
      <c r="H47" s="62"/>
      <c r="I47" s="62"/>
      <c r="J47" s="62"/>
      <c r="K47" s="62"/>
      <c r="L47" s="62"/>
      <c r="M47" s="62"/>
      <c r="N47" s="62"/>
    </row>
    <row r="48" spans="1:14" hidden="1" x14ac:dyDescent="0.2">
      <c r="A48" s="61" t="s">
        <v>145</v>
      </c>
      <c r="B48" s="63">
        <f t="shared" si="3"/>
        <v>0</v>
      </c>
      <c r="C48" s="63"/>
      <c r="D48" s="62"/>
      <c r="E48" s="62"/>
      <c r="F48" s="62"/>
      <c r="G48" s="62"/>
      <c r="H48" s="62"/>
      <c r="I48" s="62"/>
      <c r="J48" s="62"/>
      <c r="K48" s="62"/>
      <c r="L48" s="62"/>
      <c r="M48" s="62"/>
      <c r="N48" s="62"/>
    </row>
    <row r="49" spans="1:14" hidden="1" x14ac:dyDescent="0.2">
      <c r="A49" s="61" t="s">
        <v>145</v>
      </c>
      <c r="B49" s="63">
        <f t="shared" si="3"/>
        <v>0</v>
      </c>
      <c r="C49" s="63"/>
      <c r="D49" s="62"/>
      <c r="E49" s="62"/>
      <c r="F49" s="62"/>
      <c r="G49" s="62"/>
      <c r="H49" s="62"/>
      <c r="I49" s="62"/>
      <c r="J49" s="62"/>
      <c r="K49" s="62"/>
      <c r="L49" s="62"/>
      <c r="M49" s="62"/>
      <c r="N49" s="62"/>
    </row>
    <row r="50" spans="1:14" hidden="1" x14ac:dyDescent="0.2">
      <c r="A50" s="61" t="s">
        <v>145</v>
      </c>
      <c r="B50" s="63">
        <f t="shared" si="3"/>
        <v>0</v>
      </c>
      <c r="C50" s="63"/>
      <c r="D50" s="62"/>
      <c r="E50" s="62"/>
      <c r="F50" s="62"/>
      <c r="G50" s="62"/>
      <c r="H50" s="62"/>
      <c r="I50" s="62"/>
      <c r="J50" s="62"/>
      <c r="K50" s="62"/>
      <c r="L50" s="62"/>
      <c r="M50" s="62"/>
      <c r="N50" s="62"/>
    </row>
    <row r="51" spans="1:14" hidden="1" x14ac:dyDescent="0.2">
      <c r="A51" s="61" t="s">
        <v>145</v>
      </c>
      <c r="B51" s="63">
        <f t="shared" si="3"/>
        <v>0</v>
      </c>
      <c r="C51" s="63"/>
      <c r="D51" s="62"/>
      <c r="E51" s="62"/>
      <c r="F51" s="62"/>
      <c r="G51" s="62"/>
      <c r="H51" s="62"/>
      <c r="I51" s="62"/>
      <c r="J51" s="62"/>
      <c r="K51" s="62"/>
      <c r="L51" s="62"/>
      <c r="M51" s="62"/>
      <c r="N51" s="62"/>
    </row>
    <row r="52" spans="1:14" hidden="1" x14ac:dyDescent="0.2">
      <c r="A52" s="61" t="s">
        <v>145</v>
      </c>
      <c r="B52" s="63">
        <f t="shared" si="3"/>
        <v>0</v>
      </c>
      <c r="C52" s="63"/>
      <c r="D52" s="62"/>
      <c r="E52" s="62"/>
      <c r="F52" s="62"/>
      <c r="G52" s="62"/>
      <c r="H52" s="62"/>
      <c r="I52" s="62"/>
      <c r="J52" s="62"/>
      <c r="K52" s="62"/>
      <c r="L52" s="62"/>
      <c r="M52" s="62"/>
      <c r="N52" s="62"/>
    </row>
    <row r="53" spans="1:14" hidden="1" x14ac:dyDescent="0.2">
      <c r="A53" s="61" t="s">
        <v>145</v>
      </c>
      <c r="B53" s="63">
        <f t="shared" si="3"/>
        <v>0</v>
      </c>
      <c r="C53" s="63"/>
      <c r="D53" s="62"/>
      <c r="E53" s="62"/>
      <c r="F53" s="62"/>
      <c r="G53" s="62"/>
      <c r="H53" s="62"/>
      <c r="I53" s="62"/>
      <c r="J53" s="62"/>
      <c r="K53" s="62"/>
      <c r="L53" s="62"/>
      <c r="M53" s="62"/>
      <c r="N53" s="62"/>
    </row>
    <row r="54" spans="1:14" hidden="1" x14ac:dyDescent="0.2">
      <c r="A54" s="61" t="s">
        <v>146</v>
      </c>
      <c r="B54" s="63">
        <f t="shared" si="3"/>
        <v>0</v>
      </c>
      <c r="C54" s="63"/>
      <c r="D54" s="62"/>
      <c r="E54" s="62"/>
      <c r="F54" s="62"/>
      <c r="G54" s="62"/>
      <c r="H54" s="62"/>
      <c r="I54" s="62"/>
      <c r="J54" s="62"/>
      <c r="K54" s="62"/>
      <c r="L54" s="93"/>
      <c r="M54" s="93"/>
      <c r="N54" s="93"/>
    </row>
    <row r="55" spans="1:14" hidden="1" x14ac:dyDescent="0.2">
      <c r="A55" s="61" t="s">
        <v>146</v>
      </c>
      <c r="B55" s="63">
        <f t="shared" si="3"/>
        <v>0</v>
      </c>
      <c r="C55" s="63"/>
      <c r="D55" s="62"/>
      <c r="E55" s="62"/>
      <c r="F55" s="62"/>
      <c r="G55" s="62"/>
      <c r="H55" s="62"/>
      <c r="I55" s="62"/>
      <c r="J55" s="62"/>
      <c r="K55" s="62"/>
      <c r="L55" s="62"/>
      <c r="M55" s="62"/>
      <c r="N55" s="62"/>
    </row>
    <row r="56" spans="1:14" hidden="1" x14ac:dyDescent="0.2">
      <c r="A56" s="61" t="s">
        <v>146</v>
      </c>
      <c r="B56" s="63">
        <f t="shared" si="3"/>
        <v>0</v>
      </c>
      <c r="C56" s="63"/>
      <c r="D56" s="62"/>
      <c r="E56" s="62"/>
      <c r="F56" s="62"/>
      <c r="G56" s="62"/>
      <c r="H56" s="62"/>
      <c r="I56" s="62"/>
      <c r="J56" s="62"/>
      <c r="K56" s="62"/>
      <c r="L56" s="62"/>
      <c r="M56" s="62"/>
      <c r="N56" s="62"/>
    </row>
    <row r="57" spans="1:14" hidden="1" x14ac:dyDescent="0.2">
      <c r="A57" s="61" t="s">
        <v>146</v>
      </c>
      <c r="B57" s="63">
        <f t="shared" si="3"/>
        <v>0</v>
      </c>
      <c r="C57" s="63"/>
      <c r="D57" s="62"/>
      <c r="E57" s="62"/>
      <c r="F57" s="62"/>
      <c r="G57" s="62"/>
      <c r="H57" s="62"/>
      <c r="I57" s="62"/>
      <c r="J57" s="62"/>
      <c r="K57" s="62"/>
      <c r="L57" s="62"/>
      <c r="M57" s="62"/>
      <c r="N57" s="62"/>
    </row>
    <row r="58" spans="1:14" hidden="1" x14ac:dyDescent="0.2">
      <c r="A58" s="61" t="s">
        <v>146</v>
      </c>
      <c r="B58" s="63">
        <f t="shared" si="3"/>
        <v>0</v>
      </c>
      <c r="C58" s="63"/>
      <c r="D58" s="62"/>
      <c r="E58" s="62"/>
      <c r="F58" s="62"/>
      <c r="G58" s="62"/>
      <c r="H58" s="62"/>
      <c r="I58" s="62"/>
      <c r="J58" s="62"/>
      <c r="K58" s="62"/>
      <c r="L58" s="62"/>
      <c r="M58" s="62"/>
      <c r="N58" s="62"/>
    </row>
    <row r="59" spans="1:14" hidden="1" x14ac:dyDescent="0.2">
      <c r="A59" s="61" t="s">
        <v>146</v>
      </c>
      <c r="B59" s="63">
        <f t="shared" si="3"/>
        <v>0</v>
      </c>
      <c r="C59" s="63"/>
      <c r="D59" s="62"/>
      <c r="E59" s="62"/>
      <c r="F59" s="62"/>
      <c r="G59" s="62"/>
      <c r="H59" s="62"/>
      <c r="I59" s="62"/>
      <c r="J59" s="62"/>
      <c r="K59" s="62"/>
      <c r="L59" s="62"/>
      <c r="M59" s="62"/>
      <c r="N59" s="62"/>
    </row>
    <row r="60" spans="1:14" hidden="1" x14ac:dyDescent="0.2">
      <c r="A60" s="61" t="s">
        <v>146</v>
      </c>
      <c r="B60" s="63">
        <f t="shared" si="3"/>
        <v>0</v>
      </c>
      <c r="C60" s="63"/>
      <c r="D60" s="62"/>
      <c r="E60" s="62"/>
      <c r="F60" s="62"/>
      <c r="G60" s="62"/>
      <c r="H60" s="62"/>
      <c r="I60" s="62"/>
      <c r="J60" s="62"/>
      <c r="K60" s="62"/>
      <c r="L60" s="62"/>
      <c r="M60" s="62"/>
      <c r="N60" s="62"/>
    </row>
    <row r="61" spans="1:14" hidden="1" x14ac:dyDescent="0.2">
      <c r="A61" s="61" t="s">
        <v>146</v>
      </c>
      <c r="B61" s="63">
        <f t="shared" si="3"/>
        <v>0</v>
      </c>
      <c r="C61" s="63"/>
      <c r="D61" s="62"/>
      <c r="E61" s="62"/>
      <c r="F61" s="62"/>
      <c r="G61" s="62"/>
      <c r="H61" s="62"/>
      <c r="I61" s="62"/>
      <c r="J61" s="62"/>
      <c r="K61" s="62"/>
      <c r="L61" s="62"/>
      <c r="M61" s="62"/>
      <c r="N61" s="62"/>
    </row>
    <row r="62" spans="1:14" hidden="1" x14ac:dyDescent="0.2">
      <c r="A62" s="61" t="s">
        <v>146</v>
      </c>
      <c r="B62" s="63">
        <f t="shared" si="3"/>
        <v>0</v>
      </c>
      <c r="C62" s="63"/>
      <c r="D62" s="62"/>
      <c r="E62" s="62"/>
      <c r="F62" s="62"/>
      <c r="G62" s="62"/>
      <c r="H62" s="62"/>
      <c r="I62" s="62"/>
      <c r="J62" s="62"/>
      <c r="K62" s="62"/>
      <c r="L62" s="62"/>
      <c r="M62" s="62"/>
      <c r="N62" s="62"/>
    </row>
    <row r="63" spans="1:14" hidden="1" x14ac:dyDescent="0.2">
      <c r="A63" s="61" t="s">
        <v>146</v>
      </c>
      <c r="B63" s="63">
        <f t="shared" si="3"/>
        <v>0</v>
      </c>
      <c r="C63" s="63"/>
      <c r="D63" s="62"/>
      <c r="E63" s="62"/>
      <c r="F63" s="62"/>
      <c r="G63" s="62"/>
      <c r="H63" s="62"/>
      <c r="I63" s="62"/>
      <c r="J63" s="62"/>
      <c r="K63" s="62"/>
      <c r="L63" s="62"/>
      <c r="M63" s="62"/>
      <c r="N63" s="62"/>
    </row>
    <row r="64" spans="1:14" hidden="1" x14ac:dyDescent="0.2">
      <c r="A64" s="61" t="s">
        <v>146</v>
      </c>
      <c r="B64" s="63">
        <f t="shared" si="3"/>
        <v>0</v>
      </c>
      <c r="C64" s="63"/>
      <c r="D64" s="62"/>
      <c r="E64" s="62"/>
      <c r="F64" s="62"/>
      <c r="G64" s="62"/>
      <c r="H64" s="62"/>
      <c r="I64" s="62"/>
      <c r="J64" s="62"/>
      <c r="K64" s="62"/>
      <c r="L64" s="62"/>
      <c r="M64" s="62"/>
      <c r="N64" s="62"/>
    </row>
    <row r="65" spans="1:14" hidden="1" x14ac:dyDescent="0.2">
      <c r="A65" s="61" t="s">
        <v>146</v>
      </c>
      <c r="B65" s="63">
        <f t="shared" si="3"/>
        <v>0</v>
      </c>
      <c r="C65" s="63"/>
      <c r="D65" s="62"/>
      <c r="E65" s="62"/>
      <c r="F65" s="62"/>
      <c r="G65" s="62"/>
      <c r="H65" s="62"/>
      <c r="I65" s="62"/>
      <c r="J65" s="62"/>
      <c r="K65" s="62"/>
      <c r="L65" s="62"/>
      <c r="M65" s="62"/>
      <c r="N65" s="62"/>
    </row>
    <row r="66" spans="1:14" hidden="1" x14ac:dyDescent="0.2">
      <c r="A66" s="61" t="s">
        <v>146</v>
      </c>
      <c r="B66" s="63">
        <f t="shared" si="3"/>
        <v>0</v>
      </c>
      <c r="C66" s="63"/>
      <c r="D66" s="62"/>
      <c r="E66" s="62"/>
      <c r="F66" s="62"/>
      <c r="G66" s="62"/>
      <c r="H66" s="62"/>
      <c r="I66" s="62"/>
      <c r="J66" s="62"/>
      <c r="K66" s="62"/>
      <c r="L66" s="62"/>
      <c r="M66" s="62"/>
      <c r="N66" s="62"/>
    </row>
    <row r="67" spans="1:14" hidden="1" x14ac:dyDescent="0.2">
      <c r="A67" s="61" t="s">
        <v>146</v>
      </c>
      <c r="B67" s="63">
        <f t="shared" si="3"/>
        <v>0</v>
      </c>
      <c r="C67" s="62"/>
      <c r="D67" s="62"/>
      <c r="E67" s="62"/>
      <c r="F67" s="62"/>
      <c r="G67" s="62"/>
      <c r="H67" s="62"/>
      <c r="I67" s="62"/>
      <c r="J67" s="62"/>
      <c r="K67" s="62"/>
      <c r="L67" s="62"/>
      <c r="M67" s="62"/>
      <c r="N67" s="62"/>
    </row>
    <row r="68" spans="1:14" hidden="1" x14ac:dyDescent="0.2">
      <c r="A68" s="61" t="s">
        <v>146</v>
      </c>
      <c r="B68" s="63">
        <f t="shared" si="3"/>
        <v>0</v>
      </c>
      <c r="C68" s="63"/>
      <c r="D68" s="62"/>
      <c r="E68" s="62"/>
      <c r="F68" s="62"/>
      <c r="G68" s="62"/>
      <c r="H68" s="62"/>
      <c r="I68" s="62"/>
      <c r="J68" s="62"/>
      <c r="K68" s="62"/>
      <c r="L68" s="62"/>
      <c r="M68" s="62"/>
      <c r="N68" s="62"/>
    </row>
    <row r="69" spans="1:14" x14ac:dyDescent="0.2">
      <c r="A69" s="61" t="s">
        <v>146</v>
      </c>
      <c r="B69" s="63">
        <f t="shared" si="3"/>
        <v>0</v>
      </c>
      <c r="C69" s="63"/>
      <c r="D69" s="62"/>
      <c r="E69" s="62"/>
      <c r="F69" s="62"/>
      <c r="G69" s="62"/>
      <c r="H69" s="62"/>
      <c r="I69" s="62"/>
      <c r="J69" s="62"/>
      <c r="K69" s="62"/>
      <c r="L69" s="62"/>
      <c r="M69" s="62"/>
      <c r="N69" s="62"/>
    </row>
    <row r="70" spans="1:14" x14ac:dyDescent="0.2">
      <c r="A70" s="61" t="s">
        <v>16</v>
      </c>
      <c r="B70" s="63">
        <f t="shared" si="3"/>
        <v>9000</v>
      </c>
      <c r="C70" s="62">
        <v>750</v>
      </c>
      <c r="D70" s="62">
        <v>750</v>
      </c>
      <c r="E70" s="62">
        <v>750</v>
      </c>
      <c r="F70" s="62">
        <v>750</v>
      </c>
      <c r="G70" s="62">
        <v>750</v>
      </c>
      <c r="H70" s="62">
        <v>750</v>
      </c>
      <c r="I70" s="62">
        <v>750</v>
      </c>
      <c r="J70" s="62">
        <v>750</v>
      </c>
      <c r="K70" s="62">
        <v>750</v>
      </c>
      <c r="L70" s="62">
        <v>750</v>
      </c>
      <c r="M70" s="62">
        <v>750</v>
      </c>
      <c r="N70" s="62">
        <v>750</v>
      </c>
    </row>
    <row r="71" spans="1:14" x14ac:dyDescent="0.2">
      <c r="A71" s="61" t="s">
        <v>17</v>
      </c>
      <c r="B71" s="63">
        <f t="shared" si="3"/>
        <v>0</v>
      </c>
      <c r="C71" s="63"/>
      <c r="D71" s="62"/>
      <c r="E71" s="62"/>
      <c r="F71" s="62"/>
      <c r="G71" s="62"/>
      <c r="H71" s="62"/>
      <c r="I71" s="62"/>
      <c r="J71" s="62"/>
      <c r="K71" s="62"/>
      <c r="L71" s="62"/>
      <c r="M71" s="62"/>
      <c r="N71" s="62"/>
    </row>
    <row r="72" spans="1:14" x14ac:dyDescent="0.2">
      <c r="A72" s="61" t="s">
        <v>147</v>
      </c>
      <c r="B72" s="63">
        <f t="shared" si="3"/>
        <v>0</v>
      </c>
      <c r="C72" s="62"/>
      <c r="D72" s="62"/>
      <c r="E72" s="62"/>
      <c r="F72" s="62"/>
      <c r="G72" s="62"/>
      <c r="H72" s="62"/>
      <c r="I72" s="62"/>
      <c r="J72" s="62"/>
      <c r="K72" s="62"/>
      <c r="L72" s="62"/>
      <c r="M72" s="62"/>
      <c r="N72" s="62"/>
    </row>
    <row r="73" spans="1:14" x14ac:dyDescent="0.2">
      <c r="A73" s="61" t="s">
        <v>148</v>
      </c>
      <c r="B73" s="63">
        <f t="shared" si="3"/>
        <v>0</v>
      </c>
      <c r="C73" s="63"/>
      <c r="D73" s="62"/>
      <c r="E73" s="62"/>
      <c r="F73" s="62"/>
      <c r="G73" s="62"/>
      <c r="H73" s="62"/>
      <c r="I73" s="62"/>
      <c r="J73" s="62"/>
      <c r="K73" s="62"/>
      <c r="L73" s="62"/>
      <c r="M73" s="62"/>
      <c r="N73" s="62"/>
    </row>
    <row r="74" spans="1:14" x14ac:dyDescent="0.2">
      <c r="A74" s="61" t="s">
        <v>149</v>
      </c>
      <c r="B74" s="63">
        <f t="shared" si="3"/>
        <v>0</v>
      </c>
      <c r="C74" s="63"/>
      <c r="D74" s="62"/>
      <c r="E74" s="62"/>
      <c r="F74" s="62"/>
      <c r="G74" s="62"/>
      <c r="H74" s="62"/>
      <c r="I74" s="62"/>
      <c r="J74" s="62"/>
      <c r="K74" s="62"/>
      <c r="L74" s="62"/>
      <c r="M74" s="62"/>
      <c r="N74" s="62"/>
    </row>
    <row r="75" spans="1:14" x14ac:dyDescent="0.2">
      <c r="A75" s="61" t="s">
        <v>150</v>
      </c>
      <c r="B75" s="63">
        <f t="shared" si="3"/>
        <v>0</v>
      </c>
      <c r="C75" s="63"/>
      <c r="D75" s="62"/>
      <c r="E75" s="62"/>
      <c r="F75" s="62"/>
      <c r="G75" s="62"/>
      <c r="H75" s="62"/>
      <c r="I75" s="62"/>
      <c r="J75" s="62"/>
      <c r="K75" s="62"/>
      <c r="L75" s="62"/>
      <c r="M75" s="62"/>
      <c r="N75" s="62"/>
    </row>
    <row r="76" spans="1:14" ht="13.5" thickBot="1" x14ac:dyDescent="0.25">
      <c r="A76" s="61" t="s">
        <v>18</v>
      </c>
      <c r="B76" s="63">
        <f>SUM(C76:N76)</f>
        <v>0</v>
      </c>
      <c r="C76" s="63"/>
      <c r="D76" s="62"/>
      <c r="E76" s="62"/>
      <c r="F76" s="62"/>
      <c r="G76" s="62"/>
      <c r="H76" s="62"/>
      <c r="I76" s="62"/>
      <c r="J76" s="62"/>
      <c r="K76" s="62"/>
      <c r="L76" s="62"/>
      <c r="M76" s="62"/>
      <c r="N76" s="62"/>
    </row>
    <row r="77" spans="1:14" x14ac:dyDescent="0.2">
      <c r="A77" s="64" t="s">
        <v>151</v>
      </c>
      <c r="B77" s="65">
        <f t="shared" ref="B77:N77" si="4">SUM(B8:B76)</f>
        <v>532155.17659593304</v>
      </c>
      <c r="C77" s="65">
        <f t="shared" si="4"/>
        <v>46982.032771883307</v>
      </c>
      <c r="D77" s="65">
        <f t="shared" si="4"/>
        <v>44106.649438549975</v>
      </c>
      <c r="E77" s="65">
        <f t="shared" si="4"/>
        <v>44106.649438549975</v>
      </c>
      <c r="F77" s="65">
        <f t="shared" si="4"/>
        <v>44106.649438549975</v>
      </c>
      <c r="G77" s="65">
        <f t="shared" si="4"/>
        <v>44106.649438549975</v>
      </c>
      <c r="H77" s="65">
        <f t="shared" si="4"/>
        <v>44106.649438549975</v>
      </c>
      <c r="I77" s="65">
        <f t="shared" si="4"/>
        <v>44106.649438549975</v>
      </c>
      <c r="J77" s="65">
        <f t="shared" si="4"/>
        <v>44106.649438549975</v>
      </c>
      <c r="K77" s="65">
        <f t="shared" si="4"/>
        <v>44106.649438549975</v>
      </c>
      <c r="L77" s="65">
        <f t="shared" si="4"/>
        <v>44106.649438549975</v>
      </c>
      <c r="M77" s="65">
        <f t="shared" si="4"/>
        <v>44106.649438549975</v>
      </c>
      <c r="N77" s="65">
        <f t="shared" si="4"/>
        <v>44106.649438549975</v>
      </c>
    </row>
    <row r="78" spans="1:14" x14ac:dyDescent="0.2">
      <c r="C78" s="60"/>
      <c r="D78" s="66"/>
      <c r="E78" s="66"/>
      <c r="F78" s="66"/>
      <c r="G78" s="66"/>
      <c r="H78" s="66"/>
      <c r="I78" s="66"/>
      <c r="J78" s="66"/>
      <c r="K78" s="66"/>
      <c r="L78" s="66"/>
      <c r="M78" s="66"/>
      <c r="N78" s="66"/>
    </row>
    <row r="79" spans="1:14" x14ac:dyDescent="0.2">
      <c r="A79" s="58"/>
      <c r="C79" s="60"/>
      <c r="D79" s="100"/>
      <c r="E79" s="100"/>
      <c r="F79" s="100"/>
      <c r="G79" s="100"/>
      <c r="H79" s="100"/>
      <c r="I79" s="100"/>
      <c r="J79" s="100"/>
      <c r="K79" s="100"/>
      <c r="L79" s="100"/>
      <c r="M79" s="100"/>
      <c r="N79" s="100"/>
    </row>
    <row r="80" spans="1:14" x14ac:dyDescent="0.2">
      <c r="A80" s="58" t="s">
        <v>152</v>
      </c>
      <c r="B80" s="85"/>
      <c r="C80" s="85"/>
      <c r="D80" s="85"/>
      <c r="E80" s="85"/>
      <c r="F80" s="85"/>
      <c r="G80" s="85"/>
      <c r="H80" s="85"/>
      <c r="I80" s="85"/>
      <c r="J80" s="85"/>
      <c r="K80" s="85"/>
      <c r="L80" s="85"/>
      <c r="M80" s="85"/>
      <c r="N80" s="85"/>
    </row>
    <row r="81" spans="1:15" x14ac:dyDescent="0.2">
      <c r="A81" s="61" t="s">
        <v>153</v>
      </c>
      <c r="B81" s="63">
        <f>SUM(C81:N81)</f>
        <v>284386.99679999991</v>
      </c>
      <c r="C81" s="62">
        <f>SUM(C256)</f>
        <v>23698.916399999998</v>
      </c>
      <c r="D81" s="62">
        <f t="shared" ref="D81:N83" si="5">SUM(D256)</f>
        <v>23698.916399999998</v>
      </c>
      <c r="E81" s="62">
        <f t="shared" si="5"/>
        <v>23698.916399999998</v>
      </c>
      <c r="F81" s="62">
        <f t="shared" si="5"/>
        <v>23698.916399999998</v>
      </c>
      <c r="G81" s="62">
        <f t="shared" si="5"/>
        <v>23698.916399999998</v>
      </c>
      <c r="H81" s="62">
        <f t="shared" si="5"/>
        <v>23698.916399999998</v>
      </c>
      <c r="I81" s="62">
        <f t="shared" si="5"/>
        <v>23698.916399999998</v>
      </c>
      <c r="J81" s="62">
        <f t="shared" si="5"/>
        <v>23698.916399999998</v>
      </c>
      <c r="K81" s="62">
        <f t="shared" si="5"/>
        <v>23698.916399999998</v>
      </c>
      <c r="L81" s="62">
        <f t="shared" si="5"/>
        <v>23698.916399999998</v>
      </c>
      <c r="M81" s="62">
        <f t="shared" si="5"/>
        <v>23698.916399999998</v>
      </c>
      <c r="N81" s="62">
        <f t="shared" si="5"/>
        <v>23698.916399999998</v>
      </c>
    </row>
    <row r="82" spans="1:15" x14ac:dyDescent="0.2">
      <c r="A82" s="61" t="s">
        <v>22</v>
      </c>
      <c r="B82" s="63">
        <f>SUM(C82:N82)</f>
        <v>24348.445668000004</v>
      </c>
      <c r="C82" s="62">
        <f>SUM(C257)</f>
        <v>2029.0371390000003</v>
      </c>
      <c r="D82" s="62">
        <f t="shared" si="5"/>
        <v>2029.0371390000003</v>
      </c>
      <c r="E82" s="62">
        <f t="shared" si="5"/>
        <v>2029.0371390000003</v>
      </c>
      <c r="F82" s="62">
        <f t="shared" si="5"/>
        <v>2029.0371390000003</v>
      </c>
      <c r="G82" s="62">
        <f t="shared" si="5"/>
        <v>2029.0371390000003</v>
      </c>
      <c r="H82" s="62">
        <f t="shared" si="5"/>
        <v>2029.0371390000003</v>
      </c>
      <c r="I82" s="62">
        <f t="shared" si="5"/>
        <v>2029.0371390000003</v>
      </c>
      <c r="J82" s="62">
        <f t="shared" si="5"/>
        <v>2029.0371390000003</v>
      </c>
      <c r="K82" s="62">
        <f t="shared" si="5"/>
        <v>2029.0371390000003</v>
      </c>
      <c r="L82" s="62">
        <f t="shared" si="5"/>
        <v>2029.0371390000003</v>
      </c>
      <c r="M82" s="62">
        <f t="shared" si="5"/>
        <v>2029.0371390000003</v>
      </c>
      <c r="N82" s="62">
        <f t="shared" si="5"/>
        <v>2029.0371390000003</v>
      </c>
    </row>
    <row r="83" spans="1:15" s="101" customFormat="1" ht="13.5" thickBot="1" x14ac:dyDescent="0.25">
      <c r="A83" s="90" t="s">
        <v>23</v>
      </c>
      <c r="B83" s="63">
        <f>SUM(C83:N83)</f>
        <v>31021.946510896549</v>
      </c>
      <c r="C83" s="62">
        <f>SUM(C258)</f>
        <v>2585.1622092413795</v>
      </c>
      <c r="D83" s="62">
        <f t="shared" si="5"/>
        <v>2585.1622092413795</v>
      </c>
      <c r="E83" s="62">
        <f t="shared" si="5"/>
        <v>2585.1622092413795</v>
      </c>
      <c r="F83" s="62">
        <f t="shared" si="5"/>
        <v>2585.1622092413795</v>
      </c>
      <c r="G83" s="62">
        <f t="shared" si="5"/>
        <v>2585.1622092413795</v>
      </c>
      <c r="H83" s="62">
        <f t="shared" si="5"/>
        <v>2585.1622092413795</v>
      </c>
      <c r="I83" s="62">
        <f t="shared" si="5"/>
        <v>2585.1622092413795</v>
      </c>
      <c r="J83" s="62">
        <f t="shared" si="5"/>
        <v>2585.1622092413795</v>
      </c>
      <c r="K83" s="62">
        <f t="shared" si="5"/>
        <v>2585.1622092413795</v>
      </c>
      <c r="L83" s="62">
        <f t="shared" si="5"/>
        <v>2585.1622092413795</v>
      </c>
      <c r="M83" s="62">
        <f t="shared" si="5"/>
        <v>2585.1622092413795</v>
      </c>
      <c r="N83" s="62">
        <f t="shared" si="5"/>
        <v>2585.1622092413795</v>
      </c>
    </row>
    <row r="84" spans="1:15" x14ac:dyDescent="0.2">
      <c r="A84" s="64" t="s">
        <v>154</v>
      </c>
      <c r="B84" s="65">
        <f>SUM(B81:B83)</f>
        <v>339757.38897889649</v>
      </c>
      <c r="C84" s="65">
        <f t="shared" ref="C84:N84" si="6">SUM(C81:C83)</f>
        <v>28313.115748241376</v>
      </c>
      <c r="D84" s="65">
        <f t="shared" si="6"/>
        <v>28313.115748241376</v>
      </c>
      <c r="E84" s="65">
        <f t="shared" si="6"/>
        <v>28313.115748241376</v>
      </c>
      <c r="F84" s="65">
        <f t="shared" si="6"/>
        <v>28313.115748241376</v>
      </c>
      <c r="G84" s="65">
        <f t="shared" si="6"/>
        <v>28313.115748241376</v>
      </c>
      <c r="H84" s="65">
        <f t="shared" si="6"/>
        <v>28313.115748241376</v>
      </c>
      <c r="I84" s="65">
        <f t="shared" si="6"/>
        <v>28313.115748241376</v>
      </c>
      <c r="J84" s="65">
        <f t="shared" si="6"/>
        <v>28313.115748241376</v>
      </c>
      <c r="K84" s="65">
        <f t="shared" si="6"/>
        <v>28313.115748241376</v>
      </c>
      <c r="L84" s="65">
        <f t="shared" si="6"/>
        <v>28313.115748241376</v>
      </c>
      <c r="M84" s="65">
        <f t="shared" si="6"/>
        <v>28313.115748241376</v>
      </c>
      <c r="N84" s="65">
        <f t="shared" si="6"/>
        <v>28313.115748241376</v>
      </c>
      <c r="O84" s="140"/>
    </row>
    <row r="85" spans="1:15" x14ac:dyDescent="0.2">
      <c r="C85" s="60"/>
      <c r="D85" s="66"/>
      <c r="E85" s="66"/>
      <c r="F85" s="66"/>
      <c r="G85" s="66"/>
      <c r="H85" s="66"/>
      <c r="I85" s="66"/>
      <c r="J85" s="66"/>
      <c r="K85" s="66"/>
      <c r="L85" s="66"/>
      <c r="M85" s="66"/>
      <c r="N85" s="66"/>
    </row>
    <row r="86" spans="1:15" x14ac:dyDescent="0.2">
      <c r="C86" s="60"/>
      <c r="D86" s="66"/>
      <c r="E86" s="66"/>
      <c r="F86" s="66"/>
      <c r="G86" s="66"/>
      <c r="H86" s="66"/>
      <c r="I86" s="66"/>
      <c r="J86" s="66"/>
      <c r="K86" s="66"/>
      <c r="L86" s="66"/>
      <c r="M86" s="66"/>
      <c r="N86" s="66"/>
    </row>
    <row r="87" spans="1:15" x14ac:dyDescent="0.2">
      <c r="A87" s="58" t="s">
        <v>155</v>
      </c>
      <c r="C87" s="60"/>
      <c r="D87" s="66"/>
      <c r="E87" s="66"/>
      <c r="F87" s="66"/>
      <c r="G87" s="66"/>
      <c r="H87" s="66"/>
      <c r="I87" s="66"/>
      <c r="J87" s="66"/>
      <c r="K87" s="66"/>
      <c r="L87" s="66"/>
      <c r="M87" s="66"/>
      <c r="N87" s="66"/>
    </row>
    <row r="88" spans="1:15" x14ac:dyDescent="0.2">
      <c r="A88" s="61" t="str">
        <f>CMS!A57</f>
        <v>Training</v>
      </c>
      <c r="B88" s="63">
        <f>SUM(C88:N88)</f>
        <v>1000.0000000000001</v>
      </c>
      <c r="C88" s="62">
        <f>SUM(1000/12)</f>
        <v>83.333333333333329</v>
      </c>
      <c r="D88" s="62">
        <f t="shared" ref="D88:N88" si="7">SUM(1000/12)</f>
        <v>83.333333333333329</v>
      </c>
      <c r="E88" s="62">
        <f t="shared" si="7"/>
        <v>83.333333333333329</v>
      </c>
      <c r="F88" s="62">
        <f t="shared" si="7"/>
        <v>83.333333333333329</v>
      </c>
      <c r="G88" s="62">
        <f t="shared" si="7"/>
        <v>83.333333333333329</v>
      </c>
      <c r="H88" s="62">
        <f t="shared" si="7"/>
        <v>83.333333333333329</v>
      </c>
      <c r="I88" s="62">
        <f t="shared" si="7"/>
        <v>83.333333333333329</v>
      </c>
      <c r="J88" s="62">
        <f t="shared" si="7"/>
        <v>83.333333333333329</v>
      </c>
      <c r="K88" s="62">
        <f t="shared" si="7"/>
        <v>83.333333333333329</v>
      </c>
      <c r="L88" s="62">
        <f t="shared" si="7"/>
        <v>83.333333333333329</v>
      </c>
      <c r="M88" s="62">
        <f t="shared" si="7"/>
        <v>83.333333333333329</v>
      </c>
      <c r="N88" s="62">
        <f t="shared" si="7"/>
        <v>83.333333333333329</v>
      </c>
    </row>
    <row r="89" spans="1:15" x14ac:dyDescent="0.2">
      <c r="A89" s="61" t="str">
        <f>CMS!A58</f>
        <v>Travel</v>
      </c>
      <c r="B89" s="63">
        <f>SUM(C89:N89)</f>
        <v>300</v>
      </c>
      <c r="C89" s="62">
        <f>SUM(25)</f>
        <v>25</v>
      </c>
      <c r="D89" s="62">
        <f t="shared" ref="D89:N89" si="8">SUM(25)</f>
        <v>25</v>
      </c>
      <c r="E89" s="62">
        <f t="shared" si="8"/>
        <v>25</v>
      </c>
      <c r="F89" s="62">
        <f t="shared" si="8"/>
        <v>25</v>
      </c>
      <c r="G89" s="62">
        <f t="shared" si="8"/>
        <v>25</v>
      </c>
      <c r="H89" s="62">
        <f t="shared" si="8"/>
        <v>25</v>
      </c>
      <c r="I89" s="62">
        <f t="shared" si="8"/>
        <v>25</v>
      </c>
      <c r="J89" s="62">
        <f t="shared" si="8"/>
        <v>25</v>
      </c>
      <c r="K89" s="62">
        <f t="shared" si="8"/>
        <v>25</v>
      </c>
      <c r="L89" s="62">
        <f t="shared" si="8"/>
        <v>25</v>
      </c>
      <c r="M89" s="62">
        <f t="shared" si="8"/>
        <v>25</v>
      </c>
      <c r="N89" s="484">
        <f t="shared" si="8"/>
        <v>25</v>
      </c>
      <c r="O89" s="208"/>
    </row>
    <row r="90" spans="1:15" x14ac:dyDescent="0.2">
      <c r="A90" s="61" t="str">
        <f>CMS!A59</f>
        <v>Recognition</v>
      </c>
      <c r="B90" s="63">
        <f>SUM(C90:N90)</f>
        <v>0</v>
      </c>
      <c r="C90" s="62"/>
      <c r="D90" s="62"/>
      <c r="E90" s="62"/>
      <c r="F90" s="62"/>
      <c r="G90" s="62"/>
      <c r="H90" s="62"/>
      <c r="I90" s="62"/>
      <c r="J90" s="62"/>
      <c r="K90" s="62"/>
      <c r="L90" s="62"/>
      <c r="M90" s="62"/>
      <c r="N90" s="62"/>
    </row>
    <row r="91" spans="1:15" x14ac:dyDescent="0.2">
      <c r="A91" s="61" t="str">
        <f>CMS!A60</f>
        <v>Communications</v>
      </c>
      <c r="B91" s="63">
        <f t="shared" ref="B91:B113" si="9">SUM(C91:N91)</f>
        <v>0</v>
      </c>
      <c r="C91" s="63"/>
      <c r="D91" s="62"/>
      <c r="E91" s="62"/>
      <c r="F91" s="62"/>
      <c r="G91" s="62"/>
      <c r="H91" s="62"/>
      <c r="I91" s="62"/>
      <c r="J91" s="62"/>
      <c r="K91" s="62"/>
      <c r="L91" s="62"/>
      <c r="M91" s="62"/>
      <c r="N91" s="62"/>
    </row>
    <row r="92" spans="1:15" x14ac:dyDescent="0.2">
      <c r="A92" s="61" t="str">
        <f>CMS!A61</f>
        <v>Dues &amp; Subscriptions</v>
      </c>
      <c r="B92" s="63">
        <f t="shared" si="9"/>
        <v>0</v>
      </c>
      <c r="C92" s="63"/>
      <c r="D92" s="62"/>
      <c r="E92" s="62"/>
      <c r="F92" s="62"/>
      <c r="G92" s="62"/>
      <c r="H92" s="62"/>
      <c r="I92" s="62"/>
      <c r="J92" s="62"/>
      <c r="K92" s="62"/>
      <c r="L92" s="62"/>
      <c r="M92" s="62"/>
      <c r="N92" s="62"/>
    </row>
    <row r="93" spans="1:15" x14ac:dyDescent="0.2">
      <c r="A93" s="61" t="str">
        <f>CMS!A62</f>
        <v>Liability Insurance</v>
      </c>
      <c r="B93" s="63">
        <f t="shared" si="9"/>
        <v>4090.6431751301602</v>
      </c>
      <c r="C93" s="62">
        <f>SUM('Data Links'!$B$5/'All Employees'!$I$65)/12*C133</f>
        <v>340.88693126084661</v>
      </c>
      <c r="D93" s="62">
        <f>SUM('Data Links'!$B$5/'All Employees'!$I$65)/12*D133</f>
        <v>340.88693126084661</v>
      </c>
      <c r="E93" s="62">
        <f>SUM('Data Links'!$B$5/'All Employees'!$I$65)/12*E133</f>
        <v>340.88693126084661</v>
      </c>
      <c r="F93" s="62">
        <f>SUM('Data Links'!$B$5/'All Employees'!$I$65)/12*F133</f>
        <v>340.88693126084661</v>
      </c>
      <c r="G93" s="62">
        <f>SUM('Data Links'!$B$5/'All Employees'!$I$65)/12*G133</f>
        <v>340.88693126084661</v>
      </c>
      <c r="H93" s="62">
        <f>SUM('Data Links'!$B$5/'All Employees'!$I$65)/12*H133</f>
        <v>340.88693126084661</v>
      </c>
      <c r="I93" s="62">
        <f>SUM('Data Links'!$B$5/'All Employees'!$I$65)/12*I133</f>
        <v>340.88693126084661</v>
      </c>
      <c r="J93" s="62">
        <f>SUM('Data Links'!$B$5/'All Employees'!$I$65)/12*J133</f>
        <v>340.88693126084661</v>
      </c>
      <c r="K93" s="62">
        <f>SUM('Data Links'!$B$5/'All Employees'!$I$65)/12*K133</f>
        <v>340.88693126084661</v>
      </c>
      <c r="L93" s="62">
        <f>SUM('Data Links'!$B$5/'All Employees'!$I$65)/12*L133</f>
        <v>340.88693126084661</v>
      </c>
      <c r="M93" s="62">
        <f>SUM('Data Links'!$B$5/'All Employees'!$I$65)/12*M133</f>
        <v>340.88693126084661</v>
      </c>
      <c r="N93" s="62">
        <f>SUM('Data Links'!$B$5/'All Employees'!$I$65)/12*N133</f>
        <v>340.88693126084661</v>
      </c>
    </row>
    <row r="94" spans="1:15" x14ac:dyDescent="0.2">
      <c r="A94" s="61" t="str">
        <f>CMS!A63</f>
        <v>Professional Services</v>
      </c>
      <c r="B94" s="63">
        <f t="shared" si="9"/>
        <v>157373</v>
      </c>
      <c r="C94" s="62">
        <f>SUM(74173/12)+(83200/12)</f>
        <v>13114.416666666666</v>
      </c>
      <c r="D94" s="62">
        <f t="shared" ref="D94:N94" si="10">SUM(74173/12)+(83200/12)</f>
        <v>13114.416666666666</v>
      </c>
      <c r="E94" s="62">
        <f t="shared" si="10"/>
        <v>13114.416666666666</v>
      </c>
      <c r="F94" s="62">
        <f t="shared" si="10"/>
        <v>13114.416666666666</v>
      </c>
      <c r="G94" s="62">
        <f t="shared" si="10"/>
        <v>13114.416666666666</v>
      </c>
      <c r="H94" s="62">
        <f t="shared" si="10"/>
        <v>13114.416666666666</v>
      </c>
      <c r="I94" s="62">
        <f t="shared" si="10"/>
        <v>13114.416666666666</v>
      </c>
      <c r="J94" s="62">
        <f t="shared" si="10"/>
        <v>13114.416666666666</v>
      </c>
      <c r="K94" s="62">
        <f t="shared" si="10"/>
        <v>13114.416666666666</v>
      </c>
      <c r="L94" s="62">
        <f t="shared" si="10"/>
        <v>13114.416666666666</v>
      </c>
      <c r="M94" s="62">
        <f t="shared" si="10"/>
        <v>13114.416666666666</v>
      </c>
      <c r="N94" s="62">
        <f t="shared" si="10"/>
        <v>13114.416666666666</v>
      </c>
    </row>
    <row r="95" spans="1:15" x14ac:dyDescent="0.2">
      <c r="A95" s="61" t="str">
        <f>CMS!A64</f>
        <v>Legal Fees</v>
      </c>
      <c r="B95" s="63">
        <f t="shared" si="9"/>
        <v>0</v>
      </c>
      <c r="C95" s="63"/>
      <c r="D95" s="62"/>
      <c r="E95" s="62"/>
      <c r="F95" s="62"/>
      <c r="G95" s="62"/>
      <c r="H95" s="62"/>
      <c r="I95" s="62"/>
      <c r="J95" s="62"/>
      <c r="K95" s="62"/>
      <c r="L95" s="62"/>
      <c r="M95" s="62"/>
      <c r="N95" s="62"/>
    </row>
    <row r="96" spans="1:15" x14ac:dyDescent="0.2">
      <c r="A96" s="61" t="str">
        <f>CMS!A65</f>
        <v>Technical Services</v>
      </c>
      <c r="B96" s="63">
        <f t="shared" si="9"/>
        <v>0</v>
      </c>
      <c r="C96" s="63"/>
      <c r="D96" s="62"/>
      <c r="E96" s="62"/>
      <c r="F96" s="62"/>
      <c r="G96" s="62"/>
      <c r="H96" s="62"/>
      <c r="I96" s="62"/>
      <c r="J96" s="62"/>
      <c r="K96" s="62"/>
      <c r="L96" s="62"/>
      <c r="M96" s="62"/>
      <c r="N96" s="62"/>
    </row>
    <row r="97" spans="1:14" x14ac:dyDescent="0.2">
      <c r="A97" s="61" t="str">
        <f>CMS!A66</f>
        <v>Taxes/Licenses &amp; Permits</v>
      </c>
      <c r="B97" s="63">
        <f t="shared" si="9"/>
        <v>0</v>
      </c>
      <c r="C97" s="63"/>
      <c r="D97" s="62"/>
      <c r="E97" s="62"/>
      <c r="F97" s="62"/>
      <c r="G97" s="62"/>
      <c r="H97" s="62"/>
      <c r="I97" s="62"/>
      <c r="J97" s="62"/>
      <c r="K97" s="62"/>
      <c r="L97" s="62"/>
      <c r="M97" s="62"/>
      <c r="N97" s="62"/>
    </row>
    <row r="98" spans="1:14" x14ac:dyDescent="0.2">
      <c r="A98" s="61" t="str">
        <f>CMS!A67</f>
        <v>Small Tools &amp; Equip</v>
      </c>
      <c r="B98" s="63">
        <f t="shared" si="9"/>
        <v>3496.3333333333335</v>
      </c>
      <c r="C98" s="62">
        <f>SUM(2500)+(1000/12)</f>
        <v>2583.3333333333335</v>
      </c>
      <c r="D98" s="62">
        <v>83</v>
      </c>
      <c r="E98" s="62">
        <v>83</v>
      </c>
      <c r="F98" s="62">
        <v>83</v>
      </c>
      <c r="G98" s="62">
        <v>83</v>
      </c>
      <c r="H98" s="62">
        <v>83</v>
      </c>
      <c r="I98" s="62">
        <v>83</v>
      </c>
      <c r="J98" s="62">
        <v>83</v>
      </c>
      <c r="K98" s="62">
        <v>83</v>
      </c>
      <c r="L98" s="62">
        <v>83</v>
      </c>
      <c r="M98" s="62">
        <v>83</v>
      </c>
      <c r="N98" s="62">
        <v>83</v>
      </c>
    </row>
    <row r="99" spans="1:14" x14ac:dyDescent="0.2">
      <c r="A99" s="61" t="str">
        <f>CMS!A68</f>
        <v>Office Supplies</v>
      </c>
      <c r="B99" s="63">
        <f t="shared" si="9"/>
        <v>0</v>
      </c>
      <c r="C99" s="63"/>
      <c r="D99" s="62"/>
      <c r="E99" s="62"/>
      <c r="F99" s="62"/>
      <c r="G99" s="62"/>
      <c r="H99" s="62"/>
      <c r="I99" s="62"/>
      <c r="J99" s="62"/>
      <c r="K99" s="62"/>
      <c r="L99" s="62"/>
      <c r="M99" s="62"/>
      <c r="N99" s="62"/>
    </row>
    <row r="100" spans="1:14" x14ac:dyDescent="0.2">
      <c r="A100" s="61" t="str">
        <f>CMS!A69</f>
        <v>Program Supplies</v>
      </c>
      <c r="B100" s="63">
        <f t="shared" si="9"/>
        <v>0</v>
      </c>
      <c r="C100" s="62"/>
      <c r="D100" s="62"/>
      <c r="E100" s="62"/>
      <c r="F100" s="62"/>
      <c r="G100" s="62"/>
      <c r="H100" s="62"/>
      <c r="I100" s="62"/>
      <c r="J100" s="62"/>
      <c r="K100" s="62"/>
      <c r="L100" s="62"/>
      <c r="M100" s="62"/>
      <c r="N100" s="62"/>
    </row>
    <row r="101" spans="1:14" x14ac:dyDescent="0.2">
      <c r="A101" s="61" t="str">
        <f>CMS!A70</f>
        <v>Advertising</v>
      </c>
      <c r="B101" s="63">
        <f t="shared" si="9"/>
        <v>0</v>
      </c>
      <c r="C101" s="63"/>
      <c r="D101" s="62"/>
      <c r="E101" s="62"/>
      <c r="F101" s="62"/>
      <c r="G101" s="62"/>
      <c r="H101" s="62"/>
      <c r="I101" s="62"/>
      <c r="J101" s="62"/>
      <c r="K101" s="62"/>
      <c r="L101" s="62"/>
      <c r="M101" s="62"/>
      <c r="N101" s="62"/>
    </row>
    <row r="102" spans="1:14" x14ac:dyDescent="0.2">
      <c r="A102" s="61" t="str">
        <f>CMS!A71</f>
        <v>Repairs &amp; Maintenance</v>
      </c>
      <c r="B102" s="63">
        <f t="shared" si="9"/>
        <v>0</v>
      </c>
      <c r="C102" s="63"/>
      <c r="D102" s="62"/>
      <c r="E102" s="62"/>
      <c r="F102" s="62"/>
      <c r="G102" s="62"/>
      <c r="H102" s="62"/>
      <c r="I102" s="62"/>
      <c r="J102" s="62"/>
      <c r="K102" s="62"/>
      <c r="L102" s="62"/>
      <c r="M102" s="62"/>
      <c r="N102" s="62"/>
    </row>
    <row r="103" spans="1:14" x14ac:dyDescent="0.2">
      <c r="A103" s="61" t="str">
        <f>CMS!A72</f>
        <v>Client Expense</v>
      </c>
      <c r="B103" s="63">
        <f t="shared" si="9"/>
        <v>0</v>
      </c>
      <c r="C103" s="63"/>
      <c r="D103" s="62"/>
      <c r="E103" s="62"/>
      <c r="F103" s="62"/>
      <c r="G103" s="62"/>
      <c r="H103" s="62"/>
      <c r="I103" s="62"/>
      <c r="J103" s="62"/>
      <c r="K103" s="62"/>
      <c r="L103" s="62"/>
      <c r="M103" s="62"/>
      <c r="N103" s="62"/>
    </row>
    <row r="104" spans="1:14" x14ac:dyDescent="0.2">
      <c r="A104" s="61" t="str">
        <f>CMS!A73</f>
        <v>Printing</v>
      </c>
      <c r="B104" s="63">
        <f t="shared" si="9"/>
        <v>0</v>
      </c>
      <c r="C104" s="63"/>
      <c r="D104" s="62"/>
      <c r="E104" s="62"/>
      <c r="F104" s="62"/>
      <c r="G104" s="62"/>
      <c r="H104" s="62"/>
      <c r="I104" s="62"/>
      <c r="J104" s="62"/>
      <c r="K104" s="62"/>
      <c r="L104" s="62"/>
      <c r="M104" s="62"/>
      <c r="N104" s="62"/>
    </row>
    <row r="105" spans="1:14" x14ac:dyDescent="0.2">
      <c r="A105" s="61" t="str">
        <f>CMS!A74</f>
        <v>Postage</v>
      </c>
      <c r="B105" s="63">
        <f t="shared" si="9"/>
        <v>0</v>
      </c>
      <c r="C105" s="63"/>
      <c r="D105" s="62"/>
      <c r="E105" s="62"/>
      <c r="F105" s="62"/>
      <c r="G105" s="62"/>
      <c r="H105" s="62"/>
      <c r="I105" s="62"/>
      <c r="J105" s="62"/>
      <c r="K105" s="62"/>
      <c r="L105" s="62"/>
      <c r="M105" s="62"/>
      <c r="N105" s="62"/>
    </row>
    <row r="106" spans="1:14" ht="15.75" customHeight="1" x14ac:dyDescent="0.2">
      <c r="A106" s="61" t="str">
        <f>CMS!A75</f>
        <v>Rent/Lease Expense</v>
      </c>
      <c r="B106" s="63">
        <f t="shared" si="9"/>
        <v>0</v>
      </c>
      <c r="C106" s="63"/>
      <c r="D106" s="62"/>
      <c r="E106" s="62"/>
      <c r="F106" s="62"/>
      <c r="G106" s="62"/>
      <c r="H106" s="62"/>
      <c r="I106" s="62"/>
      <c r="J106" s="62"/>
      <c r="K106" s="62"/>
      <c r="L106" s="62"/>
      <c r="M106" s="62"/>
      <c r="N106" s="62"/>
    </row>
    <row r="107" spans="1:14" x14ac:dyDescent="0.2">
      <c r="A107" s="61" t="str">
        <f>CMS!A76</f>
        <v>Utilities</v>
      </c>
      <c r="B107" s="63">
        <f t="shared" si="9"/>
        <v>0</v>
      </c>
      <c r="C107" s="63"/>
      <c r="D107" s="62"/>
      <c r="E107" s="62"/>
      <c r="F107" s="62"/>
      <c r="G107" s="62"/>
      <c r="H107" s="62"/>
      <c r="I107" s="62"/>
      <c r="J107" s="62"/>
      <c r="K107" s="62"/>
      <c r="L107" s="62"/>
      <c r="M107" s="62"/>
      <c r="N107" s="62"/>
    </row>
    <row r="108" spans="1:14" x14ac:dyDescent="0.2">
      <c r="A108" s="61" t="str">
        <f>CMS!A77</f>
        <v>Bank Fees/Late Fees</v>
      </c>
      <c r="B108" s="63">
        <f t="shared" si="9"/>
        <v>0</v>
      </c>
      <c r="C108" s="63"/>
      <c r="D108" s="62"/>
      <c r="E108" s="62"/>
      <c r="F108" s="62"/>
      <c r="G108" s="62"/>
      <c r="H108" s="62"/>
      <c r="I108" s="62"/>
      <c r="J108" s="62"/>
      <c r="K108" s="62"/>
      <c r="L108" s="62"/>
      <c r="M108" s="62"/>
      <c r="N108" s="62"/>
    </row>
    <row r="109" spans="1:14" x14ac:dyDescent="0.2">
      <c r="A109" s="61" t="str">
        <f>CMS!A78</f>
        <v>Bad Debt Expense</v>
      </c>
      <c r="B109" s="63">
        <f t="shared" si="9"/>
        <v>0</v>
      </c>
      <c r="C109" s="62"/>
      <c r="D109" s="62"/>
      <c r="E109" s="62"/>
      <c r="F109" s="62"/>
      <c r="G109" s="62"/>
      <c r="H109" s="62"/>
      <c r="I109" s="62"/>
      <c r="J109" s="62"/>
      <c r="K109" s="62"/>
      <c r="L109" s="62"/>
      <c r="M109" s="62"/>
      <c r="N109" s="62"/>
    </row>
    <row r="110" spans="1:14" x14ac:dyDescent="0.2">
      <c r="A110" s="61" t="str">
        <f>CMS!A79</f>
        <v>Interest Expense</v>
      </c>
      <c r="B110" s="63">
        <f t="shared" si="9"/>
        <v>0</v>
      </c>
      <c r="C110" s="62"/>
      <c r="D110" s="62"/>
      <c r="E110" s="62"/>
      <c r="F110" s="62"/>
      <c r="G110" s="62"/>
      <c r="H110" s="62"/>
      <c r="I110" s="62"/>
      <c r="J110" s="62"/>
      <c r="K110" s="62"/>
      <c r="L110" s="62"/>
      <c r="M110" s="62"/>
      <c r="N110" s="62"/>
    </row>
    <row r="111" spans="1:14" x14ac:dyDescent="0.2">
      <c r="A111" s="61" t="str">
        <f>CMS!A80</f>
        <v>Meeting Expense</v>
      </c>
      <c r="B111" s="63">
        <f t="shared" si="9"/>
        <v>0</v>
      </c>
      <c r="C111" s="63"/>
      <c r="D111" s="62"/>
      <c r="E111" s="62"/>
      <c r="F111" s="62"/>
      <c r="G111" s="62"/>
      <c r="H111" s="62"/>
      <c r="I111" s="62"/>
      <c r="J111" s="62"/>
      <c r="K111" s="62"/>
      <c r="L111" s="62"/>
      <c r="M111" s="62"/>
      <c r="N111" s="62"/>
    </row>
    <row r="112" spans="1:14" x14ac:dyDescent="0.2">
      <c r="A112" s="61" t="str">
        <f>CMS!A81</f>
        <v>In Kind Expense</v>
      </c>
      <c r="B112" s="63">
        <f t="shared" si="9"/>
        <v>0</v>
      </c>
      <c r="C112" s="63"/>
      <c r="D112" s="62"/>
      <c r="E112" s="62"/>
      <c r="F112" s="62"/>
      <c r="G112" s="62"/>
      <c r="H112" s="62"/>
      <c r="I112" s="62"/>
      <c r="J112" s="62"/>
      <c r="K112" s="62"/>
      <c r="L112" s="62"/>
      <c r="M112" s="62"/>
      <c r="N112" s="62"/>
    </row>
    <row r="113" spans="1:14" s="101" customFormat="1" ht="13.5" thickBot="1" x14ac:dyDescent="0.25">
      <c r="A113" s="61" t="str">
        <f>CMS!A82</f>
        <v>Misc Expense</v>
      </c>
      <c r="B113" s="63">
        <f t="shared" si="9"/>
        <v>0</v>
      </c>
      <c r="C113" s="63"/>
      <c r="D113" s="93"/>
      <c r="E113" s="93"/>
      <c r="F113" s="93"/>
      <c r="G113" s="93"/>
      <c r="H113" s="93"/>
      <c r="I113" s="93"/>
      <c r="J113" s="93"/>
      <c r="K113" s="93"/>
      <c r="L113" s="93"/>
      <c r="M113" s="93"/>
      <c r="N113" s="93"/>
    </row>
    <row r="114" spans="1:14" x14ac:dyDescent="0.2">
      <c r="A114" s="64" t="s">
        <v>24</v>
      </c>
      <c r="B114" s="65">
        <f>SUM(B88:B113)</f>
        <v>166259.9765084635</v>
      </c>
      <c r="C114" s="65">
        <f t="shared" ref="C114:N114" si="11">SUM(C88:C113)</f>
        <v>16146.97026459418</v>
      </c>
      <c r="D114" s="65">
        <f t="shared" si="11"/>
        <v>13646.636931260846</v>
      </c>
      <c r="E114" s="65">
        <f t="shared" si="11"/>
        <v>13646.636931260846</v>
      </c>
      <c r="F114" s="65">
        <f t="shared" si="11"/>
        <v>13646.636931260846</v>
      </c>
      <c r="G114" s="65">
        <f t="shared" si="11"/>
        <v>13646.636931260846</v>
      </c>
      <c r="H114" s="65">
        <f t="shared" si="11"/>
        <v>13646.636931260846</v>
      </c>
      <c r="I114" s="65">
        <f t="shared" si="11"/>
        <v>13646.636931260846</v>
      </c>
      <c r="J114" s="65">
        <f t="shared" si="11"/>
        <v>13646.636931260846</v>
      </c>
      <c r="K114" s="65">
        <f t="shared" si="11"/>
        <v>13646.636931260846</v>
      </c>
      <c r="L114" s="65">
        <f t="shared" si="11"/>
        <v>13646.636931260846</v>
      </c>
      <c r="M114" s="65">
        <f t="shared" si="11"/>
        <v>13646.636931260846</v>
      </c>
      <c r="N114" s="65">
        <f t="shared" si="11"/>
        <v>13646.636931260846</v>
      </c>
    </row>
    <row r="115" spans="1:14" x14ac:dyDescent="0.2">
      <c r="C115" s="60"/>
      <c r="D115" s="66"/>
      <c r="E115" s="66"/>
      <c r="F115" s="66"/>
      <c r="G115" s="66"/>
      <c r="H115" s="66"/>
      <c r="I115" s="66"/>
      <c r="J115" s="66"/>
      <c r="K115" s="66"/>
      <c r="L115" s="66"/>
      <c r="M115" s="66"/>
      <c r="N115" s="66"/>
    </row>
    <row r="116" spans="1:14" x14ac:dyDescent="0.2">
      <c r="A116" s="28"/>
      <c r="B116" s="86"/>
      <c r="C116" s="86"/>
      <c r="D116" s="86"/>
      <c r="E116" s="86"/>
      <c r="F116" s="86"/>
      <c r="G116" s="86"/>
      <c r="H116" s="86"/>
      <c r="I116" s="86"/>
      <c r="J116" s="86"/>
      <c r="K116" s="86"/>
      <c r="L116" s="86"/>
      <c r="M116" s="86"/>
      <c r="N116" s="86"/>
    </row>
    <row r="117" spans="1:14" x14ac:dyDescent="0.2">
      <c r="A117" s="58" t="s">
        <v>25</v>
      </c>
      <c r="C117" s="60"/>
      <c r="D117" s="66"/>
      <c r="E117" s="66"/>
      <c r="F117" s="66"/>
      <c r="G117" s="66"/>
      <c r="H117" s="66"/>
      <c r="I117" s="66"/>
      <c r="J117" s="66"/>
      <c r="K117" s="66"/>
      <c r="L117" s="66"/>
      <c r="M117" s="66"/>
      <c r="N117" s="66"/>
    </row>
    <row r="118" spans="1:14" x14ac:dyDescent="0.2">
      <c r="A118" s="61" t="s">
        <v>329</v>
      </c>
      <c r="B118" s="63">
        <f>SUM(C118:N118)</f>
        <v>-22393.588435862905</v>
      </c>
      <c r="C118" s="62">
        <f>SUM('CMS &amp; Fundraising Allocations'!B58)</f>
        <v>-3162.6389261895315</v>
      </c>
      <c r="D118" s="62">
        <f>SUM('CMS &amp; Fundraising Allocations'!C58)</f>
        <v>-5451.9299778290178</v>
      </c>
      <c r="E118" s="62">
        <f>SUM('CMS &amp; Fundraising Allocations'!D58)</f>
        <v>-8168.495683876813</v>
      </c>
      <c r="F118" s="62">
        <f>SUM('CMS &amp; Fundraising Allocations'!E58)</f>
        <v>-5457.8975009352789</v>
      </c>
      <c r="G118" s="62">
        <f>SUM('CMS &amp; Fundraising Allocations'!F58)</f>
        <v>-5183.2422499696031</v>
      </c>
      <c r="H118" s="62">
        <f>SUM('CMS &amp; Fundraising Allocations'!G58)</f>
        <v>-6197.8703661116788</v>
      </c>
      <c r="I118" s="62">
        <f>SUM('CMS &amp; Fundraising Allocations'!H58)</f>
        <v>-1423.8518811026479</v>
      </c>
      <c r="J118" s="62">
        <f>SUM('CMS &amp; Fundraising Allocations'!I58)</f>
        <v>-5228.1478613442196</v>
      </c>
      <c r="K118" s="62">
        <f>SUM('CMS &amp; Fundraising Allocations'!J58)</f>
        <v>-5349.5869565566363</v>
      </c>
      <c r="L118" s="62">
        <f>SUM('CMS &amp; Fundraising Allocations'!K58)</f>
        <v>-4719.4165165354452</v>
      </c>
      <c r="M118" s="62">
        <f>SUM('CMS &amp; Fundraising Allocations'!L58)</f>
        <v>4576.0450380101065</v>
      </c>
      <c r="N118" s="62">
        <f>SUM('CMS &amp; Fundraising Allocations'!M58)</f>
        <v>23373.444446577858</v>
      </c>
    </row>
    <row r="119" spans="1:14" x14ac:dyDescent="0.2">
      <c r="A119" s="61" t="s">
        <v>330</v>
      </c>
      <c r="B119" s="63">
        <f>SUM(C119:N119)</f>
        <v>0</v>
      </c>
      <c r="C119" s="63"/>
      <c r="D119" s="62"/>
      <c r="E119" s="62"/>
      <c r="F119" s="62"/>
      <c r="G119" s="62"/>
      <c r="H119" s="62"/>
      <c r="I119" s="62"/>
      <c r="J119" s="62"/>
      <c r="K119" s="62"/>
      <c r="L119" s="62"/>
      <c r="M119" s="62"/>
      <c r="N119" s="62"/>
    </row>
    <row r="120" spans="1:14" ht="13.5" thickBot="1" x14ac:dyDescent="0.25">
      <c r="A120" s="61"/>
      <c r="B120" s="63">
        <f>SUM(C120:N120)</f>
        <v>0</v>
      </c>
      <c r="C120" s="63"/>
      <c r="D120" s="62"/>
      <c r="E120" s="62"/>
      <c r="F120" s="62"/>
      <c r="G120" s="62"/>
      <c r="H120" s="62"/>
      <c r="I120" s="62"/>
      <c r="J120" s="62"/>
      <c r="K120" s="62"/>
      <c r="L120" s="62"/>
      <c r="M120" s="62"/>
      <c r="N120" s="62"/>
    </row>
    <row r="121" spans="1:14" x14ac:dyDescent="0.2">
      <c r="A121" s="64" t="s">
        <v>26</v>
      </c>
      <c r="B121" s="65">
        <f t="shared" ref="B121:N121" si="12">SUM(B118:B120)</f>
        <v>-22393.588435862905</v>
      </c>
      <c r="C121" s="65">
        <f t="shared" si="12"/>
        <v>-3162.6389261895315</v>
      </c>
      <c r="D121" s="65">
        <f t="shared" si="12"/>
        <v>-5451.9299778290178</v>
      </c>
      <c r="E121" s="65">
        <f t="shared" si="12"/>
        <v>-8168.495683876813</v>
      </c>
      <c r="F121" s="65">
        <f t="shared" si="12"/>
        <v>-5457.8975009352789</v>
      </c>
      <c r="G121" s="65">
        <f t="shared" si="12"/>
        <v>-5183.2422499696031</v>
      </c>
      <c r="H121" s="65">
        <f t="shared" si="12"/>
        <v>-6197.8703661116788</v>
      </c>
      <c r="I121" s="65">
        <f t="shared" si="12"/>
        <v>-1423.8518811026479</v>
      </c>
      <c r="J121" s="65">
        <f t="shared" si="12"/>
        <v>-5228.1478613442196</v>
      </c>
      <c r="K121" s="65">
        <f t="shared" si="12"/>
        <v>-5349.5869565566363</v>
      </c>
      <c r="L121" s="65">
        <f t="shared" si="12"/>
        <v>-4719.4165165354452</v>
      </c>
      <c r="M121" s="65">
        <f t="shared" si="12"/>
        <v>4576.0450380101065</v>
      </c>
      <c r="N121" s="65">
        <f t="shared" si="12"/>
        <v>23373.444446577858</v>
      </c>
    </row>
    <row r="122" spans="1:14" x14ac:dyDescent="0.2">
      <c r="C122" s="60"/>
      <c r="D122" s="66"/>
      <c r="E122" s="66"/>
      <c r="F122" s="66"/>
      <c r="G122" s="66"/>
      <c r="H122" s="66"/>
      <c r="I122" s="66"/>
      <c r="J122" s="66"/>
      <c r="K122" s="66"/>
      <c r="L122" s="66"/>
      <c r="M122" s="66"/>
      <c r="N122" s="66"/>
    </row>
    <row r="123" spans="1:14" x14ac:dyDescent="0.2">
      <c r="A123" s="265" t="s">
        <v>405</v>
      </c>
      <c r="B123" s="266"/>
      <c r="C123" s="266">
        <f>SUM(C77-C84-C114-C121)</f>
        <v>5684.5856852372817</v>
      </c>
      <c r="D123" s="266">
        <f t="shared" ref="D123:N123" si="13">SUM(D77-D84-D114-D121)</f>
        <v>7598.8267368767711</v>
      </c>
      <c r="E123" s="266">
        <f t="shared" si="13"/>
        <v>10315.392442924567</v>
      </c>
      <c r="F123" s="266">
        <f t="shared" si="13"/>
        <v>7604.7942599830321</v>
      </c>
      <c r="G123" s="266">
        <f t="shared" si="13"/>
        <v>7330.1390090173563</v>
      </c>
      <c r="H123" s="266">
        <f t="shared" si="13"/>
        <v>8344.7671251594329</v>
      </c>
      <c r="I123" s="266">
        <f t="shared" si="13"/>
        <v>3570.7486401504011</v>
      </c>
      <c r="J123" s="266">
        <f t="shared" si="13"/>
        <v>7375.0446203919728</v>
      </c>
      <c r="K123" s="266">
        <f t="shared" si="13"/>
        <v>7496.4837156043895</v>
      </c>
      <c r="L123" s="266">
        <f t="shared" si="13"/>
        <v>6866.3132755831984</v>
      </c>
      <c r="M123" s="266">
        <f t="shared" si="13"/>
        <v>-2429.1482789623533</v>
      </c>
      <c r="N123" s="267">
        <f t="shared" si="13"/>
        <v>-21226.547687530103</v>
      </c>
    </row>
    <row r="124" spans="1:14" x14ac:dyDescent="0.2">
      <c r="C124" s="60"/>
      <c r="D124" s="66"/>
      <c r="E124" s="66"/>
      <c r="F124" s="66"/>
      <c r="G124" s="66"/>
      <c r="H124" s="66"/>
      <c r="I124" s="66"/>
      <c r="J124" s="66"/>
      <c r="K124" s="66"/>
      <c r="L124" s="66"/>
      <c r="M124" s="66"/>
      <c r="N124" s="66"/>
    </row>
    <row r="125" spans="1:14" x14ac:dyDescent="0.2">
      <c r="B125" s="86" t="str">
        <f>B5</f>
        <v>Total</v>
      </c>
      <c r="C125" s="86"/>
      <c r="D125" s="66"/>
      <c r="E125" s="66"/>
      <c r="F125" s="66"/>
      <c r="G125" s="66"/>
      <c r="H125" s="66"/>
      <c r="I125" s="66"/>
      <c r="J125" s="66"/>
      <c r="K125" s="66"/>
      <c r="L125" s="66"/>
      <c r="M125" s="66"/>
      <c r="N125" s="66"/>
    </row>
    <row r="126" spans="1:14" x14ac:dyDescent="0.2">
      <c r="A126" s="58" t="s">
        <v>31</v>
      </c>
      <c r="B126" s="60">
        <f>SUM(B77)</f>
        <v>532155.17659593304</v>
      </c>
      <c r="C126" s="81"/>
      <c r="D126" s="66"/>
      <c r="E126" s="66"/>
      <c r="F126" s="66"/>
      <c r="G126" s="66"/>
      <c r="H126" s="66"/>
      <c r="I126" s="66"/>
      <c r="J126" s="66"/>
      <c r="K126" s="66"/>
      <c r="L126" s="66"/>
      <c r="M126" s="66"/>
      <c r="N126" s="66"/>
    </row>
    <row r="127" spans="1:14" x14ac:dyDescent="0.2">
      <c r="A127" s="58" t="s">
        <v>32</v>
      </c>
      <c r="B127" s="60">
        <f>-B84</f>
        <v>-339757.38897889649</v>
      </c>
      <c r="C127" s="81"/>
      <c r="D127" s="66"/>
      <c r="E127" s="66"/>
      <c r="F127" s="66"/>
      <c r="G127" s="66"/>
      <c r="H127" s="66"/>
      <c r="I127" s="66"/>
      <c r="J127" s="66"/>
      <c r="K127" s="66"/>
      <c r="L127" s="66"/>
      <c r="M127" s="66"/>
      <c r="N127" s="66"/>
    </row>
    <row r="128" spans="1:14" x14ac:dyDescent="0.2">
      <c r="A128" s="58" t="s">
        <v>33</v>
      </c>
      <c r="B128" s="60">
        <f>SUM(-B114)</f>
        <v>-166259.9765084635</v>
      </c>
      <c r="C128" s="81"/>
      <c r="D128" s="66"/>
      <c r="E128" s="66"/>
      <c r="F128" s="66"/>
      <c r="G128" s="66"/>
      <c r="H128" s="66"/>
      <c r="I128" s="66"/>
      <c r="J128" s="66"/>
      <c r="K128" s="66"/>
      <c r="L128" s="66"/>
      <c r="M128" s="66"/>
      <c r="N128" s="66"/>
    </row>
    <row r="129" spans="1:14" x14ac:dyDescent="0.2">
      <c r="A129" s="58" t="s">
        <v>182</v>
      </c>
      <c r="B129" s="60">
        <f>SUM(B121)</f>
        <v>-22393.588435862905</v>
      </c>
      <c r="C129" s="81"/>
      <c r="D129" s="66"/>
      <c r="E129" s="66"/>
      <c r="F129" s="66"/>
      <c r="G129" s="66"/>
      <c r="H129" s="66"/>
      <c r="I129" s="66"/>
      <c r="J129" s="66"/>
      <c r="K129" s="66"/>
      <c r="L129" s="66"/>
      <c r="M129" s="66"/>
      <c r="N129" s="66"/>
    </row>
    <row r="130" spans="1:14" x14ac:dyDescent="0.2">
      <c r="A130" s="87" t="s">
        <v>35</v>
      </c>
      <c r="B130" s="88">
        <f>SUM(B126:B129)</f>
        <v>3744.2226727101443</v>
      </c>
      <c r="C130" s="81"/>
      <c r="D130" s="66"/>
      <c r="E130" s="73"/>
      <c r="F130" s="66"/>
      <c r="G130" s="81"/>
      <c r="H130" s="81"/>
      <c r="I130" s="66"/>
      <c r="J130" s="66"/>
      <c r="K130" s="66"/>
      <c r="L130" s="66"/>
      <c r="M130" s="66"/>
      <c r="N130" s="66"/>
    </row>
    <row r="131" spans="1:14" x14ac:dyDescent="0.2">
      <c r="C131" s="81"/>
      <c r="D131" s="66"/>
      <c r="E131" s="66"/>
      <c r="F131" s="66"/>
      <c r="G131" s="66"/>
      <c r="H131" s="66"/>
      <c r="I131" s="66"/>
      <c r="J131" s="66"/>
      <c r="K131" s="66"/>
      <c r="L131" s="66"/>
      <c r="M131" s="66"/>
      <c r="N131" s="66"/>
    </row>
    <row r="132" spans="1:14" x14ac:dyDescent="0.2">
      <c r="C132" s="60"/>
      <c r="D132" s="66"/>
      <c r="E132" s="66"/>
      <c r="F132" s="66"/>
      <c r="G132" s="66"/>
      <c r="H132" s="66"/>
      <c r="I132" s="66"/>
      <c r="J132" s="66"/>
      <c r="K132" s="66"/>
      <c r="L132" s="66"/>
      <c r="M132" s="66"/>
      <c r="N132" s="66"/>
    </row>
    <row r="133" spans="1:14" x14ac:dyDescent="0.2">
      <c r="A133" s="58"/>
      <c r="B133" s="60" t="s">
        <v>183</v>
      </c>
      <c r="C133" s="75">
        <f>SUM(C139+C152+C165+C178+C191+C204+C217+C230+C243)</f>
        <v>5.4537931034482758</v>
      </c>
      <c r="D133" s="75">
        <f t="shared" ref="D133:N133" si="14">SUM(D139+D152+D165+D178+D191+D204+D217+D230+D243)</f>
        <v>5.4537931034482758</v>
      </c>
      <c r="E133" s="75">
        <f t="shared" si="14"/>
        <v>5.4537931034482758</v>
      </c>
      <c r="F133" s="75">
        <f t="shared" si="14"/>
        <v>5.4537931034482758</v>
      </c>
      <c r="G133" s="75">
        <f t="shared" si="14"/>
        <v>5.4537931034482758</v>
      </c>
      <c r="H133" s="75">
        <f t="shared" si="14"/>
        <v>5.4537931034482758</v>
      </c>
      <c r="I133" s="75">
        <f t="shared" si="14"/>
        <v>5.4537931034482758</v>
      </c>
      <c r="J133" s="75">
        <f t="shared" si="14"/>
        <v>5.4537931034482758</v>
      </c>
      <c r="K133" s="75">
        <f t="shared" si="14"/>
        <v>5.4537931034482758</v>
      </c>
      <c r="L133" s="75">
        <f t="shared" si="14"/>
        <v>5.4537931034482758</v>
      </c>
      <c r="M133" s="75">
        <f t="shared" si="14"/>
        <v>5.4537931034482758</v>
      </c>
      <c r="N133" s="75">
        <f t="shared" si="14"/>
        <v>5.4537931034482758</v>
      </c>
    </row>
    <row r="134" spans="1:14" x14ac:dyDescent="0.2">
      <c r="A134" s="58"/>
      <c r="C134" s="73"/>
      <c r="D134" s="66"/>
      <c r="E134" s="66"/>
      <c r="F134" s="66"/>
      <c r="G134" s="66"/>
      <c r="H134" s="66"/>
      <c r="I134" s="66"/>
      <c r="J134" s="66"/>
      <c r="K134" s="66"/>
      <c r="L134" s="66"/>
      <c r="M134" s="66"/>
    </row>
    <row r="135" spans="1:14" x14ac:dyDescent="0.2">
      <c r="A135" s="116" t="s">
        <v>184</v>
      </c>
      <c r="B135" s="92"/>
      <c r="C135" s="25"/>
      <c r="D135" s="91"/>
      <c r="E135" s="91"/>
      <c r="F135" s="91"/>
      <c r="G135" s="91"/>
      <c r="H135" s="91"/>
      <c r="I135" s="91"/>
      <c r="J135" s="91"/>
      <c r="K135" s="91"/>
      <c r="L135" s="91"/>
      <c r="M135" s="91"/>
      <c r="N135" s="27"/>
    </row>
    <row r="136" spans="1:14" x14ac:dyDescent="0.2">
      <c r="C136" s="89" t="str">
        <f t="shared" ref="C136:N136" si="15">C5</f>
        <v>January</v>
      </c>
      <c r="D136" s="89" t="str">
        <f t="shared" si="15"/>
        <v>February</v>
      </c>
      <c r="E136" s="89" t="str">
        <f t="shared" si="15"/>
        <v>March</v>
      </c>
      <c r="F136" s="89" t="str">
        <f t="shared" si="15"/>
        <v>April</v>
      </c>
      <c r="G136" s="89" t="str">
        <f t="shared" si="15"/>
        <v>May</v>
      </c>
      <c r="H136" s="89" t="str">
        <f t="shared" si="15"/>
        <v>June</v>
      </c>
      <c r="I136" s="89" t="str">
        <f t="shared" si="15"/>
        <v>July</v>
      </c>
      <c r="J136" s="89" t="str">
        <f t="shared" si="15"/>
        <v>August</v>
      </c>
      <c r="K136" s="89" t="str">
        <f t="shared" si="15"/>
        <v>September</v>
      </c>
      <c r="L136" s="89" t="str">
        <f t="shared" si="15"/>
        <v>October</v>
      </c>
      <c r="M136" s="89" t="str">
        <f t="shared" si="15"/>
        <v>November</v>
      </c>
      <c r="N136" s="89" t="str">
        <f t="shared" si="15"/>
        <v>December</v>
      </c>
    </row>
    <row r="137" spans="1:14" x14ac:dyDescent="0.2">
      <c r="C137" s="72">
        <v>30</v>
      </c>
      <c r="D137" s="72">
        <v>31</v>
      </c>
      <c r="E137" s="72">
        <v>30</v>
      </c>
      <c r="F137" s="72">
        <v>31</v>
      </c>
      <c r="G137" s="72">
        <v>31</v>
      </c>
      <c r="H137" s="72">
        <v>30</v>
      </c>
      <c r="I137" s="72">
        <v>31</v>
      </c>
      <c r="J137" s="72">
        <v>30</v>
      </c>
      <c r="K137" s="72">
        <v>31</v>
      </c>
      <c r="L137" s="72">
        <v>31</v>
      </c>
      <c r="M137" s="72">
        <v>28</v>
      </c>
      <c r="N137" s="71">
        <v>31</v>
      </c>
    </row>
    <row r="138" spans="1:14" x14ac:dyDescent="0.2">
      <c r="B138" s="89" t="s">
        <v>185</v>
      </c>
      <c r="C138" s="78">
        <f>C125</f>
        <v>0</v>
      </c>
      <c r="D138" s="53">
        <v>1</v>
      </c>
      <c r="E138" s="53"/>
      <c r="F138" s="53">
        <v>1</v>
      </c>
      <c r="G138" s="53"/>
      <c r="H138" s="53">
        <v>1</v>
      </c>
      <c r="I138" s="53">
        <v>1</v>
      </c>
      <c r="J138" s="53">
        <v>1</v>
      </c>
      <c r="K138" s="53">
        <v>1</v>
      </c>
      <c r="L138" s="53">
        <v>2</v>
      </c>
      <c r="M138" s="53">
        <v>1</v>
      </c>
      <c r="N138" s="59"/>
    </row>
    <row r="139" spans="1:14" x14ac:dyDescent="0.2">
      <c r="B139" s="89" t="s">
        <v>44</v>
      </c>
      <c r="C139" s="49">
        <v>1</v>
      </c>
      <c r="D139" s="49">
        <v>1</v>
      </c>
      <c r="E139" s="49">
        <v>1</v>
      </c>
      <c r="F139" s="49">
        <v>1</v>
      </c>
      <c r="G139" s="49">
        <v>1</v>
      </c>
      <c r="H139" s="49">
        <v>1</v>
      </c>
      <c r="I139" s="49">
        <v>1</v>
      </c>
      <c r="J139" s="49">
        <v>1</v>
      </c>
      <c r="K139" s="49">
        <v>1</v>
      </c>
      <c r="L139" s="49">
        <v>1</v>
      </c>
      <c r="M139" s="49">
        <v>1</v>
      </c>
      <c r="N139" s="49">
        <v>1</v>
      </c>
    </row>
    <row r="140" spans="1:14" x14ac:dyDescent="0.2">
      <c r="B140" s="89" t="s">
        <v>186</v>
      </c>
      <c r="C140" s="53">
        <f>SUM(174*C139)</f>
        <v>174</v>
      </c>
      <c r="D140" s="53">
        <f t="shared" ref="D140:N140" si="16">SUM(174*D139)</f>
        <v>174</v>
      </c>
      <c r="E140" s="53">
        <f t="shared" si="16"/>
        <v>174</v>
      </c>
      <c r="F140" s="53">
        <f t="shared" si="16"/>
        <v>174</v>
      </c>
      <c r="G140" s="53">
        <f t="shared" si="16"/>
        <v>174</v>
      </c>
      <c r="H140" s="53">
        <f t="shared" si="16"/>
        <v>174</v>
      </c>
      <c r="I140" s="53">
        <f t="shared" si="16"/>
        <v>174</v>
      </c>
      <c r="J140" s="53">
        <f t="shared" si="16"/>
        <v>174</v>
      </c>
      <c r="K140" s="53">
        <f t="shared" si="16"/>
        <v>174</v>
      </c>
      <c r="L140" s="53">
        <f t="shared" si="16"/>
        <v>174</v>
      </c>
      <c r="M140" s="53">
        <f t="shared" si="16"/>
        <v>174</v>
      </c>
      <c r="N140" s="53">
        <f t="shared" si="16"/>
        <v>174</v>
      </c>
    </row>
    <row r="141" spans="1:14" x14ac:dyDescent="0.2">
      <c r="A141" s="59" t="s">
        <v>515</v>
      </c>
      <c r="B141" s="78" t="s">
        <v>187</v>
      </c>
      <c r="C141" s="66">
        <f>SUM(C140*$B$142)</f>
        <v>6090</v>
      </c>
      <c r="D141" s="66">
        <f t="shared" ref="D141:N141" si="17">SUM(D140*$B$142)</f>
        <v>6090</v>
      </c>
      <c r="E141" s="66">
        <f t="shared" si="17"/>
        <v>6090</v>
      </c>
      <c r="F141" s="66">
        <f t="shared" si="17"/>
        <v>6090</v>
      </c>
      <c r="G141" s="66">
        <f t="shared" si="17"/>
        <v>6090</v>
      </c>
      <c r="H141" s="66">
        <f t="shared" si="17"/>
        <v>6090</v>
      </c>
      <c r="I141" s="66">
        <f t="shared" si="17"/>
        <v>6090</v>
      </c>
      <c r="J141" s="66">
        <f t="shared" si="17"/>
        <v>6090</v>
      </c>
      <c r="K141" s="66">
        <f t="shared" si="17"/>
        <v>6090</v>
      </c>
      <c r="L141" s="66">
        <f t="shared" si="17"/>
        <v>6090</v>
      </c>
      <c r="M141" s="66">
        <f t="shared" si="17"/>
        <v>6090</v>
      </c>
      <c r="N141" s="66">
        <f t="shared" si="17"/>
        <v>6090</v>
      </c>
    </row>
    <row r="142" spans="1:14" x14ac:dyDescent="0.2">
      <c r="A142" s="59" t="s">
        <v>188</v>
      </c>
      <c r="B142" s="243">
        <v>35</v>
      </c>
      <c r="C142" s="66">
        <f>SUM(C141)*'Data Links'!$B$15</f>
        <v>465.88499999999999</v>
      </c>
      <c r="D142" s="66">
        <f>SUM(D141)*'Data Links'!$B$15</f>
        <v>465.88499999999999</v>
      </c>
      <c r="E142" s="66">
        <f>SUM(E141)*'Data Links'!$B$15</f>
        <v>465.88499999999999</v>
      </c>
      <c r="F142" s="66">
        <f>SUM(F141)*'Data Links'!$B$15</f>
        <v>465.88499999999999</v>
      </c>
      <c r="G142" s="66">
        <f>SUM(G141)*'Data Links'!$B$15</f>
        <v>465.88499999999999</v>
      </c>
      <c r="H142" s="66">
        <f>SUM(H141)*'Data Links'!$B$15</f>
        <v>465.88499999999999</v>
      </c>
      <c r="I142" s="66">
        <f>SUM(I141)*'Data Links'!$B$15</f>
        <v>465.88499999999999</v>
      </c>
      <c r="J142" s="66">
        <f>SUM(J141)*'Data Links'!$B$15</f>
        <v>465.88499999999999</v>
      </c>
      <c r="K142" s="66">
        <f>SUM(K141)*'Data Links'!$B$15</f>
        <v>465.88499999999999</v>
      </c>
      <c r="L142" s="66">
        <f>SUM(L141)*'Data Links'!$B$15</f>
        <v>465.88499999999999</v>
      </c>
      <c r="M142" s="66">
        <f>SUM(M141)*'Data Links'!$B$15</f>
        <v>465.88499999999999</v>
      </c>
      <c r="N142" s="66">
        <f>SUM(N141)*'Data Links'!$B$15</f>
        <v>465.88499999999999</v>
      </c>
    </row>
    <row r="143" spans="1:14" x14ac:dyDescent="0.2">
      <c r="A143" s="59" t="s">
        <v>189</v>
      </c>
      <c r="B143" s="74">
        <v>31.09</v>
      </c>
      <c r="C143" s="66">
        <f>SUM(C141*'Data Links'!$B$13)</f>
        <v>36.54</v>
      </c>
      <c r="D143" s="66">
        <f>SUM(D141*'Data Links'!$B$13)</f>
        <v>36.54</v>
      </c>
      <c r="E143" s="66">
        <f>SUM(E141*'Data Links'!$B$13)</f>
        <v>36.54</v>
      </c>
      <c r="F143" s="66">
        <f>SUM(F141*'Data Links'!$B$13)</f>
        <v>36.54</v>
      </c>
      <c r="G143" s="66">
        <f>SUM(G141*'Data Links'!$B$13)</f>
        <v>36.54</v>
      </c>
      <c r="H143" s="66">
        <f>SUM(H141*'Data Links'!$B$13)</f>
        <v>36.54</v>
      </c>
      <c r="I143" s="66">
        <f>SUM(I141*'Data Links'!$B$13)</f>
        <v>36.54</v>
      </c>
      <c r="J143" s="66">
        <f>SUM(J141*'Data Links'!$B$13)</f>
        <v>36.54</v>
      </c>
      <c r="K143" s="66">
        <f>SUM(K141*'Data Links'!$B$13)</f>
        <v>36.54</v>
      </c>
      <c r="L143" s="66">
        <f>SUM(L141*'Data Links'!$B$13)</f>
        <v>36.54</v>
      </c>
      <c r="M143" s="66">
        <f>SUM(M141*'Data Links'!$B$13)</f>
        <v>36.54</v>
      </c>
      <c r="N143" s="66">
        <f>SUM(N141*'Data Links'!$B$13)</f>
        <v>36.54</v>
      </c>
    </row>
    <row r="144" spans="1:14" x14ac:dyDescent="0.2">
      <c r="A144" s="59" t="s">
        <v>190</v>
      </c>
      <c r="C144" s="66">
        <f>SUM(C140*'Data Links'!$B$8)</f>
        <v>13.5459</v>
      </c>
      <c r="D144" s="66">
        <f>SUM(D140*'Data Links'!$B$8)</f>
        <v>13.5459</v>
      </c>
      <c r="E144" s="66">
        <f>SUM(E140*'Data Links'!$B$8)</f>
        <v>13.5459</v>
      </c>
      <c r="F144" s="66">
        <f>SUM(F140*'Data Links'!$B$8)</f>
        <v>13.5459</v>
      </c>
      <c r="G144" s="66">
        <f>SUM(G140*'Data Links'!$B$8)</f>
        <v>13.5459</v>
      </c>
      <c r="H144" s="66">
        <f>SUM(H140*'Data Links'!$B$8)</f>
        <v>13.5459</v>
      </c>
      <c r="I144" s="66">
        <f>SUM(I140*'Data Links'!$B$8)</f>
        <v>13.5459</v>
      </c>
      <c r="J144" s="66">
        <f>SUM(J140*'Data Links'!$B$8)</f>
        <v>13.5459</v>
      </c>
      <c r="K144" s="66">
        <f>SUM(K140*'Data Links'!$B$8)</f>
        <v>13.5459</v>
      </c>
      <c r="L144" s="66">
        <f>SUM(L140*'Data Links'!$B$8)</f>
        <v>13.5459</v>
      </c>
      <c r="M144" s="66">
        <f>SUM(M140*'Data Links'!$B$8)</f>
        <v>13.5459</v>
      </c>
      <c r="N144" s="66">
        <f>SUM(N140*'Data Links'!$B$8)</f>
        <v>13.5459</v>
      </c>
    </row>
    <row r="145" spans="1:15" x14ac:dyDescent="0.2">
      <c r="A145" s="59" t="s">
        <v>191</v>
      </c>
      <c r="C145" s="66">
        <f>SUM('All Employees'!$P$16)</f>
        <v>426</v>
      </c>
      <c r="D145" s="66">
        <f>SUM('All Employees'!$P$16)</f>
        <v>426</v>
      </c>
      <c r="E145" s="66">
        <f>SUM('All Employees'!$P$16)</f>
        <v>426</v>
      </c>
      <c r="F145" s="66">
        <f>SUM('All Employees'!$P$16)</f>
        <v>426</v>
      </c>
      <c r="G145" s="66">
        <f>SUM('All Employees'!$P$16)</f>
        <v>426</v>
      </c>
      <c r="H145" s="66">
        <f>SUM('All Employees'!$P$16)</f>
        <v>426</v>
      </c>
      <c r="I145" s="66">
        <f>SUM('All Employees'!$P$16)</f>
        <v>426</v>
      </c>
      <c r="J145" s="66">
        <f>SUM('All Employees'!$P$16)</f>
        <v>426</v>
      </c>
      <c r="K145" s="66">
        <f>SUM('All Employees'!$P$16)</f>
        <v>426</v>
      </c>
      <c r="L145" s="66">
        <f>SUM('All Employees'!$P$16)</f>
        <v>426</v>
      </c>
      <c r="M145" s="66">
        <f>SUM('All Employees'!$P$16)</f>
        <v>426</v>
      </c>
      <c r="N145" s="66">
        <f>SUM('All Employees'!$P$16)</f>
        <v>426</v>
      </c>
    </row>
    <row r="146" spans="1:15" x14ac:dyDescent="0.2">
      <c r="A146" s="59" t="s">
        <v>192</v>
      </c>
      <c r="C146" s="66">
        <f>SUM(C141*'Data Links'!$B$17)</f>
        <v>182.7</v>
      </c>
      <c r="D146" s="66">
        <f>SUM(D141*'Data Links'!$B$17)</f>
        <v>182.7</v>
      </c>
      <c r="E146" s="66">
        <f>SUM(E141*'Data Links'!$B$17)</f>
        <v>182.7</v>
      </c>
      <c r="F146" s="66">
        <f>SUM(F141*'Data Links'!$B$17)</f>
        <v>182.7</v>
      </c>
      <c r="G146" s="66">
        <f>SUM(G141*'Data Links'!$B$17)</f>
        <v>182.7</v>
      </c>
      <c r="H146" s="66">
        <f>SUM(H141*'Data Links'!$B$17)</f>
        <v>182.7</v>
      </c>
      <c r="I146" s="66">
        <f>SUM(I141*'Data Links'!$B$17)</f>
        <v>182.7</v>
      </c>
      <c r="J146" s="66">
        <f>SUM(J141*'Data Links'!$B$17)</f>
        <v>182.7</v>
      </c>
      <c r="K146" s="66">
        <f>SUM(K141*'Data Links'!$B$17)</f>
        <v>182.7</v>
      </c>
      <c r="L146" s="66">
        <f>SUM(L141*'Data Links'!$B$17)</f>
        <v>182.7</v>
      </c>
      <c r="M146" s="66">
        <f>SUM(M141*'Data Links'!$B$17)</f>
        <v>182.7</v>
      </c>
      <c r="N146" s="66">
        <f>SUM(N141*'Data Links'!$B$17)</f>
        <v>182.7</v>
      </c>
    </row>
    <row r="147" spans="1:15" s="58" customFormat="1" x14ac:dyDescent="0.2">
      <c r="A147" s="58" t="s">
        <v>144</v>
      </c>
      <c r="B147" s="60"/>
      <c r="C147" s="60">
        <f t="shared" ref="C147:N147" si="18">SUM(C141:C146)</f>
        <v>7214.6709000000001</v>
      </c>
      <c r="D147" s="60">
        <f t="shared" si="18"/>
        <v>7214.6709000000001</v>
      </c>
      <c r="E147" s="60">
        <f t="shared" si="18"/>
        <v>7214.6709000000001</v>
      </c>
      <c r="F147" s="60">
        <f t="shared" si="18"/>
        <v>7214.6709000000001</v>
      </c>
      <c r="G147" s="60">
        <f t="shared" si="18"/>
        <v>7214.6709000000001</v>
      </c>
      <c r="H147" s="60">
        <f t="shared" si="18"/>
        <v>7214.6709000000001</v>
      </c>
      <c r="I147" s="60">
        <f t="shared" si="18"/>
        <v>7214.6709000000001</v>
      </c>
      <c r="J147" s="60">
        <f t="shared" si="18"/>
        <v>7214.6709000000001</v>
      </c>
      <c r="K147" s="60">
        <f t="shared" si="18"/>
        <v>7214.6709000000001</v>
      </c>
      <c r="L147" s="60">
        <f t="shared" si="18"/>
        <v>7214.6709000000001</v>
      </c>
      <c r="M147" s="60">
        <f t="shared" si="18"/>
        <v>7214.6709000000001</v>
      </c>
      <c r="N147" s="60">
        <f t="shared" si="18"/>
        <v>7214.6709000000001</v>
      </c>
      <c r="O147" s="60"/>
    </row>
    <row r="148" spans="1:15" x14ac:dyDescent="0.2">
      <c r="C148" s="60"/>
      <c r="D148" s="66"/>
      <c r="E148" s="66"/>
      <c r="F148" s="66"/>
      <c r="G148" s="66"/>
      <c r="H148" s="66"/>
      <c r="I148" s="66"/>
      <c r="J148" s="66"/>
      <c r="K148" s="66"/>
      <c r="L148" s="66"/>
      <c r="M148" s="66"/>
      <c r="N148" s="66"/>
    </row>
    <row r="149" spans="1:15" x14ac:dyDescent="0.2">
      <c r="C149" s="89" t="str">
        <f>C136</f>
        <v>January</v>
      </c>
      <c r="D149" s="89" t="str">
        <f t="shared" ref="D149:N151" si="19">D136</f>
        <v>February</v>
      </c>
      <c r="E149" s="89" t="str">
        <f t="shared" si="19"/>
        <v>March</v>
      </c>
      <c r="F149" s="89" t="str">
        <f t="shared" si="19"/>
        <v>April</v>
      </c>
      <c r="G149" s="89" t="str">
        <f t="shared" si="19"/>
        <v>May</v>
      </c>
      <c r="H149" s="89" t="str">
        <f t="shared" si="19"/>
        <v>June</v>
      </c>
      <c r="I149" s="89" t="str">
        <f t="shared" si="19"/>
        <v>July</v>
      </c>
      <c r="J149" s="89" t="str">
        <f t="shared" si="19"/>
        <v>August</v>
      </c>
      <c r="K149" s="89" t="str">
        <f t="shared" si="19"/>
        <v>September</v>
      </c>
      <c r="L149" s="89" t="str">
        <f t="shared" si="19"/>
        <v>October</v>
      </c>
      <c r="M149" s="89" t="str">
        <f t="shared" si="19"/>
        <v>November</v>
      </c>
      <c r="N149" s="89" t="str">
        <f t="shared" si="19"/>
        <v>December</v>
      </c>
    </row>
    <row r="150" spans="1:15" x14ac:dyDescent="0.2">
      <c r="C150" s="72">
        <f>C137</f>
        <v>30</v>
      </c>
      <c r="D150" s="72">
        <f t="shared" si="19"/>
        <v>31</v>
      </c>
      <c r="E150" s="72">
        <f t="shared" si="19"/>
        <v>30</v>
      </c>
      <c r="F150" s="72">
        <f t="shared" si="19"/>
        <v>31</v>
      </c>
      <c r="G150" s="72">
        <f t="shared" si="19"/>
        <v>31</v>
      </c>
      <c r="H150" s="72">
        <f t="shared" si="19"/>
        <v>30</v>
      </c>
      <c r="I150" s="72">
        <f t="shared" si="19"/>
        <v>31</v>
      </c>
      <c r="J150" s="72">
        <f t="shared" si="19"/>
        <v>30</v>
      </c>
      <c r="K150" s="72">
        <f t="shared" si="19"/>
        <v>31</v>
      </c>
      <c r="L150" s="72">
        <f t="shared" si="19"/>
        <v>31</v>
      </c>
      <c r="M150" s="72">
        <f t="shared" si="19"/>
        <v>28</v>
      </c>
      <c r="N150" s="72">
        <f t="shared" si="19"/>
        <v>31</v>
      </c>
    </row>
    <row r="151" spans="1:15" x14ac:dyDescent="0.2">
      <c r="B151" s="89" t="s">
        <v>185</v>
      </c>
      <c r="C151" s="53">
        <f>C138</f>
        <v>0</v>
      </c>
      <c r="D151" s="53">
        <f t="shared" si="19"/>
        <v>1</v>
      </c>
      <c r="E151" s="53">
        <f t="shared" si="19"/>
        <v>0</v>
      </c>
      <c r="F151" s="53">
        <f t="shared" si="19"/>
        <v>1</v>
      </c>
      <c r="G151" s="53">
        <f t="shared" si="19"/>
        <v>0</v>
      </c>
      <c r="H151" s="53">
        <f t="shared" si="19"/>
        <v>1</v>
      </c>
      <c r="I151" s="53">
        <f t="shared" si="19"/>
        <v>1</v>
      </c>
      <c r="J151" s="53">
        <f t="shared" si="19"/>
        <v>1</v>
      </c>
      <c r="K151" s="53">
        <f t="shared" si="19"/>
        <v>1</v>
      </c>
      <c r="L151" s="53">
        <f t="shared" si="19"/>
        <v>2</v>
      </c>
      <c r="M151" s="53">
        <f t="shared" si="19"/>
        <v>1</v>
      </c>
      <c r="N151" s="53">
        <f t="shared" si="19"/>
        <v>0</v>
      </c>
    </row>
    <row r="152" spans="1:15" x14ac:dyDescent="0.2">
      <c r="B152" s="89" t="s">
        <v>44</v>
      </c>
      <c r="C152" s="49">
        <v>1</v>
      </c>
      <c r="D152" s="49">
        <v>1</v>
      </c>
      <c r="E152" s="49">
        <v>1</v>
      </c>
      <c r="F152" s="49">
        <v>1</v>
      </c>
      <c r="G152" s="49">
        <v>1</v>
      </c>
      <c r="H152" s="49">
        <v>1</v>
      </c>
      <c r="I152" s="49">
        <v>1</v>
      </c>
      <c r="J152" s="49">
        <v>1</v>
      </c>
      <c r="K152" s="49">
        <v>1</v>
      </c>
      <c r="L152" s="49">
        <v>1</v>
      </c>
      <c r="M152" s="49">
        <v>1</v>
      </c>
      <c r="N152" s="49">
        <v>1</v>
      </c>
    </row>
    <row r="153" spans="1:15" x14ac:dyDescent="0.2">
      <c r="B153" s="89" t="s">
        <v>186</v>
      </c>
      <c r="C153" s="53">
        <f>SUM(174*C152)</f>
        <v>174</v>
      </c>
      <c r="D153" s="53">
        <f t="shared" ref="D153:N153" si="20">SUM(174*D152)</f>
        <v>174</v>
      </c>
      <c r="E153" s="53">
        <f t="shared" si="20"/>
        <v>174</v>
      </c>
      <c r="F153" s="53">
        <f t="shared" si="20"/>
        <v>174</v>
      </c>
      <c r="G153" s="53">
        <f t="shared" si="20"/>
        <v>174</v>
      </c>
      <c r="H153" s="53">
        <f t="shared" si="20"/>
        <v>174</v>
      </c>
      <c r="I153" s="53">
        <f t="shared" si="20"/>
        <v>174</v>
      </c>
      <c r="J153" s="53">
        <f t="shared" si="20"/>
        <v>174</v>
      </c>
      <c r="K153" s="53">
        <f t="shared" si="20"/>
        <v>174</v>
      </c>
      <c r="L153" s="53">
        <f t="shared" si="20"/>
        <v>174</v>
      </c>
      <c r="M153" s="53">
        <f t="shared" si="20"/>
        <v>174</v>
      </c>
      <c r="N153" s="53">
        <f t="shared" si="20"/>
        <v>174</v>
      </c>
    </row>
    <row r="154" spans="1:15" x14ac:dyDescent="0.2">
      <c r="A154" s="59" t="s">
        <v>516</v>
      </c>
      <c r="B154" s="78" t="s">
        <v>187</v>
      </c>
      <c r="C154" s="66">
        <f>SUM(C153*$B$155)</f>
        <v>3422.5800000000004</v>
      </c>
      <c r="D154" s="66">
        <f t="shared" ref="D154:N154" si="21">SUM(D153*$B$155)</f>
        <v>3422.5800000000004</v>
      </c>
      <c r="E154" s="66">
        <f t="shared" si="21"/>
        <v>3422.5800000000004</v>
      </c>
      <c r="F154" s="66">
        <f t="shared" si="21"/>
        <v>3422.5800000000004</v>
      </c>
      <c r="G154" s="66">
        <f t="shared" si="21"/>
        <v>3422.5800000000004</v>
      </c>
      <c r="H154" s="66">
        <f t="shared" si="21"/>
        <v>3422.5800000000004</v>
      </c>
      <c r="I154" s="66">
        <f t="shared" si="21"/>
        <v>3422.5800000000004</v>
      </c>
      <c r="J154" s="66">
        <f t="shared" si="21"/>
        <v>3422.5800000000004</v>
      </c>
      <c r="K154" s="66">
        <f t="shared" si="21"/>
        <v>3422.5800000000004</v>
      </c>
      <c r="L154" s="66">
        <f t="shared" si="21"/>
        <v>3422.5800000000004</v>
      </c>
      <c r="M154" s="66">
        <f t="shared" si="21"/>
        <v>3422.5800000000004</v>
      </c>
      <c r="N154" s="66">
        <f t="shared" si="21"/>
        <v>3422.5800000000004</v>
      </c>
    </row>
    <row r="155" spans="1:15" x14ac:dyDescent="0.2">
      <c r="A155" s="59" t="s">
        <v>188</v>
      </c>
      <c r="B155" s="243">
        <v>19.670000000000002</v>
      </c>
      <c r="C155" s="66">
        <f>SUM(C154)*'Data Links'!$B$15</f>
        <v>261.82737000000003</v>
      </c>
      <c r="D155" s="66">
        <f>SUM(D154)*'Data Links'!$B$15</f>
        <v>261.82737000000003</v>
      </c>
      <c r="E155" s="66">
        <f>SUM(E154)*'Data Links'!$B$15</f>
        <v>261.82737000000003</v>
      </c>
      <c r="F155" s="66">
        <f>SUM(F154)*'Data Links'!$B$15</f>
        <v>261.82737000000003</v>
      </c>
      <c r="G155" s="66">
        <f>SUM(G154)*'Data Links'!$B$15</f>
        <v>261.82737000000003</v>
      </c>
      <c r="H155" s="66">
        <f>SUM(H154)*'Data Links'!$B$15</f>
        <v>261.82737000000003</v>
      </c>
      <c r="I155" s="66">
        <f>SUM(I154)*'Data Links'!$B$15</f>
        <v>261.82737000000003</v>
      </c>
      <c r="J155" s="66">
        <f>SUM(J154)*'Data Links'!$B$15</f>
        <v>261.82737000000003</v>
      </c>
      <c r="K155" s="66">
        <f>SUM(K154)*'Data Links'!$B$15</f>
        <v>261.82737000000003</v>
      </c>
      <c r="L155" s="66">
        <f>SUM(L154)*'Data Links'!$B$15</f>
        <v>261.82737000000003</v>
      </c>
      <c r="M155" s="66">
        <f>SUM(M154)*'Data Links'!$B$15</f>
        <v>261.82737000000003</v>
      </c>
      <c r="N155" s="66">
        <f>SUM(N154)*'Data Links'!$B$15</f>
        <v>261.82737000000003</v>
      </c>
    </row>
    <row r="156" spans="1:15" x14ac:dyDescent="0.2">
      <c r="A156" s="59" t="s">
        <v>189</v>
      </c>
      <c r="B156" s="74">
        <v>17.670000000000002</v>
      </c>
      <c r="C156" s="66">
        <f>SUM(C154*'Data Links'!$B$13)</f>
        <v>20.535480000000003</v>
      </c>
      <c r="D156" s="66">
        <f>SUM(D154*'Data Links'!$B$13)</f>
        <v>20.535480000000003</v>
      </c>
      <c r="E156" s="66">
        <f>SUM(E154*'Data Links'!$B$13)</f>
        <v>20.535480000000003</v>
      </c>
      <c r="F156" s="66">
        <f>SUM(F154*'Data Links'!$B$13)</f>
        <v>20.535480000000003</v>
      </c>
      <c r="G156" s="66">
        <f>SUM(G154*'Data Links'!$B$13)</f>
        <v>20.535480000000003</v>
      </c>
      <c r="H156" s="66">
        <f>SUM(H154*'Data Links'!$B$13)</f>
        <v>20.535480000000003</v>
      </c>
      <c r="I156" s="66">
        <f>SUM(I154*'Data Links'!$B$13)</f>
        <v>20.535480000000003</v>
      </c>
      <c r="J156" s="66">
        <f>SUM(J154*'Data Links'!$B$13)</f>
        <v>20.535480000000003</v>
      </c>
      <c r="K156" s="66">
        <f>SUM(K154*'Data Links'!$B$13)</f>
        <v>20.535480000000003</v>
      </c>
      <c r="L156" s="66">
        <f>SUM(L154*'Data Links'!$B$13)</f>
        <v>20.535480000000003</v>
      </c>
      <c r="M156" s="66">
        <f>SUM(M154*'Data Links'!$B$13)</f>
        <v>20.535480000000003</v>
      </c>
      <c r="N156" s="66">
        <f>SUM(N154*'Data Links'!$B$13)</f>
        <v>20.535480000000003</v>
      </c>
    </row>
    <row r="157" spans="1:15" x14ac:dyDescent="0.2">
      <c r="A157" s="59" t="s">
        <v>190</v>
      </c>
      <c r="C157" s="66">
        <f>SUM(C153*'Data Links'!$B$8)</f>
        <v>13.5459</v>
      </c>
      <c r="D157" s="66">
        <f>SUM(D153*'Data Links'!$B$8)</f>
        <v>13.5459</v>
      </c>
      <c r="E157" s="66">
        <f>SUM(E153*'Data Links'!$B$8)</f>
        <v>13.5459</v>
      </c>
      <c r="F157" s="66">
        <f>SUM(F153*'Data Links'!$B$8)</f>
        <v>13.5459</v>
      </c>
      <c r="G157" s="66">
        <f>SUM(G153*'Data Links'!$B$8)</f>
        <v>13.5459</v>
      </c>
      <c r="H157" s="66">
        <f>SUM(H153*'Data Links'!$B$8)</f>
        <v>13.5459</v>
      </c>
      <c r="I157" s="66">
        <f>SUM(I153*'Data Links'!$B$8)</f>
        <v>13.5459</v>
      </c>
      <c r="J157" s="66">
        <f>SUM(J153*'Data Links'!$B$8)</f>
        <v>13.5459</v>
      </c>
      <c r="K157" s="66">
        <f>SUM(K153*'Data Links'!$B$8)</f>
        <v>13.5459</v>
      </c>
      <c r="L157" s="66">
        <f>SUM(L153*'Data Links'!$B$8)</f>
        <v>13.5459</v>
      </c>
      <c r="M157" s="66">
        <f>SUM(M153*'Data Links'!$B$8)</f>
        <v>13.5459</v>
      </c>
      <c r="N157" s="66">
        <f>SUM(N153*'Data Links'!$B$8)</f>
        <v>13.5459</v>
      </c>
    </row>
    <row r="158" spans="1:15" x14ac:dyDescent="0.2">
      <c r="A158" s="59" t="s">
        <v>191</v>
      </c>
      <c r="C158" s="66">
        <f>SUM('All Employees'!$P$17)</f>
        <v>426</v>
      </c>
      <c r="D158" s="66">
        <f>SUM('All Employees'!$P$17)</f>
        <v>426</v>
      </c>
      <c r="E158" s="66">
        <f>SUM('All Employees'!$P$17)</f>
        <v>426</v>
      </c>
      <c r="F158" s="66">
        <f>SUM('All Employees'!$P$17)</f>
        <v>426</v>
      </c>
      <c r="G158" s="66">
        <f>SUM('All Employees'!$P$17)</f>
        <v>426</v>
      </c>
      <c r="H158" s="66">
        <f>SUM('All Employees'!$P$17)</f>
        <v>426</v>
      </c>
      <c r="I158" s="66">
        <f>SUM('All Employees'!$P$17)</f>
        <v>426</v>
      </c>
      <c r="J158" s="66">
        <f>SUM('All Employees'!$P$17)</f>
        <v>426</v>
      </c>
      <c r="K158" s="66">
        <f>SUM('All Employees'!$P$17)</f>
        <v>426</v>
      </c>
      <c r="L158" s="66">
        <f>SUM('All Employees'!$P$17)</f>
        <v>426</v>
      </c>
      <c r="M158" s="66">
        <f>SUM('All Employees'!$P$17)</f>
        <v>426</v>
      </c>
      <c r="N158" s="66">
        <f>SUM('All Employees'!$P$17)</f>
        <v>426</v>
      </c>
    </row>
    <row r="159" spans="1:15" x14ac:dyDescent="0.2">
      <c r="A159" s="59" t="s">
        <v>192</v>
      </c>
      <c r="C159" s="66">
        <f>SUM(C154*'Data Links'!$B$17)</f>
        <v>102.67740000000001</v>
      </c>
      <c r="D159" s="66">
        <f>SUM(D154*'Data Links'!$B$17)</f>
        <v>102.67740000000001</v>
      </c>
      <c r="E159" s="66">
        <f>SUM(E154*'Data Links'!$B$17)</f>
        <v>102.67740000000001</v>
      </c>
      <c r="F159" s="66">
        <f>SUM(F154*'Data Links'!$B$17)</f>
        <v>102.67740000000001</v>
      </c>
      <c r="G159" s="66">
        <f>SUM(G154*'Data Links'!$B$17)</f>
        <v>102.67740000000001</v>
      </c>
      <c r="H159" s="66">
        <f>SUM(H154*'Data Links'!$B$17)</f>
        <v>102.67740000000001</v>
      </c>
      <c r="I159" s="66">
        <f>SUM(I154*'Data Links'!$B$17)</f>
        <v>102.67740000000001</v>
      </c>
      <c r="J159" s="66">
        <f>SUM(J154*'Data Links'!$B$17)</f>
        <v>102.67740000000001</v>
      </c>
      <c r="K159" s="66">
        <f>SUM(K154*'Data Links'!$B$17)</f>
        <v>102.67740000000001</v>
      </c>
      <c r="L159" s="66">
        <f>SUM(L154*'Data Links'!$B$17)</f>
        <v>102.67740000000001</v>
      </c>
      <c r="M159" s="66">
        <f>SUM(M154*'Data Links'!$B$17)</f>
        <v>102.67740000000001</v>
      </c>
      <c r="N159" s="66">
        <f>SUM(N154*'Data Links'!$B$17)</f>
        <v>102.67740000000001</v>
      </c>
    </row>
    <row r="160" spans="1:15" s="58" customFormat="1" x14ac:dyDescent="0.2">
      <c r="A160" s="58" t="s">
        <v>144</v>
      </c>
      <c r="B160" s="60"/>
      <c r="C160" s="60">
        <f t="shared" ref="C160:N160" si="22">SUM(C154:C159)</f>
        <v>4247.16615</v>
      </c>
      <c r="D160" s="60">
        <f t="shared" si="22"/>
        <v>4247.16615</v>
      </c>
      <c r="E160" s="60">
        <f t="shared" si="22"/>
        <v>4247.16615</v>
      </c>
      <c r="F160" s="60">
        <f t="shared" si="22"/>
        <v>4247.16615</v>
      </c>
      <c r="G160" s="60">
        <f t="shared" si="22"/>
        <v>4247.16615</v>
      </c>
      <c r="H160" s="60">
        <f t="shared" si="22"/>
        <v>4247.16615</v>
      </c>
      <c r="I160" s="60">
        <f t="shared" si="22"/>
        <v>4247.16615</v>
      </c>
      <c r="J160" s="60">
        <f t="shared" si="22"/>
        <v>4247.16615</v>
      </c>
      <c r="K160" s="60">
        <f t="shared" si="22"/>
        <v>4247.16615</v>
      </c>
      <c r="L160" s="60">
        <f t="shared" si="22"/>
        <v>4247.16615</v>
      </c>
      <c r="M160" s="60">
        <f t="shared" si="22"/>
        <v>4247.16615</v>
      </c>
      <c r="N160" s="60">
        <f t="shared" si="22"/>
        <v>4247.16615</v>
      </c>
      <c r="O160" s="60"/>
    </row>
    <row r="161" spans="1:15" x14ac:dyDescent="0.2">
      <c r="C161" s="60"/>
      <c r="D161" s="66"/>
      <c r="E161" s="66"/>
      <c r="F161" s="66"/>
      <c r="G161" s="66"/>
      <c r="H161" s="66"/>
      <c r="I161" s="66"/>
      <c r="J161" s="66"/>
      <c r="K161" s="66"/>
      <c r="L161" s="66"/>
      <c r="M161" s="66"/>
      <c r="N161" s="66"/>
    </row>
    <row r="162" spans="1:15" x14ac:dyDescent="0.2">
      <c r="C162" s="89" t="str">
        <f>C149</f>
        <v>January</v>
      </c>
      <c r="D162" s="89" t="str">
        <f t="shared" ref="D162:N162" si="23">D149</f>
        <v>February</v>
      </c>
      <c r="E162" s="89" t="str">
        <f t="shared" si="23"/>
        <v>March</v>
      </c>
      <c r="F162" s="89" t="str">
        <f t="shared" si="23"/>
        <v>April</v>
      </c>
      <c r="G162" s="89" t="str">
        <f t="shared" si="23"/>
        <v>May</v>
      </c>
      <c r="H162" s="89" t="str">
        <f t="shared" si="23"/>
        <v>June</v>
      </c>
      <c r="I162" s="89" t="str">
        <f t="shared" si="23"/>
        <v>July</v>
      </c>
      <c r="J162" s="89" t="str">
        <f t="shared" si="23"/>
        <v>August</v>
      </c>
      <c r="K162" s="89" t="str">
        <f t="shared" si="23"/>
        <v>September</v>
      </c>
      <c r="L162" s="89" t="str">
        <f t="shared" si="23"/>
        <v>October</v>
      </c>
      <c r="M162" s="89" t="str">
        <f t="shared" si="23"/>
        <v>November</v>
      </c>
      <c r="N162" s="89" t="str">
        <f t="shared" si="23"/>
        <v>December</v>
      </c>
    </row>
    <row r="163" spans="1:15" x14ac:dyDescent="0.2">
      <c r="C163" s="89">
        <f t="shared" ref="C163:N164" si="24">C150</f>
        <v>30</v>
      </c>
      <c r="D163" s="89">
        <f t="shared" si="24"/>
        <v>31</v>
      </c>
      <c r="E163" s="89">
        <f t="shared" si="24"/>
        <v>30</v>
      </c>
      <c r="F163" s="89">
        <f t="shared" si="24"/>
        <v>31</v>
      </c>
      <c r="G163" s="89">
        <f t="shared" si="24"/>
        <v>31</v>
      </c>
      <c r="H163" s="89">
        <f t="shared" si="24"/>
        <v>30</v>
      </c>
      <c r="I163" s="89">
        <f t="shared" si="24"/>
        <v>31</v>
      </c>
      <c r="J163" s="89">
        <f t="shared" si="24"/>
        <v>30</v>
      </c>
      <c r="K163" s="89">
        <f t="shared" si="24"/>
        <v>31</v>
      </c>
      <c r="L163" s="89">
        <f t="shared" si="24"/>
        <v>31</v>
      </c>
      <c r="M163" s="89">
        <f t="shared" si="24"/>
        <v>28</v>
      </c>
      <c r="N163" s="89">
        <f t="shared" si="24"/>
        <v>31</v>
      </c>
    </row>
    <row r="164" spans="1:15" x14ac:dyDescent="0.2">
      <c r="B164" s="89" t="s">
        <v>185</v>
      </c>
      <c r="C164" s="53">
        <f>C151</f>
        <v>0</v>
      </c>
      <c r="D164" s="78">
        <f t="shared" si="24"/>
        <v>1</v>
      </c>
      <c r="E164" s="78">
        <f t="shared" si="24"/>
        <v>0</v>
      </c>
      <c r="F164" s="78">
        <f t="shared" si="24"/>
        <v>1</v>
      </c>
      <c r="G164" s="78">
        <f t="shared" si="24"/>
        <v>0</v>
      </c>
      <c r="H164" s="78">
        <f t="shared" si="24"/>
        <v>1</v>
      </c>
      <c r="I164" s="78">
        <f t="shared" si="24"/>
        <v>1</v>
      </c>
      <c r="J164" s="78">
        <f t="shared" si="24"/>
        <v>1</v>
      </c>
      <c r="K164" s="78">
        <f t="shared" si="24"/>
        <v>1</v>
      </c>
      <c r="L164" s="78">
        <f t="shared" si="24"/>
        <v>2</v>
      </c>
      <c r="M164" s="78">
        <f t="shared" si="24"/>
        <v>1</v>
      </c>
      <c r="N164" s="78">
        <f t="shared" si="24"/>
        <v>0</v>
      </c>
    </row>
    <row r="165" spans="1:15" x14ac:dyDescent="0.2">
      <c r="B165" s="89" t="s">
        <v>44</v>
      </c>
      <c r="C165" s="49">
        <v>1</v>
      </c>
      <c r="D165" s="49">
        <v>1</v>
      </c>
      <c r="E165" s="49">
        <v>1</v>
      </c>
      <c r="F165" s="49">
        <v>1</v>
      </c>
      <c r="G165" s="49">
        <v>1</v>
      </c>
      <c r="H165" s="49">
        <v>1</v>
      </c>
      <c r="I165" s="49">
        <v>1</v>
      </c>
      <c r="J165" s="49">
        <v>1</v>
      </c>
      <c r="K165" s="49">
        <v>1</v>
      </c>
      <c r="L165" s="49">
        <v>1</v>
      </c>
      <c r="M165" s="49">
        <v>1</v>
      </c>
      <c r="N165" s="49">
        <v>1</v>
      </c>
    </row>
    <row r="166" spans="1:15" x14ac:dyDescent="0.2">
      <c r="B166" s="89" t="s">
        <v>186</v>
      </c>
      <c r="C166" s="53">
        <f>SUM(174*C165)</f>
        <v>174</v>
      </c>
      <c r="D166" s="53">
        <f t="shared" ref="D166:N166" si="25">SUM(174*D165)</f>
        <v>174</v>
      </c>
      <c r="E166" s="53">
        <f t="shared" si="25"/>
        <v>174</v>
      </c>
      <c r="F166" s="53">
        <f t="shared" si="25"/>
        <v>174</v>
      </c>
      <c r="G166" s="53">
        <f t="shared" si="25"/>
        <v>174</v>
      </c>
      <c r="H166" s="53">
        <f t="shared" si="25"/>
        <v>174</v>
      </c>
      <c r="I166" s="53">
        <f t="shared" si="25"/>
        <v>174</v>
      </c>
      <c r="J166" s="53">
        <f t="shared" si="25"/>
        <v>174</v>
      </c>
      <c r="K166" s="53">
        <f t="shared" si="25"/>
        <v>174</v>
      </c>
      <c r="L166" s="53">
        <f t="shared" si="25"/>
        <v>174</v>
      </c>
      <c r="M166" s="53">
        <f t="shared" si="25"/>
        <v>174</v>
      </c>
      <c r="N166" s="53">
        <f t="shared" si="25"/>
        <v>174</v>
      </c>
    </row>
    <row r="167" spans="1:15" x14ac:dyDescent="0.2">
      <c r="A167" s="59" t="s">
        <v>518</v>
      </c>
      <c r="B167" s="78" t="s">
        <v>187</v>
      </c>
      <c r="C167" s="66">
        <f>SUM(C166*$B$168)</f>
        <v>3001.5</v>
      </c>
      <c r="D167" s="66">
        <f t="shared" ref="D167:N167" si="26">SUM(D166*$B$168)</f>
        <v>3001.5</v>
      </c>
      <c r="E167" s="66">
        <f t="shared" si="26"/>
        <v>3001.5</v>
      </c>
      <c r="F167" s="66">
        <f t="shared" si="26"/>
        <v>3001.5</v>
      </c>
      <c r="G167" s="66">
        <f t="shared" si="26"/>
        <v>3001.5</v>
      </c>
      <c r="H167" s="66">
        <f t="shared" si="26"/>
        <v>3001.5</v>
      </c>
      <c r="I167" s="66">
        <f t="shared" si="26"/>
        <v>3001.5</v>
      </c>
      <c r="J167" s="66">
        <f t="shared" si="26"/>
        <v>3001.5</v>
      </c>
      <c r="K167" s="66">
        <f t="shared" si="26"/>
        <v>3001.5</v>
      </c>
      <c r="L167" s="66">
        <f t="shared" si="26"/>
        <v>3001.5</v>
      </c>
      <c r="M167" s="66">
        <f t="shared" si="26"/>
        <v>3001.5</v>
      </c>
      <c r="N167" s="66">
        <f t="shared" si="26"/>
        <v>3001.5</v>
      </c>
    </row>
    <row r="168" spans="1:15" x14ac:dyDescent="0.2">
      <c r="A168" s="59" t="s">
        <v>188</v>
      </c>
      <c r="B168" s="243">
        <v>17.25</v>
      </c>
      <c r="C168" s="66">
        <f>SUM(C167)*'Data Links'!$B$15</f>
        <v>229.61474999999999</v>
      </c>
      <c r="D168" s="66">
        <f>SUM(D167)*'Data Links'!$B$15</f>
        <v>229.61474999999999</v>
      </c>
      <c r="E168" s="66">
        <f>SUM(E167)*'Data Links'!$B$15</f>
        <v>229.61474999999999</v>
      </c>
      <c r="F168" s="66">
        <f>SUM(F167)*'Data Links'!$B$15</f>
        <v>229.61474999999999</v>
      </c>
      <c r="G168" s="66">
        <f>SUM(G167)*'Data Links'!$B$15</f>
        <v>229.61474999999999</v>
      </c>
      <c r="H168" s="66">
        <f>SUM(H167)*'Data Links'!$B$15</f>
        <v>229.61474999999999</v>
      </c>
      <c r="I168" s="66">
        <f>SUM(I167)*'Data Links'!$B$15</f>
        <v>229.61474999999999</v>
      </c>
      <c r="J168" s="66">
        <f>SUM(J167)*'Data Links'!$B$15</f>
        <v>229.61474999999999</v>
      </c>
      <c r="K168" s="66">
        <f>SUM(K167)*'Data Links'!$B$15</f>
        <v>229.61474999999999</v>
      </c>
      <c r="L168" s="66">
        <f>SUM(L167)*'Data Links'!$B$15</f>
        <v>229.61474999999999</v>
      </c>
      <c r="M168" s="66">
        <f>SUM(M167)*'Data Links'!$B$15</f>
        <v>229.61474999999999</v>
      </c>
      <c r="N168" s="66">
        <f>SUM(N167)*'Data Links'!$B$15</f>
        <v>229.61474999999999</v>
      </c>
    </row>
    <row r="169" spans="1:15" x14ac:dyDescent="0.2">
      <c r="A169" s="59" t="s">
        <v>189</v>
      </c>
      <c r="B169" s="74">
        <v>15.25</v>
      </c>
      <c r="C169" s="66">
        <f>SUM(C167*'Data Links'!$B$13)</f>
        <v>18.009</v>
      </c>
      <c r="D169" s="66">
        <f>SUM(D167*'Data Links'!$B$13)</f>
        <v>18.009</v>
      </c>
      <c r="E169" s="66">
        <f>SUM(E167*'Data Links'!$B$13)</f>
        <v>18.009</v>
      </c>
      <c r="F169" s="66">
        <f>SUM(F167*'Data Links'!$B$13)</f>
        <v>18.009</v>
      </c>
      <c r="G169" s="66">
        <f>SUM(G167*'Data Links'!$B$13)</f>
        <v>18.009</v>
      </c>
      <c r="H169" s="66">
        <f>SUM(H167*'Data Links'!$B$13)</f>
        <v>18.009</v>
      </c>
      <c r="I169" s="66">
        <f>SUM(I167*'Data Links'!$B$13)</f>
        <v>18.009</v>
      </c>
      <c r="J169" s="66">
        <f>SUM(J167*'Data Links'!$B$13)</f>
        <v>18.009</v>
      </c>
      <c r="K169" s="66">
        <f>SUM(K167*'Data Links'!$B$13)</f>
        <v>18.009</v>
      </c>
      <c r="L169" s="66">
        <f>SUM(L167*'Data Links'!$B$13)</f>
        <v>18.009</v>
      </c>
      <c r="M169" s="66">
        <f>SUM(M167*'Data Links'!$B$13)</f>
        <v>18.009</v>
      </c>
      <c r="N169" s="66">
        <f>SUM(N167*'Data Links'!$B$13)</f>
        <v>18.009</v>
      </c>
    </row>
    <row r="170" spans="1:15" x14ac:dyDescent="0.2">
      <c r="A170" s="59" t="s">
        <v>190</v>
      </c>
      <c r="C170" s="66">
        <f>SUM(C166*'Data Links'!$B$8)</f>
        <v>13.5459</v>
      </c>
      <c r="D170" s="66">
        <f>SUM(D166*'Data Links'!$B$8)</f>
        <v>13.5459</v>
      </c>
      <c r="E170" s="66">
        <f>SUM(E166*'Data Links'!$B$8)</f>
        <v>13.5459</v>
      </c>
      <c r="F170" s="66">
        <f>SUM(F166*'Data Links'!$B$8)</f>
        <v>13.5459</v>
      </c>
      <c r="G170" s="66">
        <f>SUM(G166*'Data Links'!$B$8)</f>
        <v>13.5459</v>
      </c>
      <c r="H170" s="66">
        <f>SUM(H166*'Data Links'!$B$8)</f>
        <v>13.5459</v>
      </c>
      <c r="I170" s="66">
        <f>SUM(I166*'Data Links'!$B$8)</f>
        <v>13.5459</v>
      </c>
      <c r="J170" s="66">
        <f>SUM(J166*'Data Links'!$B$8)</f>
        <v>13.5459</v>
      </c>
      <c r="K170" s="66">
        <f>SUM(K166*'Data Links'!$B$8)</f>
        <v>13.5459</v>
      </c>
      <c r="L170" s="66">
        <f>SUM(L166*'Data Links'!$B$8)</f>
        <v>13.5459</v>
      </c>
      <c r="M170" s="66">
        <f>SUM(M166*'Data Links'!$B$8)</f>
        <v>13.5459</v>
      </c>
      <c r="N170" s="66">
        <f>SUM(N166*'Data Links'!$B$8)</f>
        <v>13.5459</v>
      </c>
    </row>
    <row r="171" spans="1:15" x14ac:dyDescent="0.2">
      <c r="A171" s="59" t="s">
        <v>191</v>
      </c>
      <c r="C171" s="66">
        <f>SUM('All Employees'!$P$18)</f>
        <v>426</v>
      </c>
      <c r="D171" s="66">
        <f>SUM('All Employees'!$P$18)</f>
        <v>426</v>
      </c>
      <c r="E171" s="66">
        <f>SUM('All Employees'!$P$18)</f>
        <v>426</v>
      </c>
      <c r="F171" s="66">
        <f>SUM('All Employees'!$P$18)</f>
        <v>426</v>
      </c>
      <c r="G171" s="66">
        <f>SUM('All Employees'!$P$18)</f>
        <v>426</v>
      </c>
      <c r="H171" s="66">
        <f>SUM('All Employees'!$P$18)</f>
        <v>426</v>
      </c>
      <c r="I171" s="66">
        <f>SUM('All Employees'!$P$18)</f>
        <v>426</v>
      </c>
      <c r="J171" s="66">
        <f>SUM('All Employees'!$P$18)</f>
        <v>426</v>
      </c>
      <c r="K171" s="66">
        <f>SUM('All Employees'!$P$18)</f>
        <v>426</v>
      </c>
      <c r="L171" s="66">
        <f>SUM('All Employees'!$P$18)</f>
        <v>426</v>
      </c>
      <c r="M171" s="66">
        <f>SUM('All Employees'!$P$18)</f>
        <v>426</v>
      </c>
      <c r="N171" s="66">
        <f>SUM('All Employees'!$P$18)</f>
        <v>426</v>
      </c>
    </row>
    <row r="172" spans="1:15" x14ac:dyDescent="0.2">
      <c r="A172" s="59" t="s">
        <v>192</v>
      </c>
      <c r="C172" s="66">
        <f>SUM(C167*'Data Links'!$B$17)</f>
        <v>90.045000000000002</v>
      </c>
      <c r="D172" s="66">
        <f>SUM(D167*'Data Links'!$B$17)</f>
        <v>90.045000000000002</v>
      </c>
      <c r="E172" s="66">
        <f>SUM(E167*'Data Links'!$B$17)</f>
        <v>90.045000000000002</v>
      </c>
      <c r="F172" s="66">
        <f>SUM(F167*'Data Links'!$B$17)</f>
        <v>90.045000000000002</v>
      </c>
      <c r="G172" s="66">
        <f>SUM(G167*'Data Links'!$B$17)</f>
        <v>90.045000000000002</v>
      </c>
      <c r="H172" s="66">
        <f>SUM(H167*'Data Links'!$B$17)</f>
        <v>90.045000000000002</v>
      </c>
      <c r="I172" s="66">
        <f>SUM(I167*'Data Links'!$B$17)</f>
        <v>90.045000000000002</v>
      </c>
      <c r="J172" s="66">
        <f>SUM(J167*'Data Links'!$B$17)</f>
        <v>90.045000000000002</v>
      </c>
      <c r="K172" s="66">
        <f>SUM(K167*'Data Links'!$B$17)</f>
        <v>90.045000000000002</v>
      </c>
      <c r="L172" s="66">
        <f>SUM(L167*'Data Links'!$B$17)</f>
        <v>90.045000000000002</v>
      </c>
      <c r="M172" s="66">
        <f>SUM(M167*'Data Links'!$B$17)</f>
        <v>90.045000000000002</v>
      </c>
      <c r="N172" s="66">
        <f>SUM(N167*'Data Links'!$B$17)</f>
        <v>90.045000000000002</v>
      </c>
    </row>
    <row r="173" spans="1:15" s="58" customFormat="1" x14ac:dyDescent="0.2">
      <c r="A173" s="58" t="s">
        <v>144</v>
      </c>
      <c r="B173" s="60"/>
      <c r="C173" s="60">
        <f t="shared" ref="C173:N173" si="27">SUM(C167:C172)</f>
        <v>3778.7146500000003</v>
      </c>
      <c r="D173" s="60">
        <f t="shared" si="27"/>
        <v>3778.7146500000003</v>
      </c>
      <c r="E173" s="60">
        <f t="shared" si="27"/>
        <v>3778.7146500000003</v>
      </c>
      <c r="F173" s="60">
        <f t="shared" si="27"/>
        <v>3778.7146500000003</v>
      </c>
      <c r="G173" s="60">
        <f t="shared" si="27"/>
        <v>3778.7146500000003</v>
      </c>
      <c r="H173" s="60">
        <f t="shared" si="27"/>
        <v>3778.7146500000003</v>
      </c>
      <c r="I173" s="60">
        <f t="shared" si="27"/>
        <v>3778.7146500000003</v>
      </c>
      <c r="J173" s="60">
        <f t="shared" si="27"/>
        <v>3778.7146500000003</v>
      </c>
      <c r="K173" s="60">
        <f t="shared" si="27"/>
        <v>3778.7146500000003</v>
      </c>
      <c r="L173" s="60">
        <f t="shared" si="27"/>
        <v>3778.7146500000003</v>
      </c>
      <c r="M173" s="60">
        <f t="shared" si="27"/>
        <v>3778.7146500000003</v>
      </c>
      <c r="N173" s="60">
        <f t="shared" si="27"/>
        <v>3778.7146500000003</v>
      </c>
      <c r="O173" s="60"/>
    </row>
    <row r="174" spans="1:15" x14ac:dyDescent="0.2">
      <c r="C174" s="60"/>
      <c r="D174" s="66"/>
      <c r="E174" s="66"/>
      <c r="F174" s="66"/>
      <c r="G174" s="66"/>
      <c r="H174" s="66"/>
      <c r="I174" s="66"/>
      <c r="J174" s="66"/>
      <c r="K174" s="66"/>
      <c r="L174" s="66"/>
      <c r="M174" s="66"/>
      <c r="N174" s="66"/>
    </row>
    <row r="175" spans="1:15" x14ac:dyDescent="0.2">
      <c r="C175" s="89" t="str">
        <f>C162</f>
        <v>January</v>
      </c>
      <c r="D175" s="89" t="str">
        <f t="shared" ref="D175:N175" si="28">D162</f>
        <v>February</v>
      </c>
      <c r="E175" s="89" t="str">
        <f t="shared" si="28"/>
        <v>March</v>
      </c>
      <c r="F175" s="89" t="str">
        <f t="shared" si="28"/>
        <v>April</v>
      </c>
      <c r="G175" s="89" t="str">
        <f t="shared" si="28"/>
        <v>May</v>
      </c>
      <c r="H175" s="89" t="str">
        <f t="shared" si="28"/>
        <v>June</v>
      </c>
      <c r="I175" s="89" t="str">
        <f t="shared" si="28"/>
        <v>July</v>
      </c>
      <c r="J175" s="89" t="str">
        <f t="shared" si="28"/>
        <v>August</v>
      </c>
      <c r="K175" s="89" t="str">
        <f t="shared" si="28"/>
        <v>September</v>
      </c>
      <c r="L175" s="89" t="str">
        <f t="shared" si="28"/>
        <v>October</v>
      </c>
      <c r="M175" s="89" t="str">
        <f t="shared" si="28"/>
        <v>November</v>
      </c>
      <c r="N175" s="89" t="str">
        <f t="shared" si="28"/>
        <v>December</v>
      </c>
    </row>
    <row r="176" spans="1:15" x14ac:dyDescent="0.2">
      <c r="C176" s="89">
        <f t="shared" ref="C176:N177" si="29">C163</f>
        <v>30</v>
      </c>
      <c r="D176" s="89">
        <f t="shared" si="29"/>
        <v>31</v>
      </c>
      <c r="E176" s="89">
        <f t="shared" si="29"/>
        <v>30</v>
      </c>
      <c r="F176" s="89">
        <f t="shared" si="29"/>
        <v>31</v>
      </c>
      <c r="G176" s="89">
        <f t="shared" si="29"/>
        <v>31</v>
      </c>
      <c r="H176" s="89">
        <f t="shared" si="29"/>
        <v>30</v>
      </c>
      <c r="I176" s="89">
        <f t="shared" si="29"/>
        <v>31</v>
      </c>
      <c r="J176" s="89">
        <f t="shared" si="29"/>
        <v>30</v>
      </c>
      <c r="K176" s="89">
        <f t="shared" si="29"/>
        <v>31</v>
      </c>
      <c r="L176" s="89">
        <f t="shared" si="29"/>
        <v>31</v>
      </c>
      <c r="M176" s="89">
        <f t="shared" si="29"/>
        <v>28</v>
      </c>
      <c r="N176" s="89">
        <f t="shared" si="29"/>
        <v>31</v>
      </c>
    </row>
    <row r="177" spans="1:15" x14ac:dyDescent="0.2">
      <c r="B177" s="89" t="s">
        <v>185</v>
      </c>
      <c r="C177" s="78">
        <f t="shared" si="29"/>
        <v>0</v>
      </c>
      <c r="D177" s="78">
        <f t="shared" si="29"/>
        <v>1</v>
      </c>
      <c r="E177" s="78">
        <f t="shared" si="29"/>
        <v>0</v>
      </c>
      <c r="F177" s="78">
        <f t="shared" si="29"/>
        <v>1</v>
      </c>
      <c r="G177" s="78">
        <f t="shared" si="29"/>
        <v>0</v>
      </c>
      <c r="H177" s="78">
        <f t="shared" si="29"/>
        <v>1</v>
      </c>
      <c r="I177" s="78">
        <f t="shared" si="29"/>
        <v>1</v>
      </c>
      <c r="J177" s="78">
        <f t="shared" si="29"/>
        <v>1</v>
      </c>
      <c r="K177" s="78">
        <f t="shared" si="29"/>
        <v>1</v>
      </c>
      <c r="L177" s="78">
        <f t="shared" si="29"/>
        <v>2</v>
      </c>
      <c r="M177" s="78">
        <f t="shared" si="29"/>
        <v>1</v>
      </c>
      <c r="N177" s="78">
        <f t="shared" si="29"/>
        <v>0</v>
      </c>
    </row>
    <row r="178" spans="1:15" x14ac:dyDescent="0.2">
      <c r="B178" s="89" t="s">
        <v>44</v>
      </c>
      <c r="C178" s="49">
        <v>0.5</v>
      </c>
      <c r="D178" s="49">
        <v>0.5</v>
      </c>
      <c r="E178" s="49">
        <v>0.5</v>
      </c>
      <c r="F178" s="49">
        <v>0.5</v>
      </c>
      <c r="G178" s="49">
        <v>0.5</v>
      </c>
      <c r="H178" s="49">
        <v>0.5</v>
      </c>
      <c r="I178" s="49">
        <v>0.5</v>
      </c>
      <c r="J178" s="49">
        <v>0.5</v>
      </c>
      <c r="K178" s="49">
        <v>0.5</v>
      </c>
      <c r="L178" s="49">
        <v>0.5</v>
      </c>
      <c r="M178" s="49">
        <v>0.5</v>
      </c>
      <c r="N178" s="49">
        <v>0.5</v>
      </c>
    </row>
    <row r="179" spans="1:15" x14ac:dyDescent="0.2">
      <c r="B179" s="78" t="s">
        <v>186</v>
      </c>
      <c r="C179" s="53">
        <f>SUM(174*C178)</f>
        <v>87</v>
      </c>
      <c r="D179" s="53">
        <f t="shared" ref="D179:N179" si="30">SUM(174*D178)</f>
        <v>87</v>
      </c>
      <c r="E179" s="53">
        <f t="shared" si="30"/>
        <v>87</v>
      </c>
      <c r="F179" s="53">
        <f t="shared" si="30"/>
        <v>87</v>
      </c>
      <c r="G179" s="53">
        <f t="shared" si="30"/>
        <v>87</v>
      </c>
      <c r="H179" s="53">
        <f t="shared" si="30"/>
        <v>87</v>
      </c>
      <c r="I179" s="53">
        <f t="shared" si="30"/>
        <v>87</v>
      </c>
      <c r="J179" s="53">
        <f t="shared" si="30"/>
        <v>87</v>
      </c>
      <c r="K179" s="53">
        <f t="shared" si="30"/>
        <v>87</v>
      </c>
      <c r="L179" s="53">
        <f t="shared" si="30"/>
        <v>87</v>
      </c>
      <c r="M179" s="53">
        <f t="shared" si="30"/>
        <v>87</v>
      </c>
      <c r="N179" s="53">
        <f t="shared" si="30"/>
        <v>87</v>
      </c>
    </row>
    <row r="180" spans="1:15" x14ac:dyDescent="0.2">
      <c r="A180" s="59" t="s">
        <v>517</v>
      </c>
      <c r="B180" s="78" t="s">
        <v>187</v>
      </c>
      <c r="C180" s="66">
        <f>SUM(C179*$B$181)</f>
        <v>1653</v>
      </c>
      <c r="D180" s="66">
        <f t="shared" ref="D180:N180" si="31">SUM(D179*$B$181)</f>
        <v>1653</v>
      </c>
      <c r="E180" s="66">
        <f t="shared" si="31"/>
        <v>1653</v>
      </c>
      <c r="F180" s="66">
        <f t="shared" si="31"/>
        <v>1653</v>
      </c>
      <c r="G180" s="66">
        <f t="shared" si="31"/>
        <v>1653</v>
      </c>
      <c r="H180" s="66">
        <f t="shared" si="31"/>
        <v>1653</v>
      </c>
      <c r="I180" s="66">
        <f t="shared" si="31"/>
        <v>1653</v>
      </c>
      <c r="J180" s="66">
        <f t="shared" si="31"/>
        <v>1653</v>
      </c>
      <c r="K180" s="66">
        <f t="shared" si="31"/>
        <v>1653</v>
      </c>
      <c r="L180" s="66">
        <f t="shared" si="31"/>
        <v>1653</v>
      </c>
      <c r="M180" s="66">
        <f t="shared" si="31"/>
        <v>1653</v>
      </c>
      <c r="N180" s="66">
        <f t="shared" si="31"/>
        <v>1653</v>
      </c>
    </row>
    <row r="181" spans="1:15" x14ac:dyDescent="0.2">
      <c r="A181" s="59" t="s">
        <v>188</v>
      </c>
      <c r="B181" s="243">
        <v>19</v>
      </c>
      <c r="C181" s="66">
        <f>SUM(C180)*'Data Links'!$B$15</f>
        <v>126.4545</v>
      </c>
      <c r="D181" s="66">
        <f>SUM(D180)*'Data Links'!$B$15</f>
        <v>126.4545</v>
      </c>
      <c r="E181" s="66">
        <f>SUM(E180)*'Data Links'!$B$15</f>
        <v>126.4545</v>
      </c>
      <c r="F181" s="66">
        <f>SUM(F180)*'Data Links'!$B$15</f>
        <v>126.4545</v>
      </c>
      <c r="G181" s="66">
        <f>SUM(G180)*'Data Links'!$B$15</f>
        <v>126.4545</v>
      </c>
      <c r="H181" s="66">
        <f>SUM(H180)*'Data Links'!$B$15</f>
        <v>126.4545</v>
      </c>
      <c r="I181" s="66">
        <f>SUM(I180)*'Data Links'!$B$15</f>
        <v>126.4545</v>
      </c>
      <c r="J181" s="66">
        <f>SUM(J180)*'Data Links'!$B$15</f>
        <v>126.4545</v>
      </c>
      <c r="K181" s="66">
        <f>SUM(K180)*'Data Links'!$B$15</f>
        <v>126.4545</v>
      </c>
      <c r="L181" s="66">
        <f>SUM(L180)*'Data Links'!$B$15</f>
        <v>126.4545</v>
      </c>
      <c r="M181" s="66">
        <f>SUM(M180)*'Data Links'!$B$15</f>
        <v>126.4545</v>
      </c>
      <c r="N181" s="66">
        <f>SUM(N180)*'Data Links'!$B$15</f>
        <v>126.4545</v>
      </c>
    </row>
    <row r="182" spans="1:15" x14ac:dyDescent="0.2">
      <c r="A182" s="59" t="s">
        <v>189</v>
      </c>
      <c r="B182" s="74">
        <v>17</v>
      </c>
      <c r="C182" s="66">
        <f>SUM(C180*'Data Links'!$B$13)</f>
        <v>9.918000000000001</v>
      </c>
      <c r="D182" s="66">
        <f>SUM(D180*'Data Links'!$B$13)</f>
        <v>9.918000000000001</v>
      </c>
      <c r="E182" s="66">
        <f>SUM(E180*'Data Links'!$B$13)</f>
        <v>9.918000000000001</v>
      </c>
      <c r="F182" s="66">
        <f>SUM(F180*'Data Links'!$B$13)</f>
        <v>9.918000000000001</v>
      </c>
      <c r="G182" s="66">
        <f>SUM(G180*'Data Links'!$B$13)</f>
        <v>9.918000000000001</v>
      </c>
      <c r="H182" s="66">
        <f>SUM(H180*'Data Links'!$B$13)</f>
        <v>9.918000000000001</v>
      </c>
      <c r="I182" s="66">
        <f>SUM(I180*'Data Links'!$B$13)</f>
        <v>9.918000000000001</v>
      </c>
      <c r="J182" s="66">
        <f>SUM(J180*'Data Links'!$B$13)</f>
        <v>9.918000000000001</v>
      </c>
      <c r="K182" s="66">
        <f>SUM(K180*'Data Links'!$B$13)</f>
        <v>9.918000000000001</v>
      </c>
      <c r="L182" s="66">
        <f>SUM(L180*'Data Links'!$B$13)</f>
        <v>9.918000000000001</v>
      </c>
      <c r="M182" s="66">
        <f>SUM(M180*'Data Links'!$B$13)</f>
        <v>9.918000000000001</v>
      </c>
      <c r="N182" s="66">
        <f>SUM(N180*'Data Links'!$B$13)</f>
        <v>9.918000000000001</v>
      </c>
    </row>
    <row r="183" spans="1:15" x14ac:dyDescent="0.2">
      <c r="A183" s="59" t="s">
        <v>190</v>
      </c>
      <c r="C183" s="66">
        <f>SUM(C179*'Data Links'!$B$8)</f>
        <v>6.7729499999999998</v>
      </c>
      <c r="D183" s="66">
        <f>SUM(D179*'Data Links'!$B$8)</f>
        <v>6.7729499999999998</v>
      </c>
      <c r="E183" s="66">
        <f>SUM(E179*'Data Links'!$B$8)</f>
        <v>6.7729499999999998</v>
      </c>
      <c r="F183" s="66">
        <f>SUM(F179*'Data Links'!$B$8)</f>
        <v>6.7729499999999998</v>
      </c>
      <c r="G183" s="66">
        <f>SUM(G179*'Data Links'!$B$8)</f>
        <v>6.7729499999999998</v>
      </c>
      <c r="H183" s="66">
        <f>SUM(H179*'Data Links'!$B$8)</f>
        <v>6.7729499999999998</v>
      </c>
      <c r="I183" s="66">
        <f>SUM(I179*'Data Links'!$B$8)</f>
        <v>6.7729499999999998</v>
      </c>
      <c r="J183" s="66">
        <f>SUM(J179*'Data Links'!$B$8)</f>
        <v>6.7729499999999998</v>
      </c>
      <c r="K183" s="66">
        <f>SUM(K179*'Data Links'!$B$8)</f>
        <v>6.7729499999999998</v>
      </c>
      <c r="L183" s="66">
        <f>SUM(L179*'Data Links'!$B$8)</f>
        <v>6.7729499999999998</v>
      </c>
      <c r="M183" s="66">
        <f>SUM(M179*'Data Links'!$B$8)</f>
        <v>6.7729499999999998</v>
      </c>
      <c r="N183" s="66">
        <f>SUM(N179*'Data Links'!$B$8)</f>
        <v>6.7729499999999998</v>
      </c>
    </row>
    <row r="184" spans="1:15" x14ac:dyDescent="0.2">
      <c r="A184" s="59" t="s">
        <v>191</v>
      </c>
      <c r="C184" s="66"/>
      <c r="D184" s="66"/>
      <c r="E184" s="66"/>
      <c r="F184" s="66"/>
      <c r="G184" s="66"/>
      <c r="H184" s="66"/>
      <c r="I184" s="66"/>
      <c r="J184" s="66"/>
      <c r="K184" s="66"/>
      <c r="L184" s="66"/>
      <c r="M184" s="66"/>
      <c r="N184" s="66"/>
    </row>
    <row r="185" spans="1:15" x14ac:dyDescent="0.2">
      <c r="A185" s="59" t="s">
        <v>192</v>
      </c>
      <c r="C185" s="66">
        <f>SUM(C180*'Data Links'!$B$17)</f>
        <v>49.589999999999996</v>
      </c>
      <c r="D185" s="66">
        <f>SUM(D180*'Data Links'!$B$17)</f>
        <v>49.589999999999996</v>
      </c>
      <c r="E185" s="66">
        <f>SUM(E180*'Data Links'!$B$17)</f>
        <v>49.589999999999996</v>
      </c>
      <c r="F185" s="66">
        <f>SUM(F180*'Data Links'!$B$17)</f>
        <v>49.589999999999996</v>
      </c>
      <c r="G185" s="66">
        <f>SUM(G180*'Data Links'!$B$17)</f>
        <v>49.589999999999996</v>
      </c>
      <c r="H185" s="66">
        <f>SUM(H180*'Data Links'!$B$17)</f>
        <v>49.589999999999996</v>
      </c>
      <c r="I185" s="66">
        <f>SUM(I180*'Data Links'!$B$17)</f>
        <v>49.589999999999996</v>
      </c>
      <c r="J185" s="66">
        <f>SUM(J180*'Data Links'!$B$17)</f>
        <v>49.589999999999996</v>
      </c>
      <c r="K185" s="66">
        <f>SUM(K180*'Data Links'!$B$17)</f>
        <v>49.589999999999996</v>
      </c>
      <c r="L185" s="66">
        <f>SUM(L180*'Data Links'!$B$17)</f>
        <v>49.589999999999996</v>
      </c>
      <c r="M185" s="66">
        <f>SUM(M180*'Data Links'!$B$17)</f>
        <v>49.589999999999996</v>
      </c>
      <c r="N185" s="66">
        <f>SUM(N180*'Data Links'!$B$17)</f>
        <v>49.589999999999996</v>
      </c>
    </row>
    <row r="186" spans="1:15" s="58" customFormat="1" x14ac:dyDescent="0.2">
      <c r="A186" s="58" t="s">
        <v>144</v>
      </c>
      <c r="B186" s="60"/>
      <c r="C186" s="60">
        <f t="shared" ref="C186:N186" si="32">SUM(C180:C185)</f>
        <v>1845.7354499999999</v>
      </c>
      <c r="D186" s="60">
        <f t="shared" si="32"/>
        <v>1845.7354499999999</v>
      </c>
      <c r="E186" s="60">
        <f t="shared" si="32"/>
        <v>1845.7354499999999</v>
      </c>
      <c r="F186" s="60">
        <f t="shared" si="32"/>
        <v>1845.7354499999999</v>
      </c>
      <c r="G186" s="60">
        <f t="shared" si="32"/>
        <v>1845.7354499999999</v>
      </c>
      <c r="H186" s="60">
        <f t="shared" si="32"/>
        <v>1845.7354499999999</v>
      </c>
      <c r="I186" s="60">
        <f t="shared" si="32"/>
        <v>1845.7354499999999</v>
      </c>
      <c r="J186" s="60">
        <f t="shared" si="32"/>
        <v>1845.7354499999999</v>
      </c>
      <c r="K186" s="60">
        <f t="shared" si="32"/>
        <v>1845.7354499999999</v>
      </c>
      <c r="L186" s="60">
        <f t="shared" si="32"/>
        <v>1845.7354499999999</v>
      </c>
      <c r="M186" s="60">
        <f t="shared" si="32"/>
        <v>1845.7354499999999</v>
      </c>
      <c r="N186" s="60">
        <f t="shared" si="32"/>
        <v>1845.7354499999999</v>
      </c>
      <c r="O186" s="60"/>
    </row>
    <row r="187" spans="1:15" x14ac:dyDescent="0.2">
      <c r="C187" s="60"/>
      <c r="D187" s="66"/>
      <c r="E187" s="66"/>
      <c r="F187" s="66"/>
      <c r="G187" s="66"/>
      <c r="H187" s="66"/>
      <c r="I187" s="66"/>
      <c r="J187" s="66"/>
      <c r="K187" s="66"/>
      <c r="L187" s="66"/>
      <c r="M187" s="66"/>
      <c r="N187" s="66"/>
      <c r="O187" s="140"/>
    </row>
    <row r="188" spans="1:15" x14ac:dyDescent="0.2">
      <c r="C188" s="89" t="str">
        <f>C175</f>
        <v>January</v>
      </c>
      <c r="D188" s="89" t="str">
        <f t="shared" ref="D188:N188" si="33">D175</f>
        <v>February</v>
      </c>
      <c r="E188" s="89" t="str">
        <f t="shared" si="33"/>
        <v>March</v>
      </c>
      <c r="F188" s="89" t="str">
        <f t="shared" si="33"/>
        <v>April</v>
      </c>
      <c r="G188" s="89" t="str">
        <f t="shared" si="33"/>
        <v>May</v>
      </c>
      <c r="H188" s="89" t="str">
        <f t="shared" si="33"/>
        <v>June</v>
      </c>
      <c r="I188" s="89" t="str">
        <f t="shared" si="33"/>
        <v>July</v>
      </c>
      <c r="J188" s="89" t="str">
        <f t="shared" si="33"/>
        <v>August</v>
      </c>
      <c r="K188" s="89" t="str">
        <f t="shared" si="33"/>
        <v>September</v>
      </c>
      <c r="L188" s="89" t="str">
        <f t="shared" si="33"/>
        <v>October</v>
      </c>
      <c r="M188" s="89" t="str">
        <f t="shared" si="33"/>
        <v>November</v>
      </c>
      <c r="N188" s="89" t="str">
        <f t="shared" si="33"/>
        <v>December</v>
      </c>
    </row>
    <row r="189" spans="1:15" x14ac:dyDescent="0.2">
      <c r="C189" s="89">
        <f t="shared" ref="C189:N190" si="34">C176</f>
        <v>30</v>
      </c>
      <c r="D189" s="89">
        <f t="shared" si="34"/>
        <v>31</v>
      </c>
      <c r="E189" s="89">
        <f t="shared" si="34"/>
        <v>30</v>
      </c>
      <c r="F189" s="89">
        <f t="shared" si="34"/>
        <v>31</v>
      </c>
      <c r="G189" s="89">
        <f t="shared" si="34"/>
        <v>31</v>
      </c>
      <c r="H189" s="89">
        <f t="shared" si="34"/>
        <v>30</v>
      </c>
      <c r="I189" s="89">
        <f t="shared" si="34"/>
        <v>31</v>
      </c>
      <c r="J189" s="89">
        <f t="shared" si="34"/>
        <v>30</v>
      </c>
      <c r="K189" s="89">
        <f t="shared" si="34"/>
        <v>31</v>
      </c>
      <c r="L189" s="89">
        <f t="shared" si="34"/>
        <v>31</v>
      </c>
      <c r="M189" s="89">
        <f t="shared" si="34"/>
        <v>28</v>
      </c>
      <c r="N189" s="89">
        <f t="shared" si="34"/>
        <v>31</v>
      </c>
    </row>
    <row r="190" spans="1:15" x14ac:dyDescent="0.2">
      <c r="B190" s="89" t="s">
        <v>185</v>
      </c>
      <c r="C190" s="78">
        <f t="shared" si="34"/>
        <v>0</v>
      </c>
      <c r="D190" s="78">
        <f t="shared" si="34"/>
        <v>1</v>
      </c>
      <c r="E190" s="78">
        <f t="shared" si="34"/>
        <v>0</v>
      </c>
      <c r="F190" s="78">
        <f t="shared" si="34"/>
        <v>1</v>
      </c>
      <c r="G190" s="78">
        <f t="shared" si="34"/>
        <v>0</v>
      </c>
      <c r="H190" s="78">
        <f t="shared" si="34"/>
        <v>1</v>
      </c>
      <c r="I190" s="78">
        <f t="shared" si="34"/>
        <v>1</v>
      </c>
      <c r="J190" s="78">
        <f t="shared" si="34"/>
        <v>1</v>
      </c>
      <c r="K190" s="78">
        <f t="shared" si="34"/>
        <v>1</v>
      </c>
      <c r="L190" s="78">
        <f t="shared" si="34"/>
        <v>2</v>
      </c>
      <c r="M190" s="78">
        <f t="shared" si="34"/>
        <v>1</v>
      </c>
      <c r="N190" s="78">
        <f t="shared" si="34"/>
        <v>0</v>
      </c>
    </row>
    <row r="191" spans="1:15" x14ac:dyDescent="0.2">
      <c r="B191" s="89" t="s">
        <v>44</v>
      </c>
      <c r="C191" s="49">
        <v>0.5</v>
      </c>
      <c r="D191" s="49">
        <v>0.5</v>
      </c>
      <c r="E191" s="49">
        <v>0.5</v>
      </c>
      <c r="F191" s="49">
        <v>0.5</v>
      </c>
      <c r="G191" s="49">
        <v>0.5</v>
      </c>
      <c r="H191" s="49">
        <v>0.5</v>
      </c>
      <c r="I191" s="49">
        <v>0.5</v>
      </c>
      <c r="J191" s="49">
        <v>0.5</v>
      </c>
      <c r="K191" s="49">
        <v>0.5</v>
      </c>
      <c r="L191" s="49">
        <v>0.5</v>
      </c>
      <c r="M191" s="49">
        <v>0.5</v>
      </c>
      <c r="N191" s="49">
        <v>0.5</v>
      </c>
    </row>
    <row r="192" spans="1:15" x14ac:dyDescent="0.2">
      <c r="B192" s="78" t="s">
        <v>186</v>
      </c>
      <c r="C192" s="53">
        <f>SUM(174*C191)</f>
        <v>87</v>
      </c>
      <c r="D192" s="53">
        <f t="shared" ref="D192:N192" si="35">SUM(174*D191)</f>
        <v>87</v>
      </c>
      <c r="E192" s="53">
        <f t="shared" si="35"/>
        <v>87</v>
      </c>
      <c r="F192" s="53">
        <f t="shared" si="35"/>
        <v>87</v>
      </c>
      <c r="G192" s="53">
        <f t="shared" si="35"/>
        <v>87</v>
      </c>
      <c r="H192" s="53">
        <f t="shared" si="35"/>
        <v>87</v>
      </c>
      <c r="I192" s="53">
        <f t="shared" si="35"/>
        <v>87</v>
      </c>
      <c r="J192" s="53">
        <f t="shared" si="35"/>
        <v>87</v>
      </c>
      <c r="K192" s="53">
        <f t="shared" si="35"/>
        <v>87</v>
      </c>
      <c r="L192" s="53">
        <f t="shared" si="35"/>
        <v>87</v>
      </c>
      <c r="M192" s="53">
        <f t="shared" si="35"/>
        <v>87</v>
      </c>
      <c r="N192" s="53">
        <f t="shared" si="35"/>
        <v>87</v>
      </c>
    </row>
    <row r="193" spans="1:15" x14ac:dyDescent="0.2">
      <c r="A193" s="59" t="s">
        <v>519</v>
      </c>
      <c r="B193" s="78" t="s">
        <v>475</v>
      </c>
      <c r="C193" s="66">
        <f>SUM(C192*$B$194)</f>
        <v>2704.83</v>
      </c>
      <c r="D193" s="66">
        <f t="shared" ref="D193:N193" si="36">SUM(D192*$B$194)</f>
        <v>2704.83</v>
      </c>
      <c r="E193" s="66">
        <f t="shared" si="36"/>
        <v>2704.83</v>
      </c>
      <c r="F193" s="66">
        <f t="shared" si="36"/>
        <v>2704.83</v>
      </c>
      <c r="G193" s="66">
        <f t="shared" si="36"/>
        <v>2704.83</v>
      </c>
      <c r="H193" s="66">
        <f t="shared" si="36"/>
        <v>2704.83</v>
      </c>
      <c r="I193" s="66">
        <f t="shared" si="36"/>
        <v>2704.83</v>
      </c>
      <c r="J193" s="66">
        <f t="shared" si="36"/>
        <v>2704.83</v>
      </c>
      <c r="K193" s="66">
        <f t="shared" si="36"/>
        <v>2704.83</v>
      </c>
      <c r="L193" s="66">
        <f t="shared" si="36"/>
        <v>2704.83</v>
      </c>
      <c r="M193" s="66">
        <f t="shared" si="36"/>
        <v>2704.83</v>
      </c>
      <c r="N193" s="66">
        <f t="shared" si="36"/>
        <v>2704.83</v>
      </c>
    </row>
    <row r="194" spans="1:15" x14ac:dyDescent="0.2">
      <c r="A194" s="59" t="s">
        <v>188</v>
      </c>
      <c r="B194" s="74">
        <v>31.09</v>
      </c>
      <c r="C194" s="66">
        <f>SUM(C193)*'Data Links'!$B$15</f>
        <v>206.91949499999998</v>
      </c>
      <c r="D194" s="66">
        <f>SUM(D193)*'Data Links'!$B$15</f>
        <v>206.91949499999998</v>
      </c>
      <c r="E194" s="66">
        <f>SUM(E193)*'Data Links'!$B$15</f>
        <v>206.91949499999998</v>
      </c>
      <c r="F194" s="66">
        <f>SUM(F193)*'Data Links'!$B$15</f>
        <v>206.91949499999998</v>
      </c>
      <c r="G194" s="66">
        <f>SUM(G193)*'Data Links'!$B$15</f>
        <v>206.91949499999998</v>
      </c>
      <c r="H194" s="66">
        <f>SUM(H193)*'Data Links'!$B$15</f>
        <v>206.91949499999998</v>
      </c>
      <c r="I194" s="66">
        <f>SUM(I193)*'Data Links'!$B$15</f>
        <v>206.91949499999998</v>
      </c>
      <c r="J194" s="66">
        <f>SUM(J193)*'Data Links'!$B$15</f>
        <v>206.91949499999998</v>
      </c>
      <c r="K194" s="66">
        <f>SUM(K193)*'Data Links'!$B$15</f>
        <v>206.91949499999998</v>
      </c>
      <c r="L194" s="66">
        <f>SUM(L193)*'Data Links'!$B$15</f>
        <v>206.91949499999998</v>
      </c>
      <c r="M194" s="66">
        <f>SUM(M193)*'Data Links'!$B$15</f>
        <v>206.91949499999998</v>
      </c>
      <c r="N194" s="66">
        <f>SUM(N193)*'Data Links'!$B$15</f>
        <v>206.91949499999998</v>
      </c>
    </row>
    <row r="195" spans="1:15" x14ac:dyDescent="0.2">
      <c r="A195" s="59" t="s">
        <v>189</v>
      </c>
      <c r="C195" s="66">
        <f>SUM(C193*'Data Links'!$B$13)</f>
        <v>16.22898</v>
      </c>
      <c r="D195" s="66">
        <f>SUM(D193*'Data Links'!$B$13)</f>
        <v>16.22898</v>
      </c>
      <c r="E195" s="66">
        <f>SUM(E193*'Data Links'!$B$13)</f>
        <v>16.22898</v>
      </c>
      <c r="F195" s="66">
        <f>SUM(F193*'Data Links'!$B$13)</f>
        <v>16.22898</v>
      </c>
      <c r="G195" s="66">
        <f>SUM(G193*'Data Links'!$B$13)</f>
        <v>16.22898</v>
      </c>
      <c r="H195" s="66">
        <f>SUM(H193*'Data Links'!$B$13)</f>
        <v>16.22898</v>
      </c>
      <c r="I195" s="66">
        <f>SUM(I193*'Data Links'!$B$13)</f>
        <v>16.22898</v>
      </c>
      <c r="J195" s="66">
        <f>SUM(J193*'Data Links'!$B$13)</f>
        <v>16.22898</v>
      </c>
      <c r="K195" s="66">
        <f>SUM(K193*'Data Links'!$B$13)</f>
        <v>16.22898</v>
      </c>
      <c r="L195" s="66">
        <f>SUM(L193*'Data Links'!$B$13)</f>
        <v>16.22898</v>
      </c>
      <c r="M195" s="66">
        <f>SUM(M193*'Data Links'!$B$13)</f>
        <v>16.22898</v>
      </c>
      <c r="N195" s="66">
        <f>SUM(N193*'Data Links'!$B$13)</f>
        <v>16.22898</v>
      </c>
    </row>
    <row r="196" spans="1:15" x14ac:dyDescent="0.2">
      <c r="A196" s="59" t="s">
        <v>190</v>
      </c>
      <c r="C196" s="66">
        <f>SUM(C192*'Data Links'!$B$8)</f>
        <v>6.7729499999999998</v>
      </c>
      <c r="D196" s="66">
        <f>SUM(D192*'Data Links'!$B$8)</f>
        <v>6.7729499999999998</v>
      </c>
      <c r="E196" s="66">
        <f>SUM(E192*'Data Links'!$B$8)</f>
        <v>6.7729499999999998</v>
      </c>
      <c r="F196" s="66">
        <f>SUM(F192*'Data Links'!$B$8)</f>
        <v>6.7729499999999998</v>
      </c>
      <c r="G196" s="66">
        <f>SUM(G192*'Data Links'!$B$8)</f>
        <v>6.7729499999999998</v>
      </c>
      <c r="H196" s="66">
        <f>SUM(H192*'Data Links'!$B$8)</f>
        <v>6.7729499999999998</v>
      </c>
      <c r="I196" s="66">
        <f>SUM(I192*'Data Links'!$B$8)</f>
        <v>6.7729499999999998</v>
      </c>
      <c r="J196" s="66">
        <f>SUM(J192*'Data Links'!$B$8)</f>
        <v>6.7729499999999998</v>
      </c>
      <c r="K196" s="66">
        <f>SUM(K192*'Data Links'!$B$8)</f>
        <v>6.7729499999999998</v>
      </c>
      <c r="L196" s="66">
        <f>SUM(L192*'Data Links'!$B$8)</f>
        <v>6.7729499999999998</v>
      </c>
      <c r="M196" s="66">
        <f>SUM(M192*'Data Links'!$B$8)</f>
        <v>6.7729499999999998</v>
      </c>
      <c r="N196" s="66">
        <f>SUM(N192*'Data Links'!$B$8)</f>
        <v>6.7729499999999998</v>
      </c>
    </row>
    <row r="197" spans="1:15" x14ac:dyDescent="0.2">
      <c r="A197" s="59" t="s">
        <v>191</v>
      </c>
      <c r="C197" s="66"/>
      <c r="D197" s="66"/>
      <c r="E197" s="66"/>
      <c r="F197" s="66"/>
      <c r="G197" s="66"/>
      <c r="H197" s="66"/>
      <c r="I197" s="66"/>
      <c r="J197" s="66"/>
      <c r="K197" s="66"/>
      <c r="L197" s="66"/>
      <c r="M197" s="66"/>
      <c r="N197" s="66"/>
    </row>
    <row r="198" spans="1:15" x14ac:dyDescent="0.2">
      <c r="A198" s="59" t="s">
        <v>192</v>
      </c>
      <c r="C198" s="66">
        <f>SUM(C193*'Data Links'!$B$17)</f>
        <v>81.144899999999993</v>
      </c>
      <c r="D198" s="66">
        <f>SUM(D193*'Data Links'!$B$17)</f>
        <v>81.144899999999993</v>
      </c>
      <c r="E198" s="66">
        <f>SUM(E193*'Data Links'!$B$17)</f>
        <v>81.144899999999993</v>
      </c>
      <c r="F198" s="66">
        <f>SUM(F193*'Data Links'!$B$17)</f>
        <v>81.144899999999993</v>
      </c>
      <c r="G198" s="66">
        <f>SUM(G193*'Data Links'!$B$17)</f>
        <v>81.144899999999993</v>
      </c>
      <c r="H198" s="66">
        <f>SUM(H193*'Data Links'!$B$17)</f>
        <v>81.144899999999993</v>
      </c>
      <c r="I198" s="66">
        <f>SUM(I193*'Data Links'!$B$17)</f>
        <v>81.144899999999993</v>
      </c>
      <c r="J198" s="66">
        <f>SUM(J193*'Data Links'!$B$17)</f>
        <v>81.144899999999993</v>
      </c>
      <c r="K198" s="66">
        <f>SUM(K193*'Data Links'!$B$17)</f>
        <v>81.144899999999993</v>
      </c>
      <c r="L198" s="66">
        <f>SUM(L193*'Data Links'!$B$17)</f>
        <v>81.144899999999993</v>
      </c>
      <c r="M198" s="66">
        <f>SUM(M193*'Data Links'!$B$17)</f>
        <v>81.144899999999993</v>
      </c>
      <c r="N198" s="66">
        <f>SUM(N193*'Data Links'!$B$17)</f>
        <v>81.144899999999993</v>
      </c>
    </row>
    <row r="199" spans="1:15" s="58" customFormat="1" x14ac:dyDescent="0.2">
      <c r="A199" s="58" t="s">
        <v>144</v>
      </c>
      <c r="B199" s="60"/>
      <c r="C199" s="60">
        <f t="shared" ref="C199:N199" si="37">SUM(C193:C198)</f>
        <v>3015.8963249999997</v>
      </c>
      <c r="D199" s="60">
        <f t="shared" si="37"/>
        <v>3015.8963249999997</v>
      </c>
      <c r="E199" s="60">
        <f t="shared" si="37"/>
        <v>3015.8963249999997</v>
      </c>
      <c r="F199" s="60">
        <f t="shared" si="37"/>
        <v>3015.8963249999997</v>
      </c>
      <c r="G199" s="60">
        <f t="shared" si="37"/>
        <v>3015.8963249999997</v>
      </c>
      <c r="H199" s="60">
        <f t="shared" si="37"/>
        <v>3015.8963249999997</v>
      </c>
      <c r="I199" s="60">
        <f t="shared" si="37"/>
        <v>3015.8963249999997</v>
      </c>
      <c r="J199" s="60">
        <f t="shared" si="37"/>
        <v>3015.8963249999997</v>
      </c>
      <c r="K199" s="60">
        <f t="shared" si="37"/>
        <v>3015.8963249999997</v>
      </c>
      <c r="L199" s="60">
        <f t="shared" si="37"/>
        <v>3015.8963249999997</v>
      </c>
      <c r="M199" s="60">
        <f t="shared" si="37"/>
        <v>3015.8963249999997</v>
      </c>
      <c r="N199" s="60">
        <f t="shared" si="37"/>
        <v>3015.8963249999997</v>
      </c>
    </row>
    <row r="200" spans="1:15" x14ac:dyDescent="0.2">
      <c r="C200" s="60"/>
      <c r="D200" s="66"/>
      <c r="E200" s="66"/>
      <c r="F200" s="66"/>
      <c r="G200" s="66"/>
      <c r="H200" s="66"/>
      <c r="I200" s="66"/>
      <c r="J200" s="66"/>
      <c r="K200" s="66"/>
      <c r="L200" s="66"/>
      <c r="M200" s="66"/>
      <c r="N200" s="66"/>
    </row>
    <row r="201" spans="1:15" x14ac:dyDescent="0.2">
      <c r="C201" s="89" t="str">
        <f>C188</f>
        <v>January</v>
      </c>
      <c r="D201" s="89" t="str">
        <f t="shared" ref="D201:N201" si="38">D188</f>
        <v>February</v>
      </c>
      <c r="E201" s="89" t="str">
        <f t="shared" si="38"/>
        <v>March</v>
      </c>
      <c r="F201" s="89" t="str">
        <f t="shared" si="38"/>
        <v>April</v>
      </c>
      <c r="G201" s="89" t="str">
        <f t="shared" si="38"/>
        <v>May</v>
      </c>
      <c r="H201" s="89" t="str">
        <f t="shared" si="38"/>
        <v>June</v>
      </c>
      <c r="I201" s="89" t="str">
        <f t="shared" si="38"/>
        <v>July</v>
      </c>
      <c r="J201" s="89" t="str">
        <f t="shared" si="38"/>
        <v>August</v>
      </c>
      <c r="K201" s="89" t="str">
        <f t="shared" si="38"/>
        <v>September</v>
      </c>
      <c r="L201" s="89" t="str">
        <f t="shared" si="38"/>
        <v>October</v>
      </c>
      <c r="M201" s="89" t="str">
        <f t="shared" si="38"/>
        <v>November</v>
      </c>
      <c r="N201" s="89" t="str">
        <f t="shared" si="38"/>
        <v>December</v>
      </c>
    </row>
    <row r="202" spans="1:15" x14ac:dyDescent="0.2">
      <c r="C202" s="89">
        <f t="shared" ref="C202:N203" si="39">C189</f>
        <v>30</v>
      </c>
      <c r="D202" s="89">
        <f t="shared" si="39"/>
        <v>31</v>
      </c>
      <c r="E202" s="89">
        <f t="shared" si="39"/>
        <v>30</v>
      </c>
      <c r="F202" s="89">
        <f t="shared" si="39"/>
        <v>31</v>
      </c>
      <c r="G202" s="89">
        <f t="shared" si="39"/>
        <v>31</v>
      </c>
      <c r="H202" s="89">
        <f t="shared" si="39"/>
        <v>30</v>
      </c>
      <c r="I202" s="89">
        <f t="shared" si="39"/>
        <v>31</v>
      </c>
      <c r="J202" s="89">
        <f t="shared" si="39"/>
        <v>30</v>
      </c>
      <c r="K202" s="89">
        <f t="shared" si="39"/>
        <v>31</v>
      </c>
      <c r="L202" s="89">
        <f t="shared" si="39"/>
        <v>31</v>
      </c>
      <c r="M202" s="89">
        <f t="shared" si="39"/>
        <v>28</v>
      </c>
      <c r="N202" s="89">
        <f t="shared" si="39"/>
        <v>31</v>
      </c>
    </row>
    <row r="203" spans="1:15" x14ac:dyDescent="0.2">
      <c r="B203" s="89" t="s">
        <v>185</v>
      </c>
      <c r="C203" s="78">
        <f t="shared" si="39"/>
        <v>0</v>
      </c>
      <c r="D203" s="78">
        <f t="shared" si="39"/>
        <v>1</v>
      </c>
      <c r="E203" s="78">
        <f t="shared" si="39"/>
        <v>0</v>
      </c>
      <c r="F203" s="78">
        <f t="shared" si="39"/>
        <v>1</v>
      </c>
      <c r="G203" s="78">
        <f t="shared" si="39"/>
        <v>0</v>
      </c>
      <c r="H203" s="78">
        <f t="shared" si="39"/>
        <v>1</v>
      </c>
      <c r="I203" s="78">
        <f t="shared" si="39"/>
        <v>1</v>
      </c>
      <c r="J203" s="78">
        <f t="shared" si="39"/>
        <v>1</v>
      </c>
      <c r="K203" s="78">
        <f t="shared" si="39"/>
        <v>1</v>
      </c>
      <c r="L203" s="78">
        <f t="shared" si="39"/>
        <v>2</v>
      </c>
      <c r="M203" s="78">
        <f t="shared" si="39"/>
        <v>1</v>
      </c>
      <c r="N203" s="78">
        <f t="shared" si="39"/>
        <v>0</v>
      </c>
    </row>
    <row r="204" spans="1:15" x14ac:dyDescent="0.2">
      <c r="B204" s="89" t="s">
        <v>44</v>
      </c>
      <c r="C204" s="49">
        <v>0.04</v>
      </c>
      <c r="D204" s="49">
        <v>0.04</v>
      </c>
      <c r="E204" s="49">
        <v>0.04</v>
      </c>
      <c r="F204" s="49">
        <v>0.04</v>
      </c>
      <c r="G204" s="49">
        <v>0.04</v>
      </c>
      <c r="H204" s="49">
        <v>0.04</v>
      </c>
      <c r="I204" s="49">
        <v>0.04</v>
      </c>
      <c r="J204" s="49">
        <v>0.04</v>
      </c>
      <c r="K204" s="49">
        <v>0.04</v>
      </c>
      <c r="L204" s="49">
        <v>0.04</v>
      </c>
      <c r="M204" s="49">
        <v>0.04</v>
      </c>
      <c r="N204" s="49">
        <v>0.04</v>
      </c>
      <c r="O204" s="27"/>
    </row>
    <row r="205" spans="1:15" x14ac:dyDescent="0.2">
      <c r="B205" s="89" t="s">
        <v>186</v>
      </c>
      <c r="C205" s="53">
        <f>SUM(174*C204)</f>
        <v>6.96</v>
      </c>
      <c r="D205" s="53">
        <f t="shared" ref="D205:N205" si="40">SUM(174*D204)</f>
        <v>6.96</v>
      </c>
      <c r="E205" s="53">
        <f t="shared" si="40"/>
        <v>6.96</v>
      </c>
      <c r="F205" s="53">
        <f t="shared" si="40"/>
        <v>6.96</v>
      </c>
      <c r="G205" s="53">
        <f t="shared" si="40"/>
        <v>6.96</v>
      </c>
      <c r="H205" s="53">
        <f t="shared" si="40"/>
        <v>6.96</v>
      </c>
      <c r="I205" s="53">
        <f t="shared" si="40"/>
        <v>6.96</v>
      </c>
      <c r="J205" s="53">
        <f t="shared" si="40"/>
        <v>6.96</v>
      </c>
      <c r="K205" s="53">
        <f t="shared" si="40"/>
        <v>6.96</v>
      </c>
      <c r="L205" s="53">
        <f t="shared" si="40"/>
        <v>6.96</v>
      </c>
      <c r="M205" s="53">
        <f t="shared" si="40"/>
        <v>6.96</v>
      </c>
      <c r="N205" s="53">
        <f t="shared" si="40"/>
        <v>6.96</v>
      </c>
    </row>
    <row r="206" spans="1:15" x14ac:dyDescent="0.2">
      <c r="A206" s="59" t="s">
        <v>520</v>
      </c>
      <c r="B206" s="78" t="s">
        <v>347</v>
      </c>
      <c r="C206" s="66">
        <f>SUM(C205*$B$207)</f>
        <v>216.38640000000001</v>
      </c>
      <c r="D206" s="66">
        <f t="shared" ref="D206:N206" si="41">SUM(D205*$B$207)</f>
        <v>216.38640000000001</v>
      </c>
      <c r="E206" s="66">
        <f t="shared" si="41"/>
        <v>216.38640000000001</v>
      </c>
      <c r="F206" s="66">
        <f t="shared" si="41"/>
        <v>216.38640000000001</v>
      </c>
      <c r="G206" s="66">
        <f t="shared" si="41"/>
        <v>216.38640000000001</v>
      </c>
      <c r="H206" s="66">
        <f t="shared" si="41"/>
        <v>216.38640000000001</v>
      </c>
      <c r="I206" s="66">
        <f t="shared" si="41"/>
        <v>216.38640000000001</v>
      </c>
      <c r="J206" s="66">
        <f t="shared" si="41"/>
        <v>216.38640000000001</v>
      </c>
      <c r="K206" s="66">
        <f t="shared" si="41"/>
        <v>216.38640000000001</v>
      </c>
      <c r="L206" s="66">
        <f t="shared" si="41"/>
        <v>216.38640000000001</v>
      </c>
      <c r="M206" s="66">
        <f t="shared" si="41"/>
        <v>216.38640000000001</v>
      </c>
      <c r="N206" s="66">
        <f t="shared" si="41"/>
        <v>216.38640000000001</v>
      </c>
    </row>
    <row r="207" spans="1:15" x14ac:dyDescent="0.2">
      <c r="A207" s="59" t="s">
        <v>188</v>
      </c>
      <c r="B207" s="74">
        <v>31.09</v>
      </c>
      <c r="C207" s="66">
        <f>SUM(C206)*'Data Links'!$B$15</f>
        <v>16.5535596</v>
      </c>
      <c r="D207" s="66">
        <f>SUM(D206)*'Data Links'!$B$15</f>
        <v>16.5535596</v>
      </c>
      <c r="E207" s="66">
        <f>SUM(E206)*'Data Links'!$B$15</f>
        <v>16.5535596</v>
      </c>
      <c r="F207" s="66">
        <f>SUM(F206)*'Data Links'!$B$15</f>
        <v>16.5535596</v>
      </c>
      <c r="G207" s="66">
        <f>SUM(G206)*'Data Links'!$B$15</f>
        <v>16.5535596</v>
      </c>
      <c r="H207" s="66">
        <f>SUM(H206)*'Data Links'!$B$15</f>
        <v>16.5535596</v>
      </c>
      <c r="I207" s="66">
        <f>SUM(I206)*'Data Links'!$B$15</f>
        <v>16.5535596</v>
      </c>
      <c r="J207" s="66">
        <f>SUM(J206)*'Data Links'!$B$15</f>
        <v>16.5535596</v>
      </c>
      <c r="K207" s="66">
        <f>SUM(K206)*'Data Links'!$B$15</f>
        <v>16.5535596</v>
      </c>
      <c r="L207" s="66">
        <f>SUM(L206)*'Data Links'!$B$15</f>
        <v>16.5535596</v>
      </c>
      <c r="M207" s="66">
        <f>SUM(M206)*'Data Links'!$B$15</f>
        <v>16.5535596</v>
      </c>
      <c r="N207" s="66">
        <f>SUM(N206)*'Data Links'!$B$15</f>
        <v>16.5535596</v>
      </c>
    </row>
    <row r="208" spans="1:15" x14ac:dyDescent="0.2">
      <c r="A208" s="59" t="s">
        <v>189</v>
      </c>
      <c r="C208" s="66">
        <f>SUM(C206*'Data Links'!$B$13)</f>
        <v>1.2983184000000001</v>
      </c>
      <c r="D208" s="66">
        <f>SUM(D206*'Data Links'!$B$13)</f>
        <v>1.2983184000000001</v>
      </c>
      <c r="E208" s="66">
        <f>SUM(E206*'Data Links'!$B$13)</f>
        <v>1.2983184000000001</v>
      </c>
      <c r="F208" s="66">
        <f>SUM(F206*'Data Links'!$B$13)</f>
        <v>1.2983184000000001</v>
      </c>
      <c r="G208" s="66">
        <f>SUM(G206*'Data Links'!$B$13)</f>
        <v>1.2983184000000001</v>
      </c>
      <c r="H208" s="66">
        <f>SUM(H206*'Data Links'!$B$13)</f>
        <v>1.2983184000000001</v>
      </c>
      <c r="I208" s="66">
        <f>SUM(I206*'Data Links'!$B$13)</f>
        <v>1.2983184000000001</v>
      </c>
      <c r="J208" s="66">
        <f>SUM(J206*'Data Links'!$B$13)</f>
        <v>1.2983184000000001</v>
      </c>
      <c r="K208" s="66">
        <f>SUM(K206*'Data Links'!$B$13)</f>
        <v>1.2983184000000001</v>
      </c>
      <c r="L208" s="66">
        <f>SUM(L206*'Data Links'!$B$13)</f>
        <v>1.2983184000000001</v>
      </c>
      <c r="M208" s="66">
        <f>SUM(M206*'Data Links'!$B$13)</f>
        <v>1.2983184000000001</v>
      </c>
      <c r="N208" s="66">
        <f>SUM(N206*'Data Links'!$B$13)</f>
        <v>1.2983184000000001</v>
      </c>
    </row>
    <row r="209" spans="1:14" x14ac:dyDescent="0.2">
      <c r="A209" s="59" t="s">
        <v>190</v>
      </c>
      <c r="C209" s="66">
        <f>SUM(C205*'Data Links'!$B$8)</f>
        <v>0.54183599999999998</v>
      </c>
      <c r="D209" s="66">
        <f>SUM(D205*'Data Links'!$B$8)</f>
        <v>0.54183599999999998</v>
      </c>
      <c r="E209" s="66">
        <f>SUM(E205*'Data Links'!$B$8)</f>
        <v>0.54183599999999998</v>
      </c>
      <c r="F209" s="66">
        <f>SUM(F205*'Data Links'!$B$8)</f>
        <v>0.54183599999999998</v>
      </c>
      <c r="G209" s="66">
        <f>SUM(G205*'Data Links'!$B$8)</f>
        <v>0.54183599999999998</v>
      </c>
      <c r="H209" s="66">
        <f>SUM(H205*'Data Links'!$B$8)</f>
        <v>0.54183599999999998</v>
      </c>
      <c r="I209" s="66">
        <f>SUM(I205*'Data Links'!$B$8)</f>
        <v>0.54183599999999998</v>
      </c>
      <c r="J209" s="66">
        <f>SUM(J205*'Data Links'!$B$8)</f>
        <v>0.54183599999999998</v>
      </c>
      <c r="K209" s="66">
        <f>SUM(K205*'Data Links'!$B$8)</f>
        <v>0.54183599999999998</v>
      </c>
      <c r="L209" s="66">
        <f>SUM(L205*'Data Links'!$B$8)</f>
        <v>0.54183599999999998</v>
      </c>
      <c r="M209" s="66">
        <f>SUM(M205*'Data Links'!$B$8)</f>
        <v>0.54183599999999998</v>
      </c>
      <c r="N209" s="66">
        <f>SUM(N205*'Data Links'!$B$8)</f>
        <v>0.54183599999999998</v>
      </c>
    </row>
    <row r="210" spans="1:14" x14ac:dyDescent="0.2">
      <c r="A210" s="59" t="s">
        <v>191</v>
      </c>
      <c r="C210" s="66"/>
      <c r="D210" s="66"/>
      <c r="E210" s="66"/>
      <c r="F210" s="66"/>
      <c r="G210" s="66"/>
      <c r="H210" s="66"/>
      <c r="I210" s="66"/>
      <c r="J210" s="66"/>
      <c r="K210" s="66"/>
      <c r="L210" s="66"/>
      <c r="M210" s="66"/>
      <c r="N210" s="66"/>
    </row>
    <row r="211" spans="1:14" x14ac:dyDescent="0.2">
      <c r="A211" s="59" t="s">
        <v>192</v>
      </c>
      <c r="C211" s="66">
        <f>SUM(C206*'Data Links'!$B$17)</f>
        <v>6.4915919999999998</v>
      </c>
      <c r="D211" s="66">
        <f>SUM(D206*'Data Links'!$B$17)</f>
        <v>6.4915919999999998</v>
      </c>
      <c r="E211" s="66">
        <f>SUM(E206*'Data Links'!$B$17)</f>
        <v>6.4915919999999998</v>
      </c>
      <c r="F211" s="66">
        <f>SUM(F206*'Data Links'!$B$17)</f>
        <v>6.4915919999999998</v>
      </c>
      <c r="G211" s="66">
        <f>SUM(G206*'Data Links'!$B$17)</f>
        <v>6.4915919999999998</v>
      </c>
      <c r="H211" s="66">
        <f>SUM(H206*'Data Links'!$B$17)</f>
        <v>6.4915919999999998</v>
      </c>
      <c r="I211" s="66">
        <f>SUM(I206*'Data Links'!$B$17)</f>
        <v>6.4915919999999998</v>
      </c>
      <c r="J211" s="66">
        <f>SUM(J206*'Data Links'!$B$17)</f>
        <v>6.4915919999999998</v>
      </c>
      <c r="K211" s="66">
        <f>SUM(K206*'Data Links'!$B$17)</f>
        <v>6.4915919999999998</v>
      </c>
      <c r="L211" s="66">
        <f>SUM(L206*'Data Links'!$B$17)</f>
        <v>6.4915919999999998</v>
      </c>
      <c r="M211" s="66">
        <f>SUM(M206*'Data Links'!$B$17)</f>
        <v>6.4915919999999998</v>
      </c>
      <c r="N211" s="66">
        <f>SUM(N206*'Data Links'!$B$17)</f>
        <v>6.4915919999999998</v>
      </c>
    </row>
    <row r="212" spans="1:14" s="58" customFormat="1" x14ac:dyDescent="0.2">
      <c r="A212" s="58" t="s">
        <v>144</v>
      </c>
      <c r="B212" s="60"/>
      <c r="C212" s="60">
        <f t="shared" ref="C212:N212" si="42">SUM(C206:C211)</f>
        <v>241.27170599999999</v>
      </c>
      <c r="D212" s="60">
        <f t="shared" si="42"/>
        <v>241.27170599999999</v>
      </c>
      <c r="E212" s="60">
        <f t="shared" si="42"/>
        <v>241.27170599999999</v>
      </c>
      <c r="F212" s="60">
        <f t="shared" si="42"/>
        <v>241.27170599999999</v>
      </c>
      <c r="G212" s="60">
        <f t="shared" si="42"/>
        <v>241.27170599999999</v>
      </c>
      <c r="H212" s="60">
        <f t="shared" si="42"/>
        <v>241.27170599999999</v>
      </c>
      <c r="I212" s="60">
        <f t="shared" si="42"/>
        <v>241.27170599999999</v>
      </c>
      <c r="J212" s="60">
        <f t="shared" si="42"/>
        <v>241.27170599999999</v>
      </c>
      <c r="K212" s="60">
        <f t="shared" si="42"/>
        <v>241.27170599999999</v>
      </c>
      <c r="L212" s="60">
        <f t="shared" si="42"/>
        <v>241.27170599999999</v>
      </c>
      <c r="M212" s="60">
        <f t="shared" si="42"/>
        <v>241.27170599999999</v>
      </c>
      <c r="N212" s="60">
        <f t="shared" si="42"/>
        <v>241.27170599999999</v>
      </c>
    </row>
    <row r="213" spans="1:14" x14ac:dyDescent="0.2">
      <c r="C213" s="60"/>
      <c r="D213" s="66"/>
      <c r="E213" s="66"/>
      <c r="F213" s="66"/>
      <c r="G213" s="66"/>
      <c r="H213" s="66"/>
      <c r="I213" s="66"/>
      <c r="J213" s="66"/>
      <c r="K213" s="66"/>
      <c r="L213" s="66"/>
      <c r="M213" s="66"/>
      <c r="N213" s="66"/>
    </row>
    <row r="214" spans="1:14" x14ac:dyDescent="0.2">
      <c r="C214" s="89" t="str">
        <f>C201</f>
        <v>January</v>
      </c>
      <c r="D214" s="89" t="str">
        <f t="shared" ref="D214:N214" si="43">D201</f>
        <v>February</v>
      </c>
      <c r="E214" s="89" t="str">
        <f t="shared" si="43"/>
        <v>March</v>
      </c>
      <c r="F214" s="89" t="str">
        <f t="shared" si="43"/>
        <v>April</v>
      </c>
      <c r="G214" s="89" t="str">
        <f t="shared" si="43"/>
        <v>May</v>
      </c>
      <c r="H214" s="89" t="str">
        <f t="shared" si="43"/>
        <v>June</v>
      </c>
      <c r="I214" s="89" t="str">
        <f t="shared" si="43"/>
        <v>July</v>
      </c>
      <c r="J214" s="89" t="str">
        <f t="shared" si="43"/>
        <v>August</v>
      </c>
      <c r="K214" s="89" t="str">
        <f t="shared" si="43"/>
        <v>September</v>
      </c>
      <c r="L214" s="89" t="str">
        <f t="shared" si="43"/>
        <v>October</v>
      </c>
      <c r="M214" s="89" t="str">
        <f t="shared" si="43"/>
        <v>November</v>
      </c>
      <c r="N214" s="89" t="str">
        <f t="shared" si="43"/>
        <v>December</v>
      </c>
    </row>
    <row r="215" spans="1:14" x14ac:dyDescent="0.2">
      <c r="C215" s="89">
        <f t="shared" ref="C215:N216" si="44">C202</f>
        <v>30</v>
      </c>
      <c r="D215" s="89">
        <f t="shared" si="44"/>
        <v>31</v>
      </c>
      <c r="E215" s="89">
        <f t="shared" si="44"/>
        <v>30</v>
      </c>
      <c r="F215" s="89">
        <f t="shared" si="44"/>
        <v>31</v>
      </c>
      <c r="G215" s="89">
        <f t="shared" si="44"/>
        <v>31</v>
      </c>
      <c r="H215" s="89">
        <f t="shared" si="44"/>
        <v>30</v>
      </c>
      <c r="I215" s="89">
        <f t="shared" si="44"/>
        <v>31</v>
      </c>
      <c r="J215" s="89">
        <f t="shared" si="44"/>
        <v>30</v>
      </c>
      <c r="K215" s="89">
        <f t="shared" si="44"/>
        <v>31</v>
      </c>
      <c r="L215" s="89">
        <f t="shared" si="44"/>
        <v>31</v>
      </c>
      <c r="M215" s="89">
        <f t="shared" si="44"/>
        <v>28</v>
      </c>
      <c r="N215" s="89">
        <f t="shared" si="44"/>
        <v>31</v>
      </c>
    </row>
    <row r="216" spans="1:14" x14ac:dyDescent="0.2">
      <c r="B216" s="89" t="s">
        <v>185</v>
      </c>
      <c r="C216" s="78">
        <f t="shared" si="44"/>
        <v>0</v>
      </c>
      <c r="D216" s="78">
        <f t="shared" si="44"/>
        <v>1</v>
      </c>
      <c r="E216" s="78">
        <f t="shared" si="44"/>
        <v>0</v>
      </c>
      <c r="F216" s="78">
        <f t="shared" si="44"/>
        <v>1</v>
      </c>
      <c r="G216" s="78">
        <f t="shared" si="44"/>
        <v>0</v>
      </c>
      <c r="H216" s="78">
        <f t="shared" si="44"/>
        <v>1</v>
      </c>
      <c r="I216" s="78">
        <f t="shared" si="44"/>
        <v>1</v>
      </c>
      <c r="J216" s="78">
        <f t="shared" si="44"/>
        <v>1</v>
      </c>
      <c r="K216" s="78">
        <f t="shared" si="44"/>
        <v>1</v>
      </c>
      <c r="L216" s="78">
        <f t="shared" si="44"/>
        <v>2</v>
      </c>
      <c r="M216" s="78">
        <f t="shared" si="44"/>
        <v>1</v>
      </c>
      <c r="N216" s="78">
        <f t="shared" si="44"/>
        <v>0</v>
      </c>
    </row>
    <row r="217" spans="1:14" x14ac:dyDescent="0.2">
      <c r="B217" s="89" t="s">
        <v>44</v>
      </c>
      <c r="C217" s="49">
        <f>SUM('Program Support Allocations'!$C$16)</f>
        <v>0.20689655172413793</v>
      </c>
      <c r="D217" s="49">
        <f>SUM('Program Support Allocations'!$C$16)</f>
        <v>0.20689655172413793</v>
      </c>
      <c r="E217" s="49">
        <f>SUM('Program Support Allocations'!$C$16)</f>
        <v>0.20689655172413793</v>
      </c>
      <c r="F217" s="49">
        <f>SUM('Program Support Allocations'!$C$16)</f>
        <v>0.20689655172413793</v>
      </c>
      <c r="G217" s="49">
        <f>SUM('Program Support Allocations'!$C$16)</f>
        <v>0.20689655172413793</v>
      </c>
      <c r="H217" s="49">
        <f>SUM('Program Support Allocations'!$C$16)</f>
        <v>0.20689655172413793</v>
      </c>
      <c r="I217" s="49">
        <f>SUM('Program Support Allocations'!$C$16)</f>
        <v>0.20689655172413793</v>
      </c>
      <c r="J217" s="49">
        <f>SUM('Program Support Allocations'!$C$16)</f>
        <v>0.20689655172413793</v>
      </c>
      <c r="K217" s="49">
        <f>SUM('Program Support Allocations'!$C$16)</f>
        <v>0.20689655172413793</v>
      </c>
      <c r="L217" s="49">
        <f>SUM('Program Support Allocations'!$C$16)</f>
        <v>0.20689655172413793</v>
      </c>
      <c r="M217" s="49">
        <f>SUM('Program Support Allocations'!$C$16)</f>
        <v>0.20689655172413793</v>
      </c>
      <c r="N217" s="49">
        <f>SUM('Program Support Allocations'!$C$16)</f>
        <v>0.20689655172413793</v>
      </c>
    </row>
    <row r="218" spans="1:14" x14ac:dyDescent="0.2">
      <c r="B218" s="89" t="s">
        <v>186</v>
      </c>
      <c r="C218" s="53">
        <f>SUM(174*C217)</f>
        <v>36</v>
      </c>
      <c r="D218" s="53">
        <f t="shared" ref="D218:N218" si="45">SUM(174*D217)</f>
        <v>36</v>
      </c>
      <c r="E218" s="53">
        <f t="shared" si="45"/>
        <v>36</v>
      </c>
      <c r="F218" s="53">
        <f t="shared" si="45"/>
        <v>36</v>
      </c>
      <c r="G218" s="53">
        <f t="shared" si="45"/>
        <v>36</v>
      </c>
      <c r="H218" s="53">
        <f t="shared" si="45"/>
        <v>36</v>
      </c>
      <c r="I218" s="53">
        <f t="shared" si="45"/>
        <v>36</v>
      </c>
      <c r="J218" s="53">
        <f t="shared" si="45"/>
        <v>36</v>
      </c>
      <c r="K218" s="53">
        <f t="shared" si="45"/>
        <v>36</v>
      </c>
      <c r="L218" s="53">
        <f t="shared" si="45"/>
        <v>36</v>
      </c>
      <c r="M218" s="53">
        <f t="shared" si="45"/>
        <v>36</v>
      </c>
      <c r="N218" s="53">
        <f t="shared" si="45"/>
        <v>36</v>
      </c>
    </row>
    <row r="219" spans="1:14" x14ac:dyDescent="0.2">
      <c r="A219" s="59" t="s">
        <v>349</v>
      </c>
      <c r="B219" s="78" t="s">
        <v>348</v>
      </c>
      <c r="C219" s="66">
        <f>SUM(C218*$B$220)</f>
        <v>540</v>
      </c>
      <c r="D219" s="66">
        <f t="shared" ref="D219:N219" si="46">SUM(D218*$B$220)</f>
        <v>540</v>
      </c>
      <c r="E219" s="66">
        <f t="shared" si="46"/>
        <v>540</v>
      </c>
      <c r="F219" s="66">
        <f t="shared" si="46"/>
        <v>540</v>
      </c>
      <c r="G219" s="66">
        <f t="shared" si="46"/>
        <v>540</v>
      </c>
      <c r="H219" s="66">
        <f t="shared" si="46"/>
        <v>540</v>
      </c>
      <c r="I219" s="66">
        <f t="shared" si="46"/>
        <v>540</v>
      </c>
      <c r="J219" s="66">
        <f t="shared" si="46"/>
        <v>540</v>
      </c>
      <c r="K219" s="66">
        <f t="shared" si="46"/>
        <v>540</v>
      </c>
      <c r="L219" s="66">
        <f t="shared" si="46"/>
        <v>540</v>
      </c>
      <c r="M219" s="66">
        <f t="shared" si="46"/>
        <v>540</v>
      </c>
      <c r="N219" s="66">
        <f t="shared" si="46"/>
        <v>540</v>
      </c>
    </row>
    <row r="220" spans="1:14" x14ac:dyDescent="0.2">
      <c r="A220" s="59" t="s">
        <v>188</v>
      </c>
      <c r="B220" s="74">
        <v>15</v>
      </c>
      <c r="C220" s="66">
        <f>SUM(C219)*'Data Links'!$B$15</f>
        <v>41.31</v>
      </c>
      <c r="D220" s="66">
        <f>SUM(D219)*'Data Links'!$B$15</f>
        <v>41.31</v>
      </c>
      <c r="E220" s="66">
        <f>SUM(E219)*'Data Links'!$B$15</f>
        <v>41.31</v>
      </c>
      <c r="F220" s="66">
        <f>SUM(F219)*'Data Links'!$B$15</f>
        <v>41.31</v>
      </c>
      <c r="G220" s="66">
        <f>SUM(G219)*'Data Links'!$B$15</f>
        <v>41.31</v>
      </c>
      <c r="H220" s="66">
        <f>SUM(H219)*'Data Links'!$B$15</f>
        <v>41.31</v>
      </c>
      <c r="I220" s="66">
        <f>SUM(I219)*'Data Links'!$B$15</f>
        <v>41.31</v>
      </c>
      <c r="J220" s="66">
        <f>SUM(J219)*'Data Links'!$B$15</f>
        <v>41.31</v>
      </c>
      <c r="K220" s="66">
        <f>SUM(K219)*'Data Links'!$B$15</f>
        <v>41.31</v>
      </c>
      <c r="L220" s="66">
        <f>SUM(L219)*'Data Links'!$B$15</f>
        <v>41.31</v>
      </c>
      <c r="M220" s="66">
        <f>SUM(M219)*'Data Links'!$B$15</f>
        <v>41.31</v>
      </c>
      <c r="N220" s="66">
        <f>SUM(N219)*'Data Links'!$B$15</f>
        <v>41.31</v>
      </c>
    </row>
    <row r="221" spans="1:14" x14ac:dyDescent="0.2">
      <c r="A221" s="59" t="s">
        <v>189</v>
      </c>
      <c r="B221" s="74">
        <v>14.66</v>
      </c>
      <c r="C221" s="66">
        <f>SUM(C219*'Data Links'!$B$13)</f>
        <v>3.24</v>
      </c>
      <c r="D221" s="66">
        <f>SUM(D219*'Data Links'!$B$13)</f>
        <v>3.24</v>
      </c>
      <c r="E221" s="66">
        <f>SUM(E219*'Data Links'!$B$13)</f>
        <v>3.24</v>
      </c>
      <c r="F221" s="66">
        <f>SUM(F219*'Data Links'!$B$13)</f>
        <v>3.24</v>
      </c>
      <c r="G221" s="66">
        <f>SUM(G219*'Data Links'!$B$13)</f>
        <v>3.24</v>
      </c>
      <c r="H221" s="66">
        <f>SUM(H219*'Data Links'!$B$13)</f>
        <v>3.24</v>
      </c>
      <c r="I221" s="66">
        <f>SUM(I219*'Data Links'!$B$13)</f>
        <v>3.24</v>
      </c>
      <c r="J221" s="66">
        <f>SUM(J219*'Data Links'!$B$13)</f>
        <v>3.24</v>
      </c>
      <c r="K221" s="66">
        <f>SUM(K219*'Data Links'!$B$13)</f>
        <v>3.24</v>
      </c>
      <c r="L221" s="66">
        <f>SUM(L219*'Data Links'!$B$13)</f>
        <v>3.24</v>
      </c>
      <c r="M221" s="66">
        <f>SUM(M219*'Data Links'!$B$13)</f>
        <v>3.24</v>
      </c>
      <c r="N221" s="66">
        <f>SUM(N219*'Data Links'!$B$13)</f>
        <v>3.24</v>
      </c>
    </row>
    <row r="222" spans="1:14" x14ac:dyDescent="0.2">
      <c r="A222" s="59" t="s">
        <v>190</v>
      </c>
      <c r="C222" s="66">
        <f>SUM(C218*'Data Links'!$B$8)</f>
        <v>2.8026</v>
      </c>
      <c r="D222" s="66">
        <f>SUM(D218*'Data Links'!$B$8)</f>
        <v>2.8026</v>
      </c>
      <c r="E222" s="66">
        <f>SUM(E218*'Data Links'!$B$8)</f>
        <v>2.8026</v>
      </c>
      <c r="F222" s="66">
        <f>SUM(F218*'Data Links'!$B$8)</f>
        <v>2.8026</v>
      </c>
      <c r="G222" s="66">
        <f>SUM(G218*'Data Links'!$B$8)</f>
        <v>2.8026</v>
      </c>
      <c r="H222" s="66">
        <f>SUM(H218*'Data Links'!$B$8)</f>
        <v>2.8026</v>
      </c>
      <c r="I222" s="66">
        <f>SUM(I218*'Data Links'!$B$8)</f>
        <v>2.8026</v>
      </c>
      <c r="J222" s="66">
        <f>SUM(J218*'Data Links'!$B$8)</f>
        <v>2.8026</v>
      </c>
      <c r="K222" s="66">
        <f>SUM(K218*'Data Links'!$B$8)</f>
        <v>2.8026</v>
      </c>
      <c r="L222" s="66">
        <f>SUM(L218*'Data Links'!$B$8)</f>
        <v>2.8026</v>
      </c>
      <c r="M222" s="66">
        <f>SUM(M218*'Data Links'!$B$8)</f>
        <v>2.8026</v>
      </c>
      <c r="N222" s="66">
        <f>SUM(N218*'Data Links'!$B$8)</f>
        <v>2.8026</v>
      </c>
    </row>
    <row r="223" spans="1:14" x14ac:dyDescent="0.2">
      <c r="A223" s="59" t="s">
        <v>191</v>
      </c>
      <c r="C223" s="66">
        <f>SUM('All Employees'!$P$47)*'BH Team'!C217</f>
        <v>82.056786206896547</v>
      </c>
      <c r="D223" s="66">
        <f>SUM('All Employees'!$P$47)*'BH Team'!D217</f>
        <v>82.056786206896547</v>
      </c>
      <c r="E223" s="66">
        <f>SUM('All Employees'!$P$47)*'BH Team'!E217</f>
        <v>82.056786206896547</v>
      </c>
      <c r="F223" s="66">
        <f>SUM('All Employees'!$P$47)*'BH Team'!F217</f>
        <v>82.056786206896547</v>
      </c>
      <c r="G223" s="66">
        <f>SUM('All Employees'!$P$47)*'BH Team'!G217</f>
        <v>82.056786206896547</v>
      </c>
      <c r="H223" s="66">
        <f>SUM('All Employees'!$P$47)*'BH Team'!H217</f>
        <v>82.056786206896547</v>
      </c>
      <c r="I223" s="66">
        <f>SUM('All Employees'!$P$47)*'BH Team'!I217</f>
        <v>82.056786206896547</v>
      </c>
      <c r="J223" s="66">
        <f>SUM('All Employees'!$P$47)*'BH Team'!J217</f>
        <v>82.056786206896547</v>
      </c>
      <c r="K223" s="66">
        <f>SUM('All Employees'!$P$47)*'BH Team'!K217</f>
        <v>82.056786206896547</v>
      </c>
      <c r="L223" s="66">
        <f>SUM('All Employees'!$P$47)*'BH Team'!L217</f>
        <v>82.056786206896547</v>
      </c>
      <c r="M223" s="66">
        <f>SUM('All Employees'!$P$47)*'BH Team'!M217</f>
        <v>82.056786206896547</v>
      </c>
      <c r="N223" s="66">
        <f>SUM('All Employees'!$P$47)*'BH Team'!N217</f>
        <v>82.056786206896547</v>
      </c>
    </row>
    <row r="224" spans="1:14" x14ac:dyDescent="0.2">
      <c r="A224" s="59" t="s">
        <v>192</v>
      </c>
      <c r="C224" s="66">
        <f>SUM(C219*'Data Links'!$B$17)</f>
        <v>16.2</v>
      </c>
      <c r="D224" s="66">
        <f>SUM(D219*'Data Links'!$B$17)</f>
        <v>16.2</v>
      </c>
      <c r="E224" s="66">
        <f>SUM(E219*'Data Links'!$B$17)</f>
        <v>16.2</v>
      </c>
      <c r="F224" s="66">
        <f>SUM(F219*'Data Links'!$B$17)</f>
        <v>16.2</v>
      </c>
      <c r="G224" s="66">
        <f>SUM(G219*'Data Links'!$B$17)</f>
        <v>16.2</v>
      </c>
      <c r="H224" s="66">
        <f>SUM(H219*'Data Links'!$B$17)</f>
        <v>16.2</v>
      </c>
      <c r="I224" s="66">
        <f>SUM(I219*'Data Links'!$B$17)</f>
        <v>16.2</v>
      </c>
      <c r="J224" s="66">
        <f>SUM(J219*'Data Links'!$B$17)</f>
        <v>16.2</v>
      </c>
      <c r="K224" s="66">
        <f>SUM(K219*'Data Links'!$B$17)</f>
        <v>16.2</v>
      </c>
      <c r="L224" s="66">
        <f>SUM(L219*'Data Links'!$B$17)</f>
        <v>16.2</v>
      </c>
      <c r="M224" s="66">
        <f>SUM(M219*'Data Links'!$B$17)</f>
        <v>16.2</v>
      </c>
      <c r="N224" s="66">
        <f>SUM(N219*'Data Links'!$B$17)</f>
        <v>16.2</v>
      </c>
    </row>
    <row r="225" spans="1:14" s="58" customFormat="1" x14ac:dyDescent="0.2">
      <c r="A225" s="58" t="s">
        <v>144</v>
      </c>
      <c r="B225" s="60"/>
      <c r="C225" s="60">
        <f t="shared" ref="C225:N225" si="47">SUM(C219:C224)</f>
        <v>685.60938620689649</v>
      </c>
      <c r="D225" s="60">
        <f t="shared" si="47"/>
        <v>685.60938620689649</v>
      </c>
      <c r="E225" s="60">
        <f t="shared" si="47"/>
        <v>685.60938620689649</v>
      </c>
      <c r="F225" s="60">
        <f t="shared" si="47"/>
        <v>685.60938620689649</v>
      </c>
      <c r="G225" s="60">
        <f t="shared" si="47"/>
        <v>685.60938620689649</v>
      </c>
      <c r="H225" s="60">
        <f t="shared" si="47"/>
        <v>685.60938620689649</v>
      </c>
      <c r="I225" s="60">
        <f t="shared" si="47"/>
        <v>685.60938620689649</v>
      </c>
      <c r="J225" s="60">
        <f t="shared" si="47"/>
        <v>685.60938620689649</v>
      </c>
      <c r="K225" s="60">
        <f t="shared" si="47"/>
        <v>685.60938620689649</v>
      </c>
      <c r="L225" s="60">
        <f t="shared" si="47"/>
        <v>685.60938620689649</v>
      </c>
      <c r="M225" s="60">
        <f t="shared" si="47"/>
        <v>685.60938620689649</v>
      </c>
      <c r="N225" s="60">
        <f t="shared" si="47"/>
        <v>685.60938620689649</v>
      </c>
    </row>
    <row r="226" spans="1:14" x14ac:dyDescent="0.2">
      <c r="C226" s="60"/>
      <c r="D226" s="66"/>
      <c r="E226" s="66"/>
      <c r="F226" s="66"/>
      <c r="G226" s="66"/>
      <c r="H226" s="66"/>
      <c r="I226" s="66"/>
      <c r="J226" s="66"/>
      <c r="K226" s="66"/>
      <c r="L226" s="66"/>
      <c r="M226" s="66"/>
      <c r="N226" s="66"/>
    </row>
    <row r="227" spans="1:14" x14ac:dyDescent="0.2">
      <c r="C227" s="89" t="str">
        <f>C214</f>
        <v>January</v>
      </c>
      <c r="D227" s="89" t="str">
        <f t="shared" ref="D227:M227" si="48">D214</f>
        <v>February</v>
      </c>
      <c r="E227" s="89" t="str">
        <f t="shared" si="48"/>
        <v>March</v>
      </c>
      <c r="F227" s="89" t="str">
        <f t="shared" si="48"/>
        <v>April</v>
      </c>
      <c r="G227" s="89" t="str">
        <f t="shared" si="48"/>
        <v>May</v>
      </c>
      <c r="H227" s="89" t="str">
        <f t="shared" si="48"/>
        <v>June</v>
      </c>
      <c r="I227" s="89" t="str">
        <f t="shared" si="48"/>
        <v>July</v>
      </c>
      <c r="J227" s="89" t="str">
        <f t="shared" si="48"/>
        <v>August</v>
      </c>
      <c r="K227" s="89" t="str">
        <f t="shared" si="48"/>
        <v>September</v>
      </c>
      <c r="L227" s="89" t="str">
        <f t="shared" si="48"/>
        <v>October</v>
      </c>
      <c r="M227" s="89" t="str">
        <f t="shared" si="48"/>
        <v>November</v>
      </c>
      <c r="N227" s="89" t="str">
        <f>N214</f>
        <v>December</v>
      </c>
    </row>
    <row r="228" spans="1:14" ht="13.5" customHeight="1" x14ac:dyDescent="0.2">
      <c r="C228" s="89">
        <f t="shared" ref="C228:N229" si="49">C215</f>
        <v>30</v>
      </c>
      <c r="D228" s="89">
        <f t="shared" si="49"/>
        <v>31</v>
      </c>
      <c r="E228" s="89">
        <f t="shared" si="49"/>
        <v>30</v>
      </c>
      <c r="F228" s="89">
        <f t="shared" si="49"/>
        <v>31</v>
      </c>
      <c r="G228" s="89">
        <f t="shared" si="49"/>
        <v>31</v>
      </c>
      <c r="H228" s="89">
        <f t="shared" si="49"/>
        <v>30</v>
      </c>
      <c r="I228" s="89">
        <f t="shared" si="49"/>
        <v>31</v>
      </c>
      <c r="J228" s="89">
        <f t="shared" si="49"/>
        <v>30</v>
      </c>
      <c r="K228" s="89">
        <f t="shared" si="49"/>
        <v>31</v>
      </c>
      <c r="L228" s="89">
        <f t="shared" si="49"/>
        <v>31</v>
      </c>
      <c r="M228" s="89">
        <f t="shared" si="49"/>
        <v>28</v>
      </c>
      <c r="N228" s="89">
        <f t="shared" si="49"/>
        <v>31</v>
      </c>
    </row>
    <row r="229" spans="1:14" x14ac:dyDescent="0.2">
      <c r="B229" s="89" t="s">
        <v>185</v>
      </c>
      <c r="C229" s="78">
        <f t="shared" si="49"/>
        <v>0</v>
      </c>
      <c r="D229" s="78">
        <f t="shared" si="49"/>
        <v>1</v>
      </c>
      <c r="E229" s="78">
        <f t="shared" si="49"/>
        <v>0</v>
      </c>
      <c r="F229" s="78">
        <f t="shared" si="49"/>
        <v>1</v>
      </c>
      <c r="G229" s="78">
        <f t="shared" si="49"/>
        <v>0</v>
      </c>
      <c r="H229" s="78">
        <f t="shared" si="49"/>
        <v>1</v>
      </c>
      <c r="I229" s="78">
        <f t="shared" si="49"/>
        <v>1</v>
      </c>
      <c r="J229" s="78">
        <f t="shared" si="49"/>
        <v>1</v>
      </c>
      <c r="K229" s="78">
        <f t="shared" si="49"/>
        <v>1</v>
      </c>
      <c r="L229" s="78">
        <f t="shared" si="49"/>
        <v>2</v>
      </c>
      <c r="M229" s="78">
        <f t="shared" si="49"/>
        <v>1</v>
      </c>
      <c r="N229" s="78">
        <f t="shared" si="49"/>
        <v>0</v>
      </c>
    </row>
    <row r="230" spans="1:14" x14ac:dyDescent="0.2">
      <c r="B230" s="89" t="s">
        <v>44</v>
      </c>
      <c r="C230" s="49">
        <f>C217</f>
        <v>0.20689655172413793</v>
      </c>
      <c r="D230" s="49">
        <f t="shared" ref="D230:N230" si="50">D217</f>
        <v>0.20689655172413793</v>
      </c>
      <c r="E230" s="49">
        <f t="shared" si="50"/>
        <v>0.20689655172413793</v>
      </c>
      <c r="F230" s="49">
        <f t="shared" si="50"/>
        <v>0.20689655172413793</v>
      </c>
      <c r="G230" s="49">
        <f t="shared" si="50"/>
        <v>0.20689655172413793</v>
      </c>
      <c r="H230" s="49">
        <f t="shared" si="50"/>
        <v>0.20689655172413793</v>
      </c>
      <c r="I230" s="49">
        <f t="shared" si="50"/>
        <v>0.20689655172413793</v>
      </c>
      <c r="J230" s="49">
        <f t="shared" si="50"/>
        <v>0.20689655172413793</v>
      </c>
      <c r="K230" s="49">
        <f t="shared" si="50"/>
        <v>0.20689655172413793</v>
      </c>
      <c r="L230" s="49">
        <f t="shared" si="50"/>
        <v>0.20689655172413793</v>
      </c>
      <c r="M230" s="49">
        <f t="shared" si="50"/>
        <v>0.20689655172413793</v>
      </c>
      <c r="N230" s="49">
        <f t="shared" si="50"/>
        <v>0.20689655172413793</v>
      </c>
    </row>
    <row r="231" spans="1:14" x14ac:dyDescent="0.2">
      <c r="B231" s="89" t="s">
        <v>186</v>
      </c>
      <c r="C231" s="53">
        <f>SUM(174*C230)</f>
        <v>36</v>
      </c>
      <c r="D231" s="53">
        <f t="shared" ref="D231:N231" si="51">SUM(174*D230)</f>
        <v>36</v>
      </c>
      <c r="E231" s="53">
        <f t="shared" si="51"/>
        <v>36</v>
      </c>
      <c r="F231" s="53">
        <f t="shared" si="51"/>
        <v>36</v>
      </c>
      <c r="G231" s="53">
        <f t="shared" si="51"/>
        <v>36</v>
      </c>
      <c r="H231" s="53">
        <f t="shared" si="51"/>
        <v>36</v>
      </c>
      <c r="I231" s="53">
        <f t="shared" si="51"/>
        <v>36</v>
      </c>
      <c r="J231" s="53">
        <f t="shared" si="51"/>
        <v>36</v>
      </c>
      <c r="K231" s="53">
        <f t="shared" si="51"/>
        <v>36</v>
      </c>
      <c r="L231" s="53">
        <f t="shared" si="51"/>
        <v>36</v>
      </c>
      <c r="M231" s="53">
        <f t="shared" si="51"/>
        <v>36</v>
      </c>
      <c r="N231" s="53">
        <f t="shared" si="51"/>
        <v>36</v>
      </c>
    </row>
    <row r="232" spans="1:14" x14ac:dyDescent="0.2">
      <c r="A232" s="59" t="s">
        <v>557</v>
      </c>
      <c r="B232" s="78" t="s">
        <v>187</v>
      </c>
      <c r="C232" s="66">
        <f>SUM(C231*$B$233)</f>
        <v>660.96</v>
      </c>
      <c r="D232" s="66">
        <f t="shared" ref="D232:N232" si="52">SUM(D231*$B$233)</f>
        <v>660.96</v>
      </c>
      <c r="E232" s="66">
        <f t="shared" si="52"/>
        <v>660.96</v>
      </c>
      <c r="F232" s="66">
        <f t="shared" si="52"/>
        <v>660.96</v>
      </c>
      <c r="G232" s="66">
        <f t="shared" si="52"/>
        <v>660.96</v>
      </c>
      <c r="H232" s="66">
        <f t="shared" si="52"/>
        <v>660.96</v>
      </c>
      <c r="I232" s="66">
        <f t="shared" si="52"/>
        <v>660.96</v>
      </c>
      <c r="J232" s="66">
        <f t="shared" si="52"/>
        <v>660.96</v>
      </c>
      <c r="K232" s="66">
        <f t="shared" si="52"/>
        <v>660.96</v>
      </c>
      <c r="L232" s="66">
        <f t="shared" si="52"/>
        <v>660.96</v>
      </c>
      <c r="M232" s="66">
        <f t="shared" si="52"/>
        <v>660.96</v>
      </c>
      <c r="N232" s="66">
        <f t="shared" si="52"/>
        <v>660.96</v>
      </c>
    </row>
    <row r="233" spans="1:14" x14ac:dyDescent="0.2">
      <c r="A233" s="59" t="s">
        <v>188</v>
      </c>
      <c r="B233" s="74">
        <v>18.36</v>
      </c>
      <c r="C233" s="66">
        <f>SUM(C232)*'Data Links'!$B$15</f>
        <v>50.56344</v>
      </c>
      <c r="D233" s="66">
        <f>SUM(D232)*'Data Links'!$B$15</f>
        <v>50.56344</v>
      </c>
      <c r="E233" s="66">
        <f>SUM(E232)*'Data Links'!$B$15</f>
        <v>50.56344</v>
      </c>
      <c r="F233" s="66">
        <f>SUM(F232)*'Data Links'!$B$15</f>
        <v>50.56344</v>
      </c>
      <c r="G233" s="66">
        <f>SUM(G232)*'Data Links'!$B$15</f>
        <v>50.56344</v>
      </c>
      <c r="H233" s="66">
        <f>SUM(H232)*'Data Links'!$B$15</f>
        <v>50.56344</v>
      </c>
      <c r="I233" s="66">
        <f>SUM(I232)*'Data Links'!$B$15</f>
        <v>50.56344</v>
      </c>
      <c r="J233" s="66">
        <f>SUM(J232)*'Data Links'!$B$15</f>
        <v>50.56344</v>
      </c>
      <c r="K233" s="66">
        <f>SUM(K232)*'Data Links'!$B$15</f>
        <v>50.56344</v>
      </c>
      <c r="L233" s="66">
        <f>SUM(L232)*'Data Links'!$B$15</f>
        <v>50.56344</v>
      </c>
      <c r="M233" s="66">
        <f>SUM(M232)*'Data Links'!$B$15</f>
        <v>50.56344</v>
      </c>
      <c r="N233" s="66">
        <f>SUM(N232)*'Data Links'!$B$15</f>
        <v>50.56344</v>
      </c>
    </row>
    <row r="234" spans="1:14" x14ac:dyDescent="0.2">
      <c r="A234" s="59" t="s">
        <v>189</v>
      </c>
      <c r="C234" s="66">
        <f>SUM(C232*'Data Links'!$B$13)</f>
        <v>3.9657600000000004</v>
      </c>
      <c r="D234" s="66">
        <f>SUM(D232*'Data Links'!$B$13)</f>
        <v>3.9657600000000004</v>
      </c>
      <c r="E234" s="66">
        <f>SUM(E232*'Data Links'!$B$13)</f>
        <v>3.9657600000000004</v>
      </c>
      <c r="F234" s="66">
        <f>SUM(F232*'Data Links'!$B$13)</f>
        <v>3.9657600000000004</v>
      </c>
      <c r="G234" s="66">
        <f>SUM(G232*'Data Links'!$B$13)</f>
        <v>3.9657600000000004</v>
      </c>
      <c r="H234" s="66">
        <f>SUM(H232*'Data Links'!$B$13)</f>
        <v>3.9657600000000004</v>
      </c>
      <c r="I234" s="66">
        <f>SUM(I232*'Data Links'!$B$13)</f>
        <v>3.9657600000000004</v>
      </c>
      <c r="J234" s="66">
        <f>SUM(J232*'Data Links'!$B$13)</f>
        <v>3.9657600000000004</v>
      </c>
      <c r="K234" s="66">
        <f>SUM(K232*'Data Links'!$B$13)</f>
        <v>3.9657600000000004</v>
      </c>
      <c r="L234" s="66">
        <f>SUM(L232*'Data Links'!$B$13)</f>
        <v>3.9657600000000004</v>
      </c>
      <c r="M234" s="66">
        <f>SUM(M232*'Data Links'!$B$13)</f>
        <v>3.9657600000000004</v>
      </c>
      <c r="N234" s="66">
        <f>SUM(N232*'Data Links'!$B$13)</f>
        <v>3.9657600000000004</v>
      </c>
    </row>
    <row r="235" spans="1:14" x14ac:dyDescent="0.2">
      <c r="A235" s="59" t="s">
        <v>190</v>
      </c>
      <c r="C235" s="66">
        <f>SUM(C231*'Data Links'!$B$8)</f>
        <v>2.8026</v>
      </c>
      <c r="D235" s="66">
        <f>SUM(D231*'Data Links'!$B$8)</f>
        <v>2.8026</v>
      </c>
      <c r="E235" s="66">
        <f>SUM(E231*'Data Links'!$B$8)</f>
        <v>2.8026</v>
      </c>
      <c r="F235" s="66">
        <f>SUM(F231*'Data Links'!$B$8)</f>
        <v>2.8026</v>
      </c>
      <c r="G235" s="66">
        <f>SUM(G231*'Data Links'!$B$8)</f>
        <v>2.8026</v>
      </c>
      <c r="H235" s="66">
        <f>SUM(H231*'Data Links'!$B$8)</f>
        <v>2.8026</v>
      </c>
      <c r="I235" s="66">
        <f>SUM(I231*'Data Links'!$B$8)</f>
        <v>2.8026</v>
      </c>
      <c r="J235" s="66">
        <f>SUM(J231*'Data Links'!$B$8)</f>
        <v>2.8026</v>
      </c>
      <c r="K235" s="66">
        <f>SUM(K231*'Data Links'!$B$8)</f>
        <v>2.8026</v>
      </c>
      <c r="L235" s="66">
        <f>SUM(L231*'Data Links'!$B$8)</f>
        <v>2.8026</v>
      </c>
      <c r="M235" s="66">
        <f>SUM(M231*'Data Links'!$B$8)</f>
        <v>2.8026</v>
      </c>
      <c r="N235" s="66">
        <f>SUM(N231*'Data Links'!$B$8)</f>
        <v>2.8026</v>
      </c>
    </row>
    <row r="236" spans="1:14" x14ac:dyDescent="0.2">
      <c r="A236" s="59" t="s">
        <v>191</v>
      </c>
      <c r="C236" s="66">
        <f>SUM('All Employees'!$P$51)*'BH Team'!C230</f>
        <v>88.137931034482762</v>
      </c>
      <c r="D236" s="66">
        <f>SUM('All Employees'!$P$51)*'BH Team'!D230</f>
        <v>88.137931034482762</v>
      </c>
      <c r="E236" s="66">
        <f>SUM('All Employees'!$P$51)*'BH Team'!E230</f>
        <v>88.137931034482762</v>
      </c>
      <c r="F236" s="66">
        <f>SUM('All Employees'!$P$51)*'BH Team'!F230</f>
        <v>88.137931034482762</v>
      </c>
      <c r="G236" s="66">
        <f>SUM('All Employees'!$P$51)*'BH Team'!G230</f>
        <v>88.137931034482762</v>
      </c>
      <c r="H236" s="66">
        <f>SUM('All Employees'!$P$51)*'BH Team'!H230</f>
        <v>88.137931034482762</v>
      </c>
      <c r="I236" s="66">
        <f>SUM('All Employees'!$P$51)*'BH Team'!I230</f>
        <v>88.137931034482762</v>
      </c>
      <c r="J236" s="66">
        <f>SUM('All Employees'!$P$51)*'BH Team'!J230</f>
        <v>88.137931034482762</v>
      </c>
      <c r="K236" s="66">
        <f>SUM('All Employees'!$P$51)*'BH Team'!K230</f>
        <v>88.137931034482762</v>
      </c>
      <c r="L236" s="66">
        <f>SUM('All Employees'!$P$51)*'BH Team'!L230</f>
        <v>88.137931034482762</v>
      </c>
      <c r="M236" s="66">
        <f>SUM('All Employees'!$P$51)*'BH Team'!M230</f>
        <v>88.137931034482762</v>
      </c>
      <c r="N236" s="66">
        <f>SUM('All Employees'!$P$51)*'BH Team'!N230</f>
        <v>88.137931034482762</v>
      </c>
    </row>
    <row r="237" spans="1:14" x14ac:dyDescent="0.2">
      <c r="A237" s="59" t="s">
        <v>192</v>
      </c>
      <c r="C237" s="66">
        <f>SUM(C232*'Data Links'!$B$17)</f>
        <v>19.828800000000001</v>
      </c>
      <c r="D237" s="66">
        <f>SUM(D232*'Data Links'!$B$17)</f>
        <v>19.828800000000001</v>
      </c>
      <c r="E237" s="66">
        <f>SUM(E232*'Data Links'!$B$17)</f>
        <v>19.828800000000001</v>
      </c>
      <c r="F237" s="66">
        <f>SUM(F232*'Data Links'!$B$17)</f>
        <v>19.828800000000001</v>
      </c>
      <c r="G237" s="66">
        <f>SUM(G232*'Data Links'!$B$17)</f>
        <v>19.828800000000001</v>
      </c>
      <c r="H237" s="66">
        <f>SUM(H232*'Data Links'!$B$17)</f>
        <v>19.828800000000001</v>
      </c>
      <c r="I237" s="66">
        <f>SUM(I232*'Data Links'!$B$17)</f>
        <v>19.828800000000001</v>
      </c>
      <c r="J237" s="66">
        <f>SUM(J232*'Data Links'!$B$17)</f>
        <v>19.828800000000001</v>
      </c>
      <c r="K237" s="66">
        <f>SUM(K232*'Data Links'!$B$17)</f>
        <v>19.828800000000001</v>
      </c>
      <c r="L237" s="66">
        <f>SUM(L232*'Data Links'!$B$17)</f>
        <v>19.828800000000001</v>
      </c>
      <c r="M237" s="66">
        <f>SUM(M232*'Data Links'!$B$17)</f>
        <v>19.828800000000001</v>
      </c>
      <c r="N237" s="66">
        <f>SUM(N232*'Data Links'!$B$17)</f>
        <v>19.828800000000001</v>
      </c>
    </row>
    <row r="238" spans="1:14" s="58" customFormat="1" x14ac:dyDescent="0.2">
      <c r="A238" s="58" t="s">
        <v>144</v>
      </c>
      <c r="B238" s="60"/>
      <c r="C238" s="60">
        <f t="shared" ref="C238:N238" si="53">SUM(C232:C237)</f>
        <v>826.25853103448287</v>
      </c>
      <c r="D238" s="60">
        <f t="shared" si="53"/>
        <v>826.25853103448287</v>
      </c>
      <c r="E238" s="60">
        <f t="shared" si="53"/>
        <v>826.25853103448287</v>
      </c>
      <c r="F238" s="60">
        <f t="shared" si="53"/>
        <v>826.25853103448287</v>
      </c>
      <c r="G238" s="60">
        <f t="shared" si="53"/>
        <v>826.25853103448287</v>
      </c>
      <c r="H238" s="60">
        <f t="shared" si="53"/>
        <v>826.25853103448287</v>
      </c>
      <c r="I238" s="60">
        <f t="shared" si="53"/>
        <v>826.25853103448287</v>
      </c>
      <c r="J238" s="60">
        <f t="shared" si="53"/>
        <v>826.25853103448287</v>
      </c>
      <c r="K238" s="60">
        <f t="shared" si="53"/>
        <v>826.25853103448287</v>
      </c>
      <c r="L238" s="60">
        <f t="shared" si="53"/>
        <v>826.25853103448287</v>
      </c>
      <c r="M238" s="60">
        <f t="shared" si="53"/>
        <v>826.25853103448287</v>
      </c>
      <c r="N238" s="60">
        <f t="shared" si="53"/>
        <v>826.25853103448287</v>
      </c>
    </row>
    <row r="239" spans="1:14" x14ac:dyDescent="0.2">
      <c r="C239" s="60"/>
      <c r="D239" s="66"/>
      <c r="E239" s="66"/>
      <c r="F239" s="66"/>
      <c r="G239" s="66"/>
      <c r="H239" s="66"/>
      <c r="I239" s="66"/>
      <c r="J239" s="66"/>
      <c r="K239" s="66"/>
      <c r="L239" s="66"/>
      <c r="M239" s="66"/>
      <c r="N239" s="66"/>
    </row>
    <row r="240" spans="1:14" x14ac:dyDescent="0.2">
      <c r="C240" s="89" t="str">
        <f>C227</f>
        <v>January</v>
      </c>
      <c r="D240" s="89" t="str">
        <f t="shared" ref="D240:M240" si="54">D227</f>
        <v>February</v>
      </c>
      <c r="E240" s="89" t="str">
        <f t="shared" si="54"/>
        <v>March</v>
      </c>
      <c r="F240" s="89" t="str">
        <f t="shared" si="54"/>
        <v>April</v>
      </c>
      <c r="G240" s="89" t="str">
        <f t="shared" si="54"/>
        <v>May</v>
      </c>
      <c r="H240" s="89" t="str">
        <f t="shared" si="54"/>
        <v>June</v>
      </c>
      <c r="I240" s="89" t="str">
        <f t="shared" si="54"/>
        <v>July</v>
      </c>
      <c r="J240" s="89" t="str">
        <f t="shared" si="54"/>
        <v>August</v>
      </c>
      <c r="K240" s="89" t="str">
        <f t="shared" si="54"/>
        <v>September</v>
      </c>
      <c r="L240" s="89" t="str">
        <f t="shared" si="54"/>
        <v>October</v>
      </c>
      <c r="M240" s="89" t="str">
        <f t="shared" si="54"/>
        <v>November</v>
      </c>
      <c r="N240" s="89" t="str">
        <f>N227</f>
        <v>December</v>
      </c>
    </row>
    <row r="241" spans="1:15" x14ac:dyDescent="0.2">
      <c r="C241" s="89">
        <f t="shared" ref="C241:N242" si="55">C228</f>
        <v>30</v>
      </c>
      <c r="D241" s="89">
        <f t="shared" si="55"/>
        <v>31</v>
      </c>
      <c r="E241" s="89">
        <f t="shared" si="55"/>
        <v>30</v>
      </c>
      <c r="F241" s="89">
        <f t="shared" si="55"/>
        <v>31</v>
      </c>
      <c r="G241" s="89">
        <f t="shared" si="55"/>
        <v>31</v>
      </c>
      <c r="H241" s="89">
        <f t="shared" si="55"/>
        <v>30</v>
      </c>
      <c r="I241" s="89">
        <f t="shared" si="55"/>
        <v>31</v>
      </c>
      <c r="J241" s="89">
        <f t="shared" si="55"/>
        <v>30</v>
      </c>
      <c r="K241" s="89">
        <f t="shared" si="55"/>
        <v>31</v>
      </c>
      <c r="L241" s="89">
        <f t="shared" si="55"/>
        <v>31</v>
      </c>
      <c r="M241" s="89">
        <f t="shared" si="55"/>
        <v>28</v>
      </c>
      <c r="N241" s="89">
        <f t="shared" si="55"/>
        <v>31</v>
      </c>
    </row>
    <row r="242" spans="1:15" x14ac:dyDescent="0.2">
      <c r="B242" s="89" t="s">
        <v>185</v>
      </c>
      <c r="C242" s="78">
        <f t="shared" si="55"/>
        <v>0</v>
      </c>
      <c r="D242" s="78">
        <f t="shared" si="55"/>
        <v>1</v>
      </c>
      <c r="E242" s="78">
        <f t="shared" si="55"/>
        <v>0</v>
      </c>
      <c r="F242" s="78">
        <f t="shared" si="55"/>
        <v>1</v>
      </c>
      <c r="G242" s="78">
        <f t="shared" si="55"/>
        <v>0</v>
      </c>
      <c r="H242" s="78">
        <f t="shared" si="55"/>
        <v>1</v>
      </c>
      <c r="I242" s="78">
        <f t="shared" si="55"/>
        <v>1</v>
      </c>
      <c r="J242" s="78">
        <f t="shared" si="55"/>
        <v>1</v>
      </c>
      <c r="K242" s="78">
        <f t="shared" si="55"/>
        <v>1</v>
      </c>
      <c r="L242" s="78">
        <f t="shared" si="55"/>
        <v>2</v>
      </c>
      <c r="M242" s="78">
        <f t="shared" si="55"/>
        <v>1</v>
      </c>
      <c r="N242" s="78">
        <f t="shared" si="55"/>
        <v>0</v>
      </c>
    </row>
    <row r="243" spans="1:15" x14ac:dyDescent="0.2">
      <c r="B243" s="89" t="s">
        <v>44</v>
      </c>
      <c r="C243" s="49">
        <v>1</v>
      </c>
      <c r="D243" s="49">
        <v>1</v>
      </c>
      <c r="E243" s="49">
        <v>1</v>
      </c>
      <c r="F243" s="49">
        <v>1</v>
      </c>
      <c r="G243" s="49">
        <v>1</v>
      </c>
      <c r="H243" s="49">
        <v>1</v>
      </c>
      <c r="I243" s="49">
        <v>1</v>
      </c>
      <c r="J243" s="49">
        <v>1</v>
      </c>
      <c r="K243" s="49">
        <v>1</v>
      </c>
      <c r="L243" s="49">
        <v>1</v>
      </c>
      <c r="M243" s="49">
        <v>1</v>
      </c>
      <c r="N243" s="49">
        <v>1</v>
      </c>
      <c r="O243" s="49"/>
    </row>
    <row r="244" spans="1:15" x14ac:dyDescent="0.2">
      <c r="B244" s="89" t="s">
        <v>186</v>
      </c>
      <c r="C244" s="53">
        <f>SUM(174*C243)</f>
        <v>174</v>
      </c>
      <c r="D244" s="53">
        <f t="shared" ref="D244:N244" si="56">SUM(174*D243)</f>
        <v>174</v>
      </c>
      <c r="E244" s="53">
        <f t="shared" si="56"/>
        <v>174</v>
      </c>
      <c r="F244" s="53">
        <f t="shared" si="56"/>
        <v>174</v>
      </c>
      <c r="G244" s="53">
        <f t="shared" si="56"/>
        <v>174</v>
      </c>
      <c r="H244" s="53">
        <f t="shared" si="56"/>
        <v>174</v>
      </c>
      <c r="I244" s="53">
        <f t="shared" si="56"/>
        <v>174</v>
      </c>
      <c r="J244" s="53">
        <f t="shared" si="56"/>
        <v>174</v>
      </c>
      <c r="K244" s="53">
        <f t="shared" si="56"/>
        <v>174</v>
      </c>
      <c r="L244" s="53">
        <f t="shared" si="56"/>
        <v>174</v>
      </c>
      <c r="M244" s="53">
        <f t="shared" si="56"/>
        <v>174</v>
      </c>
      <c r="N244" s="53">
        <f t="shared" si="56"/>
        <v>174</v>
      </c>
    </row>
    <row r="245" spans="1:15" x14ac:dyDescent="0.2">
      <c r="A245" s="59" t="s">
        <v>653</v>
      </c>
      <c r="B245" s="78" t="s">
        <v>187</v>
      </c>
      <c r="C245" s="66">
        <f>SUM(C244*$B$246)</f>
        <v>5409.66</v>
      </c>
      <c r="D245" s="66">
        <f t="shared" ref="D245:N245" si="57">SUM(D244*$B$246)</f>
        <v>5409.66</v>
      </c>
      <c r="E245" s="66">
        <f t="shared" si="57"/>
        <v>5409.66</v>
      </c>
      <c r="F245" s="66">
        <f t="shared" si="57"/>
        <v>5409.66</v>
      </c>
      <c r="G245" s="66">
        <f t="shared" si="57"/>
        <v>5409.66</v>
      </c>
      <c r="H245" s="66">
        <f t="shared" si="57"/>
        <v>5409.66</v>
      </c>
      <c r="I245" s="66">
        <f t="shared" si="57"/>
        <v>5409.66</v>
      </c>
      <c r="J245" s="66">
        <f t="shared" si="57"/>
        <v>5409.66</v>
      </c>
      <c r="K245" s="66">
        <f t="shared" si="57"/>
        <v>5409.66</v>
      </c>
      <c r="L245" s="66">
        <f t="shared" si="57"/>
        <v>5409.66</v>
      </c>
      <c r="M245" s="66">
        <f t="shared" si="57"/>
        <v>5409.66</v>
      </c>
      <c r="N245" s="66">
        <f t="shared" si="57"/>
        <v>5409.66</v>
      </c>
    </row>
    <row r="246" spans="1:15" x14ac:dyDescent="0.2">
      <c r="A246" s="59" t="s">
        <v>188</v>
      </c>
      <c r="B246" s="74">
        <v>31.09</v>
      </c>
      <c r="C246" s="66">
        <f>SUM(C245)*'Data Links'!$B$15</f>
        <v>413.83898999999997</v>
      </c>
      <c r="D246" s="66">
        <f>SUM(D245)*'Data Links'!$B$15</f>
        <v>413.83898999999997</v>
      </c>
      <c r="E246" s="66">
        <f>SUM(E245)*'Data Links'!$B$15</f>
        <v>413.83898999999997</v>
      </c>
      <c r="F246" s="66">
        <f>SUM(F245)*'Data Links'!$B$15</f>
        <v>413.83898999999997</v>
      </c>
      <c r="G246" s="66">
        <f>SUM(G245)*'Data Links'!$B$15</f>
        <v>413.83898999999997</v>
      </c>
      <c r="H246" s="66">
        <f>SUM(H245)*'Data Links'!$B$15</f>
        <v>413.83898999999997</v>
      </c>
      <c r="I246" s="66">
        <f>SUM(I245)*'Data Links'!$B$15</f>
        <v>413.83898999999997</v>
      </c>
      <c r="J246" s="66">
        <f>SUM(J245)*'Data Links'!$B$15</f>
        <v>413.83898999999997</v>
      </c>
      <c r="K246" s="66">
        <f>SUM(K245)*'Data Links'!$B$15</f>
        <v>413.83898999999997</v>
      </c>
      <c r="L246" s="66">
        <f>SUM(L245)*'Data Links'!$B$15</f>
        <v>413.83898999999997</v>
      </c>
      <c r="M246" s="66">
        <f>SUM(M245)*'Data Links'!$B$15</f>
        <v>413.83898999999997</v>
      </c>
      <c r="N246" s="66">
        <f>SUM(N245)*'Data Links'!$B$15</f>
        <v>413.83898999999997</v>
      </c>
    </row>
    <row r="247" spans="1:15" x14ac:dyDescent="0.2">
      <c r="A247" s="59" t="s">
        <v>189</v>
      </c>
      <c r="C247" s="66">
        <f>SUM(C245*'Data Links'!$B$13)</f>
        <v>32.45796</v>
      </c>
      <c r="D247" s="66">
        <f>SUM(D245*'Data Links'!$B$13)</f>
        <v>32.45796</v>
      </c>
      <c r="E247" s="66">
        <f>SUM(E245*'Data Links'!$B$13)</f>
        <v>32.45796</v>
      </c>
      <c r="F247" s="66">
        <f>SUM(F245*'Data Links'!$B$13)</f>
        <v>32.45796</v>
      </c>
      <c r="G247" s="66">
        <f>SUM(G245*'Data Links'!$B$13)</f>
        <v>32.45796</v>
      </c>
      <c r="H247" s="66">
        <f>SUM(H245*'Data Links'!$B$13)</f>
        <v>32.45796</v>
      </c>
      <c r="I247" s="66">
        <f>SUM(I245*'Data Links'!$B$13)</f>
        <v>32.45796</v>
      </c>
      <c r="J247" s="66">
        <f>SUM(J245*'Data Links'!$B$13)</f>
        <v>32.45796</v>
      </c>
      <c r="K247" s="66">
        <f>SUM(K245*'Data Links'!$B$13)</f>
        <v>32.45796</v>
      </c>
      <c r="L247" s="66">
        <f>SUM(L245*'Data Links'!$B$13)</f>
        <v>32.45796</v>
      </c>
      <c r="M247" s="66">
        <f>SUM(M245*'Data Links'!$B$13)</f>
        <v>32.45796</v>
      </c>
      <c r="N247" s="66">
        <f>SUM(N245*'Data Links'!$B$13)</f>
        <v>32.45796</v>
      </c>
    </row>
    <row r="248" spans="1:15" x14ac:dyDescent="0.2">
      <c r="A248" s="59" t="s">
        <v>190</v>
      </c>
      <c r="C248" s="66">
        <f>SUM(C244*'Data Links'!$B$8)</f>
        <v>13.5459</v>
      </c>
      <c r="D248" s="66">
        <f>SUM(D244*'Data Links'!$B$8)</f>
        <v>13.5459</v>
      </c>
      <c r="E248" s="66">
        <f>SUM(E244*'Data Links'!$B$8)</f>
        <v>13.5459</v>
      </c>
      <c r="F248" s="66">
        <f>SUM(F244*'Data Links'!$B$8)</f>
        <v>13.5459</v>
      </c>
      <c r="G248" s="66">
        <f>SUM(G244*'Data Links'!$B$8)</f>
        <v>13.5459</v>
      </c>
      <c r="H248" s="66">
        <f>SUM(H244*'Data Links'!$B$8)</f>
        <v>13.5459</v>
      </c>
      <c r="I248" s="66">
        <f>SUM(I244*'Data Links'!$B$8)</f>
        <v>13.5459</v>
      </c>
      <c r="J248" s="66">
        <f>SUM(J244*'Data Links'!$B$8)</f>
        <v>13.5459</v>
      </c>
      <c r="K248" s="66">
        <f>SUM(K244*'Data Links'!$B$8)</f>
        <v>13.5459</v>
      </c>
      <c r="L248" s="66">
        <f>SUM(L244*'Data Links'!$B$8)</f>
        <v>13.5459</v>
      </c>
      <c r="M248" s="66">
        <f>SUM(M244*'Data Links'!$B$8)</f>
        <v>13.5459</v>
      </c>
      <c r="N248" s="66">
        <f>SUM(N244*'Data Links'!$B$8)</f>
        <v>13.5459</v>
      </c>
    </row>
    <row r="249" spans="1:15" x14ac:dyDescent="0.2">
      <c r="A249" s="59" t="s">
        <v>191</v>
      </c>
      <c r="C249" s="66">
        <f>SUM('All Employees'!$P$51)*'BH Team'!C243</f>
        <v>426</v>
      </c>
      <c r="D249" s="66">
        <f>SUM('All Employees'!$P$51)*'BH Team'!D243</f>
        <v>426</v>
      </c>
      <c r="E249" s="66">
        <f>SUM('All Employees'!$P$51)*'BH Team'!E243</f>
        <v>426</v>
      </c>
      <c r="F249" s="66">
        <f>SUM('All Employees'!$P$51)*'BH Team'!F243</f>
        <v>426</v>
      </c>
      <c r="G249" s="66">
        <f>SUM('All Employees'!$P$51)*'BH Team'!G243</f>
        <v>426</v>
      </c>
      <c r="H249" s="66">
        <f>SUM('All Employees'!$P$51)*'BH Team'!H243</f>
        <v>426</v>
      </c>
      <c r="I249" s="66">
        <f>SUM('All Employees'!$P$51)*'BH Team'!I243</f>
        <v>426</v>
      </c>
      <c r="J249" s="66">
        <f>SUM('All Employees'!$P$51)*'BH Team'!J243</f>
        <v>426</v>
      </c>
      <c r="K249" s="66">
        <f>SUM('All Employees'!$P$51)*'BH Team'!K243</f>
        <v>426</v>
      </c>
      <c r="L249" s="66">
        <f>SUM('All Employees'!$P$51)*'BH Team'!L243</f>
        <v>426</v>
      </c>
      <c r="M249" s="66">
        <f>SUM('All Employees'!$P$51)*'BH Team'!M243</f>
        <v>426</v>
      </c>
      <c r="N249" s="66">
        <f>SUM('All Employees'!$P$51)*'BH Team'!N243</f>
        <v>426</v>
      </c>
    </row>
    <row r="250" spans="1:15" x14ac:dyDescent="0.2">
      <c r="A250" s="59" t="s">
        <v>192</v>
      </c>
      <c r="C250" s="66">
        <f>SUM(C245*'Data Links'!$B$17)</f>
        <v>162.28979999999999</v>
      </c>
      <c r="D250" s="66">
        <f>SUM(D245*'Data Links'!$B$17)</f>
        <v>162.28979999999999</v>
      </c>
      <c r="E250" s="66">
        <f>SUM(E245*'Data Links'!$B$17)</f>
        <v>162.28979999999999</v>
      </c>
      <c r="F250" s="66">
        <f>SUM(F245*'Data Links'!$B$17)</f>
        <v>162.28979999999999</v>
      </c>
      <c r="G250" s="66">
        <f>SUM(G245*'Data Links'!$B$17)</f>
        <v>162.28979999999999</v>
      </c>
      <c r="H250" s="66">
        <f>SUM(H245*'Data Links'!$B$17)</f>
        <v>162.28979999999999</v>
      </c>
      <c r="I250" s="66">
        <f>SUM(I245*'Data Links'!$B$17)</f>
        <v>162.28979999999999</v>
      </c>
      <c r="J250" s="66">
        <f>SUM(J245*'Data Links'!$B$17)</f>
        <v>162.28979999999999</v>
      </c>
      <c r="K250" s="66">
        <f>SUM(K245*'Data Links'!$B$17)</f>
        <v>162.28979999999999</v>
      </c>
      <c r="L250" s="66">
        <f>SUM(L245*'Data Links'!$B$17)</f>
        <v>162.28979999999999</v>
      </c>
      <c r="M250" s="66">
        <f>SUM(M245*'Data Links'!$B$17)</f>
        <v>162.28979999999999</v>
      </c>
      <c r="N250" s="66">
        <f>SUM(N245*'Data Links'!$B$17)</f>
        <v>162.28979999999999</v>
      </c>
    </row>
    <row r="251" spans="1:15" s="58" customFormat="1" x14ac:dyDescent="0.2">
      <c r="A251" s="58" t="s">
        <v>144</v>
      </c>
      <c r="B251" s="60"/>
      <c r="C251" s="60">
        <f t="shared" ref="C251:N251" si="58">SUM(C245:C250)</f>
        <v>6457.7926499999994</v>
      </c>
      <c r="D251" s="60">
        <f t="shared" si="58"/>
        <v>6457.7926499999994</v>
      </c>
      <c r="E251" s="60">
        <f t="shared" si="58"/>
        <v>6457.7926499999994</v>
      </c>
      <c r="F251" s="60">
        <f t="shared" si="58"/>
        <v>6457.7926499999994</v>
      </c>
      <c r="G251" s="60">
        <f t="shared" si="58"/>
        <v>6457.7926499999994</v>
      </c>
      <c r="H251" s="60">
        <f t="shared" si="58"/>
        <v>6457.7926499999994</v>
      </c>
      <c r="I251" s="60">
        <f t="shared" si="58"/>
        <v>6457.7926499999994</v>
      </c>
      <c r="J251" s="60">
        <f t="shared" si="58"/>
        <v>6457.7926499999994</v>
      </c>
      <c r="K251" s="60">
        <f t="shared" si="58"/>
        <v>6457.7926499999994</v>
      </c>
      <c r="L251" s="60">
        <f t="shared" si="58"/>
        <v>6457.7926499999994</v>
      </c>
      <c r="M251" s="60">
        <f t="shared" si="58"/>
        <v>6457.7926499999994</v>
      </c>
      <c r="N251" s="60">
        <f t="shared" si="58"/>
        <v>6457.7926499999994</v>
      </c>
      <c r="O251" s="60"/>
    </row>
    <row r="252" spans="1:15" x14ac:dyDescent="0.2">
      <c r="C252" s="60"/>
      <c r="D252" s="66"/>
      <c r="E252" s="66"/>
      <c r="F252" s="66"/>
      <c r="G252" s="66"/>
      <c r="H252" s="66"/>
      <c r="I252" s="66"/>
      <c r="J252" s="66"/>
      <c r="K252" s="66"/>
      <c r="L252" s="66"/>
      <c r="M252" s="66"/>
      <c r="N252" s="66"/>
    </row>
    <row r="253" spans="1:15" x14ac:dyDescent="0.2">
      <c r="C253" s="60"/>
      <c r="D253" s="66"/>
      <c r="E253" s="66"/>
      <c r="F253" s="66"/>
      <c r="G253" s="66"/>
      <c r="H253" s="66"/>
      <c r="I253" s="66"/>
      <c r="J253" s="66"/>
      <c r="K253" s="66"/>
      <c r="L253" s="66"/>
      <c r="M253" s="66"/>
      <c r="N253" s="66"/>
    </row>
    <row r="254" spans="1:15" x14ac:dyDescent="0.2">
      <c r="C254" s="60"/>
      <c r="D254" s="66"/>
      <c r="E254" s="66"/>
      <c r="F254" s="66"/>
      <c r="G254" s="66"/>
      <c r="H254" s="66"/>
      <c r="I254" s="66"/>
      <c r="J254" s="66"/>
      <c r="K254" s="66"/>
      <c r="L254" s="66"/>
      <c r="M254" s="66"/>
      <c r="N254" s="66"/>
    </row>
    <row r="255" spans="1:15" x14ac:dyDescent="0.2">
      <c r="A255" s="58" t="s">
        <v>194</v>
      </c>
      <c r="C255" s="60"/>
      <c r="D255" s="66"/>
      <c r="E255" s="66"/>
      <c r="F255" s="66"/>
      <c r="G255" s="66"/>
      <c r="H255" s="66"/>
      <c r="I255" s="66"/>
      <c r="J255" s="66"/>
      <c r="K255" s="66"/>
      <c r="L255" s="66"/>
      <c r="M255" s="66"/>
      <c r="N255" s="66"/>
    </row>
    <row r="256" spans="1:15" x14ac:dyDescent="0.2">
      <c r="A256" s="59" t="s">
        <v>195</v>
      </c>
      <c r="C256" s="66">
        <f t="shared" ref="C256:N256" si="59">SUM(C141+C154+C167+C180+C193+C206+C219+C232+C245)</f>
        <v>23698.916399999998</v>
      </c>
      <c r="D256" s="66">
        <f t="shared" si="59"/>
        <v>23698.916399999998</v>
      </c>
      <c r="E256" s="66">
        <f t="shared" si="59"/>
        <v>23698.916399999998</v>
      </c>
      <c r="F256" s="66">
        <f t="shared" si="59"/>
        <v>23698.916399999998</v>
      </c>
      <c r="G256" s="66">
        <f t="shared" si="59"/>
        <v>23698.916399999998</v>
      </c>
      <c r="H256" s="66">
        <f t="shared" si="59"/>
        <v>23698.916399999998</v>
      </c>
      <c r="I256" s="66">
        <f t="shared" si="59"/>
        <v>23698.916399999998</v>
      </c>
      <c r="J256" s="66">
        <f t="shared" si="59"/>
        <v>23698.916399999998</v>
      </c>
      <c r="K256" s="66">
        <f t="shared" si="59"/>
        <v>23698.916399999998</v>
      </c>
      <c r="L256" s="66">
        <f t="shared" si="59"/>
        <v>23698.916399999998</v>
      </c>
      <c r="M256" s="66">
        <f t="shared" si="59"/>
        <v>23698.916399999998</v>
      </c>
      <c r="N256" s="66">
        <f t="shared" si="59"/>
        <v>23698.916399999998</v>
      </c>
    </row>
    <row r="257" spans="1:14" x14ac:dyDescent="0.2">
      <c r="A257" s="59" t="s">
        <v>22</v>
      </c>
      <c r="C257" s="66">
        <f t="shared" ref="C257:N257" si="60">SUM(C142+C143+C144+C155+C156+C157+C168+C169+C170+C181+C182+C183+C194+C195+C196+C207+C208+C209+C220+C221+C222+C233+C234+C235+C246+C247+C248)</f>
        <v>2029.0371390000003</v>
      </c>
      <c r="D257" s="66">
        <f t="shared" si="60"/>
        <v>2029.0371390000003</v>
      </c>
      <c r="E257" s="66">
        <f t="shared" si="60"/>
        <v>2029.0371390000003</v>
      </c>
      <c r="F257" s="66">
        <f t="shared" si="60"/>
        <v>2029.0371390000003</v>
      </c>
      <c r="G257" s="66">
        <f t="shared" si="60"/>
        <v>2029.0371390000003</v>
      </c>
      <c r="H257" s="66">
        <f t="shared" si="60"/>
        <v>2029.0371390000003</v>
      </c>
      <c r="I257" s="66">
        <f t="shared" si="60"/>
        <v>2029.0371390000003</v>
      </c>
      <c r="J257" s="66">
        <f t="shared" si="60"/>
        <v>2029.0371390000003</v>
      </c>
      <c r="K257" s="66">
        <f t="shared" si="60"/>
        <v>2029.0371390000003</v>
      </c>
      <c r="L257" s="66">
        <f t="shared" si="60"/>
        <v>2029.0371390000003</v>
      </c>
      <c r="M257" s="66">
        <f t="shared" si="60"/>
        <v>2029.0371390000003</v>
      </c>
      <c r="N257" s="66">
        <f t="shared" si="60"/>
        <v>2029.0371390000003</v>
      </c>
    </row>
    <row r="258" spans="1:14" x14ac:dyDescent="0.2">
      <c r="A258" s="59" t="s">
        <v>23</v>
      </c>
      <c r="C258" s="66">
        <f t="shared" ref="C258:N258" si="61">SUM(C145+C146+C158+C159+C171+C172+C184+C185+C198+C197+C210+C211+C223+C224+C236+C237+C249+C250)</f>
        <v>2585.1622092413795</v>
      </c>
      <c r="D258" s="66">
        <f t="shared" si="61"/>
        <v>2585.1622092413795</v>
      </c>
      <c r="E258" s="66">
        <f t="shared" si="61"/>
        <v>2585.1622092413795</v>
      </c>
      <c r="F258" s="66">
        <f t="shared" si="61"/>
        <v>2585.1622092413795</v>
      </c>
      <c r="G258" s="66">
        <f t="shared" si="61"/>
        <v>2585.1622092413795</v>
      </c>
      <c r="H258" s="66">
        <f t="shared" si="61"/>
        <v>2585.1622092413795</v>
      </c>
      <c r="I258" s="66">
        <f t="shared" si="61"/>
        <v>2585.1622092413795</v>
      </c>
      <c r="J258" s="66">
        <f t="shared" si="61"/>
        <v>2585.1622092413795</v>
      </c>
      <c r="K258" s="66">
        <f t="shared" si="61"/>
        <v>2585.1622092413795</v>
      </c>
      <c r="L258" s="66">
        <f t="shared" si="61"/>
        <v>2585.1622092413795</v>
      </c>
      <c r="M258" s="66">
        <f t="shared" si="61"/>
        <v>2585.1622092413795</v>
      </c>
      <c r="N258" s="66">
        <f t="shared" si="61"/>
        <v>2585.1622092413795</v>
      </c>
    </row>
    <row r="259" spans="1:14" s="58" customFormat="1" x14ac:dyDescent="0.2">
      <c r="A259" s="58" t="s">
        <v>196</v>
      </c>
      <c r="B259" s="60"/>
      <c r="C259" s="60">
        <f>SUM(C256:C258)</f>
        <v>28313.115748241376</v>
      </c>
      <c r="D259" s="60">
        <f t="shared" ref="D259:N259" si="62">SUM(D256:D258)</f>
        <v>28313.115748241376</v>
      </c>
      <c r="E259" s="60">
        <f t="shared" si="62"/>
        <v>28313.115748241376</v>
      </c>
      <c r="F259" s="60">
        <f t="shared" si="62"/>
        <v>28313.115748241376</v>
      </c>
      <c r="G259" s="60">
        <f t="shared" si="62"/>
        <v>28313.115748241376</v>
      </c>
      <c r="H259" s="60">
        <f t="shared" si="62"/>
        <v>28313.115748241376</v>
      </c>
      <c r="I259" s="60">
        <f t="shared" si="62"/>
        <v>28313.115748241376</v>
      </c>
      <c r="J259" s="60">
        <f t="shared" si="62"/>
        <v>28313.115748241376</v>
      </c>
      <c r="K259" s="60">
        <f t="shared" si="62"/>
        <v>28313.115748241376</v>
      </c>
      <c r="L259" s="60">
        <f t="shared" si="62"/>
        <v>28313.115748241376</v>
      </c>
      <c r="M259" s="60">
        <f t="shared" si="62"/>
        <v>28313.115748241376</v>
      </c>
      <c r="N259" s="60">
        <f t="shared" si="62"/>
        <v>28313.115748241376</v>
      </c>
    </row>
    <row r="260" spans="1:14" x14ac:dyDescent="0.2">
      <c r="C260" s="60"/>
      <c r="D260" s="66"/>
      <c r="E260" s="66"/>
      <c r="F260" s="66"/>
      <c r="G260" s="66"/>
      <c r="H260" s="66"/>
      <c r="I260" s="66"/>
      <c r="J260" s="66"/>
      <c r="K260" s="66"/>
      <c r="L260" s="66"/>
      <c r="M260" s="66"/>
      <c r="N260" s="66"/>
    </row>
    <row r="261" spans="1:14" x14ac:dyDescent="0.2">
      <c r="C261" s="60"/>
      <c r="D261" s="66"/>
      <c r="E261" s="66"/>
      <c r="F261" s="66"/>
      <c r="G261" s="66"/>
      <c r="H261" s="66"/>
      <c r="I261" s="66"/>
      <c r="J261" s="66"/>
      <c r="K261" s="66"/>
      <c r="L261" s="66"/>
      <c r="M261" s="66"/>
      <c r="N261" s="66"/>
    </row>
    <row r="262" spans="1:14" x14ac:dyDescent="0.2">
      <c r="C262" s="60"/>
      <c r="D262" s="66"/>
      <c r="E262" s="66"/>
      <c r="F262" s="66"/>
      <c r="G262" s="66"/>
      <c r="H262" s="66"/>
      <c r="I262" s="66"/>
      <c r="J262" s="66"/>
      <c r="K262" s="66"/>
      <c r="L262" s="66"/>
      <c r="M262" s="66"/>
      <c r="N262" s="66"/>
    </row>
    <row r="263" spans="1:14" x14ac:dyDescent="0.2">
      <c r="C263" s="60"/>
      <c r="D263" s="66"/>
      <c r="E263" s="66"/>
      <c r="F263" s="66"/>
      <c r="G263" s="66"/>
      <c r="H263" s="66"/>
      <c r="I263" s="66"/>
      <c r="J263" s="66"/>
      <c r="K263" s="66"/>
      <c r="L263" s="66"/>
      <c r="M263" s="66"/>
      <c r="N263" s="66"/>
    </row>
    <row r="264" spans="1:14" x14ac:dyDescent="0.2">
      <c r="A264" s="84"/>
      <c r="B264" s="84"/>
      <c r="C264" s="60"/>
      <c r="D264" s="66"/>
      <c r="E264" s="66"/>
      <c r="F264" s="66"/>
      <c r="G264" s="66"/>
      <c r="H264" s="66"/>
      <c r="I264" s="66"/>
      <c r="J264" s="66"/>
      <c r="K264" s="66"/>
      <c r="L264" s="66"/>
      <c r="M264" s="66"/>
      <c r="N264" s="66"/>
    </row>
    <row r="265" spans="1:14" x14ac:dyDescent="0.2">
      <c r="A265" s="84"/>
      <c r="B265" s="84"/>
      <c r="C265" s="60"/>
      <c r="D265" s="66"/>
      <c r="E265" s="66"/>
      <c r="F265" s="66"/>
      <c r="G265" s="66"/>
      <c r="H265" s="66"/>
      <c r="I265" s="66"/>
      <c r="J265" s="66"/>
      <c r="K265" s="66"/>
      <c r="L265" s="66"/>
      <c r="M265" s="66"/>
      <c r="N265" s="66"/>
    </row>
    <row r="266" spans="1:14" x14ac:dyDescent="0.2">
      <c r="A266" s="84"/>
      <c r="B266" s="84"/>
      <c r="C266" s="60"/>
      <c r="D266" s="66"/>
      <c r="E266" s="66"/>
      <c r="F266" s="66"/>
      <c r="G266" s="66"/>
      <c r="H266" s="66"/>
      <c r="I266" s="66"/>
      <c r="J266" s="66"/>
      <c r="K266" s="66"/>
      <c r="L266" s="66"/>
      <c r="M266" s="66"/>
      <c r="N266" s="66"/>
    </row>
    <row r="267" spans="1:14" x14ac:dyDescent="0.2">
      <c r="A267" s="84"/>
      <c r="B267" s="84"/>
      <c r="C267" s="60"/>
      <c r="D267" s="66"/>
      <c r="E267" s="66"/>
      <c r="F267" s="66"/>
      <c r="G267" s="66"/>
      <c r="H267" s="66"/>
      <c r="I267" s="66"/>
      <c r="J267" s="66"/>
      <c r="K267" s="66"/>
      <c r="L267" s="66"/>
      <c r="M267" s="66"/>
      <c r="N267" s="66"/>
    </row>
    <row r="268" spans="1:14" x14ac:dyDescent="0.2">
      <c r="A268" s="84"/>
      <c r="B268" s="84"/>
      <c r="C268" s="60"/>
      <c r="D268" s="66"/>
      <c r="E268" s="66"/>
      <c r="F268" s="66"/>
      <c r="G268" s="66"/>
      <c r="H268" s="66"/>
      <c r="I268" s="66"/>
      <c r="J268" s="66"/>
      <c r="K268" s="66"/>
      <c r="L268" s="66"/>
      <c r="M268" s="66"/>
      <c r="N268" s="66"/>
    </row>
    <row r="269" spans="1:14" x14ac:dyDescent="0.2">
      <c r="A269" s="84"/>
      <c r="B269" s="84"/>
      <c r="C269" s="60"/>
      <c r="D269" s="66"/>
      <c r="E269" s="66"/>
      <c r="F269" s="66"/>
      <c r="G269" s="66"/>
      <c r="H269" s="66"/>
      <c r="I269" s="66"/>
      <c r="J269" s="66"/>
      <c r="K269" s="66"/>
      <c r="L269" s="66"/>
      <c r="M269" s="66"/>
      <c r="N269" s="66"/>
    </row>
    <row r="270" spans="1:14" x14ac:dyDescent="0.2">
      <c r="A270" s="84"/>
      <c r="B270" s="84"/>
      <c r="C270" s="60"/>
      <c r="D270" s="66"/>
      <c r="E270" s="66"/>
      <c r="F270" s="66"/>
      <c r="G270" s="66"/>
      <c r="H270" s="66"/>
      <c r="I270" s="66"/>
      <c r="J270" s="66"/>
      <c r="K270" s="66"/>
      <c r="L270" s="66"/>
      <c r="M270" s="66"/>
      <c r="N270" s="66"/>
    </row>
    <row r="271" spans="1:14" x14ac:dyDescent="0.2">
      <c r="A271" s="84"/>
      <c r="B271" s="84"/>
      <c r="C271" s="60"/>
      <c r="D271" s="66"/>
      <c r="E271" s="66"/>
      <c r="F271" s="66"/>
      <c r="G271" s="66"/>
      <c r="H271" s="66"/>
      <c r="I271" s="66"/>
      <c r="J271" s="66"/>
      <c r="K271" s="66"/>
      <c r="L271" s="66"/>
      <c r="M271" s="66"/>
      <c r="N271" s="66"/>
    </row>
    <row r="272" spans="1:14" x14ac:dyDescent="0.2">
      <c r="A272" s="84"/>
      <c r="B272" s="84"/>
      <c r="C272" s="60"/>
      <c r="D272" s="66"/>
      <c r="E272" s="66"/>
      <c r="F272" s="66"/>
      <c r="G272" s="66"/>
      <c r="H272" s="66"/>
      <c r="I272" s="66"/>
      <c r="J272" s="66"/>
      <c r="K272" s="66"/>
      <c r="L272" s="66"/>
      <c r="M272" s="66"/>
      <c r="N272" s="66"/>
    </row>
    <row r="273" spans="1:14" x14ac:dyDescent="0.2">
      <c r="A273" s="84"/>
      <c r="B273" s="84"/>
      <c r="C273" s="60"/>
      <c r="D273" s="66"/>
      <c r="E273" s="66"/>
      <c r="F273" s="66"/>
      <c r="G273" s="66"/>
      <c r="H273" s="66"/>
      <c r="I273" s="66"/>
      <c r="J273" s="66"/>
      <c r="K273" s="66"/>
      <c r="L273" s="66"/>
      <c r="M273" s="66"/>
      <c r="N273" s="66"/>
    </row>
    <row r="274" spans="1:14" x14ac:dyDescent="0.2">
      <c r="A274" s="84"/>
      <c r="B274" s="84"/>
      <c r="C274" s="60"/>
      <c r="D274" s="66"/>
      <c r="E274" s="66"/>
      <c r="F274" s="66"/>
      <c r="G274" s="66"/>
      <c r="H274" s="66"/>
      <c r="I274" s="66"/>
      <c r="J274" s="66"/>
      <c r="K274" s="66"/>
      <c r="L274" s="66"/>
      <c r="M274" s="66"/>
      <c r="N274" s="66"/>
    </row>
    <row r="275" spans="1:14" x14ac:dyDescent="0.2">
      <c r="A275" s="84"/>
      <c r="B275" s="84"/>
      <c r="C275" s="60"/>
      <c r="D275" s="66"/>
      <c r="E275" s="66"/>
      <c r="F275" s="66"/>
      <c r="G275" s="66"/>
      <c r="H275" s="66"/>
      <c r="I275" s="66"/>
      <c r="J275" s="66"/>
      <c r="K275" s="66"/>
      <c r="L275" s="66"/>
      <c r="M275" s="66"/>
      <c r="N275" s="66"/>
    </row>
    <row r="276" spans="1:14" x14ac:dyDescent="0.2">
      <c r="A276" s="84"/>
      <c r="B276" s="84"/>
      <c r="C276" s="60"/>
      <c r="D276" s="66"/>
      <c r="E276" s="66"/>
      <c r="F276" s="66"/>
      <c r="G276" s="66"/>
      <c r="H276" s="66"/>
      <c r="I276" s="66"/>
      <c r="J276" s="66"/>
      <c r="K276" s="66"/>
      <c r="L276" s="66"/>
      <c r="M276" s="66"/>
      <c r="N276" s="66"/>
    </row>
    <row r="277" spans="1:14" x14ac:dyDescent="0.2">
      <c r="A277" s="84"/>
      <c r="B277" s="84"/>
      <c r="C277" s="60"/>
      <c r="D277" s="66"/>
      <c r="E277" s="66"/>
      <c r="F277" s="66"/>
      <c r="G277" s="66"/>
      <c r="H277" s="66"/>
      <c r="I277" s="66"/>
      <c r="J277" s="66"/>
      <c r="K277" s="66"/>
      <c r="L277" s="66"/>
      <c r="M277" s="66"/>
      <c r="N277" s="66"/>
    </row>
    <row r="278" spans="1:14" x14ac:dyDescent="0.2">
      <c r="A278" s="84"/>
      <c r="B278" s="84"/>
      <c r="C278" s="60"/>
      <c r="D278" s="66"/>
      <c r="E278" s="66"/>
      <c r="F278" s="66"/>
      <c r="G278" s="66"/>
      <c r="H278" s="66"/>
      <c r="I278" s="66"/>
      <c r="J278" s="66"/>
      <c r="K278" s="66"/>
      <c r="L278" s="66"/>
      <c r="M278" s="66"/>
      <c r="N278" s="66"/>
    </row>
    <row r="279" spans="1:14" x14ac:dyDescent="0.2">
      <c r="A279" s="84"/>
      <c r="B279" s="84"/>
      <c r="C279" s="60"/>
      <c r="D279" s="66"/>
      <c r="E279" s="66"/>
      <c r="F279" s="66"/>
      <c r="G279" s="66"/>
      <c r="H279" s="66"/>
      <c r="I279" s="66"/>
      <c r="J279" s="66"/>
      <c r="K279" s="66"/>
      <c r="L279" s="66"/>
      <c r="M279" s="66"/>
      <c r="N279" s="66"/>
    </row>
    <row r="280" spans="1:14" x14ac:dyDescent="0.2">
      <c r="A280" s="84"/>
      <c r="B280" s="84"/>
      <c r="C280" s="60"/>
      <c r="D280" s="66"/>
      <c r="E280" s="66"/>
      <c r="F280" s="66"/>
      <c r="G280" s="66"/>
      <c r="H280" s="66"/>
      <c r="I280" s="66"/>
      <c r="J280" s="66"/>
      <c r="K280" s="66"/>
      <c r="L280" s="66"/>
      <c r="M280" s="66"/>
      <c r="N280" s="66"/>
    </row>
    <row r="281" spans="1:14" x14ac:dyDescent="0.2">
      <c r="A281" s="84"/>
      <c r="B281" s="84"/>
      <c r="C281" s="60"/>
      <c r="D281" s="66"/>
      <c r="E281" s="66"/>
      <c r="F281" s="66"/>
      <c r="G281" s="66"/>
      <c r="H281" s="66"/>
      <c r="I281" s="66"/>
      <c r="J281" s="66"/>
      <c r="K281" s="66"/>
      <c r="L281" s="66"/>
      <c r="M281" s="66"/>
      <c r="N281" s="66"/>
    </row>
    <row r="282" spans="1:14" x14ac:dyDescent="0.2">
      <c r="A282" s="84"/>
      <c r="B282" s="84"/>
      <c r="C282" s="60"/>
      <c r="D282" s="66"/>
      <c r="E282" s="66"/>
      <c r="F282" s="66"/>
      <c r="G282" s="66"/>
      <c r="H282" s="66"/>
      <c r="I282" s="66"/>
      <c r="J282" s="66"/>
      <c r="K282" s="66"/>
      <c r="L282" s="66"/>
      <c r="M282" s="66"/>
      <c r="N282" s="66"/>
    </row>
    <row r="283" spans="1:14" x14ac:dyDescent="0.2">
      <c r="A283" s="84"/>
      <c r="B283" s="84"/>
      <c r="C283" s="60"/>
      <c r="D283" s="66"/>
      <c r="E283" s="66"/>
      <c r="F283" s="66"/>
      <c r="G283" s="66"/>
      <c r="H283" s="66"/>
      <c r="I283" s="66"/>
      <c r="J283" s="66"/>
      <c r="K283" s="66"/>
      <c r="L283" s="66"/>
      <c r="M283" s="66"/>
      <c r="N283" s="66"/>
    </row>
    <row r="284" spans="1:14" x14ac:dyDescent="0.2">
      <c r="A284" s="84"/>
      <c r="B284" s="84"/>
      <c r="C284" s="60"/>
      <c r="D284" s="66"/>
      <c r="E284" s="66"/>
      <c r="F284" s="66"/>
      <c r="G284" s="66"/>
      <c r="H284" s="66"/>
      <c r="I284" s="66"/>
      <c r="J284" s="66"/>
      <c r="K284" s="66"/>
      <c r="L284" s="66"/>
      <c r="M284" s="66"/>
      <c r="N284" s="66"/>
    </row>
    <row r="285" spans="1:14" x14ac:dyDescent="0.2">
      <c r="A285" s="84"/>
      <c r="B285" s="84"/>
      <c r="C285" s="60"/>
      <c r="D285" s="66"/>
      <c r="E285" s="66"/>
      <c r="F285" s="66"/>
      <c r="G285" s="66"/>
      <c r="H285" s="66"/>
      <c r="I285" s="66"/>
      <c r="J285" s="66"/>
      <c r="K285" s="66"/>
      <c r="L285" s="66"/>
      <c r="M285" s="66"/>
      <c r="N285" s="66"/>
    </row>
    <row r="286" spans="1:14" x14ac:dyDescent="0.2">
      <c r="A286" s="84"/>
      <c r="B286" s="84"/>
      <c r="C286" s="60"/>
      <c r="D286" s="66"/>
      <c r="E286" s="66"/>
      <c r="F286" s="66"/>
      <c r="G286" s="66"/>
      <c r="H286" s="66"/>
      <c r="I286" s="66"/>
      <c r="J286" s="66"/>
      <c r="K286" s="66"/>
      <c r="L286" s="66"/>
      <c r="M286" s="66"/>
      <c r="N286" s="66"/>
    </row>
    <row r="287" spans="1:14" x14ac:dyDescent="0.2">
      <c r="A287" s="84"/>
      <c r="B287" s="84"/>
      <c r="C287" s="60"/>
      <c r="D287" s="66"/>
      <c r="E287" s="66"/>
      <c r="F287" s="66"/>
      <c r="G287" s="66"/>
      <c r="H287" s="66"/>
      <c r="I287" s="66"/>
      <c r="J287" s="66"/>
      <c r="K287" s="66"/>
      <c r="L287" s="66"/>
      <c r="M287" s="66"/>
      <c r="N287" s="66"/>
    </row>
    <row r="288" spans="1:14" x14ac:dyDescent="0.2">
      <c r="A288" s="84"/>
      <c r="B288" s="84"/>
      <c r="C288" s="60"/>
      <c r="D288" s="66"/>
      <c r="E288" s="66"/>
      <c r="F288" s="66"/>
      <c r="G288" s="66"/>
      <c r="H288" s="66"/>
      <c r="I288" s="66"/>
      <c r="J288" s="66"/>
      <c r="K288" s="66"/>
      <c r="L288" s="66"/>
      <c r="M288" s="66"/>
      <c r="N288" s="66"/>
    </row>
    <row r="289" spans="1:14" x14ac:dyDescent="0.2">
      <c r="A289" s="84"/>
      <c r="B289" s="84"/>
      <c r="C289" s="60"/>
      <c r="D289" s="66"/>
      <c r="E289" s="66"/>
      <c r="F289" s="66"/>
      <c r="G289" s="66"/>
      <c r="H289" s="66"/>
      <c r="I289" s="66"/>
      <c r="J289" s="66"/>
      <c r="K289" s="66"/>
      <c r="L289" s="66"/>
      <c r="M289" s="66"/>
      <c r="N289" s="66"/>
    </row>
    <row r="290" spans="1:14" x14ac:dyDescent="0.2">
      <c r="A290" s="84"/>
      <c r="B290" s="84"/>
      <c r="C290" s="60"/>
      <c r="D290" s="66"/>
      <c r="E290" s="66"/>
      <c r="F290" s="66"/>
      <c r="G290" s="66"/>
      <c r="H290" s="66"/>
      <c r="I290" s="66"/>
      <c r="J290" s="66"/>
      <c r="K290" s="66"/>
      <c r="L290" s="66"/>
      <c r="M290" s="66"/>
      <c r="N290" s="66"/>
    </row>
    <row r="291" spans="1:14" x14ac:dyDescent="0.2">
      <c r="A291" s="84"/>
      <c r="B291" s="84"/>
      <c r="C291" s="60"/>
      <c r="D291" s="66"/>
      <c r="E291" s="66"/>
      <c r="F291" s="66"/>
      <c r="G291" s="66"/>
      <c r="H291" s="66"/>
      <c r="I291" s="66"/>
      <c r="J291" s="66"/>
      <c r="K291" s="66"/>
      <c r="L291" s="66"/>
      <c r="M291" s="66"/>
      <c r="N291" s="66"/>
    </row>
    <row r="292" spans="1:14" x14ac:dyDescent="0.2">
      <c r="A292" s="84"/>
      <c r="B292" s="84"/>
      <c r="C292" s="60"/>
      <c r="D292" s="66"/>
      <c r="E292" s="66"/>
      <c r="F292" s="66"/>
      <c r="G292" s="66"/>
      <c r="H292" s="66"/>
      <c r="I292" s="66"/>
      <c r="J292" s="66"/>
      <c r="K292" s="66"/>
      <c r="L292" s="66"/>
      <c r="M292" s="66"/>
      <c r="N292" s="66"/>
    </row>
    <row r="293" spans="1:14" x14ac:dyDescent="0.2">
      <c r="A293" s="84"/>
      <c r="B293" s="84"/>
      <c r="C293" s="60"/>
      <c r="D293" s="66"/>
      <c r="E293" s="66"/>
      <c r="F293" s="66"/>
      <c r="G293" s="66"/>
      <c r="H293" s="66"/>
      <c r="I293" s="66"/>
      <c r="J293" s="66"/>
      <c r="K293" s="66"/>
      <c r="L293" s="66"/>
      <c r="M293" s="66"/>
      <c r="N293" s="66"/>
    </row>
    <row r="294" spans="1:14" x14ac:dyDescent="0.2">
      <c r="A294" s="84"/>
      <c r="B294" s="84"/>
      <c r="C294" s="60"/>
      <c r="D294" s="66"/>
      <c r="E294" s="66"/>
      <c r="F294" s="66"/>
      <c r="G294" s="66"/>
      <c r="H294" s="66"/>
      <c r="I294" s="66"/>
      <c r="J294" s="66"/>
      <c r="K294" s="66"/>
      <c r="L294" s="66"/>
      <c r="M294" s="66"/>
      <c r="N294" s="66"/>
    </row>
    <row r="295" spans="1:14" x14ac:dyDescent="0.2">
      <c r="A295" s="84"/>
      <c r="B295" s="84"/>
      <c r="C295" s="60"/>
      <c r="D295" s="66"/>
      <c r="E295" s="66"/>
      <c r="F295" s="66"/>
      <c r="G295" s="66"/>
      <c r="H295" s="66"/>
      <c r="I295" s="66"/>
      <c r="J295" s="66"/>
      <c r="K295" s="66"/>
      <c r="L295" s="66"/>
      <c r="M295" s="66"/>
      <c r="N295" s="66"/>
    </row>
    <row r="296" spans="1:14" x14ac:dyDescent="0.2">
      <c r="A296" s="84"/>
      <c r="B296" s="84"/>
      <c r="C296" s="60"/>
      <c r="D296" s="66"/>
      <c r="E296" s="66"/>
      <c r="F296" s="66"/>
      <c r="G296" s="66"/>
      <c r="H296" s="66"/>
      <c r="I296" s="66"/>
      <c r="J296" s="66"/>
      <c r="K296" s="66"/>
      <c r="L296" s="66"/>
      <c r="M296" s="66"/>
      <c r="N296" s="66"/>
    </row>
    <row r="297" spans="1:14" x14ac:dyDescent="0.2">
      <c r="A297" s="84"/>
      <c r="B297" s="84"/>
      <c r="C297" s="60"/>
      <c r="D297" s="66"/>
      <c r="E297" s="66"/>
      <c r="F297" s="66"/>
      <c r="G297" s="66"/>
      <c r="H297" s="66"/>
      <c r="I297" s="66"/>
      <c r="J297" s="66"/>
      <c r="K297" s="66"/>
      <c r="L297" s="66"/>
      <c r="M297" s="66"/>
      <c r="N297" s="66"/>
    </row>
    <row r="298" spans="1:14" x14ac:dyDescent="0.2">
      <c r="A298" s="84"/>
      <c r="B298" s="84"/>
      <c r="C298" s="60"/>
      <c r="D298" s="66"/>
      <c r="E298" s="66"/>
      <c r="F298" s="66"/>
      <c r="G298" s="66"/>
      <c r="H298" s="66"/>
      <c r="I298" s="66"/>
      <c r="J298" s="66"/>
      <c r="K298" s="66"/>
      <c r="L298" s="66"/>
      <c r="M298" s="66"/>
      <c r="N298" s="66"/>
    </row>
    <row r="299" spans="1:14" x14ac:dyDescent="0.2">
      <c r="A299" s="84"/>
      <c r="B299" s="84"/>
      <c r="C299" s="60"/>
      <c r="D299" s="66"/>
      <c r="E299" s="66"/>
      <c r="F299" s="66"/>
      <c r="G299" s="66"/>
      <c r="H299" s="66"/>
      <c r="I299" s="66"/>
      <c r="J299" s="66"/>
      <c r="K299" s="66"/>
      <c r="L299" s="66"/>
      <c r="M299" s="66"/>
      <c r="N299" s="66"/>
    </row>
    <row r="300" spans="1:14" x14ac:dyDescent="0.2">
      <c r="A300" s="84"/>
      <c r="B300" s="84"/>
      <c r="C300" s="60"/>
      <c r="D300" s="66"/>
      <c r="E300" s="66"/>
      <c r="F300" s="66"/>
      <c r="G300" s="66"/>
      <c r="H300" s="66"/>
      <c r="I300" s="66"/>
      <c r="J300" s="66"/>
      <c r="K300" s="66"/>
      <c r="L300" s="66"/>
      <c r="M300" s="66"/>
      <c r="N300" s="66"/>
    </row>
    <row r="301" spans="1:14" x14ac:dyDescent="0.2">
      <c r="A301" s="84"/>
      <c r="B301" s="84"/>
      <c r="C301" s="60"/>
      <c r="D301" s="66"/>
      <c r="E301" s="66"/>
      <c r="F301" s="66"/>
      <c r="G301" s="66"/>
      <c r="H301" s="66"/>
      <c r="I301" s="66"/>
      <c r="J301" s="66"/>
      <c r="K301" s="66"/>
      <c r="L301" s="66"/>
      <c r="M301" s="66"/>
      <c r="N301" s="66"/>
    </row>
    <row r="302" spans="1:14" x14ac:dyDescent="0.2">
      <c r="A302" s="84"/>
      <c r="B302" s="84"/>
      <c r="C302" s="60"/>
      <c r="D302" s="66"/>
      <c r="E302" s="66"/>
      <c r="F302" s="66"/>
      <c r="G302" s="66"/>
      <c r="H302" s="66"/>
      <c r="I302" s="66"/>
      <c r="J302" s="66"/>
      <c r="K302" s="66"/>
      <c r="L302" s="66"/>
      <c r="M302" s="66"/>
      <c r="N302" s="66"/>
    </row>
    <row r="303" spans="1:14" x14ac:dyDescent="0.2">
      <c r="A303" s="84"/>
      <c r="B303" s="84"/>
      <c r="C303" s="60"/>
      <c r="D303" s="66"/>
      <c r="E303" s="66"/>
      <c r="F303" s="66"/>
      <c r="G303" s="66"/>
      <c r="H303" s="66"/>
      <c r="I303" s="66"/>
      <c r="J303" s="66"/>
      <c r="K303" s="66"/>
      <c r="L303" s="66"/>
      <c r="M303" s="66"/>
      <c r="N303" s="66"/>
    </row>
    <row r="304" spans="1:14" x14ac:dyDescent="0.2">
      <c r="A304" s="84"/>
      <c r="B304" s="84"/>
      <c r="C304" s="60"/>
      <c r="D304" s="66"/>
      <c r="E304" s="66"/>
      <c r="F304" s="66"/>
      <c r="G304" s="66"/>
      <c r="H304" s="66"/>
      <c r="I304" s="66"/>
      <c r="J304" s="66"/>
      <c r="K304" s="66"/>
      <c r="L304" s="66"/>
      <c r="M304" s="66"/>
      <c r="N304" s="66"/>
    </row>
    <row r="305" spans="1:14" x14ac:dyDescent="0.2">
      <c r="A305" s="84"/>
      <c r="B305" s="84"/>
      <c r="C305" s="60"/>
      <c r="D305" s="66"/>
      <c r="E305" s="66"/>
      <c r="F305" s="66"/>
      <c r="G305" s="66"/>
      <c r="H305" s="66"/>
      <c r="I305" s="66"/>
      <c r="J305" s="66"/>
      <c r="K305" s="66"/>
      <c r="L305" s="66"/>
      <c r="M305" s="66"/>
      <c r="N305" s="66"/>
    </row>
    <row r="306" spans="1:14" x14ac:dyDescent="0.2">
      <c r="A306" s="84"/>
      <c r="B306" s="84"/>
      <c r="C306" s="60"/>
      <c r="D306" s="66"/>
      <c r="E306" s="66"/>
      <c r="F306" s="66"/>
      <c r="G306" s="66"/>
      <c r="H306" s="66"/>
      <c r="I306" s="66"/>
      <c r="J306" s="66"/>
      <c r="K306" s="66"/>
      <c r="L306" s="66"/>
      <c r="M306" s="66"/>
      <c r="N306" s="66"/>
    </row>
    <row r="307" spans="1:14" x14ac:dyDescent="0.2">
      <c r="A307" s="84"/>
      <c r="B307" s="84"/>
      <c r="C307" s="60"/>
      <c r="D307" s="66"/>
      <c r="E307" s="66"/>
      <c r="F307" s="66"/>
      <c r="G307" s="66"/>
      <c r="H307" s="66"/>
      <c r="I307" s="66"/>
      <c r="J307" s="66"/>
      <c r="K307" s="66"/>
      <c r="L307" s="66"/>
      <c r="M307" s="66"/>
      <c r="N307" s="66"/>
    </row>
    <row r="308" spans="1:14" x14ac:dyDescent="0.2">
      <c r="A308" s="84"/>
      <c r="B308" s="84"/>
      <c r="C308" s="60"/>
      <c r="D308" s="66"/>
      <c r="E308" s="66"/>
      <c r="F308" s="66"/>
      <c r="G308" s="66"/>
      <c r="H308" s="66"/>
      <c r="I308" s="66"/>
      <c r="J308" s="66"/>
      <c r="K308" s="66"/>
      <c r="L308" s="66"/>
      <c r="M308" s="66"/>
      <c r="N308" s="66"/>
    </row>
    <row r="309" spans="1:14" x14ac:dyDescent="0.2">
      <c r="A309" s="84"/>
      <c r="B309" s="84"/>
      <c r="C309" s="60"/>
      <c r="D309" s="66"/>
      <c r="E309" s="66"/>
      <c r="F309" s="66"/>
      <c r="G309" s="66"/>
      <c r="H309" s="66"/>
      <c r="I309" s="66"/>
      <c r="J309" s="66"/>
      <c r="K309" s="66"/>
      <c r="L309" s="66"/>
      <c r="M309" s="66"/>
      <c r="N309" s="66"/>
    </row>
    <row r="310" spans="1:14" x14ac:dyDescent="0.2">
      <c r="A310" s="84"/>
      <c r="B310" s="84"/>
      <c r="C310" s="60"/>
      <c r="D310" s="66"/>
      <c r="E310" s="66"/>
      <c r="F310" s="66"/>
      <c r="G310" s="66"/>
      <c r="H310" s="66"/>
      <c r="I310" s="66"/>
      <c r="J310" s="66"/>
      <c r="K310" s="66"/>
      <c r="L310" s="66"/>
      <c r="M310" s="66"/>
      <c r="N310" s="66"/>
    </row>
    <row r="311" spans="1:14" x14ac:dyDescent="0.2">
      <c r="A311" s="84"/>
      <c r="B311" s="84"/>
      <c r="C311" s="60"/>
      <c r="D311" s="66"/>
      <c r="E311" s="66"/>
      <c r="F311" s="66"/>
      <c r="G311" s="66"/>
      <c r="H311" s="66"/>
      <c r="I311" s="66"/>
      <c r="J311" s="66"/>
      <c r="K311" s="66"/>
      <c r="L311" s="66"/>
      <c r="M311" s="66"/>
      <c r="N311" s="66"/>
    </row>
    <row r="312" spans="1:14" x14ac:dyDescent="0.2">
      <c r="A312" s="84"/>
      <c r="B312" s="84"/>
      <c r="C312" s="60"/>
      <c r="D312" s="66"/>
      <c r="E312" s="66"/>
      <c r="F312" s="66"/>
      <c r="G312" s="66"/>
      <c r="H312" s="66"/>
      <c r="I312" s="66"/>
      <c r="J312" s="66"/>
      <c r="K312" s="66"/>
      <c r="L312" s="66"/>
      <c r="M312" s="66"/>
      <c r="N312" s="66"/>
    </row>
    <row r="313" spans="1:14" x14ac:dyDescent="0.2">
      <c r="A313" s="84"/>
      <c r="B313" s="84"/>
      <c r="C313" s="60"/>
      <c r="D313" s="66"/>
      <c r="E313" s="66"/>
      <c r="F313" s="66"/>
      <c r="G313" s="66"/>
      <c r="H313" s="66"/>
      <c r="I313" s="66"/>
      <c r="J313" s="66"/>
      <c r="K313" s="66"/>
      <c r="L313" s="66"/>
      <c r="M313" s="66"/>
      <c r="N313" s="66"/>
    </row>
    <row r="314" spans="1:14" x14ac:dyDescent="0.2">
      <c r="A314" s="84"/>
      <c r="B314" s="84"/>
      <c r="C314" s="60"/>
      <c r="D314" s="66"/>
      <c r="E314" s="66"/>
      <c r="F314" s="66"/>
      <c r="G314" s="66"/>
      <c r="H314" s="66"/>
      <c r="I314" s="66"/>
      <c r="J314" s="66"/>
      <c r="K314" s="66"/>
      <c r="L314" s="66"/>
      <c r="M314" s="66"/>
      <c r="N314" s="66"/>
    </row>
    <row r="315" spans="1:14" x14ac:dyDescent="0.2">
      <c r="A315" s="84"/>
      <c r="B315" s="84"/>
      <c r="C315" s="60"/>
      <c r="D315" s="66"/>
      <c r="E315" s="66"/>
      <c r="F315" s="66"/>
      <c r="G315" s="66"/>
      <c r="H315" s="66"/>
      <c r="I315" s="66"/>
      <c r="J315" s="66"/>
      <c r="K315" s="66"/>
      <c r="L315" s="66"/>
      <c r="M315" s="66"/>
      <c r="N315" s="66"/>
    </row>
    <row r="316" spans="1:14" x14ac:dyDescent="0.2">
      <c r="A316" s="84"/>
      <c r="B316" s="84"/>
      <c r="C316" s="60"/>
      <c r="D316" s="66"/>
      <c r="E316" s="66"/>
      <c r="F316" s="66"/>
      <c r="G316" s="66"/>
      <c r="H316" s="66"/>
      <c r="I316" s="66"/>
      <c r="J316" s="66"/>
      <c r="K316" s="66"/>
      <c r="L316" s="66"/>
      <c r="M316" s="66"/>
      <c r="N316" s="66"/>
    </row>
    <row r="317" spans="1:14" x14ac:dyDescent="0.2">
      <c r="A317" s="84"/>
      <c r="B317" s="84"/>
      <c r="C317" s="60"/>
      <c r="D317" s="66"/>
      <c r="E317" s="66"/>
      <c r="F317" s="66"/>
      <c r="G317" s="66"/>
      <c r="H317" s="66"/>
      <c r="I317" s="66"/>
      <c r="J317" s="66"/>
      <c r="K317" s="66"/>
      <c r="L317" s="66"/>
      <c r="M317" s="66"/>
      <c r="N317" s="66"/>
    </row>
    <row r="318" spans="1:14" x14ac:dyDescent="0.2">
      <c r="A318" s="84"/>
      <c r="B318" s="84"/>
      <c r="C318" s="60"/>
      <c r="D318" s="66"/>
      <c r="E318" s="66"/>
      <c r="F318" s="66"/>
      <c r="G318" s="66"/>
      <c r="H318" s="66"/>
      <c r="I318" s="66"/>
      <c r="J318" s="66"/>
      <c r="K318" s="66"/>
      <c r="L318" s="66"/>
      <c r="M318" s="66"/>
      <c r="N318" s="66"/>
    </row>
    <row r="319" spans="1:14" x14ac:dyDescent="0.2">
      <c r="A319" s="84"/>
      <c r="B319" s="84"/>
      <c r="C319" s="60"/>
      <c r="D319" s="66"/>
      <c r="E319" s="66"/>
      <c r="F319" s="66"/>
      <c r="G319" s="66"/>
      <c r="H319" s="66"/>
      <c r="I319" s="66"/>
      <c r="J319" s="66"/>
      <c r="K319" s="66"/>
      <c r="L319" s="66"/>
      <c r="M319" s="66"/>
      <c r="N319" s="66"/>
    </row>
    <row r="320" spans="1:14" x14ac:dyDescent="0.2">
      <c r="A320" s="84"/>
      <c r="B320" s="84"/>
      <c r="C320" s="60"/>
      <c r="D320" s="66"/>
      <c r="E320" s="66"/>
      <c r="F320" s="66"/>
      <c r="G320" s="66"/>
      <c r="H320" s="66"/>
      <c r="I320" s="66"/>
      <c r="J320" s="66"/>
      <c r="K320" s="66"/>
      <c r="L320" s="66"/>
      <c r="M320" s="66"/>
      <c r="N320" s="66"/>
    </row>
    <row r="321" spans="1:14" x14ac:dyDescent="0.2">
      <c r="A321" s="84"/>
      <c r="B321" s="84"/>
      <c r="C321" s="60"/>
      <c r="D321" s="66"/>
      <c r="E321" s="66"/>
      <c r="F321" s="66"/>
      <c r="G321" s="66"/>
      <c r="H321" s="66"/>
      <c r="I321" s="66"/>
      <c r="J321" s="66"/>
      <c r="K321" s="66"/>
      <c r="L321" s="66"/>
      <c r="M321" s="66"/>
      <c r="N321" s="66"/>
    </row>
    <row r="322" spans="1:14" x14ac:dyDescent="0.2">
      <c r="A322" s="84"/>
      <c r="B322" s="84"/>
      <c r="C322" s="60"/>
      <c r="D322" s="66"/>
      <c r="E322" s="66"/>
      <c r="F322" s="66"/>
      <c r="G322" s="66"/>
      <c r="H322" s="66"/>
      <c r="I322" s="66"/>
      <c r="J322" s="66"/>
      <c r="K322" s="66"/>
      <c r="L322" s="66"/>
      <c r="M322" s="66"/>
      <c r="N322" s="66"/>
    </row>
    <row r="323" spans="1:14" x14ac:dyDescent="0.2">
      <c r="A323" s="84"/>
      <c r="B323" s="84"/>
      <c r="C323" s="60"/>
      <c r="D323" s="66"/>
      <c r="E323" s="66"/>
      <c r="F323" s="66"/>
      <c r="G323" s="66"/>
      <c r="H323" s="66"/>
      <c r="I323" s="66"/>
      <c r="J323" s="66"/>
      <c r="K323" s="66"/>
      <c r="L323" s="66"/>
      <c r="M323" s="66"/>
      <c r="N323" s="66"/>
    </row>
    <row r="324" spans="1:14" x14ac:dyDescent="0.2">
      <c r="A324" s="84"/>
      <c r="B324" s="84"/>
      <c r="C324" s="60"/>
      <c r="D324" s="66"/>
      <c r="E324" s="66"/>
      <c r="F324" s="66"/>
      <c r="G324" s="66"/>
      <c r="H324" s="66"/>
      <c r="I324" s="66"/>
      <c r="J324" s="66"/>
      <c r="K324" s="66"/>
      <c r="L324" s="66"/>
      <c r="M324" s="66"/>
      <c r="N324" s="66"/>
    </row>
    <row r="325" spans="1:14" x14ac:dyDescent="0.2">
      <c r="A325" s="84"/>
      <c r="B325" s="84"/>
      <c r="C325" s="60"/>
      <c r="D325" s="66"/>
      <c r="E325" s="66"/>
      <c r="F325" s="66"/>
      <c r="G325" s="66"/>
      <c r="H325" s="66"/>
      <c r="I325" s="66"/>
      <c r="J325" s="66"/>
      <c r="K325" s="66"/>
      <c r="L325" s="66"/>
      <c r="M325" s="66"/>
      <c r="N325" s="66"/>
    </row>
    <row r="326" spans="1:14" x14ac:dyDescent="0.2">
      <c r="A326" s="84"/>
      <c r="B326" s="84"/>
      <c r="C326" s="60"/>
      <c r="D326" s="66"/>
      <c r="E326" s="66"/>
      <c r="F326" s="66"/>
      <c r="G326" s="66"/>
      <c r="H326" s="66"/>
      <c r="I326" s="66"/>
      <c r="J326" s="66"/>
      <c r="K326" s="66"/>
      <c r="L326" s="66"/>
      <c r="M326" s="66"/>
      <c r="N326" s="66"/>
    </row>
    <row r="327" spans="1:14" x14ac:dyDescent="0.2">
      <c r="A327" s="84"/>
      <c r="B327" s="84"/>
      <c r="C327" s="60"/>
      <c r="D327" s="66"/>
      <c r="E327" s="66"/>
      <c r="F327" s="66"/>
      <c r="G327" s="66"/>
      <c r="H327" s="66"/>
      <c r="I327" s="66"/>
      <c r="J327" s="66"/>
      <c r="K327" s="66"/>
      <c r="L327" s="66"/>
      <c r="M327" s="66"/>
      <c r="N327" s="66"/>
    </row>
    <row r="328" spans="1:14" x14ac:dyDescent="0.2">
      <c r="A328" s="84"/>
      <c r="B328" s="84"/>
      <c r="C328" s="60"/>
      <c r="D328" s="66"/>
      <c r="E328" s="66"/>
      <c r="F328" s="66"/>
      <c r="G328" s="66"/>
      <c r="H328" s="66"/>
      <c r="I328" s="66"/>
      <c r="J328" s="66"/>
      <c r="K328" s="66"/>
      <c r="L328" s="66"/>
      <c r="M328" s="66"/>
      <c r="N328" s="66"/>
    </row>
    <row r="329" spans="1:14" x14ac:dyDescent="0.2">
      <c r="A329" s="84"/>
      <c r="B329" s="84"/>
      <c r="C329" s="60"/>
      <c r="D329" s="66"/>
      <c r="E329" s="66"/>
      <c r="F329" s="66"/>
      <c r="G329" s="66"/>
      <c r="H329" s="66"/>
      <c r="I329" s="66"/>
      <c r="J329" s="66"/>
      <c r="K329" s="66"/>
      <c r="L329" s="66"/>
      <c r="M329" s="66"/>
      <c r="N329" s="66"/>
    </row>
    <row r="330" spans="1:14" x14ac:dyDescent="0.2">
      <c r="A330" s="84"/>
      <c r="B330" s="84"/>
      <c r="C330" s="60"/>
      <c r="D330" s="66"/>
      <c r="E330" s="66"/>
      <c r="F330" s="66"/>
      <c r="G330" s="66"/>
      <c r="H330" s="66"/>
      <c r="I330" s="66"/>
      <c r="J330" s="66"/>
      <c r="K330" s="66"/>
      <c r="L330" s="66"/>
      <c r="M330" s="66"/>
      <c r="N330" s="66"/>
    </row>
    <row r="331" spans="1:14" x14ac:dyDescent="0.2">
      <c r="A331" s="84"/>
      <c r="B331" s="84"/>
      <c r="C331" s="60"/>
      <c r="D331" s="66"/>
      <c r="E331" s="66"/>
      <c r="F331" s="66"/>
      <c r="G331" s="66"/>
      <c r="H331" s="66"/>
      <c r="I331" s="66"/>
      <c r="J331" s="66"/>
      <c r="K331" s="66"/>
      <c r="L331" s="66"/>
      <c r="M331" s="66"/>
      <c r="N331" s="66"/>
    </row>
    <row r="332" spans="1:14" x14ac:dyDescent="0.2">
      <c r="A332" s="84"/>
      <c r="B332" s="84"/>
      <c r="C332" s="60"/>
      <c r="D332" s="66"/>
      <c r="E332" s="66"/>
      <c r="F332" s="66"/>
      <c r="G332" s="66"/>
      <c r="H332" s="66"/>
      <c r="I332" s="66"/>
      <c r="J332" s="66"/>
      <c r="K332" s="66"/>
      <c r="L332" s="66"/>
      <c r="M332" s="66"/>
      <c r="N332" s="66"/>
    </row>
    <row r="333" spans="1:14" x14ac:dyDescent="0.2">
      <c r="A333" s="84"/>
      <c r="B333" s="84"/>
      <c r="C333" s="60"/>
      <c r="D333" s="66"/>
      <c r="E333" s="66"/>
      <c r="F333" s="66"/>
      <c r="G333" s="66"/>
      <c r="H333" s="66"/>
      <c r="I333" s="66"/>
      <c r="J333" s="66"/>
      <c r="K333" s="66"/>
      <c r="L333" s="66"/>
      <c r="M333" s="66"/>
      <c r="N333" s="66"/>
    </row>
    <row r="334" spans="1:14" x14ac:dyDescent="0.2">
      <c r="A334" s="84"/>
      <c r="B334" s="84"/>
      <c r="C334" s="60"/>
      <c r="D334" s="66"/>
      <c r="E334" s="66"/>
      <c r="F334" s="66"/>
      <c r="G334" s="66"/>
      <c r="H334" s="66"/>
      <c r="I334" s="66"/>
      <c r="J334" s="66"/>
      <c r="K334" s="66"/>
      <c r="L334" s="66"/>
      <c r="M334" s="66"/>
      <c r="N334" s="66"/>
    </row>
    <row r="335" spans="1:14" x14ac:dyDescent="0.2">
      <c r="A335" s="84"/>
      <c r="B335" s="84"/>
      <c r="C335" s="60"/>
      <c r="D335" s="66"/>
      <c r="E335" s="66"/>
      <c r="F335" s="66"/>
      <c r="G335" s="66"/>
      <c r="H335" s="66"/>
      <c r="I335" s="66"/>
      <c r="J335" s="66"/>
      <c r="K335" s="66"/>
      <c r="L335" s="66"/>
      <c r="M335" s="66"/>
      <c r="N335" s="66"/>
    </row>
    <row r="336" spans="1:14" x14ac:dyDescent="0.2">
      <c r="A336" s="84"/>
      <c r="B336" s="84"/>
      <c r="C336" s="60"/>
      <c r="D336" s="66"/>
      <c r="E336" s="66"/>
      <c r="F336" s="66"/>
      <c r="G336" s="66"/>
      <c r="H336" s="66"/>
      <c r="I336" s="66"/>
      <c r="J336" s="66"/>
      <c r="K336" s="66"/>
      <c r="L336" s="66"/>
      <c r="M336" s="66"/>
      <c r="N336" s="66"/>
    </row>
    <row r="337" spans="1:14" x14ac:dyDescent="0.2">
      <c r="A337" s="84"/>
      <c r="B337" s="84"/>
      <c r="C337" s="60"/>
      <c r="D337" s="66"/>
      <c r="E337" s="66"/>
      <c r="F337" s="66"/>
      <c r="G337" s="66"/>
      <c r="H337" s="66"/>
      <c r="I337" s="66"/>
      <c r="J337" s="66"/>
      <c r="K337" s="66"/>
      <c r="L337" s="66"/>
      <c r="M337" s="66"/>
      <c r="N337" s="66"/>
    </row>
    <row r="338" spans="1:14" x14ac:dyDescent="0.2">
      <c r="A338" s="84"/>
      <c r="B338" s="84"/>
      <c r="C338" s="60"/>
      <c r="D338" s="66"/>
      <c r="E338" s="66"/>
      <c r="F338" s="66"/>
      <c r="G338" s="66"/>
      <c r="H338" s="66"/>
      <c r="I338" s="66"/>
      <c r="J338" s="66"/>
      <c r="K338" s="66"/>
      <c r="L338" s="66"/>
      <c r="M338" s="66"/>
      <c r="N338" s="66"/>
    </row>
    <row r="339" spans="1:14" x14ac:dyDescent="0.2">
      <c r="A339" s="84"/>
      <c r="B339" s="84"/>
      <c r="C339" s="60"/>
      <c r="D339" s="66"/>
      <c r="E339" s="66"/>
      <c r="F339" s="66"/>
      <c r="G339" s="66"/>
      <c r="H339" s="66"/>
      <c r="I339" s="66"/>
      <c r="J339" s="66"/>
      <c r="K339" s="66"/>
      <c r="L339" s="66"/>
      <c r="M339" s="66"/>
      <c r="N339" s="66"/>
    </row>
    <row r="340" spans="1:14" x14ac:dyDescent="0.2">
      <c r="A340" s="84"/>
      <c r="B340" s="84"/>
      <c r="C340" s="60"/>
      <c r="D340" s="66"/>
      <c r="E340" s="66"/>
      <c r="F340" s="66"/>
      <c r="G340" s="66"/>
      <c r="H340" s="66"/>
      <c r="I340" s="66"/>
      <c r="J340" s="66"/>
      <c r="K340" s="66"/>
      <c r="L340" s="66"/>
      <c r="M340" s="66"/>
      <c r="N340" s="66"/>
    </row>
    <row r="341" spans="1:14" x14ac:dyDescent="0.2">
      <c r="A341" s="84"/>
      <c r="B341" s="84"/>
      <c r="C341" s="60"/>
      <c r="D341" s="66"/>
      <c r="E341" s="66"/>
      <c r="F341" s="66"/>
      <c r="G341" s="66"/>
      <c r="H341" s="66"/>
      <c r="I341" s="66"/>
      <c r="J341" s="66"/>
      <c r="K341" s="66"/>
      <c r="L341" s="66"/>
      <c r="M341" s="66"/>
      <c r="N341" s="66"/>
    </row>
    <row r="342" spans="1:14" x14ac:dyDescent="0.2">
      <c r="A342" s="84"/>
      <c r="B342" s="84"/>
      <c r="C342" s="60"/>
      <c r="D342" s="66"/>
      <c r="E342" s="66"/>
      <c r="F342" s="66"/>
      <c r="G342" s="66"/>
      <c r="H342" s="66"/>
      <c r="I342" s="66"/>
      <c r="J342" s="66"/>
      <c r="K342" s="66"/>
      <c r="L342" s="66"/>
      <c r="M342" s="66"/>
      <c r="N342" s="66"/>
    </row>
    <row r="343" spans="1:14" x14ac:dyDescent="0.2">
      <c r="A343" s="84"/>
      <c r="B343" s="84"/>
      <c r="C343" s="60"/>
      <c r="D343" s="66"/>
      <c r="E343" s="66"/>
      <c r="F343" s="66"/>
      <c r="G343" s="66"/>
      <c r="H343" s="66"/>
      <c r="I343" s="66"/>
      <c r="J343" s="66"/>
      <c r="K343" s="66"/>
      <c r="L343" s="66"/>
      <c r="M343" s="66"/>
      <c r="N343" s="66"/>
    </row>
    <row r="344" spans="1:14" x14ac:dyDescent="0.2">
      <c r="A344" s="84"/>
      <c r="B344" s="84"/>
      <c r="C344" s="60"/>
      <c r="D344" s="66"/>
      <c r="E344" s="66"/>
      <c r="F344" s="66"/>
      <c r="G344" s="66"/>
      <c r="H344" s="66"/>
      <c r="I344" s="66"/>
      <c r="J344" s="66"/>
      <c r="K344" s="66"/>
      <c r="L344" s="66"/>
      <c r="M344" s="66"/>
      <c r="N344" s="66"/>
    </row>
    <row r="345" spans="1:14" x14ac:dyDescent="0.2">
      <c r="A345" s="84"/>
      <c r="B345" s="84"/>
      <c r="C345" s="60"/>
      <c r="D345" s="66"/>
      <c r="E345" s="66"/>
      <c r="F345" s="66"/>
      <c r="G345" s="66"/>
      <c r="H345" s="66"/>
      <c r="I345" s="66"/>
      <c r="J345" s="66"/>
      <c r="K345" s="66"/>
      <c r="L345" s="66"/>
      <c r="M345" s="66"/>
      <c r="N345" s="66"/>
    </row>
    <row r="346" spans="1:14" x14ac:dyDescent="0.2">
      <c r="A346" s="84"/>
      <c r="B346" s="84"/>
      <c r="C346" s="60"/>
      <c r="D346" s="66"/>
      <c r="E346" s="66"/>
      <c r="F346" s="66"/>
      <c r="G346" s="66"/>
      <c r="H346" s="66"/>
      <c r="I346" s="66"/>
      <c r="J346" s="66"/>
      <c r="K346" s="66"/>
      <c r="L346" s="66"/>
      <c r="M346" s="66"/>
      <c r="N346" s="66"/>
    </row>
    <row r="347" spans="1:14" x14ac:dyDescent="0.2">
      <c r="A347" s="84"/>
      <c r="B347" s="84"/>
      <c r="C347" s="60"/>
      <c r="D347" s="66"/>
      <c r="E347" s="66"/>
      <c r="F347" s="66"/>
      <c r="G347" s="66"/>
      <c r="H347" s="66"/>
      <c r="I347" s="66"/>
      <c r="J347" s="66"/>
      <c r="K347" s="66"/>
      <c r="L347" s="66"/>
      <c r="M347" s="66"/>
      <c r="N347" s="66"/>
    </row>
    <row r="348" spans="1:14" x14ac:dyDescent="0.2">
      <c r="A348" s="84"/>
      <c r="B348" s="84"/>
      <c r="C348" s="60"/>
      <c r="D348" s="66"/>
      <c r="E348" s="66"/>
      <c r="F348" s="66"/>
      <c r="G348" s="66"/>
      <c r="H348" s="66"/>
      <c r="I348" s="66"/>
      <c r="J348" s="66"/>
      <c r="K348" s="66"/>
      <c r="L348" s="66"/>
      <c r="M348" s="66"/>
      <c r="N348" s="66"/>
    </row>
    <row r="349" spans="1:14" x14ac:dyDescent="0.2">
      <c r="A349" s="84"/>
      <c r="B349" s="84"/>
      <c r="C349" s="60"/>
      <c r="D349" s="66"/>
      <c r="E349" s="66"/>
      <c r="F349" s="66"/>
      <c r="G349" s="66"/>
      <c r="H349" s="66"/>
      <c r="I349" s="66"/>
      <c r="J349" s="66"/>
      <c r="K349" s="66"/>
      <c r="L349" s="66"/>
      <c r="M349" s="66"/>
      <c r="N349" s="66"/>
    </row>
    <row r="350" spans="1:14" x14ac:dyDescent="0.2">
      <c r="A350" s="84"/>
      <c r="B350" s="84"/>
      <c r="C350" s="60"/>
      <c r="D350" s="66"/>
      <c r="E350" s="66"/>
      <c r="F350" s="66"/>
      <c r="G350" s="66"/>
      <c r="H350" s="66"/>
      <c r="I350" s="66"/>
      <c r="J350" s="66"/>
      <c r="K350" s="66"/>
      <c r="L350" s="66"/>
      <c r="M350" s="66"/>
      <c r="N350" s="66"/>
    </row>
    <row r="351" spans="1:14" x14ac:dyDescent="0.2">
      <c r="A351" s="84"/>
      <c r="B351" s="84"/>
      <c r="C351" s="60"/>
      <c r="D351" s="66"/>
      <c r="E351" s="66"/>
      <c r="F351" s="66"/>
      <c r="G351" s="66"/>
      <c r="H351" s="66"/>
      <c r="I351" s="66"/>
      <c r="J351" s="66"/>
      <c r="K351" s="66"/>
      <c r="L351" s="66"/>
      <c r="M351" s="66"/>
      <c r="N351" s="66"/>
    </row>
    <row r="352" spans="1:14" x14ac:dyDescent="0.2">
      <c r="A352" s="84"/>
      <c r="B352" s="84"/>
      <c r="C352" s="60"/>
      <c r="D352" s="66"/>
      <c r="E352" s="66"/>
      <c r="F352" s="66"/>
      <c r="G352" s="66"/>
      <c r="H352" s="66"/>
      <c r="I352" s="66"/>
      <c r="J352" s="66"/>
      <c r="K352" s="66"/>
      <c r="L352" s="66"/>
      <c r="M352" s="66"/>
      <c r="N352" s="66"/>
    </row>
    <row r="353" spans="1:14" x14ac:dyDescent="0.2">
      <c r="A353" s="84"/>
      <c r="B353" s="84"/>
      <c r="C353" s="60"/>
      <c r="D353" s="66"/>
      <c r="E353" s="66"/>
      <c r="F353" s="66"/>
      <c r="G353" s="66"/>
      <c r="H353" s="66"/>
      <c r="I353" s="66"/>
      <c r="J353" s="66"/>
      <c r="K353" s="66"/>
      <c r="L353" s="66"/>
      <c r="M353" s="66"/>
      <c r="N353" s="66"/>
    </row>
    <row r="354" spans="1:14" x14ac:dyDescent="0.2">
      <c r="A354" s="84"/>
      <c r="B354" s="84"/>
      <c r="C354" s="60"/>
      <c r="D354" s="66"/>
      <c r="E354" s="66"/>
      <c r="F354" s="66"/>
      <c r="G354" s="66"/>
      <c r="H354" s="66"/>
      <c r="I354" s="66"/>
      <c r="J354" s="66"/>
      <c r="K354" s="66"/>
      <c r="L354" s="66"/>
      <c r="M354" s="66"/>
      <c r="N354" s="66"/>
    </row>
    <row r="355" spans="1:14" x14ac:dyDescent="0.2">
      <c r="A355" s="84"/>
      <c r="B355" s="84"/>
      <c r="C355" s="60"/>
      <c r="D355" s="66"/>
      <c r="E355" s="66"/>
      <c r="F355" s="66"/>
      <c r="G355" s="66"/>
      <c r="H355" s="66"/>
      <c r="I355" s="66"/>
      <c r="J355" s="66"/>
      <c r="K355" s="66"/>
      <c r="L355" s="66"/>
      <c r="M355" s="66"/>
      <c r="N355" s="66"/>
    </row>
    <row r="356" spans="1:14" x14ac:dyDescent="0.2">
      <c r="A356" s="84"/>
      <c r="B356" s="84"/>
      <c r="C356" s="60"/>
      <c r="D356" s="66"/>
      <c r="E356" s="66"/>
      <c r="F356" s="66"/>
      <c r="G356" s="66"/>
      <c r="H356" s="66"/>
      <c r="I356" s="66"/>
      <c r="J356" s="66"/>
      <c r="K356" s="66"/>
      <c r="L356" s="66"/>
      <c r="M356" s="66"/>
      <c r="N356" s="66"/>
    </row>
    <row r="357" spans="1:14" x14ac:dyDescent="0.2">
      <c r="A357" s="84"/>
      <c r="B357" s="84"/>
      <c r="C357" s="60"/>
      <c r="D357" s="66"/>
      <c r="E357" s="66"/>
      <c r="F357" s="66"/>
      <c r="G357" s="66"/>
      <c r="H357" s="66"/>
      <c r="I357" s="66"/>
      <c r="J357" s="66"/>
      <c r="K357" s="66"/>
      <c r="L357" s="66"/>
      <c r="M357" s="66"/>
      <c r="N357" s="66"/>
    </row>
    <row r="358" spans="1:14" x14ac:dyDescent="0.2">
      <c r="A358" s="84"/>
      <c r="B358" s="84"/>
      <c r="C358" s="60"/>
      <c r="D358" s="66"/>
      <c r="E358" s="66"/>
      <c r="F358" s="66"/>
      <c r="G358" s="66"/>
      <c r="H358" s="66"/>
      <c r="I358" s="66"/>
      <c r="J358" s="66"/>
      <c r="K358" s="66"/>
      <c r="L358" s="66"/>
      <c r="M358" s="66"/>
      <c r="N358" s="66"/>
    </row>
    <row r="359" spans="1:14" x14ac:dyDescent="0.2">
      <c r="A359" s="84"/>
      <c r="B359" s="84"/>
      <c r="C359" s="60"/>
      <c r="D359" s="66"/>
      <c r="E359" s="66"/>
      <c r="F359" s="66"/>
      <c r="G359" s="66"/>
      <c r="H359" s="66"/>
      <c r="I359" s="66"/>
      <c r="J359" s="66"/>
      <c r="K359" s="66"/>
      <c r="L359" s="66"/>
      <c r="M359" s="66"/>
      <c r="N359" s="66"/>
    </row>
    <row r="360" spans="1:14" x14ac:dyDescent="0.2">
      <c r="A360" s="84"/>
      <c r="B360" s="84"/>
      <c r="C360" s="60"/>
      <c r="D360" s="66"/>
      <c r="E360" s="66"/>
      <c r="F360" s="66"/>
      <c r="G360" s="66"/>
      <c r="H360" s="66"/>
      <c r="I360" s="66"/>
      <c r="J360" s="66"/>
      <c r="K360" s="66"/>
      <c r="L360" s="66"/>
      <c r="M360" s="66"/>
      <c r="N360" s="66"/>
    </row>
    <row r="361" spans="1:14" x14ac:dyDescent="0.2">
      <c r="A361" s="84"/>
      <c r="B361" s="84"/>
      <c r="C361" s="60"/>
      <c r="D361" s="66"/>
      <c r="E361" s="66"/>
      <c r="F361" s="66"/>
      <c r="G361" s="66"/>
      <c r="H361" s="66"/>
      <c r="I361" s="66"/>
      <c r="J361" s="66"/>
      <c r="K361" s="66"/>
      <c r="L361" s="66"/>
      <c r="M361" s="66"/>
      <c r="N361" s="66"/>
    </row>
    <row r="362" spans="1:14" x14ac:dyDescent="0.2">
      <c r="A362" s="84"/>
      <c r="B362" s="84"/>
      <c r="C362" s="60"/>
      <c r="D362" s="66"/>
      <c r="E362" s="66"/>
      <c r="F362" s="66"/>
      <c r="G362" s="66"/>
      <c r="H362" s="66"/>
      <c r="I362" s="66"/>
      <c r="J362" s="66"/>
      <c r="K362" s="66"/>
      <c r="L362" s="66"/>
      <c r="M362" s="66"/>
      <c r="N362" s="66"/>
    </row>
    <row r="363" spans="1:14" x14ac:dyDescent="0.2">
      <c r="A363" s="84"/>
      <c r="B363" s="84"/>
      <c r="C363" s="60"/>
      <c r="D363" s="66"/>
      <c r="E363" s="66"/>
      <c r="F363" s="66"/>
      <c r="G363" s="66"/>
      <c r="H363" s="66"/>
      <c r="I363" s="66"/>
      <c r="J363" s="66"/>
      <c r="K363" s="66"/>
      <c r="L363" s="66"/>
      <c r="M363" s="66"/>
      <c r="N363" s="66"/>
    </row>
    <row r="364" spans="1:14" x14ac:dyDescent="0.2">
      <c r="A364" s="84"/>
      <c r="B364" s="84"/>
      <c r="C364" s="60"/>
      <c r="D364" s="66"/>
      <c r="E364" s="66"/>
      <c r="F364" s="66"/>
      <c r="G364" s="66"/>
      <c r="H364" s="66"/>
      <c r="I364" s="66"/>
      <c r="J364" s="66"/>
      <c r="K364" s="66"/>
      <c r="L364" s="66"/>
      <c r="M364" s="66"/>
      <c r="N364" s="66"/>
    </row>
    <row r="365" spans="1:14" x14ac:dyDescent="0.2">
      <c r="A365" s="84"/>
      <c r="B365" s="84"/>
      <c r="C365" s="60"/>
      <c r="D365" s="66"/>
      <c r="E365" s="66"/>
      <c r="F365" s="66"/>
      <c r="G365" s="66"/>
      <c r="H365" s="66"/>
      <c r="I365" s="66"/>
      <c r="J365" s="66"/>
      <c r="K365" s="66"/>
      <c r="L365" s="66"/>
      <c r="M365" s="66"/>
      <c r="N365" s="66"/>
    </row>
    <row r="366" spans="1:14" x14ac:dyDescent="0.2">
      <c r="A366" s="84"/>
      <c r="B366" s="84"/>
      <c r="C366" s="60"/>
      <c r="D366" s="66"/>
      <c r="E366" s="66"/>
      <c r="F366" s="66"/>
      <c r="G366" s="66"/>
      <c r="H366" s="66"/>
      <c r="I366" s="66"/>
      <c r="J366" s="66"/>
      <c r="K366" s="66"/>
      <c r="L366" s="66"/>
      <c r="M366" s="66"/>
      <c r="N366" s="66"/>
    </row>
    <row r="367" spans="1:14" x14ac:dyDescent="0.2">
      <c r="A367" s="84"/>
      <c r="B367" s="84"/>
      <c r="C367" s="60"/>
      <c r="D367" s="66"/>
      <c r="E367" s="66"/>
      <c r="F367" s="66"/>
      <c r="G367" s="66"/>
      <c r="H367" s="66"/>
      <c r="I367" s="66"/>
      <c r="J367" s="66"/>
      <c r="K367" s="66"/>
      <c r="L367" s="66"/>
      <c r="M367" s="66"/>
      <c r="N367" s="66"/>
    </row>
    <row r="368" spans="1:14" x14ac:dyDescent="0.2">
      <c r="A368" s="84"/>
      <c r="B368" s="84"/>
      <c r="C368" s="60"/>
      <c r="D368" s="66"/>
      <c r="E368" s="66"/>
      <c r="F368" s="66"/>
      <c r="G368" s="66"/>
      <c r="H368" s="66"/>
      <c r="I368" s="66"/>
      <c r="J368" s="66"/>
      <c r="K368" s="66"/>
      <c r="L368" s="66"/>
      <c r="M368" s="66"/>
      <c r="N368" s="66"/>
    </row>
    <row r="369" spans="1:14" x14ac:dyDescent="0.2">
      <c r="A369" s="84"/>
      <c r="B369" s="84"/>
      <c r="C369" s="60"/>
      <c r="D369" s="66"/>
      <c r="E369" s="66"/>
      <c r="F369" s="66"/>
      <c r="G369" s="66"/>
      <c r="H369" s="66"/>
      <c r="I369" s="66"/>
      <c r="J369" s="66"/>
      <c r="K369" s="66"/>
      <c r="L369" s="66"/>
      <c r="M369" s="66"/>
      <c r="N369" s="66"/>
    </row>
    <row r="370" spans="1:14" x14ac:dyDescent="0.2">
      <c r="A370" s="84"/>
      <c r="B370" s="84"/>
      <c r="C370" s="60"/>
      <c r="D370" s="66"/>
      <c r="E370" s="66"/>
      <c r="F370" s="66"/>
      <c r="G370" s="66"/>
      <c r="H370" s="66"/>
      <c r="I370" s="66"/>
      <c r="J370" s="66"/>
      <c r="K370" s="66"/>
      <c r="L370" s="66"/>
      <c r="M370" s="66"/>
      <c r="N370" s="66"/>
    </row>
    <row r="371" spans="1:14" x14ac:dyDescent="0.2">
      <c r="A371" s="84"/>
      <c r="B371" s="84"/>
      <c r="C371" s="60"/>
      <c r="D371" s="66"/>
      <c r="E371" s="66"/>
      <c r="F371" s="66"/>
      <c r="G371" s="66"/>
      <c r="H371" s="66"/>
      <c r="I371" s="66"/>
      <c r="J371" s="66"/>
      <c r="K371" s="66"/>
      <c r="L371" s="66"/>
      <c r="M371" s="66"/>
      <c r="N371" s="66"/>
    </row>
    <row r="372" spans="1:14" x14ac:dyDescent="0.2">
      <c r="A372" s="84"/>
      <c r="B372" s="84"/>
      <c r="C372" s="60"/>
      <c r="D372" s="66"/>
      <c r="E372" s="66"/>
      <c r="F372" s="66"/>
      <c r="G372" s="66"/>
      <c r="H372" s="66"/>
      <c r="I372" s="66"/>
      <c r="J372" s="66"/>
      <c r="K372" s="66"/>
      <c r="L372" s="66"/>
      <c r="M372" s="66"/>
      <c r="N372" s="66"/>
    </row>
    <row r="373" spans="1:14" x14ac:dyDescent="0.2">
      <c r="A373" s="84"/>
      <c r="B373" s="84"/>
      <c r="C373" s="60"/>
      <c r="D373" s="66"/>
      <c r="E373" s="66"/>
      <c r="F373" s="66"/>
      <c r="G373" s="66"/>
      <c r="H373" s="66"/>
      <c r="I373" s="66"/>
      <c r="J373" s="66"/>
      <c r="K373" s="66"/>
      <c r="L373" s="66"/>
      <c r="M373" s="66"/>
      <c r="N373" s="66"/>
    </row>
    <row r="374" spans="1:14" x14ac:dyDescent="0.2">
      <c r="A374" s="84"/>
      <c r="B374" s="84"/>
      <c r="C374" s="60"/>
      <c r="D374" s="66"/>
      <c r="E374" s="66"/>
      <c r="F374" s="66"/>
      <c r="G374" s="66"/>
      <c r="H374" s="66"/>
      <c r="I374" s="66"/>
      <c r="J374" s="66"/>
      <c r="K374" s="66"/>
      <c r="L374" s="66"/>
      <c r="M374" s="66"/>
      <c r="N374" s="66"/>
    </row>
    <row r="375" spans="1:14" x14ac:dyDescent="0.2">
      <c r="A375" s="84"/>
      <c r="B375" s="84"/>
      <c r="C375" s="60"/>
      <c r="D375" s="66"/>
      <c r="E375" s="66"/>
      <c r="F375" s="66"/>
      <c r="G375" s="66"/>
      <c r="H375" s="66"/>
      <c r="I375" s="66"/>
      <c r="J375" s="66"/>
      <c r="K375" s="66"/>
      <c r="L375" s="66"/>
      <c r="M375" s="66"/>
      <c r="N375" s="66"/>
    </row>
    <row r="376" spans="1:14" x14ac:dyDescent="0.2">
      <c r="A376" s="84"/>
      <c r="B376" s="84"/>
      <c r="C376" s="60"/>
      <c r="D376" s="66"/>
      <c r="E376" s="66"/>
      <c r="F376" s="66"/>
      <c r="G376" s="66"/>
      <c r="H376" s="66"/>
      <c r="I376" s="66"/>
      <c r="J376" s="66"/>
      <c r="K376" s="66"/>
      <c r="L376" s="66"/>
      <c r="M376" s="66"/>
      <c r="N376" s="66"/>
    </row>
    <row r="377" spans="1:14" x14ac:dyDescent="0.2">
      <c r="A377" s="84"/>
      <c r="B377" s="84"/>
      <c r="C377" s="60"/>
      <c r="D377" s="66"/>
      <c r="E377" s="66"/>
      <c r="F377" s="66"/>
      <c r="G377" s="66"/>
      <c r="H377" s="66"/>
      <c r="I377" s="66"/>
      <c r="J377" s="66"/>
      <c r="K377" s="66"/>
      <c r="L377" s="66"/>
      <c r="M377" s="66"/>
      <c r="N377" s="66"/>
    </row>
    <row r="378" spans="1:14" x14ac:dyDescent="0.2">
      <c r="A378" s="84"/>
      <c r="B378" s="84"/>
      <c r="C378" s="60"/>
      <c r="D378" s="66"/>
      <c r="E378" s="66"/>
      <c r="F378" s="66"/>
      <c r="G378" s="66"/>
      <c r="H378" s="66"/>
      <c r="I378" s="66"/>
      <c r="J378" s="66"/>
      <c r="K378" s="66"/>
      <c r="L378" s="66"/>
      <c r="M378" s="66"/>
      <c r="N378" s="66"/>
    </row>
    <row r="379" spans="1:14" x14ac:dyDescent="0.2">
      <c r="A379" s="84"/>
      <c r="B379" s="84"/>
      <c r="C379" s="60"/>
      <c r="D379" s="66"/>
      <c r="E379" s="66"/>
      <c r="F379" s="66"/>
      <c r="G379" s="66"/>
      <c r="H379" s="66"/>
      <c r="I379" s="66"/>
      <c r="J379" s="66"/>
      <c r="K379" s="66"/>
      <c r="L379" s="66"/>
      <c r="M379" s="66"/>
      <c r="N379" s="66"/>
    </row>
    <row r="380" spans="1:14" x14ac:dyDescent="0.2">
      <c r="A380" s="84"/>
      <c r="B380" s="84"/>
      <c r="C380" s="60"/>
      <c r="D380" s="66"/>
      <c r="E380" s="66"/>
      <c r="F380" s="66"/>
      <c r="G380" s="66"/>
      <c r="H380" s="66"/>
      <c r="I380" s="66"/>
      <c r="J380" s="66"/>
      <c r="K380" s="66"/>
      <c r="L380" s="66"/>
      <c r="M380" s="66"/>
      <c r="N380" s="66"/>
    </row>
    <row r="381" spans="1:14" x14ac:dyDescent="0.2">
      <c r="A381" s="84"/>
      <c r="B381" s="84"/>
      <c r="C381" s="60"/>
      <c r="D381" s="66"/>
      <c r="E381" s="66"/>
      <c r="F381" s="66"/>
      <c r="G381" s="66"/>
      <c r="H381" s="66"/>
      <c r="I381" s="66"/>
      <c r="J381" s="66"/>
      <c r="K381" s="66"/>
      <c r="L381" s="66"/>
      <c r="M381" s="66"/>
      <c r="N381" s="66"/>
    </row>
    <row r="382" spans="1:14" x14ac:dyDescent="0.2">
      <c r="A382" s="84"/>
      <c r="B382" s="84"/>
      <c r="C382" s="60"/>
      <c r="D382" s="66"/>
      <c r="E382" s="66"/>
      <c r="F382" s="66"/>
      <c r="G382" s="66"/>
      <c r="H382" s="66"/>
      <c r="I382" s="66"/>
      <c r="J382" s="66"/>
      <c r="K382" s="66"/>
      <c r="L382" s="66"/>
      <c r="M382" s="66"/>
      <c r="N382" s="66"/>
    </row>
    <row r="383" spans="1:14" x14ac:dyDescent="0.2">
      <c r="A383" s="84"/>
      <c r="B383" s="84"/>
      <c r="C383" s="60"/>
      <c r="D383" s="66"/>
      <c r="E383" s="66"/>
      <c r="F383" s="66"/>
      <c r="G383" s="66"/>
      <c r="H383" s="66"/>
      <c r="I383" s="66"/>
      <c r="J383" s="66"/>
      <c r="K383" s="66"/>
      <c r="L383" s="66"/>
      <c r="M383" s="66"/>
      <c r="N383" s="66"/>
    </row>
    <row r="384" spans="1:14" x14ac:dyDescent="0.2">
      <c r="A384" s="84"/>
      <c r="B384" s="84"/>
      <c r="C384" s="60"/>
      <c r="D384" s="66"/>
      <c r="E384" s="66"/>
      <c r="F384" s="66"/>
      <c r="G384" s="66"/>
      <c r="H384" s="66"/>
      <c r="I384" s="66"/>
      <c r="J384" s="66"/>
      <c r="K384" s="66"/>
      <c r="L384" s="66"/>
      <c r="M384" s="66"/>
      <c r="N384" s="66"/>
    </row>
    <row r="385" spans="1:14" x14ac:dyDescent="0.2">
      <c r="A385" s="84"/>
      <c r="B385" s="84"/>
      <c r="C385" s="60"/>
      <c r="D385" s="66"/>
      <c r="E385" s="66"/>
      <c r="F385" s="66"/>
      <c r="G385" s="66"/>
      <c r="H385" s="66"/>
      <c r="I385" s="66"/>
      <c r="J385" s="66"/>
      <c r="K385" s="66"/>
      <c r="L385" s="66"/>
      <c r="M385" s="66"/>
      <c r="N385" s="66"/>
    </row>
    <row r="386" spans="1:14" x14ac:dyDescent="0.2">
      <c r="A386" s="84"/>
      <c r="B386" s="84"/>
      <c r="C386" s="60"/>
      <c r="D386" s="66"/>
      <c r="E386" s="66"/>
      <c r="F386" s="66"/>
      <c r="G386" s="66"/>
      <c r="H386" s="66"/>
      <c r="I386" s="66"/>
      <c r="J386" s="66"/>
      <c r="K386" s="66"/>
      <c r="L386" s="66"/>
      <c r="M386" s="66"/>
      <c r="N386" s="66"/>
    </row>
    <row r="387" spans="1:14" x14ac:dyDescent="0.2">
      <c r="A387" s="84"/>
      <c r="B387" s="84"/>
      <c r="C387" s="60"/>
      <c r="D387" s="66"/>
      <c r="E387" s="66"/>
      <c r="F387" s="66"/>
      <c r="G387" s="66"/>
      <c r="H387" s="66"/>
      <c r="I387" s="66"/>
      <c r="J387" s="66"/>
      <c r="K387" s="66"/>
      <c r="L387" s="66"/>
      <c r="M387" s="66"/>
      <c r="N387" s="66"/>
    </row>
    <row r="388" spans="1:14" x14ac:dyDescent="0.2">
      <c r="A388" s="84"/>
      <c r="B388" s="84"/>
      <c r="C388" s="60"/>
      <c r="D388" s="66"/>
      <c r="E388" s="66"/>
      <c r="F388" s="66"/>
      <c r="G388" s="66"/>
      <c r="H388" s="66"/>
      <c r="I388" s="66"/>
      <c r="J388" s="66"/>
      <c r="K388" s="66"/>
      <c r="L388" s="66"/>
      <c r="M388" s="66"/>
      <c r="N388" s="66"/>
    </row>
    <row r="389" spans="1:14" x14ac:dyDescent="0.2">
      <c r="A389" s="84"/>
      <c r="B389" s="84"/>
      <c r="C389" s="60"/>
      <c r="D389" s="66"/>
      <c r="E389" s="66"/>
      <c r="F389" s="66"/>
      <c r="G389" s="66"/>
      <c r="H389" s="66"/>
      <c r="I389" s="66"/>
      <c r="J389" s="66"/>
      <c r="K389" s="66"/>
      <c r="L389" s="66"/>
      <c r="M389" s="66"/>
      <c r="N389" s="66"/>
    </row>
    <row r="390" spans="1:14" x14ac:dyDescent="0.2">
      <c r="A390" s="84"/>
      <c r="B390" s="84"/>
      <c r="C390" s="60"/>
      <c r="D390" s="66"/>
      <c r="E390" s="66"/>
      <c r="F390" s="66"/>
      <c r="G390" s="66"/>
      <c r="H390" s="66"/>
      <c r="I390" s="66"/>
      <c r="J390" s="66"/>
      <c r="K390" s="66"/>
      <c r="L390" s="66"/>
      <c r="M390" s="66"/>
      <c r="N390" s="66"/>
    </row>
    <row r="391" spans="1:14" x14ac:dyDescent="0.2">
      <c r="A391" s="84"/>
      <c r="B391" s="84"/>
      <c r="C391" s="60"/>
      <c r="D391" s="66"/>
      <c r="E391" s="66"/>
      <c r="F391" s="66"/>
      <c r="G391" s="66"/>
      <c r="H391" s="66"/>
      <c r="I391" s="66"/>
      <c r="J391" s="66"/>
      <c r="K391" s="66"/>
      <c r="L391" s="66"/>
      <c r="M391" s="66"/>
      <c r="N391" s="66"/>
    </row>
    <row r="392" spans="1:14" x14ac:dyDescent="0.2">
      <c r="A392" s="84"/>
      <c r="B392" s="84"/>
      <c r="C392" s="60"/>
      <c r="D392" s="66"/>
      <c r="E392" s="66"/>
      <c r="F392" s="66"/>
      <c r="G392" s="66"/>
      <c r="H392" s="66"/>
      <c r="I392" s="66"/>
      <c r="J392" s="66"/>
      <c r="K392" s="66"/>
      <c r="L392" s="66"/>
      <c r="M392" s="66"/>
      <c r="N392" s="66"/>
    </row>
    <row r="393" spans="1:14" x14ac:dyDescent="0.2">
      <c r="A393" s="84"/>
      <c r="B393" s="84"/>
      <c r="C393" s="60"/>
      <c r="D393" s="66"/>
      <c r="E393" s="66"/>
      <c r="F393" s="66"/>
      <c r="G393" s="66"/>
      <c r="H393" s="66"/>
      <c r="I393" s="66"/>
      <c r="J393" s="66"/>
      <c r="K393" s="66"/>
      <c r="L393" s="66"/>
      <c r="M393" s="66"/>
      <c r="N393" s="66"/>
    </row>
    <row r="394" spans="1:14" x14ac:dyDescent="0.2">
      <c r="A394" s="84"/>
      <c r="B394" s="84"/>
      <c r="C394" s="60"/>
      <c r="D394" s="66"/>
      <c r="E394" s="66"/>
      <c r="F394" s="66"/>
      <c r="G394" s="66"/>
      <c r="H394" s="66"/>
      <c r="I394" s="66"/>
      <c r="J394" s="66"/>
      <c r="K394" s="66"/>
      <c r="L394" s="66"/>
      <c r="M394" s="66"/>
      <c r="N394" s="66"/>
    </row>
    <row r="395" spans="1:14" x14ac:dyDescent="0.2">
      <c r="A395" s="84"/>
      <c r="B395" s="84"/>
      <c r="C395" s="60"/>
      <c r="D395" s="66"/>
      <c r="E395" s="66"/>
      <c r="F395" s="66"/>
      <c r="G395" s="66"/>
      <c r="H395" s="66"/>
      <c r="I395" s="66"/>
      <c r="J395" s="66"/>
      <c r="K395" s="66"/>
      <c r="L395" s="66"/>
      <c r="M395" s="66"/>
      <c r="N395" s="66"/>
    </row>
    <row r="396" spans="1:14" x14ac:dyDescent="0.2">
      <c r="A396" s="84"/>
      <c r="B396" s="84"/>
      <c r="C396" s="60"/>
      <c r="D396" s="66"/>
      <c r="E396" s="66"/>
      <c r="F396" s="66"/>
      <c r="G396" s="66"/>
      <c r="H396" s="66"/>
      <c r="I396" s="66"/>
      <c r="J396" s="66"/>
      <c r="K396" s="66"/>
      <c r="L396" s="66"/>
      <c r="M396" s="66"/>
      <c r="N396" s="66"/>
    </row>
    <row r="397" spans="1:14" x14ac:dyDescent="0.2">
      <c r="A397" s="84"/>
      <c r="B397" s="84"/>
      <c r="C397" s="60"/>
      <c r="D397" s="66"/>
      <c r="E397" s="66"/>
      <c r="F397" s="66"/>
      <c r="G397" s="66"/>
      <c r="H397" s="66"/>
      <c r="I397" s="66"/>
      <c r="J397" s="66"/>
      <c r="K397" s="66"/>
      <c r="L397" s="66"/>
      <c r="M397" s="66"/>
      <c r="N397" s="66"/>
    </row>
    <row r="398" spans="1:14" x14ac:dyDescent="0.2">
      <c r="A398" s="84"/>
      <c r="B398" s="84"/>
      <c r="C398" s="60"/>
      <c r="D398" s="66"/>
      <c r="E398" s="66"/>
      <c r="F398" s="66"/>
      <c r="G398" s="66"/>
      <c r="H398" s="66"/>
      <c r="I398" s="66"/>
      <c r="J398" s="66"/>
      <c r="K398" s="66"/>
      <c r="L398" s="66"/>
      <c r="M398" s="66"/>
      <c r="N398" s="66"/>
    </row>
    <row r="399" spans="1:14" x14ac:dyDescent="0.2">
      <c r="A399" s="84"/>
      <c r="B399" s="84"/>
      <c r="C399" s="60"/>
      <c r="D399" s="66"/>
      <c r="E399" s="66"/>
      <c r="F399" s="66"/>
      <c r="G399" s="66"/>
      <c r="H399" s="66"/>
      <c r="I399" s="66"/>
      <c r="J399" s="66"/>
      <c r="K399" s="66"/>
      <c r="L399" s="66"/>
      <c r="M399" s="66"/>
      <c r="N399" s="66"/>
    </row>
    <row r="400" spans="1:14" x14ac:dyDescent="0.2">
      <c r="A400" s="84"/>
      <c r="B400" s="84"/>
      <c r="C400" s="60"/>
      <c r="D400" s="66"/>
      <c r="E400" s="66"/>
      <c r="F400" s="66"/>
      <c r="G400" s="66"/>
      <c r="H400" s="66"/>
      <c r="I400" s="66"/>
      <c r="J400" s="66"/>
      <c r="K400" s="66"/>
      <c r="L400" s="66"/>
      <c r="M400" s="66"/>
      <c r="N400" s="66"/>
    </row>
    <row r="401" spans="1:14" x14ac:dyDescent="0.2">
      <c r="A401" s="84"/>
      <c r="B401" s="84"/>
      <c r="C401" s="60"/>
      <c r="D401" s="66"/>
      <c r="E401" s="66"/>
      <c r="F401" s="66"/>
      <c r="G401" s="66"/>
      <c r="H401" s="66"/>
      <c r="I401" s="66"/>
      <c r="J401" s="66"/>
      <c r="K401" s="66"/>
      <c r="L401" s="66"/>
      <c r="M401" s="66"/>
      <c r="N401" s="66"/>
    </row>
    <row r="402" spans="1:14" x14ac:dyDescent="0.2">
      <c r="A402" s="84"/>
      <c r="B402" s="84"/>
      <c r="C402" s="60"/>
      <c r="D402" s="66"/>
      <c r="E402" s="66"/>
      <c r="F402" s="66"/>
      <c r="G402" s="66"/>
      <c r="H402" s="66"/>
      <c r="I402" s="66"/>
      <c r="J402" s="66"/>
      <c r="K402" s="66"/>
      <c r="L402" s="66"/>
      <c r="M402" s="66"/>
      <c r="N402" s="66"/>
    </row>
    <row r="403" spans="1:14" x14ac:dyDescent="0.2">
      <c r="A403" s="84"/>
      <c r="B403" s="84"/>
      <c r="C403" s="60"/>
      <c r="D403" s="66"/>
      <c r="E403" s="66"/>
      <c r="F403" s="66"/>
      <c r="G403" s="66"/>
      <c r="H403" s="66"/>
      <c r="I403" s="66"/>
      <c r="J403" s="66"/>
      <c r="K403" s="66"/>
      <c r="L403" s="66"/>
      <c r="M403" s="66"/>
      <c r="N403" s="66"/>
    </row>
    <row r="404" spans="1:14" x14ac:dyDescent="0.2">
      <c r="A404" s="84"/>
      <c r="B404" s="84"/>
      <c r="C404" s="60"/>
      <c r="D404" s="66"/>
      <c r="E404" s="66"/>
      <c r="F404" s="66"/>
      <c r="G404" s="66"/>
      <c r="H404" s="66"/>
      <c r="I404" s="66"/>
      <c r="J404" s="66"/>
      <c r="K404" s="66"/>
      <c r="L404" s="66"/>
      <c r="M404" s="66"/>
      <c r="N404" s="66"/>
    </row>
    <row r="405" spans="1:14" x14ac:dyDescent="0.2">
      <c r="A405" s="84"/>
      <c r="B405" s="84"/>
      <c r="C405" s="60"/>
      <c r="D405" s="66"/>
      <c r="E405" s="66"/>
      <c r="F405" s="66"/>
      <c r="G405" s="66"/>
      <c r="H405" s="66"/>
      <c r="I405" s="66"/>
      <c r="J405" s="66"/>
      <c r="K405" s="66"/>
      <c r="L405" s="66"/>
      <c r="M405" s="66"/>
      <c r="N405" s="66"/>
    </row>
    <row r="406" spans="1:14" x14ac:dyDescent="0.2">
      <c r="A406" s="84"/>
      <c r="B406" s="84"/>
      <c r="C406" s="60"/>
      <c r="D406" s="66"/>
      <c r="E406" s="66"/>
      <c r="F406" s="66"/>
      <c r="G406" s="66"/>
      <c r="H406" s="66"/>
      <c r="I406" s="66"/>
      <c r="J406" s="66"/>
      <c r="K406" s="66"/>
      <c r="L406" s="66"/>
      <c r="M406" s="66"/>
      <c r="N406" s="66"/>
    </row>
    <row r="407" spans="1:14" x14ac:dyDescent="0.2">
      <c r="A407" s="84"/>
      <c r="B407" s="84"/>
      <c r="C407" s="60"/>
      <c r="D407" s="66"/>
      <c r="E407" s="66"/>
      <c r="F407" s="66"/>
      <c r="G407" s="66"/>
      <c r="H407" s="66"/>
      <c r="I407" s="66"/>
      <c r="J407" s="66"/>
      <c r="K407" s="66"/>
      <c r="L407" s="66"/>
      <c r="M407" s="66"/>
      <c r="N407" s="66"/>
    </row>
    <row r="408" spans="1:14" x14ac:dyDescent="0.2">
      <c r="A408" s="84"/>
      <c r="B408" s="84"/>
      <c r="C408" s="60"/>
      <c r="D408" s="66"/>
      <c r="E408" s="66"/>
      <c r="F408" s="66"/>
      <c r="G408" s="66"/>
      <c r="H408" s="66"/>
      <c r="I408" s="66"/>
      <c r="J408" s="66"/>
      <c r="K408" s="66"/>
      <c r="L408" s="66"/>
      <c r="M408" s="66"/>
      <c r="N408" s="66"/>
    </row>
    <row r="409" spans="1:14" x14ac:dyDescent="0.2">
      <c r="A409" s="84"/>
      <c r="B409" s="84"/>
      <c r="C409" s="60"/>
      <c r="D409" s="66"/>
      <c r="E409" s="66"/>
      <c r="F409" s="66"/>
      <c r="G409" s="66"/>
      <c r="H409" s="66"/>
      <c r="I409" s="66"/>
      <c r="J409" s="66"/>
      <c r="K409" s="66"/>
      <c r="L409" s="66"/>
      <c r="M409" s="66"/>
      <c r="N409" s="66"/>
    </row>
    <row r="410" spans="1:14" x14ac:dyDescent="0.2">
      <c r="A410" s="84"/>
      <c r="B410" s="84"/>
      <c r="C410" s="60"/>
      <c r="D410" s="66"/>
      <c r="E410" s="66"/>
      <c r="F410" s="66"/>
      <c r="G410" s="66"/>
      <c r="H410" s="66"/>
      <c r="I410" s="66"/>
      <c r="J410" s="66"/>
      <c r="K410" s="66"/>
      <c r="L410" s="66"/>
      <c r="M410" s="66"/>
      <c r="N410" s="66"/>
    </row>
    <row r="411" spans="1:14" x14ac:dyDescent="0.2">
      <c r="A411" s="84"/>
      <c r="B411" s="84"/>
      <c r="C411" s="60"/>
      <c r="D411" s="66"/>
      <c r="E411" s="66"/>
      <c r="F411" s="66"/>
      <c r="G411" s="66"/>
      <c r="H411" s="66"/>
      <c r="I411" s="66"/>
      <c r="J411" s="66"/>
      <c r="K411" s="66"/>
      <c r="L411" s="66"/>
      <c r="M411" s="66"/>
      <c r="N411" s="66"/>
    </row>
    <row r="412" spans="1:14" x14ac:dyDescent="0.2">
      <c r="A412" s="84"/>
      <c r="B412" s="84"/>
      <c r="C412" s="60"/>
      <c r="D412" s="66"/>
      <c r="E412" s="66"/>
      <c r="F412" s="66"/>
      <c r="G412" s="66"/>
      <c r="H412" s="66"/>
      <c r="I412" s="66"/>
      <c r="J412" s="66"/>
      <c r="K412" s="66"/>
      <c r="L412" s="66"/>
      <c r="M412" s="66"/>
      <c r="N412" s="66"/>
    </row>
    <row r="413" spans="1:14" x14ac:dyDescent="0.2">
      <c r="A413" s="84"/>
      <c r="B413" s="84"/>
      <c r="C413" s="60"/>
      <c r="D413" s="66"/>
      <c r="E413" s="66"/>
      <c r="F413" s="66"/>
      <c r="G413" s="66"/>
      <c r="H413" s="66"/>
      <c r="I413" s="66"/>
      <c r="J413" s="66"/>
      <c r="K413" s="66"/>
      <c r="L413" s="66"/>
      <c r="M413" s="66"/>
      <c r="N413" s="66"/>
    </row>
    <row r="414" spans="1:14" x14ac:dyDescent="0.2">
      <c r="A414" s="84"/>
      <c r="B414" s="84"/>
      <c r="C414" s="60"/>
      <c r="D414" s="66"/>
      <c r="E414" s="66"/>
      <c r="F414" s="66"/>
      <c r="G414" s="66"/>
      <c r="H414" s="66"/>
      <c r="I414" s="66"/>
      <c r="J414" s="66"/>
      <c r="K414" s="66"/>
      <c r="L414" s="66"/>
      <c r="M414" s="66"/>
      <c r="N414" s="66"/>
    </row>
    <row r="415" spans="1:14" x14ac:dyDescent="0.2">
      <c r="A415" s="84"/>
      <c r="B415" s="84"/>
      <c r="C415" s="60"/>
      <c r="D415" s="66"/>
      <c r="E415" s="66"/>
      <c r="F415" s="66"/>
      <c r="G415" s="66"/>
      <c r="H415" s="66"/>
      <c r="I415" s="66"/>
      <c r="J415" s="66"/>
      <c r="K415" s="66"/>
      <c r="L415" s="66"/>
      <c r="M415" s="66"/>
      <c r="N415" s="66"/>
    </row>
    <row r="416" spans="1:14" x14ac:dyDescent="0.2">
      <c r="A416" s="84"/>
      <c r="B416" s="84"/>
      <c r="C416" s="60"/>
      <c r="D416" s="66"/>
      <c r="E416" s="66"/>
      <c r="F416" s="66"/>
      <c r="G416" s="66"/>
      <c r="H416" s="66"/>
      <c r="I416" s="66"/>
      <c r="J416" s="66"/>
      <c r="K416" s="66"/>
      <c r="L416" s="66"/>
      <c r="M416" s="66"/>
      <c r="N416" s="66"/>
    </row>
    <row r="417" spans="1:14" x14ac:dyDescent="0.2">
      <c r="A417" s="84"/>
      <c r="B417" s="84"/>
      <c r="C417" s="60"/>
      <c r="D417" s="66"/>
      <c r="E417" s="66"/>
      <c r="F417" s="66"/>
      <c r="G417" s="66"/>
      <c r="H417" s="66"/>
      <c r="I417" s="66"/>
      <c r="J417" s="66"/>
      <c r="K417" s="66"/>
      <c r="L417" s="66"/>
      <c r="M417" s="66"/>
      <c r="N417" s="66"/>
    </row>
    <row r="418" spans="1:14" x14ac:dyDescent="0.2">
      <c r="A418" s="84"/>
      <c r="B418" s="84"/>
      <c r="C418" s="60"/>
      <c r="D418" s="66"/>
      <c r="E418" s="66"/>
      <c r="F418" s="66"/>
      <c r="G418" s="66"/>
      <c r="H418" s="66"/>
      <c r="I418" s="66"/>
      <c r="J418" s="66"/>
      <c r="K418" s="66"/>
      <c r="L418" s="66"/>
      <c r="M418" s="66"/>
      <c r="N418" s="66"/>
    </row>
    <row r="419" spans="1:14" x14ac:dyDescent="0.2">
      <c r="A419" s="84"/>
      <c r="B419" s="84"/>
      <c r="C419" s="60"/>
      <c r="D419" s="66"/>
      <c r="E419" s="66"/>
      <c r="F419" s="66"/>
      <c r="G419" s="66"/>
      <c r="H419" s="66"/>
      <c r="I419" s="66"/>
      <c r="J419" s="66"/>
      <c r="K419" s="66"/>
      <c r="L419" s="66"/>
      <c r="M419" s="66"/>
      <c r="N419" s="66"/>
    </row>
    <row r="420" spans="1:14" x14ac:dyDescent="0.2">
      <c r="A420" s="84"/>
      <c r="B420" s="84"/>
      <c r="C420" s="60"/>
      <c r="D420" s="66"/>
      <c r="E420" s="66"/>
      <c r="F420" s="66"/>
      <c r="G420" s="66"/>
      <c r="H420" s="66"/>
      <c r="I420" s="66"/>
      <c r="J420" s="66"/>
      <c r="K420" s="66"/>
      <c r="L420" s="66"/>
      <c r="M420" s="66"/>
      <c r="N420" s="66"/>
    </row>
    <row r="421" spans="1:14" x14ac:dyDescent="0.2">
      <c r="A421" s="84"/>
      <c r="B421" s="84"/>
      <c r="C421" s="60"/>
      <c r="D421" s="66"/>
      <c r="E421" s="66"/>
      <c r="F421" s="66"/>
      <c r="G421" s="66"/>
      <c r="H421" s="66"/>
      <c r="I421" s="66"/>
      <c r="J421" s="66"/>
      <c r="K421" s="66"/>
      <c r="L421" s="66"/>
      <c r="M421" s="66"/>
      <c r="N421" s="66"/>
    </row>
    <row r="422" spans="1:14" x14ac:dyDescent="0.2">
      <c r="A422" s="84"/>
      <c r="B422" s="84"/>
      <c r="C422" s="60"/>
      <c r="D422" s="66"/>
      <c r="E422" s="66"/>
      <c r="F422" s="66"/>
      <c r="G422" s="66"/>
      <c r="H422" s="66"/>
      <c r="I422" s="66"/>
      <c r="J422" s="66"/>
      <c r="K422" s="66"/>
      <c r="L422" s="66"/>
      <c r="M422" s="66"/>
      <c r="N422" s="66"/>
    </row>
    <row r="423" spans="1:14" x14ac:dyDescent="0.2">
      <c r="A423" s="84"/>
      <c r="B423" s="84"/>
      <c r="C423" s="60"/>
      <c r="D423" s="66"/>
      <c r="E423" s="66"/>
      <c r="F423" s="66"/>
      <c r="G423" s="66"/>
      <c r="H423" s="66"/>
      <c r="I423" s="66"/>
      <c r="J423" s="66"/>
      <c r="K423" s="66"/>
      <c r="L423" s="66"/>
      <c r="M423" s="66"/>
      <c r="N423" s="66"/>
    </row>
    <row r="424" spans="1:14" x14ac:dyDescent="0.2">
      <c r="A424" s="84"/>
      <c r="B424" s="84"/>
      <c r="C424" s="60"/>
      <c r="D424" s="66"/>
      <c r="E424" s="66"/>
      <c r="F424" s="66"/>
      <c r="G424" s="66"/>
      <c r="H424" s="66"/>
      <c r="I424" s="66"/>
      <c r="J424" s="66"/>
      <c r="K424" s="66"/>
      <c r="L424" s="66"/>
      <c r="M424" s="66"/>
      <c r="N424" s="66"/>
    </row>
    <row r="425" spans="1:14" x14ac:dyDescent="0.2">
      <c r="A425" s="84"/>
      <c r="B425" s="84"/>
      <c r="C425" s="60"/>
      <c r="D425" s="66"/>
      <c r="E425" s="66"/>
      <c r="F425" s="66"/>
      <c r="G425" s="66"/>
      <c r="H425" s="66"/>
      <c r="I425" s="66"/>
      <c r="J425" s="66"/>
      <c r="K425" s="66"/>
      <c r="L425" s="66"/>
      <c r="M425" s="66"/>
      <c r="N425" s="66"/>
    </row>
    <row r="426" spans="1:14" x14ac:dyDescent="0.2">
      <c r="A426" s="84"/>
      <c r="B426" s="84"/>
      <c r="C426" s="60"/>
      <c r="D426" s="66"/>
      <c r="E426" s="66"/>
      <c r="F426" s="66"/>
      <c r="G426" s="66"/>
      <c r="H426" s="66"/>
      <c r="I426" s="66"/>
      <c r="J426" s="66"/>
      <c r="K426" s="66"/>
      <c r="L426" s="66"/>
      <c r="M426" s="66"/>
      <c r="N426" s="66"/>
    </row>
    <row r="427" spans="1:14" x14ac:dyDescent="0.2">
      <c r="A427" s="84"/>
      <c r="B427" s="84"/>
      <c r="C427" s="60"/>
      <c r="D427" s="66"/>
      <c r="E427" s="66"/>
      <c r="F427" s="66"/>
      <c r="G427" s="66"/>
      <c r="H427" s="66"/>
      <c r="I427" s="66"/>
      <c r="J427" s="66"/>
      <c r="K427" s="66"/>
      <c r="L427" s="66"/>
      <c r="M427" s="66"/>
      <c r="N427" s="66"/>
    </row>
    <row r="428" spans="1:14" x14ac:dyDescent="0.2">
      <c r="A428" s="84"/>
      <c r="B428" s="84"/>
      <c r="C428" s="60"/>
      <c r="D428" s="66"/>
      <c r="E428" s="66"/>
      <c r="F428" s="66"/>
      <c r="G428" s="66"/>
      <c r="H428" s="66"/>
      <c r="I428" s="66"/>
      <c r="J428" s="66"/>
      <c r="K428" s="66"/>
      <c r="L428" s="66"/>
      <c r="M428" s="66"/>
      <c r="N428" s="66"/>
    </row>
    <row r="429" spans="1:14" x14ac:dyDescent="0.2">
      <c r="A429" s="84"/>
      <c r="B429" s="84"/>
      <c r="C429" s="60"/>
      <c r="D429" s="66"/>
      <c r="E429" s="66"/>
      <c r="F429" s="66"/>
      <c r="G429" s="66"/>
      <c r="H429" s="66"/>
      <c r="I429" s="66"/>
      <c r="J429" s="66"/>
      <c r="K429" s="66"/>
      <c r="L429" s="66"/>
      <c r="M429" s="66"/>
      <c r="N429" s="66"/>
    </row>
    <row r="430" spans="1:14" x14ac:dyDescent="0.2">
      <c r="A430" s="84"/>
      <c r="B430" s="84"/>
      <c r="C430" s="60"/>
      <c r="D430" s="66"/>
      <c r="E430" s="66"/>
      <c r="F430" s="66"/>
      <c r="G430" s="66"/>
      <c r="H430" s="66"/>
      <c r="I430" s="66"/>
      <c r="J430" s="66"/>
      <c r="K430" s="66"/>
      <c r="L430" s="66"/>
      <c r="M430" s="66"/>
      <c r="N430" s="66"/>
    </row>
    <row r="431" spans="1:14" x14ac:dyDescent="0.2">
      <c r="A431" s="84"/>
      <c r="B431" s="84"/>
      <c r="C431" s="60"/>
      <c r="D431" s="66"/>
      <c r="E431" s="66"/>
      <c r="F431" s="66"/>
      <c r="G431" s="66"/>
      <c r="H431" s="66"/>
      <c r="I431" s="66"/>
      <c r="J431" s="66"/>
      <c r="K431" s="66"/>
      <c r="L431" s="66"/>
      <c r="M431" s="66"/>
      <c r="N431" s="66"/>
    </row>
    <row r="432" spans="1:14" x14ac:dyDescent="0.2">
      <c r="A432" s="84"/>
      <c r="B432" s="84"/>
      <c r="C432" s="60"/>
      <c r="D432" s="66"/>
      <c r="E432" s="66"/>
      <c r="F432" s="66"/>
      <c r="G432" s="66"/>
      <c r="H432" s="66"/>
      <c r="I432" s="66"/>
      <c r="J432" s="66"/>
      <c r="K432" s="66"/>
      <c r="L432" s="66"/>
      <c r="M432" s="66"/>
      <c r="N432" s="66"/>
    </row>
    <row r="433" spans="1:14" x14ac:dyDescent="0.2">
      <c r="A433" s="84"/>
      <c r="B433" s="84"/>
      <c r="C433" s="60"/>
      <c r="D433" s="66"/>
      <c r="E433" s="66"/>
      <c r="F433" s="66"/>
      <c r="G433" s="66"/>
      <c r="H433" s="66"/>
      <c r="I433" s="66"/>
      <c r="J433" s="66"/>
      <c r="K433" s="66"/>
      <c r="L433" s="66"/>
      <c r="M433" s="66"/>
      <c r="N433" s="66"/>
    </row>
    <row r="434" spans="1:14" x14ac:dyDescent="0.2">
      <c r="A434" s="84"/>
      <c r="B434" s="84"/>
      <c r="C434" s="60"/>
      <c r="D434" s="66"/>
      <c r="E434" s="66"/>
      <c r="F434" s="66"/>
      <c r="G434" s="66"/>
      <c r="H434" s="66"/>
      <c r="I434" s="66"/>
      <c r="J434" s="66"/>
      <c r="K434" s="66"/>
      <c r="L434" s="66"/>
      <c r="M434" s="66"/>
      <c r="N434" s="66"/>
    </row>
    <row r="435" spans="1:14" x14ac:dyDescent="0.2">
      <c r="A435" s="84"/>
      <c r="B435" s="84"/>
      <c r="C435" s="60"/>
      <c r="D435" s="66"/>
      <c r="E435" s="66"/>
      <c r="F435" s="66"/>
      <c r="G435" s="66"/>
      <c r="H435" s="66"/>
      <c r="I435" s="66"/>
      <c r="J435" s="66"/>
      <c r="K435" s="66"/>
      <c r="L435" s="66"/>
      <c r="M435" s="66"/>
      <c r="N435" s="66"/>
    </row>
    <row r="436" spans="1:14" x14ac:dyDescent="0.2">
      <c r="A436" s="84"/>
      <c r="B436" s="84"/>
      <c r="C436" s="60"/>
      <c r="D436" s="66"/>
      <c r="E436" s="66"/>
      <c r="F436" s="66"/>
      <c r="G436" s="66"/>
      <c r="H436" s="66"/>
      <c r="I436" s="66"/>
      <c r="J436" s="66"/>
      <c r="K436" s="66"/>
      <c r="L436" s="66"/>
      <c r="M436" s="66"/>
      <c r="N436" s="66"/>
    </row>
    <row r="437" spans="1:14" x14ac:dyDescent="0.2">
      <c r="A437" s="84"/>
      <c r="B437" s="84"/>
      <c r="C437" s="60"/>
      <c r="D437" s="66"/>
      <c r="E437" s="66"/>
      <c r="F437" s="66"/>
      <c r="G437" s="66"/>
      <c r="H437" s="66"/>
      <c r="I437" s="66"/>
      <c r="J437" s="66"/>
      <c r="K437" s="66"/>
      <c r="L437" s="66"/>
      <c r="M437" s="66"/>
      <c r="N437" s="66"/>
    </row>
    <row r="438" spans="1:14" x14ac:dyDescent="0.2">
      <c r="A438" s="84"/>
      <c r="B438" s="84"/>
      <c r="C438" s="60"/>
      <c r="D438" s="66"/>
      <c r="E438" s="66"/>
      <c r="F438" s="66"/>
      <c r="G438" s="66"/>
      <c r="H438" s="66"/>
      <c r="I438" s="66"/>
      <c r="J438" s="66"/>
      <c r="K438" s="66"/>
      <c r="L438" s="66"/>
      <c r="M438" s="66"/>
      <c r="N438" s="66"/>
    </row>
    <row r="439" spans="1:14" x14ac:dyDescent="0.2">
      <c r="A439" s="84"/>
      <c r="B439" s="84"/>
      <c r="C439" s="60"/>
      <c r="D439" s="66"/>
      <c r="E439" s="66"/>
      <c r="F439" s="66"/>
      <c r="G439" s="66"/>
      <c r="H439" s="66"/>
      <c r="I439" s="66"/>
      <c r="J439" s="66"/>
      <c r="K439" s="66"/>
      <c r="L439" s="66"/>
      <c r="M439" s="66"/>
      <c r="N439" s="66"/>
    </row>
    <row r="440" spans="1:14" x14ac:dyDescent="0.2">
      <c r="A440" s="84"/>
      <c r="B440" s="84"/>
      <c r="C440" s="60"/>
      <c r="D440" s="66"/>
      <c r="E440" s="66"/>
      <c r="F440" s="66"/>
      <c r="G440" s="66"/>
      <c r="H440" s="66"/>
      <c r="I440" s="66"/>
      <c r="J440" s="66"/>
      <c r="K440" s="66"/>
      <c r="L440" s="66"/>
      <c r="M440" s="66"/>
      <c r="N440" s="66"/>
    </row>
    <row r="441" spans="1:14" x14ac:dyDescent="0.2">
      <c r="A441" s="84"/>
      <c r="B441" s="84"/>
      <c r="C441" s="60"/>
      <c r="D441" s="66"/>
      <c r="E441" s="66"/>
      <c r="F441" s="66"/>
      <c r="G441" s="66"/>
      <c r="H441" s="66"/>
      <c r="I441" s="66"/>
      <c r="J441" s="66"/>
      <c r="K441" s="66"/>
      <c r="L441" s="66"/>
      <c r="M441" s="66"/>
      <c r="N441" s="66"/>
    </row>
    <row r="442" spans="1:14" x14ac:dyDescent="0.2">
      <c r="A442" s="84"/>
      <c r="B442" s="84"/>
      <c r="C442" s="60"/>
      <c r="D442" s="66"/>
      <c r="E442" s="66"/>
      <c r="F442" s="66"/>
      <c r="G442" s="66"/>
      <c r="H442" s="66"/>
      <c r="I442" s="66"/>
      <c r="J442" s="66"/>
      <c r="K442" s="66"/>
      <c r="L442" s="66"/>
      <c r="M442" s="66"/>
      <c r="N442" s="66"/>
    </row>
    <row r="443" spans="1:14" x14ac:dyDescent="0.2">
      <c r="A443" s="84"/>
      <c r="B443" s="84"/>
      <c r="C443" s="60"/>
      <c r="D443" s="66"/>
      <c r="E443" s="66"/>
      <c r="F443" s="66"/>
      <c r="G443" s="66"/>
      <c r="H443" s="66"/>
      <c r="I443" s="66"/>
      <c r="J443" s="66"/>
      <c r="K443" s="66"/>
      <c r="L443" s="66"/>
      <c r="M443" s="66"/>
      <c r="N443" s="66"/>
    </row>
    <row r="444" spans="1:14" x14ac:dyDescent="0.2">
      <c r="A444" s="84"/>
      <c r="B444" s="84"/>
      <c r="C444" s="60"/>
      <c r="D444" s="66"/>
      <c r="E444" s="66"/>
      <c r="F444" s="66"/>
      <c r="G444" s="66"/>
      <c r="H444" s="66"/>
      <c r="I444" s="66"/>
      <c r="J444" s="66"/>
      <c r="K444" s="66"/>
      <c r="L444" s="66"/>
      <c r="M444" s="66"/>
      <c r="N444" s="66"/>
    </row>
    <row r="445" spans="1:14" x14ac:dyDescent="0.2">
      <c r="A445" s="84"/>
      <c r="B445" s="84"/>
      <c r="C445" s="60"/>
      <c r="D445" s="66"/>
      <c r="E445" s="66"/>
      <c r="F445" s="66"/>
      <c r="G445" s="66"/>
      <c r="H445" s="66"/>
      <c r="I445" s="66"/>
      <c r="J445" s="66"/>
      <c r="K445" s="66"/>
      <c r="L445" s="66"/>
      <c r="M445" s="66"/>
      <c r="N445" s="66"/>
    </row>
    <row r="446" spans="1:14" x14ac:dyDescent="0.2">
      <c r="A446" s="84"/>
      <c r="B446" s="84"/>
      <c r="C446" s="60"/>
      <c r="D446" s="66"/>
      <c r="E446" s="66"/>
      <c r="F446" s="66"/>
      <c r="G446" s="66"/>
      <c r="H446" s="66"/>
      <c r="I446" s="66"/>
      <c r="J446" s="66"/>
      <c r="K446" s="66"/>
      <c r="L446" s="66"/>
      <c r="M446" s="66"/>
      <c r="N446" s="66"/>
    </row>
    <row r="447" spans="1:14" x14ac:dyDescent="0.2">
      <c r="A447" s="84"/>
      <c r="B447" s="84"/>
      <c r="C447" s="60"/>
      <c r="D447" s="66"/>
      <c r="E447" s="66"/>
      <c r="F447" s="66"/>
      <c r="G447" s="66"/>
      <c r="H447" s="66"/>
      <c r="I447" s="66"/>
      <c r="J447" s="66"/>
      <c r="K447" s="66"/>
      <c r="L447" s="66"/>
      <c r="M447" s="66"/>
      <c r="N447" s="66"/>
    </row>
    <row r="448" spans="1:14" x14ac:dyDescent="0.2">
      <c r="A448" s="84"/>
      <c r="B448" s="84"/>
      <c r="C448" s="60"/>
      <c r="D448" s="66"/>
      <c r="E448" s="66"/>
      <c r="F448" s="66"/>
      <c r="G448" s="66"/>
      <c r="H448" s="66"/>
      <c r="I448" s="66"/>
      <c r="J448" s="66"/>
      <c r="K448" s="66"/>
      <c r="L448" s="66"/>
      <c r="M448" s="66"/>
      <c r="N448" s="66"/>
    </row>
    <row r="449" spans="1:14" x14ac:dyDescent="0.2">
      <c r="A449" s="84"/>
      <c r="B449" s="84"/>
      <c r="C449" s="60"/>
      <c r="D449" s="66"/>
      <c r="E449" s="66"/>
      <c r="F449" s="66"/>
      <c r="G449" s="66"/>
      <c r="H449" s="66"/>
      <c r="I449" s="66"/>
      <c r="J449" s="66"/>
      <c r="K449" s="66"/>
      <c r="L449" s="66"/>
      <c r="M449" s="66"/>
      <c r="N449" s="66"/>
    </row>
    <row r="450" spans="1:14" x14ac:dyDescent="0.2">
      <c r="A450" s="84"/>
      <c r="B450" s="84"/>
      <c r="C450" s="60"/>
      <c r="D450" s="66"/>
      <c r="E450" s="66"/>
      <c r="F450" s="66"/>
      <c r="G450" s="66"/>
      <c r="H450" s="66"/>
      <c r="I450" s="66"/>
      <c r="J450" s="66"/>
      <c r="K450" s="66"/>
      <c r="L450" s="66"/>
      <c r="M450" s="66"/>
      <c r="N450" s="66"/>
    </row>
    <row r="451" spans="1:14" x14ac:dyDescent="0.2">
      <c r="A451" s="84"/>
      <c r="B451" s="84"/>
      <c r="C451" s="60"/>
      <c r="D451" s="66"/>
      <c r="E451" s="66"/>
      <c r="F451" s="66"/>
      <c r="G451" s="66"/>
      <c r="H451" s="66"/>
      <c r="I451" s="66"/>
      <c r="J451" s="66"/>
      <c r="K451" s="66"/>
      <c r="L451" s="66"/>
      <c r="M451" s="66"/>
      <c r="N451" s="66"/>
    </row>
    <row r="452" spans="1:14" x14ac:dyDescent="0.2">
      <c r="A452" s="84"/>
      <c r="B452" s="84"/>
      <c r="C452" s="60"/>
      <c r="D452" s="66"/>
      <c r="E452" s="66"/>
      <c r="F452" s="66"/>
      <c r="G452" s="66"/>
      <c r="H452" s="66"/>
      <c r="I452" s="66"/>
      <c r="J452" s="66"/>
      <c r="K452" s="66"/>
      <c r="L452" s="66"/>
      <c r="M452" s="66"/>
      <c r="N452" s="66"/>
    </row>
    <row r="453" spans="1:14" x14ac:dyDescent="0.2">
      <c r="A453" s="84"/>
      <c r="B453" s="84"/>
      <c r="C453" s="60"/>
      <c r="D453" s="66"/>
      <c r="E453" s="66"/>
      <c r="F453" s="66"/>
      <c r="G453" s="66"/>
      <c r="H453" s="66"/>
      <c r="I453" s="66"/>
      <c r="J453" s="66"/>
      <c r="K453" s="66"/>
      <c r="L453" s="66"/>
      <c r="M453" s="66"/>
      <c r="N453" s="66"/>
    </row>
    <row r="454" spans="1:14" x14ac:dyDescent="0.2">
      <c r="A454" s="84"/>
      <c r="B454" s="84"/>
      <c r="C454" s="60"/>
      <c r="D454" s="66"/>
      <c r="E454" s="66"/>
      <c r="F454" s="66"/>
      <c r="G454" s="66"/>
      <c r="H454" s="66"/>
      <c r="I454" s="66"/>
      <c r="J454" s="66"/>
      <c r="K454" s="66"/>
      <c r="L454" s="66"/>
      <c r="M454" s="66"/>
      <c r="N454" s="66"/>
    </row>
    <row r="455" spans="1:14" x14ac:dyDescent="0.2">
      <c r="A455" s="84"/>
      <c r="B455" s="84"/>
      <c r="C455" s="60"/>
      <c r="D455" s="66"/>
      <c r="E455" s="66"/>
      <c r="F455" s="66"/>
      <c r="G455" s="66"/>
      <c r="H455" s="66"/>
      <c r="I455" s="66"/>
      <c r="J455" s="66"/>
      <c r="K455" s="66"/>
      <c r="L455" s="66"/>
      <c r="M455" s="66"/>
      <c r="N455" s="66"/>
    </row>
    <row r="456" spans="1:14" x14ac:dyDescent="0.2">
      <c r="A456" s="84"/>
      <c r="B456" s="84"/>
      <c r="C456" s="60"/>
      <c r="D456" s="66"/>
      <c r="E456" s="66"/>
      <c r="F456" s="66"/>
      <c r="G456" s="66"/>
      <c r="H456" s="66"/>
      <c r="I456" s="66"/>
      <c r="J456" s="66"/>
      <c r="K456" s="66"/>
      <c r="L456" s="66"/>
      <c r="M456" s="66"/>
      <c r="N456" s="66"/>
    </row>
    <row r="457" spans="1:14" x14ac:dyDescent="0.2">
      <c r="A457" s="84"/>
      <c r="B457" s="84"/>
      <c r="C457" s="60"/>
      <c r="D457" s="66"/>
      <c r="E457" s="66"/>
      <c r="F457" s="66"/>
      <c r="G457" s="66"/>
      <c r="H457" s="66"/>
      <c r="I457" s="66"/>
      <c r="J457" s="66"/>
      <c r="K457" s="66"/>
      <c r="L457" s="66"/>
      <c r="M457" s="66"/>
      <c r="N457" s="66"/>
    </row>
    <row r="458" spans="1:14" x14ac:dyDescent="0.2">
      <c r="A458" s="84"/>
      <c r="B458" s="84"/>
      <c r="C458" s="60"/>
      <c r="D458" s="66"/>
      <c r="E458" s="66"/>
      <c r="F458" s="66"/>
      <c r="G458" s="66"/>
      <c r="H458" s="66"/>
      <c r="I458" s="66"/>
      <c r="J458" s="66"/>
      <c r="K458" s="66"/>
      <c r="L458" s="66"/>
      <c r="M458" s="66"/>
      <c r="N458" s="66"/>
    </row>
    <row r="459" spans="1:14" x14ac:dyDescent="0.2">
      <c r="A459" s="84"/>
      <c r="B459" s="84"/>
      <c r="C459" s="60"/>
      <c r="D459" s="66"/>
      <c r="E459" s="66"/>
      <c r="F459" s="66"/>
      <c r="G459" s="66"/>
      <c r="H459" s="66"/>
      <c r="I459" s="66"/>
      <c r="J459" s="66"/>
      <c r="K459" s="66"/>
      <c r="L459" s="66"/>
      <c r="M459" s="66"/>
      <c r="N459" s="66"/>
    </row>
    <row r="460" spans="1:14" x14ac:dyDescent="0.2">
      <c r="A460" s="84"/>
      <c r="B460" s="84"/>
      <c r="C460" s="60"/>
      <c r="D460" s="66"/>
      <c r="E460" s="66"/>
      <c r="F460" s="66"/>
      <c r="G460" s="66"/>
      <c r="H460" s="66"/>
      <c r="I460" s="66"/>
      <c r="J460" s="66"/>
      <c r="K460" s="66"/>
      <c r="L460" s="66"/>
      <c r="M460" s="66"/>
      <c r="N460" s="66"/>
    </row>
    <row r="461" spans="1:14" x14ac:dyDescent="0.2">
      <c r="A461" s="84"/>
      <c r="B461" s="84"/>
      <c r="C461" s="60"/>
      <c r="D461" s="66"/>
      <c r="E461" s="66"/>
      <c r="F461" s="66"/>
      <c r="G461" s="66"/>
      <c r="H461" s="66"/>
      <c r="I461" s="66"/>
      <c r="J461" s="66"/>
      <c r="K461" s="66"/>
      <c r="L461" s="66"/>
      <c r="M461" s="66"/>
      <c r="N461" s="66"/>
    </row>
    <row r="462" spans="1:14" x14ac:dyDescent="0.2">
      <c r="A462" s="84"/>
      <c r="B462" s="84"/>
      <c r="C462" s="60"/>
      <c r="D462" s="66"/>
      <c r="E462" s="66"/>
      <c r="F462" s="66"/>
      <c r="G462" s="66"/>
      <c r="H462" s="66"/>
      <c r="I462" s="66"/>
      <c r="J462" s="66"/>
      <c r="K462" s="66"/>
      <c r="L462" s="66"/>
      <c r="M462" s="66"/>
      <c r="N462" s="66"/>
    </row>
    <row r="463" spans="1:14" x14ac:dyDescent="0.2">
      <c r="A463" s="84"/>
      <c r="B463" s="84"/>
      <c r="C463" s="60"/>
      <c r="D463" s="66"/>
      <c r="E463" s="66"/>
      <c r="F463" s="66"/>
      <c r="G463" s="66"/>
      <c r="H463" s="66"/>
      <c r="I463" s="66"/>
      <c r="J463" s="66"/>
      <c r="K463" s="66"/>
      <c r="L463" s="66"/>
      <c r="M463" s="66"/>
      <c r="N463" s="66"/>
    </row>
    <row r="464" spans="1:14" x14ac:dyDescent="0.2">
      <c r="A464" s="84"/>
      <c r="B464" s="84"/>
      <c r="C464" s="60"/>
      <c r="D464" s="66"/>
      <c r="E464" s="66"/>
      <c r="F464" s="66"/>
      <c r="G464" s="66"/>
      <c r="H464" s="66"/>
      <c r="I464" s="66"/>
      <c r="J464" s="66"/>
      <c r="K464" s="66"/>
      <c r="L464" s="66"/>
      <c r="M464" s="66"/>
      <c r="N464" s="66"/>
    </row>
    <row r="465" spans="1:14" x14ac:dyDescent="0.2">
      <c r="A465" s="84"/>
      <c r="B465" s="84"/>
      <c r="C465" s="60"/>
      <c r="D465" s="66"/>
      <c r="E465" s="66"/>
      <c r="F465" s="66"/>
      <c r="G465" s="66"/>
      <c r="H465" s="66"/>
      <c r="I465" s="66"/>
      <c r="J465" s="66"/>
      <c r="K465" s="66"/>
      <c r="L465" s="66"/>
      <c r="M465" s="66"/>
      <c r="N465" s="66"/>
    </row>
    <row r="466" spans="1:14" x14ac:dyDescent="0.2">
      <c r="A466" s="84"/>
      <c r="B466" s="84"/>
      <c r="C466" s="60"/>
      <c r="D466" s="66"/>
      <c r="E466" s="66"/>
      <c r="F466" s="66"/>
      <c r="G466" s="66"/>
      <c r="H466" s="66"/>
      <c r="I466" s="66"/>
      <c r="J466" s="66"/>
      <c r="K466" s="66"/>
      <c r="L466" s="66"/>
      <c r="M466" s="66"/>
      <c r="N466" s="66"/>
    </row>
    <row r="467" spans="1:14" x14ac:dyDescent="0.2">
      <c r="A467" s="84"/>
      <c r="B467" s="84"/>
      <c r="C467" s="60"/>
      <c r="D467" s="66"/>
      <c r="E467" s="66"/>
      <c r="F467" s="66"/>
      <c r="G467" s="66"/>
      <c r="H467" s="66"/>
      <c r="I467" s="66"/>
      <c r="J467" s="66"/>
      <c r="K467" s="66"/>
      <c r="L467" s="66"/>
      <c r="M467" s="66"/>
      <c r="N467" s="66"/>
    </row>
    <row r="468" spans="1:14" x14ac:dyDescent="0.2">
      <c r="A468" s="84"/>
      <c r="B468" s="84"/>
      <c r="C468" s="60"/>
      <c r="D468" s="66"/>
      <c r="E468" s="66"/>
      <c r="F468" s="66"/>
      <c r="G468" s="66"/>
      <c r="H468" s="66"/>
      <c r="I468" s="66"/>
      <c r="J468" s="66"/>
      <c r="K468" s="66"/>
      <c r="L468" s="66"/>
      <c r="M468" s="66"/>
      <c r="N468" s="66"/>
    </row>
    <row r="469" spans="1:14" x14ac:dyDescent="0.2">
      <c r="A469" s="84"/>
      <c r="B469" s="84"/>
      <c r="C469" s="60"/>
      <c r="D469" s="66"/>
      <c r="E469" s="66"/>
      <c r="F469" s="66"/>
      <c r="G469" s="66"/>
      <c r="H469" s="66"/>
      <c r="I469" s="66"/>
      <c r="J469" s="66"/>
      <c r="K469" s="66"/>
      <c r="L469" s="66"/>
      <c r="M469" s="66"/>
      <c r="N469" s="66"/>
    </row>
    <row r="470" spans="1:14" x14ac:dyDescent="0.2">
      <c r="A470" s="84"/>
      <c r="B470" s="84"/>
      <c r="C470" s="60"/>
      <c r="D470" s="66"/>
      <c r="E470" s="66"/>
      <c r="F470" s="66"/>
      <c r="G470" s="66"/>
      <c r="H470" s="66"/>
      <c r="I470" s="66"/>
      <c r="J470" s="66"/>
      <c r="K470" s="66"/>
      <c r="L470" s="66"/>
      <c r="M470" s="66"/>
      <c r="N470" s="66"/>
    </row>
    <row r="471" spans="1:14" x14ac:dyDescent="0.2">
      <c r="A471" s="84"/>
      <c r="B471" s="84"/>
      <c r="C471" s="60"/>
      <c r="D471" s="66"/>
      <c r="E471" s="66"/>
      <c r="F471" s="66"/>
      <c r="G471" s="66"/>
      <c r="H471" s="66"/>
      <c r="I471" s="66"/>
      <c r="J471" s="66"/>
      <c r="K471" s="66"/>
      <c r="L471" s="66"/>
      <c r="M471" s="66"/>
      <c r="N471" s="66"/>
    </row>
    <row r="472" spans="1:14" x14ac:dyDescent="0.2">
      <c r="A472" s="84"/>
      <c r="B472" s="84"/>
      <c r="C472" s="60"/>
      <c r="D472" s="66"/>
      <c r="E472" s="66"/>
      <c r="F472" s="66"/>
      <c r="G472" s="66"/>
      <c r="H472" s="66"/>
      <c r="I472" s="66"/>
      <c r="J472" s="66"/>
      <c r="K472" s="66"/>
      <c r="L472" s="66"/>
      <c r="M472" s="66"/>
      <c r="N472" s="66"/>
    </row>
    <row r="473" spans="1:14" x14ac:dyDescent="0.2">
      <c r="A473" s="84"/>
      <c r="B473" s="84"/>
      <c r="C473" s="60"/>
      <c r="D473" s="66"/>
      <c r="E473" s="66"/>
      <c r="F473" s="66"/>
      <c r="G473" s="66"/>
      <c r="H473" s="66"/>
      <c r="I473" s="66"/>
      <c r="J473" s="66"/>
      <c r="K473" s="66"/>
      <c r="L473" s="66"/>
      <c r="M473" s="66"/>
      <c r="N473" s="66"/>
    </row>
    <row r="474" spans="1:14" x14ac:dyDescent="0.2">
      <c r="A474" s="84"/>
      <c r="B474" s="84"/>
      <c r="C474" s="60"/>
      <c r="D474" s="66"/>
      <c r="E474" s="66"/>
      <c r="F474" s="66"/>
      <c r="G474" s="66"/>
      <c r="H474" s="66"/>
      <c r="I474" s="66"/>
      <c r="J474" s="66"/>
      <c r="K474" s="66"/>
      <c r="L474" s="66"/>
      <c r="M474" s="66"/>
      <c r="N474" s="66"/>
    </row>
    <row r="475" spans="1:14" x14ac:dyDescent="0.2">
      <c r="A475" s="84"/>
      <c r="B475" s="84"/>
      <c r="C475" s="60"/>
      <c r="D475" s="66"/>
      <c r="E475" s="66"/>
      <c r="F475" s="66"/>
      <c r="G475" s="66"/>
      <c r="H475" s="66"/>
      <c r="I475" s="66"/>
      <c r="J475" s="66"/>
      <c r="K475" s="66"/>
      <c r="L475" s="66"/>
      <c r="M475" s="66"/>
      <c r="N475" s="66"/>
    </row>
    <row r="476" spans="1:14" x14ac:dyDescent="0.2">
      <c r="A476" s="84"/>
      <c r="B476" s="84"/>
      <c r="C476" s="60"/>
      <c r="D476" s="66"/>
      <c r="E476" s="66"/>
      <c r="F476" s="66"/>
      <c r="G476" s="66"/>
      <c r="H476" s="66"/>
      <c r="I476" s="66"/>
      <c r="J476" s="66"/>
      <c r="K476" s="66"/>
      <c r="L476" s="66"/>
      <c r="M476" s="66"/>
      <c r="N476" s="66"/>
    </row>
    <row r="477" spans="1:14" x14ac:dyDescent="0.2">
      <c r="A477" s="84"/>
      <c r="B477" s="84"/>
      <c r="C477" s="60"/>
      <c r="D477" s="66"/>
      <c r="E477" s="66"/>
      <c r="F477" s="66"/>
      <c r="G477" s="66"/>
      <c r="H477" s="66"/>
      <c r="I477" s="66"/>
      <c r="J477" s="66"/>
      <c r="K477" s="66"/>
      <c r="L477" s="66"/>
      <c r="M477" s="66"/>
      <c r="N477" s="66"/>
    </row>
    <row r="478" spans="1:14" x14ac:dyDescent="0.2">
      <c r="A478" s="84"/>
      <c r="B478" s="84"/>
      <c r="C478" s="60"/>
      <c r="D478" s="66"/>
      <c r="E478" s="66"/>
      <c r="F478" s="66"/>
      <c r="G478" s="66"/>
      <c r="H478" s="66"/>
      <c r="I478" s="66"/>
      <c r="J478" s="66"/>
      <c r="K478" s="66"/>
      <c r="L478" s="66"/>
      <c r="M478" s="66"/>
      <c r="N478" s="66"/>
    </row>
    <row r="479" spans="1:14" x14ac:dyDescent="0.2">
      <c r="A479" s="84"/>
      <c r="B479" s="84"/>
      <c r="C479" s="60"/>
      <c r="D479" s="66"/>
      <c r="E479" s="66"/>
      <c r="F479" s="66"/>
      <c r="G479" s="66"/>
      <c r="H479" s="66"/>
      <c r="I479" s="66"/>
      <c r="J479" s="66"/>
      <c r="K479" s="66"/>
      <c r="L479" s="66"/>
      <c r="M479" s="66"/>
      <c r="N479" s="66"/>
    </row>
    <row r="480" spans="1:14" x14ac:dyDescent="0.2">
      <c r="A480" s="84"/>
      <c r="B480" s="84"/>
      <c r="C480" s="60"/>
      <c r="D480" s="66"/>
      <c r="E480" s="66"/>
      <c r="F480" s="66"/>
      <c r="G480" s="66"/>
      <c r="H480" s="66"/>
      <c r="I480" s="66"/>
      <c r="J480" s="66"/>
      <c r="K480" s="66"/>
      <c r="L480" s="66"/>
      <c r="M480" s="66"/>
      <c r="N480" s="66"/>
    </row>
    <row r="481" spans="1:14" x14ac:dyDescent="0.2">
      <c r="A481" s="84"/>
      <c r="B481" s="84"/>
      <c r="C481" s="60"/>
      <c r="D481" s="66"/>
      <c r="E481" s="66"/>
      <c r="F481" s="66"/>
      <c r="G481" s="66"/>
      <c r="H481" s="66"/>
      <c r="I481" s="66"/>
      <c r="J481" s="66"/>
      <c r="K481" s="66"/>
      <c r="L481" s="66"/>
      <c r="M481" s="66"/>
      <c r="N481" s="66"/>
    </row>
    <row r="482" spans="1:14" x14ac:dyDescent="0.2">
      <c r="A482" s="84"/>
      <c r="B482" s="84"/>
      <c r="C482" s="60"/>
      <c r="D482" s="66"/>
      <c r="E482" s="66"/>
      <c r="F482" s="66"/>
      <c r="G482" s="66"/>
      <c r="H482" s="66"/>
      <c r="I482" s="66"/>
      <c r="J482" s="66"/>
      <c r="K482" s="66"/>
      <c r="L482" s="66"/>
      <c r="M482" s="66"/>
      <c r="N482" s="66"/>
    </row>
    <row r="483" spans="1:14" x14ac:dyDescent="0.2">
      <c r="A483" s="84"/>
      <c r="B483" s="84"/>
      <c r="C483" s="60"/>
      <c r="D483" s="66"/>
      <c r="E483" s="66"/>
      <c r="F483" s="66"/>
      <c r="G483" s="66"/>
      <c r="H483" s="66"/>
      <c r="I483" s="66"/>
      <c r="J483" s="66"/>
      <c r="K483" s="66"/>
      <c r="L483" s="66"/>
      <c r="M483" s="66"/>
      <c r="N483" s="66"/>
    </row>
    <row r="484" spans="1:14" x14ac:dyDescent="0.2">
      <c r="A484" s="84"/>
      <c r="B484" s="84"/>
      <c r="C484" s="60"/>
      <c r="D484" s="66"/>
      <c r="E484" s="66"/>
      <c r="F484" s="66"/>
      <c r="G484" s="66"/>
      <c r="H484" s="66"/>
      <c r="I484" s="66"/>
      <c r="J484" s="66"/>
      <c r="K484" s="66"/>
      <c r="L484" s="66"/>
      <c r="M484" s="66"/>
      <c r="N484" s="66"/>
    </row>
    <row r="485" spans="1:14" x14ac:dyDescent="0.2">
      <c r="A485" s="84"/>
      <c r="B485" s="84"/>
      <c r="C485" s="60"/>
      <c r="D485" s="66"/>
      <c r="E485" s="66"/>
      <c r="F485" s="66"/>
      <c r="G485" s="66"/>
      <c r="H485" s="66"/>
      <c r="I485" s="66"/>
      <c r="J485" s="66"/>
      <c r="K485" s="66"/>
      <c r="L485" s="66"/>
      <c r="M485" s="66"/>
      <c r="N485" s="66"/>
    </row>
    <row r="486" spans="1:14" x14ac:dyDescent="0.2">
      <c r="A486" s="84"/>
      <c r="B486" s="84"/>
      <c r="C486" s="60"/>
      <c r="D486" s="66"/>
      <c r="E486" s="66"/>
      <c r="F486" s="66"/>
      <c r="G486" s="66"/>
      <c r="H486" s="66"/>
      <c r="I486" s="66"/>
      <c r="J486" s="66"/>
      <c r="K486" s="66"/>
      <c r="L486" s="66"/>
      <c r="M486" s="66"/>
      <c r="N486" s="66"/>
    </row>
    <row r="487" spans="1:14" x14ac:dyDescent="0.2">
      <c r="A487" s="84"/>
      <c r="B487" s="84"/>
      <c r="C487" s="60"/>
      <c r="D487" s="66"/>
      <c r="E487" s="66"/>
      <c r="F487" s="66"/>
      <c r="G487" s="66"/>
      <c r="H487" s="66"/>
      <c r="I487" s="66"/>
      <c r="J487" s="66"/>
      <c r="K487" s="66"/>
      <c r="L487" s="66"/>
      <c r="M487" s="66"/>
      <c r="N487" s="66"/>
    </row>
    <row r="488" spans="1:14" x14ac:dyDescent="0.2">
      <c r="A488" s="84"/>
      <c r="B488" s="84"/>
      <c r="C488" s="60"/>
      <c r="D488" s="66"/>
      <c r="E488" s="66"/>
      <c r="F488" s="66"/>
      <c r="G488" s="66"/>
      <c r="H488" s="66"/>
      <c r="I488" s="66"/>
      <c r="J488" s="66"/>
      <c r="K488" s="66"/>
      <c r="L488" s="66"/>
      <c r="M488" s="66"/>
      <c r="N488" s="66"/>
    </row>
    <row r="489" spans="1:14" x14ac:dyDescent="0.2">
      <c r="A489" s="84"/>
      <c r="B489" s="84"/>
      <c r="C489" s="60"/>
      <c r="D489" s="66"/>
      <c r="E489" s="66"/>
      <c r="F489" s="66"/>
      <c r="G489" s="66"/>
      <c r="H489" s="66"/>
      <c r="I489" s="66"/>
      <c r="J489" s="66"/>
      <c r="K489" s="66"/>
      <c r="L489" s="66"/>
      <c r="M489" s="66"/>
      <c r="N489" s="66"/>
    </row>
    <row r="490" spans="1:14" x14ac:dyDescent="0.2">
      <c r="A490" s="84"/>
      <c r="B490" s="84"/>
      <c r="C490" s="60"/>
      <c r="D490" s="66"/>
      <c r="E490" s="66"/>
      <c r="F490" s="66"/>
      <c r="G490" s="66"/>
      <c r="H490" s="66"/>
      <c r="I490" s="66"/>
      <c r="J490" s="66"/>
      <c r="K490" s="66"/>
      <c r="L490" s="66"/>
      <c r="M490" s="66"/>
      <c r="N490" s="66"/>
    </row>
    <row r="491" spans="1:14" x14ac:dyDescent="0.2">
      <c r="A491" s="84"/>
      <c r="B491" s="84"/>
      <c r="C491" s="60"/>
      <c r="D491" s="66"/>
      <c r="E491" s="66"/>
      <c r="F491" s="66"/>
      <c r="G491" s="66"/>
      <c r="H491" s="66"/>
      <c r="I491" s="66"/>
      <c r="J491" s="66"/>
      <c r="K491" s="66"/>
      <c r="L491" s="66"/>
      <c r="M491" s="66"/>
      <c r="N491" s="66"/>
    </row>
    <row r="492" spans="1:14" x14ac:dyDescent="0.2">
      <c r="A492" s="84"/>
      <c r="B492" s="84"/>
      <c r="C492" s="60"/>
      <c r="D492" s="66"/>
      <c r="E492" s="66"/>
      <c r="F492" s="66"/>
      <c r="G492" s="66"/>
      <c r="H492" s="66"/>
      <c r="I492" s="66"/>
      <c r="J492" s="66"/>
      <c r="K492" s="66"/>
      <c r="L492" s="66"/>
      <c r="M492" s="66"/>
      <c r="N492" s="66"/>
    </row>
    <row r="493" spans="1:14" x14ac:dyDescent="0.2">
      <c r="A493" s="84"/>
      <c r="B493" s="84"/>
      <c r="C493" s="60"/>
      <c r="D493" s="66"/>
      <c r="E493" s="66"/>
      <c r="F493" s="66"/>
      <c r="G493" s="66"/>
      <c r="H493" s="66"/>
      <c r="I493" s="66"/>
      <c r="J493" s="66"/>
      <c r="K493" s="66"/>
      <c r="L493" s="66"/>
      <c r="M493" s="66"/>
      <c r="N493" s="66"/>
    </row>
    <row r="494" spans="1:14" x14ac:dyDescent="0.2">
      <c r="A494" s="84"/>
      <c r="B494" s="84"/>
      <c r="C494" s="60"/>
      <c r="D494" s="66"/>
      <c r="E494" s="66"/>
      <c r="F494" s="66"/>
      <c r="G494" s="66"/>
      <c r="H494" s="66"/>
      <c r="I494" s="66"/>
      <c r="J494" s="66"/>
      <c r="K494" s="66"/>
      <c r="L494" s="66"/>
      <c r="M494" s="66"/>
      <c r="N494" s="66"/>
    </row>
    <row r="495" spans="1:14" x14ac:dyDescent="0.2">
      <c r="A495" s="84"/>
      <c r="B495" s="84"/>
      <c r="C495" s="60"/>
      <c r="D495" s="66"/>
      <c r="E495" s="66"/>
      <c r="F495" s="66"/>
      <c r="G495" s="66"/>
      <c r="H495" s="66"/>
      <c r="I495" s="66"/>
      <c r="J495" s="66"/>
      <c r="K495" s="66"/>
      <c r="L495" s="66"/>
      <c r="M495" s="66"/>
      <c r="N495" s="66"/>
    </row>
    <row r="496" spans="1:14" x14ac:dyDescent="0.2">
      <c r="A496" s="84"/>
      <c r="B496" s="84"/>
      <c r="C496" s="60"/>
      <c r="D496" s="66"/>
      <c r="E496" s="66"/>
      <c r="F496" s="66"/>
      <c r="G496" s="66"/>
      <c r="H496" s="66"/>
      <c r="I496" s="66"/>
      <c r="J496" s="66"/>
      <c r="K496" s="66"/>
      <c r="L496" s="66"/>
      <c r="M496" s="66"/>
      <c r="N496" s="66"/>
    </row>
    <row r="497" spans="1:14" x14ac:dyDescent="0.2">
      <c r="A497" s="84"/>
      <c r="B497" s="84"/>
      <c r="C497" s="60"/>
      <c r="D497" s="66"/>
      <c r="E497" s="66"/>
      <c r="F497" s="66"/>
      <c r="G497" s="66"/>
      <c r="H497" s="66"/>
      <c r="I497" s="66"/>
      <c r="J497" s="66"/>
      <c r="K497" s="66"/>
      <c r="L497" s="66"/>
      <c r="M497" s="66"/>
      <c r="N497" s="66"/>
    </row>
    <row r="498" spans="1:14" x14ac:dyDescent="0.2">
      <c r="A498" s="84"/>
      <c r="B498" s="84"/>
      <c r="C498" s="60"/>
      <c r="D498" s="66"/>
      <c r="E498" s="66"/>
      <c r="F498" s="66"/>
      <c r="G498" s="66"/>
      <c r="H498" s="66"/>
      <c r="I498" s="66"/>
      <c r="J498" s="66"/>
      <c r="K498" s="66"/>
      <c r="L498" s="66"/>
      <c r="M498" s="66"/>
      <c r="N498" s="66"/>
    </row>
    <row r="499" spans="1:14" x14ac:dyDescent="0.2">
      <c r="A499" s="84"/>
      <c r="B499" s="84"/>
      <c r="C499" s="60"/>
      <c r="D499" s="66"/>
      <c r="E499" s="66"/>
      <c r="F499" s="66"/>
      <c r="G499" s="66"/>
      <c r="H499" s="66"/>
      <c r="I499" s="66"/>
      <c r="J499" s="66"/>
      <c r="K499" s="66"/>
      <c r="L499" s="66"/>
      <c r="M499" s="66"/>
      <c r="N499" s="66"/>
    </row>
    <row r="500" spans="1:14" x14ac:dyDescent="0.2">
      <c r="A500" s="84"/>
      <c r="B500" s="84"/>
      <c r="C500" s="60"/>
      <c r="D500" s="66"/>
      <c r="E500" s="66"/>
      <c r="F500" s="66"/>
      <c r="G500" s="66"/>
      <c r="H500" s="66"/>
      <c r="I500" s="66"/>
      <c r="J500" s="66"/>
      <c r="K500" s="66"/>
      <c r="L500" s="66"/>
      <c r="M500" s="66"/>
      <c r="N500" s="66"/>
    </row>
    <row r="501" spans="1:14" x14ac:dyDescent="0.2">
      <c r="A501" s="84"/>
      <c r="B501" s="84"/>
      <c r="C501" s="60"/>
      <c r="D501" s="66"/>
      <c r="E501" s="66"/>
      <c r="F501" s="66"/>
      <c r="G501" s="66"/>
      <c r="H501" s="66"/>
      <c r="I501" s="66"/>
      <c r="J501" s="66"/>
      <c r="K501" s="66"/>
      <c r="L501" s="66"/>
      <c r="M501" s="66"/>
      <c r="N501" s="66"/>
    </row>
    <row r="502" spans="1:14" x14ac:dyDescent="0.2">
      <c r="A502" s="84"/>
      <c r="B502" s="84"/>
      <c r="C502" s="60"/>
      <c r="D502" s="66"/>
      <c r="E502" s="66"/>
      <c r="F502" s="66"/>
      <c r="G502" s="66"/>
      <c r="H502" s="66"/>
      <c r="I502" s="66"/>
      <c r="J502" s="66"/>
      <c r="K502" s="66"/>
      <c r="L502" s="66"/>
      <c r="M502" s="66"/>
      <c r="N502" s="66"/>
    </row>
    <row r="503" spans="1:14" x14ac:dyDescent="0.2">
      <c r="A503" s="84"/>
      <c r="B503" s="84"/>
      <c r="C503" s="60"/>
      <c r="D503" s="66"/>
      <c r="E503" s="66"/>
      <c r="F503" s="66"/>
      <c r="G503" s="66"/>
      <c r="H503" s="66"/>
      <c r="I503" s="66"/>
      <c r="J503" s="66"/>
      <c r="K503" s="66"/>
      <c r="L503" s="66"/>
      <c r="M503" s="66"/>
      <c r="N503" s="66"/>
    </row>
    <row r="504" spans="1:14" x14ac:dyDescent="0.2">
      <c r="A504" s="84"/>
      <c r="B504" s="84"/>
      <c r="C504" s="60"/>
      <c r="D504" s="66"/>
      <c r="E504" s="66"/>
      <c r="F504" s="66"/>
      <c r="G504" s="66"/>
      <c r="H504" s="66"/>
      <c r="I504" s="66"/>
      <c r="J504" s="66"/>
      <c r="K504" s="66"/>
      <c r="L504" s="66"/>
      <c r="M504" s="66"/>
      <c r="N504" s="66"/>
    </row>
    <row r="505" spans="1:14" x14ac:dyDescent="0.2">
      <c r="A505" s="84"/>
      <c r="B505" s="84"/>
      <c r="C505" s="60"/>
      <c r="D505" s="66"/>
      <c r="E505" s="66"/>
      <c r="F505" s="66"/>
      <c r="G505" s="66"/>
      <c r="H505" s="66"/>
      <c r="I505" s="66"/>
      <c r="J505" s="66"/>
      <c r="K505" s="66"/>
      <c r="L505" s="66"/>
      <c r="M505" s="66"/>
      <c r="N505" s="66"/>
    </row>
    <row r="506" spans="1:14" x14ac:dyDescent="0.2">
      <c r="A506" s="84"/>
      <c r="B506" s="84"/>
      <c r="C506" s="60"/>
      <c r="D506" s="66"/>
      <c r="E506" s="66"/>
      <c r="F506" s="66"/>
      <c r="G506" s="66"/>
      <c r="H506" s="66"/>
      <c r="I506" s="66"/>
      <c r="J506" s="66"/>
      <c r="K506" s="66"/>
      <c r="L506" s="66"/>
      <c r="M506" s="66"/>
      <c r="N506" s="66"/>
    </row>
    <row r="507" spans="1:14" x14ac:dyDescent="0.2">
      <c r="A507" s="84"/>
      <c r="B507" s="84"/>
      <c r="C507" s="60"/>
      <c r="D507" s="66"/>
      <c r="E507" s="66"/>
      <c r="F507" s="66"/>
      <c r="G507" s="66"/>
      <c r="H507" s="66"/>
      <c r="I507" s="66"/>
      <c r="J507" s="66"/>
      <c r="K507" s="66"/>
      <c r="L507" s="66"/>
      <c r="M507" s="66"/>
      <c r="N507" s="66"/>
    </row>
    <row r="508" spans="1:14" x14ac:dyDescent="0.2">
      <c r="A508" s="84"/>
      <c r="B508" s="84"/>
      <c r="C508" s="60"/>
      <c r="D508" s="66"/>
      <c r="E508" s="66"/>
      <c r="F508" s="66"/>
      <c r="G508" s="66"/>
      <c r="H508" s="66"/>
      <c r="I508" s="66"/>
      <c r="J508" s="66"/>
      <c r="K508" s="66"/>
      <c r="L508" s="66"/>
      <c r="M508" s="66"/>
      <c r="N508" s="66"/>
    </row>
    <row r="509" spans="1:14" x14ac:dyDescent="0.2">
      <c r="A509" s="84"/>
      <c r="B509" s="84"/>
      <c r="C509" s="60"/>
      <c r="D509" s="66"/>
      <c r="E509" s="66"/>
      <c r="F509" s="66"/>
      <c r="G509" s="66"/>
      <c r="H509" s="66"/>
      <c r="I509" s="66"/>
      <c r="J509" s="66"/>
      <c r="K509" s="66"/>
      <c r="L509" s="66"/>
      <c r="M509" s="66"/>
      <c r="N509" s="66"/>
    </row>
    <row r="510" spans="1:14" x14ac:dyDescent="0.2">
      <c r="A510" s="84"/>
      <c r="B510" s="84"/>
      <c r="C510" s="60"/>
      <c r="D510" s="66"/>
      <c r="E510" s="66"/>
      <c r="F510" s="66"/>
      <c r="G510" s="66"/>
      <c r="H510" s="66"/>
      <c r="I510" s="66"/>
      <c r="J510" s="66"/>
      <c r="K510" s="66"/>
      <c r="L510" s="66"/>
      <c r="M510" s="66"/>
      <c r="N510" s="66"/>
    </row>
    <row r="511" spans="1:14" x14ac:dyDescent="0.2">
      <c r="A511" s="84"/>
      <c r="B511" s="84"/>
      <c r="C511" s="60"/>
      <c r="D511" s="66"/>
      <c r="E511" s="66"/>
      <c r="F511" s="66"/>
      <c r="G511" s="66"/>
      <c r="H511" s="66"/>
      <c r="I511" s="66"/>
      <c r="J511" s="66"/>
      <c r="K511" s="66"/>
      <c r="L511" s="66"/>
      <c r="M511" s="66"/>
      <c r="N511" s="66"/>
    </row>
    <row r="512" spans="1:14" x14ac:dyDescent="0.2">
      <c r="A512" s="84"/>
      <c r="B512" s="84"/>
      <c r="C512" s="60"/>
      <c r="D512" s="66"/>
      <c r="E512" s="66"/>
      <c r="F512" s="66"/>
      <c r="G512" s="66"/>
      <c r="H512" s="66"/>
      <c r="I512" s="66"/>
      <c r="J512" s="66"/>
      <c r="K512" s="66"/>
      <c r="L512" s="66"/>
      <c r="M512" s="66"/>
      <c r="N512" s="66"/>
    </row>
    <row r="513" spans="1:14" x14ac:dyDescent="0.2">
      <c r="A513" s="84"/>
      <c r="B513" s="84"/>
      <c r="C513" s="60"/>
      <c r="D513" s="66"/>
      <c r="E513" s="66"/>
      <c r="F513" s="66"/>
      <c r="G513" s="66"/>
      <c r="H513" s="66"/>
      <c r="I513" s="66"/>
      <c r="J513" s="66"/>
      <c r="K513" s="66"/>
      <c r="L513" s="66"/>
      <c r="M513" s="66"/>
      <c r="N513" s="66"/>
    </row>
    <row r="514" spans="1:14" x14ac:dyDescent="0.2">
      <c r="A514" s="84"/>
      <c r="B514" s="84"/>
      <c r="C514" s="60"/>
      <c r="D514" s="66"/>
      <c r="E514" s="66"/>
      <c r="F514" s="66"/>
      <c r="G514" s="66"/>
      <c r="H514" s="66"/>
      <c r="I514" s="66"/>
      <c r="J514" s="66"/>
      <c r="K514" s="66"/>
      <c r="L514" s="66"/>
      <c r="M514" s="66"/>
      <c r="N514" s="66"/>
    </row>
    <row r="515" spans="1:14" x14ac:dyDescent="0.2">
      <c r="A515" s="84"/>
      <c r="B515" s="84"/>
      <c r="C515" s="60"/>
      <c r="D515" s="66"/>
      <c r="E515" s="66"/>
      <c r="F515" s="66"/>
      <c r="G515" s="66"/>
      <c r="H515" s="66"/>
      <c r="I515" s="66"/>
      <c r="J515" s="66"/>
      <c r="K515" s="66"/>
      <c r="L515" s="66"/>
      <c r="M515" s="66"/>
      <c r="N515" s="66"/>
    </row>
    <row r="516" spans="1:14" x14ac:dyDescent="0.2">
      <c r="A516" s="84"/>
      <c r="B516" s="84"/>
      <c r="C516" s="60"/>
      <c r="D516" s="66"/>
      <c r="E516" s="66"/>
      <c r="F516" s="66"/>
      <c r="G516" s="66"/>
      <c r="H516" s="66"/>
      <c r="I516" s="66"/>
      <c r="J516" s="66"/>
      <c r="K516" s="66"/>
      <c r="L516" s="66"/>
      <c r="M516" s="66"/>
      <c r="N516" s="66"/>
    </row>
    <row r="517" spans="1:14" x14ac:dyDescent="0.2">
      <c r="A517" s="84"/>
      <c r="B517" s="84"/>
      <c r="C517" s="60"/>
      <c r="D517" s="66"/>
      <c r="E517" s="66"/>
      <c r="F517" s="66"/>
      <c r="G517" s="66"/>
      <c r="H517" s="66"/>
      <c r="I517" s="66"/>
      <c r="J517" s="66"/>
      <c r="K517" s="66"/>
      <c r="L517" s="66"/>
      <c r="M517" s="66"/>
      <c r="N517" s="66"/>
    </row>
    <row r="518" spans="1:14" x14ac:dyDescent="0.2">
      <c r="A518" s="84"/>
      <c r="B518" s="84"/>
      <c r="C518" s="60"/>
      <c r="D518" s="66"/>
      <c r="E518" s="66"/>
      <c r="F518" s="66"/>
      <c r="G518" s="66"/>
      <c r="H518" s="66"/>
      <c r="I518" s="66"/>
      <c r="J518" s="66"/>
      <c r="K518" s="66"/>
      <c r="L518" s="66"/>
      <c r="M518" s="66"/>
      <c r="N518" s="66"/>
    </row>
    <row r="519" spans="1:14" x14ac:dyDescent="0.2">
      <c r="A519" s="84"/>
      <c r="B519" s="84"/>
      <c r="C519" s="60"/>
      <c r="D519" s="66"/>
      <c r="E519" s="66"/>
      <c r="F519" s="66"/>
      <c r="G519" s="66"/>
      <c r="H519" s="66"/>
      <c r="I519" s="66"/>
      <c r="J519" s="66"/>
      <c r="K519" s="66"/>
      <c r="L519" s="66"/>
      <c r="M519" s="66"/>
      <c r="N519" s="66"/>
    </row>
    <row r="520" spans="1:14" x14ac:dyDescent="0.2">
      <c r="A520" s="84"/>
      <c r="B520" s="84"/>
      <c r="C520" s="60"/>
      <c r="D520" s="66"/>
      <c r="E520" s="66"/>
      <c r="F520" s="66"/>
      <c r="G520" s="66"/>
      <c r="H520" s="66"/>
      <c r="I520" s="66"/>
      <c r="J520" s="66"/>
      <c r="K520" s="66"/>
      <c r="L520" s="66"/>
      <c r="M520" s="66"/>
      <c r="N520" s="66"/>
    </row>
    <row r="521" spans="1:14" x14ac:dyDescent="0.2">
      <c r="A521" s="84"/>
      <c r="B521" s="84"/>
      <c r="C521" s="60"/>
      <c r="D521" s="66"/>
      <c r="E521" s="66"/>
      <c r="F521" s="66"/>
      <c r="G521" s="66"/>
      <c r="H521" s="66"/>
      <c r="I521" s="66"/>
      <c r="J521" s="66"/>
      <c r="K521" s="66"/>
      <c r="L521" s="66"/>
      <c r="M521" s="66"/>
      <c r="N521" s="66"/>
    </row>
    <row r="522" spans="1:14" x14ac:dyDescent="0.2">
      <c r="A522" s="84"/>
      <c r="B522" s="84"/>
      <c r="C522" s="60"/>
      <c r="D522" s="66"/>
      <c r="E522" s="66"/>
      <c r="F522" s="66"/>
      <c r="G522" s="66"/>
      <c r="H522" s="66"/>
      <c r="I522" s="66"/>
      <c r="J522" s="66"/>
      <c r="K522" s="66"/>
      <c r="L522" s="66"/>
      <c r="M522" s="66"/>
      <c r="N522" s="66"/>
    </row>
    <row r="523" spans="1:14" x14ac:dyDescent="0.2">
      <c r="A523" s="84"/>
      <c r="B523" s="84"/>
      <c r="C523" s="60"/>
      <c r="D523" s="66"/>
      <c r="E523" s="66"/>
      <c r="F523" s="66"/>
      <c r="G523" s="66"/>
      <c r="H523" s="66"/>
      <c r="I523" s="66"/>
      <c r="J523" s="66"/>
      <c r="K523" s="66"/>
      <c r="L523" s="66"/>
      <c r="M523" s="66"/>
      <c r="N523" s="66"/>
    </row>
    <row r="524" spans="1:14" x14ac:dyDescent="0.2">
      <c r="A524" s="84"/>
      <c r="B524" s="84"/>
      <c r="C524" s="60"/>
      <c r="D524" s="66"/>
      <c r="E524" s="66"/>
      <c r="F524" s="66"/>
      <c r="G524" s="66"/>
      <c r="H524" s="66"/>
      <c r="I524" s="66"/>
      <c r="J524" s="66"/>
      <c r="K524" s="66"/>
      <c r="L524" s="66"/>
      <c r="M524" s="66"/>
      <c r="N524" s="66"/>
    </row>
    <row r="525" spans="1:14" x14ac:dyDescent="0.2">
      <c r="A525" s="84"/>
      <c r="B525" s="84"/>
      <c r="C525" s="60"/>
      <c r="D525" s="66"/>
      <c r="E525" s="66"/>
      <c r="F525" s="66"/>
      <c r="G525" s="66"/>
      <c r="H525" s="66"/>
      <c r="I525" s="66"/>
      <c r="J525" s="66"/>
      <c r="K525" s="66"/>
      <c r="L525" s="66"/>
      <c r="M525" s="66"/>
      <c r="N525" s="66"/>
    </row>
    <row r="526" spans="1:14" x14ac:dyDescent="0.2">
      <c r="A526" s="84"/>
      <c r="B526" s="84"/>
      <c r="C526" s="60"/>
      <c r="D526" s="66"/>
      <c r="E526" s="66"/>
      <c r="F526" s="66"/>
      <c r="G526" s="66"/>
      <c r="H526" s="66"/>
      <c r="I526" s="66"/>
      <c r="J526" s="66"/>
      <c r="K526" s="66"/>
      <c r="L526" s="66"/>
      <c r="M526" s="66"/>
      <c r="N526" s="66"/>
    </row>
    <row r="527" spans="1:14" x14ac:dyDescent="0.2">
      <c r="A527" s="84"/>
      <c r="B527" s="84"/>
      <c r="C527" s="60"/>
      <c r="D527" s="66"/>
      <c r="E527" s="66"/>
      <c r="F527" s="66"/>
      <c r="G527" s="66"/>
      <c r="H527" s="66"/>
      <c r="I527" s="66"/>
      <c r="J527" s="66"/>
      <c r="K527" s="66"/>
      <c r="L527" s="66"/>
      <c r="M527" s="66"/>
      <c r="N527" s="66"/>
    </row>
    <row r="528" spans="1:14" x14ac:dyDescent="0.2">
      <c r="A528" s="84"/>
      <c r="B528" s="84"/>
      <c r="C528" s="60"/>
      <c r="D528" s="66"/>
      <c r="E528" s="66"/>
      <c r="F528" s="66"/>
      <c r="G528" s="66"/>
      <c r="H528" s="66"/>
      <c r="I528" s="66"/>
      <c r="J528" s="66"/>
      <c r="K528" s="66"/>
      <c r="L528" s="66"/>
      <c r="M528" s="66"/>
      <c r="N528" s="66"/>
    </row>
    <row r="529" spans="1:14" x14ac:dyDescent="0.2">
      <c r="A529" s="84"/>
      <c r="B529" s="84"/>
      <c r="C529" s="60"/>
      <c r="D529" s="66"/>
      <c r="E529" s="66"/>
      <c r="F529" s="66"/>
      <c r="G529" s="66"/>
      <c r="H529" s="66"/>
      <c r="I529" s="66"/>
      <c r="J529" s="66"/>
      <c r="K529" s="66"/>
      <c r="L529" s="66"/>
      <c r="M529" s="66"/>
      <c r="N529" s="66"/>
    </row>
    <row r="530" spans="1:14" x14ac:dyDescent="0.2">
      <c r="A530" s="84"/>
      <c r="B530" s="84"/>
      <c r="C530" s="60"/>
      <c r="D530" s="66"/>
      <c r="E530" s="66"/>
      <c r="F530" s="66"/>
      <c r="G530" s="66"/>
      <c r="H530" s="66"/>
      <c r="I530" s="66"/>
      <c r="J530" s="66"/>
      <c r="K530" s="66"/>
      <c r="L530" s="66"/>
      <c r="M530" s="66"/>
      <c r="N530" s="66"/>
    </row>
    <row r="531" spans="1:14" x14ac:dyDescent="0.2">
      <c r="A531" s="84"/>
      <c r="B531" s="84"/>
      <c r="C531" s="60"/>
      <c r="D531" s="66"/>
      <c r="E531" s="66"/>
      <c r="F531" s="66"/>
      <c r="G531" s="66"/>
      <c r="H531" s="66"/>
      <c r="I531" s="66"/>
      <c r="J531" s="66"/>
      <c r="K531" s="66"/>
      <c r="L531" s="66"/>
      <c r="M531" s="66"/>
      <c r="N531" s="66"/>
    </row>
    <row r="532" spans="1:14" x14ac:dyDescent="0.2">
      <c r="A532" s="84"/>
      <c r="B532" s="84"/>
      <c r="C532" s="60"/>
      <c r="D532" s="66"/>
      <c r="E532" s="66"/>
      <c r="F532" s="66"/>
      <c r="G532" s="66"/>
      <c r="H532" s="66"/>
      <c r="I532" s="66"/>
      <c r="J532" s="66"/>
      <c r="K532" s="66"/>
      <c r="L532" s="66"/>
      <c r="M532" s="66"/>
      <c r="N532" s="66"/>
    </row>
    <row r="533" spans="1:14" x14ac:dyDescent="0.2">
      <c r="A533" s="84"/>
      <c r="B533" s="84"/>
      <c r="C533" s="60"/>
      <c r="D533" s="66"/>
      <c r="E533" s="66"/>
      <c r="F533" s="66"/>
      <c r="G533" s="66"/>
      <c r="H533" s="66"/>
      <c r="I533" s="66"/>
      <c r="J533" s="66"/>
      <c r="K533" s="66"/>
      <c r="L533" s="66"/>
      <c r="M533" s="66"/>
      <c r="N533" s="66"/>
    </row>
    <row r="534" spans="1:14" x14ac:dyDescent="0.2">
      <c r="A534" s="84"/>
      <c r="B534" s="84"/>
      <c r="C534" s="60"/>
      <c r="D534" s="66"/>
      <c r="E534" s="66"/>
      <c r="F534" s="66"/>
      <c r="G534" s="66"/>
      <c r="H534" s="66"/>
      <c r="I534" s="66"/>
      <c r="J534" s="66"/>
      <c r="K534" s="66"/>
      <c r="L534" s="66"/>
      <c r="M534" s="66"/>
      <c r="N534" s="66"/>
    </row>
    <row r="535" spans="1:14" x14ac:dyDescent="0.2">
      <c r="A535" s="84"/>
      <c r="B535" s="84"/>
      <c r="C535" s="60"/>
      <c r="D535" s="66"/>
      <c r="E535" s="66"/>
      <c r="F535" s="66"/>
      <c r="G535" s="66"/>
      <c r="H535" s="66"/>
      <c r="I535" s="66"/>
      <c r="J535" s="66"/>
      <c r="K535" s="66"/>
      <c r="L535" s="66"/>
      <c r="M535" s="66"/>
      <c r="N535" s="66"/>
    </row>
    <row r="536" spans="1:14" x14ac:dyDescent="0.2">
      <c r="A536" s="84"/>
      <c r="B536" s="84"/>
      <c r="C536" s="60"/>
      <c r="D536" s="66"/>
      <c r="E536" s="66"/>
      <c r="F536" s="66"/>
      <c r="G536" s="66"/>
      <c r="H536" s="66"/>
      <c r="I536" s="66"/>
      <c r="J536" s="66"/>
      <c r="K536" s="66"/>
      <c r="L536" s="66"/>
      <c r="M536" s="66"/>
      <c r="N536" s="66"/>
    </row>
    <row r="537" spans="1:14" x14ac:dyDescent="0.2">
      <c r="A537" s="84"/>
      <c r="B537" s="84"/>
      <c r="C537" s="60"/>
      <c r="D537" s="66"/>
      <c r="E537" s="66"/>
      <c r="F537" s="66"/>
      <c r="G537" s="66"/>
      <c r="H537" s="66"/>
      <c r="I537" s="66"/>
      <c r="J537" s="66"/>
      <c r="K537" s="66"/>
      <c r="L537" s="66"/>
      <c r="M537" s="66"/>
      <c r="N537" s="66"/>
    </row>
    <row r="538" spans="1:14" x14ac:dyDescent="0.2">
      <c r="A538" s="84"/>
      <c r="B538" s="84"/>
      <c r="C538" s="60"/>
      <c r="D538" s="66"/>
      <c r="E538" s="66"/>
      <c r="F538" s="66"/>
      <c r="G538" s="66"/>
      <c r="H538" s="66"/>
      <c r="I538" s="66"/>
      <c r="J538" s="66"/>
      <c r="K538" s="66"/>
      <c r="L538" s="66"/>
      <c r="M538" s="66"/>
      <c r="N538" s="66"/>
    </row>
    <row r="539" spans="1:14" x14ac:dyDescent="0.2">
      <c r="A539" s="84"/>
      <c r="B539" s="84"/>
      <c r="C539" s="60"/>
      <c r="D539" s="66"/>
      <c r="E539" s="66"/>
      <c r="F539" s="66"/>
      <c r="G539" s="66"/>
      <c r="H539" s="66"/>
      <c r="I539" s="66"/>
      <c r="J539" s="66"/>
      <c r="K539" s="66"/>
      <c r="L539" s="66"/>
      <c r="M539" s="66"/>
      <c r="N539" s="66"/>
    </row>
    <row r="540" spans="1:14" x14ac:dyDescent="0.2">
      <c r="A540" s="84"/>
      <c r="B540" s="84"/>
      <c r="C540" s="60"/>
      <c r="D540" s="66"/>
      <c r="E540" s="66"/>
      <c r="F540" s="66"/>
      <c r="G540" s="66"/>
      <c r="H540" s="66"/>
      <c r="I540" s="66"/>
      <c r="J540" s="66"/>
      <c r="K540" s="66"/>
      <c r="L540" s="66"/>
      <c r="M540" s="66"/>
      <c r="N540" s="66"/>
    </row>
    <row r="541" spans="1:14" x14ac:dyDescent="0.2">
      <c r="A541" s="84"/>
      <c r="B541" s="84"/>
      <c r="C541" s="60"/>
      <c r="D541" s="66"/>
      <c r="E541" s="66"/>
      <c r="F541" s="66"/>
      <c r="G541" s="66"/>
      <c r="H541" s="66"/>
      <c r="I541" s="66"/>
      <c r="J541" s="66"/>
      <c r="K541" s="66"/>
      <c r="L541" s="66"/>
      <c r="M541" s="66"/>
      <c r="N541" s="66"/>
    </row>
    <row r="542" spans="1:14" x14ac:dyDescent="0.2">
      <c r="A542" s="84"/>
      <c r="B542" s="84"/>
      <c r="C542" s="60"/>
      <c r="D542" s="66"/>
      <c r="E542" s="66"/>
      <c r="F542" s="66"/>
      <c r="G542" s="66"/>
      <c r="H542" s="66"/>
      <c r="I542" s="66"/>
      <c r="J542" s="66"/>
      <c r="K542" s="66"/>
      <c r="L542" s="66"/>
      <c r="M542" s="66"/>
      <c r="N542" s="66"/>
    </row>
    <row r="543" spans="1:14" x14ac:dyDescent="0.2">
      <c r="A543" s="84"/>
      <c r="B543" s="84"/>
      <c r="C543" s="60"/>
      <c r="D543" s="66"/>
      <c r="E543" s="66"/>
      <c r="F543" s="66"/>
      <c r="G543" s="66"/>
      <c r="H543" s="66"/>
      <c r="I543" s="66"/>
      <c r="J543" s="66"/>
      <c r="K543" s="66"/>
      <c r="L543" s="66"/>
      <c r="M543" s="66"/>
      <c r="N543" s="66"/>
    </row>
    <row r="544" spans="1:14" x14ac:dyDescent="0.2">
      <c r="A544" s="84"/>
      <c r="B544" s="84"/>
      <c r="C544" s="60"/>
      <c r="D544" s="66"/>
      <c r="E544" s="66"/>
      <c r="F544" s="66"/>
      <c r="G544" s="66"/>
      <c r="H544" s="66"/>
      <c r="I544" s="66"/>
      <c r="J544" s="66"/>
      <c r="K544" s="66"/>
      <c r="L544" s="66"/>
      <c r="M544" s="66"/>
      <c r="N544" s="66"/>
    </row>
    <row r="545" spans="1:14" x14ac:dyDescent="0.2">
      <c r="A545" s="84"/>
      <c r="B545" s="84"/>
      <c r="C545" s="60"/>
      <c r="D545" s="66"/>
      <c r="E545" s="66"/>
      <c r="F545" s="66"/>
      <c r="G545" s="66"/>
      <c r="H545" s="66"/>
      <c r="I545" s="66"/>
      <c r="J545" s="66"/>
      <c r="K545" s="66"/>
      <c r="L545" s="66"/>
      <c r="M545" s="66"/>
      <c r="N545" s="66"/>
    </row>
    <row r="546" spans="1:14" x14ac:dyDescent="0.2">
      <c r="A546" s="84"/>
      <c r="B546" s="84"/>
      <c r="C546" s="60"/>
      <c r="D546" s="66"/>
      <c r="E546" s="66"/>
      <c r="F546" s="66"/>
      <c r="G546" s="66"/>
      <c r="H546" s="66"/>
      <c r="I546" s="66"/>
      <c r="J546" s="66"/>
      <c r="K546" s="66"/>
      <c r="L546" s="66"/>
      <c r="M546" s="66"/>
      <c r="N546" s="66"/>
    </row>
    <row r="547" spans="1:14" x14ac:dyDescent="0.2">
      <c r="A547" s="84"/>
      <c r="B547" s="84"/>
      <c r="C547" s="60"/>
      <c r="D547" s="66"/>
      <c r="E547" s="66"/>
      <c r="F547" s="66"/>
      <c r="G547" s="66"/>
      <c r="H547" s="66"/>
      <c r="I547" s="66"/>
      <c r="J547" s="66"/>
      <c r="K547" s="66"/>
      <c r="L547" s="66"/>
      <c r="M547" s="66"/>
      <c r="N547" s="66"/>
    </row>
    <row r="548" spans="1:14" x14ac:dyDescent="0.2">
      <c r="A548" s="84"/>
      <c r="B548" s="84"/>
      <c r="C548" s="60"/>
      <c r="D548" s="66"/>
      <c r="E548" s="66"/>
      <c r="F548" s="66"/>
      <c r="G548" s="66"/>
      <c r="H548" s="66"/>
      <c r="I548" s="66"/>
      <c r="J548" s="66"/>
      <c r="K548" s="66"/>
      <c r="L548" s="66"/>
      <c r="M548" s="66"/>
      <c r="N548" s="66"/>
    </row>
    <row r="549" spans="1:14" x14ac:dyDescent="0.2">
      <c r="A549" s="84"/>
      <c r="B549" s="84"/>
      <c r="C549" s="60"/>
      <c r="D549" s="66"/>
      <c r="E549" s="66"/>
      <c r="F549" s="66"/>
      <c r="G549" s="66"/>
      <c r="H549" s="66"/>
      <c r="I549" s="66"/>
      <c r="J549" s="66"/>
      <c r="K549" s="66"/>
      <c r="L549" s="66"/>
      <c r="M549" s="66"/>
      <c r="N549" s="66"/>
    </row>
    <row r="550" spans="1:14" x14ac:dyDescent="0.2">
      <c r="A550" s="84"/>
      <c r="B550" s="84"/>
      <c r="C550" s="60"/>
      <c r="D550" s="66"/>
      <c r="E550" s="66"/>
      <c r="F550" s="66"/>
      <c r="G550" s="66"/>
      <c r="H550" s="66"/>
      <c r="I550" s="66"/>
      <c r="J550" s="66"/>
      <c r="K550" s="66"/>
      <c r="L550" s="66"/>
      <c r="M550" s="66"/>
      <c r="N550" s="66"/>
    </row>
    <row r="551" spans="1:14" x14ac:dyDescent="0.2">
      <c r="A551" s="84"/>
      <c r="B551" s="84"/>
      <c r="C551" s="60"/>
      <c r="D551" s="66"/>
      <c r="E551" s="66"/>
      <c r="F551" s="66"/>
      <c r="G551" s="66"/>
      <c r="H551" s="66"/>
      <c r="I551" s="66"/>
      <c r="J551" s="66"/>
      <c r="K551" s="66"/>
      <c r="L551" s="66"/>
      <c r="M551" s="66"/>
      <c r="N551" s="66"/>
    </row>
    <row r="552" spans="1:14" x14ac:dyDescent="0.2">
      <c r="A552" s="84"/>
      <c r="B552" s="84"/>
      <c r="C552" s="60"/>
      <c r="D552" s="66"/>
      <c r="E552" s="66"/>
      <c r="F552" s="66"/>
      <c r="G552" s="66"/>
      <c r="H552" s="66"/>
      <c r="I552" s="66"/>
      <c r="J552" s="66"/>
      <c r="K552" s="66"/>
      <c r="L552" s="66"/>
      <c r="M552" s="66"/>
      <c r="N552" s="66"/>
    </row>
    <row r="553" spans="1:14" x14ac:dyDescent="0.2">
      <c r="A553" s="84"/>
      <c r="B553" s="84"/>
      <c r="C553" s="60"/>
      <c r="D553" s="66"/>
      <c r="E553" s="66"/>
      <c r="F553" s="66"/>
      <c r="G553" s="66"/>
      <c r="H553" s="66"/>
      <c r="I553" s="66"/>
      <c r="J553" s="66"/>
      <c r="K553" s="66"/>
      <c r="L553" s="66"/>
      <c r="M553" s="66"/>
      <c r="N553" s="66"/>
    </row>
    <row r="554" spans="1:14" x14ac:dyDescent="0.2">
      <c r="A554" s="84"/>
      <c r="B554" s="84"/>
      <c r="C554" s="60"/>
      <c r="D554" s="66"/>
      <c r="E554" s="66"/>
      <c r="F554" s="66"/>
      <c r="G554" s="66"/>
      <c r="H554" s="66"/>
      <c r="I554" s="66"/>
      <c r="J554" s="66"/>
      <c r="K554" s="66"/>
      <c r="L554" s="66"/>
      <c r="M554" s="66"/>
      <c r="N554" s="66"/>
    </row>
    <row r="555" spans="1:14" x14ac:dyDescent="0.2">
      <c r="A555" s="84"/>
      <c r="B555" s="84"/>
      <c r="C555" s="60"/>
      <c r="D555" s="66"/>
      <c r="E555" s="66"/>
      <c r="F555" s="66"/>
      <c r="G555" s="66"/>
      <c r="H555" s="66"/>
      <c r="I555" s="66"/>
      <c r="J555" s="66"/>
      <c r="K555" s="66"/>
      <c r="L555" s="66"/>
      <c r="M555" s="66"/>
      <c r="N555" s="66"/>
    </row>
    <row r="556" spans="1:14" x14ac:dyDescent="0.2">
      <c r="A556" s="84"/>
      <c r="B556" s="84"/>
      <c r="C556" s="60"/>
      <c r="D556" s="66"/>
      <c r="E556" s="66"/>
      <c r="F556" s="66"/>
      <c r="G556" s="66"/>
      <c r="H556" s="66"/>
      <c r="I556" s="66"/>
      <c r="J556" s="66"/>
      <c r="K556" s="66"/>
      <c r="L556" s="66"/>
      <c r="M556" s="66"/>
      <c r="N556" s="66"/>
    </row>
    <row r="557" spans="1:14" x14ac:dyDescent="0.2">
      <c r="A557" s="84"/>
      <c r="B557" s="84"/>
      <c r="C557" s="60"/>
      <c r="D557" s="66"/>
      <c r="E557" s="66"/>
      <c r="F557" s="66"/>
      <c r="G557" s="66"/>
      <c r="H557" s="66"/>
      <c r="I557" s="66"/>
      <c r="J557" s="66"/>
      <c r="K557" s="66"/>
      <c r="L557" s="66"/>
      <c r="M557" s="66"/>
      <c r="N557" s="66"/>
    </row>
    <row r="558" spans="1:14" x14ac:dyDescent="0.2">
      <c r="A558" s="84"/>
      <c r="B558" s="84"/>
      <c r="C558" s="60"/>
      <c r="D558" s="66"/>
      <c r="E558" s="66"/>
      <c r="F558" s="66"/>
      <c r="G558" s="66"/>
      <c r="H558" s="66"/>
      <c r="I558" s="66"/>
      <c r="J558" s="66"/>
      <c r="K558" s="66"/>
      <c r="L558" s="66"/>
      <c r="M558" s="66"/>
      <c r="N558" s="66"/>
    </row>
    <row r="559" spans="1:14" x14ac:dyDescent="0.2">
      <c r="A559" s="84"/>
      <c r="B559" s="84"/>
      <c r="C559" s="60"/>
      <c r="D559" s="66"/>
      <c r="E559" s="66"/>
      <c r="F559" s="66"/>
      <c r="G559" s="66"/>
      <c r="H559" s="66"/>
      <c r="I559" s="66"/>
      <c r="J559" s="66"/>
      <c r="K559" s="66"/>
      <c r="L559" s="66"/>
      <c r="M559" s="66"/>
      <c r="N559" s="66"/>
    </row>
    <row r="560" spans="1:14" x14ac:dyDescent="0.2">
      <c r="A560" s="84"/>
      <c r="B560" s="84"/>
      <c r="C560" s="60"/>
      <c r="D560" s="66"/>
      <c r="E560" s="66"/>
      <c r="F560" s="66"/>
      <c r="G560" s="66"/>
      <c r="H560" s="66"/>
      <c r="I560" s="66"/>
      <c r="J560" s="66"/>
      <c r="K560" s="66"/>
      <c r="L560" s="66"/>
      <c r="M560" s="66"/>
      <c r="N560" s="66"/>
    </row>
    <row r="561" spans="1:14" x14ac:dyDescent="0.2">
      <c r="A561" s="84"/>
      <c r="B561" s="84"/>
      <c r="C561" s="60"/>
      <c r="D561" s="66"/>
      <c r="E561" s="66"/>
      <c r="F561" s="66"/>
      <c r="G561" s="66"/>
      <c r="H561" s="66"/>
      <c r="I561" s="66"/>
      <c r="J561" s="66"/>
      <c r="K561" s="66"/>
      <c r="L561" s="66"/>
      <c r="M561" s="66"/>
      <c r="N561" s="66"/>
    </row>
    <row r="562" spans="1:14" x14ac:dyDescent="0.2">
      <c r="A562" s="84"/>
      <c r="B562" s="84"/>
      <c r="C562" s="60"/>
      <c r="D562" s="66"/>
      <c r="E562" s="66"/>
      <c r="F562" s="66"/>
      <c r="G562" s="66"/>
      <c r="H562" s="66"/>
      <c r="I562" s="66"/>
      <c r="J562" s="66"/>
      <c r="K562" s="66"/>
      <c r="L562" s="66"/>
      <c r="M562" s="66"/>
      <c r="N562" s="66"/>
    </row>
    <row r="563" spans="1:14" x14ac:dyDescent="0.2">
      <c r="A563" s="84"/>
      <c r="B563" s="84"/>
      <c r="C563" s="60"/>
      <c r="D563" s="66"/>
      <c r="E563" s="66"/>
      <c r="F563" s="66"/>
      <c r="G563" s="66"/>
      <c r="H563" s="66"/>
      <c r="I563" s="66"/>
      <c r="J563" s="66"/>
      <c r="K563" s="66"/>
      <c r="L563" s="66"/>
      <c r="M563" s="66"/>
      <c r="N563" s="66"/>
    </row>
    <row r="564" spans="1:14" x14ac:dyDescent="0.2">
      <c r="A564" s="84"/>
      <c r="B564" s="84"/>
      <c r="C564" s="60"/>
      <c r="D564" s="66"/>
      <c r="E564" s="66"/>
      <c r="F564" s="66"/>
      <c r="G564" s="66"/>
      <c r="H564" s="66"/>
      <c r="I564" s="66"/>
      <c r="J564" s="66"/>
      <c r="K564" s="66"/>
      <c r="L564" s="66"/>
      <c r="M564" s="66"/>
      <c r="N564" s="66"/>
    </row>
    <row r="565" spans="1:14" x14ac:dyDescent="0.2">
      <c r="A565" s="84"/>
      <c r="B565" s="84"/>
      <c r="C565" s="60"/>
      <c r="D565" s="66"/>
      <c r="E565" s="66"/>
      <c r="F565" s="66"/>
      <c r="G565" s="66"/>
      <c r="H565" s="66"/>
      <c r="I565" s="66"/>
      <c r="J565" s="66"/>
      <c r="K565" s="66"/>
      <c r="L565" s="66"/>
      <c r="M565" s="66"/>
      <c r="N565" s="66"/>
    </row>
    <row r="566" spans="1:14" x14ac:dyDescent="0.2">
      <c r="A566" s="84"/>
      <c r="B566" s="84"/>
      <c r="C566" s="60"/>
      <c r="D566" s="66"/>
      <c r="E566" s="66"/>
      <c r="F566" s="66"/>
      <c r="G566" s="66"/>
      <c r="H566" s="66"/>
      <c r="I566" s="66"/>
      <c r="J566" s="66"/>
      <c r="K566" s="66"/>
      <c r="L566" s="66"/>
      <c r="M566" s="66"/>
      <c r="N566" s="66"/>
    </row>
    <row r="567" spans="1:14" x14ac:dyDescent="0.2">
      <c r="A567" s="84"/>
      <c r="B567" s="84"/>
      <c r="C567" s="60"/>
      <c r="D567" s="66"/>
      <c r="E567" s="66"/>
      <c r="F567" s="66"/>
      <c r="G567" s="66"/>
      <c r="H567" s="66"/>
      <c r="I567" s="66"/>
      <c r="J567" s="66"/>
      <c r="K567" s="66"/>
      <c r="L567" s="66"/>
      <c r="M567" s="66"/>
      <c r="N567" s="66"/>
    </row>
    <row r="568" spans="1:14" x14ac:dyDescent="0.2">
      <c r="A568" s="84"/>
      <c r="B568" s="84"/>
      <c r="C568" s="60"/>
      <c r="D568" s="66"/>
      <c r="E568" s="66"/>
      <c r="F568" s="66"/>
      <c r="G568" s="66"/>
      <c r="H568" s="66"/>
      <c r="I568" s="66"/>
      <c r="J568" s="66"/>
      <c r="K568" s="66"/>
      <c r="L568" s="66"/>
      <c r="M568" s="66"/>
      <c r="N568" s="66"/>
    </row>
    <row r="569" spans="1:14" x14ac:dyDescent="0.2">
      <c r="A569" s="84"/>
      <c r="B569" s="84"/>
      <c r="C569" s="60"/>
      <c r="D569" s="66"/>
      <c r="E569" s="66"/>
      <c r="F569" s="66"/>
      <c r="G569" s="66"/>
      <c r="H569" s="66"/>
      <c r="I569" s="66"/>
      <c r="J569" s="66"/>
      <c r="K569" s="66"/>
      <c r="L569" s="66"/>
      <c r="M569" s="66"/>
      <c r="N569" s="66"/>
    </row>
    <row r="570" spans="1:14" x14ac:dyDescent="0.2">
      <c r="A570" s="84"/>
      <c r="B570" s="84"/>
      <c r="C570" s="60"/>
      <c r="D570" s="66"/>
      <c r="E570" s="66"/>
      <c r="F570" s="66"/>
      <c r="G570" s="66"/>
      <c r="H570" s="66"/>
      <c r="I570" s="66"/>
      <c r="J570" s="66"/>
      <c r="K570" s="66"/>
      <c r="L570" s="66"/>
      <c r="M570" s="66"/>
      <c r="N570" s="66"/>
    </row>
    <row r="571" spans="1:14" x14ac:dyDescent="0.2">
      <c r="A571" s="84"/>
      <c r="B571" s="84"/>
      <c r="C571" s="60"/>
      <c r="D571" s="66"/>
      <c r="E571" s="66"/>
      <c r="F571" s="66"/>
      <c r="G571" s="66"/>
      <c r="H571" s="66"/>
      <c r="I571" s="66"/>
      <c r="J571" s="66"/>
      <c r="K571" s="66"/>
      <c r="L571" s="66"/>
      <c r="M571" s="66"/>
      <c r="N571" s="66"/>
    </row>
    <row r="572" spans="1:14" x14ac:dyDescent="0.2">
      <c r="A572" s="84"/>
      <c r="B572" s="84"/>
      <c r="C572" s="60"/>
      <c r="D572" s="66"/>
      <c r="E572" s="66"/>
      <c r="F572" s="66"/>
      <c r="G572" s="66"/>
      <c r="H572" s="66"/>
      <c r="I572" s="66"/>
      <c r="J572" s="66"/>
      <c r="K572" s="66"/>
      <c r="L572" s="66"/>
      <c r="M572" s="66"/>
      <c r="N572" s="66"/>
    </row>
    <row r="573" spans="1:14" x14ac:dyDescent="0.2">
      <c r="A573" s="84"/>
      <c r="B573" s="84"/>
      <c r="C573" s="60"/>
      <c r="D573" s="66"/>
      <c r="E573" s="66"/>
      <c r="F573" s="66"/>
      <c r="G573" s="66"/>
      <c r="H573" s="66"/>
      <c r="I573" s="66"/>
      <c r="J573" s="66"/>
      <c r="K573" s="66"/>
      <c r="L573" s="66"/>
      <c r="M573" s="66"/>
      <c r="N573" s="66"/>
    </row>
    <row r="574" spans="1:14" x14ac:dyDescent="0.2">
      <c r="A574" s="84"/>
      <c r="B574" s="84"/>
      <c r="C574" s="60"/>
      <c r="D574" s="66"/>
      <c r="E574" s="66"/>
      <c r="F574" s="66"/>
      <c r="G574" s="66"/>
      <c r="H574" s="66"/>
      <c r="I574" s="66"/>
      <c r="J574" s="66"/>
      <c r="K574" s="66"/>
      <c r="L574" s="66"/>
      <c r="M574" s="66"/>
      <c r="N574" s="66"/>
    </row>
    <row r="575" spans="1:14" x14ac:dyDescent="0.2">
      <c r="A575" s="84"/>
      <c r="B575" s="84"/>
      <c r="C575" s="60"/>
      <c r="D575" s="66"/>
      <c r="E575" s="66"/>
      <c r="F575" s="66"/>
      <c r="G575" s="66"/>
      <c r="H575" s="66"/>
      <c r="I575" s="66"/>
      <c r="J575" s="66"/>
      <c r="K575" s="66"/>
      <c r="L575" s="66"/>
      <c r="M575" s="66"/>
      <c r="N575" s="66"/>
    </row>
    <row r="576" spans="1:14" x14ac:dyDescent="0.2">
      <c r="A576" s="84"/>
      <c r="B576" s="84"/>
      <c r="C576" s="60"/>
      <c r="D576" s="66"/>
      <c r="E576" s="66"/>
      <c r="F576" s="66"/>
      <c r="G576" s="66"/>
      <c r="H576" s="66"/>
      <c r="I576" s="66"/>
      <c r="J576" s="66"/>
      <c r="K576" s="66"/>
      <c r="L576" s="66"/>
      <c r="M576" s="66"/>
      <c r="N576" s="66"/>
    </row>
    <row r="577" spans="1:14" x14ac:dyDescent="0.2">
      <c r="A577" s="84"/>
      <c r="B577" s="84"/>
      <c r="C577" s="60"/>
      <c r="D577" s="66"/>
      <c r="E577" s="66"/>
      <c r="F577" s="66"/>
      <c r="G577" s="66"/>
      <c r="H577" s="66"/>
      <c r="I577" s="66"/>
      <c r="J577" s="66"/>
      <c r="K577" s="66"/>
      <c r="L577" s="66"/>
      <c r="M577" s="66"/>
      <c r="N577" s="66"/>
    </row>
    <row r="578" spans="1:14" x14ac:dyDescent="0.2">
      <c r="A578" s="84"/>
      <c r="B578" s="84"/>
      <c r="C578" s="60"/>
      <c r="D578" s="66"/>
      <c r="E578" s="66"/>
      <c r="F578" s="66"/>
      <c r="G578" s="66"/>
      <c r="H578" s="66"/>
      <c r="I578" s="66"/>
      <c r="J578" s="66"/>
      <c r="K578" s="66"/>
      <c r="L578" s="66"/>
      <c r="M578" s="66"/>
      <c r="N578" s="66"/>
    </row>
    <row r="579" spans="1:14" x14ac:dyDescent="0.2">
      <c r="A579" s="84"/>
      <c r="B579" s="84"/>
      <c r="C579" s="60"/>
      <c r="D579" s="66"/>
      <c r="E579" s="66"/>
      <c r="F579" s="66"/>
      <c r="G579" s="66"/>
      <c r="H579" s="66"/>
      <c r="I579" s="66"/>
      <c r="J579" s="66"/>
      <c r="K579" s="66"/>
      <c r="L579" s="66"/>
      <c r="M579" s="66"/>
      <c r="N579" s="66"/>
    </row>
    <row r="580" spans="1:14" x14ac:dyDescent="0.2">
      <c r="A580" s="84"/>
      <c r="B580" s="84"/>
      <c r="C580" s="60"/>
      <c r="D580" s="66"/>
      <c r="E580" s="66"/>
      <c r="F580" s="66"/>
      <c r="G580" s="66"/>
      <c r="H580" s="66"/>
      <c r="I580" s="66"/>
      <c r="J580" s="66"/>
      <c r="K580" s="66"/>
      <c r="L580" s="66"/>
      <c r="M580" s="66"/>
      <c r="N580" s="66"/>
    </row>
    <row r="581" spans="1:14" x14ac:dyDescent="0.2">
      <c r="A581" s="84"/>
      <c r="B581" s="84"/>
      <c r="C581" s="60"/>
      <c r="D581" s="66"/>
      <c r="E581" s="66"/>
      <c r="F581" s="66"/>
      <c r="G581" s="66"/>
      <c r="H581" s="66"/>
      <c r="I581" s="66"/>
      <c r="J581" s="66"/>
      <c r="K581" s="66"/>
      <c r="L581" s="66"/>
      <c r="M581" s="66"/>
      <c r="N581" s="66"/>
    </row>
    <row r="582" spans="1:14" x14ac:dyDescent="0.2">
      <c r="A582" s="84"/>
      <c r="B582" s="84"/>
      <c r="C582" s="60"/>
      <c r="D582" s="66"/>
      <c r="E582" s="66"/>
      <c r="F582" s="66"/>
      <c r="G582" s="66"/>
      <c r="H582" s="66"/>
      <c r="I582" s="66"/>
      <c r="J582" s="66"/>
      <c r="K582" s="66"/>
      <c r="L582" s="66"/>
      <c r="M582" s="66"/>
      <c r="N582" s="66"/>
    </row>
    <row r="583" spans="1:14" x14ac:dyDescent="0.2">
      <c r="A583" s="84"/>
      <c r="B583" s="84"/>
      <c r="C583" s="60"/>
      <c r="D583" s="66"/>
      <c r="E583" s="66"/>
      <c r="F583" s="66"/>
      <c r="G583" s="66"/>
      <c r="H583" s="66"/>
      <c r="I583" s="66"/>
      <c r="J583" s="66"/>
      <c r="K583" s="66"/>
      <c r="L583" s="66"/>
      <c r="M583" s="66"/>
      <c r="N583" s="66"/>
    </row>
    <row r="584" spans="1:14" x14ac:dyDescent="0.2">
      <c r="A584" s="84"/>
      <c r="B584" s="84"/>
      <c r="C584" s="60"/>
      <c r="D584" s="66"/>
      <c r="E584" s="66"/>
      <c r="F584" s="66"/>
      <c r="G584" s="66"/>
      <c r="H584" s="66"/>
      <c r="I584" s="66"/>
      <c r="J584" s="66"/>
      <c r="K584" s="66"/>
      <c r="L584" s="66"/>
      <c r="M584" s="66"/>
      <c r="N584" s="66"/>
    </row>
    <row r="585" spans="1:14" x14ac:dyDescent="0.2">
      <c r="A585" s="84"/>
      <c r="B585" s="84"/>
      <c r="C585" s="60"/>
      <c r="D585" s="66"/>
      <c r="E585" s="66"/>
      <c r="F585" s="66"/>
      <c r="G585" s="66"/>
      <c r="H585" s="66"/>
      <c r="I585" s="66"/>
      <c r="J585" s="66"/>
      <c r="K585" s="66"/>
      <c r="L585" s="66"/>
      <c r="M585" s="66"/>
      <c r="N585" s="66"/>
    </row>
    <row r="586" spans="1:14" x14ac:dyDescent="0.2">
      <c r="A586" s="84"/>
      <c r="B586" s="84"/>
      <c r="C586" s="60"/>
      <c r="D586" s="66"/>
      <c r="E586" s="66"/>
      <c r="F586" s="66"/>
      <c r="G586" s="66"/>
      <c r="H586" s="66"/>
      <c r="I586" s="66"/>
      <c r="J586" s="66"/>
      <c r="K586" s="66"/>
      <c r="L586" s="66"/>
      <c r="M586" s="66"/>
      <c r="N586" s="66"/>
    </row>
    <row r="587" spans="1:14" x14ac:dyDescent="0.2">
      <c r="A587" s="84"/>
      <c r="B587" s="84"/>
      <c r="C587" s="60"/>
      <c r="D587" s="66"/>
      <c r="E587" s="66"/>
      <c r="F587" s="66"/>
      <c r="G587" s="66"/>
      <c r="H587" s="66"/>
      <c r="I587" s="66"/>
      <c r="J587" s="66"/>
      <c r="K587" s="66"/>
      <c r="L587" s="66"/>
      <c r="M587" s="66"/>
      <c r="N587" s="66"/>
    </row>
    <row r="588" spans="1:14" x14ac:dyDescent="0.2">
      <c r="A588" s="84"/>
      <c r="B588" s="84"/>
      <c r="C588" s="60"/>
      <c r="D588" s="66"/>
      <c r="E588" s="66"/>
      <c r="F588" s="66"/>
      <c r="G588" s="66"/>
      <c r="H588" s="66"/>
      <c r="I588" s="66"/>
      <c r="J588" s="66"/>
      <c r="K588" s="66"/>
      <c r="L588" s="66"/>
      <c r="M588" s="66"/>
      <c r="N588" s="66"/>
    </row>
    <row r="589" spans="1:14" x14ac:dyDescent="0.2">
      <c r="A589" s="84"/>
      <c r="B589" s="84"/>
      <c r="C589" s="60"/>
      <c r="D589" s="66"/>
      <c r="E589" s="66"/>
      <c r="F589" s="66"/>
      <c r="G589" s="66"/>
      <c r="H589" s="66"/>
      <c r="I589" s="66"/>
      <c r="J589" s="66"/>
      <c r="K589" s="66"/>
      <c r="L589" s="66"/>
      <c r="M589" s="66"/>
      <c r="N589" s="66"/>
    </row>
    <row r="590" spans="1:14" x14ac:dyDescent="0.2">
      <c r="A590" s="84"/>
      <c r="B590" s="84"/>
      <c r="C590" s="60"/>
      <c r="D590" s="66"/>
      <c r="E590" s="66"/>
      <c r="F590" s="66"/>
      <c r="G590" s="66"/>
      <c r="H590" s="66"/>
      <c r="I590" s="66"/>
      <c r="J590" s="66"/>
      <c r="K590" s="66"/>
      <c r="L590" s="66"/>
      <c r="M590" s="66"/>
      <c r="N590" s="66"/>
    </row>
    <row r="591" spans="1:14" x14ac:dyDescent="0.2">
      <c r="A591" s="84"/>
      <c r="B591" s="84"/>
      <c r="C591" s="60"/>
      <c r="D591" s="66"/>
      <c r="E591" s="66"/>
      <c r="F591" s="66"/>
      <c r="G591" s="66"/>
      <c r="H591" s="66"/>
      <c r="I591" s="66"/>
      <c r="J591" s="66"/>
      <c r="K591" s="66"/>
      <c r="L591" s="66"/>
      <c r="M591" s="66"/>
      <c r="N591" s="66"/>
    </row>
    <row r="592" spans="1:14" x14ac:dyDescent="0.2">
      <c r="A592" s="84"/>
      <c r="B592" s="84"/>
      <c r="C592" s="60"/>
      <c r="D592" s="66"/>
      <c r="E592" s="66"/>
      <c r="F592" s="66"/>
      <c r="G592" s="66"/>
      <c r="H592" s="66"/>
      <c r="I592" s="66"/>
      <c r="J592" s="66"/>
      <c r="K592" s="66"/>
      <c r="L592" s="66"/>
      <c r="M592" s="66"/>
      <c r="N592" s="66"/>
    </row>
    <row r="593" spans="1:14" x14ac:dyDescent="0.2">
      <c r="A593" s="84"/>
      <c r="B593" s="84"/>
      <c r="C593" s="60"/>
      <c r="D593" s="66"/>
      <c r="E593" s="66"/>
      <c r="F593" s="66"/>
      <c r="G593" s="66"/>
      <c r="H593" s="66"/>
      <c r="I593" s="66"/>
      <c r="J593" s="66"/>
      <c r="K593" s="66"/>
      <c r="L593" s="66"/>
      <c r="M593" s="66"/>
      <c r="N593" s="66"/>
    </row>
    <row r="594" spans="1:14" x14ac:dyDescent="0.2">
      <c r="A594" s="84"/>
      <c r="B594" s="84"/>
      <c r="C594" s="60"/>
      <c r="D594" s="66"/>
      <c r="E594" s="66"/>
      <c r="F594" s="66"/>
      <c r="G594" s="66"/>
      <c r="H594" s="66"/>
      <c r="I594" s="66"/>
      <c r="J594" s="66"/>
      <c r="K594" s="66"/>
      <c r="L594" s="66"/>
      <c r="M594" s="66"/>
      <c r="N594" s="66"/>
    </row>
    <row r="595" spans="1:14" x14ac:dyDescent="0.2">
      <c r="A595" s="84"/>
      <c r="B595" s="84"/>
      <c r="C595" s="60"/>
      <c r="D595" s="66"/>
      <c r="E595" s="66"/>
      <c r="F595" s="66"/>
      <c r="G595" s="66"/>
      <c r="H595" s="66"/>
      <c r="I595" s="66"/>
      <c r="J595" s="66"/>
      <c r="K595" s="66"/>
      <c r="L595" s="66"/>
      <c r="M595" s="66"/>
      <c r="N595" s="66"/>
    </row>
    <row r="596" spans="1:14" x14ac:dyDescent="0.2">
      <c r="A596" s="84"/>
      <c r="B596" s="84"/>
      <c r="C596" s="60"/>
      <c r="D596" s="66"/>
      <c r="E596" s="66"/>
      <c r="F596" s="66"/>
      <c r="G596" s="66"/>
      <c r="H596" s="66"/>
      <c r="I596" s="66"/>
      <c r="J596" s="66"/>
      <c r="K596" s="66"/>
      <c r="L596" s="66"/>
      <c r="M596" s="66"/>
      <c r="N596" s="66"/>
    </row>
    <row r="597" spans="1:14" x14ac:dyDescent="0.2">
      <c r="A597" s="84"/>
      <c r="B597" s="84"/>
      <c r="C597" s="60"/>
      <c r="D597" s="66"/>
      <c r="E597" s="66"/>
      <c r="F597" s="66"/>
      <c r="G597" s="66"/>
      <c r="H597" s="66"/>
      <c r="I597" s="66"/>
      <c r="J597" s="66"/>
      <c r="K597" s="66"/>
      <c r="L597" s="66"/>
      <c r="M597" s="66"/>
      <c r="N597" s="66"/>
    </row>
    <row r="598" spans="1:14" x14ac:dyDescent="0.2">
      <c r="A598" s="84"/>
      <c r="B598" s="84"/>
      <c r="C598" s="60"/>
      <c r="D598" s="66"/>
      <c r="E598" s="66"/>
      <c r="F598" s="66"/>
      <c r="G598" s="66"/>
      <c r="H598" s="66"/>
      <c r="I598" s="66"/>
      <c r="J598" s="66"/>
      <c r="K598" s="66"/>
      <c r="L598" s="66"/>
      <c r="M598" s="66"/>
      <c r="N598" s="66"/>
    </row>
    <row r="599" spans="1:14" x14ac:dyDescent="0.2">
      <c r="A599" s="84"/>
      <c r="B599" s="84"/>
      <c r="C599" s="60"/>
      <c r="D599" s="66"/>
      <c r="E599" s="66"/>
      <c r="F599" s="66"/>
      <c r="G599" s="66"/>
      <c r="H599" s="66"/>
      <c r="I599" s="66"/>
      <c r="J599" s="66"/>
      <c r="K599" s="66"/>
      <c r="L599" s="66"/>
      <c r="M599" s="66"/>
      <c r="N599" s="66"/>
    </row>
    <row r="600" spans="1:14" x14ac:dyDescent="0.2">
      <c r="A600" s="84"/>
      <c r="B600" s="84"/>
      <c r="C600" s="60"/>
      <c r="D600" s="66"/>
      <c r="E600" s="66"/>
      <c r="F600" s="66"/>
      <c r="G600" s="66"/>
      <c r="H600" s="66"/>
      <c r="I600" s="66"/>
      <c r="J600" s="66"/>
      <c r="K600" s="66"/>
      <c r="L600" s="66"/>
      <c r="M600" s="66"/>
      <c r="N600" s="66"/>
    </row>
    <row r="601" spans="1:14" x14ac:dyDescent="0.2">
      <c r="A601" s="84"/>
      <c r="B601" s="84"/>
      <c r="C601" s="60"/>
      <c r="D601" s="66"/>
      <c r="E601" s="66"/>
      <c r="F601" s="66"/>
      <c r="G601" s="66"/>
      <c r="H601" s="66"/>
      <c r="I601" s="66"/>
      <c r="J601" s="66"/>
      <c r="K601" s="66"/>
      <c r="L601" s="66"/>
      <c r="M601" s="66"/>
      <c r="N601" s="66"/>
    </row>
    <row r="602" spans="1:14" x14ac:dyDescent="0.2">
      <c r="A602" s="84"/>
      <c r="B602" s="84"/>
      <c r="C602" s="60"/>
      <c r="D602" s="66"/>
      <c r="E602" s="66"/>
      <c r="F602" s="66"/>
      <c r="G602" s="66"/>
      <c r="H602" s="66"/>
      <c r="I602" s="66"/>
      <c r="J602" s="66"/>
      <c r="K602" s="66"/>
      <c r="L602" s="66"/>
      <c r="M602" s="66"/>
      <c r="N602" s="66"/>
    </row>
    <row r="603" spans="1:14" x14ac:dyDescent="0.2">
      <c r="A603" s="84"/>
      <c r="B603" s="84"/>
      <c r="C603" s="60"/>
      <c r="D603" s="66"/>
      <c r="E603" s="66"/>
      <c r="F603" s="66"/>
      <c r="G603" s="66"/>
      <c r="H603" s="66"/>
      <c r="I603" s="66"/>
      <c r="J603" s="66"/>
      <c r="K603" s="66"/>
      <c r="L603" s="66"/>
      <c r="M603" s="66"/>
      <c r="N603" s="66"/>
    </row>
    <row r="604" spans="1:14" x14ac:dyDescent="0.2">
      <c r="A604" s="84"/>
      <c r="B604" s="84"/>
      <c r="C604" s="60"/>
      <c r="D604" s="66"/>
      <c r="E604" s="66"/>
      <c r="F604" s="66"/>
      <c r="G604" s="66"/>
      <c r="H604" s="66"/>
      <c r="I604" s="66"/>
      <c r="J604" s="66"/>
      <c r="K604" s="66"/>
      <c r="L604" s="66"/>
      <c r="M604" s="66"/>
      <c r="N604" s="66"/>
    </row>
    <row r="605" spans="1:14" x14ac:dyDescent="0.2">
      <c r="A605" s="84"/>
      <c r="B605" s="84"/>
      <c r="C605" s="60"/>
      <c r="D605" s="66"/>
      <c r="E605" s="66"/>
      <c r="F605" s="66"/>
      <c r="G605" s="66"/>
      <c r="H605" s="66"/>
      <c r="I605" s="66"/>
      <c r="J605" s="66"/>
      <c r="K605" s="66"/>
      <c r="L605" s="66"/>
      <c r="M605" s="66"/>
      <c r="N605" s="66"/>
    </row>
    <row r="606" spans="1:14" x14ac:dyDescent="0.2">
      <c r="A606" s="84"/>
      <c r="B606" s="84"/>
      <c r="C606" s="60"/>
      <c r="D606" s="66"/>
      <c r="E606" s="66"/>
      <c r="F606" s="66"/>
      <c r="G606" s="66"/>
      <c r="H606" s="66"/>
      <c r="I606" s="66"/>
      <c r="J606" s="66"/>
      <c r="K606" s="66"/>
      <c r="L606" s="66"/>
      <c r="M606" s="66"/>
      <c r="N606" s="66"/>
    </row>
    <row r="607" spans="1:14" x14ac:dyDescent="0.2">
      <c r="A607" s="84"/>
      <c r="B607" s="84"/>
      <c r="C607" s="60"/>
      <c r="D607" s="66"/>
      <c r="E607" s="66"/>
      <c r="F607" s="66"/>
      <c r="G607" s="66"/>
      <c r="H607" s="66"/>
      <c r="I607" s="66"/>
      <c r="J607" s="66"/>
      <c r="K607" s="66"/>
      <c r="L607" s="66"/>
      <c r="M607" s="66"/>
      <c r="N607" s="66"/>
    </row>
    <row r="608" spans="1:14" x14ac:dyDescent="0.2">
      <c r="A608" s="84"/>
      <c r="B608" s="84"/>
      <c r="C608" s="60"/>
      <c r="D608" s="66"/>
      <c r="E608" s="66"/>
      <c r="F608" s="66"/>
      <c r="G608" s="66"/>
      <c r="H608" s="66"/>
      <c r="I608" s="66"/>
      <c r="J608" s="66"/>
      <c r="K608" s="66"/>
      <c r="L608" s="66"/>
      <c r="M608" s="66"/>
      <c r="N608" s="66"/>
    </row>
    <row r="609" spans="1:14" x14ac:dyDescent="0.2">
      <c r="A609" s="84"/>
      <c r="B609" s="84"/>
      <c r="C609" s="60"/>
      <c r="D609" s="66"/>
      <c r="E609" s="66"/>
      <c r="F609" s="66"/>
      <c r="G609" s="66"/>
      <c r="H609" s="66"/>
      <c r="I609" s="66"/>
      <c r="J609" s="66"/>
      <c r="K609" s="66"/>
      <c r="L609" s="66"/>
      <c r="M609" s="66"/>
      <c r="N609" s="66"/>
    </row>
    <row r="610" spans="1:14" x14ac:dyDescent="0.2">
      <c r="A610" s="84"/>
      <c r="B610" s="84"/>
      <c r="C610" s="60"/>
      <c r="D610" s="66"/>
      <c r="E610" s="66"/>
      <c r="F610" s="66"/>
      <c r="G610" s="66"/>
      <c r="H610" s="66"/>
      <c r="I610" s="66"/>
      <c r="J610" s="66"/>
      <c r="K610" s="66"/>
      <c r="L610" s="66"/>
      <c r="M610" s="66"/>
      <c r="N610" s="66"/>
    </row>
    <row r="611" spans="1:14" x14ac:dyDescent="0.2">
      <c r="A611" s="84"/>
      <c r="B611" s="84"/>
      <c r="C611" s="60"/>
      <c r="D611" s="66"/>
      <c r="E611" s="66"/>
      <c r="F611" s="66"/>
      <c r="G611" s="66"/>
      <c r="H611" s="66"/>
      <c r="I611" s="66"/>
      <c r="J611" s="66"/>
      <c r="K611" s="66"/>
      <c r="L611" s="66"/>
      <c r="M611" s="66"/>
      <c r="N611" s="66"/>
    </row>
    <row r="612" spans="1:14" x14ac:dyDescent="0.2">
      <c r="A612" s="84"/>
      <c r="B612" s="84"/>
      <c r="C612" s="60"/>
      <c r="D612" s="66"/>
      <c r="E612" s="66"/>
      <c r="F612" s="66"/>
      <c r="G612" s="66"/>
      <c r="H612" s="66"/>
      <c r="I612" s="66"/>
      <c r="J612" s="66"/>
      <c r="K612" s="66"/>
      <c r="L612" s="66"/>
      <c r="M612" s="66"/>
      <c r="N612" s="66"/>
    </row>
    <row r="613" spans="1:14" x14ac:dyDescent="0.2">
      <c r="A613" s="84"/>
      <c r="B613" s="84"/>
      <c r="C613" s="60"/>
      <c r="D613" s="66"/>
      <c r="E613" s="66"/>
      <c r="F613" s="66"/>
      <c r="G613" s="66"/>
      <c r="H613" s="66"/>
      <c r="I613" s="66"/>
      <c r="J613" s="66"/>
      <c r="K613" s="66"/>
      <c r="L613" s="66"/>
      <c r="M613" s="66"/>
      <c r="N613" s="66"/>
    </row>
    <row r="614" spans="1:14" x14ac:dyDescent="0.2">
      <c r="A614" s="84"/>
      <c r="B614" s="84"/>
      <c r="C614" s="60"/>
      <c r="D614" s="66"/>
      <c r="E614" s="66"/>
      <c r="F614" s="66"/>
      <c r="G614" s="66"/>
      <c r="H614" s="66"/>
      <c r="I614" s="66"/>
      <c r="J614" s="66"/>
      <c r="K614" s="66"/>
      <c r="L614" s="66"/>
      <c r="M614" s="66"/>
      <c r="N614" s="66"/>
    </row>
    <row r="615" spans="1:14" x14ac:dyDescent="0.2">
      <c r="A615" s="84"/>
      <c r="B615" s="84"/>
      <c r="C615" s="60"/>
      <c r="D615" s="66"/>
      <c r="E615" s="66"/>
      <c r="F615" s="66"/>
      <c r="G615" s="66"/>
      <c r="H615" s="66"/>
      <c r="I615" s="66"/>
      <c r="J615" s="66"/>
      <c r="K615" s="66"/>
      <c r="L615" s="66"/>
      <c r="M615" s="66"/>
      <c r="N615" s="66"/>
    </row>
    <row r="616" spans="1:14" x14ac:dyDescent="0.2">
      <c r="A616" s="84"/>
      <c r="B616" s="84"/>
      <c r="C616" s="60"/>
      <c r="D616" s="66"/>
      <c r="E616" s="66"/>
      <c r="F616" s="66"/>
      <c r="G616" s="66"/>
      <c r="H616" s="66"/>
      <c r="I616" s="66"/>
      <c r="J616" s="66"/>
      <c r="K616" s="66"/>
      <c r="L616" s="66"/>
      <c r="M616" s="66"/>
      <c r="N616" s="66"/>
    </row>
    <row r="617" spans="1:14" x14ac:dyDescent="0.2">
      <c r="A617" s="84"/>
      <c r="B617" s="84"/>
      <c r="C617" s="60"/>
      <c r="D617" s="66"/>
      <c r="E617" s="66"/>
      <c r="F617" s="66"/>
      <c r="G617" s="66"/>
      <c r="H617" s="66"/>
      <c r="I617" s="66"/>
      <c r="J617" s="66"/>
      <c r="K617" s="66"/>
      <c r="L617" s="66"/>
      <c r="M617" s="66"/>
      <c r="N617" s="66"/>
    </row>
    <row r="618" spans="1:14" x14ac:dyDescent="0.2">
      <c r="A618" s="84"/>
      <c r="B618" s="84"/>
      <c r="C618" s="60"/>
      <c r="D618" s="66"/>
      <c r="E618" s="66"/>
      <c r="F618" s="66"/>
      <c r="G618" s="66"/>
      <c r="H618" s="66"/>
      <c r="I618" s="66"/>
      <c r="J618" s="66"/>
      <c r="K618" s="66"/>
      <c r="L618" s="66"/>
      <c r="M618" s="66"/>
      <c r="N618" s="66"/>
    </row>
    <row r="619" spans="1:14" x14ac:dyDescent="0.2">
      <c r="A619" s="84"/>
      <c r="B619" s="84"/>
      <c r="C619" s="60"/>
      <c r="D619" s="66"/>
      <c r="E619" s="66"/>
      <c r="F619" s="66"/>
      <c r="G619" s="66"/>
      <c r="H619" s="66"/>
      <c r="I619" s="66"/>
      <c r="J619" s="66"/>
      <c r="K619" s="66"/>
      <c r="L619" s="66"/>
      <c r="M619" s="66"/>
      <c r="N619" s="66"/>
    </row>
    <row r="620" spans="1:14" x14ac:dyDescent="0.2">
      <c r="A620" s="84"/>
      <c r="B620" s="84"/>
      <c r="C620" s="60"/>
      <c r="D620" s="66"/>
      <c r="E620" s="66"/>
      <c r="F620" s="66"/>
      <c r="G620" s="66"/>
      <c r="H620" s="66"/>
      <c r="I620" s="66"/>
      <c r="J620" s="66"/>
      <c r="K620" s="66"/>
      <c r="L620" s="66"/>
      <c r="M620" s="66"/>
      <c r="N620" s="66"/>
    </row>
    <row r="621" spans="1:14" x14ac:dyDescent="0.2">
      <c r="A621" s="84"/>
      <c r="B621" s="84"/>
      <c r="C621" s="60"/>
      <c r="D621" s="66"/>
      <c r="E621" s="66"/>
      <c r="F621" s="66"/>
      <c r="G621" s="66"/>
      <c r="H621" s="66"/>
      <c r="I621" s="66"/>
      <c r="J621" s="66"/>
      <c r="K621" s="66"/>
      <c r="L621" s="66"/>
      <c r="M621" s="66"/>
      <c r="N621" s="66"/>
    </row>
    <row r="622" spans="1:14" x14ac:dyDescent="0.2">
      <c r="A622" s="84"/>
      <c r="B622" s="84"/>
      <c r="C622" s="60"/>
      <c r="D622" s="66"/>
      <c r="E622" s="66"/>
      <c r="F622" s="66"/>
      <c r="G622" s="66"/>
      <c r="H622" s="66"/>
      <c r="I622" s="66"/>
      <c r="J622" s="66"/>
      <c r="K622" s="66"/>
      <c r="L622" s="66"/>
      <c r="M622" s="66"/>
      <c r="N622" s="66"/>
    </row>
    <row r="623" spans="1:14" x14ac:dyDescent="0.2">
      <c r="A623" s="84"/>
      <c r="B623" s="84"/>
      <c r="C623" s="60"/>
      <c r="D623" s="66"/>
      <c r="E623" s="66"/>
      <c r="F623" s="66"/>
      <c r="G623" s="66"/>
      <c r="H623" s="66"/>
      <c r="I623" s="66"/>
      <c r="J623" s="66"/>
      <c r="K623" s="66"/>
      <c r="L623" s="66"/>
      <c r="M623" s="66"/>
      <c r="N623" s="66"/>
    </row>
    <row r="624" spans="1:14" x14ac:dyDescent="0.2">
      <c r="A624" s="84"/>
      <c r="B624" s="84"/>
      <c r="C624" s="60"/>
      <c r="D624" s="66"/>
      <c r="E624" s="66"/>
      <c r="F624" s="66"/>
      <c r="G624" s="66"/>
      <c r="H624" s="66"/>
      <c r="I624" s="66"/>
      <c r="J624" s="66"/>
      <c r="K624" s="66"/>
      <c r="L624" s="66"/>
      <c r="M624" s="66"/>
      <c r="N624" s="66"/>
    </row>
    <row r="625" spans="1:14" x14ac:dyDescent="0.2">
      <c r="A625" s="84"/>
      <c r="B625" s="84"/>
      <c r="C625" s="60"/>
      <c r="D625" s="66"/>
      <c r="E625" s="66"/>
      <c r="F625" s="66"/>
      <c r="G625" s="66"/>
      <c r="H625" s="66"/>
      <c r="I625" s="66"/>
      <c r="J625" s="66"/>
      <c r="K625" s="66"/>
      <c r="L625" s="66"/>
      <c r="M625" s="66"/>
      <c r="N625" s="66"/>
    </row>
    <row r="626" spans="1:14" x14ac:dyDescent="0.2">
      <c r="A626" s="84"/>
      <c r="B626" s="84"/>
      <c r="C626" s="60"/>
      <c r="D626" s="66"/>
      <c r="E626" s="66"/>
      <c r="F626" s="66"/>
      <c r="G626" s="66"/>
      <c r="H626" s="66"/>
      <c r="I626" s="66"/>
      <c r="J626" s="66"/>
      <c r="K626" s="66"/>
      <c r="L626" s="66"/>
      <c r="M626" s="66"/>
      <c r="N626" s="66"/>
    </row>
    <row r="627" spans="1:14" x14ac:dyDescent="0.2">
      <c r="A627" s="84"/>
      <c r="B627" s="84"/>
      <c r="C627" s="60"/>
      <c r="D627" s="66"/>
      <c r="E627" s="66"/>
      <c r="F627" s="66"/>
      <c r="G627" s="66"/>
      <c r="H627" s="66"/>
      <c r="I627" s="66"/>
      <c r="J627" s="66"/>
      <c r="K627" s="66"/>
      <c r="L627" s="66"/>
      <c r="M627" s="66"/>
      <c r="N627" s="66"/>
    </row>
    <row r="628" spans="1:14" x14ac:dyDescent="0.2">
      <c r="A628" s="84"/>
      <c r="B628" s="84"/>
      <c r="C628" s="60"/>
      <c r="D628" s="66"/>
      <c r="E628" s="66"/>
      <c r="F628" s="66"/>
      <c r="G628" s="66"/>
      <c r="H628" s="66"/>
      <c r="I628" s="66"/>
      <c r="J628" s="66"/>
      <c r="K628" s="66"/>
      <c r="L628" s="66"/>
      <c r="M628" s="66"/>
      <c r="N628" s="66"/>
    </row>
    <row r="629" spans="1:14" x14ac:dyDescent="0.2">
      <c r="A629" s="84"/>
      <c r="B629" s="84"/>
      <c r="C629" s="60"/>
      <c r="D629" s="66"/>
      <c r="E629" s="66"/>
      <c r="F629" s="66"/>
      <c r="G629" s="66"/>
      <c r="H629" s="66"/>
      <c r="I629" s="66"/>
      <c r="J629" s="66"/>
      <c r="K629" s="66"/>
      <c r="L629" s="66"/>
      <c r="M629" s="66"/>
      <c r="N629" s="66"/>
    </row>
    <row r="630" spans="1:14" x14ac:dyDescent="0.2">
      <c r="A630" s="84"/>
      <c r="B630" s="84"/>
      <c r="C630" s="60"/>
      <c r="D630" s="66"/>
      <c r="E630" s="66"/>
      <c r="F630" s="66"/>
      <c r="G630" s="66"/>
      <c r="H630" s="66"/>
      <c r="I630" s="66"/>
      <c r="J630" s="66"/>
      <c r="K630" s="66"/>
      <c r="L630" s="66"/>
      <c r="M630" s="66"/>
      <c r="N630" s="66"/>
    </row>
    <row r="631" spans="1:14" x14ac:dyDescent="0.2">
      <c r="A631" s="84"/>
      <c r="B631" s="84"/>
      <c r="C631" s="60"/>
      <c r="D631" s="66"/>
      <c r="E631" s="66"/>
      <c r="F631" s="66"/>
      <c r="G631" s="66"/>
      <c r="H631" s="66"/>
      <c r="I631" s="66"/>
      <c r="J631" s="66"/>
      <c r="K631" s="66"/>
      <c r="L631" s="66"/>
      <c r="M631" s="66"/>
      <c r="N631" s="66"/>
    </row>
    <row r="632" spans="1:14" x14ac:dyDescent="0.2">
      <c r="A632" s="84"/>
      <c r="B632" s="84"/>
      <c r="C632" s="60"/>
      <c r="D632" s="66"/>
      <c r="E632" s="66"/>
      <c r="F632" s="66"/>
      <c r="G632" s="66"/>
      <c r="H632" s="66"/>
      <c r="I632" s="66"/>
      <c r="J632" s="66"/>
      <c r="K632" s="66"/>
      <c r="L632" s="66"/>
      <c r="M632" s="66"/>
      <c r="N632" s="66"/>
    </row>
    <row r="633" spans="1:14" x14ac:dyDescent="0.2">
      <c r="A633" s="84"/>
      <c r="B633" s="84"/>
      <c r="C633" s="60"/>
      <c r="D633" s="66"/>
      <c r="E633" s="66"/>
      <c r="F633" s="66"/>
      <c r="G633" s="66"/>
      <c r="H633" s="66"/>
      <c r="I633" s="66"/>
      <c r="J633" s="66"/>
      <c r="K633" s="66"/>
      <c r="L633" s="66"/>
      <c r="M633" s="66"/>
      <c r="N633" s="66"/>
    </row>
    <row r="634" spans="1:14" x14ac:dyDescent="0.2">
      <c r="A634" s="84"/>
      <c r="B634" s="84"/>
      <c r="C634" s="60"/>
      <c r="D634" s="66"/>
      <c r="E634" s="66"/>
      <c r="F634" s="66"/>
      <c r="G634" s="66"/>
      <c r="H634" s="66"/>
      <c r="I634" s="66"/>
      <c r="J634" s="66"/>
      <c r="K634" s="66"/>
      <c r="L634" s="66"/>
      <c r="M634" s="66"/>
      <c r="N634" s="66"/>
    </row>
    <row r="635" spans="1:14" x14ac:dyDescent="0.2">
      <c r="A635" s="84"/>
      <c r="B635" s="84"/>
      <c r="C635" s="60"/>
      <c r="D635" s="66"/>
      <c r="E635" s="66"/>
      <c r="F635" s="66"/>
      <c r="G635" s="66"/>
      <c r="H635" s="66"/>
      <c r="I635" s="66"/>
      <c r="J635" s="66"/>
      <c r="K635" s="66"/>
      <c r="L635" s="66"/>
      <c r="M635" s="66"/>
      <c r="N635" s="66"/>
    </row>
    <row r="636" spans="1:14" x14ac:dyDescent="0.2">
      <c r="A636" s="84"/>
      <c r="B636" s="84"/>
      <c r="C636" s="60"/>
      <c r="D636" s="66"/>
      <c r="E636" s="66"/>
      <c r="F636" s="66"/>
      <c r="G636" s="66"/>
      <c r="H636" s="66"/>
      <c r="I636" s="66"/>
      <c r="J636" s="66"/>
      <c r="K636" s="66"/>
      <c r="L636" s="66"/>
      <c r="M636" s="66"/>
      <c r="N636" s="66"/>
    </row>
    <row r="637" spans="1:14" x14ac:dyDescent="0.2">
      <c r="A637" s="84"/>
      <c r="B637" s="84"/>
      <c r="C637" s="60"/>
      <c r="D637" s="66"/>
      <c r="E637" s="66"/>
      <c r="F637" s="66"/>
      <c r="G637" s="66"/>
      <c r="H637" s="66"/>
      <c r="I637" s="66"/>
      <c r="J637" s="66"/>
      <c r="K637" s="66"/>
      <c r="L637" s="66"/>
      <c r="M637" s="66"/>
      <c r="N637" s="66"/>
    </row>
    <row r="638" spans="1:14" x14ac:dyDescent="0.2">
      <c r="A638" s="84"/>
      <c r="B638" s="84"/>
      <c r="C638" s="60"/>
      <c r="D638" s="66"/>
      <c r="E638" s="66"/>
      <c r="F638" s="66"/>
      <c r="G638" s="66"/>
      <c r="H638" s="66"/>
      <c r="I638" s="66"/>
      <c r="J638" s="66"/>
      <c r="K638" s="66"/>
      <c r="L638" s="66"/>
      <c r="M638" s="66"/>
      <c r="N638" s="66"/>
    </row>
    <row r="639" spans="1:14" x14ac:dyDescent="0.2">
      <c r="A639" s="84"/>
      <c r="B639" s="84"/>
      <c r="C639" s="60"/>
      <c r="D639" s="66"/>
      <c r="E639" s="66"/>
      <c r="F639" s="66"/>
      <c r="G639" s="66"/>
      <c r="H639" s="66"/>
      <c r="I639" s="66"/>
      <c r="J639" s="66"/>
      <c r="K639" s="66"/>
      <c r="L639" s="66"/>
      <c r="M639" s="66"/>
      <c r="N639" s="66"/>
    </row>
    <row r="640" spans="1:14" x14ac:dyDescent="0.2">
      <c r="A640" s="84"/>
      <c r="B640" s="84"/>
      <c r="C640" s="60"/>
      <c r="D640" s="66"/>
      <c r="E640" s="66"/>
      <c r="F640" s="66"/>
      <c r="G640" s="66"/>
      <c r="H640" s="66"/>
      <c r="I640" s="66"/>
      <c r="J640" s="66"/>
      <c r="K640" s="66"/>
      <c r="L640" s="66"/>
      <c r="M640" s="66"/>
      <c r="N640" s="66"/>
    </row>
    <row r="641" spans="1:14" x14ac:dyDescent="0.2">
      <c r="A641" s="84"/>
      <c r="B641" s="84"/>
      <c r="C641" s="60"/>
      <c r="D641" s="66"/>
      <c r="E641" s="66"/>
      <c r="F641" s="66"/>
      <c r="G641" s="66"/>
      <c r="H641" s="66"/>
      <c r="I641" s="66"/>
      <c r="J641" s="66"/>
      <c r="K641" s="66"/>
      <c r="L641" s="66"/>
      <c r="M641" s="66"/>
      <c r="N641" s="66"/>
    </row>
    <row r="642" spans="1:14" x14ac:dyDescent="0.2">
      <c r="A642" s="84"/>
      <c r="B642" s="84"/>
      <c r="C642" s="60"/>
      <c r="D642" s="66"/>
      <c r="E642" s="66"/>
      <c r="F642" s="66"/>
      <c r="G642" s="66"/>
      <c r="H642" s="66"/>
      <c r="I642" s="66"/>
      <c r="J642" s="66"/>
      <c r="K642" s="66"/>
      <c r="L642" s="66"/>
      <c r="M642" s="66"/>
      <c r="N642" s="66"/>
    </row>
    <row r="643" spans="1:14" x14ac:dyDescent="0.2">
      <c r="A643" s="84"/>
      <c r="B643" s="84"/>
      <c r="C643" s="60"/>
      <c r="D643" s="66"/>
      <c r="E643" s="66"/>
      <c r="F643" s="66"/>
      <c r="G643" s="66"/>
      <c r="H643" s="66"/>
      <c r="I643" s="66"/>
      <c r="J643" s="66"/>
      <c r="K643" s="66"/>
      <c r="L643" s="66"/>
      <c r="M643" s="66"/>
      <c r="N643" s="66"/>
    </row>
    <row r="644" spans="1:14" x14ac:dyDescent="0.2">
      <c r="A644" s="84"/>
      <c r="B644" s="84"/>
      <c r="C644" s="60"/>
      <c r="D644" s="66"/>
      <c r="E644" s="66"/>
      <c r="F644" s="66"/>
      <c r="G644" s="66"/>
      <c r="H644" s="66"/>
      <c r="I644" s="66"/>
      <c r="J644" s="66"/>
      <c r="K644" s="66"/>
      <c r="L644" s="66"/>
      <c r="M644" s="66"/>
      <c r="N644" s="66"/>
    </row>
    <row r="645" spans="1:14" x14ac:dyDescent="0.2">
      <c r="A645" s="84"/>
      <c r="B645" s="84"/>
      <c r="C645" s="60"/>
      <c r="D645" s="66"/>
      <c r="E645" s="66"/>
      <c r="F645" s="66"/>
      <c r="G645" s="66"/>
      <c r="H645" s="66"/>
      <c r="I645" s="66"/>
      <c r="J645" s="66"/>
      <c r="K645" s="66"/>
      <c r="L645" s="66"/>
      <c r="M645" s="66"/>
      <c r="N645" s="66"/>
    </row>
    <row r="646" spans="1:14" x14ac:dyDescent="0.2">
      <c r="A646" s="84"/>
      <c r="B646" s="84"/>
      <c r="C646" s="60"/>
      <c r="D646" s="66"/>
      <c r="E646" s="66"/>
      <c r="F646" s="66"/>
      <c r="G646" s="66"/>
      <c r="H646" s="66"/>
      <c r="I646" s="66"/>
      <c r="J646" s="66"/>
      <c r="K646" s="66"/>
      <c r="L646" s="66"/>
      <c r="M646" s="66"/>
      <c r="N646" s="66"/>
    </row>
    <row r="647" spans="1:14" x14ac:dyDescent="0.2">
      <c r="A647" s="84"/>
      <c r="B647" s="84"/>
      <c r="C647" s="60"/>
      <c r="D647" s="66"/>
      <c r="E647" s="66"/>
      <c r="F647" s="66"/>
      <c r="G647" s="66"/>
      <c r="H647" s="66"/>
      <c r="I647" s="66"/>
      <c r="J647" s="66"/>
      <c r="K647" s="66"/>
      <c r="L647" s="66"/>
      <c r="M647" s="66"/>
      <c r="N647" s="66"/>
    </row>
    <row r="648" spans="1:14" x14ac:dyDescent="0.2">
      <c r="A648" s="84"/>
      <c r="B648" s="84"/>
      <c r="C648" s="60"/>
      <c r="D648" s="66"/>
      <c r="E648" s="66"/>
      <c r="F648" s="66"/>
      <c r="G648" s="66"/>
      <c r="H648" s="66"/>
      <c r="I648" s="66"/>
      <c r="J648" s="66"/>
      <c r="K648" s="66"/>
      <c r="L648" s="66"/>
      <c r="M648" s="66"/>
      <c r="N648" s="66"/>
    </row>
    <row r="649" spans="1:14" x14ac:dyDescent="0.2">
      <c r="A649" s="84"/>
      <c r="B649" s="84"/>
      <c r="C649" s="60"/>
      <c r="D649" s="66"/>
      <c r="E649" s="66"/>
      <c r="F649" s="66"/>
      <c r="G649" s="66"/>
      <c r="H649" s="66"/>
      <c r="I649" s="66"/>
      <c r="J649" s="66"/>
      <c r="K649" s="66"/>
      <c r="L649" s="66"/>
      <c r="M649" s="66"/>
      <c r="N649" s="66"/>
    </row>
    <row r="650" spans="1:14" x14ac:dyDescent="0.2">
      <c r="A650" s="84"/>
      <c r="B650" s="84"/>
      <c r="C650" s="60"/>
      <c r="D650" s="66"/>
      <c r="E650" s="66"/>
      <c r="F650" s="66"/>
      <c r="G650" s="66"/>
      <c r="H650" s="66"/>
      <c r="I650" s="66"/>
      <c r="J650" s="66"/>
      <c r="K650" s="66"/>
      <c r="L650" s="66"/>
      <c r="M650" s="66"/>
      <c r="N650" s="66"/>
    </row>
    <row r="651" spans="1:14" x14ac:dyDescent="0.2">
      <c r="A651" s="84"/>
      <c r="B651" s="84"/>
      <c r="C651" s="60"/>
      <c r="D651" s="66"/>
      <c r="E651" s="66"/>
      <c r="F651" s="66"/>
      <c r="G651" s="66"/>
      <c r="H651" s="66"/>
      <c r="I651" s="66"/>
      <c r="J651" s="66"/>
      <c r="K651" s="66"/>
      <c r="L651" s="66"/>
      <c r="M651" s="66"/>
      <c r="N651" s="66"/>
    </row>
    <row r="652" spans="1:14" x14ac:dyDescent="0.2">
      <c r="A652" s="84"/>
      <c r="B652" s="84"/>
      <c r="C652" s="60"/>
      <c r="D652" s="66"/>
      <c r="E652" s="66"/>
      <c r="F652" s="66"/>
      <c r="G652" s="66"/>
      <c r="H652" s="66"/>
      <c r="I652" s="66"/>
      <c r="J652" s="66"/>
      <c r="K652" s="66"/>
      <c r="L652" s="66"/>
      <c r="M652" s="66"/>
      <c r="N652" s="66"/>
    </row>
    <row r="653" spans="1:14" x14ac:dyDescent="0.2">
      <c r="A653" s="84"/>
      <c r="B653" s="84"/>
      <c r="C653" s="60"/>
      <c r="D653" s="66"/>
      <c r="E653" s="66"/>
      <c r="F653" s="66"/>
      <c r="G653" s="66"/>
      <c r="H653" s="66"/>
      <c r="I653" s="66"/>
      <c r="J653" s="66"/>
      <c r="K653" s="66"/>
      <c r="L653" s="66"/>
      <c r="M653" s="66"/>
      <c r="N653" s="66"/>
    </row>
    <row r="654" spans="1:14" x14ac:dyDescent="0.2">
      <c r="A654" s="84"/>
      <c r="B654" s="84"/>
      <c r="C654" s="60"/>
      <c r="D654" s="66"/>
      <c r="E654" s="66"/>
      <c r="F654" s="66"/>
      <c r="G654" s="66"/>
      <c r="H654" s="66"/>
      <c r="I654" s="66"/>
      <c r="J654" s="66"/>
      <c r="K654" s="66"/>
      <c r="L654" s="66"/>
      <c r="M654" s="66"/>
      <c r="N654" s="66"/>
    </row>
    <row r="655" spans="1:14" x14ac:dyDescent="0.2">
      <c r="A655" s="84"/>
      <c r="B655" s="84"/>
      <c r="C655" s="60"/>
      <c r="D655" s="66"/>
      <c r="E655" s="66"/>
      <c r="F655" s="66"/>
      <c r="G655" s="66"/>
      <c r="H655" s="66"/>
      <c r="I655" s="66"/>
      <c r="J655" s="66"/>
      <c r="K655" s="66"/>
      <c r="L655" s="66"/>
      <c r="M655" s="66"/>
      <c r="N655" s="66"/>
    </row>
    <row r="656" spans="1:14" x14ac:dyDescent="0.2">
      <c r="A656" s="84"/>
      <c r="B656" s="84"/>
      <c r="C656" s="60"/>
      <c r="D656" s="66"/>
      <c r="E656" s="66"/>
      <c r="F656" s="66"/>
      <c r="G656" s="66"/>
      <c r="H656" s="66"/>
      <c r="I656" s="66"/>
      <c r="J656" s="66"/>
      <c r="K656" s="66"/>
      <c r="L656" s="66"/>
      <c r="M656" s="66"/>
      <c r="N656" s="66"/>
    </row>
    <row r="657" spans="1:14" x14ac:dyDescent="0.2">
      <c r="A657" s="84"/>
      <c r="B657" s="84"/>
      <c r="C657" s="60"/>
      <c r="D657" s="66"/>
      <c r="E657" s="66"/>
      <c r="F657" s="66"/>
      <c r="G657" s="66"/>
      <c r="H657" s="66"/>
      <c r="I657" s="66"/>
      <c r="J657" s="66"/>
      <c r="K657" s="66"/>
      <c r="L657" s="66"/>
      <c r="M657" s="66"/>
      <c r="N657" s="66"/>
    </row>
    <row r="658" spans="1:14" x14ac:dyDescent="0.2">
      <c r="A658" s="84"/>
      <c r="B658" s="84"/>
      <c r="C658" s="60"/>
      <c r="D658" s="66"/>
      <c r="E658" s="66"/>
      <c r="F658" s="66"/>
      <c r="G658" s="66"/>
      <c r="H658" s="66"/>
      <c r="I658" s="66"/>
      <c r="J658" s="66"/>
      <c r="K658" s="66"/>
      <c r="L658" s="66"/>
      <c r="M658" s="66"/>
      <c r="N658" s="66"/>
    </row>
    <row r="659" spans="1:14" x14ac:dyDescent="0.2">
      <c r="A659" s="84"/>
      <c r="B659" s="84"/>
      <c r="C659" s="60"/>
      <c r="D659" s="66"/>
      <c r="E659" s="66"/>
      <c r="F659" s="66"/>
      <c r="G659" s="66"/>
      <c r="H659" s="66"/>
      <c r="I659" s="66"/>
      <c r="J659" s="66"/>
      <c r="K659" s="66"/>
      <c r="L659" s="66"/>
      <c r="M659" s="66"/>
      <c r="N659" s="66"/>
    </row>
    <row r="660" spans="1:14" x14ac:dyDescent="0.2">
      <c r="A660" s="84"/>
      <c r="B660" s="84"/>
      <c r="C660" s="60"/>
      <c r="D660" s="66"/>
      <c r="E660" s="66"/>
      <c r="F660" s="66"/>
      <c r="G660" s="66"/>
      <c r="H660" s="66"/>
      <c r="I660" s="66"/>
      <c r="J660" s="66"/>
      <c r="K660" s="66"/>
      <c r="L660" s="66"/>
      <c r="M660" s="66"/>
      <c r="N660" s="66"/>
    </row>
    <row r="661" spans="1:14" x14ac:dyDescent="0.2">
      <c r="A661" s="84"/>
      <c r="B661" s="84"/>
      <c r="C661" s="60"/>
      <c r="D661" s="66"/>
      <c r="E661" s="66"/>
      <c r="F661" s="66"/>
      <c r="G661" s="66"/>
      <c r="H661" s="66"/>
      <c r="I661" s="66"/>
      <c r="J661" s="66"/>
      <c r="K661" s="66"/>
      <c r="L661" s="66"/>
      <c r="M661" s="66"/>
      <c r="N661" s="66"/>
    </row>
    <row r="662" spans="1:14" x14ac:dyDescent="0.2">
      <c r="A662" s="84"/>
      <c r="B662" s="84"/>
      <c r="C662" s="60"/>
      <c r="D662" s="66"/>
      <c r="E662" s="66"/>
      <c r="F662" s="66"/>
      <c r="G662" s="66"/>
      <c r="H662" s="66"/>
      <c r="I662" s="66"/>
      <c r="J662" s="66"/>
      <c r="K662" s="66"/>
      <c r="L662" s="66"/>
      <c r="M662" s="66"/>
      <c r="N662" s="66"/>
    </row>
    <row r="663" spans="1:14" x14ac:dyDescent="0.2">
      <c r="A663" s="84"/>
      <c r="B663" s="84"/>
      <c r="C663" s="60"/>
      <c r="D663" s="66"/>
      <c r="E663" s="66"/>
      <c r="F663" s="66"/>
      <c r="G663" s="66"/>
      <c r="H663" s="66"/>
      <c r="I663" s="66"/>
      <c r="J663" s="66"/>
      <c r="K663" s="66"/>
      <c r="L663" s="66"/>
      <c r="M663" s="66"/>
      <c r="N663" s="66"/>
    </row>
    <row r="664" spans="1:14" x14ac:dyDescent="0.2">
      <c r="A664" s="84"/>
      <c r="B664" s="84"/>
      <c r="C664" s="60"/>
      <c r="D664" s="66"/>
      <c r="E664" s="66"/>
      <c r="F664" s="66"/>
      <c r="G664" s="66"/>
      <c r="H664" s="66"/>
      <c r="I664" s="66"/>
      <c r="J664" s="66"/>
      <c r="K664" s="66"/>
      <c r="L664" s="66"/>
      <c r="M664" s="66"/>
      <c r="N664" s="66"/>
    </row>
    <row r="665" spans="1:14" x14ac:dyDescent="0.2">
      <c r="A665" s="84"/>
      <c r="B665" s="84"/>
      <c r="C665" s="60"/>
      <c r="D665" s="66"/>
      <c r="E665" s="66"/>
      <c r="F665" s="66"/>
      <c r="G665" s="66"/>
      <c r="H665" s="66"/>
      <c r="I665" s="66"/>
      <c r="J665" s="66"/>
      <c r="K665" s="66"/>
      <c r="L665" s="66"/>
      <c r="M665" s="66"/>
      <c r="N665" s="66"/>
    </row>
    <row r="666" spans="1:14" x14ac:dyDescent="0.2">
      <c r="A666" s="84"/>
      <c r="B666" s="84"/>
      <c r="C666" s="60"/>
      <c r="D666" s="66"/>
      <c r="E666" s="66"/>
      <c r="F666" s="66"/>
      <c r="G666" s="66"/>
      <c r="H666" s="66"/>
      <c r="I666" s="66"/>
      <c r="J666" s="66"/>
      <c r="K666" s="66"/>
      <c r="L666" s="66"/>
      <c r="M666" s="66"/>
      <c r="N666" s="66"/>
    </row>
    <row r="667" spans="1:14" x14ac:dyDescent="0.2">
      <c r="A667" s="84"/>
      <c r="B667" s="84"/>
      <c r="C667" s="60"/>
      <c r="D667" s="66"/>
      <c r="E667" s="66"/>
      <c r="F667" s="66"/>
      <c r="G667" s="66"/>
      <c r="H667" s="66"/>
      <c r="I667" s="66"/>
      <c r="J667" s="66"/>
      <c r="K667" s="66"/>
      <c r="L667" s="66"/>
      <c r="M667" s="66"/>
      <c r="N667" s="66"/>
    </row>
    <row r="668" spans="1:14" x14ac:dyDescent="0.2">
      <c r="A668" s="84"/>
      <c r="B668" s="84"/>
      <c r="C668" s="60"/>
      <c r="D668" s="66"/>
      <c r="E668" s="66"/>
      <c r="F668" s="66"/>
      <c r="G668" s="66"/>
      <c r="H668" s="66"/>
      <c r="I668" s="66"/>
      <c r="J668" s="66"/>
      <c r="K668" s="66"/>
      <c r="L668" s="66"/>
      <c r="M668" s="66"/>
      <c r="N668" s="66"/>
    </row>
    <row r="669" spans="1:14" x14ac:dyDescent="0.2">
      <c r="A669" s="84"/>
      <c r="B669" s="84"/>
      <c r="C669" s="60"/>
      <c r="D669" s="66"/>
      <c r="E669" s="66"/>
      <c r="F669" s="66"/>
      <c r="G669" s="66"/>
      <c r="H669" s="66"/>
      <c r="I669" s="66"/>
      <c r="J669" s="66"/>
      <c r="K669" s="66"/>
      <c r="L669" s="66"/>
      <c r="M669" s="66"/>
      <c r="N669" s="66"/>
    </row>
    <row r="670" spans="1:14" x14ac:dyDescent="0.2">
      <c r="A670" s="84"/>
      <c r="B670" s="84"/>
      <c r="C670" s="60"/>
      <c r="D670" s="66"/>
      <c r="E670" s="66"/>
      <c r="F670" s="66"/>
      <c r="G670" s="66"/>
      <c r="H670" s="66"/>
      <c r="I670" s="66"/>
      <c r="J670" s="66"/>
      <c r="K670" s="66"/>
      <c r="L670" s="66"/>
      <c r="M670" s="66"/>
      <c r="N670" s="66"/>
    </row>
    <row r="671" spans="1:14" x14ac:dyDescent="0.2">
      <c r="A671" s="84"/>
      <c r="B671" s="84"/>
      <c r="C671" s="60"/>
      <c r="D671" s="66"/>
      <c r="E671" s="66"/>
      <c r="F671" s="66"/>
      <c r="G671" s="66"/>
      <c r="H671" s="66"/>
      <c r="I671" s="66"/>
      <c r="J671" s="66"/>
      <c r="K671" s="66"/>
      <c r="L671" s="66"/>
      <c r="M671" s="66"/>
      <c r="N671" s="66"/>
    </row>
    <row r="672" spans="1:14" x14ac:dyDescent="0.2">
      <c r="A672" s="84"/>
      <c r="B672" s="84"/>
      <c r="C672" s="60"/>
      <c r="D672" s="66"/>
      <c r="E672" s="66"/>
      <c r="F672" s="66"/>
      <c r="G672" s="66"/>
      <c r="H672" s="66"/>
      <c r="I672" s="66"/>
      <c r="J672" s="66"/>
      <c r="K672" s="66"/>
      <c r="L672" s="66"/>
      <c r="M672" s="66"/>
      <c r="N672" s="66"/>
    </row>
    <row r="673" spans="1:14" x14ac:dyDescent="0.2">
      <c r="A673" s="84"/>
      <c r="B673" s="84"/>
      <c r="C673" s="60"/>
      <c r="D673" s="66"/>
      <c r="E673" s="66"/>
      <c r="F673" s="66"/>
      <c r="G673" s="66"/>
      <c r="H673" s="66"/>
      <c r="I673" s="66"/>
      <c r="J673" s="66"/>
      <c r="K673" s="66"/>
      <c r="L673" s="66"/>
      <c r="M673" s="66"/>
      <c r="N673" s="66"/>
    </row>
    <row r="674" spans="1:14" x14ac:dyDescent="0.2">
      <c r="A674" s="84"/>
      <c r="B674" s="84"/>
      <c r="C674" s="60"/>
      <c r="D674" s="66"/>
      <c r="E674" s="66"/>
      <c r="F674" s="66"/>
      <c r="G674" s="66"/>
      <c r="H674" s="66"/>
      <c r="I674" s="66"/>
      <c r="J674" s="66"/>
      <c r="K674" s="66"/>
      <c r="L674" s="66"/>
      <c r="M674" s="66"/>
      <c r="N674" s="66"/>
    </row>
    <row r="675" spans="1:14" x14ac:dyDescent="0.2">
      <c r="A675" s="84"/>
      <c r="B675" s="84"/>
      <c r="C675" s="60"/>
      <c r="D675" s="66"/>
      <c r="E675" s="66"/>
      <c r="F675" s="66"/>
      <c r="G675" s="66"/>
      <c r="H675" s="66"/>
      <c r="I675" s="66"/>
      <c r="J675" s="66"/>
      <c r="K675" s="66"/>
      <c r="L675" s="66"/>
      <c r="M675" s="66"/>
      <c r="N675" s="66"/>
    </row>
    <row r="676" spans="1:14" x14ac:dyDescent="0.2">
      <c r="A676" s="84"/>
      <c r="B676" s="84"/>
      <c r="C676" s="60"/>
      <c r="D676" s="66"/>
      <c r="E676" s="66"/>
      <c r="F676" s="66"/>
      <c r="G676" s="66"/>
      <c r="H676" s="66"/>
      <c r="I676" s="66"/>
      <c r="J676" s="66"/>
      <c r="K676" s="66"/>
      <c r="L676" s="66"/>
      <c r="M676" s="66"/>
      <c r="N676" s="66"/>
    </row>
    <row r="677" spans="1:14" x14ac:dyDescent="0.2">
      <c r="A677" s="84"/>
      <c r="B677" s="84"/>
      <c r="C677" s="60"/>
      <c r="D677" s="66"/>
      <c r="E677" s="66"/>
      <c r="F677" s="66"/>
      <c r="G677" s="66"/>
      <c r="H677" s="66"/>
      <c r="I677" s="66"/>
      <c r="J677" s="66"/>
      <c r="K677" s="66"/>
      <c r="L677" s="66"/>
      <c r="M677" s="66"/>
      <c r="N677" s="66"/>
    </row>
    <row r="678" spans="1:14" x14ac:dyDescent="0.2">
      <c r="A678" s="84"/>
      <c r="B678" s="84"/>
      <c r="C678" s="60"/>
      <c r="D678" s="66"/>
      <c r="E678" s="66"/>
      <c r="F678" s="66"/>
      <c r="G678" s="66"/>
      <c r="H678" s="66"/>
      <c r="I678" s="66"/>
      <c r="J678" s="66"/>
      <c r="K678" s="66"/>
      <c r="L678" s="66"/>
      <c r="M678" s="66"/>
      <c r="N678" s="66"/>
    </row>
    <row r="679" spans="1:14" x14ac:dyDescent="0.2">
      <c r="A679" s="84"/>
      <c r="B679" s="84"/>
      <c r="C679" s="60"/>
      <c r="D679" s="66"/>
      <c r="E679" s="66"/>
      <c r="F679" s="66"/>
      <c r="G679" s="66"/>
      <c r="H679" s="66"/>
      <c r="I679" s="66"/>
      <c r="J679" s="66"/>
      <c r="K679" s="66"/>
      <c r="L679" s="66"/>
      <c r="M679" s="66"/>
      <c r="N679" s="66"/>
    </row>
    <row r="680" spans="1:14" x14ac:dyDescent="0.2">
      <c r="A680" s="84"/>
      <c r="B680" s="84"/>
      <c r="C680" s="60"/>
      <c r="D680" s="66"/>
      <c r="E680" s="66"/>
      <c r="F680" s="66"/>
      <c r="G680" s="66"/>
      <c r="H680" s="66"/>
      <c r="I680" s="66"/>
      <c r="J680" s="66"/>
      <c r="K680" s="66"/>
      <c r="L680" s="66"/>
      <c r="M680" s="66"/>
      <c r="N680" s="66"/>
    </row>
    <row r="681" spans="1:14" x14ac:dyDescent="0.2">
      <c r="A681" s="84"/>
      <c r="B681" s="84"/>
      <c r="C681" s="60"/>
      <c r="D681" s="66"/>
      <c r="E681" s="66"/>
      <c r="F681" s="66"/>
      <c r="G681" s="66"/>
      <c r="H681" s="66"/>
      <c r="I681" s="66"/>
      <c r="J681" s="66"/>
      <c r="K681" s="66"/>
      <c r="L681" s="66"/>
      <c r="M681" s="66"/>
      <c r="N681" s="66"/>
    </row>
    <row r="682" spans="1:14" x14ac:dyDescent="0.2">
      <c r="A682" s="84"/>
      <c r="B682" s="84"/>
      <c r="C682" s="60"/>
      <c r="D682" s="66"/>
      <c r="E682" s="66"/>
      <c r="F682" s="66"/>
      <c r="G682" s="66"/>
      <c r="H682" s="66"/>
      <c r="I682" s="66"/>
      <c r="J682" s="66"/>
      <c r="K682" s="66"/>
      <c r="L682" s="66"/>
      <c r="M682" s="66"/>
      <c r="N682" s="66"/>
    </row>
    <row r="683" spans="1:14" x14ac:dyDescent="0.2">
      <c r="A683" s="84"/>
      <c r="B683" s="84"/>
      <c r="C683" s="60"/>
      <c r="D683" s="66"/>
      <c r="E683" s="66"/>
      <c r="F683" s="66"/>
      <c r="G683" s="66"/>
      <c r="H683" s="66"/>
      <c r="I683" s="66"/>
      <c r="J683" s="66"/>
      <c r="K683" s="66"/>
      <c r="L683" s="66"/>
      <c r="M683" s="66"/>
      <c r="N683" s="66"/>
    </row>
    <row r="684" spans="1:14" x14ac:dyDescent="0.2">
      <c r="A684" s="84"/>
      <c r="B684" s="84"/>
      <c r="C684" s="60"/>
      <c r="D684" s="66"/>
      <c r="E684" s="66"/>
      <c r="F684" s="66"/>
      <c r="G684" s="66"/>
      <c r="H684" s="66"/>
      <c r="I684" s="66"/>
      <c r="J684" s="66"/>
      <c r="K684" s="66"/>
      <c r="L684" s="66"/>
      <c r="M684" s="66"/>
      <c r="N684" s="66"/>
    </row>
    <row r="685" spans="1:14" x14ac:dyDescent="0.2">
      <c r="A685" s="84"/>
      <c r="B685" s="84"/>
      <c r="C685" s="60"/>
      <c r="D685" s="66"/>
      <c r="E685" s="66"/>
      <c r="F685" s="66"/>
      <c r="G685" s="66"/>
      <c r="H685" s="66"/>
      <c r="I685" s="66"/>
      <c r="J685" s="66"/>
      <c r="K685" s="66"/>
      <c r="L685" s="66"/>
      <c r="M685" s="66"/>
      <c r="N685" s="66"/>
    </row>
    <row r="686" spans="1:14" x14ac:dyDescent="0.2">
      <c r="A686" s="84"/>
      <c r="B686" s="84"/>
      <c r="C686" s="60"/>
      <c r="D686" s="66"/>
      <c r="E686" s="66"/>
      <c r="F686" s="66"/>
      <c r="G686" s="66"/>
      <c r="H686" s="66"/>
      <c r="I686" s="66"/>
      <c r="J686" s="66"/>
      <c r="K686" s="66"/>
      <c r="L686" s="66"/>
      <c r="M686" s="66"/>
      <c r="N686" s="66"/>
    </row>
    <row r="687" spans="1:14" x14ac:dyDescent="0.2">
      <c r="A687" s="84"/>
      <c r="B687" s="84"/>
      <c r="C687" s="60"/>
      <c r="D687" s="66"/>
      <c r="E687" s="66"/>
      <c r="F687" s="66"/>
      <c r="G687" s="66"/>
      <c r="H687" s="66"/>
      <c r="I687" s="66"/>
      <c r="J687" s="66"/>
      <c r="K687" s="66"/>
      <c r="L687" s="66"/>
      <c r="M687" s="66"/>
      <c r="N687" s="66"/>
    </row>
    <row r="688" spans="1:14" x14ac:dyDescent="0.2">
      <c r="A688" s="84"/>
      <c r="B688" s="84"/>
      <c r="C688" s="60"/>
      <c r="D688" s="66"/>
      <c r="E688" s="66"/>
      <c r="F688" s="66"/>
      <c r="G688" s="66"/>
      <c r="H688" s="66"/>
      <c r="I688" s="66"/>
      <c r="J688" s="66"/>
      <c r="K688" s="66"/>
      <c r="L688" s="66"/>
      <c r="M688" s="66"/>
      <c r="N688" s="66"/>
    </row>
    <row r="689" spans="1:14" x14ac:dyDescent="0.2">
      <c r="A689" s="84"/>
      <c r="B689" s="84"/>
      <c r="C689" s="60"/>
      <c r="D689" s="66"/>
      <c r="E689" s="66"/>
      <c r="F689" s="66"/>
      <c r="G689" s="66"/>
      <c r="H689" s="66"/>
      <c r="I689" s="66"/>
      <c r="J689" s="66"/>
      <c r="K689" s="66"/>
      <c r="L689" s="66"/>
      <c r="M689" s="66"/>
      <c r="N689" s="66"/>
    </row>
    <row r="690" spans="1:14" x14ac:dyDescent="0.2">
      <c r="A690" s="84"/>
      <c r="B690" s="84"/>
      <c r="C690" s="60"/>
      <c r="D690" s="66"/>
      <c r="E690" s="66"/>
      <c r="F690" s="66"/>
      <c r="G690" s="66"/>
      <c r="H690" s="66"/>
      <c r="I690" s="66"/>
      <c r="J690" s="66"/>
      <c r="K690" s="66"/>
      <c r="L690" s="66"/>
      <c r="M690" s="66"/>
      <c r="N690" s="66"/>
    </row>
    <row r="691" spans="1:14" x14ac:dyDescent="0.2">
      <c r="A691" s="84"/>
      <c r="B691" s="84"/>
      <c r="C691" s="60"/>
      <c r="D691" s="66"/>
      <c r="E691" s="66"/>
      <c r="F691" s="66"/>
      <c r="G691" s="66"/>
      <c r="H691" s="66"/>
      <c r="I691" s="66"/>
      <c r="J691" s="66"/>
      <c r="K691" s="66"/>
      <c r="L691" s="66"/>
      <c r="M691" s="66"/>
      <c r="N691" s="66"/>
    </row>
    <row r="692" spans="1:14" x14ac:dyDescent="0.2">
      <c r="A692" s="84"/>
      <c r="B692" s="84"/>
      <c r="C692" s="60"/>
      <c r="D692" s="66"/>
      <c r="E692" s="66"/>
      <c r="F692" s="66"/>
      <c r="G692" s="66"/>
      <c r="H692" s="66"/>
      <c r="I692" s="66"/>
      <c r="J692" s="66"/>
      <c r="K692" s="66"/>
      <c r="L692" s="66"/>
      <c r="M692" s="66"/>
      <c r="N692" s="66"/>
    </row>
    <row r="693" spans="1:14" x14ac:dyDescent="0.2">
      <c r="A693" s="84"/>
      <c r="B693" s="84"/>
      <c r="C693" s="60"/>
      <c r="D693" s="66"/>
      <c r="E693" s="66"/>
      <c r="F693" s="66"/>
      <c r="G693" s="66"/>
      <c r="H693" s="66"/>
      <c r="I693" s="66"/>
      <c r="J693" s="66"/>
      <c r="K693" s="66"/>
      <c r="L693" s="66"/>
      <c r="M693" s="66"/>
      <c r="N693" s="66"/>
    </row>
    <row r="694" spans="1:14" x14ac:dyDescent="0.2">
      <c r="A694" s="84"/>
      <c r="B694" s="84"/>
      <c r="C694" s="60"/>
      <c r="D694" s="66"/>
      <c r="E694" s="66"/>
      <c r="F694" s="66"/>
      <c r="G694" s="66"/>
      <c r="H694" s="66"/>
      <c r="I694" s="66"/>
      <c r="J694" s="66"/>
      <c r="K694" s="66"/>
      <c r="L694" s="66"/>
      <c r="M694" s="66"/>
      <c r="N694" s="66"/>
    </row>
    <row r="695" spans="1:14" x14ac:dyDescent="0.2">
      <c r="A695" s="84"/>
      <c r="B695" s="84"/>
      <c r="C695" s="60"/>
      <c r="D695" s="66"/>
      <c r="E695" s="66"/>
      <c r="F695" s="66"/>
      <c r="G695" s="66"/>
      <c r="H695" s="66"/>
      <c r="I695" s="66"/>
      <c r="J695" s="66"/>
      <c r="K695" s="66"/>
      <c r="L695" s="66"/>
      <c r="M695" s="66"/>
      <c r="N695" s="66"/>
    </row>
    <row r="696" spans="1:14" x14ac:dyDescent="0.2">
      <c r="A696" s="84"/>
      <c r="B696" s="84"/>
      <c r="C696" s="60"/>
      <c r="D696" s="66"/>
      <c r="E696" s="66"/>
      <c r="F696" s="66"/>
      <c r="G696" s="66"/>
      <c r="H696" s="66"/>
      <c r="I696" s="66"/>
      <c r="J696" s="66"/>
      <c r="K696" s="66"/>
      <c r="L696" s="66"/>
      <c r="M696" s="66"/>
      <c r="N696" s="66"/>
    </row>
    <row r="697" spans="1:14" x14ac:dyDescent="0.2">
      <c r="A697" s="84"/>
      <c r="B697" s="84"/>
      <c r="C697" s="60"/>
      <c r="D697" s="66"/>
      <c r="E697" s="66"/>
      <c r="F697" s="66"/>
      <c r="G697" s="66"/>
      <c r="H697" s="66"/>
      <c r="I697" s="66"/>
      <c r="J697" s="66"/>
      <c r="K697" s="66"/>
      <c r="L697" s="66"/>
      <c r="M697" s="66"/>
      <c r="N697" s="66"/>
    </row>
    <row r="698" spans="1:14" x14ac:dyDescent="0.2">
      <c r="A698" s="84"/>
      <c r="B698" s="84"/>
      <c r="C698" s="60"/>
      <c r="D698" s="66"/>
      <c r="E698" s="66"/>
      <c r="F698" s="66"/>
      <c r="G698" s="66"/>
      <c r="H698" s="66"/>
      <c r="I698" s="66"/>
      <c r="J698" s="66"/>
      <c r="K698" s="66"/>
      <c r="L698" s="66"/>
      <c r="M698" s="66"/>
      <c r="N698" s="66"/>
    </row>
    <row r="699" spans="1:14" x14ac:dyDescent="0.2">
      <c r="A699" s="84"/>
      <c r="B699" s="84"/>
      <c r="C699" s="60"/>
      <c r="D699" s="66"/>
      <c r="E699" s="66"/>
      <c r="F699" s="66"/>
      <c r="G699" s="66"/>
      <c r="H699" s="66"/>
      <c r="I699" s="66"/>
      <c r="J699" s="66"/>
      <c r="K699" s="66"/>
      <c r="L699" s="66"/>
      <c r="M699" s="66"/>
      <c r="N699" s="66"/>
    </row>
    <row r="700" spans="1:14" x14ac:dyDescent="0.2">
      <c r="A700" s="84"/>
      <c r="B700" s="84"/>
      <c r="C700" s="60"/>
      <c r="D700" s="66"/>
      <c r="E700" s="66"/>
      <c r="F700" s="66"/>
      <c r="G700" s="66"/>
      <c r="H700" s="66"/>
      <c r="I700" s="66"/>
      <c r="J700" s="66"/>
      <c r="K700" s="66"/>
      <c r="L700" s="66"/>
      <c r="M700" s="66"/>
      <c r="N700" s="66"/>
    </row>
    <row r="701" spans="1:14" x14ac:dyDescent="0.2">
      <c r="A701" s="84"/>
      <c r="B701" s="84"/>
      <c r="C701" s="60"/>
      <c r="D701" s="66"/>
      <c r="E701" s="66"/>
      <c r="F701" s="66"/>
      <c r="G701" s="66"/>
      <c r="H701" s="66"/>
      <c r="I701" s="66"/>
      <c r="J701" s="66"/>
      <c r="K701" s="66"/>
      <c r="L701" s="66"/>
      <c r="M701" s="66"/>
      <c r="N701" s="66"/>
    </row>
    <row r="702" spans="1:14" x14ac:dyDescent="0.2">
      <c r="A702" s="84"/>
      <c r="B702" s="84"/>
      <c r="C702" s="60"/>
      <c r="D702" s="66"/>
      <c r="E702" s="66"/>
      <c r="F702" s="66"/>
      <c r="G702" s="66"/>
      <c r="H702" s="66"/>
      <c r="I702" s="66"/>
      <c r="J702" s="66"/>
      <c r="K702" s="66"/>
      <c r="L702" s="66"/>
      <c r="M702" s="66"/>
      <c r="N702" s="66"/>
    </row>
    <row r="703" spans="1:14" x14ac:dyDescent="0.2">
      <c r="A703" s="84"/>
      <c r="B703" s="84"/>
      <c r="C703" s="60"/>
      <c r="D703" s="66"/>
      <c r="E703" s="66"/>
      <c r="F703" s="66"/>
      <c r="G703" s="66"/>
      <c r="H703" s="66"/>
      <c r="I703" s="66"/>
      <c r="J703" s="66"/>
      <c r="K703" s="66"/>
      <c r="L703" s="66"/>
      <c r="M703" s="66"/>
      <c r="N703" s="66"/>
    </row>
    <row r="704" spans="1:14" x14ac:dyDescent="0.2">
      <c r="A704" s="84"/>
      <c r="B704" s="84"/>
      <c r="C704" s="60"/>
      <c r="D704" s="66"/>
      <c r="E704" s="66"/>
      <c r="F704" s="66"/>
      <c r="G704" s="66"/>
      <c r="H704" s="66"/>
      <c r="I704" s="66"/>
      <c r="J704" s="66"/>
      <c r="K704" s="66"/>
      <c r="L704" s="66"/>
      <c r="M704" s="66"/>
      <c r="N704" s="66"/>
    </row>
    <row r="705" spans="1:14" x14ac:dyDescent="0.2">
      <c r="A705" s="84"/>
      <c r="B705" s="84"/>
      <c r="C705" s="60"/>
      <c r="D705" s="66"/>
      <c r="E705" s="66"/>
      <c r="F705" s="66"/>
      <c r="G705" s="66"/>
      <c r="H705" s="66"/>
      <c r="I705" s="66"/>
      <c r="J705" s="66"/>
      <c r="K705" s="66"/>
      <c r="L705" s="66"/>
      <c r="M705" s="66"/>
      <c r="N705" s="66"/>
    </row>
    <row r="706" spans="1:14" x14ac:dyDescent="0.2">
      <c r="A706" s="84"/>
      <c r="B706" s="84"/>
      <c r="C706" s="60"/>
      <c r="D706" s="66"/>
      <c r="E706" s="66"/>
      <c r="F706" s="66"/>
      <c r="G706" s="66"/>
      <c r="H706" s="66"/>
      <c r="I706" s="66"/>
      <c r="J706" s="66"/>
      <c r="K706" s="66"/>
      <c r="L706" s="66"/>
      <c r="M706" s="66"/>
      <c r="N706" s="66"/>
    </row>
    <row r="707" spans="1:14" x14ac:dyDescent="0.2">
      <c r="A707" s="84"/>
      <c r="B707" s="84"/>
      <c r="C707" s="60"/>
      <c r="D707" s="66"/>
      <c r="E707" s="66"/>
      <c r="F707" s="66"/>
      <c r="G707" s="66"/>
      <c r="H707" s="66"/>
      <c r="I707" s="66"/>
      <c r="J707" s="66"/>
      <c r="K707" s="66"/>
      <c r="L707" s="66"/>
      <c r="M707" s="66"/>
      <c r="N707" s="66"/>
    </row>
    <row r="708" spans="1:14" x14ac:dyDescent="0.2">
      <c r="A708" s="84"/>
      <c r="B708" s="84"/>
      <c r="C708" s="60"/>
      <c r="D708" s="66"/>
      <c r="E708" s="66"/>
      <c r="F708" s="66"/>
      <c r="G708" s="66"/>
      <c r="H708" s="66"/>
      <c r="I708" s="66"/>
      <c r="J708" s="66"/>
      <c r="K708" s="66"/>
      <c r="L708" s="66"/>
      <c r="M708" s="66"/>
      <c r="N708" s="66"/>
    </row>
    <row r="709" spans="1:14" x14ac:dyDescent="0.2">
      <c r="A709" s="84"/>
      <c r="B709" s="84"/>
      <c r="C709" s="60"/>
      <c r="D709" s="66"/>
      <c r="E709" s="66"/>
      <c r="F709" s="66"/>
      <c r="G709" s="66"/>
      <c r="H709" s="66"/>
      <c r="I709" s="66"/>
      <c r="J709" s="66"/>
      <c r="K709" s="66"/>
      <c r="L709" s="66"/>
      <c r="M709" s="66"/>
      <c r="N709" s="66"/>
    </row>
    <row r="710" spans="1:14" x14ac:dyDescent="0.2">
      <c r="A710" s="84"/>
      <c r="B710" s="84"/>
      <c r="C710" s="60"/>
      <c r="D710" s="66"/>
      <c r="E710" s="66"/>
      <c r="F710" s="66"/>
      <c r="G710" s="66"/>
      <c r="H710" s="66"/>
      <c r="I710" s="66"/>
      <c r="J710" s="66"/>
      <c r="K710" s="66"/>
      <c r="L710" s="66"/>
      <c r="M710" s="66"/>
      <c r="N710" s="66"/>
    </row>
    <row r="711" spans="1:14" x14ac:dyDescent="0.2">
      <c r="A711" s="84"/>
      <c r="B711" s="84"/>
      <c r="C711" s="60"/>
      <c r="D711" s="66"/>
      <c r="E711" s="66"/>
      <c r="F711" s="66"/>
      <c r="G711" s="66"/>
      <c r="H711" s="66"/>
      <c r="I711" s="66"/>
      <c r="J711" s="66"/>
      <c r="K711" s="66"/>
      <c r="L711" s="66"/>
      <c r="M711" s="66"/>
      <c r="N711" s="66"/>
    </row>
    <row r="712" spans="1:14" x14ac:dyDescent="0.2">
      <c r="A712" s="84"/>
      <c r="B712" s="84"/>
      <c r="C712" s="60"/>
      <c r="D712" s="66"/>
      <c r="E712" s="66"/>
      <c r="F712" s="66"/>
      <c r="G712" s="66"/>
      <c r="H712" s="66"/>
      <c r="I712" s="66"/>
      <c r="J712" s="66"/>
      <c r="K712" s="66"/>
      <c r="L712" s="66"/>
      <c r="M712" s="66"/>
      <c r="N712" s="66"/>
    </row>
    <row r="713" spans="1:14" x14ac:dyDescent="0.2">
      <c r="A713" s="84"/>
      <c r="B713" s="84"/>
      <c r="C713" s="60"/>
      <c r="D713" s="66"/>
      <c r="E713" s="66"/>
      <c r="F713" s="66"/>
      <c r="G713" s="66"/>
      <c r="H713" s="66"/>
      <c r="I713" s="66"/>
      <c r="J713" s="66"/>
      <c r="K713" s="66"/>
      <c r="L713" s="66"/>
      <c r="M713" s="66"/>
      <c r="N713" s="66"/>
    </row>
    <row r="714" spans="1:14" x14ac:dyDescent="0.2">
      <c r="A714" s="84"/>
      <c r="B714" s="84"/>
      <c r="C714" s="60"/>
      <c r="D714" s="66"/>
      <c r="E714" s="66"/>
      <c r="F714" s="66"/>
      <c r="G714" s="66"/>
      <c r="H714" s="66"/>
      <c r="I714" s="66"/>
      <c r="J714" s="66"/>
      <c r="K714" s="66"/>
      <c r="L714" s="66"/>
      <c r="M714" s="66"/>
      <c r="N714" s="66"/>
    </row>
    <row r="715" spans="1:14" x14ac:dyDescent="0.2">
      <c r="A715" s="84"/>
      <c r="B715" s="84"/>
      <c r="C715" s="60"/>
      <c r="D715" s="66"/>
      <c r="E715" s="66"/>
      <c r="F715" s="66"/>
      <c r="G715" s="66"/>
      <c r="H715" s="66"/>
      <c r="I715" s="66"/>
      <c r="J715" s="66"/>
      <c r="K715" s="66"/>
      <c r="L715" s="66"/>
      <c r="M715" s="66"/>
      <c r="N715" s="66"/>
    </row>
    <row r="716" spans="1:14" x14ac:dyDescent="0.2">
      <c r="A716" s="84"/>
      <c r="B716" s="84"/>
      <c r="C716" s="60"/>
      <c r="D716" s="66"/>
      <c r="E716" s="66"/>
      <c r="F716" s="66"/>
      <c r="G716" s="66"/>
      <c r="H716" s="66"/>
      <c r="I716" s="66"/>
      <c r="J716" s="66"/>
      <c r="K716" s="66"/>
      <c r="L716" s="66"/>
      <c r="M716" s="66"/>
      <c r="N716" s="66"/>
    </row>
    <row r="717" spans="1:14" x14ac:dyDescent="0.2">
      <c r="A717" s="84"/>
      <c r="B717" s="84"/>
      <c r="C717" s="60"/>
      <c r="D717" s="66"/>
      <c r="E717" s="66"/>
      <c r="F717" s="66"/>
      <c r="G717" s="66"/>
      <c r="H717" s="66"/>
      <c r="I717" s="66"/>
      <c r="J717" s="66"/>
      <c r="K717" s="66"/>
      <c r="L717" s="66"/>
      <c r="M717" s="66"/>
      <c r="N717" s="66"/>
    </row>
    <row r="718" spans="1:14" x14ac:dyDescent="0.2">
      <c r="A718" s="84"/>
      <c r="B718" s="84"/>
      <c r="C718" s="60"/>
      <c r="D718" s="66"/>
      <c r="E718" s="66"/>
      <c r="F718" s="66"/>
      <c r="G718" s="66"/>
      <c r="H718" s="66"/>
      <c r="I718" s="66"/>
      <c r="J718" s="66"/>
      <c r="K718" s="66"/>
      <c r="L718" s="66"/>
      <c r="M718" s="66"/>
      <c r="N718" s="66"/>
    </row>
    <row r="719" spans="1:14" x14ac:dyDescent="0.2">
      <c r="A719" s="84"/>
      <c r="B719" s="84"/>
      <c r="C719" s="60"/>
      <c r="D719" s="66"/>
      <c r="E719" s="66"/>
      <c r="F719" s="66"/>
      <c r="G719" s="66"/>
      <c r="H719" s="66"/>
      <c r="I719" s="66"/>
      <c r="J719" s="66"/>
      <c r="K719" s="66"/>
      <c r="L719" s="66"/>
      <c r="M719" s="66"/>
      <c r="N719" s="66"/>
    </row>
    <row r="720" spans="1:14" x14ac:dyDescent="0.2">
      <c r="A720" s="84"/>
      <c r="B720" s="84"/>
      <c r="C720" s="60"/>
      <c r="D720" s="66"/>
      <c r="E720" s="66"/>
      <c r="F720" s="66"/>
      <c r="G720" s="66"/>
      <c r="H720" s="66"/>
      <c r="I720" s="66"/>
      <c r="J720" s="66"/>
      <c r="K720" s="66"/>
      <c r="L720" s="66"/>
      <c r="M720" s="66"/>
      <c r="N720" s="66"/>
    </row>
    <row r="721" spans="1:14" x14ac:dyDescent="0.2">
      <c r="A721" s="84"/>
      <c r="B721" s="84"/>
      <c r="C721" s="60"/>
      <c r="D721" s="66"/>
      <c r="E721" s="66"/>
      <c r="F721" s="66"/>
      <c r="G721" s="66"/>
      <c r="H721" s="66"/>
      <c r="I721" s="66"/>
      <c r="J721" s="66"/>
      <c r="K721" s="66"/>
      <c r="L721" s="66"/>
      <c r="M721" s="66"/>
      <c r="N721" s="66"/>
    </row>
    <row r="722" spans="1:14" x14ac:dyDescent="0.2">
      <c r="A722" s="84"/>
      <c r="B722" s="84"/>
      <c r="C722" s="60"/>
      <c r="D722" s="66"/>
      <c r="E722" s="66"/>
      <c r="F722" s="66"/>
      <c r="G722" s="66"/>
      <c r="H722" s="66"/>
      <c r="I722" s="66"/>
      <c r="J722" s="66"/>
      <c r="K722" s="66"/>
      <c r="L722" s="66"/>
      <c r="M722" s="66"/>
      <c r="N722" s="66"/>
    </row>
    <row r="723" spans="1:14" x14ac:dyDescent="0.2">
      <c r="A723" s="84"/>
      <c r="B723" s="84"/>
      <c r="C723" s="60"/>
      <c r="D723" s="66"/>
      <c r="E723" s="66"/>
      <c r="F723" s="66"/>
      <c r="G723" s="66"/>
      <c r="H723" s="66"/>
      <c r="I723" s="66"/>
      <c r="J723" s="66"/>
      <c r="K723" s="66"/>
      <c r="L723" s="66"/>
      <c r="M723" s="66"/>
      <c r="N723" s="66"/>
    </row>
    <row r="724" spans="1:14" x14ac:dyDescent="0.2">
      <c r="A724" s="84"/>
      <c r="B724" s="84"/>
      <c r="C724" s="60"/>
      <c r="D724" s="66"/>
      <c r="E724" s="66"/>
      <c r="F724" s="66"/>
      <c r="G724" s="66"/>
      <c r="H724" s="66"/>
      <c r="I724" s="66"/>
      <c r="J724" s="66"/>
      <c r="K724" s="66"/>
      <c r="L724" s="66"/>
      <c r="M724" s="66"/>
      <c r="N724" s="66"/>
    </row>
    <row r="725" spans="1:14" x14ac:dyDescent="0.2">
      <c r="A725" s="84"/>
      <c r="B725" s="84"/>
      <c r="C725" s="60"/>
      <c r="D725" s="66"/>
      <c r="E725" s="66"/>
      <c r="F725" s="66"/>
      <c r="G725" s="66"/>
      <c r="H725" s="66"/>
      <c r="I725" s="66"/>
      <c r="J725" s="66"/>
      <c r="K725" s="66"/>
      <c r="L725" s="66"/>
      <c r="M725" s="66"/>
      <c r="N725" s="66"/>
    </row>
    <row r="726" spans="1:14" x14ac:dyDescent="0.2">
      <c r="A726" s="84"/>
      <c r="B726" s="84"/>
      <c r="C726" s="60"/>
      <c r="D726" s="66"/>
      <c r="E726" s="66"/>
      <c r="F726" s="66"/>
      <c r="G726" s="66"/>
      <c r="H726" s="66"/>
      <c r="I726" s="66"/>
      <c r="J726" s="66"/>
      <c r="K726" s="66"/>
      <c r="L726" s="66"/>
      <c r="M726" s="66"/>
      <c r="N726" s="66"/>
    </row>
    <row r="727" spans="1:14" x14ac:dyDescent="0.2">
      <c r="A727" s="84"/>
      <c r="B727" s="84"/>
      <c r="C727" s="60"/>
      <c r="D727" s="66"/>
      <c r="E727" s="66"/>
      <c r="F727" s="66"/>
      <c r="G727" s="66"/>
      <c r="H727" s="66"/>
      <c r="I727" s="66"/>
      <c r="J727" s="66"/>
      <c r="K727" s="66"/>
      <c r="L727" s="66"/>
      <c r="M727" s="66"/>
      <c r="N727" s="66"/>
    </row>
    <row r="728" spans="1:14" x14ac:dyDescent="0.2">
      <c r="A728" s="84"/>
      <c r="B728" s="84"/>
      <c r="C728" s="60"/>
      <c r="D728" s="66"/>
      <c r="E728" s="66"/>
      <c r="F728" s="66"/>
      <c r="G728" s="66"/>
      <c r="H728" s="66"/>
      <c r="I728" s="66"/>
      <c r="J728" s="66"/>
      <c r="K728" s="66"/>
      <c r="L728" s="66"/>
      <c r="M728" s="66"/>
      <c r="N728" s="66"/>
    </row>
    <row r="729" spans="1:14" x14ac:dyDescent="0.2">
      <c r="A729" s="84"/>
      <c r="B729" s="84"/>
      <c r="C729" s="60"/>
      <c r="D729" s="66"/>
      <c r="E729" s="66"/>
      <c r="F729" s="66"/>
      <c r="G729" s="66"/>
      <c r="H729" s="66"/>
      <c r="I729" s="66"/>
      <c r="J729" s="66"/>
      <c r="K729" s="66"/>
      <c r="L729" s="66"/>
      <c r="M729" s="66"/>
      <c r="N729" s="66"/>
    </row>
    <row r="730" spans="1:14" x14ac:dyDescent="0.2">
      <c r="A730" s="84"/>
      <c r="B730" s="84"/>
      <c r="C730" s="60"/>
      <c r="D730" s="66"/>
      <c r="E730" s="66"/>
      <c r="F730" s="66"/>
      <c r="G730" s="66"/>
      <c r="H730" s="66"/>
      <c r="I730" s="66"/>
      <c r="J730" s="66"/>
      <c r="K730" s="66"/>
      <c r="L730" s="66"/>
      <c r="M730" s="66"/>
      <c r="N730" s="66"/>
    </row>
    <row r="731" spans="1:14" x14ac:dyDescent="0.2">
      <c r="A731" s="84"/>
      <c r="B731" s="84"/>
      <c r="C731" s="60"/>
      <c r="D731" s="66"/>
      <c r="E731" s="66"/>
      <c r="F731" s="66"/>
      <c r="G731" s="66"/>
      <c r="H731" s="66"/>
      <c r="I731" s="66"/>
      <c r="J731" s="66"/>
      <c r="K731" s="66"/>
      <c r="L731" s="66"/>
      <c r="M731" s="66"/>
      <c r="N731" s="66"/>
    </row>
    <row r="732" spans="1:14" x14ac:dyDescent="0.2">
      <c r="A732" s="84"/>
      <c r="B732" s="84"/>
      <c r="C732" s="60"/>
      <c r="D732" s="66"/>
      <c r="E732" s="66"/>
      <c r="F732" s="66"/>
      <c r="G732" s="66"/>
      <c r="H732" s="66"/>
      <c r="I732" s="66"/>
      <c r="J732" s="66"/>
      <c r="K732" s="66"/>
      <c r="L732" s="66"/>
      <c r="M732" s="66"/>
      <c r="N732" s="66"/>
    </row>
    <row r="733" spans="1:14" x14ac:dyDescent="0.2">
      <c r="A733" s="84"/>
      <c r="B733" s="84"/>
      <c r="C733" s="60"/>
      <c r="D733" s="66"/>
      <c r="E733" s="66"/>
      <c r="F733" s="66"/>
      <c r="G733" s="66"/>
      <c r="H733" s="66"/>
      <c r="I733" s="66"/>
      <c r="J733" s="66"/>
      <c r="K733" s="66"/>
      <c r="L733" s="66"/>
      <c r="M733" s="66"/>
      <c r="N733" s="66"/>
    </row>
    <row r="734" spans="1:14" x14ac:dyDescent="0.2">
      <c r="A734" s="84"/>
      <c r="B734" s="84"/>
      <c r="C734" s="60"/>
      <c r="D734" s="66"/>
      <c r="E734" s="66"/>
      <c r="F734" s="66"/>
      <c r="G734" s="66"/>
      <c r="H734" s="66"/>
      <c r="I734" s="66"/>
      <c r="J734" s="66"/>
      <c r="K734" s="66"/>
      <c r="L734" s="66"/>
      <c r="M734" s="66"/>
      <c r="N734" s="66"/>
    </row>
    <row r="735" spans="1:14" x14ac:dyDescent="0.2">
      <c r="A735" s="84"/>
      <c r="B735" s="84"/>
      <c r="C735" s="60"/>
      <c r="D735" s="66"/>
      <c r="E735" s="66"/>
      <c r="F735" s="66"/>
      <c r="G735" s="66"/>
      <c r="H735" s="66"/>
      <c r="I735" s="66"/>
      <c r="J735" s="66"/>
      <c r="K735" s="66"/>
      <c r="L735" s="66"/>
      <c r="M735" s="66"/>
      <c r="N735" s="66"/>
    </row>
    <row r="736" spans="1:14" x14ac:dyDescent="0.2">
      <c r="A736" s="84"/>
      <c r="B736" s="84"/>
      <c r="C736" s="60"/>
      <c r="D736" s="66"/>
      <c r="E736" s="66"/>
      <c r="F736" s="66"/>
      <c r="G736" s="66"/>
      <c r="H736" s="66"/>
      <c r="I736" s="66"/>
      <c r="J736" s="66"/>
      <c r="K736" s="66"/>
      <c r="L736" s="66"/>
      <c r="M736" s="66"/>
      <c r="N736" s="66"/>
    </row>
    <row r="737" spans="1:14" x14ac:dyDescent="0.2">
      <c r="A737" s="84"/>
      <c r="B737" s="84"/>
      <c r="C737" s="60"/>
      <c r="D737" s="66"/>
      <c r="E737" s="66"/>
      <c r="F737" s="66"/>
      <c r="G737" s="66"/>
      <c r="H737" s="66"/>
      <c r="I737" s="66"/>
      <c r="J737" s="66"/>
      <c r="K737" s="66"/>
      <c r="L737" s="66"/>
      <c r="M737" s="66"/>
      <c r="N737" s="66"/>
    </row>
    <row r="738" spans="1:14" x14ac:dyDescent="0.2">
      <c r="A738" s="84"/>
      <c r="B738" s="84"/>
      <c r="C738" s="60"/>
      <c r="D738" s="66"/>
      <c r="E738" s="66"/>
      <c r="F738" s="66"/>
      <c r="G738" s="66"/>
      <c r="H738" s="66"/>
      <c r="I738" s="66"/>
      <c r="J738" s="66"/>
      <c r="K738" s="66"/>
      <c r="L738" s="66"/>
      <c r="M738" s="66"/>
      <c r="N738" s="66"/>
    </row>
    <row r="739" spans="1:14" x14ac:dyDescent="0.2">
      <c r="A739" s="84"/>
      <c r="B739" s="84"/>
      <c r="C739" s="60"/>
      <c r="D739" s="66"/>
      <c r="E739" s="66"/>
      <c r="F739" s="66"/>
      <c r="G739" s="66"/>
      <c r="H739" s="66"/>
      <c r="I739" s="66"/>
      <c r="J739" s="66"/>
      <c r="K739" s="66"/>
      <c r="L739" s="66"/>
      <c r="M739" s="66"/>
      <c r="N739" s="66"/>
    </row>
    <row r="740" spans="1:14" x14ac:dyDescent="0.2">
      <c r="A740" s="84"/>
      <c r="B740" s="84"/>
      <c r="C740" s="60"/>
      <c r="D740" s="66"/>
      <c r="E740" s="66"/>
      <c r="F740" s="66"/>
      <c r="G740" s="66"/>
      <c r="H740" s="66"/>
      <c r="I740" s="66"/>
      <c r="J740" s="66"/>
      <c r="K740" s="66"/>
      <c r="L740" s="66"/>
      <c r="M740" s="66"/>
      <c r="N740" s="66"/>
    </row>
    <row r="741" spans="1:14" x14ac:dyDescent="0.2">
      <c r="A741" s="84"/>
      <c r="B741" s="84"/>
      <c r="C741" s="60"/>
      <c r="D741" s="66"/>
      <c r="E741" s="66"/>
      <c r="F741" s="66"/>
      <c r="G741" s="66"/>
      <c r="H741" s="66"/>
      <c r="I741" s="66"/>
      <c r="J741" s="66"/>
      <c r="K741" s="66"/>
      <c r="L741" s="66"/>
      <c r="M741" s="66"/>
      <c r="N741" s="66"/>
    </row>
    <row r="742" spans="1:14" x14ac:dyDescent="0.2">
      <c r="A742" s="84"/>
      <c r="B742" s="84"/>
      <c r="C742" s="60"/>
      <c r="D742" s="66"/>
      <c r="E742" s="66"/>
      <c r="F742" s="66"/>
      <c r="G742" s="66"/>
      <c r="H742" s="66"/>
      <c r="I742" s="66"/>
      <c r="J742" s="66"/>
      <c r="K742" s="66"/>
      <c r="L742" s="66"/>
      <c r="M742" s="66"/>
      <c r="N742" s="66"/>
    </row>
    <row r="743" spans="1:14" x14ac:dyDescent="0.2">
      <c r="A743" s="84"/>
      <c r="B743" s="84"/>
      <c r="C743" s="60"/>
      <c r="D743" s="66"/>
      <c r="E743" s="66"/>
      <c r="F743" s="66"/>
      <c r="G743" s="66"/>
      <c r="H743" s="66"/>
      <c r="I743" s="66"/>
      <c r="J743" s="66"/>
      <c r="K743" s="66"/>
      <c r="L743" s="66"/>
      <c r="M743" s="66"/>
      <c r="N743" s="66"/>
    </row>
    <row r="744" spans="1:14" x14ac:dyDescent="0.2">
      <c r="A744" s="84"/>
      <c r="B744" s="84"/>
      <c r="C744" s="60"/>
      <c r="D744" s="66"/>
      <c r="E744" s="66"/>
      <c r="F744" s="66"/>
      <c r="G744" s="66"/>
      <c r="H744" s="66"/>
      <c r="I744" s="66"/>
      <c r="J744" s="66"/>
      <c r="K744" s="66"/>
      <c r="L744" s="66"/>
      <c r="M744" s="66"/>
      <c r="N744" s="66"/>
    </row>
    <row r="745" spans="1:14" x14ac:dyDescent="0.2">
      <c r="A745" s="84"/>
      <c r="B745" s="84"/>
      <c r="C745" s="60"/>
      <c r="D745" s="66"/>
      <c r="E745" s="66"/>
      <c r="F745" s="66"/>
      <c r="G745" s="66"/>
      <c r="H745" s="66"/>
      <c r="I745" s="66"/>
      <c r="J745" s="66"/>
      <c r="K745" s="66"/>
      <c r="L745" s="66"/>
      <c r="M745" s="66"/>
      <c r="N745" s="66"/>
    </row>
    <row r="746" spans="1:14" x14ac:dyDescent="0.2">
      <c r="A746" s="84"/>
      <c r="B746" s="84"/>
      <c r="C746" s="60"/>
      <c r="D746" s="66"/>
      <c r="E746" s="66"/>
      <c r="F746" s="66"/>
      <c r="G746" s="66"/>
      <c r="H746" s="66"/>
      <c r="I746" s="66"/>
      <c r="J746" s="66"/>
      <c r="K746" s="66"/>
      <c r="L746" s="66"/>
      <c r="M746" s="66"/>
      <c r="N746" s="66"/>
    </row>
    <row r="747" spans="1:14" x14ac:dyDescent="0.2">
      <c r="A747" s="84"/>
      <c r="B747" s="84"/>
      <c r="C747" s="60"/>
      <c r="D747" s="66"/>
      <c r="E747" s="66"/>
      <c r="F747" s="66"/>
      <c r="G747" s="66"/>
      <c r="H747" s="66"/>
      <c r="I747" s="66"/>
      <c r="J747" s="66"/>
      <c r="K747" s="66"/>
      <c r="L747" s="66"/>
      <c r="M747" s="66"/>
      <c r="N747" s="66"/>
    </row>
    <row r="748" spans="1:14" x14ac:dyDescent="0.2">
      <c r="A748" s="84"/>
      <c r="B748" s="84"/>
      <c r="C748" s="60"/>
      <c r="D748" s="66"/>
      <c r="E748" s="66"/>
      <c r="F748" s="66"/>
      <c r="G748" s="66"/>
      <c r="H748" s="66"/>
      <c r="I748" s="66"/>
      <c r="J748" s="66"/>
      <c r="K748" s="66"/>
      <c r="L748" s="66"/>
      <c r="M748" s="66"/>
      <c r="N748" s="66"/>
    </row>
    <row r="749" spans="1:14" x14ac:dyDescent="0.2">
      <c r="A749" s="84"/>
      <c r="B749" s="84"/>
      <c r="C749" s="60"/>
      <c r="D749" s="66"/>
      <c r="E749" s="66"/>
      <c r="F749" s="66"/>
      <c r="G749" s="66"/>
      <c r="H749" s="66"/>
      <c r="I749" s="66"/>
      <c r="J749" s="66"/>
      <c r="K749" s="66"/>
      <c r="L749" s="66"/>
      <c r="M749" s="66"/>
      <c r="N749" s="66"/>
    </row>
    <row r="750" spans="1:14" x14ac:dyDescent="0.2">
      <c r="A750" s="84"/>
      <c r="B750" s="84"/>
      <c r="C750" s="60"/>
      <c r="D750" s="66"/>
      <c r="E750" s="66"/>
      <c r="F750" s="66"/>
      <c r="G750" s="66"/>
      <c r="H750" s="66"/>
      <c r="I750" s="66"/>
      <c r="J750" s="66"/>
      <c r="K750" s="66"/>
      <c r="L750" s="66"/>
      <c r="M750" s="66"/>
      <c r="N750" s="66"/>
    </row>
    <row r="751" spans="1:14" x14ac:dyDescent="0.2">
      <c r="A751" s="84"/>
      <c r="B751" s="84"/>
      <c r="C751" s="60"/>
      <c r="D751" s="66"/>
      <c r="E751" s="66"/>
      <c r="F751" s="66"/>
      <c r="G751" s="66"/>
      <c r="H751" s="66"/>
      <c r="I751" s="66"/>
      <c r="J751" s="66"/>
      <c r="K751" s="66"/>
      <c r="L751" s="66"/>
      <c r="M751" s="66"/>
      <c r="N751" s="66"/>
    </row>
    <row r="752" spans="1:14" x14ac:dyDescent="0.2">
      <c r="A752" s="84"/>
      <c r="B752" s="84"/>
      <c r="C752" s="60"/>
      <c r="D752" s="66"/>
      <c r="E752" s="66"/>
      <c r="F752" s="66"/>
      <c r="G752" s="66"/>
      <c r="H752" s="66"/>
      <c r="I752" s="66"/>
      <c r="J752" s="66"/>
      <c r="K752" s="66"/>
      <c r="L752" s="66"/>
      <c r="M752" s="66"/>
      <c r="N752" s="66"/>
    </row>
    <row r="753" spans="1:14" x14ac:dyDescent="0.2">
      <c r="A753" s="84"/>
      <c r="B753" s="84"/>
      <c r="C753" s="60"/>
      <c r="D753" s="66"/>
      <c r="E753" s="66"/>
      <c r="F753" s="66"/>
      <c r="G753" s="66"/>
      <c r="H753" s="66"/>
      <c r="I753" s="66"/>
      <c r="J753" s="66"/>
      <c r="K753" s="66"/>
      <c r="L753" s="66"/>
      <c r="M753" s="66"/>
      <c r="N753" s="66"/>
    </row>
    <row r="754" spans="1:14" x14ac:dyDescent="0.2">
      <c r="A754" s="84"/>
      <c r="B754" s="84"/>
      <c r="C754" s="60"/>
      <c r="D754" s="66"/>
      <c r="E754" s="66"/>
      <c r="F754" s="66"/>
      <c r="G754" s="66"/>
      <c r="H754" s="66"/>
      <c r="I754" s="66"/>
      <c r="J754" s="66"/>
      <c r="K754" s="66"/>
      <c r="L754" s="66"/>
      <c r="M754" s="66"/>
      <c r="N754" s="66"/>
    </row>
    <row r="755" spans="1:14" x14ac:dyDescent="0.2">
      <c r="A755" s="84"/>
      <c r="B755" s="84"/>
      <c r="C755" s="60"/>
      <c r="D755" s="66"/>
      <c r="E755" s="66"/>
      <c r="F755" s="66"/>
      <c r="G755" s="66"/>
      <c r="H755" s="66"/>
      <c r="I755" s="66"/>
      <c r="J755" s="66"/>
      <c r="K755" s="66"/>
      <c r="L755" s="66"/>
      <c r="M755" s="66"/>
      <c r="N755" s="66"/>
    </row>
    <row r="756" spans="1:14" x14ac:dyDescent="0.2">
      <c r="A756" s="84"/>
      <c r="B756" s="84"/>
      <c r="C756" s="60"/>
      <c r="D756" s="66"/>
      <c r="E756" s="66"/>
      <c r="F756" s="66"/>
      <c r="G756" s="66"/>
      <c r="H756" s="66"/>
      <c r="I756" s="66"/>
      <c r="J756" s="66"/>
      <c r="K756" s="66"/>
      <c r="L756" s="66"/>
      <c r="M756" s="66"/>
      <c r="N756" s="66"/>
    </row>
    <row r="757" spans="1:14" x14ac:dyDescent="0.2">
      <c r="A757" s="84"/>
      <c r="B757" s="84"/>
      <c r="C757" s="60"/>
      <c r="D757" s="66"/>
      <c r="E757" s="66"/>
      <c r="F757" s="66"/>
      <c r="G757" s="66"/>
      <c r="H757" s="66"/>
      <c r="I757" s="66"/>
      <c r="J757" s="66"/>
      <c r="K757" s="66"/>
      <c r="L757" s="66"/>
      <c r="M757" s="66"/>
      <c r="N757" s="66"/>
    </row>
    <row r="758" spans="1:14" x14ac:dyDescent="0.2">
      <c r="A758" s="84"/>
      <c r="B758" s="84"/>
      <c r="C758" s="60"/>
      <c r="D758" s="66"/>
      <c r="E758" s="66"/>
      <c r="F758" s="66"/>
      <c r="G758" s="66"/>
      <c r="H758" s="66"/>
      <c r="I758" s="66"/>
      <c r="J758" s="66"/>
      <c r="K758" s="66"/>
      <c r="L758" s="66"/>
      <c r="M758" s="66"/>
      <c r="N758" s="66"/>
    </row>
    <row r="759" spans="1:14" x14ac:dyDescent="0.2">
      <c r="A759" s="84"/>
      <c r="B759" s="84"/>
      <c r="C759" s="60"/>
      <c r="D759" s="66"/>
      <c r="E759" s="66"/>
      <c r="F759" s="66"/>
      <c r="G759" s="66"/>
      <c r="H759" s="66"/>
      <c r="I759" s="66"/>
      <c r="J759" s="66"/>
      <c r="K759" s="66"/>
      <c r="L759" s="66"/>
      <c r="M759" s="66"/>
      <c r="N759" s="66"/>
    </row>
    <row r="760" spans="1:14" x14ac:dyDescent="0.2">
      <c r="A760" s="84"/>
      <c r="B760" s="84"/>
      <c r="C760" s="60"/>
      <c r="D760" s="66"/>
      <c r="E760" s="66"/>
      <c r="F760" s="66"/>
      <c r="G760" s="66"/>
      <c r="H760" s="66"/>
      <c r="I760" s="66"/>
      <c r="J760" s="66"/>
      <c r="K760" s="66"/>
      <c r="L760" s="66"/>
      <c r="M760" s="66"/>
      <c r="N760" s="66"/>
    </row>
    <row r="761" spans="1:14" x14ac:dyDescent="0.2">
      <c r="A761" s="84"/>
      <c r="B761" s="84"/>
      <c r="C761" s="60"/>
      <c r="D761" s="66"/>
      <c r="E761" s="66"/>
      <c r="F761" s="66"/>
      <c r="G761" s="66"/>
      <c r="H761" s="66"/>
      <c r="I761" s="66"/>
      <c r="J761" s="66"/>
      <c r="K761" s="66"/>
      <c r="L761" s="66"/>
      <c r="M761" s="66"/>
      <c r="N761" s="66"/>
    </row>
    <row r="762" spans="1:14" x14ac:dyDescent="0.2">
      <c r="A762" s="84"/>
      <c r="B762" s="84"/>
      <c r="C762" s="60"/>
      <c r="D762" s="66"/>
      <c r="E762" s="66"/>
      <c r="F762" s="66"/>
      <c r="G762" s="66"/>
      <c r="H762" s="66"/>
      <c r="I762" s="66"/>
      <c r="J762" s="66"/>
      <c r="K762" s="66"/>
      <c r="L762" s="66"/>
      <c r="M762" s="66"/>
      <c r="N762" s="66"/>
    </row>
    <row r="763" spans="1:14" x14ac:dyDescent="0.2">
      <c r="A763" s="84"/>
      <c r="B763" s="84"/>
      <c r="C763" s="60"/>
      <c r="D763" s="66"/>
      <c r="E763" s="66"/>
      <c r="F763" s="66"/>
      <c r="G763" s="66"/>
      <c r="H763" s="66"/>
      <c r="I763" s="66"/>
      <c r="J763" s="66"/>
      <c r="K763" s="66"/>
      <c r="L763" s="66"/>
      <c r="M763" s="66"/>
      <c r="N763" s="66"/>
    </row>
    <row r="764" spans="1:14" x14ac:dyDescent="0.2">
      <c r="A764" s="84"/>
      <c r="B764" s="84"/>
      <c r="C764" s="60"/>
      <c r="D764" s="66"/>
      <c r="E764" s="66"/>
      <c r="F764" s="66"/>
      <c r="G764" s="66"/>
      <c r="H764" s="66"/>
      <c r="I764" s="66"/>
      <c r="J764" s="66"/>
      <c r="K764" s="66"/>
      <c r="L764" s="66"/>
      <c r="M764" s="66"/>
      <c r="N764" s="66"/>
    </row>
    <row r="765" spans="1:14" x14ac:dyDescent="0.2">
      <c r="A765" s="84"/>
      <c r="B765" s="84"/>
      <c r="C765" s="60"/>
      <c r="D765" s="66"/>
      <c r="E765" s="66"/>
      <c r="F765" s="66"/>
      <c r="G765" s="66"/>
      <c r="H765" s="66"/>
      <c r="I765" s="66"/>
      <c r="J765" s="66"/>
      <c r="K765" s="66"/>
      <c r="L765" s="66"/>
      <c r="M765" s="66"/>
      <c r="N765" s="66"/>
    </row>
    <row r="766" spans="1:14" x14ac:dyDescent="0.2">
      <c r="A766" s="84"/>
      <c r="B766" s="84"/>
      <c r="C766" s="60"/>
      <c r="D766" s="66"/>
      <c r="E766" s="66"/>
      <c r="F766" s="66"/>
      <c r="G766" s="66"/>
      <c r="H766" s="66"/>
      <c r="I766" s="66"/>
      <c r="J766" s="66"/>
      <c r="K766" s="66"/>
      <c r="L766" s="66"/>
      <c r="M766" s="66"/>
      <c r="N766" s="66"/>
    </row>
    <row r="767" spans="1:14" x14ac:dyDescent="0.2">
      <c r="A767" s="84"/>
      <c r="B767" s="84"/>
      <c r="C767" s="60"/>
      <c r="D767" s="66"/>
      <c r="E767" s="66"/>
      <c r="F767" s="66"/>
      <c r="G767" s="66"/>
      <c r="H767" s="66"/>
      <c r="I767" s="66"/>
      <c r="J767" s="66"/>
      <c r="K767" s="66"/>
      <c r="L767" s="66"/>
      <c r="M767" s="66"/>
      <c r="N767" s="66"/>
    </row>
    <row r="768" spans="1:14" x14ac:dyDescent="0.2">
      <c r="A768" s="84"/>
      <c r="B768" s="84"/>
      <c r="C768" s="60"/>
      <c r="D768" s="66"/>
      <c r="E768" s="66"/>
      <c r="F768" s="66"/>
      <c r="G768" s="66"/>
      <c r="H768" s="66"/>
      <c r="I768" s="66"/>
      <c r="J768" s="66"/>
      <c r="K768" s="66"/>
      <c r="L768" s="66"/>
      <c r="M768" s="66"/>
      <c r="N768" s="66"/>
    </row>
    <row r="769" spans="1:14" x14ac:dyDescent="0.2">
      <c r="A769" s="84"/>
      <c r="B769" s="84"/>
      <c r="C769" s="60"/>
      <c r="D769" s="66"/>
      <c r="E769" s="66"/>
      <c r="F769" s="66"/>
      <c r="G769" s="66"/>
      <c r="H769" s="66"/>
      <c r="I769" s="66"/>
      <c r="J769" s="66"/>
      <c r="K769" s="66"/>
      <c r="L769" s="66"/>
      <c r="M769" s="66"/>
      <c r="N769" s="66"/>
    </row>
    <row r="770" spans="1:14" x14ac:dyDescent="0.2">
      <c r="A770" s="84"/>
      <c r="B770" s="84"/>
      <c r="C770" s="60"/>
      <c r="D770" s="66"/>
      <c r="E770" s="66"/>
      <c r="F770" s="66"/>
      <c r="G770" s="66"/>
      <c r="H770" s="66"/>
      <c r="I770" s="66"/>
      <c r="J770" s="66"/>
      <c r="K770" s="66"/>
      <c r="L770" s="66"/>
      <c r="M770" s="66"/>
      <c r="N770" s="66"/>
    </row>
    <row r="771" spans="1:14" x14ac:dyDescent="0.2">
      <c r="A771" s="84"/>
      <c r="B771" s="84"/>
      <c r="C771" s="60"/>
      <c r="D771" s="66"/>
      <c r="E771" s="66"/>
      <c r="F771" s="66"/>
      <c r="G771" s="66"/>
      <c r="H771" s="66"/>
      <c r="I771" s="66"/>
      <c r="J771" s="66"/>
      <c r="K771" s="66"/>
      <c r="L771" s="66"/>
      <c r="M771" s="66"/>
      <c r="N771" s="66"/>
    </row>
    <row r="772" spans="1:14" x14ac:dyDescent="0.2">
      <c r="A772" s="84"/>
      <c r="B772" s="84"/>
      <c r="C772" s="60"/>
      <c r="D772" s="66"/>
      <c r="E772" s="66"/>
      <c r="F772" s="66"/>
      <c r="G772" s="66"/>
      <c r="H772" s="66"/>
      <c r="I772" s="66"/>
      <c r="J772" s="66"/>
      <c r="K772" s="66"/>
      <c r="L772" s="66"/>
      <c r="M772" s="66"/>
      <c r="N772" s="66"/>
    </row>
    <row r="773" spans="1:14" x14ac:dyDescent="0.2">
      <c r="A773" s="84"/>
      <c r="B773" s="84"/>
      <c r="C773" s="60"/>
      <c r="D773" s="66"/>
      <c r="E773" s="66"/>
      <c r="F773" s="66"/>
      <c r="G773" s="66"/>
      <c r="H773" s="66"/>
      <c r="I773" s="66"/>
      <c r="J773" s="66"/>
      <c r="K773" s="66"/>
      <c r="L773" s="66"/>
      <c r="M773" s="66"/>
      <c r="N773" s="66"/>
    </row>
    <row r="774" spans="1:14" x14ac:dyDescent="0.2">
      <c r="A774" s="84"/>
      <c r="B774" s="84"/>
      <c r="C774" s="60"/>
      <c r="D774" s="66"/>
      <c r="E774" s="66"/>
      <c r="F774" s="66"/>
      <c r="G774" s="66"/>
      <c r="H774" s="66"/>
      <c r="I774" s="66"/>
      <c r="J774" s="66"/>
      <c r="K774" s="66"/>
      <c r="L774" s="66"/>
      <c r="M774" s="66"/>
      <c r="N774" s="66"/>
    </row>
    <row r="775" spans="1:14" x14ac:dyDescent="0.2">
      <c r="A775" s="84"/>
      <c r="B775" s="84"/>
      <c r="C775" s="60"/>
      <c r="D775" s="66"/>
      <c r="E775" s="66"/>
      <c r="F775" s="66"/>
      <c r="G775" s="66"/>
      <c r="H775" s="66"/>
      <c r="I775" s="66"/>
      <c r="J775" s="66"/>
      <c r="K775" s="66"/>
      <c r="L775" s="66"/>
      <c r="M775" s="66"/>
      <c r="N775" s="66"/>
    </row>
    <row r="776" spans="1:14" x14ac:dyDescent="0.2">
      <c r="A776" s="84"/>
      <c r="B776" s="84"/>
      <c r="C776" s="60"/>
      <c r="D776" s="66"/>
      <c r="E776" s="66"/>
      <c r="F776" s="66"/>
      <c r="G776" s="66"/>
      <c r="H776" s="66"/>
      <c r="I776" s="66"/>
      <c r="J776" s="66"/>
      <c r="K776" s="66"/>
      <c r="L776" s="66"/>
      <c r="M776" s="66"/>
      <c r="N776" s="66"/>
    </row>
    <row r="777" spans="1:14" x14ac:dyDescent="0.2">
      <c r="A777" s="84"/>
      <c r="B777" s="84"/>
      <c r="C777" s="60"/>
      <c r="D777" s="66"/>
      <c r="E777" s="66"/>
      <c r="F777" s="66"/>
      <c r="G777" s="66"/>
      <c r="H777" s="66"/>
      <c r="I777" s="66"/>
      <c r="J777" s="66"/>
      <c r="K777" s="66"/>
      <c r="L777" s="66"/>
      <c r="M777" s="66"/>
      <c r="N777" s="66"/>
    </row>
    <row r="778" spans="1:14" x14ac:dyDescent="0.2">
      <c r="A778" s="84"/>
      <c r="B778" s="84"/>
      <c r="C778" s="60"/>
      <c r="D778" s="66"/>
      <c r="E778" s="66"/>
      <c r="F778" s="66"/>
      <c r="G778" s="66"/>
      <c r="H778" s="66"/>
      <c r="I778" s="66"/>
      <c r="J778" s="66"/>
      <c r="K778" s="66"/>
      <c r="L778" s="66"/>
      <c r="M778" s="66"/>
      <c r="N778" s="66"/>
    </row>
    <row r="779" spans="1:14" x14ac:dyDescent="0.2">
      <c r="A779" s="84"/>
      <c r="B779" s="84"/>
      <c r="C779" s="60"/>
      <c r="D779" s="66"/>
      <c r="E779" s="66"/>
      <c r="F779" s="66"/>
      <c r="G779" s="66"/>
      <c r="H779" s="66"/>
      <c r="I779" s="66"/>
      <c r="J779" s="66"/>
      <c r="K779" s="66"/>
      <c r="L779" s="66"/>
      <c r="M779" s="66"/>
      <c r="N779" s="66"/>
    </row>
    <row r="780" spans="1:14" x14ac:dyDescent="0.2">
      <c r="A780" s="84"/>
      <c r="B780" s="84"/>
      <c r="C780" s="60"/>
      <c r="D780" s="66"/>
      <c r="E780" s="66"/>
      <c r="F780" s="66"/>
      <c r="G780" s="66"/>
      <c r="H780" s="66"/>
      <c r="I780" s="66"/>
      <c r="J780" s="66"/>
      <c r="K780" s="66"/>
      <c r="L780" s="66"/>
      <c r="M780" s="66"/>
      <c r="N780" s="66"/>
    </row>
    <row r="781" spans="1:14" x14ac:dyDescent="0.2">
      <c r="A781" s="84"/>
      <c r="B781" s="84"/>
      <c r="C781" s="60"/>
      <c r="D781" s="66"/>
      <c r="E781" s="66"/>
      <c r="F781" s="66"/>
      <c r="G781" s="66"/>
      <c r="H781" s="66"/>
      <c r="I781" s="66"/>
      <c r="J781" s="66"/>
      <c r="K781" s="66"/>
      <c r="L781" s="66"/>
      <c r="M781" s="66"/>
      <c r="N781" s="66"/>
    </row>
    <row r="782" spans="1:14" x14ac:dyDescent="0.2">
      <c r="A782" s="84"/>
      <c r="B782" s="84"/>
      <c r="C782" s="60"/>
      <c r="D782" s="66"/>
      <c r="E782" s="66"/>
      <c r="F782" s="66"/>
      <c r="G782" s="66"/>
      <c r="H782" s="66"/>
      <c r="I782" s="66"/>
      <c r="J782" s="66"/>
      <c r="K782" s="66"/>
      <c r="L782" s="66"/>
      <c r="M782" s="66"/>
      <c r="N782" s="66"/>
    </row>
    <row r="783" spans="1:14" x14ac:dyDescent="0.2">
      <c r="A783" s="84"/>
      <c r="B783" s="84"/>
      <c r="C783" s="60"/>
      <c r="D783" s="66"/>
      <c r="E783" s="66"/>
      <c r="F783" s="66"/>
      <c r="G783" s="66"/>
      <c r="H783" s="66"/>
      <c r="I783" s="66"/>
      <c r="J783" s="66"/>
      <c r="K783" s="66"/>
      <c r="L783" s="66"/>
      <c r="M783" s="66"/>
      <c r="N783" s="66"/>
    </row>
    <row r="784" spans="1:14" x14ac:dyDescent="0.2">
      <c r="A784" s="84"/>
      <c r="B784" s="84"/>
      <c r="C784" s="60"/>
      <c r="D784" s="66"/>
      <c r="E784" s="66"/>
      <c r="F784" s="66"/>
      <c r="G784" s="66"/>
      <c r="H784" s="66"/>
      <c r="I784" s="66"/>
      <c r="J784" s="66"/>
      <c r="K784" s="66"/>
      <c r="L784" s="66"/>
      <c r="M784" s="66"/>
      <c r="N784" s="66"/>
    </row>
    <row r="785" spans="1:14" x14ac:dyDescent="0.2">
      <c r="A785" s="84"/>
      <c r="B785" s="84"/>
      <c r="C785" s="60"/>
      <c r="D785" s="66"/>
      <c r="E785" s="66"/>
      <c r="F785" s="66"/>
      <c r="G785" s="66"/>
      <c r="H785" s="66"/>
      <c r="I785" s="66"/>
      <c r="J785" s="66"/>
      <c r="K785" s="66"/>
      <c r="L785" s="66"/>
      <c r="M785" s="66"/>
      <c r="N785" s="66"/>
    </row>
    <row r="786" spans="1:14" x14ac:dyDescent="0.2">
      <c r="A786" s="84"/>
      <c r="B786" s="84"/>
      <c r="C786" s="60"/>
      <c r="D786" s="66"/>
      <c r="E786" s="66"/>
      <c r="F786" s="66"/>
      <c r="G786" s="66"/>
      <c r="H786" s="66"/>
      <c r="I786" s="66"/>
      <c r="J786" s="66"/>
      <c r="K786" s="66"/>
      <c r="L786" s="66"/>
      <c r="M786" s="66"/>
      <c r="N786" s="66"/>
    </row>
    <row r="787" spans="1:14" x14ac:dyDescent="0.2">
      <c r="A787" s="84"/>
      <c r="B787" s="84"/>
      <c r="C787" s="60"/>
      <c r="D787" s="66"/>
      <c r="E787" s="66"/>
      <c r="F787" s="66"/>
      <c r="G787" s="66"/>
      <c r="H787" s="66"/>
      <c r="I787" s="66"/>
      <c r="J787" s="66"/>
      <c r="K787" s="66"/>
      <c r="L787" s="66"/>
      <c r="M787" s="66"/>
      <c r="N787" s="66"/>
    </row>
    <row r="788" spans="1:14" x14ac:dyDescent="0.2">
      <c r="A788" s="84"/>
      <c r="B788" s="84"/>
      <c r="C788" s="60"/>
      <c r="D788" s="66"/>
      <c r="E788" s="66"/>
      <c r="F788" s="66"/>
      <c r="G788" s="66"/>
      <c r="H788" s="66"/>
      <c r="I788" s="66"/>
      <c r="J788" s="66"/>
      <c r="K788" s="66"/>
      <c r="L788" s="66"/>
      <c r="M788" s="66"/>
      <c r="N788" s="66"/>
    </row>
    <row r="789" spans="1:14" x14ac:dyDescent="0.2">
      <c r="A789" s="84"/>
      <c r="B789" s="84"/>
      <c r="C789" s="60"/>
      <c r="D789" s="66"/>
      <c r="E789" s="66"/>
      <c r="F789" s="66"/>
      <c r="G789" s="66"/>
      <c r="H789" s="66"/>
      <c r="I789" s="66"/>
      <c r="J789" s="66"/>
      <c r="K789" s="66"/>
      <c r="L789" s="66"/>
      <c r="M789" s="66"/>
      <c r="N789" s="66"/>
    </row>
    <row r="790" spans="1:14" x14ac:dyDescent="0.2">
      <c r="A790" s="84"/>
      <c r="B790" s="84"/>
      <c r="C790" s="60"/>
      <c r="D790" s="66"/>
      <c r="E790" s="66"/>
      <c r="F790" s="66"/>
      <c r="G790" s="66"/>
      <c r="H790" s="66"/>
      <c r="I790" s="66"/>
      <c r="J790" s="66"/>
      <c r="K790" s="66"/>
      <c r="L790" s="66"/>
      <c r="M790" s="66"/>
      <c r="N790" s="66"/>
    </row>
    <row r="791" spans="1:14" x14ac:dyDescent="0.2">
      <c r="A791" s="84"/>
      <c r="B791" s="84"/>
      <c r="C791" s="60"/>
      <c r="D791" s="66"/>
      <c r="E791" s="66"/>
      <c r="F791" s="66"/>
      <c r="G791" s="66"/>
      <c r="H791" s="66"/>
      <c r="I791" s="66"/>
      <c r="J791" s="66"/>
      <c r="K791" s="66"/>
      <c r="L791" s="66"/>
      <c r="M791" s="66"/>
      <c r="N791" s="66"/>
    </row>
    <row r="792" spans="1:14" x14ac:dyDescent="0.2">
      <c r="A792" s="84"/>
      <c r="B792" s="84"/>
      <c r="C792" s="60"/>
      <c r="D792" s="66"/>
      <c r="E792" s="66"/>
      <c r="F792" s="66"/>
      <c r="G792" s="66"/>
      <c r="H792" s="66"/>
      <c r="I792" s="66"/>
      <c r="J792" s="66"/>
      <c r="K792" s="66"/>
      <c r="L792" s="66"/>
      <c r="M792" s="66"/>
      <c r="N792" s="66"/>
    </row>
    <row r="793" spans="1:14" x14ac:dyDescent="0.2">
      <c r="A793" s="84"/>
      <c r="B793" s="84"/>
      <c r="C793" s="60"/>
      <c r="D793" s="66"/>
      <c r="E793" s="66"/>
      <c r="F793" s="66"/>
      <c r="G793" s="66"/>
      <c r="H793" s="66"/>
      <c r="I793" s="66"/>
      <c r="J793" s="66"/>
      <c r="K793" s="66"/>
      <c r="L793" s="66"/>
      <c r="M793" s="66"/>
      <c r="N793" s="66"/>
    </row>
    <row r="794" spans="1:14" x14ac:dyDescent="0.2">
      <c r="A794" s="84"/>
      <c r="B794" s="84"/>
      <c r="C794" s="60"/>
      <c r="D794" s="66"/>
      <c r="E794" s="66"/>
      <c r="F794" s="66"/>
      <c r="G794" s="66"/>
      <c r="H794" s="66"/>
      <c r="I794" s="66"/>
      <c r="J794" s="66"/>
      <c r="K794" s="66"/>
      <c r="L794" s="66"/>
      <c r="M794" s="66"/>
      <c r="N794" s="66"/>
    </row>
    <row r="795" spans="1:14" x14ac:dyDescent="0.2">
      <c r="A795" s="84"/>
      <c r="B795" s="84"/>
      <c r="C795" s="60"/>
      <c r="D795" s="66"/>
      <c r="E795" s="66"/>
      <c r="F795" s="66"/>
      <c r="G795" s="66"/>
      <c r="H795" s="66"/>
      <c r="I795" s="66"/>
      <c r="J795" s="66"/>
      <c r="K795" s="66"/>
      <c r="L795" s="66"/>
      <c r="M795" s="66"/>
      <c r="N795" s="66"/>
    </row>
    <row r="796" spans="1:14" x14ac:dyDescent="0.2">
      <c r="A796" s="84"/>
      <c r="B796" s="84"/>
      <c r="C796" s="60"/>
      <c r="D796" s="66"/>
      <c r="E796" s="66"/>
      <c r="F796" s="66"/>
      <c r="G796" s="66"/>
      <c r="H796" s="66"/>
      <c r="I796" s="66"/>
      <c r="J796" s="66"/>
      <c r="K796" s="66"/>
      <c r="L796" s="66"/>
      <c r="M796" s="66"/>
      <c r="N796" s="66"/>
    </row>
    <row r="797" spans="1:14" x14ac:dyDescent="0.2">
      <c r="A797" s="84"/>
      <c r="B797" s="84"/>
      <c r="C797" s="60"/>
      <c r="D797" s="66"/>
      <c r="E797" s="66"/>
      <c r="F797" s="66"/>
      <c r="G797" s="66"/>
      <c r="H797" s="66"/>
      <c r="I797" s="66"/>
      <c r="J797" s="66"/>
      <c r="K797" s="66"/>
      <c r="L797" s="66"/>
      <c r="M797" s="66"/>
      <c r="N797" s="66"/>
    </row>
    <row r="798" spans="1:14" x14ac:dyDescent="0.2">
      <c r="A798" s="84"/>
      <c r="B798" s="84"/>
      <c r="C798" s="60"/>
      <c r="D798" s="66"/>
      <c r="E798" s="66"/>
      <c r="F798" s="66"/>
      <c r="G798" s="66"/>
      <c r="H798" s="66"/>
      <c r="I798" s="66"/>
      <c r="J798" s="66"/>
      <c r="K798" s="66"/>
      <c r="L798" s="66"/>
      <c r="M798" s="66"/>
      <c r="N798" s="66"/>
    </row>
    <row r="799" spans="1:14" x14ac:dyDescent="0.2">
      <c r="A799" s="84"/>
      <c r="B799" s="84"/>
      <c r="C799" s="60"/>
      <c r="D799" s="66"/>
      <c r="E799" s="66"/>
      <c r="F799" s="66"/>
      <c r="G799" s="66"/>
      <c r="H799" s="66"/>
      <c r="I799" s="66"/>
      <c r="J799" s="66"/>
      <c r="K799" s="66"/>
      <c r="L799" s="66"/>
      <c r="M799" s="66"/>
      <c r="N799" s="66"/>
    </row>
    <row r="800" spans="1:14" x14ac:dyDescent="0.2">
      <c r="A800" s="84"/>
      <c r="B800" s="84"/>
      <c r="C800" s="60"/>
      <c r="D800" s="66"/>
      <c r="E800" s="66"/>
      <c r="F800" s="66"/>
      <c r="G800" s="66"/>
      <c r="H800" s="66"/>
      <c r="I800" s="66"/>
      <c r="J800" s="66"/>
      <c r="K800" s="66"/>
      <c r="L800" s="66"/>
      <c r="M800" s="66"/>
      <c r="N800" s="66"/>
    </row>
    <row r="801" spans="1:14" x14ac:dyDescent="0.2">
      <c r="A801" s="84"/>
      <c r="B801" s="84"/>
      <c r="C801" s="60"/>
      <c r="D801" s="66"/>
      <c r="E801" s="66"/>
      <c r="F801" s="66"/>
      <c r="G801" s="66"/>
      <c r="H801" s="66"/>
      <c r="I801" s="66"/>
      <c r="J801" s="66"/>
      <c r="K801" s="66"/>
      <c r="L801" s="66"/>
      <c r="M801" s="66"/>
      <c r="N801" s="66"/>
    </row>
    <row r="802" spans="1:14" x14ac:dyDescent="0.2">
      <c r="A802" s="84"/>
      <c r="B802" s="84"/>
      <c r="C802" s="60"/>
      <c r="D802" s="66"/>
      <c r="E802" s="66"/>
      <c r="F802" s="66"/>
      <c r="G802" s="66"/>
      <c r="H802" s="66"/>
      <c r="I802" s="66"/>
      <c r="J802" s="66"/>
      <c r="K802" s="66"/>
      <c r="L802" s="66"/>
      <c r="M802" s="66"/>
      <c r="N802" s="66"/>
    </row>
    <row r="803" spans="1:14" x14ac:dyDescent="0.2">
      <c r="A803" s="84"/>
      <c r="B803" s="84"/>
      <c r="C803" s="60"/>
      <c r="D803" s="66"/>
      <c r="E803" s="66"/>
      <c r="F803" s="66"/>
      <c r="G803" s="66"/>
      <c r="H803" s="66"/>
      <c r="I803" s="66"/>
      <c r="J803" s="66"/>
      <c r="K803" s="66"/>
      <c r="L803" s="66"/>
      <c r="M803" s="66"/>
      <c r="N803" s="66"/>
    </row>
    <row r="804" spans="1:14" x14ac:dyDescent="0.2">
      <c r="A804" s="84"/>
      <c r="B804" s="84"/>
      <c r="C804" s="60"/>
      <c r="D804" s="66"/>
      <c r="E804" s="66"/>
      <c r="F804" s="66"/>
      <c r="G804" s="66"/>
      <c r="H804" s="66"/>
      <c r="I804" s="66"/>
      <c r="J804" s="66"/>
      <c r="K804" s="66"/>
      <c r="L804" s="66"/>
      <c r="M804" s="66"/>
      <c r="N804" s="66"/>
    </row>
    <row r="805" spans="1:14" x14ac:dyDescent="0.2">
      <c r="A805" s="84"/>
      <c r="B805" s="84"/>
      <c r="C805" s="60"/>
      <c r="D805" s="66"/>
      <c r="E805" s="66"/>
      <c r="F805" s="66"/>
      <c r="G805" s="66"/>
      <c r="H805" s="66"/>
      <c r="I805" s="66"/>
      <c r="J805" s="66"/>
      <c r="K805" s="66"/>
      <c r="L805" s="66"/>
      <c r="M805" s="66"/>
      <c r="N805" s="66"/>
    </row>
    <row r="806" spans="1:14" x14ac:dyDescent="0.2">
      <c r="A806" s="84"/>
      <c r="B806" s="84"/>
      <c r="C806" s="60"/>
      <c r="D806" s="66"/>
      <c r="E806" s="66"/>
      <c r="F806" s="66"/>
      <c r="G806" s="66"/>
      <c r="H806" s="66"/>
      <c r="I806" s="66"/>
      <c r="J806" s="66"/>
      <c r="K806" s="66"/>
      <c r="L806" s="66"/>
      <c r="M806" s="66"/>
      <c r="N806" s="66"/>
    </row>
    <row r="807" spans="1:14" x14ac:dyDescent="0.2">
      <c r="A807" s="84"/>
      <c r="B807" s="84"/>
      <c r="C807" s="60"/>
      <c r="D807" s="66"/>
      <c r="E807" s="66"/>
      <c r="F807" s="66"/>
      <c r="G807" s="66"/>
      <c r="H807" s="66"/>
      <c r="I807" s="66"/>
      <c r="J807" s="66"/>
      <c r="K807" s="66"/>
      <c r="L807" s="66"/>
      <c r="M807" s="66"/>
      <c r="N807" s="66"/>
    </row>
    <row r="808" spans="1:14" x14ac:dyDescent="0.2">
      <c r="A808" s="84"/>
      <c r="B808" s="84"/>
      <c r="C808" s="60"/>
      <c r="D808" s="66"/>
      <c r="E808" s="66"/>
      <c r="F808" s="66"/>
      <c r="G808" s="66"/>
      <c r="H808" s="66"/>
      <c r="I808" s="66"/>
      <c r="J808" s="66"/>
      <c r="K808" s="66"/>
      <c r="L808" s="66"/>
      <c r="M808" s="66"/>
      <c r="N808" s="66"/>
    </row>
    <row r="809" spans="1:14" x14ac:dyDescent="0.2">
      <c r="A809" s="84"/>
      <c r="B809" s="84"/>
      <c r="C809" s="60"/>
      <c r="D809" s="66"/>
      <c r="E809" s="66"/>
      <c r="F809" s="66"/>
      <c r="G809" s="66"/>
      <c r="H809" s="66"/>
      <c r="I809" s="66"/>
      <c r="J809" s="66"/>
      <c r="K809" s="66"/>
      <c r="L809" s="66"/>
      <c r="M809" s="66"/>
      <c r="N809" s="66"/>
    </row>
    <row r="810" spans="1:14" x14ac:dyDescent="0.2">
      <c r="A810" s="84"/>
      <c r="B810" s="84"/>
      <c r="C810" s="60"/>
      <c r="D810" s="66"/>
      <c r="E810" s="66"/>
      <c r="F810" s="66"/>
      <c r="G810" s="66"/>
      <c r="H810" s="66"/>
      <c r="I810" s="66"/>
      <c r="J810" s="66"/>
      <c r="K810" s="66"/>
      <c r="L810" s="66"/>
      <c r="M810" s="66"/>
      <c r="N810" s="66"/>
    </row>
    <row r="811" spans="1:14" x14ac:dyDescent="0.2">
      <c r="A811" s="84"/>
      <c r="B811" s="84"/>
      <c r="C811" s="60"/>
      <c r="D811" s="66"/>
      <c r="E811" s="66"/>
      <c r="F811" s="66"/>
      <c r="G811" s="66"/>
      <c r="H811" s="66"/>
      <c r="I811" s="66"/>
      <c r="J811" s="66"/>
      <c r="K811" s="66"/>
      <c r="L811" s="66"/>
      <c r="M811" s="66"/>
      <c r="N811" s="66"/>
    </row>
    <row r="812" spans="1:14" x14ac:dyDescent="0.2">
      <c r="A812" s="84"/>
      <c r="B812" s="84"/>
      <c r="C812" s="60"/>
      <c r="D812" s="66"/>
      <c r="E812" s="66"/>
      <c r="F812" s="66"/>
      <c r="G812" s="66"/>
      <c r="H812" s="66"/>
      <c r="I812" s="66"/>
      <c r="J812" s="66"/>
      <c r="K812" s="66"/>
      <c r="L812" s="66"/>
      <c r="M812" s="66"/>
      <c r="N812" s="66"/>
    </row>
    <row r="813" spans="1:14" x14ac:dyDescent="0.2">
      <c r="A813" s="84"/>
      <c r="B813" s="84"/>
      <c r="C813" s="60"/>
      <c r="D813" s="66"/>
      <c r="E813" s="66"/>
      <c r="F813" s="66"/>
      <c r="G813" s="66"/>
      <c r="H813" s="66"/>
      <c r="I813" s="66"/>
      <c r="J813" s="66"/>
      <c r="K813" s="66"/>
      <c r="L813" s="66"/>
      <c r="M813" s="66"/>
      <c r="N813" s="66"/>
    </row>
    <row r="814" spans="1:14" x14ac:dyDescent="0.2">
      <c r="A814" s="84"/>
      <c r="B814" s="84"/>
      <c r="C814" s="60"/>
      <c r="D814" s="66"/>
      <c r="E814" s="66"/>
      <c r="F814" s="66"/>
      <c r="G814" s="66"/>
      <c r="H814" s="66"/>
      <c r="I814" s="66"/>
      <c r="J814" s="66"/>
      <c r="K814" s="66"/>
      <c r="L814" s="66"/>
      <c r="M814" s="66"/>
      <c r="N814" s="66"/>
    </row>
    <row r="815" spans="1:14" x14ac:dyDescent="0.2">
      <c r="A815" s="84"/>
      <c r="B815" s="84"/>
      <c r="C815" s="60"/>
      <c r="D815" s="66"/>
      <c r="E815" s="66"/>
      <c r="F815" s="66"/>
      <c r="G815" s="66"/>
      <c r="H815" s="66"/>
      <c r="I815" s="66"/>
      <c r="J815" s="66"/>
      <c r="K815" s="66"/>
      <c r="L815" s="66"/>
      <c r="M815" s="66"/>
      <c r="N815" s="66"/>
    </row>
    <row r="816" spans="1:14" x14ac:dyDescent="0.2">
      <c r="A816" s="84"/>
      <c r="B816" s="84"/>
      <c r="C816" s="60"/>
      <c r="D816" s="66"/>
      <c r="E816" s="66"/>
      <c r="F816" s="66"/>
      <c r="G816" s="66"/>
      <c r="H816" s="66"/>
      <c r="I816" s="66"/>
      <c r="J816" s="66"/>
      <c r="K816" s="66"/>
      <c r="L816" s="66"/>
      <c r="M816" s="66"/>
      <c r="N816" s="66"/>
    </row>
    <row r="817" spans="1:14" x14ac:dyDescent="0.2">
      <c r="A817" s="84"/>
      <c r="B817" s="84"/>
      <c r="C817" s="60"/>
      <c r="D817" s="66"/>
      <c r="E817" s="66"/>
      <c r="F817" s="66"/>
      <c r="G817" s="66"/>
      <c r="H817" s="66"/>
      <c r="I817" s="66"/>
      <c r="J817" s="66"/>
      <c r="K817" s="66"/>
      <c r="L817" s="66"/>
      <c r="M817" s="66"/>
      <c r="N817" s="66"/>
    </row>
    <row r="818" spans="1:14" x14ac:dyDescent="0.2">
      <c r="A818" s="84"/>
      <c r="B818" s="84"/>
      <c r="C818" s="60"/>
      <c r="D818" s="66"/>
      <c r="E818" s="66"/>
      <c r="F818" s="66"/>
      <c r="G818" s="66"/>
      <c r="H818" s="66"/>
      <c r="I818" s="66"/>
      <c r="J818" s="66"/>
      <c r="K818" s="66"/>
      <c r="L818" s="66"/>
      <c r="M818" s="66"/>
      <c r="N818" s="66"/>
    </row>
    <row r="819" spans="1:14" x14ac:dyDescent="0.2">
      <c r="A819" s="84"/>
      <c r="B819" s="84"/>
      <c r="C819" s="60"/>
      <c r="D819" s="66"/>
      <c r="E819" s="66"/>
      <c r="F819" s="66"/>
      <c r="G819" s="66"/>
      <c r="H819" s="66"/>
      <c r="I819" s="66"/>
      <c r="J819" s="66"/>
      <c r="K819" s="66"/>
      <c r="L819" s="66"/>
      <c r="M819" s="66"/>
      <c r="N819" s="66"/>
    </row>
    <row r="820" spans="1:14" x14ac:dyDescent="0.2">
      <c r="A820" s="84"/>
      <c r="B820" s="84"/>
      <c r="C820" s="60"/>
      <c r="D820" s="66"/>
      <c r="E820" s="66"/>
      <c r="F820" s="66"/>
      <c r="G820" s="66"/>
      <c r="H820" s="66"/>
      <c r="I820" s="66"/>
      <c r="J820" s="66"/>
      <c r="K820" s="66"/>
      <c r="L820" s="66"/>
      <c r="M820" s="66"/>
      <c r="N820" s="66"/>
    </row>
    <row r="821" spans="1:14" x14ac:dyDescent="0.2">
      <c r="A821" s="84"/>
      <c r="B821" s="84"/>
      <c r="C821" s="60"/>
      <c r="D821" s="66"/>
      <c r="E821" s="66"/>
      <c r="F821" s="66"/>
      <c r="G821" s="66"/>
      <c r="H821" s="66"/>
      <c r="I821" s="66"/>
      <c r="J821" s="66"/>
      <c r="K821" s="66"/>
      <c r="L821" s="66"/>
      <c r="M821" s="66"/>
      <c r="N821" s="66"/>
    </row>
    <row r="822" spans="1:14" x14ac:dyDescent="0.2">
      <c r="A822" s="84"/>
      <c r="B822" s="84"/>
      <c r="C822" s="60"/>
      <c r="D822" s="66"/>
      <c r="E822" s="66"/>
      <c r="F822" s="66"/>
      <c r="G822" s="66"/>
      <c r="H822" s="66"/>
      <c r="I822" s="66"/>
      <c r="J822" s="66"/>
      <c r="K822" s="66"/>
      <c r="L822" s="66"/>
      <c r="M822" s="66"/>
      <c r="N822" s="66"/>
    </row>
    <row r="823" spans="1:14" x14ac:dyDescent="0.2">
      <c r="A823" s="84"/>
      <c r="B823" s="84"/>
      <c r="C823" s="60"/>
      <c r="D823" s="66"/>
      <c r="E823" s="66"/>
      <c r="F823" s="66"/>
      <c r="G823" s="66"/>
      <c r="H823" s="66"/>
      <c r="I823" s="66"/>
      <c r="J823" s="66"/>
      <c r="K823" s="66"/>
      <c r="L823" s="66"/>
      <c r="M823" s="66"/>
      <c r="N823" s="66"/>
    </row>
    <row r="824" spans="1:14" x14ac:dyDescent="0.2">
      <c r="A824" s="84"/>
      <c r="B824" s="84"/>
      <c r="C824" s="60"/>
      <c r="D824" s="66"/>
      <c r="E824" s="66"/>
      <c r="F824" s="66"/>
      <c r="G824" s="66"/>
      <c r="H824" s="66"/>
      <c r="I824" s="66"/>
      <c r="J824" s="66"/>
      <c r="K824" s="66"/>
      <c r="L824" s="66"/>
      <c r="M824" s="66"/>
      <c r="N824" s="66"/>
    </row>
    <row r="825" spans="1:14" x14ac:dyDescent="0.2">
      <c r="A825" s="84"/>
      <c r="B825" s="84"/>
      <c r="C825" s="60"/>
      <c r="D825" s="66"/>
      <c r="E825" s="66"/>
      <c r="F825" s="66"/>
      <c r="G825" s="66"/>
      <c r="H825" s="66"/>
      <c r="I825" s="66"/>
      <c r="J825" s="66"/>
      <c r="K825" s="66"/>
      <c r="L825" s="66"/>
      <c r="M825" s="66"/>
      <c r="N825" s="66"/>
    </row>
    <row r="826" spans="1:14" x14ac:dyDescent="0.2">
      <c r="A826" s="84"/>
      <c r="B826" s="84"/>
      <c r="C826" s="60"/>
      <c r="D826" s="66"/>
      <c r="E826" s="66"/>
      <c r="F826" s="66"/>
      <c r="G826" s="66"/>
      <c r="H826" s="66"/>
      <c r="I826" s="66"/>
      <c r="J826" s="66"/>
      <c r="K826" s="66"/>
      <c r="L826" s="66"/>
      <c r="M826" s="66"/>
      <c r="N826" s="66"/>
    </row>
    <row r="827" spans="1:14" x14ac:dyDescent="0.2">
      <c r="A827" s="84"/>
      <c r="B827" s="84"/>
      <c r="C827" s="60"/>
      <c r="D827" s="66"/>
      <c r="E827" s="66"/>
      <c r="F827" s="66"/>
      <c r="G827" s="66"/>
      <c r="H827" s="66"/>
      <c r="I827" s="66"/>
      <c r="J827" s="66"/>
      <c r="K827" s="66"/>
      <c r="L827" s="66"/>
      <c r="M827" s="66"/>
      <c r="N827" s="66"/>
    </row>
    <row r="828" spans="1:14" x14ac:dyDescent="0.2">
      <c r="A828" s="84"/>
      <c r="B828" s="84"/>
      <c r="C828" s="60"/>
      <c r="D828" s="66"/>
      <c r="E828" s="66"/>
      <c r="F828" s="66"/>
      <c r="G828" s="66"/>
      <c r="H828" s="66"/>
      <c r="I828" s="66"/>
      <c r="J828" s="66"/>
      <c r="K828" s="66"/>
      <c r="L828" s="66"/>
      <c r="M828" s="66"/>
      <c r="N828" s="66"/>
    </row>
    <row r="829" spans="1:14" x14ac:dyDescent="0.2">
      <c r="A829" s="84"/>
      <c r="B829" s="84"/>
      <c r="C829" s="60"/>
      <c r="D829" s="66"/>
      <c r="E829" s="66"/>
      <c r="F829" s="66"/>
      <c r="G829" s="66"/>
      <c r="H829" s="66"/>
      <c r="I829" s="66"/>
      <c r="J829" s="66"/>
      <c r="K829" s="66"/>
      <c r="L829" s="66"/>
      <c r="M829" s="66"/>
      <c r="N829" s="66"/>
    </row>
    <row r="830" spans="1:14" x14ac:dyDescent="0.2">
      <c r="A830" s="84"/>
      <c r="B830" s="84"/>
      <c r="C830" s="60"/>
      <c r="D830" s="66"/>
      <c r="E830" s="66"/>
      <c r="F830" s="66"/>
      <c r="G830" s="66"/>
      <c r="H830" s="66"/>
      <c r="I830" s="66"/>
      <c r="J830" s="66"/>
      <c r="K830" s="66"/>
      <c r="L830" s="66"/>
      <c r="M830" s="66"/>
      <c r="N830" s="66"/>
    </row>
    <row r="831" spans="1:14" x14ac:dyDescent="0.2">
      <c r="A831" s="84"/>
      <c r="B831" s="84"/>
      <c r="C831" s="60"/>
      <c r="D831" s="66"/>
      <c r="E831" s="66"/>
      <c r="F831" s="66"/>
      <c r="G831" s="66"/>
      <c r="H831" s="66"/>
      <c r="I831" s="66"/>
      <c r="J831" s="66"/>
      <c r="K831" s="66"/>
      <c r="L831" s="66"/>
      <c r="M831" s="66"/>
      <c r="N831" s="66"/>
    </row>
    <row r="832" spans="1:14" x14ac:dyDescent="0.2">
      <c r="A832" s="84"/>
      <c r="B832" s="84"/>
      <c r="C832" s="60"/>
      <c r="D832" s="66"/>
      <c r="E832" s="66"/>
      <c r="F832" s="66"/>
      <c r="G832" s="66"/>
      <c r="H832" s="66"/>
      <c r="I832" s="66"/>
      <c r="J832" s="66"/>
      <c r="K832" s="66"/>
      <c r="L832" s="66"/>
      <c r="M832" s="66"/>
      <c r="N832" s="66"/>
    </row>
    <row r="833" spans="1:14" x14ac:dyDescent="0.2">
      <c r="A833" s="84"/>
      <c r="B833" s="84"/>
      <c r="C833" s="60"/>
      <c r="D833" s="66"/>
      <c r="E833" s="66"/>
      <c r="F833" s="66"/>
      <c r="G833" s="66"/>
      <c r="H833" s="66"/>
      <c r="I833" s="66"/>
      <c r="J833" s="66"/>
      <c r="K833" s="66"/>
      <c r="L833" s="66"/>
      <c r="M833" s="66"/>
      <c r="N833" s="66"/>
    </row>
    <row r="834" spans="1:14" x14ac:dyDescent="0.2">
      <c r="A834" s="84"/>
      <c r="B834" s="84"/>
      <c r="C834" s="60"/>
      <c r="D834" s="66"/>
      <c r="E834" s="66"/>
      <c r="F834" s="66"/>
      <c r="G834" s="66"/>
      <c r="H834" s="66"/>
      <c r="I834" s="66"/>
      <c r="J834" s="66"/>
      <c r="K834" s="66"/>
      <c r="L834" s="66"/>
      <c r="M834" s="66"/>
      <c r="N834" s="66"/>
    </row>
    <row r="835" spans="1:14" x14ac:dyDescent="0.2">
      <c r="A835" s="84"/>
      <c r="B835" s="84"/>
      <c r="C835" s="60"/>
      <c r="D835" s="66"/>
      <c r="E835" s="66"/>
      <c r="F835" s="66"/>
      <c r="G835" s="66"/>
      <c r="H835" s="66"/>
      <c r="I835" s="66"/>
      <c r="J835" s="66"/>
      <c r="K835" s="66"/>
      <c r="L835" s="66"/>
      <c r="M835" s="66"/>
      <c r="N835" s="66"/>
    </row>
    <row r="836" spans="1:14" x14ac:dyDescent="0.2">
      <c r="A836" s="84"/>
      <c r="B836" s="84"/>
      <c r="C836" s="60"/>
      <c r="D836" s="66"/>
      <c r="E836" s="66"/>
      <c r="F836" s="66"/>
      <c r="G836" s="66"/>
      <c r="H836" s="66"/>
      <c r="I836" s="66"/>
      <c r="J836" s="66"/>
      <c r="K836" s="66"/>
      <c r="L836" s="66"/>
      <c r="M836" s="66"/>
      <c r="N836" s="66"/>
    </row>
    <row r="837" spans="1:14" x14ac:dyDescent="0.2">
      <c r="A837" s="84"/>
      <c r="B837" s="84"/>
      <c r="C837" s="60"/>
      <c r="D837" s="66"/>
      <c r="E837" s="66"/>
      <c r="F837" s="66"/>
      <c r="G837" s="66"/>
      <c r="H837" s="66"/>
      <c r="I837" s="66"/>
      <c r="J837" s="66"/>
      <c r="K837" s="66"/>
      <c r="L837" s="66"/>
      <c r="M837" s="66"/>
      <c r="N837" s="66"/>
    </row>
    <row r="838" spans="1:14" x14ac:dyDescent="0.2">
      <c r="A838" s="84"/>
      <c r="B838" s="84"/>
      <c r="C838" s="60"/>
      <c r="D838" s="66"/>
      <c r="E838" s="66"/>
      <c r="F838" s="66"/>
      <c r="G838" s="66"/>
      <c r="H838" s="66"/>
      <c r="I838" s="66"/>
      <c r="J838" s="66"/>
      <c r="K838" s="66"/>
      <c r="L838" s="66"/>
      <c r="M838" s="66"/>
      <c r="N838" s="66"/>
    </row>
    <row r="839" spans="1:14" x14ac:dyDescent="0.2">
      <c r="A839" s="84"/>
      <c r="B839" s="84"/>
      <c r="C839" s="60"/>
      <c r="D839" s="66"/>
      <c r="E839" s="66"/>
      <c r="F839" s="66"/>
      <c r="G839" s="66"/>
      <c r="H839" s="66"/>
      <c r="I839" s="66"/>
      <c r="J839" s="66"/>
      <c r="K839" s="66"/>
      <c r="L839" s="66"/>
      <c r="M839" s="66"/>
      <c r="N839" s="66"/>
    </row>
    <row r="840" spans="1:14" x14ac:dyDescent="0.2">
      <c r="A840" s="84"/>
      <c r="B840" s="84"/>
      <c r="C840" s="60"/>
      <c r="D840" s="66"/>
      <c r="E840" s="66"/>
      <c r="F840" s="66"/>
      <c r="G840" s="66"/>
      <c r="H840" s="66"/>
      <c r="I840" s="66"/>
      <c r="J840" s="66"/>
      <c r="K840" s="66"/>
      <c r="L840" s="66"/>
      <c r="M840" s="66"/>
      <c r="N840" s="66"/>
    </row>
    <row r="841" spans="1:14" x14ac:dyDescent="0.2">
      <c r="A841" s="84"/>
      <c r="B841" s="84"/>
      <c r="C841" s="60"/>
      <c r="D841" s="66"/>
      <c r="E841" s="66"/>
      <c r="F841" s="66"/>
      <c r="G841" s="66"/>
      <c r="H841" s="66"/>
      <c r="I841" s="66"/>
      <c r="J841" s="66"/>
      <c r="K841" s="66"/>
      <c r="L841" s="66"/>
      <c r="M841" s="66"/>
      <c r="N841" s="66"/>
    </row>
    <row r="842" spans="1:14" x14ac:dyDescent="0.2">
      <c r="A842" s="84"/>
      <c r="B842" s="84"/>
      <c r="C842" s="60"/>
      <c r="D842" s="66"/>
      <c r="E842" s="66"/>
      <c r="F842" s="66"/>
      <c r="G842" s="66"/>
      <c r="H842" s="66"/>
      <c r="I842" s="66"/>
      <c r="J842" s="66"/>
      <c r="K842" s="66"/>
      <c r="L842" s="66"/>
      <c r="M842" s="66"/>
      <c r="N842" s="66"/>
    </row>
    <row r="843" spans="1:14" x14ac:dyDescent="0.2">
      <c r="A843" s="84"/>
      <c r="B843" s="84"/>
      <c r="C843" s="60"/>
      <c r="D843" s="66"/>
      <c r="E843" s="66"/>
      <c r="F843" s="66"/>
      <c r="G843" s="66"/>
      <c r="H843" s="66"/>
      <c r="I843" s="66"/>
      <c r="J843" s="66"/>
      <c r="K843" s="66"/>
      <c r="L843" s="66"/>
      <c r="M843" s="66"/>
      <c r="N843" s="66"/>
    </row>
    <row r="844" spans="1:14" x14ac:dyDescent="0.2">
      <c r="A844" s="84"/>
      <c r="B844" s="84"/>
      <c r="C844" s="60"/>
      <c r="D844" s="66"/>
      <c r="E844" s="66"/>
      <c r="F844" s="66"/>
      <c r="G844" s="66"/>
      <c r="H844" s="66"/>
      <c r="I844" s="66"/>
      <c r="J844" s="66"/>
      <c r="K844" s="66"/>
      <c r="L844" s="66"/>
      <c r="M844" s="66"/>
      <c r="N844" s="66"/>
    </row>
    <row r="845" spans="1:14" x14ac:dyDescent="0.2">
      <c r="A845" s="84"/>
      <c r="B845" s="84"/>
      <c r="C845" s="60"/>
      <c r="D845" s="66"/>
      <c r="E845" s="66"/>
      <c r="F845" s="66"/>
      <c r="G845" s="66"/>
      <c r="H845" s="66"/>
      <c r="I845" s="66"/>
      <c r="J845" s="66"/>
      <c r="K845" s="66"/>
      <c r="L845" s="66"/>
      <c r="M845" s="66"/>
      <c r="N845" s="66"/>
    </row>
    <row r="846" spans="1:14" x14ac:dyDescent="0.2">
      <c r="A846" s="84"/>
      <c r="B846" s="84"/>
      <c r="C846" s="60"/>
      <c r="D846" s="66"/>
      <c r="E846" s="66"/>
      <c r="F846" s="66"/>
      <c r="G846" s="66"/>
      <c r="H846" s="66"/>
      <c r="I846" s="66"/>
      <c r="J846" s="66"/>
      <c r="K846" s="66"/>
      <c r="L846" s="66"/>
      <c r="M846" s="66"/>
      <c r="N846" s="66"/>
    </row>
    <row r="847" spans="1:14" x14ac:dyDescent="0.2">
      <c r="A847" s="84"/>
      <c r="B847" s="84"/>
      <c r="C847" s="60"/>
      <c r="D847" s="66"/>
      <c r="E847" s="66"/>
      <c r="F847" s="66"/>
      <c r="G847" s="66"/>
      <c r="H847" s="66"/>
      <c r="I847" s="66"/>
      <c r="J847" s="66"/>
      <c r="K847" s="66"/>
      <c r="L847" s="66"/>
      <c r="M847" s="66"/>
      <c r="N847" s="66"/>
    </row>
    <row r="848" spans="1:14" x14ac:dyDescent="0.2">
      <c r="A848" s="84"/>
      <c r="B848" s="84"/>
      <c r="C848" s="60"/>
      <c r="D848" s="66"/>
      <c r="E848" s="66"/>
      <c r="F848" s="66"/>
      <c r="G848" s="66"/>
      <c r="H848" s="66"/>
      <c r="I848" s="66"/>
      <c r="J848" s="66"/>
      <c r="K848" s="66"/>
      <c r="L848" s="66"/>
      <c r="M848" s="66"/>
      <c r="N848" s="66"/>
    </row>
    <row r="849" spans="1:14" x14ac:dyDescent="0.2">
      <c r="A849" s="84"/>
      <c r="B849" s="84"/>
      <c r="C849" s="60"/>
      <c r="D849" s="66"/>
      <c r="E849" s="66"/>
      <c r="F849" s="66"/>
      <c r="G849" s="66"/>
      <c r="H849" s="66"/>
      <c r="I849" s="66"/>
      <c r="J849" s="66"/>
      <c r="K849" s="66"/>
      <c r="L849" s="66"/>
      <c r="M849" s="66"/>
      <c r="N849" s="66"/>
    </row>
    <row r="850" spans="1:14" x14ac:dyDescent="0.2">
      <c r="A850" s="84"/>
      <c r="B850" s="84"/>
      <c r="C850" s="60"/>
      <c r="D850" s="66"/>
      <c r="E850" s="66"/>
      <c r="F850" s="66"/>
      <c r="G850" s="66"/>
      <c r="H850" s="66"/>
      <c r="I850" s="66"/>
      <c r="J850" s="66"/>
      <c r="K850" s="66"/>
      <c r="L850" s="66"/>
      <c r="M850" s="66"/>
      <c r="N850" s="66"/>
    </row>
    <row r="851" spans="1:14" x14ac:dyDescent="0.2">
      <c r="A851" s="84"/>
      <c r="B851" s="84"/>
      <c r="C851" s="60"/>
      <c r="D851" s="66"/>
      <c r="E851" s="66"/>
      <c r="F851" s="66"/>
      <c r="G851" s="66"/>
      <c r="H851" s="66"/>
      <c r="I851" s="66"/>
      <c r="J851" s="66"/>
      <c r="K851" s="66"/>
      <c r="L851" s="66"/>
      <c r="M851" s="66"/>
      <c r="N851" s="66"/>
    </row>
    <row r="852" spans="1:14" x14ac:dyDescent="0.2">
      <c r="A852" s="84"/>
      <c r="B852" s="84"/>
      <c r="C852" s="60"/>
      <c r="D852" s="66"/>
      <c r="E852" s="66"/>
      <c r="F852" s="66"/>
      <c r="G852" s="66"/>
      <c r="H852" s="66"/>
      <c r="I852" s="66"/>
      <c r="J852" s="66"/>
      <c r="K852" s="66"/>
      <c r="L852" s="66"/>
      <c r="M852" s="66"/>
      <c r="N852" s="66"/>
    </row>
    <row r="853" spans="1:14" x14ac:dyDescent="0.2">
      <c r="A853" s="84"/>
      <c r="B853" s="84"/>
      <c r="C853" s="60"/>
      <c r="D853" s="66"/>
      <c r="E853" s="66"/>
      <c r="F853" s="66"/>
      <c r="G853" s="66"/>
      <c r="H853" s="66"/>
      <c r="I853" s="66"/>
      <c r="J853" s="66"/>
      <c r="K853" s="66"/>
      <c r="L853" s="66"/>
      <c r="M853" s="66"/>
      <c r="N853" s="66"/>
    </row>
    <row r="854" spans="1:14" x14ac:dyDescent="0.2">
      <c r="A854" s="84"/>
      <c r="B854" s="84"/>
      <c r="C854" s="60"/>
      <c r="D854" s="66"/>
      <c r="E854" s="66"/>
      <c r="F854" s="66"/>
      <c r="G854" s="66"/>
      <c r="H854" s="66"/>
      <c r="I854" s="66"/>
      <c r="J854" s="66"/>
      <c r="K854" s="66"/>
      <c r="L854" s="66"/>
      <c r="M854" s="66"/>
      <c r="N854" s="66"/>
    </row>
    <row r="855" spans="1:14" x14ac:dyDescent="0.2">
      <c r="A855" s="84"/>
      <c r="B855" s="84"/>
      <c r="C855" s="60"/>
      <c r="D855" s="66"/>
      <c r="E855" s="66"/>
      <c r="F855" s="66"/>
      <c r="G855" s="66"/>
      <c r="H855" s="66"/>
      <c r="I855" s="66"/>
      <c r="J855" s="66"/>
      <c r="K855" s="66"/>
      <c r="L855" s="66"/>
      <c r="M855" s="66"/>
      <c r="N855" s="66"/>
    </row>
    <row r="856" spans="1:14" x14ac:dyDescent="0.2">
      <c r="A856" s="84"/>
      <c r="B856" s="84"/>
      <c r="C856" s="60"/>
      <c r="D856" s="66"/>
      <c r="E856" s="66"/>
      <c r="F856" s="66"/>
      <c r="G856" s="66"/>
      <c r="H856" s="66"/>
      <c r="I856" s="66"/>
      <c r="J856" s="66"/>
      <c r="K856" s="66"/>
      <c r="L856" s="66"/>
      <c r="M856" s="66"/>
      <c r="N856" s="66"/>
    </row>
    <row r="857" spans="1:14" x14ac:dyDescent="0.2">
      <c r="A857" s="84"/>
      <c r="B857" s="84"/>
      <c r="C857" s="60"/>
      <c r="D857" s="66"/>
      <c r="E857" s="66"/>
      <c r="F857" s="66"/>
      <c r="G857" s="66"/>
      <c r="H857" s="66"/>
      <c r="I857" s="66"/>
      <c r="J857" s="66"/>
      <c r="K857" s="66"/>
      <c r="L857" s="66"/>
      <c r="M857" s="66"/>
      <c r="N857" s="66"/>
    </row>
    <row r="858" spans="1:14" x14ac:dyDescent="0.2">
      <c r="A858" s="84"/>
      <c r="B858" s="84"/>
      <c r="C858" s="60"/>
      <c r="D858" s="66"/>
      <c r="E858" s="66"/>
      <c r="F858" s="66"/>
      <c r="G858" s="66"/>
      <c r="H858" s="66"/>
      <c r="I858" s="66"/>
      <c r="J858" s="66"/>
      <c r="K858" s="66"/>
      <c r="L858" s="66"/>
      <c r="M858" s="66"/>
      <c r="N858" s="66"/>
    </row>
    <row r="859" spans="1:14" x14ac:dyDescent="0.2">
      <c r="A859" s="84"/>
      <c r="B859" s="84"/>
      <c r="C859" s="60"/>
      <c r="D859" s="66"/>
      <c r="E859" s="66"/>
      <c r="F859" s="66"/>
      <c r="G859" s="66"/>
      <c r="H859" s="66"/>
      <c r="I859" s="66"/>
      <c r="J859" s="66"/>
      <c r="K859" s="66"/>
      <c r="L859" s="66"/>
      <c r="M859" s="66"/>
      <c r="N859" s="66"/>
    </row>
    <row r="860" spans="1:14" x14ac:dyDescent="0.2">
      <c r="A860" s="84"/>
      <c r="B860" s="84"/>
      <c r="C860" s="60"/>
      <c r="D860" s="66"/>
      <c r="E860" s="66"/>
      <c r="F860" s="66"/>
      <c r="G860" s="66"/>
      <c r="H860" s="66"/>
      <c r="I860" s="66"/>
      <c r="J860" s="66"/>
      <c r="K860" s="66"/>
      <c r="L860" s="66"/>
      <c r="M860" s="66"/>
      <c r="N860" s="66"/>
    </row>
    <row r="861" spans="1:14" x14ac:dyDescent="0.2">
      <c r="A861" s="84"/>
      <c r="B861" s="84"/>
      <c r="C861" s="60"/>
      <c r="D861" s="66"/>
      <c r="E861" s="66"/>
      <c r="F861" s="66"/>
      <c r="G861" s="66"/>
      <c r="H861" s="66"/>
      <c r="I861" s="66"/>
      <c r="J861" s="66"/>
      <c r="K861" s="66"/>
      <c r="L861" s="66"/>
      <c r="M861" s="66"/>
      <c r="N861" s="66"/>
    </row>
    <row r="862" spans="1:14" x14ac:dyDescent="0.2">
      <c r="A862" s="84"/>
      <c r="B862" s="84"/>
      <c r="C862" s="60"/>
      <c r="D862" s="66"/>
      <c r="E862" s="66"/>
      <c r="F862" s="66"/>
      <c r="G862" s="66"/>
      <c r="H862" s="66"/>
      <c r="I862" s="66"/>
      <c r="J862" s="66"/>
      <c r="K862" s="66"/>
      <c r="L862" s="66"/>
      <c r="M862" s="66"/>
      <c r="N862" s="66"/>
    </row>
    <row r="863" spans="1:14" x14ac:dyDescent="0.2">
      <c r="A863" s="84"/>
      <c r="B863" s="84"/>
      <c r="C863" s="60"/>
      <c r="D863" s="66"/>
      <c r="E863" s="66"/>
      <c r="F863" s="66"/>
      <c r="G863" s="66"/>
      <c r="H863" s="66"/>
      <c r="I863" s="66"/>
      <c r="J863" s="66"/>
      <c r="K863" s="66"/>
      <c r="L863" s="66"/>
      <c r="M863" s="66"/>
      <c r="N863" s="66"/>
    </row>
    <row r="864" spans="1:14" x14ac:dyDescent="0.2">
      <c r="A864" s="84"/>
      <c r="B864" s="84"/>
      <c r="C864" s="60"/>
      <c r="D864" s="66"/>
      <c r="E864" s="66"/>
      <c r="F864" s="66"/>
      <c r="G864" s="66"/>
      <c r="H864" s="66"/>
      <c r="I864" s="66"/>
      <c r="J864" s="66"/>
      <c r="K864" s="66"/>
      <c r="L864" s="66"/>
      <c r="M864" s="66"/>
      <c r="N864" s="66"/>
    </row>
    <row r="865" spans="1:14" x14ac:dyDescent="0.2">
      <c r="A865" s="84"/>
      <c r="B865" s="84"/>
      <c r="C865" s="60"/>
      <c r="D865" s="66"/>
      <c r="E865" s="66"/>
      <c r="F865" s="66"/>
      <c r="G865" s="66"/>
      <c r="H865" s="66"/>
      <c r="I865" s="66"/>
      <c r="J865" s="66"/>
      <c r="K865" s="66"/>
      <c r="L865" s="66"/>
      <c r="M865" s="66"/>
      <c r="N865" s="66"/>
    </row>
    <row r="866" spans="1:14" x14ac:dyDescent="0.2">
      <c r="A866" s="84"/>
      <c r="B866" s="84"/>
      <c r="C866" s="60"/>
      <c r="D866" s="66"/>
      <c r="E866" s="66"/>
      <c r="F866" s="66"/>
      <c r="G866" s="66"/>
      <c r="H866" s="66"/>
      <c r="I866" s="66"/>
      <c r="J866" s="66"/>
      <c r="K866" s="66"/>
      <c r="L866" s="66"/>
      <c r="M866" s="66"/>
      <c r="N866" s="66"/>
    </row>
    <row r="867" spans="1:14" x14ac:dyDescent="0.2">
      <c r="A867" s="84"/>
      <c r="B867" s="84"/>
      <c r="C867" s="60"/>
      <c r="D867" s="66"/>
      <c r="E867" s="66"/>
      <c r="F867" s="66"/>
      <c r="G867" s="66"/>
      <c r="H867" s="66"/>
      <c r="I867" s="66"/>
      <c r="J867" s="66"/>
      <c r="K867" s="66"/>
      <c r="L867" s="66"/>
      <c r="M867" s="66"/>
      <c r="N867" s="66"/>
    </row>
    <row r="868" spans="1:14" x14ac:dyDescent="0.2">
      <c r="A868" s="84"/>
      <c r="B868" s="84"/>
      <c r="C868" s="60"/>
      <c r="D868" s="66"/>
      <c r="E868" s="66"/>
      <c r="F868" s="66"/>
      <c r="G868" s="66"/>
      <c r="H868" s="66"/>
      <c r="I868" s="66"/>
      <c r="J868" s="66"/>
      <c r="K868" s="66"/>
      <c r="L868" s="66"/>
      <c r="M868" s="66"/>
      <c r="N868" s="66"/>
    </row>
    <row r="869" spans="1:14" x14ac:dyDescent="0.2">
      <c r="A869" s="84"/>
      <c r="B869" s="84"/>
      <c r="C869" s="60"/>
      <c r="D869" s="66"/>
      <c r="E869" s="66"/>
      <c r="F869" s="66"/>
      <c r="G869" s="66"/>
      <c r="H869" s="66"/>
      <c r="I869" s="66"/>
      <c r="J869" s="66"/>
      <c r="K869" s="66"/>
      <c r="L869" s="66"/>
      <c r="M869" s="66"/>
      <c r="N869" s="66"/>
    </row>
    <row r="870" spans="1:14" x14ac:dyDescent="0.2">
      <c r="A870" s="84"/>
      <c r="B870" s="84"/>
      <c r="C870" s="60"/>
      <c r="D870" s="66"/>
      <c r="E870" s="66"/>
      <c r="F870" s="66"/>
      <c r="G870" s="66"/>
      <c r="H870" s="66"/>
      <c r="I870" s="66"/>
      <c r="J870" s="66"/>
      <c r="K870" s="66"/>
      <c r="L870" s="66"/>
      <c r="M870" s="66"/>
      <c r="N870" s="66"/>
    </row>
    <row r="871" spans="1:14" x14ac:dyDescent="0.2">
      <c r="A871" s="84"/>
      <c r="B871" s="84"/>
      <c r="C871" s="60"/>
      <c r="D871" s="66"/>
      <c r="E871" s="66"/>
      <c r="F871" s="66"/>
      <c r="G871" s="66"/>
      <c r="H871" s="66"/>
      <c r="I871" s="66"/>
      <c r="J871" s="66"/>
      <c r="K871" s="66"/>
      <c r="L871" s="66"/>
      <c r="M871" s="66"/>
      <c r="N871" s="66"/>
    </row>
    <row r="872" spans="1:14" x14ac:dyDescent="0.2">
      <c r="A872" s="84"/>
      <c r="B872" s="84"/>
      <c r="C872" s="60"/>
      <c r="D872" s="66"/>
      <c r="E872" s="66"/>
      <c r="F872" s="66"/>
      <c r="G872" s="66"/>
      <c r="H872" s="66"/>
      <c r="I872" s="66"/>
      <c r="J872" s="66"/>
      <c r="K872" s="66"/>
      <c r="L872" s="66"/>
      <c r="M872" s="66"/>
      <c r="N872" s="66"/>
    </row>
    <row r="873" spans="1:14" x14ac:dyDescent="0.2">
      <c r="A873" s="84"/>
      <c r="B873" s="84"/>
      <c r="C873" s="60"/>
      <c r="D873" s="66"/>
      <c r="E873" s="66"/>
      <c r="F873" s="66"/>
      <c r="G873" s="66"/>
      <c r="H873" s="66"/>
      <c r="I873" s="66"/>
      <c r="J873" s="66"/>
      <c r="K873" s="66"/>
      <c r="L873" s="66"/>
      <c r="M873" s="66"/>
      <c r="N873" s="66"/>
    </row>
    <row r="874" spans="1:14" x14ac:dyDescent="0.2">
      <c r="A874" s="84"/>
      <c r="B874" s="84"/>
      <c r="C874" s="60"/>
      <c r="D874" s="66"/>
      <c r="E874" s="66"/>
      <c r="F874" s="66"/>
      <c r="G874" s="66"/>
      <c r="H874" s="66"/>
      <c r="I874" s="66"/>
      <c r="J874" s="66"/>
      <c r="K874" s="66"/>
      <c r="L874" s="66"/>
      <c r="M874" s="66"/>
      <c r="N874" s="66"/>
    </row>
    <row r="875" spans="1:14" x14ac:dyDescent="0.2">
      <c r="A875" s="84"/>
      <c r="B875" s="84"/>
      <c r="C875" s="60"/>
      <c r="D875" s="66"/>
      <c r="E875" s="66"/>
      <c r="F875" s="66"/>
      <c r="G875" s="66"/>
      <c r="H875" s="66"/>
      <c r="I875" s="66"/>
      <c r="J875" s="66"/>
      <c r="K875" s="66"/>
      <c r="L875" s="66"/>
      <c r="M875" s="66"/>
      <c r="N875" s="66"/>
    </row>
    <row r="876" spans="1:14" x14ac:dyDescent="0.2">
      <c r="A876" s="84"/>
      <c r="B876" s="84"/>
      <c r="C876" s="60"/>
      <c r="D876" s="66"/>
      <c r="E876" s="66"/>
      <c r="F876" s="66"/>
      <c r="G876" s="66"/>
      <c r="H876" s="66"/>
      <c r="I876" s="66"/>
      <c r="J876" s="66"/>
      <c r="K876" s="66"/>
      <c r="L876" s="66"/>
      <c r="M876" s="66"/>
      <c r="N876" s="66"/>
    </row>
    <row r="877" spans="1:14" x14ac:dyDescent="0.2">
      <c r="A877" s="84"/>
      <c r="B877" s="84"/>
      <c r="C877" s="60"/>
      <c r="D877" s="66"/>
      <c r="E877" s="66"/>
      <c r="F877" s="66"/>
      <c r="G877" s="66"/>
      <c r="H877" s="66"/>
      <c r="I877" s="66"/>
      <c r="J877" s="66"/>
      <c r="K877" s="66"/>
      <c r="L877" s="66"/>
      <c r="M877" s="66"/>
      <c r="N877" s="66"/>
    </row>
    <row r="878" spans="1:14" x14ac:dyDescent="0.2">
      <c r="A878" s="84"/>
      <c r="B878" s="84"/>
      <c r="C878" s="60"/>
      <c r="D878" s="66"/>
      <c r="E878" s="66"/>
      <c r="F878" s="66"/>
      <c r="G878" s="66"/>
      <c r="H878" s="66"/>
      <c r="I878" s="66"/>
      <c r="J878" s="66"/>
      <c r="K878" s="66"/>
      <c r="L878" s="66"/>
      <c r="M878" s="66"/>
      <c r="N878" s="66"/>
    </row>
    <row r="879" spans="1:14" x14ac:dyDescent="0.2">
      <c r="A879" s="84"/>
      <c r="B879" s="84"/>
      <c r="C879" s="60"/>
      <c r="D879" s="66"/>
      <c r="E879" s="66"/>
      <c r="F879" s="66"/>
      <c r="G879" s="66"/>
      <c r="H879" s="66"/>
      <c r="I879" s="66"/>
      <c r="J879" s="66"/>
      <c r="K879" s="66"/>
      <c r="L879" s="66"/>
      <c r="M879" s="66"/>
      <c r="N879" s="66"/>
    </row>
    <row r="880" spans="1:14" x14ac:dyDescent="0.2">
      <c r="A880" s="84"/>
      <c r="B880" s="84"/>
      <c r="C880" s="60"/>
      <c r="D880" s="66"/>
      <c r="E880" s="66"/>
      <c r="F880" s="66"/>
      <c r="G880" s="66"/>
      <c r="H880" s="66"/>
      <c r="I880" s="66"/>
      <c r="J880" s="66"/>
      <c r="K880" s="66"/>
      <c r="L880" s="66"/>
      <c r="M880" s="66"/>
      <c r="N880" s="66"/>
    </row>
    <row r="881" spans="1:14" x14ac:dyDescent="0.2">
      <c r="A881" s="84"/>
      <c r="B881" s="84"/>
      <c r="C881" s="60"/>
      <c r="D881" s="66"/>
      <c r="E881" s="66"/>
      <c r="F881" s="66"/>
      <c r="G881" s="66"/>
      <c r="H881" s="66"/>
      <c r="I881" s="66"/>
      <c r="J881" s="66"/>
      <c r="K881" s="66"/>
      <c r="L881" s="66"/>
      <c r="M881" s="66"/>
      <c r="N881" s="66"/>
    </row>
    <row r="882" spans="1:14" x14ac:dyDescent="0.2">
      <c r="A882" s="84"/>
      <c r="B882" s="84"/>
      <c r="C882" s="60"/>
      <c r="D882" s="66"/>
      <c r="E882" s="66"/>
      <c r="F882" s="66"/>
      <c r="G882" s="66"/>
      <c r="H882" s="66"/>
      <c r="I882" s="66"/>
      <c r="J882" s="66"/>
      <c r="K882" s="66"/>
      <c r="L882" s="66"/>
      <c r="M882" s="66"/>
      <c r="N882" s="66"/>
    </row>
    <row r="883" spans="1:14" x14ac:dyDescent="0.2">
      <c r="A883" s="84"/>
      <c r="B883" s="84"/>
      <c r="C883" s="60"/>
      <c r="D883" s="66"/>
      <c r="E883" s="66"/>
      <c r="F883" s="66"/>
      <c r="G883" s="66"/>
      <c r="H883" s="66"/>
      <c r="I883" s="66"/>
      <c r="J883" s="66"/>
      <c r="K883" s="66"/>
      <c r="L883" s="66"/>
      <c r="M883" s="66"/>
      <c r="N883" s="66"/>
    </row>
    <row r="884" spans="1:14" x14ac:dyDescent="0.2">
      <c r="A884" s="84"/>
      <c r="B884" s="84"/>
      <c r="C884" s="60"/>
      <c r="D884" s="66"/>
      <c r="E884" s="66"/>
      <c r="F884" s="66"/>
      <c r="G884" s="66"/>
      <c r="H884" s="66"/>
      <c r="I884" s="66"/>
      <c r="J884" s="66"/>
      <c r="K884" s="66"/>
      <c r="L884" s="66"/>
      <c r="M884" s="66"/>
      <c r="N884" s="66"/>
    </row>
    <row r="885" spans="1:14" x14ac:dyDescent="0.2">
      <c r="A885" s="84"/>
      <c r="B885" s="84"/>
      <c r="C885" s="60"/>
      <c r="D885" s="66"/>
      <c r="E885" s="66"/>
      <c r="F885" s="66"/>
      <c r="G885" s="66"/>
      <c r="H885" s="66"/>
      <c r="I885" s="66"/>
      <c r="J885" s="66"/>
      <c r="K885" s="66"/>
      <c r="L885" s="66"/>
      <c r="M885" s="66"/>
      <c r="N885" s="66"/>
    </row>
    <row r="886" spans="1:14" x14ac:dyDescent="0.2">
      <c r="A886" s="84"/>
      <c r="B886" s="84"/>
      <c r="C886" s="60"/>
      <c r="D886" s="66"/>
      <c r="E886" s="66"/>
      <c r="F886" s="66"/>
      <c r="G886" s="66"/>
      <c r="H886" s="66"/>
      <c r="I886" s="66"/>
      <c r="J886" s="66"/>
      <c r="K886" s="66"/>
      <c r="L886" s="66"/>
      <c r="M886" s="66"/>
      <c r="N886" s="66"/>
    </row>
    <row r="887" spans="1:14" x14ac:dyDescent="0.2">
      <c r="A887" s="84"/>
      <c r="B887" s="84"/>
      <c r="C887" s="60"/>
      <c r="D887" s="66"/>
      <c r="E887" s="66"/>
      <c r="F887" s="66"/>
      <c r="G887" s="66"/>
      <c r="H887" s="66"/>
      <c r="I887" s="66"/>
      <c r="J887" s="66"/>
      <c r="K887" s="66"/>
      <c r="L887" s="66"/>
      <c r="M887" s="66"/>
      <c r="N887" s="66"/>
    </row>
    <row r="888" spans="1:14" x14ac:dyDescent="0.2">
      <c r="A888" s="84"/>
      <c r="B888" s="84"/>
      <c r="C888" s="60"/>
      <c r="D888" s="66"/>
      <c r="E888" s="66"/>
      <c r="F888" s="66"/>
      <c r="G888" s="66"/>
      <c r="H888" s="66"/>
      <c r="I888" s="66"/>
      <c r="J888" s="66"/>
      <c r="K888" s="66"/>
      <c r="L888" s="66"/>
      <c r="M888" s="66"/>
      <c r="N888" s="66"/>
    </row>
    <row r="889" spans="1:14" x14ac:dyDescent="0.2">
      <c r="A889" s="84"/>
      <c r="B889" s="84"/>
      <c r="C889" s="60"/>
      <c r="D889" s="66"/>
      <c r="E889" s="66"/>
      <c r="F889" s="66"/>
      <c r="G889" s="66"/>
      <c r="H889" s="66"/>
      <c r="I889" s="66"/>
      <c r="J889" s="66"/>
      <c r="K889" s="66"/>
      <c r="L889" s="66"/>
      <c r="M889" s="66"/>
      <c r="N889" s="66"/>
    </row>
    <row r="890" spans="1:14" x14ac:dyDescent="0.2">
      <c r="A890" s="84"/>
      <c r="B890" s="84"/>
      <c r="C890" s="60"/>
      <c r="D890" s="66"/>
      <c r="E890" s="66"/>
      <c r="F890" s="66"/>
      <c r="G890" s="66"/>
      <c r="H890" s="66"/>
      <c r="I890" s="66"/>
      <c r="J890" s="66"/>
      <c r="K890" s="66"/>
      <c r="L890" s="66"/>
      <c r="M890" s="66"/>
      <c r="N890" s="66"/>
    </row>
    <row r="891" spans="1:14" x14ac:dyDescent="0.2">
      <c r="A891" s="84"/>
      <c r="B891" s="84"/>
      <c r="C891" s="60"/>
      <c r="D891" s="66"/>
      <c r="E891" s="66"/>
      <c r="F891" s="66"/>
      <c r="G891" s="66"/>
      <c r="H891" s="66"/>
      <c r="I891" s="66"/>
      <c r="J891" s="66"/>
      <c r="K891" s="66"/>
      <c r="L891" s="66"/>
      <c r="M891" s="66"/>
      <c r="N891" s="66"/>
    </row>
    <row r="892" spans="1:14" x14ac:dyDescent="0.2">
      <c r="A892" s="84"/>
      <c r="B892" s="84"/>
      <c r="C892" s="60"/>
      <c r="D892" s="66"/>
      <c r="E892" s="66"/>
      <c r="F892" s="66"/>
      <c r="G892" s="66"/>
      <c r="H892" s="66"/>
      <c r="I892" s="66"/>
      <c r="J892" s="66"/>
      <c r="K892" s="66"/>
      <c r="L892" s="66"/>
      <c r="M892" s="66"/>
      <c r="N892" s="66"/>
    </row>
    <row r="893" spans="1:14" x14ac:dyDescent="0.2">
      <c r="A893" s="84"/>
      <c r="B893" s="84"/>
      <c r="C893" s="60"/>
      <c r="D893" s="66"/>
      <c r="E893" s="66"/>
      <c r="F893" s="66"/>
      <c r="G893" s="66"/>
      <c r="H893" s="66"/>
      <c r="I893" s="66"/>
      <c r="J893" s="66"/>
      <c r="K893" s="66"/>
      <c r="L893" s="66"/>
      <c r="M893" s="66"/>
      <c r="N893" s="66"/>
    </row>
    <row r="894" spans="1:14" x14ac:dyDescent="0.2">
      <c r="A894" s="84"/>
      <c r="B894" s="84"/>
      <c r="C894" s="60"/>
      <c r="D894" s="66"/>
      <c r="E894" s="66"/>
      <c r="F894" s="66"/>
      <c r="G894" s="66"/>
      <c r="H894" s="66"/>
      <c r="I894" s="66"/>
      <c r="J894" s="66"/>
      <c r="K894" s="66"/>
      <c r="L894" s="66"/>
      <c r="M894" s="66"/>
      <c r="N894" s="66"/>
    </row>
    <row r="895" spans="1:14" x14ac:dyDescent="0.2">
      <c r="A895" s="84"/>
      <c r="B895" s="84"/>
      <c r="C895" s="60"/>
      <c r="D895" s="66"/>
      <c r="E895" s="66"/>
      <c r="F895" s="66"/>
      <c r="G895" s="66"/>
      <c r="H895" s="66"/>
      <c r="I895" s="66"/>
      <c r="J895" s="66"/>
      <c r="K895" s="66"/>
      <c r="L895" s="66"/>
      <c r="M895" s="66"/>
      <c r="N895" s="66"/>
    </row>
    <row r="896" spans="1:14" x14ac:dyDescent="0.2">
      <c r="A896" s="84"/>
      <c r="B896" s="84"/>
      <c r="C896" s="60"/>
      <c r="D896" s="66"/>
      <c r="E896" s="66"/>
      <c r="F896" s="66"/>
      <c r="G896" s="66"/>
      <c r="H896" s="66"/>
      <c r="I896" s="66"/>
      <c r="J896" s="66"/>
      <c r="K896" s="66"/>
      <c r="L896" s="66"/>
      <c r="M896" s="66"/>
      <c r="N896" s="66"/>
    </row>
    <row r="897" spans="1:14" x14ac:dyDescent="0.2">
      <c r="A897" s="84"/>
      <c r="B897" s="84"/>
      <c r="C897" s="60"/>
      <c r="D897" s="66"/>
      <c r="E897" s="66"/>
      <c r="F897" s="66"/>
      <c r="G897" s="66"/>
      <c r="H897" s="66"/>
      <c r="I897" s="66"/>
      <c r="J897" s="66"/>
      <c r="K897" s="66"/>
      <c r="L897" s="66"/>
      <c r="M897" s="66"/>
      <c r="N897" s="66"/>
    </row>
    <row r="898" spans="1:14" x14ac:dyDescent="0.2">
      <c r="A898" s="84"/>
      <c r="B898" s="84"/>
      <c r="C898" s="60"/>
      <c r="D898" s="66"/>
      <c r="E898" s="66"/>
      <c r="F898" s="66"/>
      <c r="G898" s="66"/>
      <c r="H898" s="66"/>
      <c r="I898" s="66"/>
      <c r="J898" s="66"/>
      <c r="K898" s="66"/>
      <c r="L898" s="66"/>
      <c r="M898" s="66"/>
      <c r="N898" s="66"/>
    </row>
    <row r="899" spans="1:14" x14ac:dyDescent="0.2">
      <c r="A899" s="84"/>
      <c r="B899" s="84"/>
      <c r="C899" s="60"/>
      <c r="D899" s="66"/>
      <c r="E899" s="66"/>
      <c r="F899" s="66"/>
      <c r="G899" s="66"/>
      <c r="H899" s="66"/>
      <c r="I899" s="66"/>
      <c r="J899" s="66"/>
      <c r="K899" s="66"/>
      <c r="L899" s="66"/>
      <c r="M899" s="66"/>
      <c r="N899" s="66"/>
    </row>
    <row r="900" spans="1:14" x14ac:dyDescent="0.2">
      <c r="A900" s="84"/>
      <c r="B900" s="84"/>
      <c r="C900" s="60"/>
      <c r="D900" s="66"/>
      <c r="E900" s="66"/>
      <c r="F900" s="66"/>
      <c r="G900" s="66"/>
      <c r="H900" s="66"/>
      <c r="I900" s="66"/>
      <c r="J900" s="66"/>
      <c r="K900" s="66"/>
      <c r="L900" s="66"/>
      <c r="M900" s="66"/>
      <c r="N900" s="66"/>
    </row>
    <row r="901" spans="1:14" x14ac:dyDescent="0.2">
      <c r="A901" s="84"/>
      <c r="B901" s="84"/>
      <c r="C901" s="60"/>
      <c r="D901" s="66"/>
      <c r="E901" s="66"/>
      <c r="F901" s="66"/>
      <c r="G901" s="66"/>
      <c r="H901" s="66"/>
      <c r="I901" s="66"/>
      <c r="J901" s="66"/>
      <c r="K901" s="66"/>
      <c r="L901" s="66"/>
      <c r="M901" s="66"/>
      <c r="N901" s="66"/>
    </row>
    <row r="902" spans="1:14" x14ac:dyDescent="0.2">
      <c r="A902" s="84"/>
      <c r="B902" s="84"/>
      <c r="C902" s="60"/>
      <c r="D902" s="66"/>
      <c r="E902" s="66"/>
      <c r="F902" s="66"/>
      <c r="G902" s="66"/>
      <c r="H902" s="66"/>
      <c r="I902" s="66"/>
      <c r="J902" s="66"/>
      <c r="K902" s="66"/>
      <c r="L902" s="66"/>
      <c r="M902" s="66"/>
      <c r="N902" s="66"/>
    </row>
    <row r="903" spans="1:14" x14ac:dyDescent="0.2">
      <c r="A903" s="84"/>
      <c r="B903" s="84"/>
      <c r="C903" s="60"/>
      <c r="D903" s="66"/>
      <c r="E903" s="66"/>
      <c r="F903" s="66"/>
      <c r="G903" s="66"/>
      <c r="H903" s="66"/>
      <c r="I903" s="66"/>
      <c r="J903" s="66"/>
      <c r="K903" s="66"/>
      <c r="L903" s="66"/>
      <c r="M903" s="66"/>
      <c r="N903" s="66"/>
    </row>
    <row r="904" spans="1:14" x14ac:dyDescent="0.2">
      <c r="A904" s="84"/>
      <c r="B904" s="84"/>
      <c r="C904" s="60"/>
      <c r="D904" s="66"/>
      <c r="E904" s="66"/>
      <c r="F904" s="66"/>
      <c r="G904" s="66"/>
      <c r="H904" s="66"/>
      <c r="I904" s="66"/>
      <c r="J904" s="66"/>
      <c r="K904" s="66"/>
      <c r="L904" s="66"/>
      <c r="M904" s="66"/>
      <c r="N904" s="66"/>
    </row>
    <row r="905" spans="1:14" x14ac:dyDescent="0.2">
      <c r="A905" s="84"/>
      <c r="B905" s="84"/>
      <c r="C905" s="60"/>
      <c r="D905" s="66"/>
      <c r="E905" s="66"/>
      <c r="F905" s="66"/>
      <c r="G905" s="66"/>
      <c r="H905" s="66"/>
      <c r="I905" s="66"/>
      <c r="J905" s="66"/>
      <c r="K905" s="66"/>
      <c r="L905" s="66"/>
      <c r="M905" s="66"/>
      <c r="N905" s="66"/>
    </row>
    <row r="906" spans="1:14" x14ac:dyDescent="0.2">
      <c r="A906" s="84"/>
      <c r="B906" s="84"/>
      <c r="C906" s="60"/>
      <c r="D906" s="66"/>
      <c r="E906" s="66"/>
      <c r="F906" s="66"/>
      <c r="G906" s="66"/>
      <c r="H906" s="66"/>
      <c r="I906" s="66"/>
      <c r="J906" s="66"/>
      <c r="K906" s="66"/>
      <c r="L906" s="66"/>
      <c r="M906" s="66"/>
      <c r="N906" s="66"/>
    </row>
    <row r="907" spans="1:14" x14ac:dyDescent="0.2">
      <c r="A907" s="84"/>
      <c r="B907" s="84"/>
      <c r="C907" s="60"/>
      <c r="D907" s="66"/>
      <c r="E907" s="66"/>
      <c r="F907" s="66"/>
      <c r="G907" s="66"/>
      <c r="H907" s="66"/>
      <c r="I907" s="66"/>
      <c r="J907" s="66"/>
      <c r="K907" s="66"/>
      <c r="L907" s="66"/>
      <c r="M907" s="66"/>
      <c r="N907" s="66"/>
    </row>
    <row r="908" spans="1:14" x14ac:dyDescent="0.2">
      <c r="A908" s="84"/>
      <c r="B908" s="84"/>
      <c r="C908" s="60"/>
      <c r="D908" s="66"/>
      <c r="E908" s="66"/>
      <c r="F908" s="66"/>
      <c r="G908" s="66"/>
      <c r="H908" s="66"/>
      <c r="I908" s="66"/>
      <c r="J908" s="66"/>
      <c r="K908" s="66"/>
      <c r="L908" s="66"/>
      <c r="M908" s="66"/>
      <c r="N908" s="66"/>
    </row>
    <row r="909" spans="1:14" x14ac:dyDescent="0.2">
      <c r="A909" s="84"/>
      <c r="B909" s="84"/>
      <c r="C909" s="60"/>
      <c r="D909" s="66"/>
      <c r="E909" s="66"/>
      <c r="F909" s="66"/>
      <c r="G909" s="66"/>
      <c r="H909" s="66"/>
      <c r="I909" s="66"/>
      <c r="J909" s="66"/>
      <c r="K909" s="66"/>
      <c r="L909" s="66"/>
      <c r="M909" s="66"/>
      <c r="N909" s="66"/>
    </row>
    <row r="910" spans="1:14" x14ac:dyDescent="0.2">
      <c r="A910" s="84"/>
      <c r="B910" s="84"/>
      <c r="C910" s="60"/>
      <c r="D910" s="66"/>
      <c r="E910" s="66"/>
      <c r="F910" s="66"/>
      <c r="G910" s="66"/>
      <c r="H910" s="66"/>
      <c r="I910" s="66"/>
      <c r="J910" s="66"/>
      <c r="K910" s="66"/>
      <c r="L910" s="66"/>
      <c r="M910" s="66"/>
      <c r="N910" s="66"/>
    </row>
    <row r="911" spans="1:14" x14ac:dyDescent="0.2">
      <c r="A911" s="84"/>
      <c r="B911" s="84"/>
      <c r="C911" s="60"/>
      <c r="D911" s="66"/>
      <c r="E911" s="66"/>
      <c r="F911" s="66"/>
      <c r="G911" s="66"/>
      <c r="H911" s="66"/>
      <c r="I911" s="66"/>
      <c r="J911" s="66"/>
      <c r="K911" s="66"/>
      <c r="L911" s="66"/>
      <c r="M911" s="66"/>
      <c r="N911" s="66"/>
    </row>
    <row r="912" spans="1:14" x14ac:dyDescent="0.2">
      <c r="A912" s="84"/>
      <c r="B912" s="84"/>
      <c r="C912" s="60"/>
      <c r="D912" s="66"/>
      <c r="E912" s="66"/>
      <c r="F912" s="66"/>
      <c r="G912" s="66"/>
      <c r="H912" s="66"/>
      <c r="I912" s="66"/>
      <c r="J912" s="66"/>
      <c r="K912" s="66"/>
      <c r="L912" s="66"/>
      <c r="M912" s="66"/>
      <c r="N912" s="66"/>
    </row>
    <row r="913" spans="1:14" x14ac:dyDescent="0.2">
      <c r="A913" s="84"/>
      <c r="B913" s="84"/>
      <c r="C913" s="60"/>
      <c r="D913" s="66"/>
      <c r="E913" s="66"/>
      <c r="F913" s="66"/>
      <c r="G913" s="66"/>
      <c r="H913" s="66"/>
      <c r="I913" s="66"/>
      <c r="J913" s="66"/>
      <c r="K913" s="66"/>
      <c r="L913" s="66"/>
      <c r="M913" s="66"/>
      <c r="N913" s="66"/>
    </row>
    <row r="914" spans="1:14" x14ac:dyDescent="0.2">
      <c r="A914" s="84"/>
      <c r="B914" s="84"/>
      <c r="C914" s="60"/>
      <c r="D914" s="66"/>
      <c r="E914" s="66"/>
      <c r="F914" s="66"/>
      <c r="G914" s="66"/>
      <c r="H914" s="66"/>
      <c r="I914" s="66"/>
      <c r="J914" s="66"/>
      <c r="K914" s="66"/>
      <c r="L914" s="66"/>
      <c r="M914" s="66"/>
      <c r="N914" s="66"/>
    </row>
    <row r="915" spans="1:14" x14ac:dyDescent="0.2">
      <c r="A915" s="84"/>
      <c r="B915" s="84"/>
      <c r="C915" s="60"/>
      <c r="D915" s="66"/>
      <c r="E915" s="66"/>
      <c r="F915" s="66"/>
      <c r="G915" s="66"/>
      <c r="H915" s="66"/>
      <c r="I915" s="66"/>
      <c r="J915" s="66"/>
      <c r="K915" s="66"/>
      <c r="L915" s="66"/>
      <c r="M915" s="66"/>
      <c r="N915" s="66"/>
    </row>
    <row r="916" spans="1:14" x14ac:dyDescent="0.2">
      <c r="A916" s="84"/>
      <c r="B916" s="84"/>
      <c r="C916" s="60"/>
      <c r="D916" s="66"/>
      <c r="E916" s="66"/>
      <c r="F916" s="66"/>
      <c r="G916" s="66"/>
      <c r="H916" s="66"/>
      <c r="I916" s="66"/>
      <c r="J916" s="66"/>
      <c r="K916" s="66"/>
      <c r="L916" s="66"/>
      <c r="M916" s="66"/>
      <c r="N916" s="66"/>
    </row>
    <row r="917" spans="1:14" x14ac:dyDescent="0.2">
      <c r="A917" s="84"/>
      <c r="B917" s="84"/>
      <c r="C917" s="60"/>
      <c r="D917" s="66"/>
      <c r="E917" s="66"/>
      <c r="F917" s="66"/>
      <c r="G917" s="66"/>
      <c r="H917" s="66"/>
      <c r="I917" s="66"/>
      <c r="J917" s="66"/>
      <c r="K917" s="66"/>
      <c r="L917" s="66"/>
      <c r="M917" s="66"/>
      <c r="N917" s="66"/>
    </row>
    <row r="918" spans="1:14" x14ac:dyDescent="0.2">
      <c r="A918" s="84"/>
      <c r="B918" s="84"/>
      <c r="C918" s="60"/>
      <c r="D918" s="66"/>
      <c r="E918" s="66"/>
      <c r="F918" s="66"/>
      <c r="G918" s="66"/>
      <c r="H918" s="66"/>
      <c r="I918" s="66"/>
      <c r="J918" s="66"/>
      <c r="K918" s="66"/>
      <c r="L918" s="66"/>
      <c r="M918" s="66"/>
      <c r="N918" s="66"/>
    </row>
    <row r="919" spans="1:14" x14ac:dyDescent="0.2">
      <c r="A919" s="84"/>
      <c r="B919" s="84"/>
      <c r="C919" s="60"/>
      <c r="D919" s="66"/>
      <c r="E919" s="66"/>
      <c r="F919" s="66"/>
      <c r="G919" s="66"/>
      <c r="H919" s="66"/>
      <c r="I919" s="66"/>
      <c r="J919" s="66"/>
      <c r="K919" s="66"/>
      <c r="L919" s="66"/>
      <c r="M919" s="66"/>
      <c r="N919" s="66"/>
    </row>
    <row r="920" spans="1:14" x14ac:dyDescent="0.2">
      <c r="A920" s="84"/>
      <c r="B920" s="84"/>
      <c r="C920" s="60"/>
      <c r="D920" s="66"/>
      <c r="E920" s="66"/>
      <c r="F920" s="66"/>
      <c r="G920" s="66"/>
      <c r="H920" s="66"/>
      <c r="I920" s="66"/>
      <c r="J920" s="66"/>
      <c r="K920" s="66"/>
      <c r="L920" s="66"/>
      <c r="M920" s="66"/>
      <c r="N920" s="66"/>
    </row>
    <row r="921" spans="1:14" x14ac:dyDescent="0.2">
      <c r="A921" s="84"/>
      <c r="B921" s="84"/>
      <c r="C921" s="60"/>
      <c r="D921" s="66"/>
      <c r="E921" s="66"/>
      <c r="F921" s="66"/>
      <c r="G921" s="66"/>
      <c r="H921" s="66"/>
      <c r="I921" s="66"/>
      <c r="J921" s="66"/>
      <c r="K921" s="66"/>
      <c r="L921" s="66"/>
      <c r="M921" s="66"/>
      <c r="N921" s="66"/>
    </row>
    <row r="922" spans="1:14" x14ac:dyDescent="0.2">
      <c r="A922" s="84"/>
      <c r="B922" s="84"/>
      <c r="C922" s="60"/>
      <c r="D922" s="66"/>
      <c r="E922" s="66"/>
      <c r="F922" s="66"/>
      <c r="G922" s="66"/>
      <c r="H922" s="66"/>
      <c r="I922" s="66"/>
      <c r="J922" s="66"/>
      <c r="K922" s="66"/>
      <c r="L922" s="66"/>
      <c r="M922" s="66"/>
      <c r="N922" s="66"/>
    </row>
    <row r="923" spans="1:14" x14ac:dyDescent="0.2">
      <c r="A923" s="84"/>
      <c r="B923" s="84"/>
      <c r="C923" s="60"/>
      <c r="D923" s="66"/>
      <c r="E923" s="66"/>
      <c r="F923" s="66"/>
      <c r="G923" s="66"/>
      <c r="H923" s="66"/>
      <c r="I923" s="66"/>
      <c r="J923" s="66"/>
      <c r="K923" s="66"/>
      <c r="L923" s="66"/>
      <c r="M923" s="66"/>
      <c r="N923" s="66"/>
    </row>
    <row r="924" spans="1:14" x14ac:dyDescent="0.2">
      <c r="A924" s="84"/>
      <c r="B924" s="84"/>
      <c r="C924" s="60"/>
      <c r="D924" s="66"/>
      <c r="E924" s="66"/>
      <c r="F924" s="66"/>
      <c r="G924" s="66"/>
      <c r="H924" s="66"/>
      <c r="I924" s="66"/>
      <c r="J924" s="66"/>
      <c r="K924" s="66"/>
      <c r="L924" s="66"/>
      <c r="M924" s="66"/>
      <c r="N924" s="66"/>
    </row>
    <row r="925" spans="1:14" x14ac:dyDescent="0.2">
      <c r="A925" s="84"/>
      <c r="B925" s="84"/>
      <c r="C925" s="60"/>
      <c r="D925" s="66"/>
      <c r="E925" s="66"/>
      <c r="F925" s="66"/>
      <c r="G925" s="66"/>
      <c r="H925" s="66"/>
      <c r="I925" s="66"/>
      <c r="J925" s="66"/>
      <c r="K925" s="66"/>
      <c r="L925" s="66"/>
      <c r="M925" s="66"/>
      <c r="N925" s="66"/>
    </row>
    <row r="926" spans="1:14" x14ac:dyDescent="0.2">
      <c r="A926" s="84"/>
      <c r="B926" s="84"/>
      <c r="C926" s="60"/>
      <c r="D926" s="66"/>
      <c r="E926" s="66"/>
      <c r="F926" s="66"/>
      <c r="G926" s="66"/>
      <c r="H926" s="66"/>
      <c r="I926" s="66"/>
      <c r="J926" s="66"/>
      <c r="K926" s="66"/>
      <c r="L926" s="66"/>
      <c r="M926" s="66"/>
      <c r="N926" s="66"/>
    </row>
    <row r="927" spans="1:14" x14ac:dyDescent="0.2">
      <c r="A927" s="84"/>
      <c r="B927" s="84"/>
      <c r="C927" s="60"/>
      <c r="D927" s="66"/>
      <c r="E927" s="66"/>
      <c r="F927" s="66"/>
      <c r="G927" s="66"/>
      <c r="H927" s="66"/>
      <c r="I927" s="66"/>
      <c r="J927" s="66"/>
      <c r="K927" s="66"/>
      <c r="L927" s="66"/>
      <c r="M927" s="66"/>
      <c r="N927" s="66"/>
    </row>
    <row r="928" spans="1:14" x14ac:dyDescent="0.2">
      <c r="A928" s="84"/>
      <c r="B928" s="84"/>
      <c r="C928" s="60"/>
      <c r="D928" s="66"/>
      <c r="E928" s="66"/>
      <c r="F928" s="66"/>
      <c r="G928" s="66"/>
      <c r="H928" s="66"/>
      <c r="I928" s="66"/>
      <c r="J928" s="66"/>
      <c r="K928" s="66"/>
      <c r="L928" s="66"/>
      <c r="M928" s="66"/>
      <c r="N928" s="66"/>
    </row>
    <row r="929" spans="1:14" x14ac:dyDescent="0.2">
      <c r="A929" s="84"/>
      <c r="B929" s="84"/>
      <c r="C929" s="60"/>
      <c r="D929" s="66"/>
      <c r="E929" s="66"/>
      <c r="F929" s="66"/>
      <c r="G929" s="66"/>
      <c r="H929" s="66"/>
      <c r="I929" s="66"/>
      <c r="J929" s="66"/>
      <c r="K929" s="66"/>
      <c r="L929" s="66"/>
      <c r="M929" s="66"/>
      <c r="N929" s="66"/>
    </row>
    <row r="930" spans="1:14" x14ac:dyDescent="0.2">
      <c r="A930" s="84"/>
      <c r="B930" s="84"/>
      <c r="C930" s="60"/>
      <c r="D930" s="66"/>
      <c r="E930" s="66"/>
      <c r="F930" s="66"/>
      <c r="G930" s="66"/>
      <c r="H930" s="66"/>
      <c r="I930" s="66"/>
      <c r="J930" s="66"/>
      <c r="K930" s="66"/>
      <c r="L930" s="66"/>
      <c r="M930" s="66"/>
      <c r="N930" s="66"/>
    </row>
    <row r="931" spans="1:14" x14ac:dyDescent="0.2">
      <c r="A931" s="84"/>
      <c r="B931" s="84"/>
      <c r="C931" s="60"/>
      <c r="D931" s="66"/>
      <c r="E931" s="66"/>
      <c r="F931" s="66"/>
      <c r="G931" s="66"/>
      <c r="H931" s="66"/>
      <c r="I931" s="66"/>
      <c r="J931" s="66"/>
      <c r="K931" s="66"/>
      <c r="L931" s="66"/>
      <c r="M931" s="66"/>
      <c r="N931" s="66"/>
    </row>
    <row r="932" spans="1:14" x14ac:dyDescent="0.2">
      <c r="A932" s="84"/>
      <c r="B932" s="84"/>
      <c r="C932" s="60"/>
      <c r="D932" s="66"/>
      <c r="E932" s="66"/>
      <c r="F932" s="66"/>
      <c r="G932" s="66"/>
      <c r="H932" s="66"/>
      <c r="I932" s="66"/>
      <c r="J932" s="66"/>
      <c r="K932" s="66"/>
      <c r="L932" s="66"/>
      <c r="M932" s="66"/>
      <c r="N932" s="66"/>
    </row>
    <row r="933" spans="1:14" x14ac:dyDescent="0.2">
      <c r="A933" s="84"/>
      <c r="B933" s="84"/>
      <c r="C933" s="60"/>
      <c r="D933" s="66"/>
      <c r="E933" s="66"/>
      <c r="F933" s="66"/>
      <c r="G933" s="66"/>
      <c r="H933" s="66"/>
      <c r="I933" s="66"/>
      <c r="J933" s="66"/>
      <c r="K933" s="66"/>
      <c r="L933" s="66"/>
      <c r="M933" s="66"/>
      <c r="N933" s="66"/>
    </row>
    <row r="934" spans="1:14" x14ac:dyDescent="0.2">
      <c r="A934" s="84"/>
      <c r="B934" s="84"/>
      <c r="C934" s="60"/>
      <c r="D934" s="66"/>
      <c r="E934" s="66"/>
      <c r="F934" s="66"/>
      <c r="G934" s="66"/>
      <c r="H934" s="66"/>
      <c r="I934" s="66"/>
      <c r="J934" s="66"/>
      <c r="K934" s="66"/>
      <c r="L934" s="66"/>
      <c r="M934" s="66"/>
      <c r="N934" s="66"/>
    </row>
    <row r="935" spans="1:14" x14ac:dyDescent="0.2">
      <c r="A935" s="84"/>
      <c r="B935" s="84"/>
      <c r="C935" s="60"/>
      <c r="D935" s="66"/>
      <c r="E935" s="66"/>
      <c r="F935" s="66"/>
      <c r="G935" s="66"/>
      <c r="H935" s="66"/>
      <c r="I935" s="66"/>
      <c r="J935" s="66"/>
      <c r="K935" s="66"/>
      <c r="L935" s="66"/>
      <c r="M935" s="66"/>
      <c r="N935" s="66"/>
    </row>
    <row r="936" spans="1:14" x14ac:dyDescent="0.2">
      <c r="A936" s="84"/>
      <c r="B936" s="84"/>
      <c r="C936" s="60"/>
      <c r="D936" s="66"/>
      <c r="E936" s="66"/>
      <c r="F936" s="66"/>
      <c r="G936" s="66"/>
      <c r="H936" s="66"/>
      <c r="I936" s="66"/>
      <c r="J936" s="66"/>
      <c r="K936" s="66"/>
      <c r="L936" s="66"/>
      <c r="M936" s="66"/>
      <c r="N936" s="66"/>
    </row>
    <row r="937" spans="1:14" x14ac:dyDescent="0.2">
      <c r="A937" s="84"/>
      <c r="B937" s="84"/>
      <c r="C937" s="60"/>
      <c r="D937" s="66"/>
      <c r="E937" s="66"/>
      <c r="F937" s="66"/>
      <c r="G937" s="66"/>
      <c r="H937" s="66"/>
      <c r="I937" s="66"/>
      <c r="J937" s="66"/>
      <c r="K937" s="66"/>
      <c r="L937" s="66"/>
      <c r="M937" s="66"/>
      <c r="N937" s="66"/>
    </row>
    <row r="938" spans="1:14" x14ac:dyDescent="0.2">
      <c r="A938" s="84"/>
      <c r="B938" s="84"/>
      <c r="C938" s="60"/>
      <c r="D938" s="66"/>
      <c r="E938" s="66"/>
      <c r="F938" s="66"/>
      <c r="G938" s="66"/>
      <c r="H938" s="66"/>
      <c r="I938" s="66"/>
      <c r="J938" s="66"/>
      <c r="K938" s="66"/>
      <c r="L938" s="66"/>
      <c r="M938" s="66"/>
      <c r="N938" s="66"/>
    </row>
    <row r="939" spans="1:14" x14ac:dyDescent="0.2">
      <c r="A939" s="84"/>
      <c r="B939" s="84"/>
      <c r="C939" s="60"/>
      <c r="D939" s="66"/>
      <c r="E939" s="66"/>
      <c r="F939" s="66"/>
      <c r="G939" s="66"/>
      <c r="H939" s="66"/>
      <c r="I939" s="66"/>
      <c r="J939" s="66"/>
      <c r="K939" s="66"/>
      <c r="L939" s="66"/>
      <c r="M939" s="66"/>
      <c r="N939" s="66"/>
    </row>
    <row r="940" spans="1:14" x14ac:dyDescent="0.2">
      <c r="A940" s="84"/>
      <c r="B940" s="84"/>
      <c r="C940" s="60"/>
      <c r="D940" s="66"/>
      <c r="E940" s="66"/>
      <c r="F940" s="66"/>
      <c r="G940" s="66"/>
      <c r="H940" s="66"/>
      <c r="I940" s="66"/>
      <c r="J940" s="66"/>
      <c r="K940" s="66"/>
      <c r="L940" s="66"/>
      <c r="M940" s="66"/>
      <c r="N940" s="66"/>
    </row>
    <row r="941" spans="1:14" x14ac:dyDescent="0.2">
      <c r="A941" s="84"/>
      <c r="B941" s="84"/>
      <c r="C941" s="60"/>
      <c r="D941" s="66"/>
      <c r="E941" s="66"/>
      <c r="F941" s="66"/>
      <c r="G941" s="66"/>
      <c r="H941" s="66"/>
      <c r="I941" s="66"/>
      <c r="J941" s="66"/>
      <c r="K941" s="66"/>
      <c r="L941" s="66"/>
      <c r="M941" s="66"/>
      <c r="N941" s="66"/>
    </row>
    <row r="942" spans="1:14" x14ac:dyDescent="0.2">
      <c r="A942" s="84"/>
      <c r="B942" s="84"/>
      <c r="C942" s="60"/>
      <c r="D942" s="66"/>
      <c r="E942" s="66"/>
      <c r="F942" s="66"/>
      <c r="G942" s="66"/>
      <c r="H942" s="66"/>
      <c r="I942" s="66"/>
      <c r="J942" s="66"/>
      <c r="K942" s="66"/>
      <c r="L942" s="66"/>
      <c r="M942" s="66"/>
      <c r="N942" s="66"/>
    </row>
    <row r="943" spans="1:14" x14ac:dyDescent="0.2">
      <c r="A943" s="84"/>
      <c r="B943" s="84"/>
      <c r="C943" s="60"/>
      <c r="D943" s="66"/>
      <c r="E943" s="66"/>
      <c r="F943" s="66"/>
      <c r="G943" s="66"/>
      <c r="H943" s="66"/>
      <c r="I943" s="66"/>
      <c r="J943" s="66"/>
      <c r="K943" s="66"/>
      <c r="L943" s="66"/>
      <c r="M943" s="66"/>
      <c r="N943" s="66"/>
    </row>
    <row r="944" spans="1:14" x14ac:dyDescent="0.2">
      <c r="A944" s="84"/>
      <c r="B944" s="84"/>
      <c r="C944" s="60"/>
      <c r="D944" s="66"/>
      <c r="E944" s="66"/>
      <c r="F944" s="66"/>
      <c r="G944" s="66"/>
      <c r="H944" s="66"/>
      <c r="I944" s="66"/>
      <c r="J944" s="66"/>
      <c r="K944" s="66"/>
      <c r="L944" s="66"/>
      <c r="M944" s="66"/>
      <c r="N944" s="66"/>
    </row>
    <row r="945" spans="1:14" x14ac:dyDescent="0.2">
      <c r="A945" s="84"/>
      <c r="B945" s="84"/>
      <c r="C945" s="60"/>
      <c r="D945" s="66"/>
      <c r="E945" s="66"/>
      <c r="F945" s="66"/>
      <c r="G945" s="66"/>
      <c r="H945" s="66"/>
      <c r="I945" s="66"/>
      <c r="J945" s="66"/>
      <c r="K945" s="66"/>
      <c r="L945" s="66"/>
      <c r="M945" s="66"/>
      <c r="N945" s="66"/>
    </row>
    <row r="946" spans="1:14" x14ac:dyDescent="0.2">
      <c r="A946" s="84"/>
      <c r="B946" s="84"/>
      <c r="C946" s="60"/>
      <c r="D946" s="66"/>
      <c r="E946" s="66"/>
      <c r="F946" s="66"/>
      <c r="G946" s="66"/>
      <c r="H946" s="66"/>
      <c r="I946" s="66"/>
      <c r="J946" s="66"/>
      <c r="K946" s="66"/>
      <c r="L946" s="66"/>
      <c r="M946" s="66"/>
      <c r="N946" s="66"/>
    </row>
    <row r="947" spans="1:14" x14ac:dyDescent="0.2">
      <c r="A947" s="84"/>
      <c r="B947" s="84"/>
      <c r="C947" s="60"/>
      <c r="D947" s="66"/>
      <c r="E947" s="66"/>
      <c r="F947" s="66"/>
      <c r="G947" s="66"/>
      <c r="H947" s="66"/>
      <c r="I947" s="66"/>
      <c r="J947" s="66"/>
      <c r="K947" s="66"/>
      <c r="L947" s="66"/>
      <c r="M947" s="66"/>
      <c r="N947" s="66"/>
    </row>
    <row r="948" spans="1:14" x14ac:dyDescent="0.2">
      <c r="A948" s="84"/>
      <c r="B948" s="84"/>
      <c r="C948" s="60"/>
      <c r="D948" s="66"/>
      <c r="E948" s="66"/>
      <c r="F948" s="66"/>
      <c r="G948" s="66"/>
      <c r="H948" s="66"/>
      <c r="I948" s="66"/>
      <c r="J948" s="66"/>
      <c r="K948" s="66"/>
      <c r="L948" s="66"/>
      <c r="M948" s="66"/>
      <c r="N948" s="66"/>
    </row>
    <row r="949" spans="1:14" x14ac:dyDescent="0.2">
      <c r="A949" s="84"/>
      <c r="B949" s="84"/>
      <c r="C949" s="60"/>
      <c r="D949" s="66"/>
      <c r="E949" s="66"/>
      <c r="F949" s="66"/>
      <c r="G949" s="66"/>
      <c r="H949" s="66"/>
      <c r="I949" s="66"/>
      <c r="J949" s="66"/>
      <c r="K949" s="66"/>
      <c r="L949" s="66"/>
      <c r="M949" s="66"/>
      <c r="N949" s="66"/>
    </row>
    <row r="950" spans="1:14" x14ac:dyDescent="0.2">
      <c r="A950" s="84"/>
      <c r="B950" s="84"/>
      <c r="C950" s="60"/>
      <c r="D950" s="66"/>
      <c r="E950" s="66"/>
      <c r="F950" s="66"/>
      <c r="G950" s="66"/>
      <c r="H950" s="66"/>
      <c r="I950" s="66"/>
      <c r="J950" s="66"/>
      <c r="K950" s="66"/>
      <c r="L950" s="66"/>
      <c r="M950" s="66"/>
      <c r="N950" s="66"/>
    </row>
    <row r="951" spans="1:14" x14ac:dyDescent="0.2">
      <c r="A951" s="84"/>
      <c r="B951" s="84"/>
      <c r="C951" s="60"/>
      <c r="D951" s="66"/>
      <c r="E951" s="66"/>
      <c r="F951" s="66"/>
      <c r="G951" s="66"/>
      <c r="H951" s="66"/>
      <c r="I951" s="66"/>
      <c r="J951" s="66"/>
      <c r="K951" s="66"/>
      <c r="L951" s="66"/>
      <c r="M951" s="66"/>
      <c r="N951" s="66"/>
    </row>
    <row r="952" spans="1:14" x14ac:dyDescent="0.2">
      <c r="A952" s="84"/>
      <c r="B952" s="84"/>
      <c r="C952" s="60"/>
      <c r="D952" s="66"/>
      <c r="E952" s="66"/>
      <c r="F952" s="66"/>
      <c r="G952" s="66"/>
      <c r="H952" s="66"/>
      <c r="I952" s="66"/>
      <c r="J952" s="66"/>
      <c r="K952" s="66"/>
      <c r="L952" s="66"/>
      <c r="M952" s="66"/>
      <c r="N952" s="66"/>
    </row>
    <row r="953" spans="1:14" x14ac:dyDescent="0.2">
      <c r="A953" s="84"/>
      <c r="B953" s="84"/>
      <c r="C953" s="60"/>
      <c r="D953" s="66"/>
      <c r="E953" s="66"/>
      <c r="F953" s="66"/>
      <c r="G953" s="66"/>
      <c r="H953" s="66"/>
      <c r="I953" s="66"/>
      <c r="J953" s="66"/>
      <c r="K953" s="66"/>
      <c r="L953" s="66"/>
      <c r="M953" s="66"/>
      <c r="N953" s="66"/>
    </row>
    <row r="954" spans="1:14" x14ac:dyDescent="0.2">
      <c r="A954" s="84"/>
      <c r="B954" s="84"/>
      <c r="C954" s="60"/>
      <c r="D954" s="66"/>
      <c r="E954" s="66"/>
      <c r="F954" s="66"/>
      <c r="G954" s="66"/>
      <c r="H954" s="66"/>
      <c r="I954" s="66"/>
      <c r="J954" s="66"/>
      <c r="K954" s="66"/>
      <c r="L954" s="66"/>
      <c r="M954" s="66"/>
      <c r="N954" s="66"/>
    </row>
    <row r="955" spans="1:14" x14ac:dyDescent="0.2">
      <c r="A955" s="84"/>
      <c r="B955" s="84"/>
      <c r="C955" s="60"/>
      <c r="D955" s="66"/>
      <c r="E955" s="66"/>
      <c r="F955" s="66"/>
      <c r="G955" s="66"/>
      <c r="H955" s="66"/>
      <c r="I955" s="66"/>
      <c r="J955" s="66"/>
      <c r="K955" s="66"/>
      <c r="L955" s="66"/>
      <c r="M955" s="66"/>
      <c r="N955" s="66"/>
    </row>
    <row r="956" spans="1:14" x14ac:dyDescent="0.2">
      <c r="A956" s="84"/>
      <c r="B956" s="84"/>
      <c r="C956" s="60"/>
      <c r="D956" s="66"/>
      <c r="E956" s="66"/>
      <c r="F956" s="66"/>
      <c r="G956" s="66"/>
      <c r="H956" s="66"/>
      <c r="I956" s="66"/>
      <c r="J956" s="66"/>
      <c r="K956" s="66"/>
      <c r="L956" s="66"/>
      <c r="M956" s="66"/>
      <c r="N956" s="66"/>
    </row>
    <row r="957" spans="1:14" x14ac:dyDescent="0.2">
      <c r="A957" s="84"/>
      <c r="B957" s="84"/>
      <c r="C957" s="60"/>
      <c r="D957" s="66"/>
      <c r="E957" s="66"/>
      <c r="F957" s="66"/>
      <c r="G957" s="66"/>
      <c r="H957" s="66"/>
      <c r="I957" s="66"/>
      <c r="J957" s="66"/>
      <c r="K957" s="66"/>
      <c r="L957" s="66"/>
      <c r="M957" s="66"/>
      <c r="N957" s="66"/>
    </row>
    <row r="958" spans="1:14" x14ac:dyDescent="0.2">
      <c r="A958" s="84"/>
      <c r="B958" s="84"/>
      <c r="C958" s="60"/>
      <c r="D958" s="66"/>
      <c r="E958" s="66"/>
      <c r="F958" s="66"/>
      <c r="G958" s="66"/>
      <c r="H958" s="66"/>
      <c r="I958" s="66"/>
      <c r="J958" s="66"/>
      <c r="K958" s="66"/>
      <c r="L958" s="66"/>
      <c r="M958" s="66"/>
      <c r="N958" s="66"/>
    </row>
    <row r="959" spans="1:14" x14ac:dyDescent="0.2">
      <c r="A959" s="84"/>
      <c r="B959" s="84"/>
      <c r="C959" s="60"/>
      <c r="D959" s="66"/>
      <c r="E959" s="66"/>
      <c r="F959" s="66"/>
      <c r="G959" s="66"/>
      <c r="H959" s="66"/>
      <c r="I959" s="66"/>
      <c r="J959" s="66"/>
      <c r="K959" s="66"/>
      <c r="L959" s="66"/>
      <c r="M959" s="66"/>
      <c r="N959" s="66"/>
    </row>
    <row r="960" spans="1:14" x14ac:dyDescent="0.2">
      <c r="A960" s="84"/>
      <c r="B960" s="84"/>
      <c r="C960" s="60"/>
      <c r="D960" s="66"/>
      <c r="E960" s="66"/>
      <c r="F960" s="66"/>
      <c r="G960" s="66"/>
      <c r="H960" s="66"/>
      <c r="I960" s="66"/>
      <c r="J960" s="66"/>
      <c r="K960" s="66"/>
      <c r="L960" s="66"/>
      <c r="M960" s="66"/>
      <c r="N960" s="66"/>
    </row>
    <row r="961" spans="1:14" x14ac:dyDescent="0.2">
      <c r="A961" s="84"/>
      <c r="B961" s="84"/>
      <c r="C961" s="60"/>
      <c r="D961" s="66"/>
      <c r="E961" s="66"/>
      <c r="F961" s="66"/>
      <c r="G961" s="66"/>
      <c r="H961" s="66"/>
      <c r="I961" s="66"/>
      <c r="J961" s="66"/>
      <c r="K961" s="66"/>
      <c r="L961" s="66"/>
      <c r="M961" s="66"/>
      <c r="N961" s="66"/>
    </row>
    <row r="962" spans="1:14" x14ac:dyDescent="0.2">
      <c r="A962" s="84"/>
      <c r="B962" s="84"/>
      <c r="C962" s="60"/>
      <c r="D962" s="66"/>
      <c r="E962" s="66"/>
      <c r="F962" s="66"/>
      <c r="G962" s="66"/>
      <c r="H962" s="66"/>
      <c r="I962" s="66"/>
      <c r="J962" s="66"/>
      <c r="K962" s="66"/>
      <c r="L962" s="66"/>
      <c r="M962" s="66"/>
      <c r="N962" s="66"/>
    </row>
    <row r="963" spans="1:14" x14ac:dyDescent="0.2">
      <c r="A963" s="84"/>
      <c r="B963" s="84"/>
      <c r="C963" s="60"/>
      <c r="D963" s="66"/>
      <c r="E963" s="66"/>
      <c r="F963" s="66"/>
      <c r="G963" s="66"/>
      <c r="H963" s="66"/>
      <c r="I963" s="66"/>
      <c r="J963" s="66"/>
      <c r="K963" s="66"/>
      <c r="L963" s="66"/>
      <c r="M963" s="66"/>
      <c r="N963" s="66"/>
    </row>
    <row r="964" spans="1:14" x14ac:dyDescent="0.2">
      <c r="A964" s="84"/>
      <c r="B964" s="84"/>
      <c r="C964" s="60"/>
      <c r="D964" s="66"/>
      <c r="E964" s="66"/>
      <c r="F964" s="66"/>
      <c r="G964" s="66"/>
      <c r="H964" s="66"/>
      <c r="I964" s="66"/>
      <c r="J964" s="66"/>
      <c r="K964" s="66"/>
      <c r="L964" s="66"/>
      <c r="M964" s="66"/>
      <c r="N964" s="66"/>
    </row>
    <row r="965" spans="1:14" x14ac:dyDescent="0.2">
      <c r="A965" s="84"/>
      <c r="B965" s="84"/>
      <c r="C965" s="60"/>
      <c r="D965" s="66"/>
      <c r="E965" s="66"/>
      <c r="F965" s="66"/>
      <c r="G965" s="66"/>
      <c r="H965" s="66"/>
      <c r="I965" s="66"/>
      <c r="J965" s="66"/>
      <c r="K965" s="66"/>
      <c r="L965" s="66"/>
      <c r="M965" s="66"/>
      <c r="N965" s="66"/>
    </row>
    <row r="966" spans="1:14" x14ac:dyDescent="0.2">
      <c r="A966" s="84"/>
      <c r="B966" s="84"/>
      <c r="C966" s="60"/>
      <c r="D966" s="66"/>
      <c r="E966" s="66"/>
      <c r="F966" s="66"/>
      <c r="G966" s="66"/>
      <c r="H966" s="66"/>
      <c r="I966" s="66"/>
      <c r="J966" s="66"/>
      <c r="K966" s="66"/>
      <c r="L966" s="66"/>
      <c r="M966" s="66"/>
      <c r="N966" s="66"/>
    </row>
    <row r="967" spans="1:14" x14ac:dyDescent="0.2">
      <c r="A967" s="84"/>
      <c r="B967" s="84"/>
      <c r="C967" s="60"/>
      <c r="D967" s="66"/>
      <c r="E967" s="66"/>
      <c r="F967" s="66"/>
      <c r="G967" s="66"/>
      <c r="H967" s="66"/>
      <c r="I967" s="66"/>
      <c r="J967" s="66"/>
      <c r="K967" s="66"/>
      <c r="L967" s="66"/>
      <c r="M967" s="66"/>
      <c r="N967" s="66"/>
    </row>
    <row r="968" spans="1:14" x14ac:dyDescent="0.2">
      <c r="A968" s="84"/>
      <c r="B968" s="84"/>
      <c r="C968" s="60"/>
      <c r="D968" s="66"/>
      <c r="E968" s="66"/>
      <c r="F968" s="66"/>
      <c r="G968" s="66"/>
      <c r="H968" s="66"/>
      <c r="I968" s="66"/>
      <c r="J968" s="66"/>
      <c r="K968" s="66"/>
      <c r="L968" s="66"/>
      <c r="M968" s="66"/>
      <c r="N968" s="66"/>
    </row>
    <row r="969" spans="1:14" x14ac:dyDescent="0.2">
      <c r="A969" s="84"/>
      <c r="B969" s="84"/>
      <c r="C969" s="60"/>
      <c r="D969" s="66"/>
      <c r="E969" s="66"/>
      <c r="F969" s="66"/>
      <c r="G969" s="66"/>
      <c r="H969" s="66"/>
      <c r="I969" s="66"/>
      <c r="J969" s="66"/>
      <c r="K969" s="66"/>
      <c r="L969" s="66"/>
      <c r="M969" s="66"/>
      <c r="N969" s="66"/>
    </row>
    <row r="970" spans="1:14" x14ac:dyDescent="0.2">
      <c r="A970" s="84"/>
      <c r="B970" s="84"/>
      <c r="C970" s="60"/>
      <c r="D970" s="66"/>
      <c r="E970" s="66"/>
      <c r="F970" s="66"/>
      <c r="G970" s="66"/>
      <c r="H970" s="66"/>
      <c r="I970" s="66"/>
      <c r="J970" s="66"/>
      <c r="K970" s="66"/>
      <c r="L970" s="66"/>
      <c r="M970" s="66"/>
      <c r="N970" s="66"/>
    </row>
    <row r="971" spans="1:14" x14ac:dyDescent="0.2">
      <c r="A971" s="84"/>
      <c r="B971" s="84"/>
      <c r="C971" s="60"/>
      <c r="D971" s="66"/>
      <c r="E971" s="66"/>
      <c r="F971" s="66"/>
      <c r="G971" s="66"/>
      <c r="H971" s="66"/>
      <c r="I971" s="66"/>
      <c r="J971" s="66"/>
      <c r="K971" s="66"/>
      <c r="L971" s="66"/>
      <c r="M971" s="66"/>
      <c r="N971" s="66"/>
    </row>
    <row r="972" spans="1:14" x14ac:dyDescent="0.2">
      <c r="A972" s="84"/>
      <c r="B972" s="84"/>
      <c r="C972" s="60"/>
      <c r="D972" s="66"/>
      <c r="E972" s="66"/>
      <c r="F972" s="66"/>
      <c r="G972" s="66"/>
      <c r="H972" s="66"/>
      <c r="I972" s="66"/>
      <c r="J972" s="66"/>
      <c r="K972" s="66"/>
      <c r="L972" s="66"/>
      <c r="M972" s="66"/>
      <c r="N972" s="66"/>
    </row>
    <row r="973" spans="1:14" x14ac:dyDescent="0.2">
      <c r="A973" s="84"/>
      <c r="B973" s="84"/>
      <c r="C973" s="60"/>
      <c r="D973" s="66"/>
      <c r="E973" s="66"/>
      <c r="F973" s="66"/>
      <c r="G973" s="66"/>
      <c r="H973" s="66"/>
      <c r="I973" s="66"/>
      <c r="J973" s="66"/>
      <c r="K973" s="66"/>
      <c r="L973" s="66"/>
      <c r="M973" s="66"/>
      <c r="N973" s="66"/>
    </row>
    <row r="974" spans="1:14" x14ac:dyDescent="0.2">
      <c r="A974" s="84"/>
      <c r="B974" s="84"/>
      <c r="C974" s="60"/>
      <c r="D974" s="66"/>
      <c r="E974" s="66"/>
      <c r="F974" s="66"/>
      <c r="G974" s="66"/>
      <c r="H974" s="66"/>
      <c r="I974" s="66"/>
      <c r="J974" s="66"/>
      <c r="K974" s="66"/>
      <c r="L974" s="66"/>
      <c r="M974" s="66"/>
      <c r="N974" s="66"/>
    </row>
    <row r="975" spans="1:14" x14ac:dyDescent="0.2">
      <c r="A975" s="84"/>
      <c r="B975" s="84"/>
      <c r="C975" s="60"/>
      <c r="D975" s="66"/>
      <c r="E975" s="66"/>
      <c r="F975" s="66"/>
      <c r="G975" s="66"/>
      <c r="H975" s="66"/>
      <c r="I975" s="66"/>
      <c r="J975" s="66"/>
      <c r="K975" s="66"/>
      <c r="L975" s="66"/>
      <c r="M975" s="66"/>
      <c r="N975" s="66"/>
    </row>
    <row r="976" spans="1:14" x14ac:dyDescent="0.2">
      <c r="A976" s="84"/>
      <c r="B976" s="84"/>
      <c r="C976" s="60"/>
      <c r="D976" s="66"/>
      <c r="E976" s="66"/>
      <c r="F976" s="66"/>
      <c r="G976" s="66"/>
      <c r="H976" s="66"/>
      <c r="I976" s="66"/>
      <c r="J976" s="66"/>
      <c r="K976" s="66"/>
      <c r="L976" s="66"/>
      <c r="M976" s="66"/>
      <c r="N976" s="66"/>
    </row>
    <row r="977" spans="1:14" x14ac:dyDescent="0.2">
      <c r="A977" s="84"/>
      <c r="B977" s="84"/>
      <c r="C977" s="60"/>
      <c r="D977" s="66"/>
      <c r="E977" s="66"/>
      <c r="F977" s="66"/>
      <c r="G977" s="66"/>
      <c r="H977" s="66"/>
      <c r="I977" s="66"/>
      <c r="J977" s="66"/>
      <c r="K977" s="66"/>
      <c r="L977" s="66"/>
      <c r="M977" s="66"/>
      <c r="N977" s="66"/>
    </row>
    <row r="978" spans="1:14" x14ac:dyDescent="0.2">
      <c r="A978" s="84"/>
      <c r="B978" s="84"/>
      <c r="C978" s="60"/>
      <c r="D978" s="66"/>
      <c r="E978" s="66"/>
      <c r="F978" s="66"/>
      <c r="G978" s="66"/>
      <c r="H978" s="66"/>
      <c r="I978" s="66"/>
      <c r="J978" s="66"/>
      <c r="K978" s="66"/>
      <c r="L978" s="66"/>
      <c r="M978" s="66"/>
      <c r="N978" s="66"/>
    </row>
    <row r="979" spans="1:14" x14ac:dyDescent="0.2">
      <c r="A979" s="84"/>
      <c r="B979" s="84"/>
      <c r="C979" s="60"/>
      <c r="D979" s="66"/>
      <c r="E979" s="66"/>
      <c r="F979" s="66"/>
      <c r="G979" s="66"/>
      <c r="H979" s="66"/>
      <c r="I979" s="66"/>
      <c r="J979" s="66"/>
      <c r="K979" s="66"/>
      <c r="L979" s="66"/>
      <c r="M979" s="66"/>
      <c r="N979" s="66"/>
    </row>
    <row r="980" spans="1:14" x14ac:dyDescent="0.2">
      <c r="A980" s="84"/>
      <c r="B980" s="84"/>
      <c r="C980" s="60"/>
      <c r="D980" s="66"/>
      <c r="E980" s="66"/>
      <c r="F980" s="66"/>
      <c r="G980" s="66"/>
      <c r="H980" s="66"/>
      <c r="I980" s="66"/>
      <c r="J980" s="66"/>
      <c r="K980" s="66"/>
      <c r="L980" s="66"/>
      <c r="M980" s="66"/>
      <c r="N980" s="66"/>
    </row>
    <row r="981" spans="1:14" x14ac:dyDescent="0.2">
      <c r="A981" s="84"/>
      <c r="B981" s="84"/>
      <c r="C981" s="60"/>
      <c r="D981" s="66"/>
      <c r="E981" s="66"/>
      <c r="F981" s="66"/>
      <c r="G981" s="66"/>
      <c r="H981" s="66"/>
      <c r="I981" s="66"/>
      <c r="J981" s="66"/>
      <c r="K981" s="66"/>
      <c r="L981" s="66"/>
      <c r="M981" s="66"/>
      <c r="N981" s="66"/>
    </row>
    <row r="982" spans="1:14" x14ac:dyDescent="0.2">
      <c r="A982" s="84"/>
      <c r="B982" s="84"/>
      <c r="C982" s="60"/>
      <c r="D982" s="66"/>
      <c r="E982" s="66"/>
      <c r="F982" s="66"/>
      <c r="G982" s="66"/>
      <c r="H982" s="66"/>
      <c r="I982" s="66"/>
      <c r="J982" s="66"/>
      <c r="K982" s="66"/>
      <c r="L982" s="66"/>
      <c r="M982" s="66"/>
      <c r="N982" s="66"/>
    </row>
    <row r="983" spans="1:14" x14ac:dyDescent="0.2">
      <c r="A983" s="84"/>
      <c r="B983" s="84"/>
      <c r="C983" s="60"/>
      <c r="D983" s="66"/>
      <c r="E983" s="66"/>
      <c r="F983" s="66"/>
      <c r="G983" s="66"/>
      <c r="H983" s="66"/>
      <c r="I983" s="66"/>
      <c r="J983" s="66"/>
      <c r="K983" s="66"/>
      <c r="L983" s="66"/>
      <c r="M983" s="66"/>
      <c r="N983" s="66"/>
    </row>
    <row r="984" spans="1:14" x14ac:dyDescent="0.2">
      <c r="A984" s="84"/>
      <c r="B984" s="84"/>
      <c r="C984" s="60"/>
      <c r="D984" s="66"/>
      <c r="E984" s="66"/>
      <c r="F984" s="66"/>
      <c r="G984" s="66"/>
      <c r="H984" s="66"/>
      <c r="I984" s="66"/>
      <c r="J984" s="66"/>
      <c r="K984" s="66"/>
      <c r="L984" s="66"/>
      <c r="M984" s="66"/>
      <c r="N984" s="66"/>
    </row>
    <row r="985" spans="1:14" x14ac:dyDescent="0.2">
      <c r="A985" s="84"/>
      <c r="B985" s="84"/>
      <c r="C985" s="60"/>
      <c r="D985" s="66"/>
      <c r="E985" s="66"/>
      <c r="F985" s="66"/>
      <c r="G985" s="66"/>
      <c r="H985" s="66"/>
      <c r="I985" s="66"/>
      <c r="J985" s="66"/>
      <c r="K985" s="66"/>
      <c r="L985" s="66"/>
      <c r="M985" s="66"/>
      <c r="N985" s="66"/>
    </row>
    <row r="986" spans="1:14" x14ac:dyDescent="0.2">
      <c r="A986" s="84"/>
      <c r="B986" s="84"/>
      <c r="C986" s="60"/>
      <c r="D986" s="66"/>
      <c r="E986" s="66"/>
      <c r="F986" s="66"/>
      <c r="G986" s="66"/>
      <c r="H986" s="66"/>
      <c r="I986" s="66"/>
      <c r="J986" s="66"/>
      <c r="K986" s="66"/>
      <c r="L986" s="66"/>
      <c r="M986" s="66"/>
      <c r="N986" s="66"/>
    </row>
    <row r="987" spans="1:14" x14ac:dyDescent="0.2">
      <c r="A987" s="84"/>
      <c r="B987" s="84"/>
      <c r="C987" s="60"/>
      <c r="D987" s="66"/>
      <c r="E987" s="66"/>
      <c r="F987" s="66"/>
      <c r="G987" s="66"/>
      <c r="H987" s="66"/>
      <c r="I987" s="66"/>
      <c r="J987" s="66"/>
      <c r="K987" s="66"/>
      <c r="L987" s="66"/>
      <c r="M987" s="66"/>
      <c r="N987" s="66"/>
    </row>
    <row r="988" spans="1:14" x14ac:dyDescent="0.2">
      <c r="A988" s="84"/>
      <c r="B988" s="84"/>
      <c r="C988" s="60"/>
      <c r="D988" s="66"/>
      <c r="E988" s="66"/>
      <c r="F988" s="66"/>
      <c r="G988" s="66"/>
      <c r="H988" s="66"/>
      <c r="I988" s="66"/>
      <c r="J988" s="66"/>
      <c r="K988" s="66"/>
      <c r="L988" s="66"/>
      <c r="M988" s="66"/>
      <c r="N988" s="66"/>
    </row>
    <row r="989" spans="1:14" x14ac:dyDescent="0.2">
      <c r="A989" s="84"/>
      <c r="B989" s="84"/>
      <c r="C989" s="60"/>
      <c r="D989" s="66"/>
      <c r="E989" s="66"/>
      <c r="F989" s="66"/>
      <c r="G989" s="66"/>
      <c r="H989" s="66"/>
      <c r="I989" s="66"/>
      <c r="J989" s="66"/>
      <c r="K989" s="66"/>
      <c r="L989" s="66"/>
      <c r="M989" s="66"/>
      <c r="N989" s="66"/>
    </row>
    <row r="990" spans="1:14" x14ac:dyDescent="0.2">
      <c r="A990" s="84"/>
      <c r="B990" s="84"/>
      <c r="C990" s="60"/>
      <c r="D990" s="66"/>
      <c r="E990" s="66"/>
      <c r="F990" s="66"/>
      <c r="G990" s="66"/>
      <c r="H990" s="66"/>
      <c r="I990" s="66"/>
      <c r="J990" s="66"/>
      <c r="K990" s="66"/>
      <c r="L990" s="66"/>
      <c r="M990" s="66"/>
      <c r="N990" s="66"/>
    </row>
    <row r="991" spans="1:14" x14ac:dyDescent="0.2">
      <c r="A991" s="84"/>
      <c r="B991" s="84"/>
      <c r="C991" s="60"/>
      <c r="D991" s="66"/>
      <c r="E991" s="66"/>
      <c r="F991" s="66"/>
      <c r="G991" s="66"/>
      <c r="H991" s="66"/>
      <c r="I991" s="66"/>
      <c r="J991" s="66"/>
      <c r="K991" s="66"/>
      <c r="L991" s="66"/>
      <c r="M991" s="66"/>
      <c r="N991" s="66"/>
    </row>
    <row r="992" spans="1:14" x14ac:dyDescent="0.2">
      <c r="A992" s="84"/>
      <c r="B992" s="84"/>
      <c r="C992" s="60"/>
      <c r="D992" s="66"/>
      <c r="E992" s="66"/>
      <c r="F992" s="66"/>
      <c r="G992" s="66"/>
      <c r="H992" s="66"/>
      <c r="I992" s="66"/>
      <c r="J992" s="66"/>
      <c r="K992" s="66"/>
      <c r="L992" s="66"/>
      <c r="M992" s="66"/>
      <c r="N992" s="66"/>
    </row>
    <row r="993" spans="1:14" x14ac:dyDescent="0.2">
      <c r="A993" s="84"/>
      <c r="B993" s="84"/>
      <c r="C993" s="60"/>
      <c r="D993" s="66"/>
      <c r="E993" s="66"/>
      <c r="F993" s="66"/>
      <c r="G993" s="66"/>
      <c r="H993" s="66"/>
      <c r="I993" s="66"/>
      <c r="J993" s="66"/>
      <c r="K993" s="66"/>
      <c r="L993" s="66"/>
      <c r="M993" s="66"/>
      <c r="N993" s="66"/>
    </row>
    <row r="994" spans="1:14" x14ac:dyDescent="0.2">
      <c r="A994" s="84"/>
      <c r="B994" s="84"/>
      <c r="C994" s="60"/>
      <c r="D994" s="66"/>
      <c r="E994" s="66"/>
      <c r="F994" s="66"/>
      <c r="G994" s="66"/>
      <c r="H994" s="66"/>
      <c r="I994" s="66"/>
      <c r="J994" s="66"/>
      <c r="K994" s="66"/>
      <c r="L994" s="66"/>
      <c r="M994" s="66"/>
      <c r="N994" s="66"/>
    </row>
    <row r="995" spans="1:14" x14ac:dyDescent="0.2">
      <c r="A995" s="84"/>
      <c r="B995" s="84"/>
      <c r="C995" s="60"/>
      <c r="D995" s="66"/>
      <c r="E995" s="66"/>
      <c r="F995" s="66"/>
      <c r="G995" s="66"/>
      <c r="H995" s="66"/>
      <c r="I995" s="66"/>
      <c r="J995" s="66"/>
      <c r="K995" s="66"/>
      <c r="L995" s="66"/>
      <c r="M995" s="66"/>
      <c r="N995" s="66"/>
    </row>
    <row r="996" spans="1:14" x14ac:dyDescent="0.2">
      <c r="A996" s="84"/>
      <c r="B996" s="84"/>
      <c r="C996" s="60"/>
      <c r="D996" s="66"/>
      <c r="E996" s="66"/>
      <c r="F996" s="66"/>
      <c r="G996" s="66"/>
      <c r="H996" s="66"/>
      <c r="I996" s="66"/>
      <c r="J996" s="66"/>
      <c r="K996" s="66"/>
      <c r="L996" s="66"/>
      <c r="M996" s="66"/>
      <c r="N996" s="66"/>
    </row>
    <row r="997" spans="1:14" x14ac:dyDescent="0.2">
      <c r="A997" s="84"/>
      <c r="B997" s="84"/>
      <c r="C997" s="60"/>
      <c r="D997" s="66"/>
      <c r="E997" s="66"/>
      <c r="F997" s="66"/>
      <c r="G997" s="66"/>
      <c r="H997" s="66"/>
      <c r="I997" s="66"/>
      <c r="J997" s="66"/>
      <c r="K997" s="66"/>
      <c r="L997" s="66"/>
      <c r="M997" s="66"/>
      <c r="N997" s="66"/>
    </row>
    <row r="998" spans="1:14" x14ac:dyDescent="0.2">
      <c r="A998" s="84"/>
      <c r="B998" s="84"/>
      <c r="C998" s="60"/>
      <c r="D998" s="66"/>
      <c r="E998" s="66"/>
      <c r="F998" s="66"/>
      <c r="G998" s="66"/>
      <c r="H998" s="66"/>
      <c r="I998" s="66"/>
      <c r="J998" s="66"/>
      <c r="K998" s="66"/>
      <c r="L998" s="66"/>
      <c r="M998" s="66"/>
      <c r="N998" s="66"/>
    </row>
    <row r="999" spans="1:14" x14ac:dyDescent="0.2">
      <c r="A999" s="84"/>
      <c r="B999" s="84"/>
      <c r="C999" s="60"/>
      <c r="D999" s="66"/>
      <c r="E999" s="66"/>
      <c r="F999" s="66"/>
      <c r="G999" s="66"/>
      <c r="H999" s="66"/>
      <c r="I999" s="66"/>
      <c r="J999" s="66"/>
      <c r="K999" s="66"/>
      <c r="L999" s="66"/>
      <c r="M999" s="66"/>
      <c r="N999" s="66"/>
    </row>
    <row r="1000" spans="1:14" x14ac:dyDescent="0.2">
      <c r="A1000" s="84"/>
      <c r="B1000" s="84"/>
      <c r="C1000" s="60"/>
      <c r="D1000" s="66"/>
      <c r="E1000" s="66"/>
      <c r="F1000" s="66"/>
      <c r="G1000" s="66"/>
      <c r="H1000" s="66"/>
      <c r="I1000" s="66"/>
      <c r="J1000" s="66"/>
      <c r="K1000" s="66"/>
      <c r="L1000" s="66"/>
      <c r="M1000" s="66"/>
      <c r="N1000" s="66"/>
    </row>
    <row r="1001" spans="1:14" x14ac:dyDescent="0.2">
      <c r="A1001" s="84"/>
      <c r="B1001" s="84"/>
      <c r="C1001" s="60"/>
      <c r="D1001" s="66"/>
      <c r="E1001" s="66"/>
      <c r="F1001" s="66"/>
      <c r="G1001" s="66"/>
      <c r="H1001" s="66"/>
      <c r="I1001" s="66"/>
      <c r="J1001" s="66"/>
      <c r="K1001" s="66"/>
      <c r="L1001" s="66"/>
      <c r="M1001" s="66"/>
      <c r="N1001" s="66"/>
    </row>
    <row r="1002" spans="1:14" x14ac:dyDescent="0.2">
      <c r="A1002" s="84"/>
      <c r="B1002" s="84"/>
      <c r="C1002" s="60"/>
      <c r="D1002" s="66"/>
      <c r="E1002" s="66"/>
      <c r="F1002" s="66"/>
      <c r="G1002" s="66"/>
      <c r="H1002" s="66"/>
      <c r="I1002" s="66"/>
      <c r="J1002" s="66"/>
      <c r="K1002" s="66"/>
      <c r="L1002" s="66"/>
      <c r="M1002" s="66"/>
      <c r="N1002" s="66"/>
    </row>
    <row r="1003" spans="1:14" x14ac:dyDescent="0.2">
      <c r="A1003" s="84"/>
      <c r="B1003" s="84"/>
      <c r="C1003" s="60"/>
      <c r="D1003" s="66"/>
      <c r="E1003" s="66"/>
      <c r="F1003" s="66"/>
      <c r="G1003" s="66"/>
      <c r="H1003" s="66"/>
      <c r="I1003" s="66"/>
      <c r="J1003" s="66"/>
      <c r="K1003" s="66"/>
      <c r="L1003" s="66"/>
      <c r="M1003" s="66"/>
      <c r="N1003" s="66"/>
    </row>
    <row r="1004" spans="1:14" x14ac:dyDescent="0.2">
      <c r="A1004" s="84"/>
      <c r="B1004" s="84"/>
      <c r="C1004" s="60"/>
      <c r="D1004" s="66"/>
      <c r="E1004" s="66"/>
      <c r="F1004" s="66"/>
      <c r="G1004" s="66"/>
      <c r="H1004" s="66"/>
      <c r="I1004" s="66"/>
      <c r="J1004" s="66"/>
      <c r="K1004" s="66"/>
      <c r="L1004" s="66"/>
      <c r="M1004" s="66"/>
      <c r="N1004" s="66"/>
    </row>
    <row r="1005" spans="1:14" x14ac:dyDescent="0.2">
      <c r="A1005" s="84"/>
      <c r="B1005" s="84"/>
      <c r="C1005" s="60"/>
      <c r="D1005" s="66"/>
      <c r="E1005" s="66"/>
      <c r="F1005" s="66"/>
      <c r="G1005" s="66"/>
      <c r="H1005" s="66"/>
      <c r="I1005" s="66"/>
      <c r="J1005" s="66"/>
      <c r="K1005" s="66"/>
      <c r="L1005" s="66"/>
      <c r="M1005" s="66"/>
      <c r="N1005" s="66"/>
    </row>
    <row r="1006" spans="1:14" x14ac:dyDescent="0.2">
      <c r="A1006" s="84"/>
      <c r="B1006" s="84"/>
      <c r="C1006" s="60"/>
      <c r="D1006" s="66"/>
      <c r="E1006" s="66"/>
      <c r="F1006" s="66"/>
      <c r="G1006" s="66"/>
      <c r="H1006" s="66"/>
      <c r="I1006" s="66"/>
      <c r="J1006" s="66"/>
      <c r="K1006" s="66"/>
      <c r="L1006" s="66"/>
      <c r="M1006" s="66"/>
      <c r="N1006" s="66"/>
    </row>
    <row r="1007" spans="1:14" x14ac:dyDescent="0.2">
      <c r="A1007" s="84"/>
      <c r="B1007" s="84"/>
      <c r="C1007" s="60"/>
      <c r="D1007" s="66"/>
      <c r="E1007" s="66"/>
      <c r="F1007" s="66"/>
      <c r="G1007" s="66"/>
      <c r="H1007" s="66"/>
      <c r="I1007" s="66"/>
      <c r="J1007" s="66"/>
      <c r="K1007" s="66"/>
      <c r="L1007" s="66"/>
      <c r="M1007" s="66"/>
      <c r="N1007" s="66"/>
    </row>
    <row r="1008" spans="1:14" x14ac:dyDescent="0.2">
      <c r="A1008" s="84"/>
      <c r="B1008" s="84"/>
      <c r="C1008" s="60"/>
      <c r="D1008" s="66"/>
      <c r="E1008" s="66"/>
      <c r="F1008" s="66"/>
      <c r="G1008" s="66"/>
      <c r="H1008" s="66"/>
      <c r="I1008" s="66"/>
      <c r="J1008" s="66"/>
      <c r="K1008" s="66"/>
      <c r="L1008" s="66"/>
      <c r="M1008" s="66"/>
      <c r="N1008" s="66"/>
    </row>
    <row r="1009" spans="1:14" x14ac:dyDescent="0.2">
      <c r="A1009" s="84"/>
      <c r="B1009" s="84"/>
      <c r="C1009" s="60"/>
      <c r="D1009" s="66"/>
      <c r="E1009" s="66"/>
      <c r="F1009" s="66"/>
      <c r="G1009" s="66"/>
      <c r="H1009" s="66"/>
      <c r="I1009" s="66"/>
      <c r="J1009" s="66"/>
      <c r="K1009" s="66"/>
      <c r="L1009" s="66"/>
      <c r="M1009" s="66"/>
      <c r="N1009" s="66"/>
    </row>
    <row r="1010" spans="1:14" x14ac:dyDescent="0.2">
      <c r="A1010" s="84"/>
      <c r="B1010" s="84"/>
      <c r="C1010" s="60"/>
      <c r="D1010" s="66"/>
      <c r="E1010" s="66"/>
      <c r="F1010" s="66"/>
      <c r="G1010" s="66"/>
      <c r="H1010" s="66"/>
      <c r="I1010" s="66"/>
      <c r="J1010" s="66"/>
      <c r="K1010" s="66"/>
      <c r="L1010" s="66"/>
      <c r="M1010" s="66"/>
      <c r="N1010" s="66"/>
    </row>
    <row r="1011" spans="1:14" x14ac:dyDescent="0.2">
      <c r="A1011" s="84"/>
      <c r="B1011" s="84"/>
      <c r="C1011" s="60"/>
      <c r="D1011" s="66"/>
      <c r="E1011" s="66"/>
      <c r="F1011" s="66"/>
      <c r="G1011" s="66"/>
      <c r="H1011" s="66"/>
      <c r="I1011" s="66"/>
      <c r="J1011" s="66"/>
      <c r="K1011" s="66"/>
      <c r="L1011" s="66"/>
      <c r="M1011" s="66"/>
      <c r="N1011" s="66"/>
    </row>
    <row r="1012" spans="1:14" x14ac:dyDescent="0.2">
      <c r="A1012" s="84"/>
      <c r="B1012" s="84"/>
      <c r="C1012" s="60"/>
      <c r="D1012" s="66"/>
      <c r="E1012" s="66"/>
      <c r="F1012" s="66"/>
      <c r="G1012" s="66"/>
      <c r="H1012" s="66"/>
      <c r="I1012" s="66"/>
      <c r="J1012" s="66"/>
      <c r="K1012" s="66"/>
      <c r="L1012" s="66"/>
      <c r="M1012" s="66"/>
      <c r="N1012" s="66"/>
    </row>
    <row r="1013" spans="1:14" x14ac:dyDescent="0.2">
      <c r="A1013" s="84"/>
      <c r="B1013" s="84"/>
      <c r="C1013" s="60"/>
      <c r="D1013" s="66"/>
      <c r="E1013" s="66"/>
      <c r="F1013" s="66"/>
      <c r="G1013" s="66"/>
      <c r="H1013" s="66"/>
      <c r="I1013" s="66"/>
      <c r="J1013" s="66"/>
      <c r="K1013" s="66"/>
      <c r="L1013" s="66"/>
      <c r="M1013" s="66"/>
      <c r="N1013" s="66"/>
    </row>
    <row r="1014" spans="1:14" x14ac:dyDescent="0.2">
      <c r="A1014" s="84"/>
      <c r="B1014" s="84"/>
      <c r="C1014" s="60"/>
      <c r="D1014" s="66"/>
      <c r="E1014" s="66"/>
      <c r="F1014" s="66"/>
      <c r="G1014" s="66"/>
      <c r="H1014" s="66"/>
      <c r="I1014" s="66"/>
      <c r="J1014" s="66"/>
      <c r="K1014" s="66"/>
      <c r="L1014" s="66"/>
      <c r="M1014" s="66"/>
      <c r="N1014" s="66"/>
    </row>
    <row r="1015" spans="1:14" x14ac:dyDescent="0.2">
      <c r="A1015" s="84"/>
      <c r="B1015" s="84"/>
      <c r="C1015" s="60"/>
      <c r="D1015" s="66"/>
      <c r="E1015" s="66"/>
      <c r="F1015" s="66"/>
      <c r="G1015" s="66"/>
      <c r="H1015" s="66"/>
      <c r="I1015" s="66"/>
      <c r="J1015" s="66"/>
      <c r="K1015" s="66"/>
      <c r="L1015" s="66"/>
      <c r="M1015" s="66"/>
      <c r="N1015" s="66"/>
    </row>
    <row r="1016" spans="1:14" x14ac:dyDescent="0.2">
      <c r="A1016" s="84"/>
      <c r="B1016" s="84"/>
      <c r="C1016" s="60"/>
      <c r="D1016" s="66"/>
      <c r="E1016" s="66"/>
      <c r="F1016" s="66"/>
      <c r="G1016" s="66"/>
      <c r="H1016" s="66"/>
      <c r="I1016" s="66"/>
      <c r="J1016" s="66"/>
      <c r="K1016" s="66"/>
      <c r="L1016" s="66"/>
      <c r="M1016" s="66"/>
      <c r="N1016" s="66"/>
    </row>
    <row r="1017" spans="1:14" x14ac:dyDescent="0.2">
      <c r="A1017" s="84"/>
      <c r="B1017" s="84"/>
      <c r="C1017" s="60"/>
      <c r="D1017" s="66"/>
      <c r="E1017" s="66"/>
      <c r="F1017" s="66"/>
      <c r="G1017" s="66"/>
      <c r="H1017" s="66"/>
      <c r="I1017" s="66"/>
      <c r="J1017" s="66"/>
      <c r="K1017" s="66"/>
      <c r="L1017" s="66"/>
      <c r="M1017" s="66"/>
      <c r="N1017" s="66"/>
    </row>
    <row r="1018" spans="1:14" x14ac:dyDescent="0.2">
      <c r="A1018" s="84"/>
      <c r="B1018" s="84"/>
      <c r="C1018" s="60"/>
      <c r="D1018" s="66"/>
      <c r="E1018" s="66"/>
      <c r="F1018" s="66"/>
      <c r="G1018" s="66"/>
      <c r="H1018" s="66"/>
      <c r="I1018" s="66"/>
      <c r="J1018" s="66"/>
      <c r="K1018" s="66"/>
      <c r="L1018" s="66"/>
      <c r="M1018" s="66"/>
      <c r="N1018" s="66"/>
    </row>
    <row r="1019" spans="1:14" x14ac:dyDescent="0.2">
      <c r="A1019" s="84"/>
      <c r="B1019" s="84"/>
      <c r="C1019" s="60"/>
      <c r="D1019" s="66"/>
      <c r="E1019" s="66"/>
      <c r="F1019" s="66"/>
      <c r="G1019" s="66"/>
      <c r="H1019" s="66"/>
      <c r="I1019" s="66"/>
      <c r="J1019" s="66"/>
      <c r="K1019" s="66"/>
      <c r="L1019" s="66"/>
      <c r="M1019" s="66"/>
      <c r="N1019" s="66"/>
    </row>
    <row r="1020" spans="1:14" x14ac:dyDescent="0.2">
      <c r="A1020" s="84"/>
      <c r="B1020" s="84"/>
      <c r="C1020" s="60"/>
      <c r="D1020" s="66"/>
      <c r="E1020" s="66"/>
      <c r="F1020" s="66"/>
      <c r="G1020" s="66"/>
      <c r="H1020" s="66"/>
      <c r="I1020" s="66"/>
      <c r="J1020" s="66"/>
      <c r="K1020" s="66"/>
      <c r="L1020" s="66"/>
      <c r="M1020" s="66"/>
      <c r="N1020" s="66"/>
    </row>
    <row r="1021" spans="1:14" x14ac:dyDescent="0.2">
      <c r="A1021" s="84"/>
      <c r="B1021" s="84"/>
      <c r="C1021" s="60"/>
      <c r="D1021" s="66"/>
      <c r="E1021" s="66"/>
      <c r="F1021" s="66"/>
      <c r="G1021" s="66"/>
      <c r="H1021" s="66"/>
      <c r="I1021" s="66"/>
      <c r="J1021" s="66"/>
      <c r="K1021" s="66"/>
      <c r="L1021" s="66"/>
      <c r="M1021" s="66"/>
      <c r="N1021" s="66"/>
    </row>
    <row r="1022" spans="1:14" x14ac:dyDescent="0.2">
      <c r="A1022" s="84"/>
      <c r="B1022" s="84"/>
      <c r="C1022" s="60"/>
      <c r="D1022" s="66"/>
      <c r="E1022" s="66"/>
      <c r="F1022" s="66"/>
      <c r="G1022" s="66"/>
      <c r="H1022" s="66"/>
      <c r="I1022" s="66"/>
      <c r="J1022" s="66"/>
      <c r="K1022" s="66"/>
      <c r="L1022" s="66"/>
      <c r="M1022" s="66"/>
      <c r="N1022" s="66"/>
    </row>
    <row r="1023" spans="1:14" x14ac:dyDescent="0.2">
      <c r="A1023" s="84"/>
      <c r="B1023" s="84"/>
      <c r="C1023" s="60"/>
      <c r="D1023" s="66"/>
      <c r="E1023" s="66"/>
      <c r="F1023" s="66"/>
      <c r="G1023" s="66"/>
      <c r="H1023" s="66"/>
      <c r="I1023" s="66"/>
      <c r="J1023" s="66"/>
      <c r="K1023" s="66"/>
      <c r="L1023" s="66"/>
      <c r="M1023" s="66"/>
      <c r="N1023" s="66"/>
    </row>
    <row r="1024" spans="1:14" x14ac:dyDescent="0.2">
      <c r="A1024" s="84"/>
      <c r="B1024" s="84"/>
      <c r="C1024" s="60"/>
      <c r="D1024" s="66"/>
      <c r="E1024" s="66"/>
      <c r="F1024" s="66"/>
      <c r="G1024" s="66"/>
      <c r="H1024" s="66"/>
      <c r="I1024" s="66"/>
      <c r="J1024" s="66"/>
      <c r="K1024" s="66"/>
      <c r="L1024" s="66"/>
      <c r="M1024" s="66"/>
      <c r="N1024" s="66"/>
    </row>
    <row r="1025" spans="1:14" x14ac:dyDescent="0.2">
      <c r="A1025" s="84"/>
      <c r="B1025" s="84"/>
      <c r="C1025" s="60"/>
      <c r="D1025" s="66"/>
      <c r="E1025" s="66"/>
      <c r="F1025" s="66"/>
      <c r="G1025" s="66"/>
      <c r="H1025" s="66"/>
      <c r="I1025" s="66"/>
      <c r="J1025" s="66"/>
      <c r="K1025" s="66"/>
      <c r="L1025" s="66"/>
      <c r="M1025" s="66"/>
      <c r="N1025" s="66"/>
    </row>
    <row r="1026" spans="1:14" x14ac:dyDescent="0.2">
      <c r="A1026" s="84"/>
      <c r="B1026" s="84"/>
      <c r="C1026" s="60"/>
      <c r="D1026" s="66"/>
      <c r="E1026" s="66"/>
      <c r="F1026" s="66"/>
      <c r="G1026" s="66"/>
      <c r="H1026" s="66"/>
      <c r="I1026" s="66"/>
      <c r="J1026" s="66"/>
      <c r="K1026" s="66"/>
      <c r="L1026" s="66"/>
      <c r="M1026" s="66"/>
      <c r="N1026" s="66"/>
    </row>
    <row r="1027" spans="1:14" x14ac:dyDescent="0.2">
      <c r="A1027" s="84"/>
      <c r="B1027" s="84"/>
      <c r="C1027" s="60"/>
      <c r="D1027" s="66"/>
      <c r="E1027" s="66"/>
      <c r="F1027" s="66"/>
      <c r="G1027" s="66"/>
      <c r="H1027" s="66"/>
      <c r="I1027" s="66"/>
      <c r="J1027" s="66"/>
      <c r="K1027" s="66"/>
      <c r="L1027" s="66"/>
      <c r="M1027" s="66"/>
      <c r="N1027" s="66"/>
    </row>
    <row r="1028" spans="1:14" x14ac:dyDescent="0.2">
      <c r="A1028" s="84"/>
      <c r="B1028" s="84"/>
      <c r="C1028" s="60"/>
      <c r="D1028" s="66"/>
      <c r="E1028" s="66"/>
      <c r="F1028" s="66"/>
      <c r="G1028" s="66"/>
      <c r="H1028" s="66"/>
      <c r="I1028" s="66"/>
      <c r="J1028" s="66"/>
      <c r="K1028" s="66"/>
      <c r="L1028" s="66"/>
      <c r="M1028" s="66"/>
      <c r="N1028" s="66"/>
    </row>
    <row r="1029" spans="1:14" x14ac:dyDescent="0.2">
      <c r="A1029" s="84"/>
      <c r="B1029" s="84"/>
      <c r="C1029" s="60"/>
      <c r="D1029" s="66"/>
      <c r="E1029" s="66"/>
      <c r="F1029" s="66"/>
      <c r="G1029" s="66"/>
      <c r="H1029" s="66"/>
      <c r="I1029" s="66"/>
      <c r="J1029" s="66"/>
      <c r="K1029" s="66"/>
      <c r="L1029" s="66"/>
      <c r="M1029" s="66"/>
      <c r="N1029" s="66"/>
    </row>
    <row r="1030" spans="1:14" x14ac:dyDescent="0.2">
      <c r="A1030" s="84"/>
      <c r="B1030" s="84"/>
      <c r="C1030" s="60"/>
      <c r="D1030" s="66"/>
      <c r="E1030" s="66"/>
      <c r="F1030" s="66"/>
      <c r="G1030" s="66"/>
      <c r="H1030" s="66"/>
      <c r="I1030" s="66"/>
      <c r="J1030" s="66"/>
      <c r="K1030" s="66"/>
      <c r="L1030" s="66"/>
      <c r="M1030" s="66"/>
      <c r="N1030" s="66"/>
    </row>
    <row r="1031" spans="1:14" x14ac:dyDescent="0.2">
      <c r="A1031" s="84"/>
      <c r="B1031" s="84"/>
      <c r="C1031" s="60"/>
      <c r="D1031" s="66"/>
      <c r="E1031" s="66"/>
      <c r="F1031" s="66"/>
      <c r="G1031" s="66"/>
      <c r="H1031" s="66"/>
      <c r="I1031" s="66"/>
      <c r="J1031" s="66"/>
      <c r="K1031" s="66"/>
      <c r="L1031" s="66"/>
      <c r="M1031" s="66"/>
      <c r="N1031" s="66"/>
    </row>
    <row r="1032" spans="1:14" x14ac:dyDescent="0.2">
      <c r="A1032" s="84"/>
      <c r="B1032" s="84"/>
      <c r="C1032" s="60"/>
      <c r="D1032" s="66"/>
      <c r="E1032" s="66"/>
      <c r="F1032" s="66"/>
      <c r="G1032" s="66"/>
      <c r="H1032" s="66"/>
      <c r="I1032" s="66"/>
      <c r="J1032" s="66"/>
      <c r="K1032" s="66"/>
      <c r="L1032" s="66"/>
      <c r="M1032" s="66"/>
      <c r="N1032" s="66"/>
    </row>
    <row r="1033" spans="1:14" x14ac:dyDescent="0.2">
      <c r="A1033" s="84"/>
      <c r="B1033" s="84"/>
      <c r="C1033" s="60"/>
      <c r="D1033" s="66"/>
      <c r="E1033" s="66"/>
      <c r="F1033" s="66"/>
      <c r="G1033" s="66"/>
      <c r="H1033" s="66"/>
      <c r="I1033" s="66"/>
      <c r="J1033" s="66"/>
      <c r="K1033" s="66"/>
      <c r="L1033" s="66"/>
      <c r="M1033" s="66"/>
      <c r="N1033" s="66"/>
    </row>
    <row r="1034" spans="1:14" x14ac:dyDescent="0.2">
      <c r="A1034" s="84"/>
      <c r="B1034" s="84"/>
      <c r="C1034" s="60"/>
      <c r="D1034" s="66"/>
      <c r="E1034" s="66"/>
      <c r="F1034" s="66"/>
      <c r="G1034" s="66"/>
      <c r="H1034" s="66"/>
      <c r="I1034" s="66"/>
      <c r="J1034" s="66"/>
      <c r="K1034" s="66"/>
      <c r="L1034" s="66"/>
      <c r="M1034" s="66"/>
      <c r="N1034" s="66"/>
    </row>
    <row r="1035" spans="1:14" x14ac:dyDescent="0.2">
      <c r="A1035" s="84"/>
      <c r="B1035" s="84"/>
      <c r="C1035" s="60"/>
      <c r="D1035" s="66"/>
      <c r="E1035" s="66"/>
      <c r="F1035" s="66"/>
      <c r="G1035" s="66"/>
      <c r="H1035" s="66"/>
      <c r="I1035" s="66"/>
      <c r="J1035" s="66"/>
      <c r="K1035" s="66"/>
      <c r="L1035" s="66"/>
      <c r="M1035" s="66"/>
      <c r="N1035" s="66"/>
    </row>
    <row r="1036" spans="1:14" x14ac:dyDescent="0.2">
      <c r="A1036" s="84"/>
      <c r="B1036" s="84"/>
      <c r="C1036" s="60"/>
      <c r="D1036" s="66"/>
      <c r="E1036" s="66"/>
      <c r="F1036" s="66"/>
      <c r="G1036" s="66"/>
      <c r="H1036" s="66"/>
      <c r="I1036" s="66"/>
      <c r="J1036" s="66"/>
      <c r="K1036" s="66"/>
      <c r="L1036" s="66"/>
      <c r="M1036" s="66"/>
      <c r="N1036" s="66"/>
    </row>
    <row r="1037" spans="1:14" x14ac:dyDescent="0.2">
      <c r="A1037" s="84"/>
      <c r="B1037" s="84"/>
      <c r="C1037" s="60"/>
      <c r="D1037" s="66"/>
      <c r="E1037" s="66"/>
      <c r="F1037" s="66"/>
      <c r="G1037" s="66"/>
      <c r="H1037" s="66"/>
      <c r="I1037" s="66"/>
      <c r="J1037" s="66"/>
      <c r="K1037" s="66"/>
      <c r="L1037" s="66"/>
      <c r="M1037" s="66"/>
      <c r="N1037" s="66"/>
    </row>
    <row r="1038" spans="1:14" x14ac:dyDescent="0.2">
      <c r="A1038" s="84"/>
      <c r="B1038" s="84"/>
      <c r="C1038" s="60"/>
      <c r="D1038" s="66"/>
      <c r="E1038" s="66"/>
      <c r="F1038" s="66"/>
      <c r="G1038" s="66"/>
      <c r="H1038" s="66"/>
      <c r="I1038" s="66"/>
      <c r="J1038" s="66"/>
      <c r="K1038" s="66"/>
      <c r="L1038" s="66"/>
      <c r="M1038" s="66"/>
      <c r="N1038" s="66"/>
    </row>
    <row r="1039" spans="1:14" x14ac:dyDescent="0.2">
      <c r="A1039" s="84"/>
      <c r="B1039" s="84"/>
      <c r="C1039" s="60"/>
      <c r="D1039" s="66"/>
      <c r="E1039" s="66"/>
      <c r="F1039" s="66"/>
      <c r="G1039" s="66"/>
      <c r="H1039" s="66"/>
      <c r="I1039" s="66"/>
      <c r="J1039" s="66"/>
      <c r="K1039" s="66"/>
      <c r="L1039" s="66"/>
      <c r="M1039" s="66"/>
      <c r="N1039" s="66"/>
    </row>
    <row r="1040" spans="1:14" x14ac:dyDescent="0.2">
      <c r="A1040" s="84"/>
      <c r="B1040" s="84"/>
      <c r="C1040" s="60"/>
      <c r="D1040" s="66"/>
      <c r="E1040" s="66"/>
      <c r="F1040" s="66"/>
      <c r="G1040" s="66"/>
      <c r="H1040" s="66"/>
      <c r="I1040" s="66"/>
      <c r="J1040" s="66"/>
      <c r="K1040" s="66"/>
      <c r="L1040" s="66"/>
      <c r="M1040" s="66"/>
      <c r="N1040" s="66"/>
    </row>
    <row r="1041" spans="1:14" x14ac:dyDescent="0.2">
      <c r="A1041" s="84"/>
      <c r="B1041" s="84"/>
      <c r="C1041" s="60"/>
      <c r="D1041" s="66"/>
      <c r="E1041" s="66"/>
      <c r="F1041" s="66"/>
      <c r="G1041" s="66"/>
      <c r="H1041" s="66"/>
      <c r="I1041" s="66"/>
      <c r="J1041" s="66"/>
      <c r="K1041" s="66"/>
      <c r="L1041" s="66"/>
      <c r="M1041" s="66"/>
      <c r="N1041" s="66"/>
    </row>
    <row r="1042" spans="1:14" x14ac:dyDescent="0.2">
      <c r="A1042" s="84"/>
      <c r="B1042" s="84"/>
      <c r="C1042" s="60"/>
      <c r="D1042" s="66"/>
      <c r="E1042" s="66"/>
      <c r="F1042" s="66"/>
      <c r="G1042" s="66"/>
      <c r="H1042" s="66"/>
      <c r="I1042" s="66"/>
      <c r="J1042" s="66"/>
      <c r="K1042" s="66"/>
      <c r="L1042" s="66"/>
      <c r="M1042" s="66"/>
      <c r="N1042" s="66"/>
    </row>
    <row r="1043" spans="1:14" x14ac:dyDescent="0.2">
      <c r="A1043" s="84"/>
      <c r="B1043" s="84"/>
      <c r="C1043" s="60"/>
      <c r="D1043" s="66"/>
      <c r="E1043" s="66"/>
      <c r="F1043" s="66"/>
      <c r="G1043" s="66"/>
      <c r="H1043" s="66"/>
      <c r="I1043" s="66"/>
      <c r="J1043" s="66"/>
      <c r="K1043" s="66"/>
      <c r="L1043" s="66"/>
      <c r="M1043" s="66"/>
      <c r="N1043" s="66"/>
    </row>
    <row r="1044" spans="1:14" x14ac:dyDescent="0.2">
      <c r="A1044" s="84"/>
      <c r="B1044" s="84"/>
      <c r="C1044" s="60"/>
      <c r="D1044" s="66"/>
      <c r="E1044" s="66"/>
      <c r="F1044" s="66"/>
      <c r="G1044" s="66"/>
      <c r="H1044" s="66"/>
      <c r="I1044" s="66"/>
      <c r="J1044" s="66"/>
      <c r="K1044" s="66"/>
      <c r="L1044" s="66"/>
      <c r="M1044" s="66"/>
      <c r="N1044" s="66"/>
    </row>
    <row r="1045" spans="1:14" x14ac:dyDescent="0.2">
      <c r="A1045" s="84"/>
      <c r="B1045" s="84"/>
      <c r="C1045" s="60"/>
      <c r="D1045" s="66"/>
      <c r="E1045" s="66"/>
      <c r="F1045" s="66"/>
      <c r="G1045" s="66"/>
      <c r="H1045" s="66"/>
      <c r="I1045" s="66"/>
      <c r="J1045" s="66"/>
      <c r="K1045" s="66"/>
      <c r="L1045" s="66"/>
      <c r="M1045" s="66"/>
      <c r="N1045" s="66"/>
    </row>
    <row r="1046" spans="1:14" x14ac:dyDescent="0.2">
      <c r="A1046" s="84"/>
      <c r="B1046" s="84"/>
      <c r="C1046" s="60"/>
      <c r="D1046" s="66"/>
      <c r="E1046" s="66"/>
      <c r="F1046" s="66"/>
      <c r="G1046" s="66"/>
      <c r="H1046" s="66"/>
      <c r="I1046" s="66"/>
      <c r="J1046" s="66"/>
      <c r="K1046" s="66"/>
      <c r="L1046" s="66"/>
      <c r="M1046" s="66"/>
      <c r="N1046" s="66"/>
    </row>
    <row r="1047" spans="1:14" x14ac:dyDescent="0.2">
      <c r="A1047" s="84"/>
      <c r="B1047" s="84"/>
      <c r="C1047" s="60"/>
      <c r="D1047" s="66"/>
      <c r="E1047" s="66"/>
      <c r="F1047" s="66"/>
      <c r="G1047" s="66"/>
      <c r="H1047" s="66"/>
      <c r="I1047" s="66"/>
      <c r="J1047" s="66"/>
      <c r="K1047" s="66"/>
      <c r="L1047" s="66"/>
      <c r="M1047" s="66"/>
      <c r="N1047" s="66"/>
    </row>
    <row r="1048" spans="1:14" x14ac:dyDescent="0.2">
      <c r="A1048" s="84"/>
      <c r="B1048" s="84"/>
      <c r="C1048" s="60"/>
      <c r="D1048" s="66"/>
      <c r="E1048" s="66"/>
      <c r="F1048" s="66"/>
      <c r="G1048" s="66"/>
      <c r="H1048" s="66"/>
      <c r="I1048" s="66"/>
      <c r="J1048" s="66"/>
      <c r="K1048" s="66"/>
      <c r="L1048" s="66"/>
      <c r="M1048" s="66"/>
      <c r="N1048" s="66"/>
    </row>
    <row r="1049" spans="1:14" x14ac:dyDescent="0.2">
      <c r="A1049" s="84"/>
      <c r="B1049" s="84"/>
      <c r="C1049" s="60"/>
      <c r="D1049" s="66"/>
      <c r="E1049" s="66"/>
      <c r="F1049" s="66"/>
      <c r="G1049" s="66"/>
      <c r="H1049" s="66"/>
      <c r="I1049" s="66"/>
      <c r="J1049" s="66"/>
      <c r="K1049" s="66"/>
      <c r="L1049" s="66"/>
      <c r="M1049" s="66"/>
      <c r="N1049" s="66"/>
    </row>
    <row r="1050" spans="1:14" x14ac:dyDescent="0.2">
      <c r="A1050" s="84"/>
      <c r="B1050" s="84"/>
      <c r="C1050" s="60"/>
      <c r="D1050" s="66"/>
      <c r="E1050" s="66"/>
      <c r="F1050" s="66"/>
      <c r="G1050" s="66"/>
      <c r="H1050" s="66"/>
      <c r="I1050" s="66"/>
      <c r="J1050" s="66"/>
      <c r="K1050" s="66"/>
      <c r="L1050" s="66"/>
      <c r="M1050" s="66"/>
      <c r="N1050" s="66"/>
    </row>
    <row r="1051" spans="1:14" x14ac:dyDescent="0.2">
      <c r="A1051" s="84"/>
      <c r="B1051" s="84"/>
      <c r="C1051" s="60"/>
      <c r="D1051" s="66"/>
      <c r="E1051" s="66"/>
      <c r="F1051" s="66"/>
      <c r="G1051" s="66"/>
      <c r="H1051" s="66"/>
      <c r="I1051" s="66"/>
      <c r="J1051" s="66"/>
      <c r="K1051" s="66"/>
      <c r="L1051" s="66"/>
      <c r="M1051" s="66"/>
      <c r="N1051" s="66"/>
    </row>
    <row r="1052" spans="1:14" x14ac:dyDescent="0.2">
      <c r="A1052" s="84"/>
      <c r="B1052" s="84"/>
      <c r="C1052" s="60"/>
      <c r="D1052" s="66"/>
      <c r="E1052" s="66"/>
      <c r="F1052" s="66"/>
      <c r="G1052" s="66"/>
      <c r="H1052" s="66"/>
      <c r="I1052" s="66"/>
      <c r="J1052" s="66"/>
      <c r="K1052" s="66"/>
      <c r="L1052" s="66"/>
      <c r="M1052" s="66"/>
      <c r="N1052" s="66"/>
    </row>
    <row r="1053" spans="1:14" x14ac:dyDescent="0.2">
      <c r="A1053" s="84"/>
      <c r="B1053" s="84"/>
      <c r="C1053" s="60"/>
      <c r="D1053" s="66"/>
      <c r="E1053" s="66"/>
      <c r="F1053" s="66"/>
      <c r="G1053" s="66"/>
      <c r="H1053" s="66"/>
      <c r="I1053" s="66"/>
      <c r="J1053" s="66"/>
      <c r="K1053" s="66"/>
      <c r="L1053" s="66"/>
      <c r="M1053" s="66"/>
      <c r="N1053" s="66"/>
    </row>
    <row r="1054" spans="1:14" x14ac:dyDescent="0.2">
      <c r="A1054" s="84"/>
      <c r="B1054" s="84"/>
      <c r="C1054" s="60"/>
      <c r="D1054" s="66"/>
      <c r="E1054" s="66"/>
      <c r="F1054" s="66"/>
      <c r="G1054" s="66"/>
      <c r="H1054" s="66"/>
      <c r="I1054" s="66"/>
      <c r="J1054" s="66"/>
      <c r="K1054" s="66"/>
      <c r="L1054" s="66"/>
      <c r="M1054" s="66"/>
      <c r="N1054" s="66"/>
    </row>
    <row r="1055" spans="1:14" x14ac:dyDescent="0.2">
      <c r="A1055" s="84"/>
      <c r="B1055" s="84"/>
      <c r="C1055" s="60"/>
      <c r="D1055" s="66"/>
      <c r="E1055" s="66"/>
      <c r="F1055" s="66"/>
      <c r="G1055" s="66"/>
      <c r="H1055" s="66"/>
      <c r="I1055" s="66"/>
      <c r="J1055" s="66"/>
      <c r="K1055" s="66"/>
      <c r="L1055" s="66"/>
      <c r="M1055" s="66"/>
      <c r="N1055" s="66"/>
    </row>
    <row r="1056" spans="1:14" x14ac:dyDescent="0.2">
      <c r="A1056" s="84"/>
      <c r="B1056" s="84"/>
      <c r="C1056" s="60"/>
      <c r="D1056" s="66"/>
      <c r="E1056" s="66"/>
      <c r="F1056" s="66"/>
      <c r="G1056" s="66"/>
      <c r="H1056" s="66"/>
      <c r="I1056" s="66"/>
      <c r="J1056" s="66"/>
      <c r="K1056" s="66"/>
      <c r="L1056" s="66"/>
      <c r="M1056" s="66"/>
      <c r="N1056" s="66"/>
    </row>
    <row r="1057" spans="1:14" x14ac:dyDescent="0.2">
      <c r="A1057" s="84"/>
      <c r="B1057" s="84"/>
      <c r="C1057" s="60"/>
      <c r="D1057" s="66"/>
      <c r="E1057" s="66"/>
      <c r="F1057" s="66"/>
      <c r="G1057" s="66"/>
      <c r="H1057" s="66"/>
      <c r="I1057" s="66"/>
      <c r="J1057" s="66"/>
      <c r="K1057" s="66"/>
      <c r="L1057" s="66"/>
      <c r="M1057" s="66"/>
      <c r="N1057" s="66"/>
    </row>
    <row r="1058" spans="1:14" x14ac:dyDescent="0.2">
      <c r="A1058" s="84"/>
      <c r="B1058" s="84"/>
      <c r="C1058" s="60"/>
      <c r="D1058" s="66"/>
      <c r="E1058" s="66"/>
      <c r="F1058" s="66"/>
      <c r="G1058" s="66"/>
      <c r="H1058" s="66"/>
      <c r="I1058" s="66"/>
      <c r="J1058" s="66"/>
      <c r="K1058" s="66"/>
      <c r="L1058" s="66"/>
      <c r="M1058" s="66"/>
      <c r="N1058" s="66"/>
    </row>
    <row r="1059" spans="1:14" x14ac:dyDescent="0.2">
      <c r="A1059" s="84"/>
      <c r="B1059" s="84"/>
      <c r="C1059" s="60"/>
      <c r="D1059" s="66"/>
      <c r="E1059" s="66"/>
      <c r="F1059" s="66"/>
      <c r="G1059" s="66"/>
      <c r="H1059" s="66"/>
      <c r="I1059" s="66"/>
      <c r="J1059" s="66"/>
      <c r="K1059" s="66"/>
      <c r="L1059" s="66"/>
      <c r="M1059" s="66"/>
      <c r="N1059" s="66"/>
    </row>
    <row r="1060" spans="1:14" x14ac:dyDescent="0.2">
      <c r="A1060" s="84"/>
      <c r="B1060" s="84"/>
      <c r="C1060" s="60"/>
      <c r="D1060" s="66"/>
      <c r="E1060" s="66"/>
      <c r="F1060" s="66"/>
      <c r="G1060" s="66"/>
      <c r="H1060" s="66"/>
      <c r="I1060" s="66"/>
      <c r="J1060" s="66"/>
      <c r="K1060" s="66"/>
      <c r="L1060" s="66"/>
      <c r="M1060" s="66"/>
      <c r="N1060" s="66"/>
    </row>
    <row r="1061" spans="1:14" x14ac:dyDescent="0.2">
      <c r="A1061" s="84"/>
      <c r="B1061" s="84"/>
      <c r="C1061" s="60"/>
      <c r="D1061" s="66"/>
      <c r="E1061" s="66"/>
      <c r="F1061" s="66"/>
      <c r="G1061" s="66"/>
      <c r="H1061" s="66"/>
      <c r="I1061" s="66"/>
      <c r="J1061" s="66"/>
      <c r="K1061" s="66"/>
      <c r="L1061" s="66"/>
      <c r="M1061" s="66"/>
      <c r="N1061" s="66"/>
    </row>
    <row r="1062" spans="1:14" x14ac:dyDescent="0.2">
      <c r="A1062" s="84"/>
      <c r="B1062" s="84"/>
      <c r="C1062" s="60"/>
      <c r="D1062" s="66"/>
      <c r="E1062" s="66"/>
      <c r="F1062" s="66"/>
      <c r="G1062" s="66"/>
      <c r="H1062" s="66"/>
      <c r="I1062" s="66"/>
      <c r="J1062" s="66"/>
      <c r="K1062" s="66"/>
      <c r="L1062" s="66"/>
      <c r="M1062" s="66"/>
      <c r="N1062" s="66"/>
    </row>
    <row r="1063" spans="1:14" x14ac:dyDescent="0.2">
      <c r="A1063" s="84"/>
      <c r="B1063" s="84"/>
      <c r="C1063" s="60"/>
      <c r="D1063" s="66"/>
      <c r="E1063" s="66"/>
      <c r="F1063" s="66"/>
      <c r="G1063" s="66"/>
      <c r="H1063" s="66"/>
      <c r="I1063" s="66"/>
      <c r="J1063" s="66"/>
      <c r="K1063" s="66"/>
      <c r="L1063" s="66"/>
      <c r="M1063" s="66"/>
      <c r="N1063" s="66"/>
    </row>
    <row r="1064" spans="1:14" x14ac:dyDescent="0.2">
      <c r="A1064" s="84"/>
      <c r="B1064" s="84"/>
      <c r="C1064" s="60"/>
      <c r="D1064" s="66"/>
      <c r="E1064" s="66"/>
      <c r="F1064" s="66"/>
      <c r="G1064" s="66"/>
      <c r="H1064" s="66"/>
      <c r="I1064" s="66"/>
      <c r="J1064" s="66"/>
      <c r="K1064" s="66"/>
      <c r="L1064" s="66"/>
      <c r="M1064" s="66"/>
      <c r="N1064" s="66"/>
    </row>
    <row r="1065" spans="1:14" x14ac:dyDescent="0.2">
      <c r="A1065" s="84"/>
      <c r="B1065" s="84"/>
      <c r="C1065" s="60"/>
      <c r="D1065" s="66"/>
      <c r="E1065" s="66"/>
      <c r="F1065" s="66"/>
      <c r="G1065" s="66"/>
      <c r="H1065" s="66"/>
      <c r="I1065" s="66"/>
      <c r="J1065" s="66"/>
      <c r="K1065" s="66"/>
      <c r="L1065" s="66"/>
      <c r="M1065" s="66"/>
      <c r="N1065" s="66"/>
    </row>
    <row r="1066" spans="1:14" x14ac:dyDescent="0.2">
      <c r="A1066" s="84"/>
      <c r="B1066" s="84"/>
      <c r="C1066" s="60"/>
      <c r="D1066" s="66"/>
      <c r="E1066" s="66"/>
      <c r="F1066" s="66"/>
      <c r="G1066" s="66"/>
      <c r="H1066" s="66"/>
      <c r="I1066" s="66"/>
      <c r="J1066" s="66"/>
      <c r="K1066" s="66"/>
      <c r="L1066" s="66"/>
      <c r="M1066" s="66"/>
      <c r="N1066" s="66"/>
    </row>
    <row r="1067" spans="1:14" x14ac:dyDescent="0.2">
      <c r="A1067" s="84"/>
      <c r="B1067" s="84"/>
      <c r="C1067" s="60"/>
      <c r="D1067" s="66"/>
      <c r="E1067" s="66"/>
      <c r="F1067" s="66"/>
      <c r="G1067" s="66"/>
      <c r="H1067" s="66"/>
      <c r="I1067" s="66"/>
      <c r="J1067" s="66"/>
      <c r="K1067" s="66"/>
      <c r="L1067" s="66"/>
      <c r="M1067" s="66"/>
      <c r="N1067" s="66"/>
    </row>
    <row r="1068" spans="1:14" x14ac:dyDescent="0.2">
      <c r="A1068" s="84"/>
      <c r="B1068" s="84"/>
      <c r="C1068" s="60"/>
      <c r="D1068" s="66"/>
      <c r="E1068" s="66"/>
      <c r="F1068" s="66"/>
      <c r="G1068" s="66"/>
      <c r="H1068" s="66"/>
      <c r="I1068" s="66"/>
      <c r="J1068" s="66"/>
      <c r="K1068" s="66"/>
      <c r="L1068" s="66"/>
      <c r="M1068" s="66"/>
      <c r="N1068" s="66"/>
    </row>
    <row r="1069" spans="1:14" x14ac:dyDescent="0.2">
      <c r="A1069" s="84"/>
      <c r="B1069" s="84"/>
      <c r="C1069" s="60"/>
      <c r="D1069" s="66"/>
      <c r="E1069" s="66"/>
      <c r="F1069" s="66"/>
      <c r="G1069" s="66"/>
      <c r="H1069" s="66"/>
      <c r="I1069" s="66"/>
      <c r="J1069" s="66"/>
      <c r="K1069" s="66"/>
      <c r="L1069" s="66"/>
      <c r="M1069" s="66"/>
      <c r="N1069" s="66"/>
    </row>
    <row r="1070" spans="1:14" x14ac:dyDescent="0.2">
      <c r="A1070" s="84"/>
      <c r="B1070" s="84"/>
      <c r="C1070" s="60"/>
      <c r="D1070" s="66"/>
      <c r="E1070" s="66"/>
      <c r="F1070" s="66"/>
      <c r="G1070" s="66"/>
      <c r="H1070" s="66"/>
      <c r="I1070" s="66"/>
      <c r="J1070" s="66"/>
      <c r="K1070" s="66"/>
      <c r="L1070" s="66"/>
      <c r="M1070" s="66"/>
      <c r="N1070" s="66"/>
    </row>
    <row r="1071" spans="1:14" x14ac:dyDescent="0.2">
      <c r="A1071" s="84"/>
      <c r="B1071" s="84"/>
      <c r="C1071" s="60"/>
      <c r="D1071" s="66"/>
      <c r="E1071" s="66"/>
      <c r="F1071" s="66"/>
      <c r="G1071" s="66"/>
      <c r="H1071" s="66"/>
      <c r="I1071" s="66"/>
      <c r="J1071" s="66"/>
      <c r="K1071" s="66"/>
      <c r="L1071" s="66"/>
      <c r="M1071" s="66"/>
      <c r="N1071" s="66"/>
    </row>
    <row r="1072" spans="1:14" x14ac:dyDescent="0.2">
      <c r="A1072" s="84"/>
      <c r="B1072" s="84"/>
      <c r="C1072" s="60"/>
      <c r="D1072" s="66"/>
      <c r="E1072" s="66"/>
      <c r="F1072" s="66"/>
      <c r="G1072" s="66"/>
      <c r="H1072" s="66"/>
      <c r="I1072" s="66"/>
      <c r="J1072" s="66"/>
      <c r="K1072" s="66"/>
      <c r="L1072" s="66"/>
      <c r="M1072" s="66"/>
      <c r="N1072" s="66"/>
    </row>
    <row r="1073" spans="1:14" x14ac:dyDescent="0.2">
      <c r="A1073" s="84"/>
      <c r="B1073" s="84"/>
      <c r="C1073" s="60"/>
      <c r="D1073" s="66"/>
      <c r="E1073" s="66"/>
      <c r="F1073" s="66"/>
      <c r="G1073" s="66"/>
      <c r="H1073" s="66"/>
      <c r="I1073" s="66"/>
      <c r="J1073" s="66"/>
      <c r="K1073" s="66"/>
      <c r="L1073" s="66"/>
      <c r="M1073" s="66"/>
      <c r="N1073" s="66"/>
    </row>
    <row r="1074" spans="1:14" x14ac:dyDescent="0.2">
      <c r="A1074" s="84"/>
      <c r="B1074" s="84"/>
      <c r="C1074" s="60"/>
      <c r="D1074" s="66"/>
      <c r="E1074" s="66"/>
      <c r="F1074" s="66"/>
      <c r="G1074" s="66"/>
      <c r="H1074" s="66"/>
      <c r="I1074" s="66"/>
      <c r="J1074" s="66"/>
      <c r="K1074" s="66"/>
      <c r="L1074" s="66"/>
      <c r="M1074" s="66"/>
      <c r="N1074" s="66"/>
    </row>
    <row r="1075" spans="1:14" x14ac:dyDescent="0.2">
      <c r="A1075" s="84"/>
      <c r="B1075" s="84"/>
      <c r="C1075" s="60"/>
      <c r="D1075" s="66"/>
      <c r="E1075" s="66"/>
      <c r="F1075" s="66"/>
      <c r="G1075" s="66"/>
      <c r="H1075" s="66"/>
      <c r="I1075" s="66"/>
      <c r="J1075" s="66"/>
      <c r="K1075" s="66"/>
      <c r="L1075" s="66"/>
      <c r="M1075" s="66"/>
      <c r="N1075" s="66"/>
    </row>
    <row r="1076" spans="1:14" x14ac:dyDescent="0.2">
      <c r="A1076" s="84"/>
      <c r="B1076" s="84"/>
      <c r="C1076" s="60"/>
      <c r="D1076" s="66"/>
      <c r="E1076" s="66"/>
      <c r="F1076" s="66"/>
      <c r="G1076" s="66"/>
      <c r="H1076" s="66"/>
      <c r="I1076" s="66"/>
      <c r="J1076" s="66"/>
      <c r="K1076" s="66"/>
      <c r="L1076" s="66"/>
      <c r="M1076" s="66"/>
      <c r="N1076" s="66"/>
    </row>
    <row r="1077" spans="1:14" x14ac:dyDescent="0.2">
      <c r="A1077" s="84"/>
      <c r="B1077" s="84"/>
      <c r="C1077" s="60"/>
      <c r="D1077" s="66"/>
      <c r="E1077" s="66"/>
      <c r="F1077" s="66"/>
      <c r="G1077" s="66"/>
      <c r="H1077" s="66"/>
      <c r="I1077" s="66"/>
      <c r="J1077" s="66"/>
      <c r="K1077" s="66"/>
      <c r="L1077" s="66"/>
      <c r="M1077" s="66"/>
      <c r="N1077" s="66"/>
    </row>
    <row r="1078" spans="1:14" x14ac:dyDescent="0.2">
      <c r="A1078" s="84"/>
      <c r="B1078" s="84"/>
      <c r="C1078" s="60"/>
      <c r="D1078" s="66"/>
      <c r="E1078" s="66"/>
      <c r="F1078" s="66"/>
      <c r="G1078" s="66"/>
      <c r="H1078" s="66"/>
      <c r="I1078" s="66"/>
      <c r="J1078" s="66"/>
      <c r="K1078" s="66"/>
      <c r="L1078" s="66"/>
      <c r="M1078" s="66"/>
      <c r="N1078" s="66"/>
    </row>
    <row r="1079" spans="1:14" x14ac:dyDescent="0.2">
      <c r="A1079" s="84"/>
      <c r="B1079" s="84"/>
      <c r="C1079" s="60"/>
      <c r="D1079" s="66"/>
      <c r="E1079" s="66"/>
      <c r="F1079" s="66"/>
      <c r="G1079" s="66"/>
      <c r="H1079" s="66"/>
      <c r="I1079" s="66"/>
      <c r="J1079" s="66"/>
      <c r="K1079" s="66"/>
      <c r="L1079" s="66"/>
      <c r="M1079" s="66"/>
      <c r="N1079" s="66"/>
    </row>
    <row r="1080" spans="1:14" x14ac:dyDescent="0.2">
      <c r="A1080" s="84"/>
      <c r="B1080" s="84"/>
      <c r="C1080" s="60"/>
      <c r="D1080" s="66"/>
      <c r="E1080" s="66"/>
      <c r="F1080" s="66"/>
      <c r="G1080" s="66"/>
      <c r="H1080" s="66"/>
      <c r="I1080" s="66"/>
      <c r="J1080" s="66"/>
      <c r="K1080" s="66"/>
      <c r="L1080" s="66"/>
      <c r="M1080" s="66"/>
      <c r="N1080" s="66"/>
    </row>
    <row r="1081" spans="1:14" x14ac:dyDescent="0.2">
      <c r="A1081" s="84"/>
      <c r="B1081" s="84"/>
      <c r="C1081" s="60"/>
      <c r="D1081" s="66"/>
      <c r="E1081" s="66"/>
      <c r="F1081" s="66"/>
      <c r="G1081" s="66"/>
      <c r="H1081" s="66"/>
      <c r="I1081" s="66"/>
      <c r="J1081" s="66"/>
      <c r="K1081" s="66"/>
      <c r="L1081" s="66"/>
      <c r="M1081" s="66"/>
      <c r="N1081" s="66"/>
    </row>
    <row r="1082" spans="1:14" x14ac:dyDescent="0.2">
      <c r="A1082" s="84"/>
      <c r="B1082" s="84"/>
      <c r="C1082" s="60"/>
      <c r="D1082" s="66"/>
      <c r="E1082" s="66"/>
      <c r="F1082" s="66"/>
      <c r="G1082" s="66"/>
      <c r="H1082" s="66"/>
      <c r="I1082" s="66"/>
      <c r="J1082" s="66"/>
      <c r="K1082" s="66"/>
      <c r="L1082" s="66"/>
      <c r="M1082" s="66"/>
      <c r="N1082" s="66"/>
    </row>
    <row r="1083" spans="1:14" x14ac:dyDescent="0.2">
      <c r="A1083" s="84"/>
      <c r="B1083" s="84"/>
      <c r="C1083" s="60"/>
      <c r="D1083" s="66"/>
      <c r="E1083" s="66"/>
      <c r="F1083" s="66"/>
      <c r="G1083" s="66"/>
      <c r="H1083" s="66"/>
      <c r="I1083" s="66"/>
      <c r="J1083" s="66"/>
      <c r="K1083" s="66"/>
      <c r="L1083" s="66"/>
      <c r="M1083" s="66"/>
      <c r="N1083" s="66"/>
    </row>
    <row r="1084" spans="1:14" x14ac:dyDescent="0.2">
      <c r="A1084" s="84"/>
      <c r="B1084" s="84"/>
      <c r="C1084" s="60"/>
      <c r="D1084" s="66"/>
      <c r="E1084" s="66"/>
      <c r="F1084" s="66"/>
      <c r="G1084" s="66"/>
      <c r="H1084" s="66"/>
      <c r="I1084" s="66"/>
      <c r="J1084" s="66"/>
      <c r="K1084" s="66"/>
      <c r="L1084" s="66"/>
      <c r="M1084" s="66"/>
      <c r="N1084" s="66"/>
    </row>
    <row r="1085" spans="1:14" x14ac:dyDescent="0.2">
      <c r="A1085" s="84"/>
      <c r="B1085" s="84"/>
      <c r="C1085" s="60"/>
      <c r="D1085" s="66"/>
      <c r="E1085" s="66"/>
      <c r="F1085" s="66"/>
      <c r="G1085" s="66"/>
      <c r="H1085" s="66"/>
      <c r="I1085" s="66"/>
      <c r="J1085" s="66"/>
      <c r="K1085" s="66"/>
      <c r="L1085" s="66"/>
      <c r="M1085" s="66"/>
      <c r="N1085" s="66"/>
    </row>
    <row r="1086" spans="1:14" x14ac:dyDescent="0.2">
      <c r="A1086" s="84"/>
      <c r="B1086" s="84"/>
      <c r="C1086" s="60"/>
      <c r="D1086" s="66"/>
      <c r="E1086" s="66"/>
      <c r="F1086" s="66"/>
      <c r="G1086" s="66"/>
      <c r="H1086" s="66"/>
      <c r="I1086" s="66"/>
      <c r="J1086" s="66"/>
      <c r="K1086" s="66"/>
      <c r="L1086" s="66"/>
      <c r="M1086" s="66"/>
      <c r="N1086" s="66"/>
    </row>
    <row r="1087" spans="1:14" x14ac:dyDescent="0.2">
      <c r="A1087" s="84"/>
      <c r="B1087" s="84"/>
      <c r="C1087" s="60"/>
      <c r="D1087" s="66"/>
      <c r="E1087" s="66"/>
      <c r="F1087" s="66"/>
      <c r="G1087" s="66"/>
      <c r="H1087" s="66"/>
      <c r="I1087" s="66"/>
      <c r="J1087" s="66"/>
      <c r="K1087" s="66"/>
      <c r="L1087" s="66"/>
      <c r="M1087" s="66"/>
      <c r="N1087" s="66"/>
    </row>
    <row r="1088" spans="1:14" x14ac:dyDescent="0.2">
      <c r="A1088" s="84"/>
      <c r="B1088" s="84"/>
      <c r="C1088" s="60"/>
      <c r="D1088" s="66"/>
      <c r="E1088" s="66"/>
      <c r="F1088" s="66"/>
      <c r="G1088" s="66"/>
      <c r="H1088" s="66"/>
      <c r="I1088" s="66"/>
      <c r="J1088" s="66"/>
      <c r="K1088" s="66"/>
      <c r="L1088" s="66"/>
      <c r="M1088" s="66"/>
      <c r="N1088" s="66"/>
    </row>
    <row r="1089" spans="1:14" x14ac:dyDescent="0.2">
      <c r="A1089" s="84"/>
      <c r="B1089" s="84"/>
      <c r="C1089" s="60"/>
      <c r="D1089" s="66"/>
      <c r="E1089" s="66"/>
      <c r="F1089" s="66"/>
      <c r="G1089" s="66"/>
      <c r="H1089" s="66"/>
      <c r="I1089" s="66"/>
      <c r="J1089" s="66"/>
      <c r="K1089" s="66"/>
      <c r="L1089" s="66"/>
      <c r="M1089" s="66"/>
      <c r="N1089" s="66"/>
    </row>
    <row r="1090" spans="1:14" x14ac:dyDescent="0.2">
      <c r="A1090" s="84"/>
      <c r="B1090" s="84"/>
      <c r="C1090" s="60"/>
      <c r="D1090" s="66"/>
      <c r="E1090" s="66"/>
      <c r="F1090" s="66"/>
      <c r="G1090" s="66"/>
      <c r="H1090" s="66"/>
      <c r="I1090" s="66"/>
      <c r="J1090" s="66"/>
      <c r="K1090" s="66"/>
      <c r="L1090" s="66"/>
      <c r="M1090" s="66"/>
      <c r="N1090" s="66"/>
    </row>
    <row r="1091" spans="1:14" x14ac:dyDescent="0.2">
      <c r="A1091" s="84"/>
      <c r="B1091" s="84"/>
      <c r="C1091" s="60"/>
      <c r="D1091" s="66"/>
      <c r="E1091" s="66"/>
      <c r="F1091" s="66"/>
      <c r="G1091" s="66"/>
      <c r="H1091" s="66"/>
      <c r="I1091" s="66"/>
      <c r="J1091" s="66"/>
      <c r="K1091" s="66"/>
      <c r="L1091" s="66"/>
      <c r="M1091" s="66"/>
      <c r="N1091" s="66"/>
    </row>
    <row r="1092" spans="1:14" x14ac:dyDescent="0.2">
      <c r="A1092" s="84"/>
      <c r="B1092" s="84"/>
      <c r="C1092" s="60"/>
      <c r="D1092" s="66"/>
      <c r="E1092" s="66"/>
      <c r="F1092" s="66"/>
      <c r="G1092" s="66"/>
      <c r="H1092" s="66"/>
      <c r="I1092" s="66"/>
      <c r="J1092" s="66"/>
      <c r="K1092" s="66"/>
      <c r="L1092" s="66"/>
      <c r="M1092" s="66"/>
      <c r="N1092" s="66"/>
    </row>
    <row r="1093" spans="1:14" x14ac:dyDescent="0.2">
      <c r="A1093" s="84"/>
      <c r="B1093" s="84"/>
      <c r="C1093" s="60"/>
      <c r="D1093" s="66"/>
      <c r="E1093" s="66"/>
      <c r="F1093" s="66"/>
      <c r="G1093" s="66"/>
      <c r="H1093" s="66"/>
      <c r="I1093" s="66"/>
      <c r="J1093" s="66"/>
      <c r="K1093" s="66"/>
      <c r="L1093" s="66"/>
      <c r="M1093" s="66"/>
      <c r="N1093" s="66"/>
    </row>
    <row r="1094" spans="1:14" x14ac:dyDescent="0.2">
      <c r="A1094" s="84"/>
      <c r="B1094" s="84"/>
      <c r="C1094" s="60"/>
      <c r="D1094" s="66"/>
      <c r="E1094" s="66"/>
      <c r="F1094" s="66"/>
      <c r="G1094" s="66"/>
      <c r="H1094" s="66"/>
      <c r="I1094" s="66"/>
      <c r="J1094" s="66"/>
      <c r="K1094" s="66"/>
      <c r="L1094" s="66"/>
      <c r="M1094" s="66"/>
      <c r="N1094" s="66"/>
    </row>
    <row r="1095" spans="1:14" x14ac:dyDescent="0.2">
      <c r="A1095" s="84"/>
      <c r="B1095" s="84"/>
      <c r="C1095" s="60"/>
      <c r="D1095" s="66"/>
      <c r="E1095" s="66"/>
      <c r="F1095" s="66"/>
      <c r="G1095" s="66"/>
      <c r="H1095" s="66"/>
      <c r="I1095" s="66"/>
      <c r="J1095" s="66"/>
      <c r="K1095" s="66"/>
      <c r="L1095" s="66"/>
      <c r="M1095" s="66"/>
      <c r="N1095" s="66"/>
    </row>
    <row r="1096" spans="1:14" x14ac:dyDescent="0.2">
      <c r="A1096" s="84"/>
      <c r="B1096" s="84"/>
      <c r="C1096" s="60"/>
      <c r="D1096" s="66"/>
      <c r="E1096" s="66"/>
      <c r="F1096" s="66"/>
      <c r="G1096" s="66"/>
      <c r="H1096" s="66"/>
      <c r="I1096" s="66"/>
      <c r="J1096" s="66"/>
      <c r="K1096" s="66"/>
      <c r="L1096" s="66"/>
      <c r="M1096" s="66"/>
      <c r="N1096" s="66"/>
    </row>
    <row r="1097" spans="1:14" x14ac:dyDescent="0.2">
      <c r="A1097" s="84"/>
      <c r="B1097" s="84"/>
      <c r="C1097" s="60"/>
      <c r="D1097" s="66"/>
      <c r="E1097" s="66"/>
      <c r="F1097" s="66"/>
      <c r="G1097" s="66"/>
      <c r="H1097" s="66"/>
      <c r="I1097" s="66"/>
      <c r="J1097" s="66"/>
      <c r="K1097" s="66"/>
      <c r="L1097" s="66"/>
      <c r="M1097" s="66"/>
      <c r="N1097" s="66"/>
    </row>
    <row r="1098" spans="1:14" x14ac:dyDescent="0.2">
      <c r="A1098" s="84"/>
      <c r="B1098" s="84"/>
      <c r="C1098" s="60"/>
      <c r="D1098" s="66"/>
      <c r="E1098" s="66"/>
      <c r="F1098" s="66"/>
      <c r="G1098" s="66"/>
      <c r="H1098" s="66"/>
      <c r="I1098" s="66"/>
      <c r="J1098" s="66"/>
      <c r="K1098" s="66"/>
      <c r="L1098" s="66"/>
      <c r="M1098" s="66"/>
      <c r="N1098" s="66"/>
    </row>
    <row r="1099" spans="1:14" x14ac:dyDescent="0.2">
      <c r="A1099" s="84"/>
      <c r="B1099" s="84"/>
      <c r="C1099" s="60"/>
      <c r="D1099" s="66"/>
      <c r="E1099" s="66"/>
      <c r="F1099" s="66"/>
      <c r="G1099" s="66"/>
      <c r="H1099" s="66"/>
      <c r="I1099" s="66"/>
      <c r="J1099" s="66"/>
      <c r="K1099" s="66"/>
      <c r="L1099" s="66"/>
      <c r="M1099" s="66"/>
      <c r="N1099" s="66"/>
    </row>
    <row r="1100" spans="1:14" x14ac:dyDescent="0.2">
      <c r="A1100" s="84"/>
      <c r="B1100" s="84"/>
      <c r="C1100" s="60"/>
      <c r="D1100" s="66"/>
      <c r="E1100" s="66"/>
      <c r="F1100" s="66"/>
      <c r="G1100" s="66"/>
      <c r="H1100" s="66"/>
      <c r="I1100" s="66"/>
      <c r="J1100" s="66"/>
      <c r="K1100" s="66"/>
      <c r="L1100" s="66"/>
      <c r="M1100" s="66"/>
      <c r="N1100" s="66"/>
    </row>
    <row r="1101" spans="1:14" x14ac:dyDescent="0.2">
      <c r="A1101" s="84"/>
      <c r="B1101" s="84"/>
      <c r="C1101" s="60"/>
      <c r="D1101" s="66"/>
      <c r="E1101" s="66"/>
      <c r="F1101" s="66"/>
      <c r="G1101" s="66"/>
      <c r="H1101" s="66"/>
      <c r="I1101" s="66"/>
      <c r="J1101" s="66"/>
      <c r="K1101" s="66"/>
      <c r="L1101" s="66"/>
      <c r="M1101" s="66"/>
      <c r="N1101" s="66"/>
    </row>
    <row r="1102" spans="1:14" x14ac:dyDescent="0.2">
      <c r="A1102" s="84"/>
      <c r="B1102" s="84"/>
      <c r="C1102" s="60"/>
      <c r="D1102" s="66"/>
      <c r="E1102" s="66"/>
      <c r="F1102" s="66"/>
      <c r="G1102" s="66"/>
      <c r="H1102" s="66"/>
      <c r="I1102" s="66"/>
      <c r="J1102" s="66"/>
      <c r="K1102" s="66"/>
      <c r="L1102" s="66"/>
      <c r="M1102" s="66"/>
      <c r="N1102" s="66"/>
    </row>
    <row r="1103" spans="1:14" x14ac:dyDescent="0.2">
      <c r="A1103" s="84"/>
      <c r="B1103" s="84"/>
      <c r="C1103" s="60"/>
      <c r="D1103" s="66"/>
      <c r="E1103" s="66"/>
      <c r="F1103" s="66"/>
      <c r="G1103" s="66"/>
      <c r="H1103" s="66"/>
      <c r="I1103" s="66"/>
      <c r="J1103" s="66"/>
      <c r="K1103" s="66"/>
      <c r="L1103" s="66"/>
      <c r="M1103" s="66"/>
      <c r="N1103" s="66"/>
    </row>
    <row r="1104" spans="1:14" x14ac:dyDescent="0.2">
      <c r="A1104" s="84"/>
      <c r="B1104" s="84"/>
      <c r="C1104" s="60"/>
      <c r="D1104" s="66"/>
      <c r="E1104" s="66"/>
      <c r="F1104" s="66"/>
      <c r="G1104" s="66"/>
      <c r="H1104" s="66"/>
      <c r="I1104" s="66"/>
      <c r="J1104" s="66"/>
      <c r="K1104" s="66"/>
      <c r="L1104" s="66"/>
      <c r="M1104" s="66"/>
      <c r="N1104" s="66"/>
    </row>
    <row r="1105" spans="1:14" x14ac:dyDescent="0.2">
      <c r="A1105" s="84"/>
      <c r="B1105" s="84"/>
      <c r="C1105" s="60"/>
      <c r="D1105" s="66"/>
      <c r="E1105" s="66"/>
      <c r="F1105" s="66"/>
      <c r="G1105" s="66"/>
      <c r="H1105" s="66"/>
      <c r="I1105" s="66"/>
      <c r="J1105" s="66"/>
      <c r="K1105" s="66"/>
      <c r="L1105" s="66"/>
      <c r="M1105" s="66"/>
      <c r="N1105" s="66"/>
    </row>
    <row r="1106" spans="1:14" x14ac:dyDescent="0.2">
      <c r="A1106" s="84"/>
      <c r="B1106" s="84"/>
      <c r="C1106" s="60"/>
      <c r="D1106" s="66"/>
      <c r="E1106" s="66"/>
      <c r="F1106" s="66"/>
      <c r="G1106" s="66"/>
      <c r="H1106" s="66"/>
      <c r="I1106" s="66"/>
      <c r="J1106" s="66"/>
      <c r="K1106" s="66"/>
      <c r="L1106" s="66"/>
      <c r="M1106" s="66"/>
      <c r="N1106" s="66"/>
    </row>
    <row r="1107" spans="1:14" x14ac:dyDescent="0.2">
      <c r="A1107" s="84"/>
      <c r="B1107" s="84"/>
      <c r="C1107" s="60"/>
      <c r="D1107" s="66"/>
      <c r="E1107" s="66"/>
      <c r="F1107" s="66"/>
      <c r="G1107" s="66"/>
      <c r="H1107" s="66"/>
      <c r="I1107" s="66"/>
      <c r="J1107" s="66"/>
      <c r="K1107" s="66"/>
      <c r="L1107" s="66"/>
      <c r="M1107" s="66"/>
      <c r="N1107" s="66"/>
    </row>
    <row r="1108" spans="1:14" x14ac:dyDescent="0.2">
      <c r="A1108" s="84"/>
      <c r="B1108" s="84"/>
      <c r="C1108" s="60"/>
      <c r="D1108" s="66"/>
      <c r="E1108" s="66"/>
      <c r="F1108" s="66"/>
      <c r="G1108" s="66"/>
      <c r="H1108" s="66"/>
      <c r="I1108" s="66"/>
      <c r="J1108" s="66"/>
      <c r="K1108" s="66"/>
      <c r="L1108" s="66"/>
      <c r="M1108" s="66"/>
      <c r="N1108" s="66"/>
    </row>
    <row r="1109" spans="1:14" x14ac:dyDescent="0.2">
      <c r="A1109" s="84"/>
      <c r="B1109" s="84"/>
      <c r="C1109" s="60"/>
      <c r="D1109" s="66"/>
      <c r="E1109" s="66"/>
      <c r="F1109" s="66"/>
      <c r="G1109" s="66"/>
      <c r="H1109" s="66"/>
      <c r="I1109" s="66"/>
      <c r="J1109" s="66"/>
      <c r="K1109" s="66"/>
      <c r="L1109" s="66"/>
      <c r="M1109" s="66"/>
      <c r="N1109" s="66"/>
    </row>
    <row r="1110" spans="1:14" x14ac:dyDescent="0.2">
      <c r="A1110" s="84"/>
      <c r="B1110" s="84"/>
      <c r="C1110" s="60"/>
      <c r="D1110" s="66"/>
      <c r="E1110" s="66"/>
      <c r="F1110" s="66"/>
      <c r="G1110" s="66"/>
      <c r="H1110" s="66"/>
      <c r="I1110" s="66"/>
      <c r="J1110" s="66"/>
      <c r="K1110" s="66"/>
      <c r="L1110" s="66"/>
      <c r="M1110" s="66"/>
      <c r="N1110" s="66"/>
    </row>
    <row r="1111" spans="1:14" x14ac:dyDescent="0.2">
      <c r="A1111" s="84"/>
      <c r="B1111" s="84"/>
      <c r="C1111" s="60"/>
      <c r="D1111" s="66"/>
      <c r="E1111" s="66"/>
      <c r="F1111" s="66"/>
      <c r="G1111" s="66"/>
      <c r="H1111" s="66"/>
      <c r="I1111" s="66"/>
      <c r="J1111" s="66"/>
      <c r="K1111" s="66"/>
      <c r="L1111" s="66"/>
      <c r="M1111" s="66"/>
      <c r="N1111" s="66"/>
    </row>
    <row r="1112" spans="1:14" x14ac:dyDescent="0.2">
      <c r="A1112" s="84"/>
      <c r="B1112" s="84"/>
      <c r="C1112" s="60"/>
      <c r="D1112" s="66"/>
      <c r="E1112" s="66"/>
      <c r="F1112" s="66"/>
      <c r="G1112" s="66"/>
      <c r="H1112" s="66"/>
      <c r="I1112" s="66"/>
      <c r="J1112" s="66"/>
      <c r="K1112" s="66"/>
      <c r="L1112" s="66"/>
      <c r="M1112" s="66"/>
      <c r="N1112" s="66"/>
    </row>
    <row r="1113" spans="1:14" x14ac:dyDescent="0.2">
      <c r="A1113" s="84"/>
      <c r="B1113" s="84"/>
      <c r="C1113" s="60"/>
      <c r="D1113" s="66"/>
      <c r="E1113" s="66"/>
      <c r="F1113" s="66"/>
      <c r="G1113" s="66"/>
      <c r="H1113" s="66"/>
      <c r="I1113" s="66"/>
      <c r="J1113" s="66"/>
      <c r="K1113" s="66"/>
      <c r="L1113" s="66"/>
      <c r="M1113" s="66"/>
      <c r="N1113" s="66"/>
    </row>
    <row r="1114" spans="1:14" x14ac:dyDescent="0.2">
      <c r="A1114" s="84"/>
      <c r="B1114" s="84"/>
      <c r="C1114" s="60"/>
      <c r="D1114" s="66"/>
      <c r="E1114" s="66"/>
      <c r="F1114" s="66"/>
      <c r="G1114" s="66"/>
      <c r="H1114" s="66"/>
      <c r="I1114" s="66"/>
      <c r="J1114" s="66"/>
      <c r="K1114" s="66"/>
      <c r="L1114" s="66"/>
      <c r="M1114" s="66"/>
      <c r="N1114" s="66"/>
    </row>
    <row r="1115" spans="1:14" x14ac:dyDescent="0.2">
      <c r="A1115" s="84"/>
      <c r="B1115" s="84"/>
      <c r="C1115" s="60"/>
      <c r="D1115" s="66"/>
      <c r="E1115" s="66"/>
      <c r="F1115" s="66"/>
      <c r="G1115" s="66"/>
      <c r="H1115" s="66"/>
      <c r="I1115" s="66"/>
      <c r="J1115" s="66"/>
      <c r="K1115" s="66"/>
      <c r="L1115" s="66"/>
      <c r="M1115" s="66"/>
      <c r="N1115" s="66"/>
    </row>
    <row r="1116" spans="1:14" x14ac:dyDescent="0.2">
      <c r="A1116" s="84"/>
      <c r="B1116" s="84"/>
      <c r="C1116" s="60"/>
      <c r="D1116" s="66"/>
      <c r="E1116" s="66"/>
      <c r="F1116" s="66"/>
      <c r="G1116" s="66"/>
      <c r="H1116" s="66"/>
      <c r="I1116" s="66"/>
      <c r="J1116" s="66"/>
      <c r="K1116" s="66"/>
      <c r="L1116" s="66"/>
      <c r="M1116" s="66"/>
      <c r="N1116" s="66"/>
    </row>
    <row r="1117" spans="1:14" x14ac:dyDescent="0.2">
      <c r="A1117" s="84"/>
      <c r="B1117" s="84"/>
      <c r="C1117" s="60"/>
      <c r="D1117" s="66"/>
      <c r="E1117" s="66"/>
      <c r="F1117" s="66"/>
      <c r="G1117" s="66"/>
      <c r="H1117" s="66"/>
      <c r="I1117" s="66"/>
      <c r="J1117" s="66"/>
      <c r="K1117" s="66"/>
      <c r="L1117" s="66"/>
      <c r="M1117" s="66"/>
      <c r="N1117" s="66"/>
    </row>
    <row r="1118" spans="1:14" x14ac:dyDescent="0.2">
      <c r="A1118" s="84"/>
      <c r="B1118" s="84"/>
      <c r="C1118" s="60"/>
      <c r="D1118" s="66"/>
      <c r="E1118" s="66"/>
      <c r="F1118" s="66"/>
      <c r="G1118" s="66"/>
      <c r="H1118" s="66"/>
      <c r="I1118" s="66"/>
      <c r="J1118" s="66"/>
      <c r="K1118" s="66"/>
      <c r="L1118" s="66"/>
      <c r="M1118" s="66"/>
      <c r="N1118" s="66"/>
    </row>
    <row r="1119" spans="1:14" x14ac:dyDescent="0.2">
      <c r="A1119" s="84"/>
      <c r="B1119" s="84"/>
      <c r="C1119" s="60"/>
      <c r="D1119" s="66"/>
      <c r="E1119" s="66"/>
      <c r="F1119" s="66"/>
      <c r="G1119" s="66"/>
      <c r="H1119" s="66"/>
      <c r="I1119" s="66"/>
      <c r="J1119" s="66"/>
      <c r="K1119" s="66"/>
      <c r="L1119" s="66"/>
      <c r="M1119" s="66"/>
      <c r="N1119" s="66"/>
    </row>
    <row r="1120" spans="1:14" x14ac:dyDescent="0.2">
      <c r="A1120" s="84"/>
      <c r="B1120" s="84"/>
      <c r="C1120" s="60"/>
      <c r="D1120" s="66"/>
      <c r="E1120" s="66"/>
      <c r="F1120" s="66"/>
      <c r="G1120" s="66"/>
      <c r="H1120" s="66"/>
      <c r="I1120" s="66"/>
      <c r="J1120" s="66"/>
      <c r="K1120" s="66"/>
      <c r="L1120" s="66"/>
      <c r="M1120" s="66"/>
      <c r="N1120" s="66"/>
    </row>
    <row r="1121" spans="1:14" x14ac:dyDescent="0.2">
      <c r="A1121" s="84"/>
      <c r="B1121" s="84"/>
      <c r="C1121" s="60"/>
      <c r="D1121" s="66"/>
      <c r="E1121" s="66"/>
      <c r="F1121" s="66"/>
      <c r="G1121" s="66"/>
      <c r="H1121" s="66"/>
      <c r="I1121" s="66"/>
      <c r="J1121" s="66"/>
      <c r="K1121" s="66"/>
      <c r="L1121" s="66"/>
      <c r="M1121" s="66"/>
      <c r="N1121" s="66"/>
    </row>
    <row r="1122" spans="1:14" x14ac:dyDescent="0.2">
      <c r="A1122" s="84"/>
      <c r="B1122" s="84"/>
      <c r="C1122" s="60"/>
      <c r="D1122" s="66"/>
      <c r="E1122" s="66"/>
      <c r="F1122" s="66"/>
      <c r="G1122" s="66"/>
      <c r="H1122" s="66"/>
      <c r="I1122" s="66"/>
      <c r="J1122" s="66"/>
      <c r="K1122" s="66"/>
      <c r="L1122" s="66"/>
      <c r="M1122" s="66"/>
      <c r="N1122" s="66"/>
    </row>
    <row r="1123" spans="1:14" x14ac:dyDescent="0.2">
      <c r="A1123" s="84"/>
      <c r="B1123" s="84"/>
      <c r="C1123" s="60"/>
      <c r="D1123" s="66"/>
      <c r="E1123" s="66"/>
      <c r="F1123" s="66"/>
      <c r="G1123" s="66"/>
      <c r="H1123" s="66"/>
      <c r="I1123" s="66"/>
      <c r="J1123" s="66"/>
      <c r="K1123" s="66"/>
      <c r="L1123" s="66"/>
      <c r="M1123" s="66"/>
      <c r="N1123" s="66"/>
    </row>
    <row r="1124" spans="1:14" x14ac:dyDescent="0.2">
      <c r="A1124" s="84"/>
      <c r="B1124" s="84"/>
      <c r="C1124" s="60"/>
      <c r="D1124" s="66"/>
      <c r="E1124" s="66"/>
      <c r="F1124" s="66"/>
      <c r="G1124" s="66"/>
      <c r="H1124" s="66"/>
      <c r="I1124" s="66"/>
      <c r="J1124" s="66"/>
      <c r="K1124" s="66"/>
      <c r="L1124" s="66"/>
      <c r="M1124" s="66"/>
      <c r="N1124" s="66"/>
    </row>
    <row r="1125" spans="1:14" x14ac:dyDescent="0.2">
      <c r="A1125" s="84"/>
      <c r="B1125" s="84"/>
      <c r="C1125" s="60"/>
      <c r="D1125" s="66"/>
      <c r="E1125" s="66"/>
      <c r="F1125" s="66"/>
      <c r="G1125" s="66"/>
      <c r="H1125" s="66"/>
      <c r="I1125" s="66"/>
      <c r="J1125" s="66"/>
      <c r="K1125" s="66"/>
      <c r="L1125" s="66"/>
      <c r="M1125" s="66"/>
      <c r="N1125" s="66"/>
    </row>
    <row r="1126" spans="1:14" x14ac:dyDescent="0.2">
      <c r="A1126" s="84"/>
      <c r="B1126" s="84"/>
      <c r="C1126" s="60"/>
      <c r="D1126" s="66"/>
      <c r="E1126" s="66"/>
      <c r="F1126" s="66"/>
      <c r="G1126" s="66"/>
      <c r="H1126" s="66"/>
      <c r="I1126" s="66"/>
      <c r="J1126" s="66"/>
      <c r="K1126" s="66"/>
      <c r="L1126" s="66"/>
      <c r="M1126" s="66"/>
      <c r="N1126" s="66"/>
    </row>
    <row r="1127" spans="1:14" x14ac:dyDescent="0.2">
      <c r="A1127" s="84"/>
      <c r="B1127" s="84"/>
      <c r="C1127" s="60"/>
      <c r="D1127" s="66"/>
      <c r="E1127" s="66"/>
      <c r="F1127" s="66"/>
      <c r="G1127" s="66"/>
      <c r="H1127" s="66"/>
      <c r="I1127" s="66"/>
      <c r="J1127" s="66"/>
      <c r="K1127" s="66"/>
      <c r="L1127" s="66"/>
      <c r="M1127" s="66"/>
      <c r="N1127" s="66"/>
    </row>
    <row r="1128" spans="1:14" x14ac:dyDescent="0.2">
      <c r="A1128" s="84"/>
      <c r="B1128" s="84"/>
      <c r="C1128" s="60"/>
      <c r="D1128" s="66"/>
      <c r="E1128" s="66"/>
      <c r="F1128" s="66"/>
      <c r="G1128" s="66"/>
      <c r="H1128" s="66"/>
      <c r="I1128" s="66"/>
      <c r="J1128" s="66"/>
      <c r="K1128" s="66"/>
      <c r="L1128" s="66"/>
      <c r="M1128" s="66"/>
      <c r="N1128" s="66"/>
    </row>
    <row r="1129" spans="1:14" x14ac:dyDescent="0.2">
      <c r="A1129" s="84"/>
      <c r="B1129" s="84"/>
      <c r="C1129" s="60"/>
      <c r="D1129" s="66"/>
      <c r="E1129" s="66"/>
      <c r="F1129" s="66"/>
      <c r="G1129" s="66"/>
      <c r="H1129" s="66"/>
      <c r="I1129" s="66"/>
      <c r="J1129" s="66"/>
      <c r="K1129" s="66"/>
      <c r="L1129" s="66"/>
      <c r="M1129" s="66"/>
      <c r="N1129" s="66"/>
    </row>
    <row r="1130" spans="1:14" x14ac:dyDescent="0.2">
      <c r="A1130" s="84"/>
      <c r="B1130" s="84"/>
      <c r="C1130" s="60"/>
      <c r="D1130" s="66"/>
      <c r="E1130" s="66"/>
      <c r="F1130" s="66"/>
      <c r="G1130" s="66"/>
      <c r="H1130" s="66"/>
      <c r="I1130" s="66"/>
      <c r="J1130" s="66"/>
      <c r="K1130" s="66"/>
      <c r="L1130" s="66"/>
      <c r="M1130" s="66"/>
      <c r="N1130" s="66"/>
    </row>
    <row r="1131" spans="1:14" x14ac:dyDescent="0.2">
      <c r="A1131" s="84"/>
      <c r="B1131" s="84"/>
      <c r="C1131" s="60"/>
      <c r="D1131" s="66"/>
      <c r="E1131" s="66"/>
      <c r="F1131" s="66"/>
      <c r="G1131" s="66"/>
      <c r="H1131" s="66"/>
      <c r="I1131" s="66"/>
      <c r="J1131" s="66"/>
      <c r="K1131" s="66"/>
      <c r="L1131" s="66"/>
      <c r="M1131" s="66"/>
      <c r="N1131" s="66"/>
    </row>
    <row r="1132" spans="1:14" x14ac:dyDescent="0.2">
      <c r="A1132" s="84"/>
      <c r="B1132" s="84"/>
      <c r="C1132" s="60"/>
      <c r="D1132" s="66"/>
      <c r="E1132" s="66"/>
      <c r="F1132" s="66"/>
      <c r="G1132" s="66"/>
      <c r="H1132" s="66"/>
      <c r="I1132" s="66"/>
      <c r="J1132" s="66"/>
      <c r="K1132" s="66"/>
      <c r="L1132" s="66"/>
      <c r="M1132" s="66"/>
      <c r="N1132" s="66"/>
    </row>
    <row r="1133" spans="1:14" x14ac:dyDescent="0.2">
      <c r="A1133" s="84"/>
      <c r="B1133" s="84"/>
      <c r="C1133" s="60"/>
      <c r="D1133" s="66"/>
      <c r="E1133" s="66"/>
      <c r="F1133" s="66"/>
      <c r="G1133" s="66"/>
      <c r="H1133" s="66"/>
      <c r="I1133" s="66"/>
      <c r="J1133" s="66"/>
      <c r="K1133" s="66"/>
      <c r="L1133" s="66"/>
      <c r="M1133" s="66"/>
      <c r="N1133" s="66"/>
    </row>
    <row r="1134" spans="1:14" x14ac:dyDescent="0.2">
      <c r="A1134" s="84"/>
      <c r="B1134" s="84"/>
      <c r="C1134" s="60"/>
      <c r="D1134" s="66"/>
      <c r="E1134" s="66"/>
      <c r="F1134" s="66"/>
      <c r="G1134" s="66"/>
      <c r="H1134" s="66"/>
      <c r="I1134" s="66"/>
      <c r="J1134" s="66"/>
      <c r="K1134" s="66"/>
      <c r="L1134" s="66"/>
      <c r="M1134" s="66"/>
      <c r="N1134" s="66"/>
    </row>
    <row r="1135" spans="1:14" x14ac:dyDescent="0.2">
      <c r="A1135" s="84"/>
      <c r="B1135" s="84"/>
      <c r="C1135" s="60"/>
      <c r="D1135" s="66"/>
      <c r="E1135" s="66"/>
      <c r="F1135" s="66"/>
      <c r="G1135" s="66"/>
      <c r="H1135" s="66"/>
      <c r="I1135" s="66"/>
      <c r="J1135" s="66"/>
      <c r="K1135" s="66"/>
      <c r="L1135" s="66"/>
      <c r="M1135" s="66"/>
      <c r="N1135" s="66"/>
    </row>
    <row r="1136" spans="1:14" x14ac:dyDescent="0.2">
      <c r="A1136" s="84"/>
      <c r="B1136" s="84"/>
      <c r="C1136" s="60"/>
      <c r="D1136" s="66"/>
      <c r="E1136" s="66"/>
      <c r="F1136" s="66"/>
      <c r="G1136" s="66"/>
      <c r="H1136" s="66"/>
      <c r="I1136" s="66"/>
      <c r="J1136" s="66"/>
      <c r="K1136" s="66"/>
      <c r="L1136" s="66"/>
      <c r="M1136" s="66"/>
      <c r="N1136" s="66"/>
    </row>
    <row r="1137" spans="1:14" x14ac:dyDescent="0.2">
      <c r="A1137" s="84"/>
      <c r="B1137" s="84"/>
      <c r="C1137" s="60"/>
      <c r="D1137" s="66"/>
      <c r="E1137" s="66"/>
      <c r="F1137" s="66"/>
      <c r="G1137" s="66"/>
      <c r="H1137" s="66"/>
      <c r="I1137" s="66"/>
      <c r="J1137" s="66"/>
      <c r="K1137" s="66"/>
      <c r="L1137" s="66"/>
      <c r="M1137" s="66"/>
      <c r="N1137" s="66"/>
    </row>
    <row r="1138" spans="1:14" x14ac:dyDescent="0.2">
      <c r="A1138" s="84"/>
      <c r="B1138" s="84"/>
      <c r="C1138" s="60"/>
      <c r="D1138" s="66"/>
      <c r="E1138" s="66"/>
      <c r="F1138" s="66"/>
      <c r="G1138" s="66"/>
      <c r="H1138" s="66"/>
      <c r="I1138" s="66"/>
      <c r="J1138" s="66"/>
      <c r="K1138" s="66"/>
      <c r="L1138" s="66"/>
      <c r="M1138" s="66"/>
      <c r="N1138" s="66"/>
    </row>
    <row r="1139" spans="1:14" x14ac:dyDescent="0.2">
      <c r="A1139" s="84"/>
      <c r="B1139" s="84"/>
      <c r="C1139" s="60"/>
      <c r="D1139" s="66"/>
      <c r="E1139" s="66"/>
      <c r="F1139" s="66"/>
      <c r="G1139" s="66"/>
      <c r="H1139" s="66"/>
      <c r="I1139" s="66"/>
      <c r="J1139" s="66"/>
      <c r="K1139" s="66"/>
      <c r="L1139" s="66"/>
      <c r="M1139" s="66"/>
      <c r="N1139" s="66"/>
    </row>
    <row r="1140" spans="1:14" x14ac:dyDescent="0.2">
      <c r="A1140" s="84"/>
      <c r="B1140" s="84"/>
      <c r="C1140" s="60"/>
      <c r="D1140" s="66"/>
      <c r="E1140" s="66"/>
      <c r="F1140" s="66"/>
      <c r="G1140" s="66"/>
      <c r="H1140" s="66"/>
      <c r="I1140" s="66"/>
      <c r="J1140" s="66"/>
      <c r="K1140" s="66"/>
      <c r="L1140" s="66"/>
      <c r="M1140" s="66"/>
      <c r="N1140" s="66"/>
    </row>
    <row r="1141" spans="1:14" x14ac:dyDescent="0.2">
      <c r="A1141" s="84"/>
      <c r="B1141" s="84"/>
      <c r="C1141" s="60"/>
      <c r="D1141" s="66"/>
      <c r="E1141" s="66"/>
      <c r="F1141" s="66"/>
      <c r="G1141" s="66"/>
      <c r="H1141" s="66"/>
      <c r="I1141" s="66"/>
      <c r="J1141" s="66"/>
      <c r="K1141" s="66"/>
      <c r="L1141" s="66"/>
      <c r="M1141" s="66"/>
      <c r="N1141" s="66"/>
    </row>
    <row r="1142" spans="1:14" x14ac:dyDescent="0.2">
      <c r="A1142" s="84"/>
      <c r="B1142" s="84"/>
      <c r="C1142" s="60"/>
      <c r="D1142" s="66"/>
      <c r="E1142" s="66"/>
      <c r="F1142" s="66"/>
      <c r="G1142" s="66"/>
      <c r="H1142" s="66"/>
      <c r="I1142" s="66"/>
      <c r="J1142" s="66"/>
      <c r="K1142" s="66"/>
      <c r="L1142" s="66"/>
      <c r="M1142" s="66"/>
      <c r="N1142" s="66"/>
    </row>
    <row r="1143" spans="1:14" x14ac:dyDescent="0.2">
      <c r="A1143" s="84"/>
      <c r="B1143" s="84"/>
      <c r="C1143" s="60"/>
      <c r="D1143" s="66"/>
      <c r="E1143" s="66"/>
      <c r="F1143" s="66"/>
      <c r="G1143" s="66"/>
      <c r="H1143" s="66"/>
      <c r="I1143" s="66"/>
      <c r="J1143" s="66"/>
      <c r="K1143" s="66"/>
      <c r="L1143" s="66"/>
      <c r="M1143" s="66"/>
      <c r="N1143" s="66"/>
    </row>
    <row r="1144" spans="1:14" x14ac:dyDescent="0.2">
      <c r="A1144" s="84"/>
      <c r="B1144" s="84"/>
      <c r="C1144" s="60"/>
      <c r="D1144" s="66"/>
      <c r="E1144" s="66"/>
      <c r="F1144" s="66"/>
      <c r="G1144" s="66"/>
      <c r="H1144" s="66"/>
      <c r="I1144" s="66"/>
      <c r="J1144" s="66"/>
      <c r="K1144" s="66"/>
      <c r="L1144" s="66"/>
      <c r="M1144" s="66"/>
      <c r="N1144" s="66"/>
    </row>
    <row r="1145" spans="1:14" x14ac:dyDescent="0.2">
      <c r="A1145" s="84"/>
      <c r="B1145" s="84"/>
      <c r="C1145" s="60"/>
      <c r="D1145" s="66"/>
      <c r="E1145" s="66"/>
      <c r="F1145" s="66"/>
      <c r="G1145" s="66"/>
      <c r="H1145" s="66"/>
      <c r="I1145" s="66"/>
      <c r="J1145" s="66"/>
      <c r="K1145" s="66"/>
      <c r="L1145" s="66"/>
      <c r="M1145" s="66"/>
      <c r="N1145" s="66"/>
    </row>
    <row r="1146" spans="1:14" x14ac:dyDescent="0.2">
      <c r="A1146" s="84"/>
      <c r="B1146" s="84"/>
      <c r="C1146" s="60"/>
      <c r="D1146" s="66"/>
      <c r="E1146" s="66"/>
      <c r="F1146" s="66"/>
      <c r="G1146" s="66"/>
      <c r="H1146" s="66"/>
      <c r="I1146" s="66"/>
      <c r="J1146" s="66"/>
      <c r="K1146" s="66"/>
      <c r="L1146" s="66"/>
      <c r="M1146" s="66"/>
      <c r="N1146" s="66"/>
    </row>
    <row r="1147" spans="1:14" x14ac:dyDescent="0.2">
      <c r="A1147" s="84"/>
      <c r="B1147" s="84"/>
      <c r="C1147" s="60"/>
      <c r="D1147" s="66"/>
      <c r="E1147" s="66"/>
      <c r="F1147" s="66"/>
      <c r="G1147" s="66"/>
      <c r="H1147" s="66"/>
      <c r="I1147" s="66"/>
      <c r="J1147" s="66"/>
      <c r="K1147" s="66"/>
      <c r="L1147" s="66"/>
      <c r="M1147" s="66"/>
      <c r="N1147" s="66"/>
    </row>
    <row r="1148" spans="1:14" x14ac:dyDescent="0.2">
      <c r="A1148" s="84"/>
      <c r="B1148" s="84"/>
      <c r="C1148" s="60"/>
      <c r="D1148" s="66"/>
      <c r="E1148" s="66"/>
      <c r="F1148" s="66"/>
      <c r="G1148" s="66"/>
      <c r="H1148" s="66"/>
      <c r="I1148" s="66"/>
      <c r="J1148" s="66"/>
      <c r="K1148" s="66"/>
      <c r="L1148" s="66"/>
      <c r="M1148" s="66"/>
      <c r="N1148" s="66"/>
    </row>
    <row r="1149" spans="1:14" x14ac:dyDescent="0.2">
      <c r="A1149" s="84"/>
      <c r="B1149" s="84"/>
      <c r="C1149" s="60"/>
      <c r="D1149" s="66"/>
      <c r="E1149" s="66"/>
      <c r="F1149" s="66"/>
      <c r="G1149" s="66"/>
      <c r="H1149" s="66"/>
      <c r="I1149" s="66"/>
      <c r="J1149" s="66"/>
      <c r="K1149" s="66"/>
      <c r="L1149" s="66"/>
      <c r="M1149" s="66"/>
      <c r="N1149" s="66"/>
    </row>
    <row r="1150" spans="1:14" x14ac:dyDescent="0.2">
      <c r="A1150" s="84"/>
      <c r="B1150" s="84"/>
      <c r="C1150" s="60"/>
      <c r="D1150" s="66"/>
      <c r="E1150" s="66"/>
      <c r="F1150" s="66"/>
      <c r="G1150" s="66"/>
      <c r="H1150" s="66"/>
      <c r="I1150" s="66"/>
      <c r="J1150" s="66"/>
      <c r="K1150" s="66"/>
      <c r="L1150" s="66"/>
      <c r="M1150" s="66"/>
      <c r="N1150" s="66"/>
    </row>
    <row r="1151" spans="1:14" x14ac:dyDescent="0.2">
      <c r="A1151" s="84"/>
      <c r="B1151" s="84"/>
      <c r="C1151" s="60"/>
      <c r="D1151" s="66"/>
      <c r="E1151" s="66"/>
      <c r="F1151" s="66"/>
      <c r="G1151" s="66"/>
      <c r="H1151" s="66"/>
      <c r="I1151" s="66"/>
      <c r="J1151" s="66"/>
      <c r="K1151" s="66"/>
      <c r="L1151" s="66"/>
      <c r="M1151" s="66"/>
      <c r="N1151" s="66"/>
    </row>
    <row r="1152" spans="1:14" x14ac:dyDescent="0.2">
      <c r="A1152" s="84"/>
      <c r="B1152" s="84"/>
      <c r="C1152" s="60"/>
      <c r="D1152" s="66"/>
      <c r="E1152" s="66"/>
      <c r="F1152" s="66"/>
      <c r="G1152" s="66"/>
      <c r="H1152" s="66"/>
      <c r="I1152" s="66"/>
      <c r="J1152" s="66"/>
      <c r="K1152" s="66"/>
      <c r="L1152" s="66"/>
      <c r="M1152" s="66"/>
      <c r="N1152" s="66"/>
    </row>
    <row r="1153" spans="1:14" x14ac:dyDescent="0.2">
      <c r="A1153" s="84"/>
      <c r="B1153" s="84"/>
      <c r="C1153" s="60"/>
      <c r="D1153" s="66"/>
      <c r="E1153" s="66"/>
      <c r="F1153" s="66"/>
      <c r="G1153" s="66"/>
      <c r="H1153" s="66"/>
      <c r="I1153" s="66"/>
      <c r="J1153" s="66"/>
      <c r="K1153" s="66"/>
      <c r="L1153" s="66"/>
      <c r="M1153" s="66"/>
      <c r="N1153" s="66"/>
    </row>
    <row r="1154" spans="1:14" x14ac:dyDescent="0.2">
      <c r="A1154" s="84"/>
      <c r="B1154" s="84"/>
      <c r="C1154" s="60"/>
      <c r="D1154" s="66"/>
      <c r="E1154" s="66"/>
      <c r="F1154" s="66"/>
      <c r="G1154" s="66"/>
      <c r="H1154" s="66"/>
      <c r="I1154" s="66"/>
      <c r="J1154" s="66"/>
      <c r="K1154" s="66"/>
      <c r="L1154" s="66"/>
      <c r="M1154" s="66"/>
      <c r="N1154" s="66"/>
    </row>
    <row r="1155" spans="1:14" x14ac:dyDescent="0.2">
      <c r="A1155" s="84"/>
      <c r="B1155" s="84"/>
      <c r="C1155" s="60"/>
      <c r="D1155" s="66"/>
      <c r="E1155" s="66"/>
      <c r="F1155" s="66"/>
      <c r="G1155" s="66"/>
      <c r="H1155" s="66"/>
      <c r="I1155" s="66"/>
      <c r="J1155" s="66"/>
      <c r="K1155" s="66"/>
      <c r="L1155" s="66"/>
      <c r="M1155" s="66"/>
      <c r="N1155" s="66"/>
    </row>
    <row r="1156" spans="1:14" x14ac:dyDescent="0.2">
      <c r="A1156" s="84"/>
      <c r="B1156" s="84"/>
      <c r="C1156" s="60"/>
      <c r="D1156" s="66"/>
      <c r="E1156" s="66"/>
      <c r="F1156" s="66"/>
      <c r="G1156" s="66"/>
      <c r="H1156" s="66"/>
      <c r="I1156" s="66"/>
      <c r="J1156" s="66"/>
      <c r="K1156" s="66"/>
      <c r="L1156" s="66"/>
      <c r="M1156" s="66"/>
      <c r="N1156" s="66"/>
    </row>
    <row r="1157" spans="1:14" x14ac:dyDescent="0.2">
      <c r="A1157" s="84"/>
      <c r="B1157" s="84"/>
      <c r="C1157" s="60"/>
      <c r="D1157" s="66"/>
      <c r="E1157" s="66"/>
      <c r="F1157" s="66"/>
      <c r="G1157" s="66"/>
      <c r="H1157" s="66"/>
      <c r="I1157" s="66"/>
      <c r="J1157" s="66"/>
      <c r="K1157" s="66"/>
      <c r="L1157" s="66"/>
      <c r="M1157" s="66"/>
      <c r="N1157" s="66"/>
    </row>
    <row r="1158" spans="1:14" x14ac:dyDescent="0.2">
      <c r="A1158" s="84"/>
      <c r="B1158" s="84"/>
      <c r="C1158" s="60"/>
      <c r="D1158" s="66"/>
      <c r="E1158" s="66"/>
      <c r="F1158" s="66"/>
      <c r="G1158" s="66"/>
      <c r="H1158" s="66"/>
      <c r="I1158" s="66"/>
      <c r="J1158" s="66"/>
      <c r="K1158" s="66"/>
      <c r="L1158" s="66"/>
      <c r="M1158" s="66"/>
      <c r="N1158" s="66"/>
    </row>
    <row r="1159" spans="1:14" x14ac:dyDescent="0.2">
      <c r="A1159" s="84"/>
      <c r="B1159" s="84"/>
      <c r="C1159" s="60"/>
      <c r="D1159" s="66"/>
      <c r="E1159" s="66"/>
      <c r="F1159" s="66"/>
      <c r="G1159" s="66"/>
      <c r="H1159" s="66"/>
      <c r="I1159" s="66"/>
      <c r="J1159" s="66"/>
      <c r="K1159" s="66"/>
      <c r="L1159" s="66"/>
      <c r="M1159" s="66"/>
      <c r="N1159" s="66"/>
    </row>
    <row r="1160" spans="1:14" x14ac:dyDescent="0.2">
      <c r="A1160" s="84"/>
      <c r="B1160" s="84"/>
      <c r="C1160" s="60"/>
      <c r="D1160" s="66"/>
      <c r="E1160" s="66"/>
      <c r="F1160" s="66"/>
      <c r="G1160" s="66"/>
      <c r="H1160" s="66"/>
      <c r="I1160" s="66"/>
      <c r="J1160" s="66"/>
      <c r="K1160" s="66"/>
      <c r="L1160" s="66"/>
      <c r="M1160" s="66"/>
      <c r="N1160" s="66"/>
    </row>
    <row r="1161" spans="1:14" x14ac:dyDescent="0.2">
      <c r="A1161" s="84"/>
      <c r="B1161" s="84"/>
      <c r="C1161" s="60"/>
      <c r="D1161" s="66"/>
      <c r="E1161" s="66"/>
      <c r="F1161" s="66"/>
      <c r="G1161" s="66"/>
      <c r="H1161" s="66"/>
      <c r="I1161" s="66"/>
      <c r="J1161" s="66"/>
      <c r="K1161" s="66"/>
      <c r="L1161" s="66"/>
      <c r="M1161" s="66"/>
      <c r="N1161" s="66"/>
    </row>
    <row r="1162" spans="1:14" x14ac:dyDescent="0.2">
      <c r="A1162" s="84"/>
      <c r="B1162" s="84"/>
      <c r="C1162" s="60"/>
      <c r="D1162" s="66"/>
      <c r="E1162" s="66"/>
      <c r="F1162" s="66"/>
      <c r="G1162" s="66"/>
      <c r="H1162" s="66"/>
      <c r="I1162" s="66"/>
      <c r="J1162" s="66"/>
      <c r="K1162" s="66"/>
      <c r="L1162" s="66"/>
      <c r="M1162" s="66"/>
      <c r="N1162" s="66"/>
    </row>
    <row r="1163" spans="1:14" x14ac:dyDescent="0.2">
      <c r="A1163" s="84"/>
      <c r="B1163" s="84"/>
      <c r="C1163" s="60"/>
      <c r="D1163" s="66"/>
      <c r="E1163" s="66"/>
      <c r="F1163" s="66"/>
      <c r="G1163" s="66"/>
      <c r="H1163" s="66"/>
      <c r="I1163" s="66"/>
      <c r="J1163" s="66"/>
      <c r="K1163" s="66"/>
      <c r="L1163" s="66"/>
      <c r="M1163" s="66"/>
      <c r="N1163" s="66"/>
    </row>
    <row r="1164" spans="1:14" x14ac:dyDescent="0.2">
      <c r="A1164" s="84"/>
      <c r="B1164" s="84"/>
      <c r="C1164" s="60"/>
      <c r="D1164" s="66"/>
      <c r="E1164" s="66"/>
      <c r="F1164" s="66"/>
      <c r="G1164" s="66"/>
      <c r="H1164" s="66"/>
      <c r="I1164" s="66"/>
      <c r="J1164" s="66"/>
      <c r="K1164" s="66"/>
      <c r="L1164" s="66"/>
      <c r="M1164" s="66"/>
      <c r="N1164" s="66"/>
    </row>
    <row r="1165" spans="1:14" x14ac:dyDescent="0.2">
      <c r="A1165" s="84"/>
      <c r="B1165" s="84"/>
      <c r="C1165" s="60"/>
      <c r="D1165" s="66"/>
      <c r="E1165" s="66"/>
      <c r="F1165" s="66"/>
      <c r="G1165" s="66"/>
      <c r="H1165" s="66"/>
      <c r="I1165" s="66"/>
      <c r="J1165" s="66"/>
      <c r="K1165" s="66"/>
      <c r="L1165" s="66"/>
      <c r="M1165" s="66"/>
      <c r="N1165" s="66"/>
    </row>
    <row r="1166" spans="1:14" x14ac:dyDescent="0.2">
      <c r="A1166" s="84"/>
      <c r="B1166" s="84"/>
      <c r="C1166" s="60"/>
      <c r="D1166" s="66"/>
      <c r="E1166" s="66"/>
      <c r="F1166" s="66"/>
      <c r="G1166" s="66"/>
      <c r="H1166" s="66"/>
      <c r="I1166" s="66"/>
      <c r="J1166" s="66"/>
      <c r="K1166" s="66"/>
      <c r="L1166" s="66"/>
      <c r="M1166" s="66"/>
      <c r="N1166" s="66"/>
    </row>
    <row r="1167" spans="1:14" x14ac:dyDescent="0.2">
      <c r="A1167" s="84"/>
      <c r="B1167" s="84"/>
      <c r="C1167" s="60"/>
      <c r="D1167" s="66"/>
      <c r="E1167" s="66"/>
      <c r="F1167" s="66"/>
      <c r="G1167" s="66"/>
      <c r="H1167" s="66"/>
      <c r="I1167" s="66"/>
      <c r="J1167" s="66"/>
      <c r="K1167" s="66"/>
      <c r="L1167" s="66"/>
      <c r="M1167" s="66"/>
      <c r="N1167" s="66"/>
    </row>
    <row r="1168" spans="1:14" x14ac:dyDescent="0.2">
      <c r="A1168" s="84"/>
      <c r="B1168" s="84"/>
      <c r="C1168" s="60"/>
      <c r="D1168" s="66"/>
      <c r="E1168" s="66"/>
      <c r="F1168" s="66"/>
      <c r="G1168" s="66"/>
      <c r="H1168" s="66"/>
      <c r="I1168" s="66"/>
      <c r="J1168" s="66"/>
      <c r="K1168" s="66"/>
      <c r="L1168" s="66"/>
      <c r="M1168" s="66"/>
      <c r="N1168" s="66"/>
    </row>
    <row r="1169" spans="1:14" x14ac:dyDescent="0.2">
      <c r="A1169" s="84"/>
      <c r="B1169" s="84"/>
      <c r="C1169" s="60"/>
      <c r="D1169" s="66"/>
      <c r="E1169" s="66"/>
      <c r="F1169" s="66"/>
      <c r="G1169" s="66"/>
      <c r="H1169" s="66"/>
      <c r="I1169" s="66"/>
      <c r="J1169" s="66"/>
      <c r="K1169" s="66"/>
      <c r="L1169" s="66"/>
      <c r="M1169" s="66"/>
      <c r="N1169" s="66"/>
    </row>
    <row r="1170" spans="1:14" x14ac:dyDescent="0.2">
      <c r="A1170" s="84"/>
      <c r="B1170" s="84"/>
      <c r="C1170" s="60"/>
      <c r="D1170" s="66"/>
      <c r="E1170" s="66"/>
      <c r="F1170" s="66"/>
      <c r="G1170" s="66"/>
      <c r="H1170" s="66"/>
      <c r="I1170" s="66"/>
      <c r="J1170" s="66"/>
      <c r="K1170" s="66"/>
      <c r="L1170" s="66"/>
      <c r="M1170" s="66"/>
      <c r="N1170" s="66"/>
    </row>
    <row r="1171" spans="1:14" x14ac:dyDescent="0.2">
      <c r="A1171" s="84"/>
      <c r="B1171" s="84"/>
      <c r="C1171" s="60"/>
      <c r="D1171" s="66"/>
      <c r="E1171" s="66"/>
      <c r="F1171" s="66"/>
      <c r="G1171" s="66"/>
      <c r="H1171" s="66"/>
      <c r="I1171" s="66"/>
      <c r="J1171" s="66"/>
      <c r="K1171" s="66"/>
      <c r="L1171" s="66"/>
      <c r="M1171" s="66"/>
      <c r="N1171" s="66"/>
    </row>
    <row r="1172" spans="1:14" x14ac:dyDescent="0.2">
      <c r="A1172" s="84"/>
      <c r="B1172" s="84"/>
      <c r="C1172" s="60"/>
      <c r="D1172" s="66"/>
      <c r="E1172" s="66"/>
      <c r="F1172" s="66"/>
      <c r="G1172" s="66"/>
      <c r="H1172" s="66"/>
      <c r="I1172" s="66"/>
      <c r="J1172" s="66"/>
      <c r="K1172" s="66"/>
      <c r="L1172" s="66"/>
      <c r="M1172" s="66"/>
      <c r="N1172" s="66"/>
    </row>
    <row r="1173" spans="1:14" x14ac:dyDescent="0.2">
      <c r="A1173" s="84"/>
      <c r="B1173" s="84"/>
      <c r="C1173" s="60"/>
      <c r="D1173" s="66"/>
      <c r="E1173" s="66"/>
      <c r="F1173" s="66"/>
      <c r="G1173" s="66"/>
      <c r="H1173" s="66"/>
      <c r="I1173" s="66"/>
      <c r="J1173" s="66"/>
      <c r="K1173" s="66"/>
      <c r="L1173" s="66"/>
      <c r="M1173" s="66"/>
      <c r="N1173" s="66"/>
    </row>
    <row r="1174" spans="1:14" x14ac:dyDescent="0.2">
      <c r="A1174" s="84"/>
      <c r="B1174" s="84"/>
      <c r="C1174" s="60"/>
      <c r="D1174" s="66"/>
      <c r="E1174" s="66"/>
      <c r="F1174" s="66"/>
      <c r="G1174" s="66"/>
      <c r="H1174" s="66"/>
      <c r="I1174" s="66"/>
      <c r="J1174" s="66"/>
      <c r="K1174" s="66"/>
      <c r="L1174" s="66"/>
      <c r="M1174" s="66"/>
      <c r="N1174" s="66"/>
    </row>
    <row r="1175" spans="1:14" x14ac:dyDescent="0.2">
      <c r="A1175" s="84"/>
      <c r="B1175" s="84"/>
      <c r="C1175" s="60"/>
      <c r="D1175" s="66"/>
      <c r="E1175" s="66"/>
      <c r="F1175" s="66"/>
      <c r="G1175" s="66"/>
      <c r="H1175" s="66"/>
      <c r="I1175" s="66"/>
      <c r="J1175" s="66"/>
      <c r="K1175" s="66"/>
      <c r="L1175" s="66"/>
      <c r="M1175" s="66"/>
      <c r="N1175" s="66"/>
    </row>
    <row r="1176" spans="1:14" x14ac:dyDescent="0.2">
      <c r="A1176" s="84"/>
      <c r="B1176" s="84"/>
      <c r="C1176" s="60"/>
      <c r="D1176" s="66"/>
      <c r="E1176" s="66"/>
      <c r="F1176" s="66"/>
      <c r="G1176" s="66"/>
      <c r="H1176" s="66"/>
      <c r="I1176" s="66"/>
      <c r="J1176" s="66"/>
      <c r="K1176" s="66"/>
      <c r="L1176" s="66"/>
      <c r="M1176" s="66"/>
      <c r="N1176" s="66"/>
    </row>
    <row r="1177" spans="1:14" x14ac:dyDescent="0.2">
      <c r="A1177" s="84"/>
      <c r="B1177" s="84"/>
      <c r="C1177" s="60"/>
      <c r="D1177" s="66"/>
      <c r="E1177" s="66"/>
      <c r="F1177" s="66"/>
      <c r="G1177" s="66"/>
      <c r="H1177" s="66"/>
      <c r="I1177" s="66"/>
      <c r="J1177" s="66"/>
      <c r="K1177" s="66"/>
      <c r="L1177" s="66"/>
      <c r="M1177" s="66"/>
      <c r="N1177" s="66"/>
    </row>
    <row r="1178" spans="1:14" x14ac:dyDescent="0.2">
      <c r="A1178" s="84"/>
      <c r="B1178" s="84"/>
      <c r="C1178" s="60"/>
      <c r="D1178" s="66"/>
      <c r="E1178" s="66"/>
      <c r="F1178" s="66"/>
      <c r="G1178" s="66"/>
      <c r="H1178" s="66"/>
      <c r="I1178" s="66"/>
      <c r="J1178" s="66"/>
      <c r="K1178" s="66"/>
      <c r="L1178" s="66"/>
      <c r="M1178" s="66"/>
      <c r="N1178" s="66"/>
    </row>
    <row r="1179" spans="1:14" x14ac:dyDescent="0.2">
      <c r="A1179" s="84"/>
      <c r="B1179" s="84"/>
      <c r="C1179" s="60"/>
      <c r="D1179" s="66"/>
      <c r="E1179" s="66"/>
      <c r="F1179" s="66"/>
      <c r="G1179" s="66"/>
      <c r="H1179" s="66"/>
      <c r="I1179" s="66"/>
      <c r="J1179" s="66"/>
      <c r="K1179" s="66"/>
      <c r="L1179" s="66"/>
      <c r="M1179" s="66"/>
      <c r="N1179" s="66"/>
    </row>
    <row r="1180" spans="1:14" x14ac:dyDescent="0.2">
      <c r="A1180" s="84"/>
      <c r="B1180" s="84"/>
      <c r="C1180" s="60"/>
      <c r="D1180" s="66"/>
      <c r="E1180" s="66"/>
      <c r="F1180" s="66"/>
      <c r="G1180" s="66"/>
      <c r="H1180" s="66"/>
      <c r="I1180" s="66"/>
      <c r="J1180" s="66"/>
      <c r="K1180" s="66"/>
      <c r="L1180" s="66"/>
      <c r="M1180" s="66"/>
      <c r="N1180" s="66"/>
    </row>
    <row r="1181" spans="1:14" x14ac:dyDescent="0.2">
      <c r="A1181" s="84"/>
      <c r="B1181" s="84"/>
      <c r="C1181" s="60"/>
      <c r="D1181" s="66"/>
      <c r="E1181" s="66"/>
      <c r="F1181" s="66"/>
      <c r="G1181" s="66"/>
      <c r="H1181" s="66"/>
      <c r="I1181" s="66"/>
      <c r="J1181" s="66"/>
      <c r="K1181" s="66"/>
      <c r="L1181" s="66"/>
      <c r="M1181" s="66"/>
      <c r="N1181" s="66"/>
    </row>
    <row r="1182" spans="1:14" x14ac:dyDescent="0.2">
      <c r="A1182" s="84"/>
      <c r="B1182" s="84"/>
      <c r="C1182" s="60"/>
      <c r="D1182" s="66"/>
      <c r="E1182" s="66"/>
      <c r="F1182" s="66"/>
      <c r="G1182" s="66"/>
      <c r="H1182" s="66"/>
      <c r="I1182" s="66"/>
      <c r="J1182" s="66"/>
      <c r="K1182" s="66"/>
      <c r="L1182" s="66"/>
      <c r="M1182" s="66"/>
      <c r="N1182" s="66"/>
    </row>
    <row r="1183" spans="1:14" x14ac:dyDescent="0.2">
      <c r="A1183" s="84"/>
      <c r="B1183" s="84"/>
      <c r="C1183" s="60"/>
      <c r="D1183" s="66"/>
      <c r="E1183" s="66"/>
      <c r="F1183" s="66"/>
      <c r="G1183" s="66"/>
      <c r="H1183" s="66"/>
      <c r="I1183" s="66"/>
      <c r="J1183" s="66"/>
      <c r="K1183" s="66"/>
      <c r="L1183" s="66"/>
      <c r="M1183" s="66"/>
      <c r="N1183" s="66"/>
    </row>
    <row r="1184" spans="1:14" x14ac:dyDescent="0.2">
      <c r="A1184" s="84"/>
      <c r="B1184" s="84"/>
      <c r="C1184" s="60"/>
      <c r="D1184" s="66"/>
      <c r="E1184" s="66"/>
      <c r="F1184" s="66"/>
      <c r="G1184" s="66"/>
      <c r="H1184" s="66"/>
      <c r="I1184" s="66"/>
      <c r="J1184" s="66"/>
      <c r="K1184" s="66"/>
      <c r="L1184" s="66"/>
      <c r="M1184" s="66"/>
      <c r="N1184" s="66"/>
    </row>
    <row r="1185" spans="1:14" x14ac:dyDescent="0.2">
      <c r="A1185" s="84"/>
      <c r="B1185" s="84"/>
      <c r="C1185" s="60"/>
      <c r="D1185" s="66"/>
      <c r="E1185" s="66"/>
      <c r="F1185" s="66"/>
      <c r="G1185" s="66"/>
      <c r="H1185" s="66"/>
      <c r="I1185" s="66"/>
      <c r="J1185" s="66"/>
      <c r="K1185" s="66"/>
      <c r="L1185" s="66"/>
      <c r="M1185" s="66"/>
      <c r="N1185" s="66"/>
    </row>
    <row r="1186" spans="1:14" x14ac:dyDescent="0.2">
      <c r="A1186" s="84"/>
      <c r="B1186" s="84"/>
      <c r="C1186" s="60"/>
      <c r="D1186" s="66"/>
      <c r="E1186" s="66"/>
      <c r="F1186" s="66"/>
      <c r="G1186" s="66"/>
      <c r="H1186" s="66"/>
      <c r="I1186" s="66"/>
      <c r="J1186" s="66"/>
      <c r="K1186" s="66"/>
      <c r="L1186" s="66"/>
      <c r="M1186" s="66"/>
      <c r="N1186" s="66"/>
    </row>
    <row r="1187" spans="1:14" x14ac:dyDescent="0.2">
      <c r="A1187" s="84"/>
      <c r="B1187" s="84"/>
      <c r="C1187" s="60"/>
      <c r="D1187" s="66"/>
      <c r="E1187" s="66"/>
      <c r="F1187" s="66"/>
      <c r="G1187" s="66"/>
      <c r="H1187" s="66"/>
      <c r="I1187" s="66"/>
      <c r="J1187" s="66"/>
      <c r="K1187" s="66"/>
      <c r="L1187" s="66"/>
      <c r="M1187" s="66"/>
      <c r="N1187" s="66"/>
    </row>
    <row r="1188" spans="1:14" x14ac:dyDescent="0.2">
      <c r="A1188" s="84"/>
      <c r="B1188" s="84"/>
      <c r="C1188" s="60"/>
      <c r="D1188" s="66"/>
      <c r="E1188" s="66"/>
      <c r="F1188" s="66"/>
      <c r="G1188" s="66"/>
      <c r="H1188" s="66"/>
      <c r="I1188" s="66"/>
      <c r="J1188" s="66"/>
      <c r="K1188" s="66"/>
      <c r="L1188" s="66"/>
      <c r="M1188" s="66"/>
      <c r="N1188" s="66"/>
    </row>
    <row r="1189" spans="1:14" x14ac:dyDescent="0.2">
      <c r="A1189" s="84"/>
      <c r="B1189" s="84"/>
      <c r="C1189" s="60"/>
      <c r="D1189" s="66"/>
      <c r="E1189" s="66"/>
      <c r="F1189" s="66"/>
      <c r="G1189" s="66"/>
      <c r="H1189" s="66"/>
      <c r="I1189" s="66"/>
      <c r="J1189" s="66"/>
      <c r="K1189" s="66"/>
      <c r="L1189" s="66"/>
      <c r="M1189" s="66"/>
      <c r="N1189" s="66"/>
    </row>
    <row r="1190" spans="1:14" x14ac:dyDescent="0.2">
      <c r="A1190" s="84"/>
      <c r="B1190" s="84"/>
      <c r="C1190" s="60"/>
      <c r="D1190" s="66"/>
      <c r="E1190" s="66"/>
      <c r="F1190" s="66"/>
      <c r="G1190" s="66"/>
      <c r="H1190" s="66"/>
      <c r="I1190" s="66"/>
      <c r="J1190" s="66"/>
      <c r="K1190" s="66"/>
      <c r="L1190" s="66"/>
      <c r="M1190" s="66"/>
      <c r="N1190" s="66"/>
    </row>
    <row r="1191" spans="1:14" x14ac:dyDescent="0.2">
      <c r="A1191" s="84"/>
      <c r="B1191" s="84"/>
      <c r="C1191" s="60"/>
      <c r="D1191" s="66"/>
      <c r="E1191" s="66"/>
      <c r="F1191" s="66"/>
      <c r="G1191" s="66"/>
      <c r="H1191" s="66"/>
      <c r="I1191" s="66"/>
      <c r="J1191" s="66"/>
      <c r="K1191" s="66"/>
      <c r="L1191" s="66"/>
      <c r="M1191" s="66"/>
      <c r="N1191" s="66"/>
    </row>
    <row r="1192" spans="1:14" x14ac:dyDescent="0.2">
      <c r="A1192" s="84"/>
      <c r="B1192" s="84"/>
      <c r="C1192" s="60"/>
      <c r="D1192" s="66"/>
      <c r="E1192" s="66"/>
      <c r="F1192" s="66"/>
      <c r="G1192" s="66"/>
      <c r="H1192" s="66"/>
      <c r="I1192" s="66"/>
      <c r="J1192" s="66"/>
      <c r="K1192" s="66"/>
      <c r="L1192" s="66"/>
      <c r="M1192" s="66"/>
      <c r="N1192" s="66"/>
    </row>
    <row r="1193" spans="1:14" x14ac:dyDescent="0.2">
      <c r="A1193" s="84"/>
      <c r="B1193" s="84"/>
      <c r="C1193" s="60"/>
      <c r="D1193" s="66"/>
      <c r="E1193" s="66"/>
      <c r="F1193" s="66"/>
      <c r="G1193" s="66"/>
      <c r="H1193" s="66"/>
      <c r="I1193" s="66"/>
      <c r="J1193" s="66"/>
      <c r="K1193" s="66"/>
      <c r="L1193" s="66"/>
      <c r="M1193" s="66"/>
      <c r="N1193" s="66"/>
    </row>
    <row r="1194" spans="1:14" x14ac:dyDescent="0.2">
      <c r="A1194" s="84"/>
      <c r="B1194" s="84"/>
      <c r="C1194" s="60"/>
      <c r="D1194" s="66"/>
      <c r="E1194" s="66"/>
      <c r="F1194" s="66"/>
      <c r="G1194" s="66"/>
      <c r="H1194" s="66"/>
      <c r="I1194" s="66"/>
      <c r="J1194" s="66"/>
      <c r="K1194" s="66"/>
      <c r="L1194" s="66"/>
      <c r="M1194" s="66"/>
      <c r="N1194" s="66"/>
    </row>
    <row r="1195" spans="1:14" x14ac:dyDescent="0.2">
      <c r="A1195" s="84"/>
      <c r="B1195" s="84"/>
      <c r="C1195" s="60"/>
      <c r="D1195" s="66"/>
      <c r="E1195" s="66"/>
      <c r="F1195" s="66"/>
      <c r="G1195" s="66"/>
      <c r="H1195" s="66"/>
      <c r="I1195" s="66"/>
      <c r="J1195" s="66"/>
      <c r="K1195" s="66"/>
      <c r="L1195" s="66"/>
      <c r="M1195" s="66"/>
      <c r="N1195" s="66"/>
    </row>
    <row r="1196" spans="1:14" x14ac:dyDescent="0.2">
      <c r="A1196" s="84"/>
      <c r="B1196" s="84"/>
      <c r="C1196" s="60"/>
      <c r="D1196" s="66"/>
      <c r="E1196" s="66"/>
      <c r="F1196" s="66"/>
      <c r="G1196" s="66"/>
      <c r="H1196" s="66"/>
      <c r="I1196" s="66"/>
      <c r="J1196" s="66"/>
      <c r="K1196" s="66"/>
      <c r="L1196" s="66"/>
      <c r="M1196" s="66"/>
      <c r="N1196" s="66"/>
    </row>
    <row r="1197" spans="1:14" x14ac:dyDescent="0.2">
      <c r="A1197" s="84"/>
      <c r="B1197" s="84"/>
      <c r="C1197" s="60"/>
      <c r="D1197" s="66"/>
      <c r="E1197" s="66"/>
      <c r="F1197" s="66"/>
      <c r="G1197" s="66"/>
      <c r="H1197" s="66"/>
      <c r="I1197" s="66"/>
      <c r="J1197" s="66"/>
      <c r="K1197" s="66"/>
      <c r="L1197" s="66"/>
      <c r="M1197" s="66"/>
      <c r="N1197" s="66"/>
    </row>
    <row r="1198" spans="1:14" x14ac:dyDescent="0.2">
      <c r="A1198" s="84"/>
      <c r="B1198" s="84"/>
      <c r="C1198" s="60"/>
      <c r="D1198" s="66"/>
      <c r="E1198" s="66"/>
      <c r="F1198" s="66"/>
      <c r="G1198" s="66"/>
      <c r="H1198" s="66"/>
      <c r="I1198" s="66"/>
      <c r="J1198" s="66"/>
      <c r="K1198" s="66"/>
      <c r="L1198" s="66"/>
      <c r="M1198" s="66"/>
      <c r="N1198" s="66"/>
    </row>
    <row r="1199" spans="1:14" x14ac:dyDescent="0.2">
      <c r="A1199" s="84"/>
      <c r="B1199" s="84"/>
      <c r="C1199" s="60"/>
      <c r="D1199" s="66"/>
      <c r="E1199" s="66"/>
      <c r="F1199" s="66"/>
      <c r="G1199" s="66"/>
      <c r="H1199" s="66"/>
      <c r="I1199" s="66"/>
      <c r="J1199" s="66"/>
      <c r="K1199" s="66"/>
      <c r="L1199" s="66"/>
      <c r="M1199" s="66"/>
      <c r="N1199" s="66"/>
    </row>
    <row r="1200" spans="1:14" x14ac:dyDescent="0.2">
      <c r="A1200" s="84"/>
      <c r="B1200" s="84"/>
      <c r="C1200" s="60"/>
      <c r="D1200" s="66"/>
      <c r="E1200" s="66"/>
      <c r="F1200" s="66"/>
      <c r="G1200" s="66"/>
      <c r="H1200" s="66"/>
      <c r="I1200" s="66"/>
      <c r="J1200" s="66"/>
      <c r="K1200" s="66"/>
      <c r="L1200" s="66"/>
      <c r="M1200" s="66"/>
      <c r="N1200" s="66"/>
    </row>
    <row r="1201" spans="1:14" x14ac:dyDescent="0.2">
      <c r="A1201" s="84"/>
      <c r="B1201" s="84"/>
      <c r="C1201" s="60"/>
      <c r="D1201" s="66"/>
      <c r="E1201" s="66"/>
      <c r="F1201" s="66"/>
      <c r="G1201" s="66"/>
      <c r="H1201" s="66"/>
      <c r="I1201" s="66"/>
      <c r="J1201" s="66"/>
      <c r="K1201" s="66"/>
      <c r="L1201" s="66"/>
      <c r="M1201" s="66"/>
      <c r="N1201" s="66"/>
    </row>
    <row r="1202" spans="1:14" x14ac:dyDescent="0.2">
      <c r="A1202" s="84"/>
      <c r="B1202" s="84"/>
      <c r="C1202" s="60"/>
      <c r="D1202" s="66"/>
      <c r="E1202" s="66"/>
      <c r="F1202" s="66"/>
      <c r="G1202" s="66"/>
      <c r="H1202" s="66"/>
      <c r="I1202" s="66"/>
      <c r="J1202" s="66"/>
      <c r="K1202" s="66"/>
      <c r="L1202" s="66"/>
      <c r="M1202" s="66"/>
      <c r="N1202" s="66"/>
    </row>
    <row r="1203" spans="1:14" x14ac:dyDescent="0.2">
      <c r="A1203" s="84"/>
      <c r="B1203" s="84"/>
      <c r="C1203" s="60"/>
      <c r="D1203" s="66"/>
      <c r="E1203" s="66"/>
      <c r="F1203" s="66"/>
      <c r="G1203" s="66"/>
      <c r="H1203" s="66"/>
      <c r="I1203" s="66"/>
      <c r="J1203" s="66"/>
      <c r="K1203" s="66"/>
      <c r="L1203" s="66"/>
      <c r="M1203" s="66"/>
      <c r="N1203" s="66"/>
    </row>
    <row r="1204" spans="1:14" x14ac:dyDescent="0.2">
      <c r="A1204" s="84"/>
      <c r="B1204" s="84"/>
      <c r="C1204" s="60"/>
      <c r="D1204" s="66"/>
      <c r="E1204" s="66"/>
      <c r="F1204" s="66"/>
      <c r="G1204" s="66"/>
      <c r="H1204" s="66"/>
      <c r="I1204" s="66"/>
      <c r="J1204" s="66"/>
      <c r="K1204" s="66"/>
      <c r="L1204" s="66"/>
      <c r="M1204" s="66"/>
      <c r="N1204" s="66"/>
    </row>
    <row r="1205" spans="1:14" x14ac:dyDescent="0.2">
      <c r="A1205" s="84"/>
      <c r="B1205" s="84"/>
      <c r="C1205" s="60"/>
      <c r="D1205" s="66"/>
      <c r="E1205" s="66"/>
      <c r="F1205" s="66"/>
      <c r="G1205" s="66"/>
      <c r="H1205" s="66"/>
      <c r="I1205" s="66"/>
      <c r="J1205" s="66"/>
      <c r="K1205" s="66"/>
      <c r="L1205" s="66"/>
      <c r="M1205" s="66"/>
      <c r="N1205" s="66"/>
    </row>
    <row r="1206" spans="1:14" x14ac:dyDescent="0.2">
      <c r="A1206" s="84"/>
      <c r="B1206" s="84"/>
      <c r="C1206" s="60"/>
      <c r="D1206" s="66"/>
      <c r="E1206" s="66"/>
      <c r="F1206" s="66"/>
      <c r="G1206" s="66"/>
      <c r="H1206" s="66"/>
      <c r="I1206" s="66"/>
      <c r="J1206" s="66"/>
      <c r="K1206" s="66"/>
      <c r="L1206" s="66"/>
      <c r="M1206" s="66"/>
      <c r="N1206" s="66"/>
    </row>
    <row r="1207" spans="1:14" x14ac:dyDescent="0.2">
      <c r="A1207" s="84"/>
      <c r="B1207" s="84"/>
      <c r="C1207" s="60"/>
      <c r="D1207" s="66"/>
      <c r="E1207" s="66"/>
      <c r="F1207" s="66"/>
      <c r="G1207" s="66"/>
      <c r="H1207" s="66"/>
      <c r="I1207" s="66"/>
      <c r="J1207" s="66"/>
      <c r="K1207" s="66"/>
      <c r="L1207" s="66"/>
      <c r="M1207" s="66"/>
      <c r="N1207" s="66"/>
    </row>
    <row r="1208" spans="1:14" x14ac:dyDescent="0.2">
      <c r="A1208" s="84"/>
      <c r="B1208" s="84"/>
      <c r="C1208" s="60"/>
      <c r="D1208" s="66"/>
      <c r="E1208" s="66"/>
      <c r="F1208" s="66"/>
      <c r="G1208" s="66"/>
      <c r="H1208" s="66"/>
      <c r="I1208" s="66"/>
      <c r="J1208" s="66"/>
      <c r="K1208" s="66"/>
      <c r="L1208" s="66"/>
      <c r="M1208" s="66"/>
      <c r="N1208" s="66"/>
    </row>
    <row r="1209" spans="1:14" x14ac:dyDescent="0.2">
      <c r="A1209" s="84"/>
      <c r="B1209" s="84"/>
      <c r="C1209" s="60"/>
      <c r="D1209" s="66"/>
      <c r="E1209" s="66"/>
      <c r="F1209" s="66"/>
      <c r="G1209" s="66"/>
      <c r="H1209" s="66"/>
      <c r="I1209" s="66"/>
      <c r="J1209" s="66"/>
      <c r="K1209" s="66"/>
      <c r="L1209" s="66"/>
      <c r="M1209" s="66"/>
      <c r="N1209" s="66"/>
    </row>
    <row r="1210" spans="1:14" x14ac:dyDescent="0.2">
      <c r="A1210" s="84"/>
      <c r="B1210" s="84"/>
      <c r="C1210" s="60"/>
      <c r="D1210" s="66"/>
      <c r="E1210" s="66"/>
      <c r="F1210" s="66"/>
      <c r="G1210" s="66"/>
      <c r="H1210" s="66"/>
      <c r="I1210" s="66"/>
      <c r="J1210" s="66"/>
      <c r="K1210" s="66"/>
      <c r="L1210" s="66"/>
      <c r="M1210" s="66"/>
      <c r="N1210" s="66"/>
    </row>
    <row r="1211" spans="1:14" x14ac:dyDescent="0.2">
      <c r="A1211" s="84"/>
      <c r="B1211" s="84"/>
      <c r="C1211" s="60"/>
      <c r="D1211" s="66"/>
      <c r="E1211" s="66"/>
      <c r="F1211" s="66"/>
      <c r="G1211" s="66"/>
      <c r="H1211" s="66"/>
      <c r="I1211" s="66"/>
      <c r="J1211" s="66"/>
      <c r="K1211" s="66"/>
      <c r="L1211" s="66"/>
      <c r="M1211" s="66"/>
      <c r="N1211" s="66"/>
    </row>
    <row r="1212" spans="1:14" x14ac:dyDescent="0.2">
      <c r="A1212" s="84"/>
      <c r="B1212" s="84"/>
      <c r="C1212" s="60"/>
      <c r="D1212" s="66"/>
      <c r="E1212" s="66"/>
      <c r="F1212" s="66"/>
      <c r="G1212" s="66"/>
      <c r="H1212" s="66"/>
      <c r="I1212" s="66"/>
      <c r="J1212" s="66"/>
      <c r="K1212" s="66"/>
      <c r="L1212" s="66"/>
      <c r="M1212" s="66"/>
      <c r="N1212" s="66"/>
    </row>
    <row r="1213" spans="1:14" x14ac:dyDescent="0.2">
      <c r="A1213" s="84"/>
      <c r="B1213" s="84"/>
      <c r="C1213" s="60"/>
      <c r="D1213" s="66"/>
      <c r="E1213" s="66"/>
      <c r="F1213" s="66"/>
      <c r="G1213" s="66"/>
      <c r="H1213" s="66"/>
      <c r="I1213" s="66"/>
      <c r="J1213" s="66"/>
      <c r="K1213" s="66"/>
      <c r="L1213" s="66"/>
      <c r="M1213" s="66"/>
      <c r="N1213" s="66"/>
    </row>
    <row r="1214" spans="1:14" x14ac:dyDescent="0.2">
      <c r="A1214" s="84"/>
      <c r="B1214" s="84"/>
      <c r="C1214" s="60"/>
      <c r="D1214" s="66"/>
      <c r="E1214" s="66"/>
      <c r="F1214" s="66"/>
      <c r="G1214" s="66"/>
      <c r="H1214" s="66"/>
      <c r="I1214" s="66"/>
      <c r="J1214" s="66"/>
      <c r="K1214" s="66"/>
      <c r="L1214" s="66"/>
      <c r="M1214" s="66"/>
      <c r="N1214" s="66"/>
    </row>
    <row r="1215" spans="1:14" x14ac:dyDescent="0.2">
      <c r="A1215" s="84"/>
      <c r="B1215" s="84"/>
      <c r="C1215" s="60"/>
      <c r="D1215" s="66"/>
      <c r="E1215" s="66"/>
      <c r="F1215" s="66"/>
      <c r="G1215" s="66"/>
      <c r="H1215" s="66"/>
      <c r="I1215" s="66"/>
      <c r="J1215" s="66"/>
      <c r="K1215" s="66"/>
      <c r="L1215" s="66"/>
      <c r="M1215" s="66"/>
      <c r="N1215" s="66"/>
    </row>
    <row r="1216" spans="1:14" x14ac:dyDescent="0.2">
      <c r="A1216" s="84"/>
      <c r="B1216" s="84"/>
      <c r="C1216" s="60"/>
      <c r="D1216" s="66"/>
      <c r="E1216" s="66"/>
      <c r="F1216" s="66"/>
      <c r="G1216" s="66"/>
      <c r="H1216" s="66"/>
      <c r="I1216" s="66"/>
      <c r="J1216" s="66"/>
      <c r="K1216" s="66"/>
      <c r="L1216" s="66"/>
      <c r="M1216" s="66"/>
      <c r="N1216" s="66"/>
    </row>
    <row r="1217" spans="1:14" x14ac:dyDescent="0.2">
      <c r="A1217" s="84"/>
      <c r="B1217" s="84"/>
      <c r="C1217" s="60"/>
      <c r="D1217" s="66"/>
      <c r="E1217" s="66"/>
      <c r="F1217" s="66"/>
      <c r="G1217" s="66"/>
      <c r="H1217" s="66"/>
      <c r="I1217" s="66"/>
      <c r="J1217" s="66"/>
      <c r="K1217" s="66"/>
      <c r="L1217" s="66"/>
      <c r="M1217" s="66"/>
      <c r="N1217" s="66"/>
    </row>
    <row r="1218" spans="1:14" x14ac:dyDescent="0.2">
      <c r="A1218" s="84"/>
      <c r="B1218" s="84"/>
      <c r="C1218" s="60"/>
      <c r="D1218" s="66"/>
      <c r="E1218" s="66"/>
      <c r="F1218" s="66"/>
      <c r="G1218" s="66"/>
      <c r="H1218" s="66"/>
      <c r="I1218" s="66"/>
      <c r="J1218" s="66"/>
      <c r="K1218" s="66"/>
      <c r="L1218" s="66"/>
      <c r="M1218" s="66"/>
      <c r="N1218" s="66"/>
    </row>
    <row r="1219" spans="1:14" x14ac:dyDescent="0.2">
      <c r="A1219" s="84"/>
      <c r="B1219" s="84"/>
      <c r="C1219" s="60"/>
      <c r="D1219" s="66"/>
      <c r="E1219" s="66"/>
      <c r="F1219" s="66"/>
      <c r="G1219" s="66"/>
      <c r="H1219" s="66"/>
      <c r="I1219" s="66"/>
      <c r="J1219" s="66"/>
      <c r="K1219" s="66"/>
      <c r="L1219" s="66"/>
      <c r="M1219" s="66"/>
      <c r="N1219" s="66"/>
    </row>
    <row r="1220" spans="1:14" x14ac:dyDescent="0.2">
      <c r="A1220" s="84"/>
      <c r="B1220" s="84"/>
      <c r="C1220" s="60"/>
      <c r="D1220" s="66"/>
      <c r="E1220" s="66"/>
      <c r="F1220" s="66"/>
      <c r="G1220" s="66"/>
      <c r="H1220" s="66"/>
      <c r="I1220" s="66"/>
      <c r="J1220" s="66"/>
      <c r="K1220" s="66"/>
      <c r="L1220" s="66"/>
      <c r="M1220" s="66"/>
      <c r="N1220" s="66"/>
    </row>
    <row r="1221" spans="1:14" x14ac:dyDescent="0.2">
      <c r="A1221" s="84"/>
      <c r="B1221" s="84"/>
      <c r="C1221" s="60"/>
      <c r="D1221" s="66"/>
      <c r="E1221" s="66"/>
      <c r="F1221" s="66"/>
      <c r="G1221" s="66"/>
      <c r="H1221" s="66"/>
      <c r="I1221" s="66"/>
      <c r="J1221" s="66"/>
      <c r="K1221" s="66"/>
      <c r="L1221" s="66"/>
      <c r="M1221" s="66"/>
      <c r="N1221" s="66"/>
    </row>
    <row r="1222" spans="1:14" x14ac:dyDescent="0.2">
      <c r="A1222" s="84"/>
      <c r="B1222" s="84"/>
      <c r="C1222" s="60"/>
      <c r="D1222" s="66"/>
      <c r="E1222" s="66"/>
      <c r="F1222" s="66"/>
      <c r="G1222" s="66"/>
      <c r="H1222" s="66"/>
      <c r="I1222" s="66"/>
      <c r="J1222" s="66"/>
      <c r="K1222" s="66"/>
      <c r="L1222" s="66"/>
      <c r="M1222" s="66"/>
      <c r="N1222" s="66"/>
    </row>
    <row r="1223" spans="1:14" x14ac:dyDescent="0.2">
      <c r="A1223" s="84"/>
      <c r="B1223" s="84"/>
      <c r="C1223" s="60"/>
      <c r="D1223" s="66"/>
      <c r="E1223" s="66"/>
      <c r="F1223" s="66"/>
      <c r="G1223" s="66"/>
      <c r="H1223" s="66"/>
      <c r="I1223" s="66"/>
      <c r="J1223" s="66"/>
      <c r="K1223" s="66"/>
      <c r="L1223" s="66"/>
      <c r="M1223" s="66"/>
      <c r="N1223" s="66"/>
    </row>
    <row r="1224" spans="1:14" x14ac:dyDescent="0.2">
      <c r="A1224" s="84"/>
      <c r="B1224" s="84"/>
      <c r="C1224" s="60"/>
      <c r="D1224" s="66"/>
      <c r="E1224" s="66"/>
      <c r="F1224" s="66"/>
      <c r="G1224" s="66"/>
      <c r="H1224" s="66"/>
      <c r="I1224" s="66"/>
      <c r="J1224" s="66"/>
      <c r="K1224" s="66"/>
      <c r="L1224" s="66"/>
      <c r="M1224" s="66"/>
      <c r="N1224" s="66"/>
    </row>
    <row r="1225" spans="1:14" x14ac:dyDescent="0.2">
      <c r="A1225" s="84"/>
      <c r="B1225" s="84"/>
      <c r="C1225" s="60"/>
      <c r="D1225" s="66"/>
      <c r="E1225" s="66"/>
      <c r="F1225" s="66"/>
      <c r="G1225" s="66"/>
      <c r="H1225" s="66"/>
      <c r="I1225" s="66"/>
      <c r="J1225" s="66"/>
      <c r="K1225" s="66"/>
      <c r="L1225" s="66"/>
      <c r="M1225" s="66"/>
      <c r="N1225" s="66"/>
    </row>
    <row r="1226" spans="1:14" x14ac:dyDescent="0.2">
      <c r="A1226" s="84"/>
      <c r="B1226" s="84"/>
      <c r="C1226" s="60"/>
      <c r="D1226" s="66"/>
      <c r="E1226" s="66"/>
      <c r="F1226" s="66"/>
      <c r="G1226" s="66"/>
      <c r="H1226" s="66"/>
      <c r="I1226" s="66"/>
      <c r="J1226" s="66"/>
      <c r="K1226" s="66"/>
      <c r="L1226" s="66"/>
      <c r="M1226" s="66"/>
      <c r="N1226" s="66"/>
    </row>
    <row r="1227" spans="1:14" x14ac:dyDescent="0.2">
      <c r="A1227" s="84"/>
      <c r="B1227" s="84"/>
      <c r="C1227" s="60"/>
      <c r="D1227" s="66"/>
      <c r="E1227" s="66"/>
      <c r="F1227" s="66"/>
      <c r="G1227" s="66"/>
      <c r="H1227" s="66"/>
      <c r="I1227" s="66"/>
      <c r="J1227" s="66"/>
      <c r="K1227" s="66"/>
      <c r="L1227" s="66"/>
      <c r="M1227" s="66"/>
      <c r="N1227" s="66"/>
    </row>
    <row r="1228" spans="1:14" x14ac:dyDescent="0.2">
      <c r="A1228" s="84"/>
      <c r="B1228" s="84"/>
      <c r="C1228" s="60"/>
      <c r="D1228" s="66"/>
      <c r="E1228" s="66"/>
      <c r="F1228" s="66"/>
      <c r="G1228" s="66"/>
      <c r="H1228" s="66"/>
      <c r="I1228" s="66"/>
      <c r="J1228" s="66"/>
      <c r="K1228" s="66"/>
      <c r="L1228" s="66"/>
      <c r="M1228" s="66"/>
      <c r="N1228" s="66"/>
    </row>
    <row r="1229" spans="1:14" x14ac:dyDescent="0.2">
      <c r="A1229" s="84"/>
      <c r="B1229" s="84"/>
      <c r="C1229" s="60"/>
      <c r="D1229" s="66"/>
      <c r="E1229" s="66"/>
      <c r="F1229" s="66"/>
      <c r="G1229" s="66"/>
      <c r="H1229" s="66"/>
      <c r="I1229" s="66"/>
      <c r="J1229" s="66"/>
      <c r="K1229" s="66"/>
      <c r="L1229" s="66"/>
      <c r="M1229" s="66"/>
      <c r="N1229" s="66"/>
    </row>
    <row r="1230" spans="1:14" x14ac:dyDescent="0.2">
      <c r="A1230" s="84"/>
      <c r="B1230" s="84"/>
      <c r="C1230" s="60"/>
      <c r="D1230" s="66"/>
      <c r="E1230" s="66"/>
      <c r="F1230" s="66"/>
      <c r="G1230" s="66"/>
      <c r="H1230" s="66"/>
      <c r="I1230" s="66"/>
      <c r="J1230" s="66"/>
      <c r="K1230" s="66"/>
      <c r="L1230" s="66"/>
      <c r="M1230" s="66"/>
      <c r="N1230" s="66"/>
    </row>
    <row r="1231" spans="1:14" x14ac:dyDescent="0.2">
      <c r="A1231" s="84"/>
      <c r="B1231" s="84"/>
      <c r="C1231" s="60"/>
      <c r="D1231" s="66"/>
      <c r="E1231" s="66"/>
      <c r="F1231" s="66"/>
      <c r="G1231" s="66"/>
      <c r="H1231" s="66"/>
      <c r="I1231" s="66"/>
      <c r="J1231" s="66"/>
      <c r="K1231" s="66"/>
      <c r="L1231" s="66"/>
      <c r="M1231" s="66"/>
      <c r="N1231" s="66"/>
    </row>
    <row r="1232" spans="1:14" x14ac:dyDescent="0.2">
      <c r="A1232" s="84"/>
      <c r="B1232" s="84"/>
      <c r="C1232" s="60"/>
      <c r="D1232" s="66"/>
      <c r="E1232" s="66"/>
      <c r="F1232" s="66"/>
      <c r="G1232" s="66"/>
      <c r="H1232" s="66"/>
      <c r="I1232" s="66"/>
      <c r="J1232" s="66"/>
      <c r="K1232" s="66"/>
      <c r="L1232" s="66"/>
      <c r="M1232" s="66"/>
      <c r="N1232" s="66"/>
    </row>
    <row r="1233" spans="1:14" x14ac:dyDescent="0.2">
      <c r="A1233" s="84"/>
      <c r="B1233" s="84"/>
      <c r="C1233" s="60"/>
      <c r="D1233" s="66"/>
      <c r="E1233" s="66"/>
      <c r="F1233" s="66"/>
      <c r="G1233" s="66"/>
      <c r="H1233" s="66"/>
      <c r="I1233" s="66"/>
      <c r="J1233" s="66"/>
      <c r="K1233" s="66"/>
      <c r="L1233" s="66"/>
      <c r="M1233" s="66"/>
      <c r="N1233" s="66"/>
    </row>
    <row r="1234" spans="1:14" x14ac:dyDescent="0.2">
      <c r="A1234" s="84"/>
      <c r="B1234" s="84"/>
      <c r="C1234" s="60"/>
      <c r="D1234" s="66"/>
      <c r="E1234" s="66"/>
      <c r="F1234" s="66"/>
      <c r="G1234" s="66"/>
      <c r="H1234" s="66"/>
      <c r="I1234" s="66"/>
      <c r="J1234" s="66"/>
      <c r="K1234" s="66"/>
      <c r="L1234" s="66"/>
      <c r="M1234" s="66"/>
      <c r="N1234" s="66"/>
    </row>
    <row r="1235" spans="1:14" x14ac:dyDescent="0.2">
      <c r="A1235" s="84"/>
      <c r="B1235" s="84"/>
      <c r="C1235" s="60"/>
      <c r="D1235" s="66"/>
      <c r="E1235" s="66"/>
      <c r="F1235" s="66"/>
      <c r="G1235" s="66"/>
      <c r="H1235" s="66"/>
      <c r="I1235" s="66"/>
      <c r="J1235" s="66"/>
      <c r="K1235" s="66"/>
      <c r="L1235" s="66"/>
      <c r="M1235" s="66"/>
      <c r="N1235" s="66"/>
    </row>
    <row r="1236" spans="1:14" x14ac:dyDescent="0.2">
      <c r="A1236" s="84"/>
      <c r="B1236" s="84"/>
      <c r="C1236" s="60"/>
      <c r="D1236" s="66"/>
      <c r="E1236" s="66"/>
      <c r="F1236" s="66"/>
      <c r="G1236" s="66"/>
      <c r="H1236" s="66"/>
      <c r="I1236" s="66"/>
      <c r="J1236" s="66"/>
      <c r="K1236" s="66"/>
      <c r="L1236" s="66"/>
      <c r="M1236" s="66"/>
      <c r="N1236" s="66"/>
    </row>
    <row r="1237" spans="1:14" x14ac:dyDescent="0.2">
      <c r="A1237" s="84"/>
      <c r="B1237" s="84"/>
      <c r="C1237" s="60"/>
      <c r="D1237" s="66"/>
      <c r="E1237" s="66"/>
      <c r="F1237" s="66"/>
      <c r="G1237" s="66"/>
      <c r="H1237" s="66"/>
      <c r="I1237" s="66"/>
      <c r="J1237" s="66"/>
      <c r="K1237" s="66"/>
      <c r="L1237" s="66"/>
      <c r="M1237" s="66"/>
      <c r="N1237" s="66"/>
    </row>
    <row r="1238" spans="1:14" x14ac:dyDescent="0.2">
      <c r="A1238" s="84"/>
      <c r="B1238" s="84"/>
      <c r="C1238" s="60"/>
      <c r="D1238" s="66"/>
      <c r="E1238" s="66"/>
      <c r="F1238" s="66"/>
      <c r="G1238" s="66"/>
      <c r="H1238" s="66"/>
      <c r="I1238" s="66"/>
      <c r="J1238" s="66"/>
      <c r="K1238" s="66"/>
      <c r="L1238" s="66"/>
      <c r="M1238" s="66"/>
      <c r="N1238" s="66"/>
    </row>
    <row r="1239" spans="1:14" x14ac:dyDescent="0.2">
      <c r="A1239" s="84"/>
      <c r="B1239" s="84"/>
      <c r="C1239" s="60"/>
      <c r="D1239" s="66"/>
      <c r="E1239" s="66"/>
      <c r="F1239" s="66"/>
      <c r="G1239" s="66"/>
      <c r="H1239" s="66"/>
      <c r="I1239" s="66"/>
      <c r="J1239" s="66"/>
      <c r="K1239" s="66"/>
      <c r="L1239" s="66"/>
      <c r="M1239" s="66"/>
      <c r="N1239" s="66"/>
    </row>
    <row r="1240" spans="1:14" x14ac:dyDescent="0.2">
      <c r="A1240" s="84"/>
      <c r="B1240" s="84"/>
      <c r="C1240" s="60"/>
      <c r="D1240" s="66"/>
      <c r="E1240" s="66"/>
      <c r="F1240" s="66"/>
      <c r="G1240" s="66"/>
      <c r="H1240" s="66"/>
      <c r="I1240" s="66"/>
      <c r="J1240" s="66"/>
      <c r="K1240" s="66"/>
      <c r="L1240" s="66"/>
      <c r="M1240" s="66"/>
      <c r="N1240" s="66"/>
    </row>
    <row r="1241" spans="1:14" x14ac:dyDescent="0.2">
      <c r="A1241" s="84"/>
      <c r="B1241" s="84"/>
      <c r="C1241" s="60"/>
      <c r="D1241" s="66"/>
      <c r="E1241" s="66"/>
      <c r="F1241" s="66"/>
      <c r="G1241" s="66"/>
      <c r="H1241" s="66"/>
      <c r="I1241" s="66"/>
      <c r="J1241" s="66"/>
      <c r="K1241" s="66"/>
      <c r="L1241" s="66"/>
      <c r="M1241" s="66"/>
      <c r="N1241" s="66"/>
    </row>
    <row r="1242" spans="1:14" x14ac:dyDescent="0.2">
      <c r="A1242" s="84"/>
      <c r="B1242" s="84"/>
      <c r="C1242" s="60"/>
      <c r="D1242" s="66"/>
      <c r="E1242" s="66"/>
      <c r="F1242" s="66"/>
      <c r="G1242" s="66"/>
      <c r="H1242" s="66"/>
      <c r="I1242" s="66"/>
      <c r="J1242" s="66"/>
      <c r="K1242" s="66"/>
      <c r="L1242" s="66"/>
      <c r="M1242" s="66"/>
      <c r="N1242" s="66"/>
    </row>
    <row r="1243" spans="1:14" x14ac:dyDescent="0.2">
      <c r="A1243" s="84"/>
      <c r="B1243" s="84"/>
      <c r="C1243" s="60"/>
      <c r="D1243" s="66"/>
      <c r="E1243" s="66"/>
      <c r="F1243" s="66"/>
      <c r="G1243" s="66"/>
      <c r="H1243" s="66"/>
      <c r="I1243" s="66"/>
      <c r="J1243" s="66"/>
      <c r="K1243" s="66"/>
      <c r="L1243" s="66"/>
      <c r="M1243" s="66"/>
      <c r="N1243" s="66"/>
    </row>
    <row r="1244" spans="1:14" x14ac:dyDescent="0.2">
      <c r="A1244" s="84"/>
      <c r="B1244" s="84"/>
      <c r="C1244" s="60"/>
      <c r="D1244" s="66"/>
      <c r="E1244" s="66"/>
      <c r="F1244" s="66"/>
      <c r="G1244" s="66"/>
      <c r="H1244" s="66"/>
      <c r="I1244" s="66"/>
      <c r="J1244" s="66"/>
      <c r="K1244" s="66"/>
      <c r="L1244" s="66"/>
      <c r="M1244" s="66"/>
      <c r="N1244" s="66"/>
    </row>
    <row r="1245" spans="1:14" x14ac:dyDescent="0.2">
      <c r="A1245" s="84"/>
      <c r="B1245" s="84"/>
      <c r="C1245" s="60"/>
      <c r="D1245" s="66"/>
      <c r="E1245" s="66"/>
      <c r="F1245" s="66"/>
      <c r="G1245" s="66"/>
      <c r="H1245" s="66"/>
      <c r="I1245" s="66"/>
      <c r="J1245" s="66"/>
      <c r="K1245" s="66"/>
      <c r="L1245" s="66"/>
      <c r="M1245" s="66"/>
      <c r="N1245" s="66"/>
    </row>
    <row r="1246" spans="1:14" x14ac:dyDescent="0.2">
      <c r="A1246" s="84"/>
      <c r="B1246" s="84"/>
      <c r="C1246" s="60"/>
      <c r="D1246" s="66"/>
      <c r="E1246" s="66"/>
      <c r="F1246" s="66"/>
      <c r="G1246" s="66"/>
      <c r="H1246" s="66"/>
      <c r="I1246" s="66"/>
      <c r="J1246" s="66"/>
      <c r="K1246" s="66"/>
      <c r="L1246" s="66"/>
      <c r="M1246" s="66"/>
      <c r="N1246" s="66"/>
    </row>
    <row r="1247" spans="1:14" x14ac:dyDescent="0.2">
      <c r="A1247" s="84"/>
      <c r="B1247" s="84"/>
      <c r="C1247" s="60"/>
      <c r="D1247" s="66"/>
      <c r="E1247" s="66"/>
      <c r="F1247" s="66"/>
      <c r="G1247" s="66"/>
      <c r="H1247" s="66"/>
      <c r="I1247" s="66"/>
      <c r="J1247" s="66"/>
      <c r="K1247" s="66"/>
      <c r="L1247" s="66"/>
      <c r="M1247" s="66"/>
      <c r="N1247" s="66"/>
    </row>
    <row r="1248" spans="1:14" x14ac:dyDescent="0.2">
      <c r="A1248" s="84"/>
      <c r="B1248" s="84"/>
      <c r="C1248" s="60"/>
      <c r="D1248" s="66"/>
      <c r="E1248" s="66"/>
      <c r="F1248" s="66"/>
      <c r="G1248" s="66"/>
      <c r="H1248" s="66"/>
      <c r="I1248" s="66"/>
      <c r="J1248" s="66"/>
      <c r="K1248" s="66"/>
      <c r="L1248" s="66"/>
      <c r="M1248" s="66"/>
      <c r="N1248" s="66"/>
    </row>
    <row r="1249" spans="1:14" x14ac:dyDescent="0.2">
      <c r="A1249" s="84"/>
      <c r="B1249" s="84"/>
      <c r="C1249" s="60"/>
      <c r="D1249" s="66"/>
      <c r="E1249" s="66"/>
      <c r="F1249" s="66"/>
      <c r="G1249" s="66"/>
      <c r="H1249" s="66"/>
      <c r="I1249" s="66"/>
      <c r="J1249" s="66"/>
      <c r="K1249" s="66"/>
      <c r="L1249" s="66"/>
      <c r="M1249" s="66"/>
      <c r="N1249" s="66"/>
    </row>
    <row r="1250" spans="1:14" x14ac:dyDescent="0.2">
      <c r="A1250" s="84"/>
      <c r="B1250" s="84"/>
      <c r="C1250" s="60"/>
      <c r="D1250" s="66"/>
      <c r="E1250" s="66"/>
      <c r="F1250" s="66"/>
      <c r="G1250" s="66"/>
      <c r="H1250" s="66"/>
      <c r="I1250" s="66"/>
      <c r="J1250" s="66"/>
      <c r="K1250" s="66"/>
      <c r="L1250" s="66"/>
      <c r="M1250" s="66"/>
      <c r="N1250" s="66"/>
    </row>
    <row r="1251" spans="1:14" x14ac:dyDescent="0.2">
      <c r="A1251" s="84"/>
      <c r="B1251" s="84"/>
      <c r="C1251" s="60"/>
      <c r="D1251" s="66"/>
      <c r="E1251" s="66"/>
      <c r="F1251" s="66"/>
      <c r="G1251" s="66"/>
      <c r="H1251" s="66"/>
      <c r="I1251" s="66"/>
      <c r="J1251" s="66"/>
      <c r="K1251" s="66"/>
      <c r="L1251" s="66"/>
      <c r="M1251" s="66"/>
      <c r="N1251" s="66"/>
    </row>
    <row r="1252" spans="1:14" x14ac:dyDescent="0.2">
      <c r="A1252" s="84"/>
      <c r="B1252" s="84"/>
      <c r="C1252" s="60"/>
      <c r="D1252" s="66"/>
      <c r="E1252" s="66"/>
      <c r="F1252" s="66"/>
      <c r="G1252" s="66"/>
      <c r="H1252" s="66"/>
      <c r="I1252" s="66"/>
      <c r="J1252" s="66"/>
      <c r="K1252" s="66"/>
      <c r="L1252" s="66"/>
      <c r="M1252" s="66"/>
      <c r="N1252" s="66"/>
    </row>
    <row r="1253" spans="1:14" x14ac:dyDescent="0.2">
      <c r="A1253" s="84"/>
      <c r="B1253" s="84"/>
      <c r="C1253" s="60"/>
      <c r="D1253" s="66"/>
      <c r="E1253" s="66"/>
      <c r="F1253" s="66"/>
      <c r="G1253" s="66"/>
      <c r="H1253" s="66"/>
      <c r="I1253" s="66"/>
      <c r="J1253" s="66"/>
      <c r="K1253" s="66"/>
      <c r="L1253" s="66"/>
      <c r="M1253" s="66"/>
      <c r="N1253" s="66"/>
    </row>
  </sheetData>
  <pageMargins left="0.25" right="0.25" top="0.75" bottom="0.75" header="0.3" footer="0.3"/>
  <pageSetup scale="80" fitToHeight="0" orientation="landscape" r:id="rId1"/>
  <headerFooter>
    <oddFooter>&amp;LRev &amp;D&amp;C&amp;P</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1210"/>
  <sheetViews>
    <sheetView topLeftCell="A157" workbookViewId="0">
      <selection sqref="A1:N216"/>
    </sheetView>
  </sheetViews>
  <sheetFormatPr defaultColWidth="9" defaultRowHeight="12.75" x14ac:dyDescent="0.2"/>
  <cols>
    <col min="1" max="1" width="28.75" style="59" customWidth="1"/>
    <col min="2" max="2" width="9.5" style="60" customWidth="1"/>
    <col min="3" max="4" width="9" style="84" customWidth="1"/>
    <col min="5" max="16384" width="9" style="84"/>
  </cols>
  <sheetData>
    <row r="1" spans="1:15" s="58" customFormat="1" ht="13.5" thickBot="1" x14ac:dyDescent="0.25">
      <c r="A1" s="67" t="str">
        <f>CMS!A1</f>
        <v>Northwest Youth Services Budget - 2018 - APPROVED BY BOARD NOV 30, 2017</v>
      </c>
      <c r="B1" s="79"/>
      <c r="C1" s="67"/>
      <c r="D1" s="67"/>
      <c r="E1" s="67"/>
      <c r="F1" s="67"/>
      <c r="G1" s="67"/>
      <c r="H1" s="67"/>
      <c r="I1" s="67"/>
      <c r="J1" s="67"/>
      <c r="K1" s="67"/>
      <c r="L1" s="67"/>
      <c r="M1" s="67"/>
      <c r="N1" s="67"/>
    </row>
    <row r="2" spans="1:15" s="58" customFormat="1" x14ac:dyDescent="0.2">
      <c r="A2" s="80"/>
      <c r="B2" s="81"/>
    </row>
    <row r="3" spans="1:15" s="58" customFormat="1" x14ac:dyDescent="0.2">
      <c r="A3" s="81" t="s">
        <v>118</v>
      </c>
      <c r="B3" s="81"/>
    </row>
    <row r="5" spans="1:15" s="70" customFormat="1" ht="13.5" thickBot="1" x14ac:dyDescent="0.25">
      <c r="A5" s="82" t="s">
        <v>143</v>
      </c>
      <c r="B5" s="83" t="s">
        <v>144</v>
      </c>
      <c r="C5" s="83" t="str">
        <f>CMS!C5</f>
        <v>January</v>
      </c>
      <c r="D5" s="83" t="str">
        <f>CMS!D5</f>
        <v>February</v>
      </c>
      <c r="E5" s="83" t="str">
        <f>CMS!E5</f>
        <v>March</v>
      </c>
      <c r="F5" s="83" t="str">
        <f>CMS!F5</f>
        <v>April</v>
      </c>
      <c r="G5" s="83" t="str">
        <f>CMS!G5</f>
        <v>May</v>
      </c>
      <c r="H5" s="83" t="str">
        <f>CMS!H5</f>
        <v>June</v>
      </c>
      <c r="I5" s="83" t="str">
        <f>CMS!I5</f>
        <v>July</v>
      </c>
      <c r="J5" s="83" t="str">
        <f>CMS!J5</f>
        <v>August</v>
      </c>
      <c r="K5" s="83" t="str">
        <f>CMS!K5</f>
        <v>September</v>
      </c>
      <c r="L5" s="83" t="str">
        <f>CMS!L5</f>
        <v>October</v>
      </c>
      <c r="M5" s="83" t="str">
        <f>CMS!M5</f>
        <v>November</v>
      </c>
      <c r="N5" s="83" t="str">
        <f>CMS!N5</f>
        <v>December</v>
      </c>
    </row>
    <row r="6" spans="1:15" s="70" customFormat="1" x14ac:dyDescent="0.2">
      <c r="A6" s="28"/>
      <c r="B6" s="86"/>
      <c r="C6" s="86"/>
      <c r="D6" s="26"/>
      <c r="E6" s="26"/>
      <c r="F6" s="26"/>
      <c r="G6" s="26"/>
      <c r="H6" s="26"/>
      <c r="I6" s="26"/>
      <c r="J6" s="26"/>
      <c r="K6" s="26"/>
      <c r="L6" s="26"/>
      <c r="M6" s="26"/>
      <c r="N6" s="26"/>
    </row>
    <row r="7" spans="1:15" s="70" customFormat="1" x14ac:dyDescent="0.2">
      <c r="A7" s="58" t="s">
        <v>14</v>
      </c>
      <c r="B7" s="60"/>
      <c r="C7" s="60"/>
      <c r="D7" s="94"/>
      <c r="E7" s="94"/>
      <c r="F7" s="94"/>
      <c r="G7" s="94"/>
      <c r="H7" s="94"/>
      <c r="I7" s="94"/>
      <c r="J7" s="94"/>
      <c r="K7" s="94"/>
      <c r="L7" s="94"/>
      <c r="M7" s="94"/>
      <c r="N7" s="94"/>
    </row>
    <row r="8" spans="1:15" x14ac:dyDescent="0.2">
      <c r="A8" s="61" t="s">
        <v>380</v>
      </c>
      <c r="B8" s="63">
        <f>SUM(C8:N8)</f>
        <v>20000</v>
      </c>
      <c r="C8" s="62">
        <v>1667</v>
      </c>
      <c r="D8" s="62">
        <v>1667</v>
      </c>
      <c r="E8" s="62">
        <v>1667</v>
      </c>
      <c r="F8" s="62">
        <v>1667</v>
      </c>
      <c r="G8" s="62">
        <v>1667</v>
      </c>
      <c r="H8" s="62">
        <v>1667</v>
      </c>
      <c r="I8" s="62">
        <v>1667</v>
      </c>
      <c r="J8" s="62">
        <v>1667</v>
      </c>
      <c r="K8" s="62">
        <v>1667</v>
      </c>
      <c r="L8" s="62">
        <v>1667</v>
      </c>
      <c r="M8" s="62">
        <v>1667</v>
      </c>
      <c r="N8" s="62">
        <v>1663</v>
      </c>
      <c r="O8" s="140">
        <f>SUM(B8:B9)</f>
        <v>44300</v>
      </c>
    </row>
    <row r="9" spans="1:15" x14ac:dyDescent="0.2">
      <c r="A9" s="61" t="s">
        <v>335</v>
      </c>
      <c r="B9" s="63">
        <f>SUM(C9:N9)</f>
        <v>24300</v>
      </c>
      <c r="C9" s="62">
        <f>SUM(24300/12)</f>
        <v>2025</v>
      </c>
      <c r="D9" s="62">
        <f t="shared" ref="D9:N9" si="0">SUM(24300/12)</f>
        <v>2025</v>
      </c>
      <c r="E9" s="62">
        <f t="shared" si="0"/>
        <v>2025</v>
      </c>
      <c r="F9" s="62">
        <f t="shared" si="0"/>
        <v>2025</v>
      </c>
      <c r="G9" s="62">
        <f t="shared" si="0"/>
        <v>2025</v>
      </c>
      <c r="H9" s="62">
        <f t="shared" si="0"/>
        <v>2025</v>
      </c>
      <c r="I9" s="62">
        <f t="shared" si="0"/>
        <v>2025</v>
      </c>
      <c r="J9" s="62">
        <f t="shared" si="0"/>
        <v>2025</v>
      </c>
      <c r="K9" s="62">
        <f t="shared" si="0"/>
        <v>2025</v>
      </c>
      <c r="L9" s="62">
        <f t="shared" si="0"/>
        <v>2025</v>
      </c>
      <c r="M9" s="62">
        <f t="shared" si="0"/>
        <v>2025</v>
      </c>
      <c r="N9" s="62">
        <f t="shared" si="0"/>
        <v>2025</v>
      </c>
    </row>
    <row r="10" spans="1:15" hidden="1" x14ac:dyDescent="0.2">
      <c r="A10" s="61" t="s">
        <v>145</v>
      </c>
      <c r="B10" s="63">
        <f>SUM(C10:N10)</f>
        <v>0</v>
      </c>
      <c r="C10" s="63"/>
      <c r="D10" s="62"/>
      <c r="E10" s="62"/>
      <c r="F10" s="62"/>
      <c r="G10" s="62"/>
      <c r="H10" s="62"/>
      <c r="I10" s="62"/>
      <c r="J10" s="62"/>
      <c r="K10" s="62"/>
      <c r="L10" s="62"/>
      <c r="M10" s="62"/>
      <c r="N10" s="62"/>
    </row>
    <row r="11" spans="1:15" hidden="1" x14ac:dyDescent="0.2">
      <c r="A11" s="61" t="s">
        <v>145</v>
      </c>
      <c r="B11" s="63">
        <f t="shared" ref="B11:B44" si="1">SUM(C11:N11)</f>
        <v>0</v>
      </c>
      <c r="C11" s="63"/>
      <c r="D11" s="62"/>
      <c r="E11" s="62"/>
      <c r="F11" s="62"/>
      <c r="G11" s="62"/>
      <c r="H11" s="62"/>
      <c r="I11" s="62"/>
      <c r="J11" s="93"/>
      <c r="K11" s="93"/>
      <c r="L11" s="93"/>
      <c r="M11" s="93"/>
      <c r="N11" s="93"/>
    </row>
    <row r="12" spans="1:15" hidden="1" x14ac:dyDescent="0.2">
      <c r="A12" s="61" t="s">
        <v>145</v>
      </c>
      <c r="B12" s="63">
        <f t="shared" si="1"/>
        <v>0</v>
      </c>
      <c r="C12" s="63"/>
      <c r="D12" s="62"/>
      <c r="E12" s="62"/>
      <c r="F12" s="62"/>
      <c r="G12" s="62"/>
      <c r="H12" s="62"/>
      <c r="I12" s="62"/>
      <c r="J12" s="93"/>
      <c r="K12" s="93"/>
      <c r="L12" s="93"/>
      <c r="M12" s="93"/>
      <c r="N12" s="93"/>
    </row>
    <row r="13" spans="1:15" hidden="1" x14ac:dyDescent="0.2">
      <c r="A13" s="61" t="s">
        <v>145</v>
      </c>
      <c r="B13" s="63">
        <f t="shared" si="1"/>
        <v>0</v>
      </c>
      <c r="C13" s="63"/>
      <c r="D13" s="62"/>
      <c r="E13" s="62"/>
      <c r="F13" s="62"/>
      <c r="G13" s="62"/>
      <c r="H13" s="62"/>
      <c r="I13" s="62"/>
      <c r="J13" s="62"/>
      <c r="K13" s="62"/>
      <c r="L13" s="62"/>
      <c r="M13" s="62"/>
      <c r="N13" s="62"/>
    </row>
    <row r="14" spans="1:15" hidden="1" x14ac:dyDescent="0.2">
      <c r="A14" s="61" t="s">
        <v>145</v>
      </c>
      <c r="B14" s="63">
        <f t="shared" si="1"/>
        <v>0</v>
      </c>
      <c r="C14" s="63"/>
      <c r="D14" s="62"/>
      <c r="E14" s="62"/>
      <c r="F14" s="62"/>
      <c r="G14" s="62"/>
      <c r="H14" s="62"/>
      <c r="I14" s="62"/>
      <c r="J14" s="62"/>
      <c r="K14" s="62"/>
      <c r="L14" s="62"/>
      <c r="M14" s="62"/>
      <c r="N14" s="62"/>
    </row>
    <row r="15" spans="1:15" hidden="1" x14ac:dyDescent="0.2">
      <c r="A15" s="61" t="s">
        <v>145</v>
      </c>
      <c r="B15" s="63">
        <f t="shared" si="1"/>
        <v>0</v>
      </c>
      <c r="C15" s="63"/>
      <c r="D15" s="62"/>
      <c r="E15" s="62"/>
      <c r="F15" s="62"/>
      <c r="G15" s="62"/>
      <c r="H15" s="62"/>
      <c r="I15" s="62"/>
      <c r="J15" s="62"/>
      <c r="K15" s="62"/>
      <c r="L15" s="62"/>
      <c r="M15" s="62"/>
      <c r="N15" s="62"/>
    </row>
    <row r="16" spans="1:15" hidden="1" x14ac:dyDescent="0.2">
      <c r="A16" s="61" t="s">
        <v>145</v>
      </c>
      <c r="B16" s="63">
        <f t="shared" si="1"/>
        <v>0</v>
      </c>
      <c r="C16" s="63"/>
      <c r="D16" s="62"/>
      <c r="E16" s="62"/>
      <c r="F16" s="62"/>
      <c r="G16" s="62"/>
      <c r="H16" s="62"/>
      <c r="I16" s="62"/>
      <c r="J16" s="62"/>
      <c r="K16" s="62"/>
      <c r="L16" s="62"/>
      <c r="M16" s="62"/>
      <c r="N16" s="62"/>
    </row>
    <row r="17" spans="1:14" hidden="1" x14ac:dyDescent="0.2">
      <c r="A17" s="61" t="s">
        <v>145</v>
      </c>
      <c r="B17" s="63">
        <f t="shared" si="1"/>
        <v>0</v>
      </c>
      <c r="C17" s="63"/>
      <c r="D17" s="62"/>
      <c r="E17" s="62"/>
      <c r="F17" s="62"/>
      <c r="G17" s="62"/>
      <c r="H17" s="62"/>
      <c r="I17" s="62"/>
      <c r="J17" s="62"/>
      <c r="K17" s="62"/>
      <c r="L17" s="62"/>
      <c r="M17" s="62"/>
      <c r="N17" s="62"/>
    </row>
    <row r="18" spans="1:14" hidden="1" x14ac:dyDescent="0.2">
      <c r="A18" s="61" t="s">
        <v>145</v>
      </c>
      <c r="B18" s="63">
        <f t="shared" si="1"/>
        <v>0</v>
      </c>
      <c r="C18" s="63"/>
      <c r="D18" s="62"/>
      <c r="E18" s="62"/>
      <c r="F18" s="62"/>
      <c r="G18" s="62"/>
      <c r="H18" s="62"/>
      <c r="I18" s="62"/>
      <c r="J18" s="62"/>
      <c r="K18" s="62"/>
      <c r="L18" s="62"/>
      <c r="M18" s="62"/>
      <c r="N18" s="62"/>
    </row>
    <row r="19" spans="1:14" hidden="1" x14ac:dyDescent="0.2">
      <c r="A19" s="61" t="s">
        <v>145</v>
      </c>
      <c r="B19" s="63">
        <f t="shared" si="1"/>
        <v>0</v>
      </c>
      <c r="C19" s="63"/>
      <c r="D19" s="62"/>
      <c r="E19" s="62"/>
      <c r="F19" s="62"/>
      <c r="G19" s="62"/>
      <c r="H19" s="62"/>
      <c r="I19" s="62"/>
      <c r="J19" s="62"/>
      <c r="K19" s="62"/>
      <c r="L19" s="62"/>
      <c r="M19" s="62"/>
      <c r="N19" s="62"/>
    </row>
    <row r="20" spans="1:14" hidden="1" x14ac:dyDescent="0.2">
      <c r="A20" s="61" t="s">
        <v>145</v>
      </c>
      <c r="B20" s="63">
        <f t="shared" si="1"/>
        <v>0</v>
      </c>
      <c r="C20" s="63"/>
      <c r="D20" s="62"/>
      <c r="E20" s="62"/>
      <c r="F20" s="62"/>
      <c r="G20" s="62"/>
      <c r="H20" s="62"/>
      <c r="I20" s="62"/>
      <c r="J20" s="62"/>
      <c r="K20" s="62"/>
      <c r="L20" s="62"/>
      <c r="M20" s="62"/>
      <c r="N20" s="62"/>
    </row>
    <row r="21" spans="1:14" hidden="1" x14ac:dyDescent="0.2">
      <c r="A21" s="61" t="s">
        <v>145</v>
      </c>
      <c r="B21" s="63">
        <f t="shared" si="1"/>
        <v>0</v>
      </c>
      <c r="C21" s="63"/>
      <c r="D21" s="62"/>
      <c r="E21" s="62"/>
      <c r="F21" s="62"/>
      <c r="G21" s="62"/>
      <c r="H21" s="62"/>
      <c r="I21" s="62"/>
      <c r="J21" s="62"/>
      <c r="K21" s="62"/>
      <c r="L21" s="62"/>
      <c r="M21" s="62"/>
      <c r="N21" s="62"/>
    </row>
    <row r="22" spans="1:14" hidden="1" x14ac:dyDescent="0.2">
      <c r="A22" s="61" t="s">
        <v>145</v>
      </c>
      <c r="B22" s="63">
        <f t="shared" si="1"/>
        <v>0</v>
      </c>
      <c r="C22" s="63"/>
      <c r="D22" s="62"/>
      <c r="E22" s="62"/>
      <c r="F22" s="62"/>
      <c r="G22" s="62"/>
      <c r="H22" s="62"/>
      <c r="I22" s="62"/>
      <c r="J22" s="62"/>
      <c r="K22" s="62"/>
      <c r="L22" s="62"/>
      <c r="M22" s="62"/>
      <c r="N22" s="62"/>
    </row>
    <row r="23" spans="1:14" x14ac:dyDescent="0.2">
      <c r="A23" s="61" t="s">
        <v>378</v>
      </c>
      <c r="B23" s="63">
        <f t="shared" si="1"/>
        <v>0</v>
      </c>
      <c r="C23" s="62"/>
      <c r="D23" s="62"/>
      <c r="E23" s="62"/>
      <c r="F23" s="62"/>
      <c r="G23" s="62"/>
      <c r="H23" s="62"/>
      <c r="I23" s="62"/>
      <c r="J23" s="62"/>
      <c r="K23" s="62"/>
      <c r="L23" s="93"/>
      <c r="M23" s="93"/>
      <c r="N23" s="93"/>
    </row>
    <row r="24" spans="1:14" x14ac:dyDescent="0.2">
      <c r="A24" s="61" t="s">
        <v>379</v>
      </c>
      <c r="B24" s="63">
        <f t="shared" si="1"/>
        <v>2250</v>
      </c>
      <c r="C24" s="63"/>
      <c r="D24" s="62"/>
      <c r="E24" s="93"/>
      <c r="F24" s="62"/>
      <c r="G24" s="62">
        <v>2250</v>
      </c>
      <c r="H24" s="62"/>
      <c r="I24" s="62"/>
      <c r="J24" s="62"/>
      <c r="K24" s="62"/>
      <c r="L24" s="62"/>
      <c r="M24" s="62"/>
      <c r="N24" s="62"/>
    </row>
    <row r="25" spans="1:14" x14ac:dyDescent="0.2">
      <c r="A25" s="61" t="s">
        <v>447</v>
      </c>
      <c r="B25" s="63">
        <f t="shared" si="1"/>
        <v>0</v>
      </c>
      <c r="C25" s="63"/>
      <c r="D25" s="62"/>
      <c r="E25" s="62"/>
      <c r="F25" s="62"/>
      <c r="G25" s="62"/>
      <c r="H25" s="62"/>
      <c r="I25" s="62"/>
      <c r="J25" s="62"/>
      <c r="K25" s="62"/>
      <c r="L25" s="62"/>
      <c r="M25" s="62"/>
      <c r="N25" s="62"/>
    </row>
    <row r="26" spans="1:14" x14ac:dyDescent="0.2">
      <c r="A26" s="61" t="s">
        <v>451</v>
      </c>
      <c r="B26" s="63">
        <f t="shared" si="1"/>
        <v>2000</v>
      </c>
      <c r="C26" s="63"/>
      <c r="D26" s="62"/>
      <c r="E26" s="62"/>
      <c r="F26" s="62"/>
      <c r="G26" s="62">
        <v>2000</v>
      </c>
      <c r="H26" s="62"/>
      <c r="I26" s="62"/>
      <c r="J26" s="62"/>
      <c r="K26" s="62"/>
      <c r="L26" s="62"/>
      <c r="M26" s="62"/>
      <c r="N26" s="62"/>
    </row>
    <row r="27" spans="1:14" hidden="1" x14ac:dyDescent="0.2">
      <c r="A27" s="61" t="s">
        <v>146</v>
      </c>
      <c r="B27" s="63">
        <f t="shared" si="1"/>
        <v>0</v>
      </c>
      <c r="C27" s="63"/>
      <c r="D27" s="62"/>
      <c r="E27" s="62"/>
      <c r="F27" s="62"/>
      <c r="G27" s="62"/>
      <c r="H27" s="62"/>
      <c r="I27" s="62"/>
      <c r="J27" s="62"/>
      <c r="K27" s="62"/>
      <c r="L27" s="62"/>
      <c r="M27" s="62"/>
      <c r="N27" s="62"/>
    </row>
    <row r="28" spans="1:14" hidden="1" x14ac:dyDescent="0.2">
      <c r="A28" s="61" t="s">
        <v>146</v>
      </c>
      <c r="B28" s="63">
        <f t="shared" si="1"/>
        <v>0</v>
      </c>
      <c r="C28" s="63"/>
      <c r="D28" s="62"/>
      <c r="E28" s="62"/>
      <c r="F28" s="62"/>
      <c r="G28" s="62"/>
      <c r="H28" s="62"/>
      <c r="I28" s="62"/>
      <c r="J28" s="62"/>
      <c r="K28" s="62"/>
      <c r="L28" s="62"/>
      <c r="M28" s="62"/>
      <c r="N28" s="62"/>
    </row>
    <row r="29" spans="1:14" hidden="1" x14ac:dyDescent="0.2">
      <c r="A29" s="61" t="s">
        <v>146</v>
      </c>
      <c r="B29" s="63">
        <f t="shared" si="1"/>
        <v>0</v>
      </c>
      <c r="C29" s="63"/>
      <c r="D29" s="62"/>
      <c r="E29" s="62"/>
      <c r="F29" s="62"/>
      <c r="G29" s="62"/>
      <c r="H29" s="62"/>
      <c r="I29" s="62"/>
      <c r="J29" s="62"/>
      <c r="K29" s="62"/>
      <c r="L29" s="62"/>
      <c r="M29" s="62"/>
      <c r="N29" s="62"/>
    </row>
    <row r="30" spans="1:14" hidden="1" x14ac:dyDescent="0.2">
      <c r="A30" s="61" t="s">
        <v>146</v>
      </c>
      <c r="B30" s="63">
        <f t="shared" si="1"/>
        <v>0</v>
      </c>
      <c r="C30" s="63"/>
      <c r="D30" s="62"/>
      <c r="E30" s="62"/>
      <c r="F30" s="62"/>
      <c r="G30" s="62"/>
      <c r="H30" s="62"/>
      <c r="I30" s="62"/>
      <c r="J30" s="62"/>
      <c r="K30" s="62"/>
      <c r="L30" s="62"/>
      <c r="M30" s="62"/>
      <c r="N30" s="62"/>
    </row>
    <row r="31" spans="1:14" hidden="1" x14ac:dyDescent="0.2">
      <c r="A31" s="61" t="s">
        <v>146</v>
      </c>
      <c r="B31" s="63">
        <f t="shared" si="1"/>
        <v>0</v>
      </c>
      <c r="C31" s="63"/>
      <c r="D31" s="62"/>
      <c r="E31" s="62"/>
      <c r="F31" s="62"/>
      <c r="G31" s="62"/>
      <c r="H31" s="62"/>
      <c r="I31" s="62"/>
      <c r="J31" s="62"/>
      <c r="K31" s="62"/>
      <c r="L31" s="62"/>
      <c r="M31" s="62"/>
      <c r="N31" s="62"/>
    </row>
    <row r="32" spans="1:14" hidden="1" x14ac:dyDescent="0.2">
      <c r="A32" s="61" t="s">
        <v>146</v>
      </c>
      <c r="B32" s="63">
        <f t="shared" si="1"/>
        <v>0</v>
      </c>
      <c r="C32" s="63"/>
      <c r="D32" s="62"/>
      <c r="E32" s="62"/>
      <c r="F32" s="62"/>
      <c r="G32" s="62"/>
      <c r="H32" s="62"/>
      <c r="I32" s="62"/>
      <c r="J32" s="62"/>
      <c r="K32" s="62"/>
      <c r="L32" s="62"/>
      <c r="M32" s="62"/>
      <c r="N32" s="62"/>
    </row>
    <row r="33" spans="1:14" hidden="1" x14ac:dyDescent="0.2">
      <c r="A33" s="61" t="s">
        <v>146</v>
      </c>
      <c r="B33" s="63">
        <f t="shared" si="1"/>
        <v>0</v>
      </c>
      <c r="C33" s="63"/>
      <c r="D33" s="62"/>
      <c r="E33" s="62"/>
      <c r="F33" s="62"/>
      <c r="G33" s="62"/>
      <c r="H33" s="62"/>
      <c r="I33" s="62"/>
      <c r="J33" s="62"/>
      <c r="K33" s="62"/>
      <c r="L33" s="62"/>
      <c r="M33" s="62"/>
      <c r="N33" s="62"/>
    </row>
    <row r="34" spans="1:14" hidden="1" x14ac:dyDescent="0.2">
      <c r="A34" s="61" t="s">
        <v>146</v>
      </c>
      <c r="B34" s="63">
        <f t="shared" si="1"/>
        <v>0</v>
      </c>
      <c r="C34" s="63"/>
      <c r="D34" s="62"/>
      <c r="E34" s="62"/>
      <c r="F34" s="62"/>
      <c r="G34" s="62"/>
      <c r="H34" s="62"/>
      <c r="I34" s="62"/>
      <c r="J34" s="62"/>
      <c r="K34" s="62"/>
      <c r="L34" s="62"/>
      <c r="M34" s="62"/>
      <c r="N34" s="62"/>
    </row>
    <row r="35" spans="1:14" hidden="1" x14ac:dyDescent="0.2">
      <c r="A35" s="61" t="s">
        <v>146</v>
      </c>
      <c r="B35" s="63">
        <f t="shared" si="1"/>
        <v>0</v>
      </c>
      <c r="C35" s="63"/>
      <c r="D35" s="62"/>
      <c r="E35" s="62"/>
      <c r="F35" s="62"/>
      <c r="G35" s="62"/>
      <c r="H35" s="62"/>
      <c r="I35" s="62"/>
      <c r="J35" s="62"/>
      <c r="K35" s="62"/>
      <c r="L35" s="62"/>
      <c r="M35" s="62"/>
      <c r="N35" s="62"/>
    </row>
    <row r="36" spans="1:14" hidden="1" x14ac:dyDescent="0.2">
      <c r="A36" s="61" t="s">
        <v>146</v>
      </c>
      <c r="B36" s="63">
        <f t="shared" si="1"/>
        <v>0</v>
      </c>
      <c r="C36" s="62"/>
      <c r="D36" s="62"/>
      <c r="E36" s="62"/>
      <c r="F36" s="62"/>
      <c r="G36" s="62"/>
      <c r="H36" s="62"/>
      <c r="I36" s="62"/>
      <c r="J36" s="62"/>
      <c r="K36" s="62"/>
      <c r="L36" s="62"/>
      <c r="M36" s="62"/>
      <c r="N36" s="62"/>
    </row>
    <row r="37" spans="1:14" hidden="1" x14ac:dyDescent="0.2">
      <c r="A37" s="61" t="s">
        <v>146</v>
      </c>
      <c r="B37" s="63">
        <f t="shared" si="1"/>
        <v>0</v>
      </c>
      <c r="C37" s="63"/>
      <c r="D37" s="62"/>
      <c r="E37" s="62"/>
      <c r="F37" s="62"/>
      <c r="G37" s="62"/>
      <c r="H37" s="62"/>
      <c r="I37" s="62"/>
      <c r="J37" s="62"/>
      <c r="K37" s="62"/>
      <c r="L37" s="62"/>
      <c r="M37" s="62"/>
      <c r="N37" s="62"/>
    </row>
    <row r="38" spans="1:14" hidden="1" x14ac:dyDescent="0.2">
      <c r="A38" s="61" t="s">
        <v>146</v>
      </c>
      <c r="B38" s="63">
        <f t="shared" si="1"/>
        <v>0</v>
      </c>
      <c r="C38" s="63"/>
      <c r="D38" s="62"/>
      <c r="E38" s="62"/>
      <c r="F38" s="62"/>
      <c r="G38" s="62"/>
      <c r="H38" s="62"/>
      <c r="I38" s="62"/>
      <c r="J38" s="62"/>
      <c r="K38" s="62"/>
      <c r="L38" s="62"/>
      <c r="M38" s="62"/>
      <c r="N38" s="62"/>
    </row>
    <row r="39" spans="1:14" x14ac:dyDescent="0.2">
      <c r="A39" s="61" t="s">
        <v>16</v>
      </c>
      <c r="B39" s="63">
        <f t="shared" si="1"/>
        <v>0</v>
      </c>
      <c r="C39" s="63"/>
      <c r="D39" s="62"/>
      <c r="E39" s="62"/>
      <c r="F39" s="62"/>
      <c r="G39" s="62"/>
      <c r="H39" s="62"/>
      <c r="I39" s="62"/>
      <c r="J39" s="62"/>
      <c r="K39" s="62"/>
      <c r="L39" s="62"/>
      <c r="M39" s="62"/>
      <c r="N39" s="62"/>
    </row>
    <row r="40" spans="1:14" x14ac:dyDescent="0.2">
      <c r="A40" s="61" t="s">
        <v>17</v>
      </c>
      <c r="B40" s="63">
        <f t="shared" si="1"/>
        <v>0</v>
      </c>
      <c r="C40" s="63"/>
      <c r="D40" s="62"/>
      <c r="E40" s="62"/>
      <c r="F40" s="62"/>
      <c r="G40" s="62"/>
      <c r="H40" s="62"/>
      <c r="I40" s="62"/>
      <c r="J40" s="62"/>
      <c r="K40" s="62"/>
      <c r="L40" s="62"/>
      <c r="M40" s="62"/>
      <c r="N40" s="62"/>
    </row>
    <row r="41" spans="1:14" x14ac:dyDescent="0.2">
      <c r="A41" s="61" t="s">
        <v>147</v>
      </c>
      <c r="B41" s="63">
        <f t="shared" si="1"/>
        <v>324</v>
      </c>
      <c r="C41" s="62">
        <v>27</v>
      </c>
      <c r="D41" s="62">
        <v>27</v>
      </c>
      <c r="E41" s="62">
        <v>27</v>
      </c>
      <c r="F41" s="62">
        <v>27</v>
      </c>
      <c r="G41" s="62">
        <v>27</v>
      </c>
      <c r="H41" s="62">
        <v>27</v>
      </c>
      <c r="I41" s="62">
        <v>27</v>
      </c>
      <c r="J41" s="62">
        <v>27</v>
      </c>
      <c r="K41" s="62">
        <v>27</v>
      </c>
      <c r="L41" s="62">
        <v>27</v>
      </c>
      <c r="M41" s="62">
        <v>27</v>
      </c>
      <c r="N41" s="62">
        <v>27</v>
      </c>
    </row>
    <row r="42" spans="1:14" x14ac:dyDescent="0.2">
      <c r="A42" s="61" t="s">
        <v>148</v>
      </c>
      <c r="B42" s="63">
        <f t="shared" si="1"/>
        <v>600</v>
      </c>
      <c r="C42" s="62">
        <v>50</v>
      </c>
      <c r="D42" s="62">
        <v>50</v>
      </c>
      <c r="E42" s="62">
        <v>50</v>
      </c>
      <c r="F42" s="62">
        <v>50</v>
      </c>
      <c r="G42" s="62">
        <v>50</v>
      </c>
      <c r="H42" s="62">
        <v>50</v>
      </c>
      <c r="I42" s="62">
        <v>50</v>
      </c>
      <c r="J42" s="62">
        <v>50</v>
      </c>
      <c r="K42" s="62">
        <v>50</v>
      </c>
      <c r="L42" s="62">
        <v>50</v>
      </c>
      <c r="M42" s="62">
        <v>50</v>
      </c>
      <c r="N42" s="62">
        <v>50</v>
      </c>
    </row>
    <row r="43" spans="1:14" x14ac:dyDescent="0.2">
      <c r="A43" s="61" t="s">
        <v>149</v>
      </c>
      <c r="B43" s="63">
        <f t="shared" si="1"/>
        <v>0</v>
      </c>
      <c r="C43" s="63"/>
      <c r="D43" s="62"/>
      <c r="E43" s="62"/>
      <c r="F43" s="62"/>
      <c r="G43" s="62"/>
      <c r="H43" s="62"/>
      <c r="I43" s="62"/>
      <c r="J43" s="62"/>
      <c r="K43" s="62"/>
      <c r="L43" s="62"/>
      <c r="M43" s="62"/>
      <c r="N43" s="62"/>
    </row>
    <row r="44" spans="1:14" x14ac:dyDescent="0.2">
      <c r="A44" s="61" t="s">
        <v>150</v>
      </c>
      <c r="B44" s="63">
        <f t="shared" si="1"/>
        <v>0</v>
      </c>
      <c r="C44" s="63"/>
      <c r="D44" s="62"/>
      <c r="E44" s="62"/>
      <c r="F44" s="62"/>
      <c r="G44" s="62"/>
      <c r="H44" s="62"/>
      <c r="I44" s="62"/>
      <c r="J44" s="62"/>
      <c r="K44" s="62"/>
      <c r="L44" s="62"/>
      <c r="M44" s="62"/>
      <c r="N44" s="62"/>
    </row>
    <row r="45" spans="1:14" ht="13.5" thickBot="1" x14ac:dyDescent="0.25">
      <c r="A45" s="61" t="s">
        <v>18</v>
      </c>
      <c r="B45" s="63">
        <f>SUM(C45:N45)</f>
        <v>0</v>
      </c>
      <c r="C45" s="63"/>
      <c r="D45" s="62"/>
      <c r="E45" s="62"/>
      <c r="F45" s="62"/>
      <c r="G45" s="62"/>
      <c r="H45" s="62"/>
      <c r="I45" s="62"/>
      <c r="J45" s="62"/>
      <c r="K45" s="62"/>
      <c r="L45" s="62"/>
      <c r="M45" s="62"/>
      <c r="N45" s="62"/>
    </row>
    <row r="46" spans="1:14" x14ac:dyDescent="0.2">
      <c r="A46" s="64" t="s">
        <v>151</v>
      </c>
      <c r="B46" s="65">
        <f t="shared" ref="B46:N46" si="2">SUM(B8:B45)</f>
        <v>49474</v>
      </c>
      <c r="C46" s="65">
        <f t="shared" si="2"/>
        <v>3769</v>
      </c>
      <c r="D46" s="65">
        <f t="shared" si="2"/>
        <v>3769</v>
      </c>
      <c r="E46" s="65">
        <f t="shared" si="2"/>
        <v>3769</v>
      </c>
      <c r="F46" s="65">
        <f t="shared" si="2"/>
        <v>3769</v>
      </c>
      <c r="G46" s="65">
        <f t="shared" si="2"/>
        <v>8019</v>
      </c>
      <c r="H46" s="65">
        <f t="shared" si="2"/>
        <v>3769</v>
      </c>
      <c r="I46" s="65">
        <f t="shared" si="2"/>
        <v>3769</v>
      </c>
      <c r="J46" s="65">
        <f t="shared" si="2"/>
        <v>3769</v>
      </c>
      <c r="K46" s="65">
        <f t="shared" si="2"/>
        <v>3769</v>
      </c>
      <c r="L46" s="65">
        <f t="shared" si="2"/>
        <v>3769</v>
      </c>
      <c r="M46" s="65">
        <f t="shared" si="2"/>
        <v>3769</v>
      </c>
      <c r="N46" s="65">
        <f t="shared" si="2"/>
        <v>3765</v>
      </c>
    </row>
    <row r="47" spans="1:14" x14ac:dyDescent="0.2">
      <c r="C47" s="60"/>
      <c r="D47" s="66"/>
      <c r="E47" s="66"/>
      <c r="F47" s="66"/>
      <c r="G47" s="66"/>
      <c r="H47" s="66"/>
      <c r="I47" s="66"/>
      <c r="J47" s="66"/>
      <c r="K47" s="66"/>
      <c r="L47" s="66"/>
      <c r="M47" s="66"/>
      <c r="N47" s="66"/>
    </row>
    <row r="48" spans="1:14" x14ac:dyDescent="0.2">
      <c r="A48" s="58"/>
      <c r="C48" s="60"/>
      <c r="D48" s="100"/>
      <c r="E48" s="100"/>
      <c r="F48" s="100"/>
      <c r="G48" s="100"/>
      <c r="H48" s="100"/>
      <c r="I48" s="100"/>
      <c r="J48" s="100"/>
      <c r="K48" s="100"/>
      <c r="L48" s="100"/>
      <c r="M48" s="100"/>
      <c r="N48" s="100"/>
    </row>
    <row r="49" spans="1:15" x14ac:dyDescent="0.2">
      <c r="A49" s="58" t="s">
        <v>152</v>
      </c>
      <c r="B49" s="85"/>
      <c r="C49" s="85"/>
      <c r="D49" s="85"/>
      <c r="E49" s="85"/>
      <c r="F49" s="85"/>
      <c r="G49" s="85"/>
      <c r="H49" s="85"/>
      <c r="I49" s="85"/>
      <c r="J49" s="85"/>
      <c r="K49" s="85"/>
      <c r="L49" s="85"/>
      <c r="M49" s="85"/>
      <c r="N49" s="85"/>
    </row>
    <row r="50" spans="1:15" x14ac:dyDescent="0.2">
      <c r="A50" s="61" t="s">
        <v>153</v>
      </c>
      <c r="B50" s="63">
        <f>SUM(C50:N50)</f>
        <v>36235.794000000002</v>
      </c>
      <c r="C50" s="62">
        <f>SUM(C213)</f>
        <v>3145.6283999999996</v>
      </c>
      <c r="D50" s="62">
        <f t="shared" ref="D50:N52" si="3">SUM(D213)</f>
        <v>3145.6283999999996</v>
      </c>
      <c r="E50" s="62">
        <f t="shared" si="3"/>
        <v>3145.6283999999996</v>
      </c>
      <c r="F50" s="62">
        <f t="shared" si="3"/>
        <v>3145.6283999999996</v>
      </c>
      <c r="G50" s="62">
        <f t="shared" si="3"/>
        <v>3145.6283999999996</v>
      </c>
      <c r="H50" s="62">
        <f t="shared" si="3"/>
        <v>2871.5783999999999</v>
      </c>
      <c r="I50" s="62">
        <f t="shared" si="3"/>
        <v>2526.7800000000002</v>
      </c>
      <c r="J50" s="62">
        <f t="shared" si="3"/>
        <v>2526.7800000000002</v>
      </c>
      <c r="K50" s="62">
        <f t="shared" si="3"/>
        <v>3145.6283999999996</v>
      </c>
      <c r="L50" s="62">
        <f t="shared" si="3"/>
        <v>3145.6283999999996</v>
      </c>
      <c r="M50" s="62">
        <f t="shared" si="3"/>
        <v>3145.6283999999996</v>
      </c>
      <c r="N50" s="62">
        <f t="shared" si="3"/>
        <v>3145.6283999999996</v>
      </c>
    </row>
    <row r="51" spans="1:15" x14ac:dyDescent="0.2">
      <c r="A51" s="61" t="s">
        <v>22</v>
      </c>
      <c r="B51" s="63">
        <f>SUM(C51:N51)</f>
        <v>3114.4396229999993</v>
      </c>
      <c r="C51" s="62">
        <f>SUM(C214)</f>
        <v>270.44915399999996</v>
      </c>
      <c r="D51" s="62">
        <f t="shared" si="3"/>
        <v>270.44915399999996</v>
      </c>
      <c r="E51" s="62">
        <f t="shared" si="3"/>
        <v>270.44915399999996</v>
      </c>
      <c r="F51" s="62">
        <f t="shared" si="3"/>
        <v>270.44915399999996</v>
      </c>
      <c r="G51" s="62">
        <f t="shared" si="3"/>
        <v>270.44915399999996</v>
      </c>
      <c r="H51" s="62">
        <f t="shared" si="3"/>
        <v>246.48543899999993</v>
      </c>
      <c r="I51" s="62">
        <f t="shared" si="3"/>
        <v>216.95589899999996</v>
      </c>
      <c r="J51" s="62">
        <f t="shared" si="3"/>
        <v>216.95589899999996</v>
      </c>
      <c r="K51" s="62">
        <f t="shared" si="3"/>
        <v>270.44915399999996</v>
      </c>
      <c r="L51" s="62">
        <f t="shared" si="3"/>
        <v>270.44915399999996</v>
      </c>
      <c r="M51" s="62">
        <f t="shared" si="3"/>
        <v>270.44915399999996</v>
      </c>
      <c r="N51" s="62">
        <f t="shared" si="3"/>
        <v>270.44915399999996</v>
      </c>
    </row>
    <row r="52" spans="1:15" s="101" customFormat="1" ht="13.5" thickBot="1" x14ac:dyDescent="0.25">
      <c r="A52" s="90" t="s">
        <v>23</v>
      </c>
      <c r="B52" s="63">
        <f>SUM(C52:N52)</f>
        <v>1222.8046870344826</v>
      </c>
      <c r="C52" s="62">
        <f>SUM(C215)</f>
        <v>105.67975758620686</v>
      </c>
      <c r="D52" s="62">
        <f t="shared" si="3"/>
        <v>105.67975758620686</v>
      </c>
      <c r="E52" s="62">
        <f t="shared" si="3"/>
        <v>105.67975758620686</v>
      </c>
      <c r="F52" s="62">
        <f t="shared" si="3"/>
        <v>105.67975758620686</v>
      </c>
      <c r="G52" s="62">
        <f t="shared" si="3"/>
        <v>105.67975758620686</v>
      </c>
      <c r="H52" s="62">
        <f t="shared" si="3"/>
        <v>97.458257586206869</v>
      </c>
      <c r="I52" s="62">
        <f t="shared" si="3"/>
        <v>87.114305586206882</v>
      </c>
      <c r="J52" s="62">
        <f t="shared" si="3"/>
        <v>87.114305586206882</v>
      </c>
      <c r="K52" s="62">
        <f t="shared" si="3"/>
        <v>105.67975758620686</v>
      </c>
      <c r="L52" s="62">
        <f t="shared" si="3"/>
        <v>105.67975758620686</v>
      </c>
      <c r="M52" s="62">
        <f t="shared" si="3"/>
        <v>105.67975758620686</v>
      </c>
      <c r="N52" s="62">
        <f t="shared" si="3"/>
        <v>105.67975758620686</v>
      </c>
    </row>
    <row r="53" spans="1:15" x14ac:dyDescent="0.2">
      <c r="A53" s="64" t="s">
        <v>154</v>
      </c>
      <c r="B53" s="65">
        <f>SUM(B50:B52)</f>
        <v>40573.038310034484</v>
      </c>
      <c r="C53" s="65">
        <f t="shared" ref="C53:N53" si="4">SUM(C50:C52)</f>
        <v>3521.7573115862065</v>
      </c>
      <c r="D53" s="65">
        <f t="shared" si="4"/>
        <v>3521.7573115862065</v>
      </c>
      <c r="E53" s="65">
        <f t="shared" si="4"/>
        <v>3521.7573115862065</v>
      </c>
      <c r="F53" s="65">
        <f t="shared" si="4"/>
        <v>3521.7573115862065</v>
      </c>
      <c r="G53" s="65">
        <f t="shared" si="4"/>
        <v>3521.7573115862065</v>
      </c>
      <c r="H53" s="65">
        <f t="shared" si="4"/>
        <v>3215.5220965862068</v>
      </c>
      <c r="I53" s="65">
        <f t="shared" si="4"/>
        <v>2830.8502045862069</v>
      </c>
      <c r="J53" s="65">
        <f t="shared" si="4"/>
        <v>2830.8502045862069</v>
      </c>
      <c r="K53" s="65">
        <f t="shared" si="4"/>
        <v>3521.7573115862065</v>
      </c>
      <c r="L53" s="65">
        <f t="shared" si="4"/>
        <v>3521.7573115862065</v>
      </c>
      <c r="M53" s="65">
        <f t="shared" si="4"/>
        <v>3521.7573115862065</v>
      </c>
      <c r="N53" s="65">
        <f t="shared" si="4"/>
        <v>3521.7573115862065</v>
      </c>
      <c r="O53" s="140">
        <f>SUM(C216:N216)</f>
        <v>40573.03831003447</v>
      </c>
    </row>
    <row r="54" spans="1:15" x14ac:dyDescent="0.2">
      <c r="C54" s="60"/>
      <c r="D54" s="66"/>
      <c r="E54" s="66"/>
      <c r="F54" s="66"/>
      <c r="G54" s="66"/>
      <c r="H54" s="66"/>
      <c r="I54" s="66"/>
      <c r="J54" s="66"/>
      <c r="K54" s="66"/>
      <c r="L54" s="66"/>
      <c r="M54" s="66"/>
      <c r="N54" s="66"/>
    </row>
    <row r="55" spans="1:15" x14ac:dyDescent="0.2">
      <c r="C55" s="60"/>
      <c r="D55" s="66"/>
      <c r="E55" s="66"/>
      <c r="F55" s="66"/>
      <c r="G55" s="66"/>
      <c r="H55" s="66"/>
      <c r="I55" s="66"/>
      <c r="J55" s="66"/>
      <c r="K55" s="66"/>
      <c r="L55" s="66"/>
      <c r="M55" s="66"/>
      <c r="N55" s="66"/>
    </row>
    <row r="56" spans="1:15" x14ac:dyDescent="0.2">
      <c r="A56" s="58" t="s">
        <v>155</v>
      </c>
      <c r="C56" s="60"/>
      <c r="D56" s="66"/>
      <c r="E56" s="66"/>
      <c r="F56" s="66"/>
      <c r="G56" s="66"/>
      <c r="H56" s="66"/>
      <c r="I56" s="66"/>
      <c r="J56" s="66"/>
      <c r="K56" s="66"/>
      <c r="L56" s="66"/>
      <c r="M56" s="66"/>
      <c r="N56" s="66"/>
    </row>
    <row r="57" spans="1:15" x14ac:dyDescent="0.2">
      <c r="A57" s="61" t="str">
        <f>CMS!A57</f>
        <v>Training</v>
      </c>
      <c r="B57" s="63">
        <f>SUM(C57:N57)</f>
        <v>250.00000000000003</v>
      </c>
      <c r="C57" s="62">
        <f>SUM(250/12)</f>
        <v>20.833333333333332</v>
      </c>
      <c r="D57" s="62">
        <f t="shared" ref="D57:N57" si="5">SUM(250/12)</f>
        <v>20.833333333333332</v>
      </c>
      <c r="E57" s="62">
        <f t="shared" si="5"/>
        <v>20.833333333333332</v>
      </c>
      <c r="F57" s="62">
        <f t="shared" si="5"/>
        <v>20.833333333333332</v>
      </c>
      <c r="G57" s="62">
        <f t="shared" si="5"/>
        <v>20.833333333333332</v>
      </c>
      <c r="H57" s="62">
        <f t="shared" si="5"/>
        <v>20.833333333333332</v>
      </c>
      <c r="I57" s="62">
        <f t="shared" si="5"/>
        <v>20.833333333333332</v>
      </c>
      <c r="J57" s="62">
        <f t="shared" si="5"/>
        <v>20.833333333333332</v>
      </c>
      <c r="K57" s="62">
        <f t="shared" si="5"/>
        <v>20.833333333333332</v>
      </c>
      <c r="L57" s="62">
        <f t="shared" si="5"/>
        <v>20.833333333333332</v>
      </c>
      <c r="M57" s="62">
        <f t="shared" si="5"/>
        <v>20.833333333333332</v>
      </c>
      <c r="N57" s="62">
        <f t="shared" si="5"/>
        <v>20.833333333333332</v>
      </c>
    </row>
    <row r="58" spans="1:15" x14ac:dyDescent="0.2">
      <c r="A58" s="61" t="str">
        <f>CMS!A58</f>
        <v>Travel</v>
      </c>
      <c r="B58" s="419">
        <f>SUM(C58:N58)</f>
        <v>84</v>
      </c>
      <c r="C58" s="62">
        <v>7</v>
      </c>
      <c r="D58" s="62">
        <v>7</v>
      </c>
      <c r="E58" s="62">
        <v>7</v>
      </c>
      <c r="F58" s="62">
        <v>7</v>
      </c>
      <c r="G58" s="62">
        <v>7</v>
      </c>
      <c r="H58" s="62">
        <v>7</v>
      </c>
      <c r="I58" s="62">
        <v>7</v>
      </c>
      <c r="J58" s="62">
        <v>7</v>
      </c>
      <c r="K58" s="62">
        <v>7</v>
      </c>
      <c r="L58" s="62">
        <v>7</v>
      </c>
      <c r="M58" s="62">
        <v>7</v>
      </c>
      <c r="N58" s="62">
        <v>7</v>
      </c>
    </row>
    <row r="59" spans="1:15" x14ac:dyDescent="0.2">
      <c r="A59" s="61" t="str">
        <f>CMS!A59</f>
        <v>Recognition</v>
      </c>
      <c r="B59" s="63">
        <f>SUM(C59:N59)</f>
        <v>500</v>
      </c>
      <c r="C59" s="62"/>
      <c r="D59" s="62"/>
      <c r="E59" s="62"/>
      <c r="F59" s="62"/>
      <c r="G59" s="62">
        <v>500</v>
      </c>
      <c r="H59" s="62"/>
      <c r="I59" s="62"/>
      <c r="J59" s="62"/>
      <c r="K59" s="62"/>
      <c r="L59" s="62"/>
      <c r="M59" s="62"/>
      <c r="N59" s="62"/>
    </row>
    <row r="60" spans="1:15" x14ac:dyDescent="0.2">
      <c r="A60" s="61" t="str">
        <f>CMS!A60</f>
        <v>Communications</v>
      </c>
      <c r="B60" s="63">
        <f t="shared" ref="B60:B82" si="6">SUM(C60:N60)</f>
        <v>180</v>
      </c>
      <c r="C60" s="62">
        <v>15</v>
      </c>
      <c r="D60" s="62">
        <v>15</v>
      </c>
      <c r="E60" s="62">
        <v>15</v>
      </c>
      <c r="F60" s="62">
        <v>15</v>
      </c>
      <c r="G60" s="62">
        <v>15</v>
      </c>
      <c r="H60" s="62">
        <v>15</v>
      </c>
      <c r="I60" s="62">
        <v>15</v>
      </c>
      <c r="J60" s="62">
        <v>15</v>
      </c>
      <c r="K60" s="62">
        <v>15</v>
      </c>
      <c r="L60" s="62">
        <v>15</v>
      </c>
      <c r="M60" s="62">
        <v>15</v>
      </c>
      <c r="N60" s="62">
        <v>15</v>
      </c>
    </row>
    <row r="61" spans="1:15" x14ac:dyDescent="0.2">
      <c r="A61" s="61" t="str">
        <f>CMS!A61</f>
        <v>Dues &amp; Subscriptions</v>
      </c>
      <c r="B61" s="63">
        <f t="shared" si="6"/>
        <v>0</v>
      </c>
      <c r="C61" s="63"/>
      <c r="D61" s="62"/>
      <c r="E61" s="62"/>
      <c r="F61" s="62"/>
      <c r="G61" s="62"/>
      <c r="H61" s="62"/>
      <c r="I61" s="62"/>
      <c r="J61" s="62"/>
      <c r="K61" s="62"/>
      <c r="L61" s="62"/>
      <c r="M61" s="62"/>
      <c r="N61" s="62"/>
    </row>
    <row r="62" spans="1:15" x14ac:dyDescent="0.2">
      <c r="A62" s="61" t="str">
        <f>CMS!A62</f>
        <v>Liability Insurance</v>
      </c>
      <c r="B62" s="63">
        <f t="shared" si="6"/>
        <v>576.72309728614891</v>
      </c>
      <c r="C62" s="62">
        <f>SUM('Data Links'!$B$5/'All Employees'!$I$65)/12*C102</f>
        <v>50.456266191302596</v>
      </c>
      <c r="D62" s="62">
        <f>SUM('Data Links'!$B$5/'All Employees'!$I$65)/12*D102</f>
        <v>50.456266191302596</v>
      </c>
      <c r="E62" s="62">
        <f>SUM('Data Links'!$B$5/'All Employees'!$I$65)/12*E102</f>
        <v>50.456266191302596</v>
      </c>
      <c r="F62" s="62">
        <f>SUM('Data Links'!$B$5/'All Employees'!$I$65)/12*F102</f>
        <v>50.456266191302596</v>
      </c>
      <c r="G62" s="62">
        <f>SUM('Data Links'!$B$5/'All Employees'!$I$65)/12*G102</f>
        <v>50.456266191302596</v>
      </c>
      <c r="H62" s="62">
        <f>SUM('Data Links'!$B$5/'All Employees'!$I$65)/12*H102</f>
        <v>44.20581031967604</v>
      </c>
      <c r="I62" s="62">
        <f>SUM('Data Links'!$B$5/'All Employees'!$I$65)/12*I102</f>
        <v>39.205445622374803</v>
      </c>
      <c r="J62" s="62">
        <f>SUM('Data Links'!$B$5/'All Employees'!$I$65)/12*J102</f>
        <v>39.205445622374803</v>
      </c>
      <c r="K62" s="62">
        <f>SUM('Data Links'!$B$5/'All Employees'!$I$65)/12*K102</f>
        <v>50.456266191302596</v>
      </c>
      <c r="L62" s="62">
        <f>SUM('Data Links'!$B$5/'All Employees'!$I$65)/12*L102</f>
        <v>50.456266191302596</v>
      </c>
      <c r="M62" s="62">
        <f>SUM('Data Links'!$B$5/'All Employees'!$I$65)/12*M102</f>
        <v>50.456266191302596</v>
      </c>
      <c r="N62" s="62">
        <f>SUM('Data Links'!$B$5/'All Employees'!$I$65)/12*N102</f>
        <v>50.456266191302596</v>
      </c>
    </row>
    <row r="63" spans="1:15" x14ac:dyDescent="0.2">
      <c r="A63" s="61" t="str">
        <f>CMS!A63</f>
        <v>Professional Services</v>
      </c>
      <c r="B63" s="63">
        <f t="shared" si="6"/>
        <v>450</v>
      </c>
      <c r="C63" s="62">
        <f>SUM(450)</f>
        <v>450</v>
      </c>
      <c r="D63" s="62"/>
      <c r="E63" s="62"/>
      <c r="F63" s="62"/>
      <c r="G63" s="62"/>
      <c r="H63" s="62"/>
      <c r="I63" s="62"/>
      <c r="J63" s="62"/>
      <c r="K63" s="62"/>
      <c r="L63" s="62"/>
      <c r="M63" s="62"/>
      <c r="N63" s="62"/>
    </row>
    <row r="64" spans="1:15" x14ac:dyDescent="0.2">
      <c r="A64" s="61" t="str">
        <f>CMS!A64</f>
        <v>Legal Fees</v>
      </c>
      <c r="B64" s="63">
        <f t="shared" si="6"/>
        <v>0</v>
      </c>
      <c r="C64" s="63"/>
      <c r="D64" s="62"/>
      <c r="E64" s="62"/>
      <c r="F64" s="62"/>
      <c r="G64" s="62"/>
      <c r="H64" s="62"/>
      <c r="I64" s="62"/>
      <c r="J64" s="62"/>
      <c r="K64" s="62"/>
      <c r="L64" s="62"/>
      <c r="M64" s="62"/>
      <c r="N64" s="62"/>
    </row>
    <row r="65" spans="1:14" x14ac:dyDescent="0.2">
      <c r="A65" s="61" t="str">
        <f>CMS!A65</f>
        <v>Technical Services</v>
      </c>
      <c r="B65" s="63">
        <f t="shared" si="6"/>
        <v>0</v>
      </c>
      <c r="C65" s="63"/>
      <c r="D65" s="62"/>
      <c r="E65" s="62"/>
      <c r="F65" s="62"/>
      <c r="G65" s="62"/>
      <c r="H65" s="62"/>
      <c r="I65" s="62"/>
      <c r="J65" s="62"/>
      <c r="K65" s="62"/>
      <c r="L65" s="62"/>
      <c r="M65" s="62"/>
      <c r="N65" s="62"/>
    </row>
    <row r="66" spans="1:14" x14ac:dyDescent="0.2">
      <c r="A66" s="61" t="str">
        <f>CMS!A66</f>
        <v>Taxes/Licenses &amp; Permits</v>
      </c>
      <c r="B66" s="63">
        <f t="shared" si="6"/>
        <v>0</v>
      </c>
      <c r="C66" s="63"/>
      <c r="D66" s="62"/>
      <c r="E66" s="62"/>
      <c r="F66" s="62"/>
      <c r="G66" s="62"/>
      <c r="H66" s="62"/>
      <c r="I66" s="62"/>
      <c r="J66" s="62"/>
      <c r="K66" s="62"/>
      <c r="L66" s="62"/>
      <c r="M66" s="62"/>
      <c r="N66" s="62"/>
    </row>
    <row r="67" spans="1:14" x14ac:dyDescent="0.2">
      <c r="A67" s="61" t="str">
        <f>CMS!A67</f>
        <v>Small Tools &amp; Equip</v>
      </c>
      <c r="B67" s="63">
        <f t="shared" si="6"/>
        <v>150</v>
      </c>
      <c r="C67" s="62">
        <f>SUM(150/12)</f>
        <v>12.5</v>
      </c>
      <c r="D67" s="62">
        <f t="shared" ref="D67:N67" si="7">SUM(150/12)</f>
        <v>12.5</v>
      </c>
      <c r="E67" s="62">
        <f t="shared" si="7"/>
        <v>12.5</v>
      </c>
      <c r="F67" s="62">
        <f t="shared" si="7"/>
        <v>12.5</v>
      </c>
      <c r="G67" s="62">
        <f t="shared" si="7"/>
        <v>12.5</v>
      </c>
      <c r="H67" s="62">
        <f t="shared" si="7"/>
        <v>12.5</v>
      </c>
      <c r="I67" s="62">
        <f t="shared" si="7"/>
        <v>12.5</v>
      </c>
      <c r="J67" s="62">
        <f t="shared" si="7"/>
        <v>12.5</v>
      </c>
      <c r="K67" s="62">
        <f t="shared" si="7"/>
        <v>12.5</v>
      </c>
      <c r="L67" s="62">
        <f t="shared" si="7"/>
        <v>12.5</v>
      </c>
      <c r="M67" s="62">
        <f t="shared" si="7"/>
        <v>12.5</v>
      </c>
      <c r="N67" s="62">
        <f t="shared" si="7"/>
        <v>12.5</v>
      </c>
    </row>
    <row r="68" spans="1:14" x14ac:dyDescent="0.2">
      <c r="A68" s="61" t="str">
        <f>CMS!A68</f>
        <v>Office Supplies</v>
      </c>
      <c r="B68" s="63">
        <f t="shared" si="6"/>
        <v>500.00000000000006</v>
      </c>
      <c r="C68" s="62">
        <f>SUM(500/12)</f>
        <v>41.666666666666664</v>
      </c>
      <c r="D68" s="62">
        <f t="shared" ref="D68:N68" si="8">SUM(500/12)</f>
        <v>41.666666666666664</v>
      </c>
      <c r="E68" s="62">
        <f t="shared" si="8"/>
        <v>41.666666666666664</v>
      </c>
      <c r="F68" s="62">
        <f t="shared" si="8"/>
        <v>41.666666666666664</v>
      </c>
      <c r="G68" s="62">
        <f t="shared" si="8"/>
        <v>41.666666666666664</v>
      </c>
      <c r="H68" s="62">
        <f t="shared" si="8"/>
        <v>41.666666666666664</v>
      </c>
      <c r="I68" s="62">
        <f t="shared" si="8"/>
        <v>41.666666666666664</v>
      </c>
      <c r="J68" s="62">
        <f t="shared" si="8"/>
        <v>41.666666666666664</v>
      </c>
      <c r="K68" s="62">
        <f t="shared" si="8"/>
        <v>41.666666666666664</v>
      </c>
      <c r="L68" s="62">
        <f t="shared" si="8"/>
        <v>41.666666666666664</v>
      </c>
      <c r="M68" s="62">
        <f t="shared" si="8"/>
        <v>41.666666666666664</v>
      </c>
      <c r="N68" s="62">
        <f t="shared" si="8"/>
        <v>41.666666666666664</v>
      </c>
    </row>
    <row r="69" spans="1:14" x14ac:dyDescent="0.2">
      <c r="A69" s="61" t="str">
        <f>CMS!A69</f>
        <v>Program Supplies</v>
      </c>
      <c r="B69" s="63">
        <f t="shared" si="6"/>
        <v>60</v>
      </c>
      <c r="C69" s="62">
        <v>5</v>
      </c>
      <c r="D69" s="62">
        <v>5</v>
      </c>
      <c r="E69" s="62">
        <v>5</v>
      </c>
      <c r="F69" s="62">
        <v>5</v>
      </c>
      <c r="G69" s="62">
        <v>5</v>
      </c>
      <c r="H69" s="62">
        <v>5</v>
      </c>
      <c r="I69" s="62">
        <v>5</v>
      </c>
      <c r="J69" s="62">
        <v>5</v>
      </c>
      <c r="K69" s="62">
        <v>5</v>
      </c>
      <c r="L69" s="62">
        <v>5</v>
      </c>
      <c r="M69" s="62">
        <v>5</v>
      </c>
      <c r="N69" s="62">
        <v>5</v>
      </c>
    </row>
    <row r="70" spans="1:14" x14ac:dyDescent="0.2">
      <c r="A70" s="61" t="str">
        <f>CMS!A70</f>
        <v>Advertising</v>
      </c>
      <c r="B70" s="63">
        <f t="shared" si="6"/>
        <v>0</v>
      </c>
      <c r="C70" s="63"/>
      <c r="D70" s="62"/>
      <c r="E70" s="62"/>
      <c r="F70" s="62"/>
      <c r="G70" s="62"/>
      <c r="H70" s="62"/>
      <c r="I70" s="62"/>
      <c r="J70" s="62"/>
      <c r="K70" s="62"/>
      <c r="L70" s="62"/>
      <c r="M70" s="62"/>
      <c r="N70" s="62"/>
    </row>
    <row r="71" spans="1:14" x14ac:dyDescent="0.2">
      <c r="A71" s="61" t="str">
        <f>CMS!A71</f>
        <v>Repairs &amp; Maintenance</v>
      </c>
      <c r="B71" s="63">
        <f t="shared" si="6"/>
        <v>0</v>
      </c>
      <c r="C71" s="63"/>
      <c r="D71" s="62"/>
      <c r="E71" s="62"/>
      <c r="F71" s="62"/>
      <c r="G71" s="62"/>
      <c r="H71" s="62"/>
      <c r="I71" s="62"/>
      <c r="J71" s="62"/>
      <c r="K71" s="62"/>
      <c r="L71" s="62"/>
      <c r="M71" s="62"/>
      <c r="N71" s="62"/>
    </row>
    <row r="72" spans="1:14" x14ac:dyDescent="0.2">
      <c r="A72" s="61" t="str">
        <f>CMS!A72</f>
        <v>Client Expense</v>
      </c>
      <c r="B72" s="63">
        <f t="shared" si="6"/>
        <v>0</v>
      </c>
      <c r="C72" s="63"/>
      <c r="D72" s="62"/>
      <c r="E72" s="62"/>
      <c r="F72" s="62"/>
      <c r="G72" s="62"/>
      <c r="H72" s="62"/>
      <c r="I72" s="62"/>
      <c r="J72" s="62"/>
      <c r="K72" s="62"/>
      <c r="L72" s="62"/>
      <c r="M72" s="62"/>
      <c r="N72" s="62"/>
    </row>
    <row r="73" spans="1:14" x14ac:dyDescent="0.2">
      <c r="A73" s="61" t="str">
        <f>CMS!A73</f>
        <v>Printing</v>
      </c>
      <c r="B73" s="63">
        <f t="shared" si="6"/>
        <v>0</v>
      </c>
      <c r="C73" s="63"/>
      <c r="D73" s="62"/>
      <c r="E73" s="62"/>
      <c r="F73" s="62"/>
      <c r="G73" s="62"/>
      <c r="H73" s="62"/>
      <c r="I73" s="62"/>
      <c r="J73" s="62"/>
      <c r="K73" s="62"/>
      <c r="L73" s="62"/>
      <c r="M73" s="62"/>
      <c r="N73" s="62"/>
    </row>
    <row r="74" spans="1:14" x14ac:dyDescent="0.2">
      <c r="A74" s="61" t="str">
        <f>CMS!A74</f>
        <v>Postage</v>
      </c>
      <c r="B74" s="63">
        <f t="shared" si="6"/>
        <v>240</v>
      </c>
      <c r="C74" s="62">
        <v>20</v>
      </c>
      <c r="D74" s="62">
        <v>20</v>
      </c>
      <c r="E74" s="62">
        <v>20</v>
      </c>
      <c r="F74" s="62">
        <v>20</v>
      </c>
      <c r="G74" s="62">
        <v>20</v>
      </c>
      <c r="H74" s="62">
        <v>20</v>
      </c>
      <c r="I74" s="62">
        <v>20</v>
      </c>
      <c r="J74" s="62">
        <v>20</v>
      </c>
      <c r="K74" s="62">
        <v>20</v>
      </c>
      <c r="L74" s="62">
        <v>20</v>
      </c>
      <c r="M74" s="62">
        <v>20</v>
      </c>
      <c r="N74" s="62">
        <v>20</v>
      </c>
    </row>
    <row r="75" spans="1:14" ht="12.75" customHeight="1" x14ac:dyDescent="0.2">
      <c r="A75" s="61" t="str">
        <f>CMS!A75</f>
        <v>Rent/Lease Expense</v>
      </c>
      <c r="B75" s="63">
        <f t="shared" si="6"/>
        <v>180</v>
      </c>
      <c r="C75" s="62">
        <v>15</v>
      </c>
      <c r="D75" s="62">
        <v>15</v>
      </c>
      <c r="E75" s="62">
        <v>15</v>
      </c>
      <c r="F75" s="62">
        <v>15</v>
      </c>
      <c r="G75" s="62">
        <v>15</v>
      </c>
      <c r="H75" s="62">
        <v>15</v>
      </c>
      <c r="I75" s="62">
        <v>15</v>
      </c>
      <c r="J75" s="62">
        <v>15</v>
      </c>
      <c r="K75" s="62">
        <v>15</v>
      </c>
      <c r="L75" s="62">
        <v>15</v>
      </c>
      <c r="M75" s="62">
        <v>15</v>
      </c>
      <c r="N75" s="62">
        <v>15</v>
      </c>
    </row>
    <row r="76" spans="1:14" x14ac:dyDescent="0.2">
      <c r="A76" s="61" t="str">
        <f>CMS!A76</f>
        <v>Utilities</v>
      </c>
      <c r="B76" s="63">
        <f t="shared" si="6"/>
        <v>0</v>
      </c>
      <c r="C76" s="63"/>
      <c r="D76" s="62"/>
      <c r="E76" s="62"/>
      <c r="F76" s="62"/>
      <c r="G76" s="62"/>
      <c r="H76" s="62"/>
      <c r="I76" s="62"/>
      <c r="J76" s="62"/>
      <c r="K76" s="62"/>
      <c r="L76" s="62"/>
      <c r="M76" s="62"/>
      <c r="N76" s="62"/>
    </row>
    <row r="77" spans="1:14" x14ac:dyDescent="0.2">
      <c r="A77" s="61" t="str">
        <f>CMS!A77</f>
        <v>Bank Fees/Late Fees</v>
      </c>
      <c r="B77" s="63">
        <f t="shared" si="6"/>
        <v>0</v>
      </c>
      <c r="C77" s="63"/>
      <c r="D77" s="62"/>
      <c r="E77" s="62"/>
      <c r="F77" s="62"/>
      <c r="G77" s="62"/>
      <c r="H77" s="62"/>
      <c r="I77" s="62"/>
      <c r="J77" s="62"/>
      <c r="K77" s="62"/>
      <c r="L77" s="62"/>
      <c r="M77" s="62"/>
      <c r="N77" s="62"/>
    </row>
    <row r="78" spans="1:14" x14ac:dyDescent="0.2">
      <c r="A78" s="61" t="str">
        <f>CMS!A78</f>
        <v>Bad Debt Expense</v>
      </c>
      <c r="B78" s="63">
        <f t="shared" si="6"/>
        <v>0</v>
      </c>
      <c r="C78" s="62"/>
      <c r="D78" s="62"/>
      <c r="E78" s="62"/>
      <c r="F78" s="62"/>
      <c r="G78" s="62"/>
      <c r="H78" s="62"/>
      <c r="I78" s="62"/>
      <c r="J78" s="62"/>
      <c r="K78" s="62"/>
      <c r="L78" s="62"/>
      <c r="M78" s="62"/>
      <c r="N78" s="62"/>
    </row>
    <row r="79" spans="1:14" x14ac:dyDescent="0.2">
      <c r="A79" s="61" t="str">
        <f>CMS!A79</f>
        <v>Interest Expense</v>
      </c>
      <c r="B79" s="63">
        <f t="shared" si="6"/>
        <v>0</v>
      </c>
      <c r="C79" s="62"/>
      <c r="D79" s="62"/>
      <c r="E79" s="62"/>
      <c r="F79" s="62"/>
      <c r="G79" s="62"/>
      <c r="H79" s="62"/>
      <c r="I79" s="62"/>
      <c r="J79" s="62"/>
      <c r="K79" s="62"/>
      <c r="L79" s="62"/>
      <c r="M79" s="62"/>
      <c r="N79" s="62"/>
    </row>
    <row r="80" spans="1:14" x14ac:dyDescent="0.2">
      <c r="A80" s="61" t="str">
        <f>CMS!A80</f>
        <v>Meeting Expense</v>
      </c>
      <c r="B80" s="63">
        <f t="shared" si="6"/>
        <v>650</v>
      </c>
      <c r="C80" s="62">
        <v>50</v>
      </c>
      <c r="D80" s="62">
        <v>50</v>
      </c>
      <c r="E80" s="62">
        <v>50</v>
      </c>
      <c r="F80" s="62">
        <v>50</v>
      </c>
      <c r="G80" s="62">
        <v>50</v>
      </c>
      <c r="H80" s="62"/>
      <c r="I80" s="62"/>
      <c r="J80" s="62"/>
      <c r="K80" s="62">
        <v>250</v>
      </c>
      <c r="L80" s="62">
        <v>50</v>
      </c>
      <c r="M80" s="62">
        <v>50</v>
      </c>
      <c r="N80" s="62">
        <v>50</v>
      </c>
    </row>
    <row r="81" spans="1:14" x14ac:dyDescent="0.2">
      <c r="A81" s="61" t="s">
        <v>272</v>
      </c>
      <c r="B81" s="63">
        <f t="shared" si="6"/>
        <v>324</v>
      </c>
      <c r="C81" s="62">
        <f>C41</f>
        <v>27</v>
      </c>
      <c r="D81" s="62">
        <f t="shared" ref="D81:N81" si="9">D41</f>
        <v>27</v>
      </c>
      <c r="E81" s="62">
        <f t="shared" si="9"/>
        <v>27</v>
      </c>
      <c r="F81" s="62">
        <f t="shared" si="9"/>
        <v>27</v>
      </c>
      <c r="G81" s="62">
        <f t="shared" si="9"/>
        <v>27</v>
      </c>
      <c r="H81" s="62">
        <f t="shared" si="9"/>
        <v>27</v>
      </c>
      <c r="I81" s="62">
        <f t="shared" si="9"/>
        <v>27</v>
      </c>
      <c r="J81" s="62">
        <f t="shared" si="9"/>
        <v>27</v>
      </c>
      <c r="K81" s="62">
        <f t="shared" si="9"/>
        <v>27</v>
      </c>
      <c r="L81" s="62">
        <f t="shared" si="9"/>
        <v>27</v>
      </c>
      <c r="M81" s="62">
        <f t="shared" si="9"/>
        <v>27</v>
      </c>
      <c r="N81" s="62">
        <f t="shared" si="9"/>
        <v>27</v>
      </c>
    </row>
    <row r="82" spans="1:14" s="101" customFormat="1" ht="13.5" thickBot="1" x14ac:dyDescent="0.25">
      <c r="A82" s="61" t="s">
        <v>524</v>
      </c>
      <c r="B82" s="63">
        <f t="shared" si="6"/>
        <v>3400</v>
      </c>
      <c r="C82" s="63"/>
      <c r="D82" s="93"/>
      <c r="E82" s="93"/>
      <c r="F82" s="93"/>
      <c r="G82" s="93"/>
      <c r="H82" s="93">
        <v>500</v>
      </c>
      <c r="I82" s="93">
        <v>500</v>
      </c>
      <c r="J82" s="93">
        <v>2300</v>
      </c>
      <c r="K82" s="93">
        <v>100</v>
      </c>
      <c r="L82" s="93"/>
      <c r="M82" s="93"/>
      <c r="N82" s="93"/>
    </row>
    <row r="83" spans="1:14" x14ac:dyDescent="0.2">
      <c r="A83" s="64" t="s">
        <v>24</v>
      </c>
      <c r="B83" s="65">
        <f>SUM(B57:B82)</f>
        <v>7544.7230972861489</v>
      </c>
      <c r="C83" s="65">
        <f t="shared" ref="C83:N83" si="10">SUM(C57:C82)</f>
        <v>714.45626619130257</v>
      </c>
      <c r="D83" s="65">
        <f t="shared" si="10"/>
        <v>264.45626619130257</v>
      </c>
      <c r="E83" s="65">
        <f t="shared" si="10"/>
        <v>264.45626619130257</v>
      </c>
      <c r="F83" s="65">
        <f t="shared" si="10"/>
        <v>264.45626619130257</v>
      </c>
      <c r="G83" s="65">
        <f t="shared" si="10"/>
        <v>764.45626619130257</v>
      </c>
      <c r="H83" s="65">
        <f t="shared" si="10"/>
        <v>708.20581031967606</v>
      </c>
      <c r="I83" s="65">
        <f t="shared" si="10"/>
        <v>703.20544562237478</v>
      </c>
      <c r="J83" s="65">
        <f t="shared" si="10"/>
        <v>2503.205445622375</v>
      </c>
      <c r="K83" s="65">
        <f t="shared" si="10"/>
        <v>564.45626619130257</v>
      </c>
      <c r="L83" s="65">
        <f t="shared" si="10"/>
        <v>264.45626619130257</v>
      </c>
      <c r="M83" s="65">
        <f t="shared" si="10"/>
        <v>264.45626619130257</v>
      </c>
      <c r="N83" s="65">
        <f t="shared" si="10"/>
        <v>264.45626619130257</v>
      </c>
    </row>
    <row r="84" spans="1:14" x14ac:dyDescent="0.2">
      <c r="C84" s="60"/>
      <c r="D84" s="66"/>
      <c r="E84" s="66"/>
      <c r="F84" s="66"/>
      <c r="G84" s="66"/>
      <c r="H84" s="66"/>
      <c r="I84" s="66"/>
      <c r="J84" s="66"/>
      <c r="K84" s="66"/>
      <c r="L84" s="66"/>
      <c r="M84" s="66"/>
      <c r="N84" s="66"/>
    </row>
    <row r="85" spans="1:14" x14ac:dyDescent="0.2">
      <c r="A85" s="28"/>
      <c r="B85" s="86"/>
      <c r="C85" s="86"/>
      <c r="D85" s="86"/>
      <c r="E85" s="86"/>
      <c r="F85" s="86"/>
      <c r="G85" s="86"/>
      <c r="H85" s="86"/>
      <c r="I85" s="86"/>
      <c r="J85" s="86"/>
      <c r="K85" s="86"/>
      <c r="L85" s="86"/>
      <c r="M85" s="86"/>
      <c r="N85" s="86"/>
    </row>
    <row r="86" spans="1:14" x14ac:dyDescent="0.2">
      <c r="A86" s="58" t="s">
        <v>25</v>
      </c>
      <c r="C86" s="60"/>
      <c r="D86" s="66"/>
      <c r="E86" s="66"/>
      <c r="F86" s="66"/>
      <c r="G86" s="66"/>
      <c r="H86" s="66"/>
      <c r="I86" s="66"/>
      <c r="J86" s="66"/>
      <c r="K86" s="66"/>
      <c r="L86" s="66"/>
      <c r="M86" s="66"/>
      <c r="N86" s="66"/>
    </row>
    <row r="87" spans="1:14" x14ac:dyDescent="0.2">
      <c r="A87" s="61" t="s">
        <v>329</v>
      </c>
      <c r="B87" s="63">
        <f>SUM(C87:N87)</f>
        <v>-2981.3900010511766</v>
      </c>
      <c r="C87" s="62">
        <f>SUM('CMS &amp; Fundraising Allocations'!B59)</f>
        <v>-468.11695284583288</v>
      </c>
      <c r="D87" s="62">
        <f>SUM('CMS &amp; Fundraising Allocations'!C59)</f>
        <v>-806.9656093890826</v>
      </c>
      <c r="E87" s="62">
        <f>SUM('CMS &amp; Fundraising Allocations'!D59)</f>
        <v>-1209.0571823441842</v>
      </c>
      <c r="F87" s="62">
        <f>SUM('CMS &amp; Fundraising Allocations'!E59)</f>
        <v>-807.84889034455534</v>
      </c>
      <c r="G87" s="62">
        <f>SUM('CMS &amp; Fundraising Allocations'!F59)</f>
        <v>-767.19588436892013</v>
      </c>
      <c r="H87" s="62">
        <f>SUM('CMS &amp; Fundraising Allocations'!G59)</f>
        <v>-803.73243050676842</v>
      </c>
      <c r="I87" s="62">
        <f>SUM('CMS &amp; Fundraising Allocations'!H59)</f>
        <v>-163.75737049353287</v>
      </c>
      <c r="J87" s="62">
        <f>SUM('CMS &amp; Fundraising Allocations'!I59)</f>
        <v>-601.28989376486686</v>
      </c>
      <c r="K87" s="62">
        <f>SUM('CMS &amp; Fundraising Allocations'!J59)</f>
        <v>-791.81734100272422</v>
      </c>
      <c r="L87" s="62">
        <f>SUM('CMS &amp; Fundraising Allocations'!K59)</f>
        <v>-698.54287210479742</v>
      </c>
      <c r="M87" s="62">
        <f>SUM('CMS &amp; Fundraising Allocations'!L59)</f>
        <v>677.32179021128343</v>
      </c>
      <c r="N87" s="62">
        <f>SUM('CMS &amp; Fundraising Allocations'!M59)</f>
        <v>3459.6126359028053</v>
      </c>
    </row>
    <row r="88" spans="1:14" x14ac:dyDescent="0.2">
      <c r="A88" s="61" t="s">
        <v>330</v>
      </c>
      <c r="B88" s="63">
        <f>SUM(C88:N88)</f>
        <v>0</v>
      </c>
      <c r="C88" s="63"/>
      <c r="D88" s="62"/>
      <c r="E88" s="62"/>
      <c r="F88" s="62"/>
      <c r="G88" s="62"/>
      <c r="H88" s="62"/>
      <c r="I88" s="62"/>
      <c r="J88" s="62"/>
      <c r="K88" s="62"/>
      <c r="L88" s="62"/>
      <c r="M88" s="62"/>
      <c r="N88" s="62"/>
    </row>
    <row r="89" spans="1:14" ht="13.5" thickBot="1" x14ac:dyDescent="0.25">
      <c r="A89" s="61"/>
      <c r="B89" s="63">
        <f>SUM(C89:N89)</f>
        <v>0</v>
      </c>
      <c r="C89" s="63"/>
      <c r="D89" s="62"/>
      <c r="E89" s="62"/>
      <c r="F89" s="62"/>
      <c r="G89" s="62"/>
      <c r="H89" s="62"/>
      <c r="I89" s="62"/>
      <c r="J89" s="62"/>
      <c r="K89" s="62"/>
      <c r="L89" s="62"/>
      <c r="M89" s="62"/>
      <c r="N89" s="62"/>
    </row>
    <row r="90" spans="1:14" x14ac:dyDescent="0.2">
      <c r="A90" s="64" t="s">
        <v>26</v>
      </c>
      <c r="B90" s="65">
        <f t="shared" ref="B90:N90" si="11">SUM(B87:B89)</f>
        <v>-2981.3900010511766</v>
      </c>
      <c r="C90" s="65">
        <f t="shared" si="11"/>
        <v>-468.11695284583288</v>
      </c>
      <c r="D90" s="65">
        <f t="shared" si="11"/>
        <v>-806.9656093890826</v>
      </c>
      <c r="E90" s="65">
        <f t="shared" si="11"/>
        <v>-1209.0571823441842</v>
      </c>
      <c r="F90" s="65">
        <f t="shared" si="11"/>
        <v>-807.84889034455534</v>
      </c>
      <c r="G90" s="65">
        <f t="shared" si="11"/>
        <v>-767.19588436892013</v>
      </c>
      <c r="H90" s="65">
        <f t="shared" si="11"/>
        <v>-803.73243050676842</v>
      </c>
      <c r="I90" s="65">
        <f t="shared" si="11"/>
        <v>-163.75737049353287</v>
      </c>
      <c r="J90" s="65">
        <f t="shared" si="11"/>
        <v>-601.28989376486686</v>
      </c>
      <c r="K90" s="65">
        <f t="shared" si="11"/>
        <v>-791.81734100272422</v>
      </c>
      <c r="L90" s="65">
        <f t="shared" si="11"/>
        <v>-698.54287210479742</v>
      </c>
      <c r="M90" s="65">
        <f t="shared" si="11"/>
        <v>677.32179021128343</v>
      </c>
      <c r="N90" s="65">
        <f t="shared" si="11"/>
        <v>3459.6126359028053</v>
      </c>
    </row>
    <row r="91" spans="1:14" x14ac:dyDescent="0.2">
      <c r="C91" s="60"/>
      <c r="D91" s="66"/>
      <c r="E91" s="66"/>
      <c r="F91" s="66"/>
      <c r="G91" s="66"/>
      <c r="H91" s="66"/>
      <c r="I91" s="66"/>
      <c r="J91" s="66"/>
      <c r="K91" s="66"/>
      <c r="L91" s="66"/>
      <c r="M91" s="66"/>
      <c r="N91" s="66"/>
    </row>
    <row r="92" spans="1:14" x14ac:dyDescent="0.2">
      <c r="A92" s="265" t="s">
        <v>405</v>
      </c>
      <c r="B92" s="266"/>
      <c r="C92" s="266">
        <f>SUM(C46-C53-C83-C90)</f>
        <v>0.90337506832383951</v>
      </c>
      <c r="D92" s="266">
        <f t="shared" ref="D92:N92" si="12">SUM(D46-D53-D83-D90)</f>
        <v>789.75203161157356</v>
      </c>
      <c r="E92" s="266">
        <f t="shared" si="12"/>
        <v>1191.8436045666751</v>
      </c>
      <c r="F92" s="266">
        <f t="shared" si="12"/>
        <v>790.6353125670463</v>
      </c>
      <c r="G92" s="266">
        <f t="shared" si="12"/>
        <v>4499.9823065914106</v>
      </c>
      <c r="H92" s="266">
        <f t="shared" si="12"/>
        <v>649.00452360088559</v>
      </c>
      <c r="I92" s="266">
        <f t="shared" si="12"/>
        <v>398.70172028495119</v>
      </c>
      <c r="J92" s="266">
        <f t="shared" si="12"/>
        <v>-963.76575644371508</v>
      </c>
      <c r="K92" s="266">
        <f t="shared" si="12"/>
        <v>474.60376322521518</v>
      </c>
      <c r="L92" s="266">
        <f t="shared" si="12"/>
        <v>681.32929432728838</v>
      </c>
      <c r="M92" s="266">
        <f t="shared" si="12"/>
        <v>-694.53536798879247</v>
      </c>
      <c r="N92" s="267">
        <f t="shared" si="12"/>
        <v>-3480.8262136803141</v>
      </c>
    </row>
    <row r="93" spans="1:14" x14ac:dyDescent="0.2">
      <c r="C93" s="60"/>
      <c r="D93" s="66"/>
      <c r="E93" s="66"/>
      <c r="F93" s="66"/>
      <c r="G93" s="66"/>
      <c r="H93" s="66"/>
      <c r="I93" s="66"/>
      <c r="J93" s="66"/>
      <c r="K93" s="66"/>
      <c r="L93" s="66"/>
      <c r="M93" s="66"/>
      <c r="N93" s="66"/>
    </row>
    <row r="94" spans="1:14" x14ac:dyDescent="0.2">
      <c r="B94" s="86" t="str">
        <f>B5</f>
        <v>Total</v>
      </c>
      <c r="C94" s="86"/>
      <c r="D94" s="66"/>
      <c r="E94" s="66"/>
      <c r="F94" s="66"/>
      <c r="G94" s="66"/>
      <c r="H94" s="66"/>
      <c r="I94" s="66"/>
      <c r="J94" s="66"/>
      <c r="K94" s="66"/>
      <c r="L94" s="66"/>
      <c r="M94" s="66"/>
      <c r="N94" s="66"/>
    </row>
    <row r="95" spans="1:14" x14ac:dyDescent="0.2">
      <c r="A95" s="58" t="s">
        <v>31</v>
      </c>
      <c r="B95" s="60">
        <f>SUM(B46)</f>
        <v>49474</v>
      </c>
      <c r="C95" s="81"/>
      <c r="D95" s="66"/>
      <c r="E95" s="66"/>
      <c r="F95" s="66"/>
      <c r="G95" s="66"/>
      <c r="H95" s="66"/>
      <c r="I95" s="66"/>
      <c r="J95" s="66"/>
      <c r="K95" s="66"/>
      <c r="L95" s="66"/>
      <c r="M95" s="66"/>
      <c r="N95" s="66"/>
    </row>
    <row r="96" spans="1:14" x14ac:dyDescent="0.2">
      <c r="A96" s="58" t="s">
        <v>32</v>
      </c>
      <c r="B96" s="60">
        <f>-B53</f>
        <v>-40573.038310034484</v>
      </c>
      <c r="C96" s="81"/>
      <c r="D96" s="66"/>
      <c r="E96" s="66"/>
      <c r="F96" s="66"/>
      <c r="G96" s="66"/>
      <c r="H96" s="66"/>
      <c r="I96" s="66"/>
      <c r="J96" s="66"/>
      <c r="K96" s="66"/>
      <c r="L96" s="66"/>
      <c r="M96" s="66"/>
      <c r="N96" s="66"/>
    </row>
    <row r="97" spans="1:14" x14ac:dyDescent="0.2">
      <c r="A97" s="58" t="s">
        <v>33</v>
      </c>
      <c r="B97" s="60">
        <f>SUM(-B83)</f>
        <v>-7544.7230972861489</v>
      </c>
      <c r="C97" s="81"/>
      <c r="D97" s="66"/>
      <c r="E97" s="66"/>
      <c r="F97" s="66"/>
      <c r="G97" s="66"/>
      <c r="H97" s="66"/>
      <c r="I97" s="66"/>
      <c r="J97" s="66"/>
      <c r="K97" s="66"/>
      <c r="L97" s="66"/>
      <c r="M97" s="66"/>
      <c r="N97" s="66"/>
    </row>
    <row r="98" spans="1:14" x14ac:dyDescent="0.2">
      <c r="A98" s="58" t="s">
        <v>182</v>
      </c>
      <c r="B98" s="60">
        <f>SUM(B90)</f>
        <v>-2981.3900010511766</v>
      </c>
      <c r="C98" s="81"/>
      <c r="D98" s="66"/>
      <c r="E98" s="66"/>
      <c r="F98" s="66"/>
      <c r="G98" s="66"/>
      <c r="H98" s="66"/>
      <c r="I98" s="66"/>
      <c r="J98" s="66"/>
      <c r="K98" s="66"/>
      <c r="L98" s="66"/>
      <c r="M98" s="66"/>
      <c r="N98" s="66"/>
    </row>
    <row r="99" spans="1:14" x14ac:dyDescent="0.2">
      <c r="A99" s="87" t="s">
        <v>35</v>
      </c>
      <c r="B99" s="88">
        <f>SUM(B95:B98)</f>
        <v>-1625.1514083718098</v>
      </c>
      <c r="C99" s="81"/>
      <c r="D99" s="66"/>
      <c r="E99" s="73"/>
      <c r="F99" s="66"/>
      <c r="G99" s="81"/>
      <c r="H99" s="81"/>
      <c r="I99" s="66"/>
      <c r="J99" s="66"/>
      <c r="K99" s="66"/>
      <c r="L99" s="66"/>
      <c r="M99" s="66"/>
      <c r="N99" s="66"/>
    </row>
    <row r="100" spans="1:14" x14ac:dyDescent="0.2">
      <c r="C100" s="81"/>
      <c r="D100" s="66"/>
      <c r="E100" s="66"/>
      <c r="F100" s="66"/>
      <c r="G100" s="66"/>
      <c r="H100" s="66"/>
      <c r="I100" s="66"/>
      <c r="J100" s="66"/>
      <c r="K100" s="66"/>
      <c r="L100" s="66"/>
      <c r="M100" s="66"/>
      <c r="N100" s="66"/>
    </row>
    <row r="101" spans="1:14" x14ac:dyDescent="0.2">
      <c r="C101" s="60"/>
      <c r="D101" s="66"/>
      <c r="E101" s="66"/>
      <c r="F101" s="66"/>
      <c r="G101" s="66"/>
      <c r="H101" s="66"/>
      <c r="I101" s="66"/>
      <c r="J101" s="66"/>
      <c r="K101" s="66"/>
      <c r="L101" s="66"/>
      <c r="M101" s="66"/>
      <c r="N101" s="66"/>
    </row>
    <row r="102" spans="1:14" x14ac:dyDescent="0.2">
      <c r="A102" s="58"/>
      <c r="B102" s="60" t="s">
        <v>183</v>
      </c>
      <c r="C102" s="75">
        <f>SUM(C108+C121+C134+C147+C160+C173+C186+C199)</f>
        <v>0.80724137931034479</v>
      </c>
      <c r="D102" s="75">
        <f t="shared" ref="D102:N102" si="13">SUM(D108+D121+D134+D147+D160+D173+D186+D199)</f>
        <v>0.80724137931034479</v>
      </c>
      <c r="E102" s="75">
        <f t="shared" si="13"/>
        <v>0.80724137931034479</v>
      </c>
      <c r="F102" s="75">
        <f t="shared" si="13"/>
        <v>0.80724137931034479</v>
      </c>
      <c r="G102" s="75">
        <f t="shared" si="13"/>
        <v>0.80724137931034479</v>
      </c>
      <c r="H102" s="75">
        <f t="shared" si="13"/>
        <v>0.7072413793103447</v>
      </c>
      <c r="I102" s="75">
        <f t="shared" si="13"/>
        <v>0.62724137931034474</v>
      </c>
      <c r="J102" s="75">
        <f t="shared" si="13"/>
        <v>0.62724137931034474</v>
      </c>
      <c r="K102" s="75">
        <f t="shared" si="13"/>
        <v>0.80724137931034479</v>
      </c>
      <c r="L102" s="75">
        <f t="shared" si="13"/>
        <v>0.80724137931034479</v>
      </c>
      <c r="M102" s="75">
        <f t="shared" si="13"/>
        <v>0.80724137931034479</v>
      </c>
      <c r="N102" s="75">
        <f t="shared" si="13"/>
        <v>0.80724137931034479</v>
      </c>
    </row>
    <row r="103" spans="1:14" x14ac:dyDescent="0.2">
      <c r="A103" s="58"/>
      <c r="C103" s="73"/>
      <c r="D103" s="66"/>
      <c r="E103" s="66"/>
      <c r="F103" s="66"/>
      <c r="G103" s="66"/>
      <c r="H103" s="66"/>
      <c r="I103" s="66"/>
      <c r="J103" s="66"/>
      <c r="K103" s="66"/>
      <c r="L103" s="66"/>
      <c r="M103" s="66"/>
    </row>
    <row r="104" spans="1:14" x14ac:dyDescent="0.2">
      <c r="A104" s="116" t="s">
        <v>184</v>
      </c>
      <c r="B104" s="92"/>
      <c r="C104" s="25"/>
      <c r="D104" s="91"/>
      <c r="E104" s="91"/>
      <c r="F104" s="91"/>
      <c r="G104" s="91"/>
      <c r="H104" s="91"/>
      <c r="I104" s="91"/>
      <c r="J104" s="91"/>
      <c r="K104" s="91"/>
      <c r="L104" s="91"/>
      <c r="M104" s="91"/>
      <c r="N104" s="27"/>
    </row>
    <row r="105" spans="1:14" x14ac:dyDescent="0.2">
      <c r="C105" s="89" t="str">
        <f t="shared" ref="C105:N105" si="14">C5</f>
        <v>January</v>
      </c>
      <c r="D105" s="89" t="str">
        <f t="shared" si="14"/>
        <v>February</v>
      </c>
      <c r="E105" s="89" t="str">
        <f t="shared" si="14"/>
        <v>March</v>
      </c>
      <c r="F105" s="89" t="str">
        <f t="shared" si="14"/>
        <v>April</v>
      </c>
      <c r="G105" s="89" t="str">
        <f t="shared" si="14"/>
        <v>May</v>
      </c>
      <c r="H105" s="89" t="str">
        <f t="shared" si="14"/>
        <v>June</v>
      </c>
      <c r="I105" s="89" t="str">
        <f t="shared" si="14"/>
        <v>July</v>
      </c>
      <c r="J105" s="89" t="str">
        <f t="shared" si="14"/>
        <v>August</v>
      </c>
      <c r="K105" s="89" t="str">
        <f t="shared" si="14"/>
        <v>September</v>
      </c>
      <c r="L105" s="89" t="str">
        <f t="shared" si="14"/>
        <v>October</v>
      </c>
      <c r="M105" s="89" t="str">
        <f t="shared" si="14"/>
        <v>November</v>
      </c>
      <c r="N105" s="89" t="str">
        <f t="shared" si="14"/>
        <v>December</v>
      </c>
    </row>
    <row r="106" spans="1:14" x14ac:dyDescent="0.2">
      <c r="C106" s="72">
        <v>30</v>
      </c>
      <c r="D106" s="72">
        <v>31</v>
      </c>
      <c r="E106" s="72">
        <v>30</v>
      </c>
      <c r="F106" s="72">
        <v>31</v>
      </c>
      <c r="G106" s="72">
        <v>31</v>
      </c>
      <c r="H106" s="72">
        <v>30</v>
      </c>
      <c r="I106" s="72">
        <v>31</v>
      </c>
      <c r="J106" s="72">
        <v>30</v>
      </c>
      <c r="K106" s="72">
        <v>31</v>
      </c>
      <c r="L106" s="72">
        <v>31</v>
      </c>
      <c r="M106" s="72">
        <v>28</v>
      </c>
      <c r="N106" s="71">
        <v>31</v>
      </c>
    </row>
    <row r="107" spans="1:14" x14ac:dyDescent="0.2">
      <c r="B107" s="89" t="s">
        <v>185</v>
      </c>
      <c r="C107" s="53"/>
      <c r="D107" s="53">
        <v>1</v>
      </c>
      <c r="E107" s="53"/>
      <c r="F107" s="53">
        <v>1</v>
      </c>
      <c r="G107" s="53"/>
      <c r="H107" s="53">
        <v>1</v>
      </c>
      <c r="I107" s="53">
        <v>1</v>
      </c>
      <c r="J107" s="53">
        <v>1</v>
      </c>
      <c r="K107" s="53">
        <v>1</v>
      </c>
      <c r="L107" s="53">
        <v>2</v>
      </c>
      <c r="M107" s="53">
        <v>1</v>
      </c>
      <c r="N107" s="59"/>
    </row>
    <row r="108" spans="1:14" x14ac:dyDescent="0.2">
      <c r="B108" s="89" t="s">
        <v>44</v>
      </c>
      <c r="C108" s="49">
        <v>0.57999999999999996</v>
      </c>
      <c r="D108" s="49">
        <v>0.57999999999999996</v>
      </c>
      <c r="E108" s="49">
        <v>0.57999999999999996</v>
      </c>
      <c r="F108" s="49">
        <v>0.57999999999999996</v>
      </c>
      <c r="G108" s="49">
        <v>0.57999999999999996</v>
      </c>
      <c r="H108" s="49">
        <v>0.57999999999999996</v>
      </c>
      <c r="I108" s="49">
        <v>0.5</v>
      </c>
      <c r="J108" s="49">
        <v>0.5</v>
      </c>
      <c r="K108" s="49">
        <v>0.57999999999999996</v>
      </c>
      <c r="L108" s="49">
        <v>0.57999999999999996</v>
      </c>
      <c r="M108" s="49">
        <v>0.57999999999999996</v>
      </c>
      <c r="N108" s="49">
        <v>0.57999999999999996</v>
      </c>
    </row>
    <row r="109" spans="1:14" x14ac:dyDescent="0.2">
      <c r="B109" s="89" t="s">
        <v>186</v>
      </c>
      <c r="C109" s="53">
        <f>SUM(174*C108)</f>
        <v>100.91999999999999</v>
      </c>
      <c r="D109" s="53">
        <f t="shared" ref="D109:N109" si="15">SUM(174*D108)</f>
        <v>100.91999999999999</v>
      </c>
      <c r="E109" s="53">
        <f t="shared" si="15"/>
        <v>100.91999999999999</v>
      </c>
      <c r="F109" s="53">
        <f t="shared" si="15"/>
        <v>100.91999999999999</v>
      </c>
      <c r="G109" s="53">
        <f t="shared" si="15"/>
        <v>100.91999999999999</v>
      </c>
      <c r="H109" s="53">
        <f t="shared" si="15"/>
        <v>100.91999999999999</v>
      </c>
      <c r="I109" s="53">
        <f t="shared" si="15"/>
        <v>87</v>
      </c>
      <c r="J109" s="53">
        <f t="shared" si="15"/>
        <v>87</v>
      </c>
      <c r="K109" s="53">
        <f t="shared" si="15"/>
        <v>100.91999999999999</v>
      </c>
      <c r="L109" s="53">
        <f t="shared" si="15"/>
        <v>100.91999999999999</v>
      </c>
      <c r="M109" s="53">
        <f t="shared" si="15"/>
        <v>100.91999999999999</v>
      </c>
      <c r="N109" s="53">
        <f t="shared" si="15"/>
        <v>100.91999999999999</v>
      </c>
    </row>
    <row r="110" spans="1:14" x14ac:dyDescent="0.2">
      <c r="A110" s="59" t="s">
        <v>381</v>
      </c>
      <c r="B110" s="78" t="s">
        <v>382</v>
      </c>
      <c r="C110" s="66">
        <f>SUM(C109*$B$111)</f>
        <v>2499.7883999999995</v>
      </c>
      <c r="D110" s="66">
        <f t="shared" ref="D110:N110" si="16">SUM(D109*$B$111)</f>
        <v>2499.7883999999995</v>
      </c>
      <c r="E110" s="66">
        <f t="shared" si="16"/>
        <v>2499.7883999999995</v>
      </c>
      <c r="F110" s="66">
        <f t="shared" si="16"/>
        <v>2499.7883999999995</v>
      </c>
      <c r="G110" s="66">
        <f t="shared" si="16"/>
        <v>2499.7883999999995</v>
      </c>
      <c r="H110" s="66">
        <f t="shared" si="16"/>
        <v>2499.7883999999995</v>
      </c>
      <c r="I110" s="66">
        <f t="shared" si="16"/>
        <v>2154.9899999999998</v>
      </c>
      <c r="J110" s="66">
        <f t="shared" si="16"/>
        <v>2154.9899999999998</v>
      </c>
      <c r="K110" s="66">
        <f t="shared" si="16"/>
        <v>2499.7883999999995</v>
      </c>
      <c r="L110" s="66">
        <f t="shared" si="16"/>
        <v>2499.7883999999995</v>
      </c>
      <c r="M110" s="66">
        <f t="shared" si="16"/>
        <v>2499.7883999999995</v>
      </c>
      <c r="N110" s="66">
        <f t="shared" si="16"/>
        <v>2499.7883999999995</v>
      </c>
    </row>
    <row r="111" spans="1:14" x14ac:dyDescent="0.2">
      <c r="A111" s="59" t="s">
        <v>188</v>
      </c>
      <c r="B111" s="74">
        <v>24.77</v>
      </c>
      <c r="C111" s="66">
        <f>SUM(C110)*'Data Links'!$B$15</f>
        <v>191.23381259999996</v>
      </c>
      <c r="D111" s="66">
        <f>SUM(D110)*'Data Links'!$B$15</f>
        <v>191.23381259999996</v>
      </c>
      <c r="E111" s="66">
        <f>SUM(E110)*'Data Links'!$B$15</f>
        <v>191.23381259999996</v>
      </c>
      <c r="F111" s="66">
        <f>SUM(F110)*'Data Links'!$B$15</f>
        <v>191.23381259999996</v>
      </c>
      <c r="G111" s="66">
        <f>SUM(G110)*'Data Links'!$B$15</f>
        <v>191.23381259999996</v>
      </c>
      <c r="H111" s="66">
        <f>SUM(H110)*'Data Links'!$B$15</f>
        <v>191.23381259999996</v>
      </c>
      <c r="I111" s="66">
        <f>SUM(I110)*'Data Links'!$B$15</f>
        <v>164.85673499999999</v>
      </c>
      <c r="J111" s="66">
        <f>SUM(J110)*'Data Links'!$B$15</f>
        <v>164.85673499999999</v>
      </c>
      <c r="K111" s="66">
        <f>SUM(K110)*'Data Links'!$B$15</f>
        <v>191.23381259999996</v>
      </c>
      <c r="L111" s="66">
        <f>SUM(L110)*'Data Links'!$B$15</f>
        <v>191.23381259999996</v>
      </c>
      <c r="M111" s="66">
        <f>SUM(M110)*'Data Links'!$B$15</f>
        <v>191.23381259999996</v>
      </c>
      <c r="N111" s="66">
        <f>SUM(N110)*'Data Links'!$B$15</f>
        <v>191.23381259999996</v>
      </c>
    </row>
    <row r="112" spans="1:14" x14ac:dyDescent="0.2">
      <c r="A112" s="59" t="s">
        <v>189</v>
      </c>
      <c r="C112" s="66">
        <f>SUM(C110*'Data Links'!$B$13)</f>
        <v>14.998730399999998</v>
      </c>
      <c r="D112" s="66">
        <f>SUM(D110*'Data Links'!$B$13)</f>
        <v>14.998730399999998</v>
      </c>
      <c r="E112" s="66">
        <f>SUM(E110*'Data Links'!$B$13)</f>
        <v>14.998730399999998</v>
      </c>
      <c r="F112" s="66">
        <f>SUM(F110*'Data Links'!$B$13)</f>
        <v>14.998730399999998</v>
      </c>
      <c r="G112" s="66">
        <f>SUM(G110*'Data Links'!$B$13)</f>
        <v>14.998730399999998</v>
      </c>
      <c r="H112" s="66">
        <f>SUM(H110*'Data Links'!$B$13)</f>
        <v>14.998730399999998</v>
      </c>
      <c r="I112" s="66">
        <f>SUM(I110*'Data Links'!$B$13)</f>
        <v>12.929939999999998</v>
      </c>
      <c r="J112" s="66">
        <f>SUM(J110*'Data Links'!$B$13)</f>
        <v>12.929939999999998</v>
      </c>
      <c r="K112" s="66">
        <f>SUM(K110*'Data Links'!$B$13)</f>
        <v>14.998730399999998</v>
      </c>
      <c r="L112" s="66">
        <f>SUM(L110*'Data Links'!$B$13)</f>
        <v>14.998730399999998</v>
      </c>
      <c r="M112" s="66">
        <f>SUM(M110*'Data Links'!$B$13)</f>
        <v>14.998730399999998</v>
      </c>
      <c r="N112" s="66">
        <f>SUM(N110*'Data Links'!$B$13)</f>
        <v>14.998730399999998</v>
      </c>
    </row>
    <row r="113" spans="1:14" x14ac:dyDescent="0.2">
      <c r="A113" s="59" t="s">
        <v>190</v>
      </c>
      <c r="C113" s="66">
        <f>SUM(C109*'Data Links'!$B$8)</f>
        <v>7.8566219999999989</v>
      </c>
      <c r="D113" s="66">
        <f>SUM(D109*'Data Links'!$B$8)</f>
        <v>7.8566219999999989</v>
      </c>
      <c r="E113" s="66">
        <f>SUM(E109*'Data Links'!$B$8)</f>
        <v>7.8566219999999989</v>
      </c>
      <c r="F113" s="66">
        <f>SUM(F109*'Data Links'!$B$8)</f>
        <v>7.8566219999999989</v>
      </c>
      <c r="G113" s="66">
        <f>SUM(G109*'Data Links'!$B$8)</f>
        <v>7.8566219999999989</v>
      </c>
      <c r="H113" s="66">
        <f>SUM(H109*'Data Links'!$B$8)</f>
        <v>7.8566219999999989</v>
      </c>
      <c r="I113" s="66">
        <f>SUM(I109*'Data Links'!$B$8)</f>
        <v>6.7729499999999998</v>
      </c>
      <c r="J113" s="66">
        <f>SUM(J109*'Data Links'!$B$8)</f>
        <v>6.7729499999999998</v>
      </c>
      <c r="K113" s="66">
        <f>SUM(K109*'Data Links'!$B$8)</f>
        <v>7.8566219999999989</v>
      </c>
      <c r="L113" s="66">
        <f>SUM(L109*'Data Links'!$B$8)</f>
        <v>7.8566219999999989</v>
      </c>
      <c r="M113" s="66">
        <f>SUM(M109*'Data Links'!$B$8)</f>
        <v>7.8566219999999989</v>
      </c>
      <c r="N113" s="66">
        <f>SUM(N109*'Data Links'!$B$8)</f>
        <v>7.8566219999999989</v>
      </c>
    </row>
    <row r="114" spans="1:14" x14ac:dyDescent="0.2">
      <c r="A114" s="59" t="s">
        <v>191</v>
      </c>
      <c r="C114" s="66"/>
      <c r="D114" s="66"/>
      <c r="E114" s="66"/>
      <c r="F114" s="66"/>
      <c r="G114" s="66"/>
      <c r="H114" s="66"/>
      <c r="I114" s="66"/>
      <c r="J114" s="66"/>
      <c r="K114" s="66"/>
      <c r="L114" s="66"/>
      <c r="M114" s="66"/>
      <c r="N114" s="66"/>
    </row>
    <row r="115" spans="1:14" x14ac:dyDescent="0.2">
      <c r="A115" s="59" t="s">
        <v>192</v>
      </c>
      <c r="C115" s="66">
        <f>SUM(C110*'Data Links'!$B$17)</f>
        <v>74.993651999999983</v>
      </c>
      <c r="D115" s="66">
        <f>SUM(D110*'Data Links'!$B$17)</f>
        <v>74.993651999999983</v>
      </c>
      <c r="E115" s="66">
        <f>SUM(E110*'Data Links'!$B$17)</f>
        <v>74.993651999999983</v>
      </c>
      <c r="F115" s="66">
        <f>SUM(F110*'Data Links'!$B$17)</f>
        <v>74.993651999999983</v>
      </c>
      <c r="G115" s="66">
        <f>SUM(G110*'Data Links'!$B$17)</f>
        <v>74.993651999999983</v>
      </c>
      <c r="H115" s="66">
        <f>SUM(H110*'Data Links'!$B$17)</f>
        <v>74.993651999999983</v>
      </c>
      <c r="I115" s="66">
        <f>SUM(I110*'Data Links'!$B$17)</f>
        <v>64.649699999999996</v>
      </c>
      <c r="J115" s="66">
        <f>SUM(J110*'Data Links'!$B$17)</f>
        <v>64.649699999999996</v>
      </c>
      <c r="K115" s="66">
        <f>SUM(K110*'Data Links'!$B$17)</f>
        <v>74.993651999999983</v>
      </c>
      <c r="L115" s="66">
        <f>SUM(L110*'Data Links'!$B$17)</f>
        <v>74.993651999999983</v>
      </c>
      <c r="M115" s="66">
        <f>SUM(M110*'Data Links'!$B$17)</f>
        <v>74.993651999999983</v>
      </c>
      <c r="N115" s="66">
        <f>SUM(N110*'Data Links'!$B$17)</f>
        <v>74.993651999999983</v>
      </c>
    </row>
    <row r="116" spans="1:14" s="58" customFormat="1" x14ac:dyDescent="0.2">
      <c r="A116" s="58" t="s">
        <v>144</v>
      </c>
      <c r="B116" s="60"/>
      <c r="C116" s="60">
        <f t="shared" ref="C116:N116" si="17">SUM(C110:C115)</f>
        <v>2788.8712169999994</v>
      </c>
      <c r="D116" s="60">
        <f t="shared" si="17"/>
        <v>2788.8712169999994</v>
      </c>
      <c r="E116" s="60">
        <f t="shared" si="17"/>
        <v>2788.8712169999994</v>
      </c>
      <c r="F116" s="60">
        <f t="shared" si="17"/>
        <v>2788.8712169999994</v>
      </c>
      <c r="G116" s="60">
        <f t="shared" si="17"/>
        <v>2788.8712169999994</v>
      </c>
      <c r="H116" s="60">
        <f t="shared" si="17"/>
        <v>2788.8712169999994</v>
      </c>
      <c r="I116" s="60">
        <f t="shared" si="17"/>
        <v>2404.1993249999996</v>
      </c>
      <c r="J116" s="60">
        <f t="shared" si="17"/>
        <v>2404.1993249999996</v>
      </c>
      <c r="K116" s="60">
        <f t="shared" si="17"/>
        <v>2788.8712169999994</v>
      </c>
      <c r="L116" s="60">
        <f t="shared" si="17"/>
        <v>2788.8712169999994</v>
      </c>
      <c r="M116" s="60">
        <f t="shared" si="17"/>
        <v>2788.8712169999994</v>
      </c>
      <c r="N116" s="60">
        <f t="shared" si="17"/>
        <v>2788.8712169999994</v>
      </c>
    </row>
    <row r="117" spans="1:14" x14ac:dyDescent="0.2">
      <c r="C117" s="60"/>
      <c r="D117" s="66"/>
      <c r="E117" s="66"/>
      <c r="F117" s="66"/>
      <c r="G117" s="66"/>
      <c r="H117" s="66"/>
      <c r="I117" s="66"/>
      <c r="J117" s="66"/>
      <c r="K117" s="66"/>
      <c r="L117" s="66"/>
      <c r="M117" s="66"/>
      <c r="N117" s="66"/>
    </row>
    <row r="118" spans="1:14" x14ac:dyDescent="0.2">
      <c r="C118" s="89" t="str">
        <f>C105</f>
        <v>January</v>
      </c>
      <c r="D118" s="89" t="str">
        <f t="shared" ref="D118:N120" si="18">D105</f>
        <v>February</v>
      </c>
      <c r="E118" s="89" t="str">
        <f t="shared" si="18"/>
        <v>March</v>
      </c>
      <c r="F118" s="89" t="str">
        <f t="shared" si="18"/>
        <v>April</v>
      </c>
      <c r="G118" s="89" t="str">
        <f t="shared" si="18"/>
        <v>May</v>
      </c>
      <c r="H118" s="89" t="str">
        <f t="shared" si="18"/>
        <v>June</v>
      </c>
      <c r="I118" s="89" t="str">
        <f t="shared" si="18"/>
        <v>July</v>
      </c>
      <c r="J118" s="89" t="str">
        <f t="shared" si="18"/>
        <v>August</v>
      </c>
      <c r="K118" s="89" t="str">
        <f t="shared" si="18"/>
        <v>September</v>
      </c>
      <c r="L118" s="89" t="str">
        <f t="shared" si="18"/>
        <v>October</v>
      </c>
      <c r="M118" s="89" t="str">
        <f t="shared" si="18"/>
        <v>November</v>
      </c>
      <c r="N118" s="89" t="str">
        <f t="shared" si="18"/>
        <v>December</v>
      </c>
    </row>
    <row r="119" spans="1:14" x14ac:dyDescent="0.2">
      <c r="C119" s="72">
        <f>C106</f>
        <v>30</v>
      </c>
      <c r="D119" s="72">
        <f t="shared" si="18"/>
        <v>31</v>
      </c>
      <c r="E119" s="72">
        <f t="shared" si="18"/>
        <v>30</v>
      </c>
      <c r="F119" s="72">
        <f t="shared" si="18"/>
        <v>31</v>
      </c>
      <c r="G119" s="72">
        <f t="shared" si="18"/>
        <v>31</v>
      </c>
      <c r="H119" s="72">
        <f t="shared" si="18"/>
        <v>30</v>
      </c>
      <c r="I119" s="72">
        <f t="shared" si="18"/>
        <v>31</v>
      </c>
      <c r="J119" s="72">
        <f t="shared" si="18"/>
        <v>30</v>
      </c>
      <c r="K119" s="72">
        <f t="shared" si="18"/>
        <v>31</v>
      </c>
      <c r="L119" s="72">
        <f t="shared" si="18"/>
        <v>31</v>
      </c>
      <c r="M119" s="72">
        <f t="shared" si="18"/>
        <v>28</v>
      </c>
      <c r="N119" s="72">
        <f t="shared" si="18"/>
        <v>31</v>
      </c>
    </row>
    <row r="120" spans="1:14" x14ac:dyDescent="0.2">
      <c r="B120" s="89" t="s">
        <v>185</v>
      </c>
      <c r="C120" s="53">
        <f>C107</f>
        <v>0</v>
      </c>
      <c r="D120" s="53">
        <f t="shared" si="18"/>
        <v>1</v>
      </c>
      <c r="E120" s="53">
        <f t="shared" si="18"/>
        <v>0</v>
      </c>
      <c r="F120" s="53">
        <f t="shared" si="18"/>
        <v>1</v>
      </c>
      <c r="G120" s="53">
        <f t="shared" si="18"/>
        <v>0</v>
      </c>
      <c r="H120" s="53">
        <f t="shared" si="18"/>
        <v>1</v>
      </c>
      <c r="I120" s="53">
        <f t="shared" si="18"/>
        <v>1</v>
      </c>
      <c r="J120" s="53">
        <f t="shared" si="18"/>
        <v>1</v>
      </c>
      <c r="K120" s="53">
        <f t="shared" si="18"/>
        <v>1</v>
      </c>
      <c r="L120" s="53">
        <f t="shared" si="18"/>
        <v>2</v>
      </c>
      <c r="M120" s="53">
        <f t="shared" si="18"/>
        <v>1</v>
      </c>
      <c r="N120" s="53">
        <f t="shared" si="18"/>
        <v>0</v>
      </c>
    </row>
    <row r="121" spans="1:14" x14ac:dyDescent="0.2">
      <c r="B121" s="89" t="s">
        <v>44</v>
      </c>
      <c r="C121" s="228">
        <v>0.2</v>
      </c>
      <c r="D121" s="228">
        <v>0.2</v>
      </c>
      <c r="E121" s="228">
        <v>0.2</v>
      </c>
      <c r="F121" s="228">
        <v>0.2</v>
      </c>
      <c r="G121" s="228">
        <v>0.2</v>
      </c>
      <c r="H121" s="228">
        <v>0.1</v>
      </c>
      <c r="I121" s="228">
        <v>0.1</v>
      </c>
      <c r="J121" s="228">
        <v>0.1</v>
      </c>
      <c r="K121" s="228">
        <v>0.2</v>
      </c>
      <c r="L121" s="228">
        <v>0.2</v>
      </c>
      <c r="M121" s="228">
        <v>0.2</v>
      </c>
      <c r="N121" s="228">
        <v>0.2</v>
      </c>
    </row>
    <row r="122" spans="1:14" x14ac:dyDescent="0.2">
      <c r="B122" s="89" t="s">
        <v>186</v>
      </c>
      <c r="C122" s="53">
        <f>SUM(174*C121)</f>
        <v>34.800000000000004</v>
      </c>
      <c r="D122" s="53">
        <f t="shared" ref="D122:N122" si="19">SUM(174*D121)</f>
        <v>34.800000000000004</v>
      </c>
      <c r="E122" s="53">
        <f t="shared" si="19"/>
        <v>34.800000000000004</v>
      </c>
      <c r="F122" s="53">
        <f t="shared" si="19"/>
        <v>34.800000000000004</v>
      </c>
      <c r="G122" s="53">
        <f t="shared" si="19"/>
        <v>34.800000000000004</v>
      </c>
      <c r="H122" s="53">
        <f t="shared" si="19"/>
        <v>17.400000000000002</v>
      </c>
      <c r="I122" s="53">
        <f t="shared" si="19"/>
        <v>17.400000000000002</v>
      </c>
      <c r="J122" s="53">
        <f t="shared" si="19"/>
        <v>17.400000000000002</v>
      </c>
      <c r="K122" s="53">
        <f t="shared" si="19"/>
        <v>34.800000000000004</v>
      </c>
      <c r="L122" s="53">
        <f t="shared" si="19"/>
        <v>34.800000000000004</v>
      </c>
      <c r="M122" s="53">
        <f t="shared" si="19"/>
        <v>34.800000000000004</v>
      </c>
      <c r="N122" s="53">
        <f t="shared" si="19"/>
        <v>34.800000000000004</v>
      </c>
    </row>
    <row r="123" spans="1:14" x14ac:dyDescent="0.2">
      <c r="A123" s="147" t="s">
        <v>383</v>
      </c>
      <c r="B123" s="78" t="s">
        <v>187</v>
      </c>
      <c r="C123" s="66">
        <f>SUM(C122*$B$124)</f>
        <v>548.1</v>
      </c>
      <c r="D123" s="66">
        <f t="shared" ref="D123:N123" si="20">SUM(D122*$B$124)</f>
        <v>548.1</v>
      </c>
      <c r="E123" s="66">
        <f t="shared" si="20"/>
        <v>548.1</v>
      </c>
      <c r="F123" s="66">
        <f t="shared" si="20"/>
        <v>548.1</v>
      </c>
      <c r="G123" s="66">
        <f t="shared" si="20"/>
        <v>548.1</v>
      </c>
      <c r="H123" s="66">
        <f t="shared" si="20"/>
        <v>274.05</v>
      </c>
      <c r="I123" s="66">
        <f t="shared" si="20"/>
        <v>274.05</v>
      </c>
      <c r="J123" s="66">
        <f t="shared" si="20"/>
        <v>274.05</v>
      </c>
      <c r="K123" s="66">
        <f t="shared" si="20"/>
        <v>548.1</v>
      </c>
      <c r="L123" s="66">
        <f t="shared" si="20"/>
        <v>548.1</v>
      </c>
      <c r="M123" s="66">
        <f t="shared" si="20"/>
        <v>548.1</v>
      </c>
      <c r="N123" s="66">
        <f t="shared" si="20"/>
        <v>548.1</v>
      </c>
    </row>
    <row r="124" spans="1:14" x14ac:dyDescent="0.2">
      <c r="A124" s="59" t="s">
        <v>188</v>
      </c>
      <c r="B124" s="74">
        <v>15.75</v>
      </c>
      <c r="C124" s="66">
        <f>SUM(C123)*'Data Links'!$B$15</f>
        <v>41.929650000000002</v>
      </c>
      <c r="D124" s="66">
        <f>SUM(D123)*'Data Links'!$B$15</f>
        <v>41.929650000000002</v>
      </c>
      <c r="E124" s="66">
        <f>SUM(E123)*'Data Links'!$B$15</f>
        <v>41.929650000000002</v>
      </c>
      <c r="F124" s="66">
        <f>SUM(F123)*'Data Links'!$B$15</f>
        <v>41.929650000000002</v>
      </c>
      <c r="G124" s="66">
        <f>SUM(G123)*'Data Links'!$B$15</f>
        <v>41.929650000000002</v>
      </c>
      <c r="H124" s="66">
        <f>SUM(H123)*'Data Links'!$B$15</f>
        <v>20.964825000000001</v>
      </c>
      <c r="I124" s="66">
        <f>SUM(I123)*'Data Links'!$B$15</f>
        <v>20.964825000000001</v>
      </c>
      <c r="J124" s="66">
        <f>SUM(J123)*'Data Links'!$B$15</f>
        <v>20.964825000000001</v>
      </c>
      <c r="K124" s="66">
        <f>SUM(K123)*'Data Links'!$B$15</f>
        <v>41.929650000000002</v>
      </c>
      <c r="L124" s="66">
        <f>SUM(L123)*'Data Links'!$B$15</f>
        <v>41.929650000000002</v>
      </c>
      <c r="M124" s="66">
        <f>SUM(M123)*'Data Links'!$B$15</f>
        <v>41.929650000000002</v>
      </c>
      <c r="N124" s="66">
        <f>SUM(N123)*'Data Links'!$B$15</f>
        <v>41.929650000000002</v>
      </c>
    </row>
    <row r="125" spans="1:14" x14ac:dyDescent="0.2">
      <c r="A125" s="59" t="s">
        <v>189</v>
      </c>
      <c r="B125" s="74">
        <v>14.66</v>
      </c>
      <c r="C125" s="66">
        <f>SUM(C123*'Data Links'!$B$13)</f>
        <v>3.2886000000000002</v>
      </c>
      <c r="D125" s="66">
        <f>SUM(D123*'Data Links'!$B$13)</f>
        <v>3.2886000000000002</v>
      </c>
      <c r="E125" s="66">
        <f>SUM(E123*'Data Links'!$B$13)</f>
        <v>3.2886000000000002</v>
      </c>
      <c r="F125" s="66">
        <f>SUM(F123*'Data Links'!$B$13)</f>
        <v>3.2886000000000002</v>
      </c>
      <c r="G125" s="66">
        <f>SUM(G123*'Data Links'!$B$13)</f>
        <v>3.2886000000000002</v>
      </c>
      <c r="H125" s="66">
        <f>SUM(H123*'Data Links'!$B$13)</f>
        <v>1.6443000000000001</v>
      </c>
      <c r="I125" s="66">
        <f>SUM(I123*'Data Links'!$B$13)</f>
        <v>1.6443000000000001</v>
      </c>
      <c r="J125" s="66">
        <f>SUM(J123*'Data Links'!$B$13)</f>
        <v>1.6443000000000001</v>
      </c>
      <c r="K125" s="66">
        <f>SUM(K123*'Data Links'!$B$13)</f>
        <v>3.2886000000000002</v>
      </c>
      <c r="L125" s="66">
        <f>SUM(L123*'Data Links'!$B$13)</f>
        <v>3.2886000000000002</v>
      </c>
      <c r="M125" s="66">
        <f>SUM(M123*'Data Links'!$B$13)</f>
        <v>3.2886000000000002</v>
      </c>
      <c r="N125" s="66">
        <f>SUM(N123*'Data Links'!$B$13)</f>
        <v>3.2886000000000002</v>
      </c>
    </row>
    <row r="126" spans="1:14" x14ac:dyDescent="0.2">
      <c r="A126" s="59" t="s">
        <v>190</v>
      </c>
      <c r="C126" s="66">
        <f>SUM(C122*'Data Links'!$B$8)</f>
        <v>2.7091800000000004</v>
      </c>
      <c r="D126" s="66">
        <f>SUM(D122*'Data Links'!$B$8)</f>
        <v>2.7091800000000004</v>
      </c>
      <c r="E126" s="66">
        <f>SUM(E122*'Data Links'!$B$8)</f>
        <v>2.7091800000000004</v>
      </c>
      <c r="F126" s="66">
        <f>SUM(F122*'Data Links'!$B$8)</f>
        <v>2.7091800000000004</v>
      </c>
      <c r="G126" s="66">
        <f>SUM(G122*'Data Links'!$B$8)</f>
        <v>2.7091800000000004</v>
      </c>
      <c r="H126" s="66">
        <f>SUM(H122*'Data Links'!$B$8)</f>
        <v>1.3545900000000002</v>
      </c>
      <c r="I126" s="66">
        <f>SUM(I122*'Data Links'!$B$8)</f>
        <v>1.3545900000000002</v>
      </c>
      <c r="J126" s="66">
        <f>SUM(J122*'Data Links'!$B$8)</f>
        <v>1.3545900000000002</v>
      </c>
      <c r="K126" s="66">
        <f>SUM(K122*'Data Links'!$B$8)</f>
        <v>2.7091800000000004</v>
      </c>
      <c r="L126" s="66">
        <f>SUM(L122*'Data Links'!$B$8)</f>
        <v>2.7091800000000004</v>
      </c>
      <c r="M126" s="66">
        <f>SUM(M122*'Data Links'!$B$8)</f>
        <v>2.7091800000000004</v>
      </c>
      <c r="N126" s="66">
        <f>SUM(N122*'Data Links'!$B$8)</f>
        <v>2.7091800000000004</v>
      </c>
    </row>
    <row r="127" spans="1:14" x14ac:dyDescent="0.2">
      <c r="A127" s="59" t="s">
        <v>191</v>
      </c>
      <c r="C127" s="66">
        <f>SUM('All Employees'!$P$65*0.2)</f>
        <v>0</v>
      </c>
      <c r="D127" s="66">
        <f>SUM('All Employees'!$P$65*0.2)</f>
        <v>0</v>
      </c>
      <c r="E127" s="66">
        <f>SUM('All Employees'!$P$65*0.2)</f>
        <v>0</v>
      </c>
      <c r="F127" s="66">
        <f>SUM('All Employees'!$P$65*0.2)</f>
        <v>0</v>
      </c>
      <c r="G127" s="66">
        <f>SUM('All Employees'!$P$65*0.2)</f>
        <v>0</v>
      </c>
      <c r="H127" s="66">
        <f>SUM('All Employees'!$P$65*0.2)</f>
        <v>0</v>
      </c>
      <c r="I127" s="66">
        <f>SUM('All Employees'!$P$65*0.2)</f>
        <v>0</v>
      </c>
      <c r="J127" s="66">
        <f>SUM('All Employees'!$P$65*0.2)</f>
        <v>0</v>
      </c>
      <c r="K127" s="66">
        <f>SUM('All Employees'!$P$65*0.2)</f>
        <v>0</v>
      </c>
      <c r="L127" s="66">
        <f>SUM('All Employees'!$P$65*0.2)</f>
        <v>0</v>
      </c>
      <c r="M127" s="66">
        <f>SUM('All Employees'!$P$65*0.2)</f>
        <v>0</v>
      </c>
      <c r="N127" s="66">
        <f>SUM('All Employees'!$P$65*0.2)</f>
        <v>0</v>
      </c>
    </row>
    <row r="128" spans="1:14" x14ac:dyDescent="0.2">
      <c r="A128" s="59" t="s">
        <v>192</v>
      </c>
      <c r="C128" s="66">
        <f>SUM(C123*'Data Links'!$B$17)</f>
        <v>16.443000000000001</v>
      </c>
      <c r="D128" s="66">
        <f>SUM(D123*'Data Links'!$B$17)</f>
        <v>16.443000000000001</v>
      </c>
      <c r="E128" s="66">
        <f>SUM(E123*'Data Links'!$B$17)</f>
        <v>16.443000000000001</v>
      </c>
      <c r="F128" s="66">
        <f>SUM(F123*'Data Links'!$B$17)</f>
        <v>16.443000000000001</v>
      </c>
      <c r="G128" s="66">
        <f>SUM(G123*'Data Links'!$B$17)</f>
        <v>16.443000000000001</v>
      </c>
      <c r="H128" s="66">
        <f>SUM(H123*'Data Links'!$B$17)</f>
        <v>8.2215000000000007</v>
      </c>
      <c r="I128" s="66">
        <f>SUM(I123*'Data Links'!$B$17)</f>
        <v>8.2215000000000007</v>
      </c>
      <c r="J128" s="66">
        <f>SUM(J123*'Data Links'!$B$17)</f>
        <v>8.2215000000000007</v>
      </c>
      <c r="K128" s="66">
        <f>SUM(K123*'Data Links'!$B$17)</f>
        <v>16.443000000000001</v>
      </c>
      <c r="L128" s="66">
        <f>SUM(L123*'Data Links'!$B$17)</f>
        <v>16.443000000000001</v>
      </c>
      <c r="M128" s="66">
        <f>SUM(M123*'Data Links'!$B$17)</f>
        <v>16.443000000000001</v>
      </c>
      <c r="N128" s="66">
        <f>SUM(N123*'Data Links'!$B$17)</f>
        <v>16.443000000000001</v>
      </c>
    </row>
    <row r="129" spans="1:14" s="58" customFormat="1" x14ac:dyDescent="0.2">
      <c r="A129" s="58" t="s">
        <v>144</v>
      </c>
      <c r="B129" s="60"/>
      <c r="C129" s="60">
        <f t="shared" ref="C129:N129" si="21">SUM(C123:C128)</f>
        <v>612.47042999999996</v>
      </c>
      <c r="D129" s="60">
        <f t="shared" si="21"/>
        <v>612.47042999999996</v>
      </c>
      <c r="E129" s="60">
        <f t="shared" si="21"/>
        <v>612.47042999999996</v>
      </c>
      <c r="F129" s="60">
        <f t="shared" si="21"/>
        <v>612.47042999999996</v>
      </c>
      <c r="G129" s="60">
        <f t="shared" si="21"/>
        <v>612.47042999999996</v>
      </c>
      <c r="H129" s="60">
        <f t="shared" si="21"/>
        <v>306.23521499999998</v>
      </c>
      <c r="I129" s="60">
        <f t="shared" si="21"/>
        <v>306.23521499999998</v>
      </c>
      <c r="J129" s="60">
        <f t="shared" si="21"/>
        <v>306.23521499999998</v>
      </c>
      <c r="K129" s="60">
        <f t="shared" si="21"/>
        <v>612.47042999999996</v>
      </c>
      <c r="L129" s="60">
        <f t="shared" si="21"/>
        <v>612.47042999999996</v>
      </c>
      <c r="M129" s="60">
        <f t="shared" si="21"/>
        <v>612.47042999999996</v>
      </c>
      <c r="N129" s="60">
        <f t="shared" si="21"/>
        <v>612.47042999999996</v>
      </c>
    </row>
    <row r="130" spans="1:14" x14ac:dyDescent="0.2">
      <c r="C130" s="60"/>
      <c r="D130" s="66"/>
      <c r="E130" s="66"/>
      <c r="F130" s="66"/>
      <c r="G130" s="66"/>
      <c r="H130" s="66"/>
      <c r="I130" s="66"/>
      <c r="J130" s="66"/>
      <c r="K130" s="66"/>
      <c r="L130" s="66"/>
      <c r="M130" s="66"/>
      <c r="N130" s="66"/>
    </row>
    <row r="131" spans="1:14" x14ac:dyDescent="0.2">
      <c r="C131" s="89" t="str">
        <f>C118</f>
        <v>January</v>
      </c>
      <c r="D131" s="89" t="str">
        <f t="shared" ref="D131:N131" si="22">D118</f>
        <v>February</v>
      </c>
      <c r="E131" s="89" t="str">
        <f t="shared" si="22"/>
        <v>March</v>
      </c>
      <c r="F131" s="89" t="str">
        <f t="shared" si="22"/>
        <v>April</v>
      </c>
      <c r="G131" s="89" t="str">
        <f t="shared" si="22"/>
        <v>May</v>
      </c>
      <c r="H131" s="89" t="str">
        <f t="shared" si="22"/>
        <v>June</v>
      </c>
      <c r="I131" s="89" t="str">
        <f t="shared" si="22"/>
        <v>July</v>
      </c>
      <c r="J131" s="89" t="str">
        <f t="shared" si="22"/>
        <v>August</v>
      </c>
      <c r="K131" s="89" t="str">
        <f t="shared" si="22"/>
        <v>September</v>
      </c>
      <c r="L131" s="89" t="str">
        <f t="shared" si="22"/>
        <v>October</v>
      </c>
      <c r="M131" s="89" t="str">
        <f t="shared" si="22"/>
        <v>November</v>
      </c>
      <c r="N131" s="89" t="str">
        <f t="shared" si="22"/>
        <v>December</v>
      </c>
    </row>
    <row r="132" spans="1:14" x14ac:dyDescent="0.2">
      <c r="C132" s="89">
        <f t="shared" ref="C132:N133" si="23">C119</f>
        <v>30</v>
      </c>
      <c r="D132" s="89">
        <f t="shared" si="23"/>
        <v>31</v>
      </c>
      <c r="E132" s="89">
        <f t="shared" si="23"/>
        <v>30</v>
      </c>
      <c r="F132" s="89">
        <f t="shared" si="23"/>
        <v>31</v>
      </c>
      <c r="G132" s="89">
        <f t="shared" si="23"/>
        <v>31</v>
      </c>
      <c r="H132" s="89">
        <f t="shared" si="23"/>
        <v>30</v>
      </c>
      <c r="I132" s="89">
        <f t="shared" si="23"/>
        <v>31</v>
      </c>
      <c r="J132" s="89">
        <f t="shared" si="23"/>
        <v>30</v>
      </c>
      <c r="K132" s="89">
        <f t="shared" si="23"/>
        <v>31</v>
      </c>
      <c r="L132" s="89">
        <f t="shared" si="23"/>
        <v>31</v>
      </c>
      <c r="M132" s="89">
        <f t="shared" si="23"/>
        <v>28</v>
      </c>
      <c r="N132" s="89">
        <f t="shared" si="23"/>
        <v>31</v>
      </c>
    </row>
    <row r="133" spans="1:14" x14ac:dyDescent="0.2">
      <c r="B133" s="89" t="s">
        <v>185</v>
      </c>
      <c r="C133" s="78">
        <f t="shared" si="23"/>
        <v>0</v>
      </c>
      <c r="D133" s="78">
        <f t="shared" si="23"/>
        <v>1</v>
      </c>
      <c r="E133" s="78">
        <f t="shared" si="23"/>
        <v>0</v>
      </c>
      <c r="F133" s="78">
        <f t="shared" si="23"/>
        <v>1</v>
      </c>
      <c r="G133" s="78">
        <f t="shared" si="23"/>
        <v>0</v>
      </c>
      <c r="H133" s="78">
        <f t="shared" si="23"/>
        <v>1</v>
      </c>
      <c r="I133" s="78">
        <f t="shared" si="23"/>
        <v>1</v>
      </c>
      <c r="J133" s="78">
        <f t="shared" si="23"/>
        <v>1</v>
      </c>
      <c r="K133" s="78">
        <f t="shared" si="23"/>
        <v>1</v>
      </c>
      <c r="L133" s="78">
        <f t="shared" si="23"/>
        <v>2</v>
      </c>
      <c r="M133" s="78">
        <f t="shared" si="23"/>
        <v>1</v>
      </c>
      <c r="N133" s="78">
        <f t="shared" si="23"/>
        <v>0</v>
      </c>
    </row>
    <row r="134" spans="1:14" x14ac:dyDescent="0.2">
      <c r="B134" s="89" t="s">
        <v>44</v>
      </c>
      <c r="C134" s="49">
        <f>SUM('Program Support Allocations'!$C$35)</f>
        <v>8.6206896551724137E-3</v>
      </c>
      <c r="D134" s="49">
        <f>SUM('Program Support Allocations'!$C$35)</f>
        <v>8.6206896551724137E-3</v>
      </c>
      <c r="E134" s="49">
        <f>SUM('Program Support Allocations'!$C$35)</f>
        <v>8.6206896551724137E-3</v>
      </c>
      <c r="F134" s="49">
        <f>SUM('Program Support Allocations'!$C$35)</f>
        <v>8.6206896551724137E-3</v>
      </c>
      <c r="G134" s="49">
        <f>SUM('Program Support Allocations'!$C$35)</f>
        <v>8.6206896551724137E-3</v>
      </c>
      <c r="H134" s="49">
        <f>SUM('Program Support Allocations'!$C$35)</f>
        <v>8.6206896551724137E-3</v>
      </c>
      <c r="I134" s="49">
        <f>SUM('Program Support Allocations'!$C$35)</f>
        <v>8.6206896551724137E-3</v>
      </c>
      <c r="J134" s="49">
        <f>SUM('Program Support Allocations'!$C$35)</f>
        <v>8.6206896551724137E-3</v>
      </c>
      <c r="K134" s="49">
        <f>SUM('Program Support Allocations'!$C$35)</f>
        <v>8.6206896551724137E-3</v>
      </c>
      <c r="L134" s="49">
        <f>SUM('Program Support Allocations'!$C$35)</f>
        <v>8.6206896551724137E-3</v>
      </c>
      <c r="M134" s="49">
        <f>SUM('Program Support Allocations'!$C$35)</f>
        <v>8.6206896551724137E-3</v>
      </c>
      <c r="N134" s="49">
        <f>SUM('Program Support Allocations'!$C$35)</f>
        <v>8.6206896551724137E-3</v>
      </c>
    </row>
    <row r="135" spans="1:14" x14ac:dyDescent="0.2">
      <c r="B135" s="89" t="s">
        <v>186</v>
      </c>
      <c r="C135" s="53">
        <f>SUM(174*C134)</f>
        <v>1.5</v>
      </c>
      <c r="D135" s="53">
        <f t="shared" ref="D135:N135" si="24">SUM(174*D134)</f>
        <v>1.5</v>
      </c>
      <c r="E135" s="53">
        <f t="shared" si="24"/>
        <v>1.5</v>
      </c>
      <c r="F135" s="53">
        <f t="shared" si="24"/>
        <v>1.5</v>
      </c>
      <c r="G135" s="53">
        <f t="shared" si="24"/>
        <v>1.5</v>
      </c>
      <c r="H135" s="53">
        <f t="shared" si="24"/>
        <v>1.5</v>
      </c>
      <c r="I135" s="53">
        <f t="shared" si="24"/>
        <v>1.5</v>
      </c>
      <c r="J135" s="53">
        <f t="shared" si="24"/>
        <v>1.5</v>
      </c>
      <c r="K135" s="53">
        <f t="shared" si="24"/>
        <v>1.5</v>
      </c>
      <c r="L135" s="53">
        <f t="shared" si="24"/>
        <v>1.5</v>
      </c>
      <c r="M135" s="53">
        <f t="shared" si="24"/>
        <v>1.5</v>
      </c>
      <c r="N135" s="53">
        <f t="shared" si="24"/>
        <v>1.5</v>
      </c>
    </row>
    <row r="136" spans="1:14" x14ac:dyDescent="0.2">
      <c r="A136" s="59" t="s">
        <v>623</v>
      </c>
      <c r="B136" s="78" t="s">
        <v>187</v>
      </c>
      <c r="C136" s="66">
        <f>SUM(C135*$B$137)</f>
        <v>42.795000000000002</v>
      </c>
      <c r="D136" s="66">
        <f t="shared" ref="D136:N136" si="25">SUM(D135*$B$137)</f>
        <v>42.795000000000002</v>
      </c>
      <c r="E136" s="66">
        <f t="shared" si="25"/>
        <v>42.795000000000002</v>
      </c>
      <c r="F136" s="66">
        <f t="shared" si="25"/>
        <v>42.795000000000002</v>
      </c>
      <c r="G136" s="66">
        <f t="shared" si="25"/>
        <v>42.795000000000002</v>
      </c>
      <c r="H136" s="66">
        <f t="shared" si="25"/>
        <v>42.795000000000002</v>
      </c>
      <c r="I136" s="66">
        <f t="shared" si="25"/>
        <v>42.795000000000002</v>
      </c>
      <c r="J136" s="66">
        <f t="shared" si="25"/>
        <v>42.795000000000002</v>
      </c>
      <c r="K136" s="66">
        <f t="shared" si="25"/>
        <v>42.795000000000002</v>
      </c>
      <c r="L136" s="66">
        <f t="shared" si="25"/>
        <v>42.795000000000002</v>
      </c>
      <c r="M136" s="66">
        <f t="shared" si="25"/>
        <v>42.795000000000002</v>
      </c>
      <c r="N136" s="66">
        <f t="shared" si="25"/>
        <v>42.795000000000002</v>
      </c>
    </row>
    <row r="137" spans="1:14" x14ac:dyDescent="0.2">
      <c r="A137" s="59" t="s">
        <v>188</v>
      </c>
      <c r="B137" s="74">
        <v>28.53</v>
      </c>
      <c r="C137" s="66">
        <f>SUM(C136)*'Data Links'!$B$15</f>
        <v>3.2738175000000003</v>
      </c>
      <c r="D137" s="66">
        <f>SUM(D136)*'Data Links'!$B$15</f>
        <v>3.2738175000000003</v>
      </c>
      <c r="E137" s="66">
        <f>SUM(E136)*'Data Links'!$B$15</f>
        <v>3.2738175000000003</v>
      </c>
      <c r="F137" s="66">
        <f>SUM(F136)*'Data Links'!$B$15</f>
        <v>3.2738175000000003</v>
      </c>
      <c r="G137" s="66">
        <f>SUM(G136)*'Data Links'!$B$15</f>
        <v>3.2738175000000003</v>
      </c>
      <c r="H137" s="66">
        <f>SUM(H136)*'Data Links'!$B$15</f>
        <v>3.2738175000000003</v>
      </c>
      <c r="I137" s="66">
        <f>SUM(I136)*'Data Links'!$B$15</f>
        <v>3.2738175000000003</v>
      </c>
      <c r="J137" s="66">
        <f>SUM(J136)*'Data Links'!$B$15</f>
        <v>3.2738175000000003</v>
      </c>
      <c r="K137" s="66">
        <f>SUM(K136)*'Data Links'!$B$15</f>
        <v>3.2738175000000003</v>
      </c>
      <c r="L137" s="66">
        <f>SUM(L136)*'Data Links'!$B$15</f>
        <v>3.2738175000000003</v>
      </c>
      <c r="M137" s="66">
        <f>SUM(M136)*'Data Links'!$B$15</f>
        <v>3.2738175000000003</v>
      </c>
      <c r="N137" s="66">
        <f>SUM(N136)*'Data Links'!$B$15</f>
        <v>3.2738175000000003</v>
      </c>
    </row>
    <row r="138" spans="1:14" x14ac:dyDescent="0.2">
      <c r="A138" s="59" t="s">
        <v>189</v>
      </c>
      <c r="C138" s="66">
        <f>SUM(C136*'Data Links'!$B$13)</f>
        <v>0.25677</v>
      </c>
      <c r="D138" s="66">
        <f>SUM(D136*'Data Links'!$B$13)</f>
        <v>0.25677</v>
      </c>
      <c r="E138" s="66">
        <f>SUM(E136*'Data Links'!$B$13)</f>
        <v>0.25677</v>
      </c>
      <c r="F138" s="66">
        <f>SUM(F136*'Data Links'!$B$13)</f>
        <v>0.25677</v>
      </c>
      <c r="G138" s="66">
        <f>SUM(G136*'Data Links'!$B$13)</f>
        <v>0.25677</v>
      </c>
      <c r="H138" s="66">
        <f>SUM(H136*'Data Links'!$B$13)</f>
        <v>0.25677</v>
      </c>
      <c r="I138" s="66">
        <f>SUM(I136*'Data Links'!$B$13)</f>
        <v>0.25677</v>
      </c>
      <c r="J138" s="66">
        <f>SUM(J136*'Data Links'!$B$13)</f>
        <v>0.25677</v>
      </c>
      <c r="K138" s="66">
        <f>SUM(K136*'Data Links'!$B$13)</f>
        <v>0.25677</v>
      </c>
      <c r="L138" s="66">
        <f>SUM(L136*'Data Links'!$B$13)</f>
        <v>0.25677</v>
      </c>
      <c r="M138" s="66">
        <f>SUM(M136*'Data Links'!$B$13)</f>
        <v>0.25677</v>
      </c>
      <c r="N138" s="66">
        <f>SUM(N136*'Data Links'!$B$13)</f>
        <v>0.25677</v>
      </c>
    </row>
    <row r="139" spans="1:14" x14ac:dyDescent="0.2">
      <c r="A139" s="59" t="s">
        <v>190</v>
      </c>
      <c r="C139" s="66">
        <f>SUM(C135*'Data Links'!$B$8)</f>
        <v>0.116775</v>
      </c>
      <c r="D139" s="66">
        <f>SUM(D135*'Data Links'!$B$8)</f>
        <v>0.116775</v>
      </c>
      <c r="E139" s="66">
        <f>SUM(E135*'Data Links'!$B$8)</f>
        <v>0.116775</v>
      </c>
      <c r="F139" s="66">
        <f>SUM(F135*'Data Links'!$B$8)</f>
        <v>0.116775</v>
      </c>
      <c r="G139" s="66">
        <f>SUM(G135*'Data Links'!$B$8)</f>
        <v>0.116775</v>
      </c>
      <c r="H139" s="66">
        <f>SUM(H135*'Data Links'!$B$8)</f>
        <v>0.116775</v>
      </c>
      <c r="I139" s="66">
        <f>SUM(I135*'Data Links'!$B$8)</f>
        <v>0.116775</v>
      </c>
      <c r="J139" s="66">
        <f>SUM(J135*'Data Links'!$B$8)</f>
        <v>0.116775</v>
      </c>
      <c r="K139" s="66">
        <f>SUM(K135*'Data Links'!$B$8)</f>
        <v>0.116775</v>
      </c>
      <c r="L139" s="66">
        <f>SUM(L135*'Data Links'!$B$8)</f>
        <v>0.116775</v>
      </c>
      <c r="M139" s="66">
        <f>SUM(M135*'Data Links'!$B$8)</f>
        <v>0.116775</v>
      </c>
      <c r="N139" s="66">
        <f>SUM(N135*'Data Links'!$B$8)</f>
        <v>0.116775</v>
      </c>
    </row>
    <row r="140" spans="1:14" x14ac:dyDescent="0.2">
      <c r="A140" s="59" t="s">
        <v>191</v>
      </c>
      <c r="C140" s="66">
        <f>SUM('All Employees'!$P$51)*'Teen Court'!C134</f>
        <v>3.6724137931034484</v>
      </c>
      <c r="D140" s="66">
        <f>SUM('All Employees'!$P$51)*'Teen Court'!D134</f>
        <v>3.6724137931034484</v>
      </c>
      <c r="E140" s="66">
        <f>SUM('All Employees'!$P$51)*'Teen Court'!E134</f>
        <v>3.6724137931034484</v>
      </c>
      <c r="F140" s="66">
        <f>SUM('All Employees'!$P$51)*'Teen Court'!F134</f>
        <v>3.6724137931034484</v>
      </c>
      <c r="G140" s="66">
        <f>SUM('All Employees'!$P$51)*'Teen Court'!G134</f>
        <v>3.6724137931034484</v>
      </c>
      <c r="H140" s="66">
        <f>SUM('All Employees'!$P$51)*'Teen Court'!H134</f>
        <v>3.6724137931034484</v>
      </c>
      <c r="I140" s="66">
        <f>SUM('All Employees'!$P$51)*'Teen Court'!I134</f>
        <v>3.6724137931034484</v>
      </c>
      <c r="J140" s="66">
        <f>SUM('All Employees'!$P$51)*'Teen Court'!J134</f>
        <v>3.6724137931034484</v>
      </c>
      <c r="K140" s="66">
        <f>SUM('All Employees'!$P$51)*'Teen Court'!K134</f>
        <v>3.6724137931034484</v>
      </c>
      <c r="L140" s="66">
        <f>SUM('All Employees'!$P$51)*'Teen Court'!L134</f>
        <v>3.6724137931034484</v>
      </c>
      <c r="M140" s="66">
        <f>SUM('All Employees'!$P$51)*'Teen Court'!M134</f>
        <v>3.6724137931034484</v>
      </c>
      <c r="N140" s="66">
        <f>SUM('All Employees'!$P$51)*'Teen Court'!N134</f>
        <v>3.6724137931034484</v>
      </c>
    </row>
    <row r="141" spans="1:14" x14ac:dyDescent="0.2">
      <c r="A141" s="59" t="s">
        <v>192</v>
      </c>
      <c r="C141" s="66">
        <f>SUM(C136*'Data Links'!$B$17)</f>
        <v>1.2838499999999999</v>
      </c>
      <c r="D141" s="66">
        <f>SUM(D136*'Data Links'!$B$17)</f>
        <v>1.2838499999999999</v>
      </c>
      <c r="E141" s="66">
        <f>SUM(E136*'Data Links'!$B$17)</f>
        <v>1.2838499999999999</v>
      </c>
      <c r="F141" s="66">
        <f>SUM(F136*'Data Links'!$B$17)</f>
        <v>1.2838499999999999</v>
      </c>
      <c r="G141" s="66">
        <f>SUM(G136*'Data Links'!$B$17)</f>
        <v>1.2838499999999999</v>
      </c>
      <c r="H141" s="66">
        <f>SUM(H136*'Data Links'!$B$17)</f>
        <v>1.2838499999999999</v>
      </c>
      <c r="I141" s="66">
        <f>SUM(I136*'Data Links'!$B$17)</f>
        <v>1.2838499999999999</v>
      </c>
      <c r="J141" s="66">
        <f>SUM(J136*'Data Links'!$B$17)</f>
        <v>1.2838499999999999</v>
      </c>
      <c r="K141" s="66">
        <f>SUM(K136*'Data Links'!$B$17)</f>
        <v>1.2838499999999999</v>
      </c>
      <c r="L141" s="66">
        <f>SUM(L136*'Data Links'!$B$17)</f>
        <v>1.2838499999999999</v>
      </c>
      <c r="M141" s="66">
        <f>SUM(M136*'Data Links'!$B$17)</f>
        <v>1.2838499999999999</v>
      </c>
      <c r="N141" s="66">
        <f>SUM(N136*'Data Links'!$B$17)</f>
        <v>1.2838499999999999</v>
      </c>
    </row>
    <row r="142" spans="1:14" s="58" customFormat="1" x14ac:dyDescent="0.2">
      <c r="A142" s="58" t="s">
        <v>144</v>
      </c>
      <c r="B142" s="60"/>
      <c r="C142" s="60">
        <f t="shared" ref="C142:N142" si="26">SUM(C136:C141)</f>
        <v>51.398626293103447</v>
      </c>
      <c r="D142" s="60">
        <f t="shared" si="26"/>
        <v>51.398626293103447</v>
      </c>
      <c r="E142" s="60">
        <f t="shared" si="26"/>
        <v>51.398626293103447</v>
      </c>
      <c r="F142" s="60">
        <f t="shared" si="26"/>
        <v>51.398626293103447</v>
      </c>
      <c r="G142" s="60">
        <f t="shared" si="26"/>
        <v>51.398626293103447</v>
      </c>
      <c r="H142" s="60">
        <f t="shared" si="26"/>
        <v>51.398626293103447</v>
      </c>
      <c r="I142" s="60">
        <f t="shared" si="26"/>
        <v>51.398626293103447</v>
      </c>
      <c r="J142" s="60">
        <f t="shared" si="26"/>
        <v>51.398626293103447</v>
      </c>
      <c r="K142" s="60">
        <f t="shared" si="26"/>
        <v>51.398626293103447</v>
      </c>
      <c r="L142" s="60">
        <f t="shared" si="26"/>
        <v>51.398626293103447</v>
      </c>
      <c r="M142" s="60">
        <f t="shared" si="26"/>
        <v>51.398626293103447</v>
      </c>
      <c r="N142" s="60">
        <f t="shared" si="26"/>
        <v>51.398626293103447</v>
      </c>
    </row>
    <row r="143" spans="1:14" x14ac:dyDescent="0.2">
      <c r="C143" s="60"/>
      <c r="D143" s="66"/>
      <c r="E143" s="66"/>
      <c r="F143" s="66"/>
      <c r="G143" s="66"/>
      <c r="H143" s="66"/>
      <c r="I143" s="66"/>
      <c r="J143" s="66"/>
      <c r="K143" s="66"/>
      <c r="L143" s="66"/>
      <c r="M143" s="66"/>
      <c r="N143" s="66"/>
    </row>
    <row r="144" spans="1:14" x14ac:dyDescent="0.2">
      <c r="C144" s="89" t="str">
        <f>C131</f>
        <v>January</v>
      </c>
      <c r="D144" s="89" t="str">
        <f t="shared" ref="D144:N144" si="27">D131</f>
        <v>February</v>
      </c>
      <c r="E144" s="89" t="str">
        <f t="shared" si="27"/>
        <v>March</v>
      </c>
      <c r="F144" s="89" t="str">
        <f t="shared" si="27"/>
        <v>April</v>
      </c>
      <c r="G144" s="89" t="str">
        <f t="shared" si="27"/>
        <v>May</v>
      </c>
      <c r="H144" s="89" t="str">
        <f t="shared" si="27"/>
        <v>June</v>
      </c>
      <c r="I144" s="89" t="str">
        <f t="shared" si="27"/>
        <v>July</v>
      </c>
      <c r="J144" s="89" t="str">
        <f t="shared" si="27"/>
        <v>August</v>
      </c>
      <c r="K144" s="89" t="str">
        <f t="shared" si="27"/>
        <v>September</v>
      </c>
      <c r="L144" s="89" t="str">
        <f t="shared" si="27"/>
        <v>October</v>
      </c>
      <c r="M144" s="89" t="str">
        <f t="shared" si="27"/>
        <v>November</v>
      </c>
      <c r="N144" s="89" t="str">
        <f t="shared" si="27"/>
        <v>December</v>
      </c>
    </row>
    <row r="145" spans="1:15" x14ac:dyDescent="0.2">
      <c r="C145" s="89">
        <f t="shared" ref="C145:N146" si="28">C132</f>
        <v>30</v>
      </c>
      <c r="D145" s="89">
        <f t="shared" si="28"/>
        <v>31</v>
      </c>
      <c r="E145" s="89">
        <f t="shared" si="28"/>
        <v>30</v>
      </c>
      <c r="F145" s="89">
        <f t="shared" si="28"/>
        <v>31</v>
      </c>
      <c r="G145" s="89">
        <f t="shared" si="28"/>
        <v>31</v>
      </c>
      <c r="H145" s="89">
        <f t="shared" si="28"/>
        <v>30</v>
      </c>
      <c r="I145" s="89">
        <f t="shared" si="28"/>
        <v>31</v>
      </c>
      <c r="J145" s="89">
        <f t="shared" si="28"/>
        <v>30</v>
      </c>
      <c r="K145" s="89">
        <f t="shared" si="28"/>
        <v>31</v>
      </c>
      <c r="L145" s="89">
        <f t="shared" si="28"/>
        <v>31</v>
      </c>
      <c r="M145" s="89">
        <f t="shared" si="28"/>
        <v>28</v>
      </c>
      <c r="N145" s="89">
        <f t="shared" si="28"/>
        <v>31</v>
      </c>
    </row>
    <row r="146" spans="1:15" x14ac:dyDescent="0.2">
      <c r="B146" s="89" t="s">
        <v>185</v>
      </c>
      <c r="C146" s="78">
        <f t="shared" si="28"/>
        <v>0</v>
      </c>
      <c r="D146" s="78">
        <f t="shared" si="28"/>
        <v>1</v>
      </c>
      <c r="E146" s="78">
        <f t="shared" si="28"/>
        <v>0</v>
      </c>
      <c r="F146" s="78">
        <f t="shared" si="28"/>
        <v>1</v>
      </c>
      <c r="G146" s="78">
        <f t="shared" si="28"/>
        <v>0</v>
      </c>
      <c r="H146" s="78">
        <f t="shared" si="28"/>
        <v>1</v>
      </c>
      <c r="I146" s="78">
        <f t="shared" si="28"/>
        <v>1</v>
      </c>
      <c r="J146" s="78">
        <f t="shared" si="28"/>
        <v>1</v>
      </c>
      <c r="K146" s="78">
        <f t="shared" si="28"/>
        <v>1</v>
      </c>
      <c r="L146" s="78">
        <f t="shared" si="28"/>
        <v>2</v>
      </c>
      <c r="M146" s="78">
        <f t="shared" si="28"/>
        <v>1</v>
      </c>
      <c r="N146" s="78">
        <f t="shared" si="28"/>
        <v>0</v>
      </c>
    </row>
    <row r="147" spans="1:15" x14ac:dyDescent="0.2">
      <c r="B147" s="89" t="s">
        <v>44</v>
      </c>
      <c r="C147" s="49">
        <f>C134</f>
        <v>8.6206896551724137E-3</v>
      </c>
      <c r="D147" s="49">
        <f t="shared" ref="D147:N147" si="29">D134</f>
        <v>8.6206896551724137E-3</v>
      </c>
      <c r="E147" s="49">
        <f t="shared" si="29"/>
        <v>8.6206896551724137E-3</v>
      </c>
      <c r="F147" s="49">
        <f t="shared" si="29"/>
        <v>8.6206896551724137E-3</v>
      </c>
      <c r="G147" s="49">
        <f t="shared" si="29"/>
        <v>8.6206896551724137E-3</v>
      </c>
      <c r="H147" s="49">
        <f t="shared" si="29"/>
        <v>8.6206896551724137E-3</v>
      </c>
      <c r="I147" s="49">
        <f t="shared" si="29"/>
        <v>8.6206896551724137E-3</v>
      </c>
      <c r="J147" s="49">
        <f t="shared" si="29"/>
        <v>8.6206896551724137E-3</v>
      </c>
      <c r="K147" s="49">
        <f t="shared" si="29"/>
        <v>8.6206896551724137E-3</v>
      </c>
      <c r="L147" s="49">
        <f t="shared" si="29"/>
        <v>8.6206896551724137E-3</v>
      </c>
      <c r="M147" s="49">
        <f t="shared" si="29"/>
        <v>8.6206896551724137E-3</v>
      </c>
      <c r="N147" s="49">
        <f t="shared" si="29"/>
        <v>8.6206896551724137E-3</v>
      </c>
    </row>
    <row r="148" spans="1:15" x14ac:dyDescent="0.2">
      <c r="B148" s="89" t="s">
        <v>186</v>
      </c>
      <c r="C148" s="53">
        <f>SUM(174*C147)</f>
        <v>1.5</v>
      </c>
      <c r="D148" s="53">
        <f t="shared" ref="D148:N148" si="30">SUM(174*D147)</f>
        <v>1.5</v>
      </c>
      <c r="E148" s="53">
        <f t="shared" si="30"/>
        <v>1.5</v>
      </c>
      <c r="F148" s="53">
        <f t="shared" si="30"/>
        <v>1.5</v>
      </c>
      <c r="G148" s="53">
        <f t="shared" si="30"/>
        <v>1.5</v>
      </c>
      <c r="H148" s="53">
        <f t="shared" si="30"/>
        <v>1.5</v>
      </c>
      <c r="I148" s="53">
        <f t="shared" si="30"/>
        <v>1.5</v>
      </c>
      <c r="J148" s="53">
        <f t="shared" si="30"/>
        <v>1.5</v>
      </c>
      <c r="K148" s="53">
        <f t="shared" si="30"/>
        <v>1.5</v>
      </c>
      <c r="L148" s="53">
        <f t="shared" si="30"/>
        <v>1.5</v>
      </c>
      <c r="M148" s="53">
        <f t="shared" si="30"/>
        <v>1.5</v>
      </c>
      <c r="N148" s="53">
        <f t="shared" si="30"/>
        <v>1.5</v>
      </c>
    </row>
    <row r="149" spans="1:15" x14ac:dyDescent="0.2">
      <c r="A149" s="59" t="s">
        <v>557</v>
      </c>
      <c r="B149" s="78" t="s">
        <v>187</v>
      </c>
      <c r="C149" s="66">
        <f>SUM(C148*$B$150)</f>
        <v>27.54</v>
      </c>
      <c r="D149" s="66">
        <f t="shared" ref="D149:N149" si="31">SUM(D148*$B$150)</f>
        <v>27.54</v>
      </c>
      <c r="E149" s="66">
        <f t="shared" si="31"/>
        <v>27.54</v>
      </c>
      <c r="F149" s="66">
        <f t="shared" si="31"/>
        <v>27.54</v>
      </c>
      <c r="G149" s="66">
        <f t="shared" si="31"/>
        <v>27.54</v>
      </c>
      <c r="H149" s="66">
        <f t="shared" si="31"/>
        <v>27.54</v>
      </c>
      <c r="I149" s="66">
        <f t="shared" si="31"/>
        <v>27.54</v>
      </c>
      <c r="J149" s="66">
        <f t="shared" si="31"/>
        <v>27.54</v>
      </c>
      <c r="K149" s="66">
        <f t="shared" si="31"/>
        <v>27.54</v>
      </c>
      <c r="L149" s="66">
        <f t="shared" si="31"/>
        <v>27.54</v>
      </c>
      <c r="M149" s="66">
        <f t="shared" si="31"/>
        <v>27.54</v>
      </c>
      <c r="N149" s="66">
        <f t="shared" si="31"/>
        <v>27.54</v>
      </c>
    </row>
    <row r="150" spans="1:15" x14ac:dyDescent="0.2">
      <c r="A150" s="59" t="s">
        <v>188</v>
      </c>
      <c r="B150" s="74">
        <v>18.36</v>
      </c>
      <c r="C150" s="66">
        <f>SUM(C149)*'Data Links'!$B$15</f>
        <v>2.1068099999999998</v>
      </c>
      <c r="D150" s="66">
        <f>SUM(D149)*'Data Links'!$B$15</f>
        <v>2.1068099999999998</v>
      </c>
      <c r="E150" s="66">
        <f>SUM(E149)*'Data Links'!$B$15</f>
        <v>2.1068099999999998</v>
      </c>
      <c r="F150" s="66">
        <f>SUM(F149)*'Data Links'!$B$15</f>
        <v>2.1068099999999998</v>
      </c>
      <c r="G150" s="66">
        <f>SUM(G149)*'Data Links'!$B$15</f>
        <v>2.1068099999999998</v>
      </c>
      <c r="H150" s="66">
        <f>SUM(H149)*'Data Links'!$B$15</f>
        <v>2.1068099999999998</v>
      </c>
      <c r="I150" s="66">
        <f>SUM(I149)*'Data Links'!$B$15</f>
        <v>2.1068099999999998</v>
      </c>
      <c r="J150" s="66">
        <f>SUM(J149)*'Data Links'!$B$15</f>
        <v>2.1068099999999998</v>
      </c>
      <c r="K150" s="66">
        <f>SUM(K149)*'Data Links'!$B$15</f>
        <v>2.1068099999999998</v>
      </c>
      <c r="L150" s="66">
        <f>SUM(L149)*'Data Links'!$B$15</f>
        <v>2.1068099999999998</v>
      </c>
      <c r="M150" s="66">
        <f>SUM(M149)*'Data Links'!$B$15</f>
        <v>2.1068099999999998</v>
      </c>
      <c r="N150" s="66">
        <f>SUM(N149)*'Data Links'!$B$15</f>
        <v>2.1068099999999998</v>
      </c>
    </row>
    <row r="151" spans="1:15" x14ac:dyDescent="0.2">
      <c r="A151" s="59" t="s">
        <v>189</v>
      </c>
      <c r="C151" s="66">
        <f>SUM(C149*'Data Links'!$B$13)</f>
        <v>0.16524</v>
      </c>
      <c r="D151" s="66">
        <f>SUM(D149*'Data Links'!$B$13)</f>
        <v>0.16524</v>
      </c>
      <c r="E151" s="66">
        <f>SUM(E149*'Data Links'!$B$13)</f>
        <v>0.16524</v>
      </c>
      <c r="F151" s="66">
        <f>SUM(F149*'Data Links'!$B$13)</f>
        <v>0.16524</v>
      </c>
      <c r="G151" s="66">
        <f>SUM(G149*'Data Links'!$B$13)</f>
        <v>0.16524</v>
      </c>
      <c r="H151" s="66">
        <f>SUM(H149*'Data Links'!$B$13)</f>
        <v>0.16524</v>
      </c>
      <c r="I151" s="66">
        <f>SUM(I149*'Data Links'!$B$13)</f>
        <v>0.16524</v>
      </c>
      <c r="J151" s="66">
        <f>SUM(J149*'Data Links'!$B$13)</f>
        <v>0.16524</v>
      </c>
      <c r="K151" s="66">
        <f>SUM(K149*'Data Links'!$B$13)</f>
        <v>0.16524</v>
      </c>
      <c r="L151" s="66">
        <f>SUM(L149*'Data Links'!$B$13)</f>
        <v>0.16524</v>
      </c>
      <c r="M151" s="66">
        <f>SUM(M149*'Data Links'!$B$13)</f>
        <v>0.16524</v>
      </c>
      <c r="N151" s="66">
        <f>SUM(N149*'Data Links'!$B$13)</f>
        <v>0.16524</v>
      </c>
    </row>
    <row r="152" spans="1:15" x14ac:dyDescent="0.2">
      <c r="A152" s="59" t="s">
        <v>190</v>
      </c>
      <c r="C152" s="66">
        <f>SUM(C148*'Data Links'!$B$8)</f>
        <v>0.116775</v>
      </c>
      <c r="D152" s="66">
        <f>SUM(D148*'Data Links'!$B$8)</f>
        <v>0.116775</v>
      </c>
      <c r="E152" s="66">
        <f>SUM(E148*'Data Links'!$B$8)</f>
        <v>0.116775</v>
      </c>
      <c r="F152" s="66">
        <f>SUM(F148*'Data Links'!$B$8)</f>
        <v>0.116775</v>
      </c>
      <c r="G152" s="66">
        <f>SUM(G148*'Data Links'!$B$8)</f>
        <v>0.116775</v>
      </c>
      <c r="H152" s="66">
        <f>SUM(H148*'Data Links'!$B$8)</f>
        <v>0.116775</v>
      </c>
      <c r="I152" s="66">
        <f>SUM(I148*'Data Links'!$B$8)</f>
        <v>0.116775</v>
      </c>
      <c r="J152" s="66">
        <f>SUM(J148*'Data Links'!$B$8)</f>
        <v>0.116775</v>
      </c>
      <c r="K152" s="66">
        <f>SUM(K148*'Data Links'!$B$8)</f>
        <v>0.116775</v>
      </c>
      <c r="L152" s="66">
        <f>SUM(L148*'Data Links'!$B$8)</f>
        <v>0.116775</v>
      </c>
      <c r="M152" s="66">
        <f>SUM(M148*'Data Links'!$B$8)</f>
        <v>0.116775</v>
      </c>
      <c r="N152" s="66">
        <f>SUM(N148*'Data Links'!$B$8)</f>
        <v>0.116775</v>
      </c>
    </row>
    <row r="153" spans="1:15" x14ac:dyDescent="0.2">
      <c r="A153" s="59" t="s">
        <v>191</v>
      </c>
      <c r="C153" s="66">
        <f>SUM('All Employees'!$P$50)*'Teen Court'!C147</f>
        <v>3.6724137931034484</v>
      </c>
      <c r="D153" s="66">
        <f>SUM('All Employees'!$P$50)*'Teen Court'!D147</f>
        <v>3.6724137931034484</v>
      </c>
      <c r="E153" s="66">
        <f>SUM('All Employees'!$P$50)*'Teen Court'!E147</f>
        <v>3.6724137931034484</v>
      </c>
      <c r="F153" s="66">
        <f>SUM('All Employees'!$P$50)*'Teen Court'!F147</f>
        <v>3.6724137931034484</v>
      </c>
      <c r="G153" s="66">
        <f>SUM('All Employees'!$P$50)*'Teen Court'!G147</f>
        <v>3.6724137931034484</v>
      </c>
      <c r="H153" s="66">
        <f>SUM('All Employees'!$P$50)*'Teen Court'!H147</f>
        <v>3.6724137931034484</v>
      </c>
      <c r="I153" s="66">
        <f>SUM('All Employees'!$P$50)*'Teen Court'!I147</f>
        <v>3.6724137931034484</v>
      </c>
      <c r="J153" s="66">
        <f>SUM('All Employees'!$P$50)*'Teen Court'!J147</f>
        <v>3.6724137931034484</v>
      </c>
      <c r="K153" s="66">
        <f>SUM('All Employees'!$P$50)*'Teen Court'!K147</f>
        <v>3.6724137931034484</v>
      </c>
      <c r="L153" s="66">
        <f>SUM('All Employees'!$P$50)*'Teen Court'!L147</f>
        <v>3.6724137931034484</v>
      </c>
      <c r="M153" s="66">
        <f>SUM('All Employees'!$P$50)*'Teen Court'!M147</f>
        <v>3.6724137931034484</v>
      </c>
      <c r="N153" s="66">
        <f>SUM('All Employees'!$P$50)*'Teen Court'!N147</f>
        <v>3.6724137931034484</v>
      </c>
    </row>
    <row r="154" spans="1:15" x14ac:dyDescent="0.2">
      <c r="A154" s="59" t="s">
        <v>192</v>
      </c>
      <c r="C154" s="66">
        <f>SUM(C149*'Data Links'!$B$17)</f>
        <v>0.82619999999999993</v>
      </c>
      <c r="D154" s="66">
        <f>SUM(D149*'Data Links'!$B$17)</f>
        <v>0.82619999999999993</v>
      </c>
      <c r="E154" s="66">
        <f>SUM(E149*'Data Links'!$B$17)</f>
        <v>0.82619999999999993</v>
      </c>
      <c r="F154" s="66">
        <f>SUM(F149*'Data Links'!$B$17)</f>
        <v>0.82619999999999993</v>
      </c>
      <c r="G154" s="66">
        <f>SUM(G149*'Data Links'!$B$17)</f>
        <v>0.82619999999999993</v>
      </c>
      <c r="H154" s="66">
        <f>SUM(H149*'Data Links'!$B$17)</f>
        <v>0.82619999999999993</v>
      </c>
      <c r="I154" s="66">
        <f>SUM(I149*'Data Links'!$B$17)</f>
        <v>0.82619999999999993</v>
      </c>
      <c r="J154" s="66">
        <f>SUM(J149*'Data Links'!$B$17)</f>
        <v>0.82619999999999993</v>
      </c>
      <c r="K154" s="66">
        <f>SUM(K149*'Data Links'!$B$17)</f>
        <v>0.82619999999999993</v>
      </c>
      <c r="L154" s="66">
        <f>SUM(L149*'Data Links'!$B$17)</f>
        <v>0.82619999999999993</v>
      </c>
      <c r="M154" s="66">
        <f>SUM(M149*'Data Links'!$B$17)</f>
        <v>0.82619999999999993</v>
      </c>
      <c r="N154" s="66">
        <f>SUM(N149*'Data Links'!$B$17)</f>
        <v>0.82619999999999993</v>
      </c>
    </row>
    <row r="155" spans="1:15" s="58" customFormat="1" x14ac:dyDescent="0.2">
      <c r="A155" s="58" t="s">
        <v>144</v>
      </c>
      <c r="B155" s="60"/>
      <c r="C155" s="60">
        <f t="shared" ref="C155:N155" si="32">SUM(C149:C154)</f>
        <v>34.427438793103448</v>
      </c>
      <c r="D155" s="60">
        <f t="shared" si="32"/>
        <v>34.427438793103448</v>
      </c>
      <c r="E155" s="60">
        <f t="shared" si="32"/>
        <v>34.427438793103448</v>
      </c>
      <c r="F155" s="60">
        <f t="shared" si="32"/>
        <v>34.427438793103448</v>
      </c>
      <c r="G155" s="60">
        <f t="shared" si="32"/>
        <v>34.427438793103448</v>
      </c>
      <c r="H155" s="60">
        <f t="shared" si="32"/>
        <v>34.427438793103448</v>
      </c>
      <c r="I155" s="60">
        <f t="shared" si="32"/>
        <v>34.427438793103448</v>
      </c>
      <c r="J155" s="60">
        <f t="shared" si="32"/>
        <v>34.427438793103448</v>
      </c>
      <c r="K155" s="60">
        <f t="shared" si="32"/>
        <v>34.427438793103448</v>
      </c>
      <c r="L155" s="60">
        <f t="shared" si="32"/>
        <v>34.427438793103448</v>
      </c>
      <c r="M155" s="60">
        <f t="shared" si="32"/>
        <v>34.427438793103448</v>
      </c>
      <c r="N155" s="60">
        <f t="shared" si="32"/>
        <v>34.427438793103448</v>
      </c>
      <c r="O155" s="60">
        <f>SUM(H155:J155)</f>
        <v>103.28231637931034</v>
      </c>
    </row>
    <row r="156" spans="1:15" x14ac:dyDescent="0.2">
      <c r="C156" s="60"/>
      <c r="D156" s="66"/>
      <c r="E156" s="66"/>
      <c r="F156" s="66"/>
      <c r="G156" s="66"/>
      <c r="H156" s="66"/>
      <c r="I156" s="66"/>
      <c r="J156" s="66"/>
      <c r="K156" s="66"/>
      <c r="L156" s="66"/>
      <c r="M156" s="66"/>
      <c r="N156" s="66"/>
    </row>
    <row r="157" spans="1:15" x14ac:dyDescent="0.2">
      <c r="C157" s="89" t="str">
        <f>C144</f>
        <v>January</v>
      </c>
      <c r="D157" s="89" t="str">
        <f t="shared" ref="D157:N157" si="33">D144</f>
        <v>February</v>
      </c>
      <c r="E157" s="89" t="str">
        <f t="shared" si="33"/>
        <v>March</v>
      </c>
      <c r="F157" s="89" t="str">
        <f t="shared" si="33"/>
        <v>April</v>
      </c>
      <c r="G157" s="89" t="str">
        <f t="shared" si="33"/>
        <v>May</v>
      </c>
      <c r="H157" s="89" t="str">
        <f t="shared" si="33"/>
        <v>June</v>
      </c>
      <c r="I157" s="89" t="str">
        <f t="shared" si="33"/>
        <v>July</v>
      </c>
      <c r="J157" s="89" t="str">
        <f t="shared" si="33"/>
        <v>August</v>
      </c>
      <c r="K157" s="89" t="str">
        <f t="shared" si="33"/>
        <v>September</v>
      </c>
      <c r="L157" s="89" t="str">
        <f t="shared" si="33"/>
        <v>October</v>
      </c>
      <c r="M157" s="89" t="str">
        <f t="shared" si="33"/>
        <v>November</v>
      </c>
      <c r="N157" s="89" t="str">
        <f t="shared" si="33"/>
        <v>December</v>
      </c>
    </row>
    <row r="158" spans="1:15" x14ac:dyDescent="0.2">
      <c r="C158" s="89">
        <f t="shared" ref="C158:N159" si="34">C145</f>
        <v>30</v>
      </c>
      <c r="D158" s="89">
        <f t="shared" si="34"/>
        <v>31</v>
      </c>
      <c r="E158" s="89">
        <f t="shared" si="34"/>
        <v>30</v>
      </c>
      <c r="F158" s="89">
        <f t="shared" si="34"/>
        <v>31</v>
      </c>
      <c r="G158" s="89">
        <f t="shared" si="34"/>
        <v>31</v>
      </c>
      <c r="H158" s="89">
        <f t="shared" si="34"/>
        <v>30</v>
      </c>
      <c r="I158" s="89">
        <f t="shared" si="34"/>
        <v>31</v>
      </c>
      <c r="J158" s="89">
        <f t="shared" si="34"/>
        <v>30</v>
      </c>
      <c r="K158" s="89">
        <f t="shared" si="34"/>
        <v>31</v>
      </c>
      <c r="L158" s="89">
        <f t="shared" si="34"/>
        <v>31</v>
      </c>
      <c r="M158" s="89">
        <f t="shared" si="34"/>
        <v>28</v>
      </c>
      <c r="N158" s="89">
        <f t="shared" si="34"/>
        <v>31</v>
      </c>
    </row>
    <row r="159" spans="1:15" x14ac:dyDescent="0.2">
      <c r="B159" s="89" t="s">
        <v>185</v>
      </c>
      <c r="C159" s="78">
        <f t="shared" si="34"/>
        <v>0</v>
      </c>
      <c r="D159" s="78">
        <f t="shared" si="34"/>
        <v>1</v>
      </c>
      <c r="E159" s="78">
        <f t="shared" si="34"/>
        <v>0</v>
      </c>
      <c r="F159" s="78">
        <f t="shared" si="34"/>
        <v>1</v>
      </c>
      <c r="G159" s="78">
        <f t="shared" si="34"/>
        <v>0</v>
      </c>
      <c r="H159" s="78">
        <f t="shared" si="34"/>
        <v>1</v>
      </c>
      <c r="I159" s="78">
        <f t="shared" si="34"/>
        <v>1</v>
      </c>
      <c r="J159" s="78">
        <f t="shared" si="34"/>
        <v>1</v>
      </c>
      <c r="K159" s="78">
        <f t="shared" si="34"/>
        <v>1</v>
      </c>
      <c r="L159" s="78">
        <f t="shared" si="34"/>
        <v>2</v>
      </c>
      <c r="M159" s="78">
        <f t="shared" si="34"/>
        <v>1</v>
      </c>
      <c r="N159" s="78">
        <f t="shared" si="34"/>
        <v>0</v>
      </c>
    </row>
    <row r="160" spans="1:15" x14ac:dyDescent="0.2">
      <c r="B160" s="89" t="s">
        <v>44</v>
      </c>
      <c r="C160" s="49">
        <v>0.01</v>
      </c>
      <c r="D160" s="49">
        <v>0.01</v>
      </c>
      <c r="E160" s="49">
        <v>0.01</v>
      </c>
      <c r="F160" s="49">
        <v>0.01</v>
      </c>
      <c r="G160" s="49">
        <v>0.01</v>
      </c>
      <c r="H160" s="49">
        <v>0.01</v>
      </c>
      <c r="I160" s="49">
        <v>0.01</v>
      </c>
      <c r="J160" s="49">
        <v>0.01</v>
      </c>
      <c r="K160" s="49">
        <v>0.01</v>
      </c>
      <c r="L160" s="49">
        <v>0.01</v>
      </c>
      <c r="M160" s="49">
        <v>0.01</v>
      </c>
      <c r="N160" s="49">
        <v>0.01</v>
      </c>
    </row>
    <row r="161" spans="1:14" x14ac:dyDescent="0.2">
      <c r="B161" s="78" t="s">
        <v>186</v>
      </c>
      <c r="C161" s="53">
        <f>SUM(174*C160)</f>
        <v>1.74</v>
      </c>
      <c r="D161" s="53">
        <f t="shared" ref="D161:N161" si="35">SUM(174*D160)</f>
        <v>1.74</v>
      </c>
      <c r="E161" s="53">
        <f t="shared" si="35"/>
        <v>1.74</v>
      </c>
      <c r="F161" s="53">
        <f t="shared" si="35"/>
        <v>1.74</v>
      </c>
      <c r="G161" s="53">
        <f t="shared" si="35"/>
        <v>1.74</v>
      </c>
      <c r="H161" s="53">
        <f t="shared" si="35"/>
        <v>1.74</v>
      </c>
      <c r="I161" s="53">
        <f t="shared" si="35"/>
        <v>1.74</v>
      </c>
      <c r="J161" s="53">
        <f t="shared" si="35"/>
        <v>1.74</v>
      </c>
      <c r="K161" s="53">
        <f t="shared" si="35"/>
        <v>1.74</v>
      </c>
      <c r="L161" s="53">
        <f t="shared" si="35"/>
        <v>1.74</v>
      </c>
      <c r="M161" s="53">
        <f t="shared" si="35"/>
        <v>1.74</v>
      </c>
      <c r="N161" s="53">
        <f t="shared" si="35"/>
        <v>1.74</v>
      </c>
    </row>
    <row r="162" spans="1:14" x14ac:dyDescent="0.2">
      <c r="A162" s="59" t="s">
        <v>349</v>
      </c>
      <c r="B162" s="78" t="s">
        <v>348</v>
      </c>
      <c r="C162" s="66">
        <f>SUM(C161*$B$163)</f>
        <v>27.405000000000001</v>
      </c>
      <c r="D162" s="66">
        <f t="shared" ref="D162:N162" si="36">SUM(D161*$B$163)</f>
        <v>27.405000000000001</v>
      </c>
      <c r="E162" s="66">
        <f t="shared" si="36"/>
        <v>27.405000000000001</v>
      </c>
      <c r="F162" s="66">
        <f t="shared" si="36"/>
        <v>27.405000000000001</v>
      </c>
      <c r="G162" s="66">
        <f t="shared" si="36"/>
        <v>27.405000000000001</v>
      </c>
      <c r="H162" s="66">
        <f t="shared" si="36"/>
        <v>27.405000000000001</v>
      </c>
      <c r="I162" s="66">
        <f t="shared" si="36"/>
        <v>27.405000000000001</v>
      </c>
      <c r="J162" s="66">
        <f t="shared" si="36"/>
        <v>27.405000000000001</v>
      </c>
      <c r="K162" s="66">
        <f t="shared" si="36"/>
        <v>27.405000000000001</v>
      </c>
      <c r="L162" s="66">
        <f t="shared" si="36"/>
        <v>27.405000000000001</v>
      </c>
      <c r="M162" s="66">
        <f t="shared" si="36"/>
        <v>27.405000000000001</v>
      </c>
      <c r="N162" s="66">
        <f t="shared" si="36"/>
        <v>27.405000000000001</v>
      </c>
    </row>
    <row r="163" spans="1:14" x14ac:dyDescent="0.2">
      <c r="A163" s="59" t="s">
        <v>188</v>
      </c>
      <c r="B163" s="74">
        <v>15.75</v>
      </c>
      <c r="C163" s="66">
        <f>SUM(C162)*'Data Links'!$B$15</f>
        <v>2.0964825</v>
      </c>
      <c r="D163" s="66">
        <f>SUM(D162)*'Data Links'!$B$15</f>
        <v>2.0964825</v>
      </c>
      <c r="E163" s="66">
        <f>SUM(E162)*'Data Links'!$B$15</f>
        <v>2.0964825</v>
      </c>
      <c r="F163" s="66">
        <f>SUM(F162)*'Data Links'!$B$15</f>
        <v>2.0964825</v>
      </c>
      <c r="G163" s="66">
        <f>SUM(G162)*'Data Links'!$B$15</f>
        <v>2.0964825</v>
      </c>
      <c r="H163" s="66">
        <f>SUM(H162)*'Data Links'!$B$15</f>
        <v>2.0964825</v>
      </c>
      <c r="I163" s="66">
        <f>SUM(I162)*'Data Links'!$B$15</f>
        <v>2.0964825</v>
      </c>
      <c r="J163" s="66">
        <f>SUM(J162)*'Data Links'!$B$15</f>
        <v>2.0964825</v>
      </c>
      <c r="K163" s="66">
        <f>SUM(K162)*'Data Links'!$B$15</f>
        <v>2.0964825</v>
      </c>
      <c r="L163" s="66">
        <f>SUM(L162)*'Data Links'!$B$15</f>
        <v>2.0964825</v>
      </c>
      <c r="M163" s="66">
        <f>SUM(M162)*'Data Links'!$B$15</f>
        <v>2.0964825</v>
      </c>
      <c r="N163" s="66">
        <f>SUM(N162)*'Data Links'!$B$15</f>
        <v>2.0964825</v>
      </c>
    </row>
    <row r="164" spans="1:14" x14ac:dyDescent="0.2">
      <c r="A164" s="59" t="s">
        <v>189</v>
      </c>
      <c r="B164" s="74">
        <v>14.66</v>
      </c>
      <c r="C164" s="66">
        <f>SUM(C162*'Data Links'!$B$13)</f>
        <v>0.16443000000000002</v>
      </c>
      <c r="D164" s="66">
        <f>SUM(D162*'Data Links'!$B$13)</f>
        <v>0.16443000000000002</v>
      </c>
      <c r="E164" s="66">
        <f>SUM(E162*'Data Links'!$B$13)</f>
        <v>0.16443000000000002</v>
      </c>
      <c r="F164" s="66">
        <f>SUM(F162*'Data Links'!$B$13)</f>
        <v>0.16443000000000002</v>
      </c>
      <c r="G164" s="66">
        <f>SUM(G162*'Data Links'!$B$13)</f>
        <v>0.16443000000000002</v>
      </c>
      <c r="H164" s="66">
        <f>SUM(H162*'Data Links'!$B$13)</f>
        <v>0.16443000000000002</v>
      </c>
      <c r="I164" s="66">
        <f>SUM(I162*'Data Links'!$B$13)</f>
        <v>0.16443000000000002</v>
      </c>
      <c r="J164" s="66">
        <f>SUM(J162*'Data Links'!$B$13)</f>
        <v>0.16443000000000002</v>
      </c>
      <c r="K164" s="66">
        <f>SUM(K162*'Data Links'!$B$13)</f>
        <v>0.16443000000000002</v>
      </c>
      <c r="L164" s="66">
        <f>SUM(L162*'Data Links'!$B$13)</f>
        <v>0.16443000000000002</v>
      </c>
      <c r="M164" s="66">
        <f>SUM(M162*'Data Links'!$B$13)</f>
        <v>0.16443000000000002</v>
      </c>
      <c r="N164" s="66">
        <f>SUM(N162*'Data Links'!$B$13)</f>
        <v>0.16443000000000002</v>
      </c>
    </row>
    <row r="165" spans="1:14" x14ac:dyDescent="0.2">
      <c r="A165" s="59" t="s">
        <v>190</v>
      </c>
      <c r="C165" s="66">
        <f>SUM(C161*'Data Links'!$B$8)</f>
        <v>0.135459</v>
      </c>
      <c r="D165" s="66">
        <f>SUM(D161*'Data Links'!$B$8)</f>
        <v>0.135459</v>
      </c>
      <c r="E165" s="66">
        <f>SUM(E161*'Data Links'!$B$8)</f>
        <v>0.135459</v>
      </c>
      <c r="F165" s="66">
        <f>SUM(F161*'Data Links'!$B$8)</f>
        <v>0.135459</v>
      </c>
      <c r="G165" s="66">
        <f>SUM(G161*'Data Links'!$B$8)</f>
        <v>0.135459</v>
      </c>
      <c r="H165" s="66">
        <f>SUM(H161*'Data Links'!$B$8)</f>
        <v>0.135459</v>
      </c>
      <c r="I165" s="66">
        <f>SUM(I161*'Data Links'!$B$8)</f>
        <v>0.135459</v>
      </c>
      <c r="J165" s="66">
        <f>SUM(J161*'Data Links'!$B$8)</f>
        <v>0.135459</v>
      </c>
      <c r="K165" s="66">
        <f>SUM(K161*'Data Links'!$B$8)</f>
        <v>0.135459</v>
      </c>
      <c r="L165" s="66">
        <f>SUM(L161*'Data Links'!$B$8)</f>
        <v>0.135459</v>
      </c>
      <c r="M165" s="66">
        <f>SUM(M161*'Data Links'!$B$8)</f>
        <v>0.135459</v>
      </c>
      <c r="N165" s="66">
        <f>SUM(N161*'Data Links'!$B$8)</f>
        <v>0.135459</v>
      </c>
    </row>
    <row r="166" spans="1:14" x14ac:dyDescent="0.2">
      <c r="A166" s="59" t="s">
        <v>191</v>
      </c>
      <c r="C166" s="66">
        <f>SUM('All Employees'!$P$47)*C160</f>
        <v>3.966078</v>
      </c>
      <c r="D166" s="66">
        <f>SUM('All Employees'!$P$47)*D160</f>
        <v>3.966078</v>
      </c>
      <c r="E166" s="66">
        <f>SUM('All Employees'!$P$47)*E160</f>
        <v>3.966078</v>
      </c>
      <c r="F166" s="66">
        <f>SUM('All Employees'!$P$47)*F160</f>
        <v>3.966078</v>
      </c>
      <c r="G166" s="66">
        <f>SUM('All Employees'!$P$47)*G160</f>
        <v>3.966078</v>
      </c>
      <c r="H166" s="66">
        <f>SUM('All Employees'!$P$47)*H160</f>
        <v>3.966078</v>
      </c>
      <c r="I166" s="66">
        <f>SUM('All Employees'!$P$47)*I160</f>
        <v>3.966078</v>
      </c>
      <c r="J166" s="66">
        <f>SUM('All Employees'!$P$47)*J160</f>
        <v>3.966078</v>
      </c>
      <c r="K166" s="66">
        <f>SUM('All Employees'!$P$47)*K160</f>
        <v>3.966078</v>
      </c>
      <c r="L166" s="66">
        <f>SUM('All Employees'!$P$47)*L160</f>
        <v>3.966078</v>
      </c>
      <c r="M166" s="66">
        <f>SUM('All Employees'!$P$47)*M160</f>
        <v>3.966078</v>
      </c>
      <c r="N166" s="66">
        <f>SUM('All Employees'!$P$47)*N160</f>
        <v>3.966078</v>
      </c>
    </row>
    <row r="167" spans="1:14" x14ac:dyDescent="0.2">
      <c r="A167" s="59" t="s">
        <v>192</v>
      </c>
      <c r="C167" s="66">
        <f>SUM(C162*'Data Links'!$B$17)</f>
        <v>0.82215000000000005</v>
      </c>
      <c r="D167" s="66">
        <f>SUM(D162*'Data Links'!$B$17)</f>
        <v>0.82215000000000005</v>
      </c>
      <c r="E167" s="66">
        <f>SUM(E162*'Data Links'!$B$17)</f>
        <v>0.82215000000000005</v>
      </c>
      <c r="F167" s="66">
        <f>SUM(F162*'Data Links'!$B$17)</f>
        <v>0.82215000000000005</v>
      </c>
      <c r="G167" s="66">
        <f>SUM(G162*'Data Links'!$B$17)</f>
        <v>0.82215000000000005</v>
      </c>
      <c r="H167" s="66">
        <f>SUM(H162*'Data Links'!$B$17)</f>
        <v>0.82215000000000005</v>
      </c>
      <c r="I167" s="66">
        <f>SUM(I162*'Data Links'!$B$17)</f>
        <v>0.82215000000000005</v>
      </c>
      <c r="J167" s="66">
        <f>SUM(J162*'Data Links'!$B$17)</f>
        <v>0.82215000000000005</v>
      </c>
      <c r="K167" s="66">
        <f>SUM(K162*'Data Links'!$B$17)</f>
        <v>0.82215000000000005</v>
      </c>
      <c r="L167" s="66">
        <f>SUM(L162*'Data Links'!$B$17)</f>
        <v>0.82215000000000005</v>
      </c>
      <c r="M167" s="66">
        <f>SUM(M162*'Data Links'!$B$17)</f>
        <v>0.82215000000000005</v>
      </c>
      <c r="N167" s="66">
        <f>SUM(N162*'Data Links'!$B$17)</f>
        <v>0.82215000000000005</v>
      </c>
    </row>
    <row r="168" spans="1:14" s="58" customFormat="1" x14ac:dyDescent="0.2">
      <c r="A168" s="58" t="s">
        <v>144</v>
      </c>
      <c r="B168" s="60"/>
      <c r="C168" s="60">
        <f t="shared" ref="C168:N168" si="37">SUM(C162:C167)</f>
        <v>34.589599500000006</v>
      </c>
      <c r="D168" s="60">
        <f t="shared" si="37"/>
        <v>34.589599500000006</v>
      </c>
      <c r="E168" s="60">
        <f t="shared" si="37"/>
        <v>34.589599500000006</v>
      </c>
      <c r="F168" s="60">
        <f t="shared" si="37"/>
        <v>34.589599500000006</v>
      </c>
      <c r="G168" s="60">
        <f t="shared" si="37"/>
        <v>34.589599500000006</v>
      </c>
      <c r="H168" s="60">
        <f t="shared" si="37"/>
        <v>34.589599500000006</v>
      </c>
      <c r="I168" s="60">
        <f t="shared" si="37"/>
        <v>34.589599500000006</v>
      </c>
      <c r="J168" s="60">
        <f t="shared" si="37"/>
        <v>34.589599500000006</v>
      </c>
      <c r="K168" s="60">
        <f t="shared" si="37"/>
        <v>34.589599500000006</v>
      </c>
      <c r="L168" s="60">
        <f t="shared" si="37"/>
        <v>34.589599500000006</v>
      </c>
      <c r="M168" s="60">
        <f t="shared" si="37"/>
        <v>34.589599500000006</v>
      </c>
      <c r="N168" s="60">
        <f t="shared" si="37"/>
        <v>34.589599500000006</v>
      </c>
    </row>
    <row r="169" spans="1:14" x14ac:dyDescent="0.2">
      <c r="C169" s="60"/>
      <c r="D169" s="66"/>
      <c r="E169" s="66"/>
      <c r="F169" s="66"/>
      <c r="G169" s="66"/>
      <c r="H169" s="66"/>
      <c r="I169" s="66"/>
      <c r="J169" s="66"/>
      <c r="K169" s="66"/>
      <c r="L169" s="66"/>
      <c r="M169" s="66"/>
      <c r="N169" s="66"/>
    </row>
    <row r="170" spans="1:14" hidden="1" x14ac:dyDescent="0.2">
      <c r="C170" s="89" t="str">
        <f>C157</f>
        <v>January</v>
      </c>
      <c r="D170" s="89" t="str">
        <f t="shared" ref="D170:N170" si="38">D157</f>
        <v>February</v>
      </c>
      <c r="E170" s="89" t="str">
        <f t="shared" si="38"/>
        <v>March</v>
      </c>
      <c r="F170" s="89" t="str">
        <f t="shared" si="38"/>
        <v>April</v>
      </c>
      <c r="G170" s="89" t="str">
        <f t="shared" si="38"/>
        <v>May</v>
      </c>
      <c r="H170" s="89" t="str">
        <f t="shared" si="38"/>
        <v>June</v>
      </c>
      <c r="I170" s="89" t="str">
        <f t="shared" si="38"/>
        <v>July</v>
      </c>
      <c r="J170" s="89" t="str">
        <f t="shared" si="38"/>
        <v>August</v>
      </c>
      <c r="K170" s="89" t="str">
        <f t="shared" si="38"/>
        <v>September</v>
      </c>
      <c r="L170" s="89" t="str">
        <f t="shared" si="38"/>
        <v>October</v>
      </c>
      <c r="M170" s="89" t="str">
        <f t="shared" si="38"/>
        <v>November</v>
      </c>
      <c r="N170" s="89" t="str">
        <f t="shared" si="38"/>
        <v>December</v>
      </c>
    </row>
    <row r="171" spans="1:14" hidden="1" x14ac:dyDescent="0.2">
      <c r="C171" s="89">
        <f t="shared" ref="C171:N172" si="39">C158</f>
        <v>30</v>
      </c>
      <c r="D171" s="89">
        <f t="shared" si="39"/>
        <v>31</v>
      </c>
      <c r="E171" s="89">
        <f t="shared" si="39"/>
        <v>30</v>
      </c>
      <c r="F171" s="89">
        <f t="shared" si="39"/>
        <v>31</v>
      </c>
      <c r="G171" s="89">
        <f t="shared" si="39"/>
        <v>31</v>
      </c>
      <c r="H171" s="89">
        <f t="shared" si="39"/>
        <v>30</v>
      </c>
      <c r="I171" s="89">
        <f t="shared" si="39"/>
        <v>31</v>
      </c>
      <c r="J171" s="89">
        <f t="shared" si="39"/>
        <v>30</v>
      </c>
      <c r="K171" s="89">
        <f t="shared" si="39"/>
        <v>31</v>
      </c>
      <c r="L171" s="89">
        <f t="shared" si="39"/>
        <v>31</v>
      </c>
      <c r="M171" s="89">
        <f t="shared" si="39"/>
        <v>28</v>
      </c>
      <c r="N171" s="89">
        <f t="shared" si="39"/>
        <v>31</v>
      </c>
    </row>
    <row r="172" spans="1:14" hidden="1" x14ac:dyDescent="0.2">
      <c r="B172" s="89" t="s">
        <v>185</v>
      </c>
      <c r="C172" s="78">
        <f t="shared" si="39"/>
        <v>0</v>
      </c>
      <c r="D172" s="78">
        <f t="shared" si="39"/>
        <v>1</v>
      </c>
      <c r="E172" s="78">
        <f t="shared" si="39"/>
        <v>0</v>
      </c>
      <c r="F172" s="78">
        <f t="shared" si="39"/>
        <v>1</v>
      </c>
      <c r="G172" s="78">
        <f t="shared" si="39"/>
        <v>0</v>
      </c>
      <c r="H172" s="78">
        <f t="shared" si="39"/>
        <v>1</v>
      </c>
      <c r="I172" s="78">
        <f t="shared" si="39"/>
        <v>1</v>
      </c>
      <c r="J172" s="78">
        <f t="shared" si="39"/>
        <v>1</v>
      </c>
      <c r="K172" s="78">
        <f t="shared" si="39"/>
        <v>1</v>
      </c>
      <c r="L172" s="78">
        <f t="shared" si="39"/>
        <v>2</v>
      </c>
      <c r="M172" s="78">
        <f t="shared" si="39"/>
        <v>1</v>
      </c>
      <c r="N172" s="78">
        <f t="shared" si="39"/>
        <v>0</v>
      </c>
    </row>
    <row r="173" spans="1:14" hidden="1" x14ac:dyDescent="0.2">
      <c r="B173" s="89" t="s">
        <v>44</v>
      </c>
      <c r="C173" s="49"/>
      <c r="D173" s="49"/>
      <c r="E173" s="49"/>
      <c r="F173" s="49"/>
      <c r="G173" s="49"/>
      <c r="H173" s="49"/>
      <c r="I173" s="49"/>
      <c r="J173" s="49"/>
      <c r="K173" s="49"/>
      <c r="L173" s="49"/>
      <c r="M173" s="49"/>
      <c r="N173" s="49"/>
    </row>
    <row r="174" spans="1:14" hidden="1" x14ac:dyDescent="0.2">
      <c r="B174" s="89" t="s">
        <v>186</v>
      </c>
      <c r="C174" s="53">
        <f>SUM(174*C173)</f>
        <v>0</v>
      </c>
      <c r="D174" s="53">
        <f t="shared" ref="D174:N174" si="40">SUM(174*D173)</f>
        <v>0</v>
      </c>
      <c r="E174" s="53">
        <f t="shared" si="40"/>
        <v>0</v>
      </c>
      <c r="F174" s="53">
        <f t="shared" si="40"/>
        <v>0</v>
      </c>
      <c r="G174" s="53">
        <f t="shared" si="40"/>
        <v>0</v>
      </c>
      <c r="H174" s="53">
        <f t="shared" si="40"/>
        <v>0</v>
      </c>
      <c r="I174" s="53">
        <f t="shared" si="40"/>
        <v>0</v>
      </c>
      <c r="J174" s="53">
        <f t="shared" si="40"/>
        <v>0</v>
      </c>
      <c r="K174" s="53">
        <f t="shared" si="40"/>
        <v>0</v>
      </c>
      <c r="L174" s="53">
        <f t="shared" si="40"/>
        <v>0</v>
      </c>
      <c r="M174" s="53">
        <f t="shared" si="40"/>
        <v>0</v>
      </c>
      <c r="N174" s="53">
        <f t="shared" si="40"/>
        <v>0</v>
      </c>
    </row>
    <row r="175" spans="1:14" hidden="1" x14ac:dyDescent="0.2">
      <c r="A175" s="59" t="s">
        <v>193</v>
      </c>
      <c r="B175" s="78" t="s">
        <v>187</v>
      </c>
      <c r="C175" s="66">
        <f>SUM(C174*$B$176)</f>
        <v>0</v>
      </c>
      <c r="D175" s="66">
        <f t="shared" ref="D175:N175" si="41">SUM(D174*$B$176)</f>
        <v>0</v>
      </c>
      <c r="E175" s="66">
        <f t="shared" si="41"/>
        <v>0</v>
      </c>
      <c r="F175" s="66">
        <f t="shared" si="41"/>
        <v>0</v>
      </c>
      <c r="G175" s="66">
        <f t="shared" si="41"/>
        <v>0</v>
      </c>
      <c r="H175" s="66">
        <f t="shared" si="41"/>
        <v>0</v>
      </c>
      <c r="I175" s="66">
        <f t="shared" si="41"/>
        <v>0</v>
      </c>
      <c r="J175" s="66">
        <f t="shared" si="41"/>
        <v>0</v>
      </c>
      <c r="K175" s="66">
        <f t="shared" si="41"/>
        <v>0</v>
      </c>
      <c r="L175" s="66">
        <f t="shared" si="41"/>
        <v>0</v>
      </c>
      <c r="M175" s="66">
        <f t="shared" si="41"/>
        <v>0</v>
      </c>
      <c r="N175" s="66">
        <f t="shared" si="41"/>
        <v>0</v>
      </c>
    </row>
    <row r="176" spans="1:14" hidden="1" x14ac:dyDescent="0.2">
      <c r="A176" s="59" t="s">
        <v>188</v>
      </c>
      <c r="B176" s="74">
        <v>0</v>
      </c>
      <c r="C176" s="66">
        <f>SUM(C175)*'Data Links'!$B$15</f>
        <v>0</v>
      </c>
      <c r="D176" s="66">
        <f>SUM(D175)*'Data Links'!$B$15</f>
        <v>0</v>
      </c>
      <c r="E176" s="66">
        <f>SUM(E175)*'Data Links'!$B$15</f>
        <v>0</v>
      </c>
      <c r="F176" s="66">
        <f>SUM(F175)*'Data Links'!$B$15</f>
        <v>0</v>
      </c>
      <c r="G176" s="66">
        <f>SUM(G175)*'Data Links'!$B$15</f>
        <v>0</v>
      </c>
      <c r="H176" s="66">
        <f>SUM(H175)*'Data Links'!$B$15</f>
        <v>0</v>
      </c>
      <c r="I176" s="66">
        <f>SUM(I175)*'Data Links'!$B$15</f>
        <v>0</v>
      </c>
      <c r="J176" s="66">
        <f>SUM(J175)*'Data Links'!$B$15</f>
        <v>0</v>
      </c>
      <c r="K176" s="66">
        <f>SUM(K175)*'Data Links'!$B$15</f>
        <v>0</v>
      </c>
      <c r="L176" s="66">
        <f>SUM(L175)*'Data Links'!$B$15</f>
        <v>0</v>
      </c>
      <c r="M176" s="66">
        <f>SUM(M175)*'Data Links'!$B$15</f>
        <v>0</v>
      </c>
      <c r="N176" s="66">
        <f>SUM(N175)*'Data Links'!$B$15</f>
        <v>0</v>
      </c>
    </row>
    <row r="177" spans="1:14" hidden="1" x14ac:dyDescent="0.2">
      <c r="A177" s="59" t="s">
        <v>189</v>
      </c>
      <c r="C177" s="66">
        <f>SUM(C175*'Data Links'!$B$13)</f>
        <v>0</v>
      </c>
      <c r="D177" s="66">
        <f>SUM(D175*'Data Links'!$B$13)</f>
        <v>0</v>
      </c>
      <c r="E177" s="66">
        <f>SUM(E175*'Data Links'!$B$13)</f>
        <v>0</v>
      </c>
      <c r="F177" s="66">
        <f>SUM(F175*'Data Links'!$B$13)</f>
        <v>0</v>
      </c>
      <c r="G177" s="66">
        <f>SUM(G175*'Data Links'!$B$13)</f>
        <v>0</v>
      </c>
      <c r="H177" s="66">
        <f>SUM(H175*'Data Links'!$B$13)</f>
        <v>0</v>
      </c>
      <c r="I177" s="66">
        <f>SUM(I175*'Data Links'!$B$13)</f>
        <v>0</v>
      </c>
      <c r="J177" s="66">
        <f>SUM(J175*'Data Links'!$B$13)</f>
        <v>0</v>
      </c>
      <c r="K177" s="66">
        <f>SUM(K175*'Data Links'!$B$13)</f>
        <v>0</v>
      </c>
      <c r="L177" s="66">
        <f>SUM(L175*'Data Links'!$B$13)</f>
        <v>0</v>
      </c>
      <c r="M177" s="66">
        <f>SUM(M175*'Data Links'!$B$13)</f>
        <v>0</v>
      </c>
      <c r="N177" s="66">
        <f>SUM(N175*'Data Links'!$B$13)</f>
        <v>0</v>
      </c>
    </row>
    <row r="178" spans="1:14" hidden="1" x14ac:dyDescent="0.2">
      <c r="A178" s="59" t="s">
        <v>190</v>
      </c>
      <c r="C178" s="66">
        <f>SUM(C174*'Data Links'!$B$8)</f>
        <v>0</v>
      </c>
      <c r="D178" s="66">
        <f>SUM(D174*'Data Links'!$B$8)</f>
        <v>0</v>
      </c>
      <c r="E178" s="66">
        <f>SUM(E174*'Data Links'!$B$8)</f>
        <v>0</v>
      </c>
      <c r="F178" s="66">
        <f>SUM(F174*'Data Links'!$B$8)</f>
        <v>0</v>
      </c>
      <c r="G178" s="66">
        <f>SUM(G174*'Data Links'!$B$8)</f>
        <v>0</v>
      </c>
      <c r="H178" s="66">
        <f>SUM(H174*'Data Links'!$B$8)</f>
        <v>0</v>
      </c>
      <c r="I178" s="66">
        <f>SUM(I174*'Data Links'!$B$8)</f>
        <v>0</v>
      </c>
      <c r="J178" s="66">
        <f>SUM(J174*'Data Links'!$B$8)</f>
        <v>0</v>
      </c>
      <c r="K178" s="66">
        <f>SUM(K174*'Data Links'!$B$8)</f>
        <v>0</v>
      </c>
      <c r="L178" s="66">
        <f>SUM(L174*'Data Links'!$B$8)</f>
        <v>0</v>
      </c>
      <c r="M178" s="66">
        <f>SUM(M174*'Data Links'!$B$8)</f>
        <v>0</v>
      </c>
      <c r="N178" s="66">
        <f>SUM(N174*'Data Links'!$B$8)</f>
        <v>0</v>
      </c>
    </row>
    <row r="179" spans="1:14" hidden="1" x14ac:dyDescent="0.2">
      <c r="A179" s="59" t="s">
        <v>191</v>
      </c>
      <c r="C179" s="66"/>
      <c r="D179" s="66"/>
      <c r="E179" s="66"/>
      <c r="F179" s="66"/>
      <c r="G179" s="66"/>
      <c r="H179" s="66"/>
      <c r="I179" s="66"/>
      <c r="J179" s="66"/>
      <c r="K179" s="66"/>
      <c r="L179" s="66"/>
      <c r="M179" s="66"/>
      <c r="N179" s="66"/>
    </row>
    <row r="180" spans="1:14" hidden="1" x14ac:dyDescent="0.2">
      <c r="A180" s="59" t="s">
        <v>192</v>
      </c>
      <c r="C180" s="66"/>
      <c r="D180" s="66"/>
      <c r="E180" s="66"/>
      <c r="F180" s="66"/>
      <c r="G180" s="66"/>
      <c r="H180" s="66"/>
      <c r="I180" s="66"/>
      <c r="J180" s="66"/>
      <c r="K180" s="66"/>
      <c r="L180" s="66"/>
      <c r="M180" s="66"/>
      <c r="N180" s="66"/>
    </row>
    <row r="181" spans="1:14" s="58" customFormat="1" hidden="1" x14ac:dyDescent="0.2">
      <c r="A181" s="58" t="s">
        <v>144</v>
      </c>
      <c r="B181" s="60"/>
      <c r="C181" s="60">
        <f t="shared" ref="C181:N181" si="42">SUM(C175:C180)</f>
        <v>0</v>
      </c>
      <c r="D181" s="60">
        <f t="shared" si="42"/>
        <v>0</v>
      </c>
      <c r="E181" s="60">
        <f t="shared" si="42"/>
        <v>0</v>
      </c>
      <c r="F181" s="60">
        <f t="shared" si="42"/>
        <v>0</v>
      </c>
      <c r="G181" s="60">
        <f t="shared" si="42"/>
        <v>0</v>
      </c>
      <c r="H181" s="60">
        <f t="shared" si="42"/>
        <v>0</v>
      </c>
      <c r="I181" s="60">
        <f t="shared" si="42"/>
        <v>0</v>
      </c>
      <c r="J181" s="60">
        <f t="shared" si="42"/>
        <v>0</v>
      </c>
      <c r="K181" s="60">
        <f t="shared" si="42"/>
        <v>0</v>
      </c>
      <c r="L181" s="60">
        <f t="shared" si="42"/>
        <v>0</v>
      </c>
      <c r="M181" s="60">
        <f t="shared" si="42"/>
        <v>0</v>
      </c>
      <c r="N181" s="60">
        <f t="shared" si="42"/>
        <v>0</v>
      </c>
    </row>
    <row r="182" spans="1:14" hidden="1" x14ac:dyDescent="0.2">
      <c r="C182" s="60"/>
      <c r="D182" s="66"/>
      <c r="E182" s="66"/>
      <c r="F182" s="66"/>
      <c r="G182" s="66"/>
      <c r="H182" s="66"/>
      <c r="I182" s="66"/>
      <c r="J182" s="66"/>
      <c r="K182" s="66"/>
      <c r="L182" s="66"/>
      <c r="M182" s="66"/>
      <c r="N182" s="66"/>
    </row>
    <row r="183" spans="1:14" hidden="1" x14ac:dyDescent="0.2">
      <c r="C183" s="89" t="str">
        <f>C170</f>
        <v>January</v>
      </c>
      <c r="D183" s="89" t="str">
        <f t="shared" ref="D183:N183" si="43">D170</f>
        <v>February</v>
      </c>
      <c r="E183" s="89" t="str">
        <f t="shared" si="43"/>
        <v>March</v>
      </c>
      <c r="F183" s="89" t="str">
        <f t="shared" si="43"/>
        <v>April</v>
      </c>
      <c r="G183" s="89" t="str">
        <f t="shared" si="43"/>
        <v>May</v>
      </c>
      <c r="H183" s="89" t="str">
        <f t="shared" si="43"/>
        <v>June</v>
      </c>
      <c r="I183" s="89" t="str">
        <f t="shared" si="43"/>
        <v>July</v>
      </c>
      <c r="J183" s="89" t="str">
        <f t="shared" si="43"/>
        <v>August</v>
      </c>
      <c r="K183" s="89" t="str">
        <f t="shared" si="43"/>
        <v>September</v>
      </c>
      <c r="L183" s="89" t="str">
        <f t="shared" si="43"/>
        <v>October</v>
      </c>
      <c r="M183" s="89" t="str">
        <f t="shared" si="43"/>
        <v>November</v>
      </c>
      <c r="N183" s="89" t="str">
        <f t="shared" si="43"/>
        <v>December</v>
      </c>
    </row>
    <row r="184" spans="1:14" hidden="1" x14ac:dyDescent="0.2">
      <c r="C184" s="89">
        <f t="shared" ref="C184:N185" si="44">C171</f>
        <v>30</v>
      </c>
      <c r="D184" s="89">
        <f t="shared" si="44"/>
        <v>31</v>
      </c>
      <c r="E184" s="89">
        <f t="shared" si="44"/>
        <v>30</v>
      </c>
      <c r="F184" s="89">
        <f t="shared" si="44"/>
        <v>31</v>
      </c>
      <c r="G184" s="89">
        <f t="shared" si="44"/>
        <v>31</v>
      </c>
      <c r="H184" s="89">
        <f t="shared" si="44"/>
        <v>30</v>
      </c>
      <c r="I184" s="89">
        <f t="shared" si="44"/>
        <v>31</v>
      </c>
      <c r="J184" s="89">
        <f t="shared" si="44"/>
        <v>30</v>
      </c>
      <c r="K184" s="89">
        <f t="shared" si="44"/>
        <v>31</v>
      </c>
      <c r="L184" s="89">
        <f t="shared" si="44"/>
        <v>31</v>
      </c>
      <c r="M184" s="89">
        <f t="shared" si="44"/>
        <v>28</v>
      </c>
      <c r="N184" s="89">
        <f t="shared" si="44"/>
        <v>31</v>
      </c>
    </row>
    <row r="185" spans="1:14" hidden="1" x14ac:dyDescent="0.2">
      <c r="B185" s="78" t="s">
        <v>185</v>
      </c>
      <c r="C185" s="78">
        <f t="shared" si="44"/>
        <v>0</v>
      </c>
      <c r="D185" s="78">
        <f t="shared" si="44"/>
        <v>1</v>
      </c>
      <c r="E185" s="78">
        <f t="shared" si="44"/>
        <v>0</v>
      </c>
      <c r="F185" s="78">
        <f t="shared" si="44"/>
        <v>1</v>
      </c>
      <c r="G185" s="78">
        <f t="shared" si="44"/>
        <v>0</v>
      </c>
      <c r="H185" s="78">
        <f t="shared" si="44"/>
        <v>1</v>
      </c>
      <c r="I185" s="78">
        <f t="shared" si="44"/>
        <v>1</v>
      </c>
      <c r="J185" s="78">
        <f t="shared" si="44"/>
        <v>1</v>
      </c>
      <c r="K185" s="78">
        <f t="shared" si="44"/>
        <v>1</v>
      </c>
      <c r="L185" s="78">
        <f t="shared" si="44"/>
        <v>2</v>
      </c>
      <c r="M185" s="78">
        <f t="shared" si="44"/>
        <v>1</v>
      </c>
      <c r="N185" s="78">
        <f t="shared" si="44"/>
        <v>0</v>
      </c>
    </row>
    <row r="186" spans="1:14" hidden="1" x14ac:dyDescent="0.2">
      <c r="B186" s="78" t="s">
        <v>44</v>
      </c>
      <c r="C186" s="49"/>
      <c r="D186" s="49"/>
      <c r="E186" s="49"/>
      <c r="F186" s="49"/>
      <c r="G186" s="49"/>
      <c r="H186" s="49"/>
      <c r="I186" s="49"/>
      <c r="J186" s="49"/>
      <c r="K186" s="49"/>
      <c r="L186" s="49"/>
      <c r="M186" s="49"/>
      <c r="N186" s="49"/>
    </row>
    <row r="187" spans="1:14" hidden="1" x14ac:dyDescent="0.2">
      <c r="B187" s="78" t="s">
        <v>186</v>
      </c>
      <c r="C187" s="53">
        <f>SUM(174*C186)</f>
        <v>0</v>
      </c>
      <c r="D187" s="53">
        <f t="shared" ref="D187:N187" si="45">SUM(174*D186)</f>
        <v>0</v>
      </c>
      <c r="E187" s="53">
        <f t="shared" si="45"/>
        <v>0</v>
      </c>
      <c r="F187" s="53">
        <f t="shared" si="45"/>
        <v>0</v>
      </c>
      <c r="G187" s="53">
        <f t="shared" si="45"/>
        <v>0</v>
      </c>
      <c r="H187" s="53">
        <f t="shared" si="45"/>
        <v>0</v>
      </c>
      <c r="I187" s="53">
        <f t="shared" si="45"/>
        <v>0</v>
      </c>
      <c r="J187" s="53">
        <f t="shared" si="45"/>
        <v>0</v>
      </c>
      <c r="K187" s="53">
        <f t="shared" si="45"/>
        <v>0</v>
      </c>
      <c r="L187" s="53">
        <f t="shared" si="45"/>
        <v>0</v>
      </c>
      <c r="M187" s="53">
        <f t="shared" si="45"/>
        <v>0</v>
      </c>
      <c r="N187" s="53">
        <f t="shared" si="45"/>
        <v>0</v>
      </c>
    </row>
    <row r="188" spans="1:14" hidden="1" x14ac:dyDescent="0.2">
      <c r="A188" s="59" t="s">
        <v>200</v>
      </c>
      <c r="B188" s="78" t="s">
        <v>187</v>
      </c>
      <c r="C188" s="66">
        <f>SUM(C187*$B$189)</f>
        <v>0</v>
      </c>
      <c r="D188" s="66">
        <f t="shared" ref="D188:N188" si="46">SUM(D187*$B$189)</f>
        <v>0</v>
      </c>
      <c r="E188" s="66">
        <f t="shared" si="46"/>
        <v>0</v>
      </c>
      <c r="F188" s="66">
        <f t="shared" si="46"/>
        <v>0</v>
      </c>
      <c r="G188" s="66">
        <f t="shared" si="46"/>
        <v>0</v>
      </c>
      <c r="H188" s="66">
        <f t="shared" si="46"/>
        <v>0</v>
      </c>
      <c r="I188" s="66">
        <f t="shared" si="46"/>
        <v>0</v>
      </c>
      <c r="J188" s="66">
        <f t="shared" si="46"/>
        <v>0</v>
      </c>
      <c r="K188" s="66">
        <f t="shared" si="46"/>
        <v>0</v>
      </c>
      <c r="L188" s="66">
        <f t="shared" si="46"/>
        <v>0</v>
      </c>
      <c r="M188" s="66">
        <f t="shared" si="46"/>
        <v>0</v>
      </c>
      <c r="N188" s="66">
        <f t="shared" si="46"/>
        <v>0</v>
      </c>
    </row>
    <row r="189" spans="1:14" hidden="1" x14ac:dyDescent="0.2">
      <c r="A189" s="59" t="s">
        <v>188</v>
      </c>
      <c r="B189" s="74">
        <v>0</v>
      </c>
      <c r="C189" s="66">
        <f>SUM(C188)*'Data Links'!$B$15</f>
        <v>0</v>
      </c>
      <c r="D189" s="66">
        <f>SUM(D188)*'Data Links'!$B$15</f>
        <v>0</v>
      </c>
      <c r="E189" s="66">
        <f>SUM(E188)*'Data Links'!$B$15</f>
        <v>0</v>
      </c>
      <c r="F189" s="66">
        <f>SUM(F188)*'Data Links'!$B$15</f>
        <v>0</v>
      </c>
      <c r="G189" s="66">
        <f>SUM(G188)*'Data Links'!$B$15</f>
        <v>0</v>
      </c>
      <c r="H189" s="66">
        <f>SUM(H188)*'Data Links'!$B$15</f>
        <v>0</v>
      </c>
      <c r="I189" s="66">
        <f>SUM(I188)*'Data Links'!$B$15</f>
        <v>0</v>
      </c>
      <c r="J189" s="66">
        <f>SUM(J188)*'Data Links'!$B$15</f>
        <v>0</v>
      </c>
      <c r="K189" s="66">
        <f>SUM(K188)*'Data Links'!$B$15</f>
        <v>0</v>
      </c>
      <c r="L189" s="66">
        <f>SUM(L188)*'Data Links'!$B$15</f>
        <v>0</v>
      </c>
      <c r="M189" s="66">
        <f>SUM(M188)*'Data Links'!$B$15</f>
        <v>0</v>
      </c>
      <c r="N189" s="66">
        <f>SUM(N188)*'Data Links'!$B$15</f>
        <v>0</v>
      </c>
    </row>
    <row r="190" spans="1:14" hidden="1" x14ac:dyDescent="0.2">
      <c r="A190" s="59" t="s">
        <v>189</v>
      </c>
      <c r="C190" s="66">
        <f>SUM(C188*'Data Links'!$B$13)</f>
        <v>0</v>
      </c>
      <c r="D190" s="66">
        <f>SUM(D188*'Data Links'!$B$13)</f>
        <v>0</v>
      </c>
      <c r="E190" s="66">
        <f>SUM(E188*'Data Links'!$B$13)</f>
        <v>0</v>
      </c>
      <c r="F190" s="66">
        <f>SUM(F188*'Data Links'!$B$13)</f>
        <v>0</v>
      </c>
      <c r="G190" s="66">
        <f>SUM(G188*'Data Links'!$B$13)</f>
        <v>0</v>
      </c>
      <c r="H190" s="66">
        <f>SUM(H188*'Data Links'!$B$13)</f>
        <v>0</v>
      </c>
      <c r="I190" s="66">
        <f>SUM(I188*'Data Links'!$B$13)</f>
        <v>0</v>
      </c>
      <c r="J190" s="66">
        <f>SUM(J188*'Data Links'!$B$13)</f>
        <v>0</v>
      </c>
      <c r="K190" s="66">
        <f>SUM(K188*'Data Links'!$B$13)</f>
        <v>0</v>
      </c>
      <c r="L190" s="66">
        <f>SUM(L188*'Data Links'!$B$13)</f>
        <v>0</v>
      </c>
      <c r="M190" s="66">
        <f>SUM(M188*'Data Links'!$B$13)</f>
        <v>0</v>
      </c>
      <c r="N190" s="66">
        <f>SUM(N188*'Data Links'!$B$13)</f>
        <v>0</v>
      </c>
    </row>
    <row r="191" spans="1:14" hidden="1" x14ac:dyDescent="0.2">
      <c r="A191" s="59" t="s">
        <v>190</v>
      </c>
      <c r="C191" s="66">
        <f>SUM(C187*'Data Links'!$B$8)</f>
        <v>0</v>
      </c>
      <c r="D191" s="66">
        <f>SUM(D187*'Data Links'!$B$8)</f>
        <v>0</v>
      </c>
      <c r="E191" s="66">
        <f>SUM(E187*'Data Links'!$B$8)</f>
        <v>0</v>
      </c>
      <c r="F191" s="66">
        <f>SUM(F187*'Data Links'!$B$8)</f>
        <v>0</v>
      </c>
      <c r="G191" s="66">
        <f>SUM(G187*'Data Links'!$B$8)</f>
        <v>0</v>
      </c>
      <c r="H191" s="66">
        <f>SUM(H187*'Data Links'!$B$8)</f>
        <v>0</v>
      </c>
      <c r="I191" s="66">
        <f>SUM(I187*'Data Links'!$B$8)</f>
        <v>0</v>
      </c>
      <c r="J191" s="66">
        <f>SUM(J187*'Data Links'!$B$8)</f>
        <v>0</v>
      </c>
      <c r="K191" s="66">
        <f>SUM(K187*'Data Links'!$B$8)</f>
        <v>0</v>
      </c>
      <c r="L191" s="66">
        <f>SUM(L187*'Data Links'!$B$8)</f>
        <v>0</v>
      </c>
      <c r="M191" s="66">
        <f>SUM(M187*'Data Links'!$B$8)</f>
        <v>0</v>
      </c>
      <c r="N191" s="66">
        <f>SUM(N187*'Data Links'!$B$8)</f>
        <v>0</v>
      </c>
    </row>
    <row r="192" spans="1:14" hidden="1" x14ac:dyDescent="0.2">
      <c r="A192" s="59" t="s">
        <v>191</v>
      </c>
      <c r="C192" s="66"/>
      <c r="D192" s="66"/>
      <c r="E192" s="66"/>
      <c r="F192" s="66"/>
      <c r="G192" s="66"/>
      <c r="H192" s="66"/>
      <c r="I192" s="66"/>
      <c r="J192" s="66"/>
      <c r="K192" s="66"/>
      <c r="L192" s="66"/>
      <c r="M192" s="66"/>
      <c r="N192" s="66"/>
    </row>
    <row r="193" spans="1:14" hidden="1" x14ac:dyDescent="0.2">
      <c r="A193" s="59" t="s">
        <v>192</v>
      </c>
      <c r="C193" s="66"/>
      <c r="D193" s="66"/>
      <c r="E193" s="66"/>
      <c r="F193" s="66"/>
      <c r="G193" s="66"/>
      <c r="H193" s="66"/>
      <c r="I193" s="66"/>
      <c r="J193" s="66"/>
      <c r="K193" s="66"/>
      <c r="L193" s="66"/>
      <c r="M193" s="66"/>
      <c r="N193" s="66"/>
    </row>
    <row r="194" spans="1:14" s="58" customFormat="1" hidden="1" x14ac:dyDescent="0.2">
      <c r="A194" s="58" t="s">
        <v>144</v>
      </c>
      <c r="B194" s="60"/>
      <c r="C194" s="60">
        <f t="shared" ref="C194:N194" si="47">SUM(C188:C193)</f>
        <v>0</v>
      </c>
      <c r="D194" s="60">
        <f t="shared" si="47"/>
        <v>0</v>
      </c>
      <c r="E194" s="60">
        <f t="shared" si="47"/>
        <v>0</v>
      </c>
      <c r="F194" s="60">
        <f t="shared" si="47"/>
        <v>0</v>
      </c>
      <c r="G194" s="60">
        <f t="shared" si="47"/>
        <v>0</v>
      </c>
      <c r="H194" s="60">
        <f t="shared" si="47"/>
        <v>0</v>
      </c>
      <c r="I194" s="60">
        <f t="shared" si="47"/>
        <v>0</v>
      </c>
      <c r="J194" s="60">
        <f t="shared" si="47"/>
        <v>0</v>
      </c>
      <c r="K194" s="60">
        <f t="shared" si="47"/>
        <v>0</v>
      </c>
      <c r="L194" s="60">
        <f t="shared" si="47"/>
        <v>0</v>
      </c>
      <c r="M194" s="60">
        <f t="shared" si="47"/>
        <v>0</v>
      </c>
      <c r="N194" s="60">
        <f t="shared" si="47"/>
        <v>0</v>
      </c>
    </row>
    <row r="195" spans="1:14" hidden="1" x14ac:dyDescent="0.2">
      <c r="C195" s="60"/>
      <c r="D195" s="66"/>
      <c r="E195" s="66"/>
      <c r="F195" s="66"/>
      <c r="G195" s="66"/>
      <c r="H195" s="66"/>
      <c r="I195" s="66"/>
      <c r="J195" s="66"/>
      <c r="K195" s="66"/>
      <c r="L195" s="66"/>
      <c r="M195" s="66"/>
      <c r="N195" s="66"/>
    </row>
    <row r="196" spans="1:14" hidden="1" x14ac:dyDescent="0.2">
      <c r="C196" s="89" t="str">
        <f>C183</f>
        <v>January</v>
      </c>
      <c r="D196" s="89" t="str">
        <f t="shared" ref="D196:M196" si="48">D183</f>
        <v>February</v>
      </c>
      <c r="E196" s="89" t="str">
        <f t="shared" si="48"/>
        <v>March</v>
      </c>
      <c r="F196" s="89" t="str">
        <f t="shared" si="48"/>
        <v>April</v>
      </c>
      <c r="G196" s="89" t="str">
        <f t="shared" si="48"/>
        <v>May</v>
      </c>
      <c r="H196" s="89" t="str">
        <f t="shared" si="48"/>
        <v>June</v>
      </c>
      <c r="I196" s="89" t="str">
        <f t="shared" si="48"/>
        <v>July</v>
      </c>
      <c r="J196" s="89" t="str">
        <f t="shared" si="48"/>
        <v>August</v>
      </c>
      <c r="K196" s="89" t="str">
        <f t="shared" si="48"/>
        <v>September</v>
      </c>
      <c r="L196" s="89" t="str">
        <f t="shared" si="48"/>
        <v>October</v>
      </c>
      <c r="M196" s="89" t="str">
        <f t="shared" si="48"/>
        <v>November</v>
      </c>
      <c r="N196" s="89" t="str">
        <f>N183</f>
        <v>December</v>
      </c>
    </row>
    <row r="197" spans="1:14" hidden="1" x14ac:dyDescent="0.2">
      <c r="C197" s="89">
        <f t="shared" ref="C197:N198" si="49">C184</f>
        <v>30</v>
      </c>
      <c r="D197" s="89">
        <f t="shared" si="49"/>
        <v>31</v>
      </c>
      <c r="E197" s="89">
        <f t="shared" si="49"/>
        <v>30</v>
      </c>
      <c r="F197" s="89">
        <f t="shared" si="49"/>
        <v>31</v>
      </c>
      <c r="G197" s="89">
        <f t="shared" si="49"/>
        <v>31</v>
      </c>
      <c r="H197" s="89">
        <f t="shared" si="49"/>
        <v>30</v>
      </c>
      <c r="I197" s="89">
        <f t="shared" si="49"/>
        <v>31</v>
      </c>
      <c r="J197" s="89">
        <f t="shared" si="49"/>
        <v>30</v>
      </c>
      <c r="K197" s="89">
        <f t="shared" si="49"/>
        <v>31</v>
      </c>
      <c r="L197" s="89">
        <f t="shared" si="49"/>
        <v>31</v>
      </c>
      <c r="M197" s="89">
        <f t="shared" si="49"/>
        <v>28</v>
      </c>
      <c r="N197" s="89">
        <f t="shared" si="49"/>
        <v>31</v>
      </c>
    </row>
    <row r="198" spans="1:14" hidden="1" x14ac:dyDescent="0.2">
      <c r="B198" s="89" t="s">
        <v>185</v>
      </c>
      <c r="C198" s="78">
        <f t="shared" si="49"/>
        <v>0</v>
      </c>
      <c r="D198" s="78">
        <f t="shared" si="49"/>
        <v>1</v>
      </c>
      <c r="E198" s="78">
        <f t="shared" si="49"/>
        <v>0</v>
      </c>
      <c r="F198" s="78">
        <f t="shared" si="49"/>
        <v>1</v>
      </c>
      <c r="G198" s="78">
        <f t="shared" si="49"/>
        <v>0</v>
      </c>
      <c r="H198" s="78">
        <f t="shared" si="49"/>
        <v>1</v>
      </c>
      <c r="I198" s="78">
        <f t="shared" si="49"/>
        <v>1</v>
      </c>
      <c r="J198" s="78">
        <f t="shared" si="49"/>
        <v>1</v>
      </c>
      <c r="K198" s="78">
        <f t="shared" si="49"/>
        <v>1</v>
      </c>
      <c r="L198" s="78">
        <f t="shared" si="49"/>
        <v>2</v>
      </c>
      <c r="M198" s="78">
        <f t="shared" si="49"/>
        <v>1</v>
      </c>
      <c r="N198" s="78">
        <f t="shared" si="49"/>
        <v>0</v>
      </c>
    </row>
    <row r="199" spans="1:14" hidden="1" x14ac:dyDescent="0.2">
      <c r="B199" s="89" t="s">
        <v>44</v>
      </c>
      <c r="C199" s="49"/>
      <c r="D199" s="49"/>
      <c r="E199" s="49"/>
      <c r="F199" s="49"/>
      <c r="G199" s="49"/>
      <c r="H199" s="49"/>
      <c r="I199" s="49"/>
      <c r="J199" s="49"/>
      <c r="K199" s="49"/>
      <c r="L199" s="49"/>
      <c r="M199" s="49"/>
      <c r="N199" s="49"/>
    </row>
    <row r="200" spans="1:14" hidden="1" x14ac:dyDescent="0.2">
      <c r="B200" s="89" t="s">
        <v>186</v>
      </c>
      <c r="C200" s="53">
        <f>SUM(174*C199)</f>
        <v>0</v>
      </c>
      <c r="D200" s="53">
        <f t="shared" ref="D200:N200" si="50">SUM(174*D199)</f>
        <v>0</v>
      </c>
      <c r="E200" s="53">
        <f t="shared" si="50"/>
        <v>0</v>
      </c>
      <c r="F200" s="53">
        <f t="shared" si="50"/>
        <v>0</v>
      </c>
      <c r="G200" s="53">
        <f t="shared" si="50"/>
        <v>0</v>
      </c>
      <c r="H200" s="53">
        <f t="shared" si="50"/>
        <v>0</v>
      </c>
      <c r="I200" s="53">
        <f t="shared" si="50"/>
        <v>0</v>
      </c>
      <c r="J200" s="53">
        <f t="shared" si="50"/>
        <v>0</v>
      </c>
      <c r="K200" s="53">
        <f t="shared" si="50"/>
        <v>0</v>
      </c>
      <c r="L200" s="53">
        <f t="shared" si="50"/>
        <v>0</v>
      </c>
      <c r="M200" s="53">
        <f t="shared" si="50"/>
        <v>0</v>
      </c>
      <c r="N200" s="53">
        <f t="shared" si="50"/>
        <v>0</v>
      </c>
    </row>
    <row r="201" spans="1:14" hidden="1" x14ac:dyDescent="0.2">
      <c r="A201" s="59" t="s">
        <v>193</v>
      </c>
      <c r="B201" s="78" t="s">
        <v>187</v>
      </c>
      <c r="C201" s="66">
        <f>SUM($B$202*C200)</f>
        <v>0</v>
      </c>
      <c r="D201" s="66">
        <f t="shared" ref="D201:N201" si="51">SUM($B$202*D200)</f>
        <v>0</v>
      </c>
      <c r="E201" s="66">
        <f t="shared" si="51"/>
        <v>0</v>
      </c>
      <c r="F201" s="66">
        <f t="shared" si="51"/>
        <v>0</v>
      </c>
      <c r="G201" s="66">
        <f t="shared" si="51"/>
        <v>0</v>
      </c>
      <c r="H201" s="66">
        <f t="shared" si="51"/>
        <v>0</v>
      </c>
      <c r="I201" s="66">
        <f t="shared" si="51"/>
        <v>0</v>
      </c>
      <c r="J201" s="66">
        <f t="shared" si="51"/>
        <v>0</v>
      </c>
      <c r="K201" s="66">
        <f t="shared" si="51"/>
        <v>0</v>
      </c>
      <c r="L201" s="66">
        <f t="shared" si="51"/>
        <v>0</v>
      </c>
      <c r="M201" s="66">
        <f t="shared" si="51"/>
        <v>0</v>
      </c>
      <c r="N201" s="66">
        <f t="shared" si="51"/>
        <v>0</v>
      </c>
    </row>
    <row r="202" spans="1:14" hidden="1" x14ac:dyDescent="0.2">
      <c r="A202" s="59" t="s">
        <v>188</v>
      </c>
      <c r="B202" s="74"/>
      <c r="C202" s="66">
        <f>SUM(C201)*'Data Links'!$B$15</f>
        <v>0</v>
      </c>
      <c r="D202" s="66">
        <f>SUM(D201)*'Data Links'!$B$15</f>
        <v>0</v>
      </c>
      <c r="E202" s="66">
        <f>SUM(E201)*'Data Links'!$B$15</f>
        <v>0</v>
      </c>
      <c r="F202" s="66">
        <f>SUM(F201)*'Data Links'!$B$15</f>
        <v>0</v>
      </c>
      <c r="G202" s="66">
        <f>SUM(G201)*'Data Links'!$B$15</f>
        <v>0</v>
      </c>
      <c r="H202" s="66">
        <f>SUM(H201)*'Data Links'!$B$15</f>
        <v>0</v>
      </c>
      <c r="I202" s="66">
        <f>SUM(I201)*'Data Links'!$B$15</f>
        <v>0</v>
      </c>
      <c r="J202" s="66">
        <f>SUM(J201)*'Data Links'!$B$15</f>
        <v>0</v>
      </c>
      <c r="K202" s="66">
        <f>SUM(K201)*'Data Links'!$B$15</f>
        <v>0</v>
      </c>
      <c r="L202" s="66">
        <f>SUM(L201)*'Data Links'!$B$15</f>
        <v>0</v>
      </c>
      <c r="M202" s="66">
        <f>SUM(M201)*'Data Links'!$B$15</f>
        <v>0</v>
      </c>
      <c r="N202" s="66">
        <f>SUM(N201)*'Data Links'!$B$15</f>
        <v>0</v>
      </c>
    </row>
    <row r="203" spans="1:14" hidden="1" x14ac:dyDescent="0.2">
      <c r="A203" s="59" t="s">
        <v>189</v>
      </c>
      <c r="C203" s="66">
        <f>SUM(C201*'Data Links'!$B$13)</f>
        <v>0</v>
      </c>
      <c r="D203" s="66">
        <f>SUM(D201*'Data Links'!$B$13)</f>
        <v>0</v>
      </c>
      <c r="E203" s="66">
        <f>SUM(E201*'Data Links'!$B$13)</f>
        <v>0</v>
      </c>
      <c r="F203" s="66">
        <f>SUM(F201*'Data Links'!$B$13)</f>
        <v>0</v>
      </c>
      <c r="G203" s="66">
        <f>SUM(G201*'Data Links'!$B$13)</f>
        <v>0</v>
      </c>
      <c r="H203" s="66">
        <f>SUM(H201*'Data Links'!$B$13)</f>
        <v>0</v>
      </c>
      <c r="I203" s="66">
        <f>SUM(I201*'Data Links'!$B$13)</f>
        <v>0</v>
      </c>
      <c r="J203" s="66">
        <f>SUM(J201*'Data Links'!$B$13)</f>
        <v>0</v>
      </c>
      <c r="K203" s="66">
        <f>SUM(K201*'Data Links'!$B$13)</f>
        <v>0</v>
      </c>
      <c r="L203" s="66">
        <f>SUM(L201*'Data Links'!$B$13)</f>
        <v>0</v>
      </c>
      <c r="M203" s="66">
        <f>SUM(M201*'Data Links'!$B$13)</f>
        <v>0</v>
      </c>
      <c r="N203" s="66">
        <f>SUM(N201*'Data Links'!$B$13)</f>
        <v>0</v>
      </c>
    </row>
    <row r="204" spans="1:14" hidden="1" x14ac:dyDescent="0.2">
      <c r="A204" s="59" t="s">
        <v>190</v>
      </c>
      <c r="C204" s="66">
        <f>SUM(C200*'Data Links'!$B$8)</f>
        <v>0</v>
      </c>
      <c r="D204" s="66">
        <f>SUM(D200*'Data Links'!$B$8)</f>
        <v>0</v>
      </c>
      <c r="E204" s="66">
        <f>SUM(E200*'Data Links'!$B$8)</f>
        <v>0</v>
      </c>
      <c r="F204" s="66">
        <f>SUM(F200*'Data Links'!$B$8)</f>
        <v>0</v>
      </c>
      <c r="G204" s="66">
        <f>SUM(G200*'Data Links'!$B$8)</f>
        <v>0</v>
      </c>
      <c r="H204" s="66">
        <f>SUM(H200*'Data Links'!$B$8)</f>
        <v>0</v>
      </c>
      <c r="I204" s="66">
        <f>SUM(I200*'Data Links'!$B$8)</f>
        <v>0</v>
      </c>
      <c r="J204" s="66">
        <f>SUM(J200*'Data Links'!$B$8)</f>
        <v>0</v>
      </c>
      <c r="K204" s="66">
        <f>SUM(K200*'Data Links'!$B$8)</f>
        <v>0</v>
      </c>
      <c r="L204" s="66">
        <f>SUM(L200*'Data Links'!$B$8)</f>
        <v>0</v>
      </c>
      <c r="M204" s="66">
        <f>SUM(M200*'Data Links'!$B$8)</f>
        <v>0</v>
      </c>
      <c r="N204" s="66">
        <f>SUM(N200*'Data Links'!$B$8)</f>
        <v>0</v>
      </c>
    </row>
    <row r="205" spans="1:14" hidden="1" x14ac:dyDescent="0.2">
      <c r="A205" s="59" t="s">
        <v>191</v>
      </c>
      <c r="C205" s="66"/>
      <c r="D205" s="66"/>
      <c r="E205" s="66"/>
      <c r="F205" s="66"/>
      <c r="G205" s="66"/>
      <c r="H205" s="66"/>
      <c r="I205" s="66"/>
      <c r="J205" s="66"/>
      <c r="K205" s="66"/>
      <c r="L205" s="66"/>
      <c r="M205" s="66"/>
      <c r="N205" s="66"/>
    </row>
    <row r="206" spans="1:14" hidden="1" x14ac:dyDescent="0.2">
      <c r="A206" s="59" t="s">
        <v>192</v>
      </c>
      <c r="C206" s="66"/>
      <c r="D206" s="66"/>
      <c r="E206" s="66"/>
      <c r="F206" s="66"/>
      <c r="G206" s="66"/>
      <c r="H206" s="66"/>
      <c r="I206" s="66"/>
      <c r="J206" s="66"/>
      <c r="K206" s="66"/>
      <c r="L206" s="66"/>
      <c r="M206" s="66"/>
      <c r="N206" s="66"/>
    </row>
    <row r="207" spans="1:14" s="58" customFormat="1" hidden="1" x14ac:dyDescent="0.2">
      <c r="A207" s="58" t="s">
        <v>144</v>
      </c>
      <c r="B207" s="60"/>
      <c r="C207" s="60">
        <f t="shared" ref="C207:N207" si="52">SUM(C201:C206)</f>
        <v>0</v>
      </c>
      <c r="D207" s="60">
        <f t="shared" si="52"/>
        <v>0</v>
      </c>
      <c r="E207" s="60">
        <f t="shared" si="52"/>
        <v>0</v>
      </c>
      <c r="F207" s="60">
        <f t="shared" si="52"/>
        <v>0</v>
      </c>
      <c r="G207" s="60">
        <f t="shared" si="52"/>
        <v>0</v>
      </c>
      <c r="H207" s="60">
        <f t="shared" si="52"/>
        <v>0</v>
      </c>
      <c r="I207" s="60">
        <f t="shared" si="52"/>
        <v>0</v>
      </c>
      <c r="J207" s="60">
        <f t="shared" si="52"/>
        <v>0</v>
      </c>
      <c r="K207" s="60">
        <f t="shared" si="52"/>
        <v>0</v>
      </c>
      <c r="L207" s="60">
        <f t="shared" si="52"/>
        <v>0</v>
      </c>
      <c r="M207" s="60">
        <f t="shared" si="52"/>
        <v>0</v>
      </c>
      <c r="N207" s="60">
        <f t="shared" si="52"/>
        <v>0</v>
      </c>
    </row>
    <row r="208" spans="1:14" hidden="1" x14ac:dyDescent="0.2">
      <c r="C208" s="60"/>
      <c r="D208" s="66"/>
      <c r="E208" s="66"/>
      <c r="F208" s="66"/>
      <c r="G208" s="66"/>
      <c r="H208" s="66"/>
      <c r="I208" s="66"/>
      <c r="J208" s="66"/>
      <c r="K208" s="66"/>
      <c r="L208" s="66"/>
      <c r="M208" s="66"/>
      <c r="N208" s="66"/>
    </row>
    <row r="209" spans="1:14" hidden="1" x14ac:dyDescent="0.2">
      <c r="C209" s="60"/>
      <c r="D209" s="66"/>
      <c r="E209" s="66"/>
      <c r="F209" s="66"/>
      <c r="G209" s="66"/>
      <c r="H209" s="66"/>
      <c r="I209" s="66"/>
      <c r="J209" s="66"/>
      <c r="K209" s="66"/>
      <c r="L209" s="66"/>
      <c r="M209" s="66"/>
      <c r="N209" s="66"/>
    </row>
    <row r="210" spans="1:14" hidden="1" x14ac:dyDescent="0.2">
      <c r="C210" s="60"/>
      <c r="D210" s="66"/>
      <c r="E210" s="66"/>
      <c r="F210" s="66"/>
      <c r="G210" s="66"/>
      <c r="H210" s="66"/>
      <c r="I210" s="66"/>
      <c r="J210" s="66"/>
      <c r="K210" s="66"/>
      <c r="L210" s="66"/>
      <c r="M210" s="66"/>
      <c r="N210" s="66"/>
    </row>
    <row r="211" spans="1:14" x14ac:dyDescent="0.2">
      <c r="C211" s="60"/>
      <c r="D211" s="66"/>
      <c r="E211" s="66"/>
      <c r="F211" s="66"/>
      <c r="G211" s="66"/>
      <c r="H211" s="66"/>
      <c r="I211" s="66"/>
      <c r="J211" s="66"/>
      <c r="K211" s="66"/>
      <c r="L211" s="66"/>
      <c r="M211" s="66"/>
      <c r="N211" s="66"/>
    </row>
    <row r="212" spans="1:14" x14ac:dyDescent="0.2">
      <c r="A212" s="58" t="s">
        <v>194</v>
      </c>
      <c r="C212" s="60"/>
      <c r="D212" s="66"/>
      <c r="E212" s="66"/>
      <c r="F212" s="66"/>
      <c r="G212" s="66"/>
      <c r="H212" s="66"/>
      <c r="I212" s="66"/>
      <c r="J212" s="66"/>
      <c r="K212" s="66"/>
      <c r="L212" s="66"/>
      <c r="M212" s="66"/>
      <c r="N212" s="66"/>
    </row>
    <row r="213" spans="1:14" x14ac:dyDescent="0.2">
      <c r="A213" s="59" t="s">
        <v>195</v>
      </c>
      <c r="C213" s="66">
        <f>SUM(C110+C123+C136+C149+C162+C175+C188+C201)</f>
        <v>3145.6283999999996</v>
      </c>
      <c r="D213" s="66">
        <f t="shared" ref="D213:N213" si="53">SUM(D110+D123+D136+D149+D162+D175+D188+D201)</f>
        <v>3145.6283999999996</v>
      </c>
      <c r="E213" s="66">
        <f t="shared" si="53"/>
        <v>3145.6283999999996</v>
      </c>
      <c r="F213" s="66">
        <f t="shared" si="53"/>
        <v>3145.6283999999996</v>
      </c>
      <c r="G213" s="66">
        <f t="shared" si="53"/>
        <v>3145.6283999999996</v>
      </c>
      <c r="H213" s="66">
        <f t="shared" si="53"/>
        <v>2871.5783999999999</v>
      </c>
      <c r="I213" s="66">
        <f t="shared" si="53"/>
        <v>2526.7800000000002</v>
      </c>
      <c r="J213" s="66">
        <f t="shared" si="53"/>
        <v>2526.7800000000002</v>
      </c>
      <c r="K213" s="66">
        <f t="shared" si="53"/>
        <v>3145.6283999999996</v>
      </c>
      <c r="L213" s="66">
        <f t="shared" si="53"/>
        <v>3145.6283999999996</v>
      </c>
      <c r="M213" s="66">
        <f t="shared" si="53"/>
        <v>3145.6283999999996</v>
      </c>
      <c r="N213" s="66">
        <f t="shared" si="53"/>
        <v>3145.6283999999996</v>
      </c>
    </row>
    <row r="214" spans="1:14" x14ac:dyDescent="0.2">
      <c r="A214" s="59" t="s">
        <v>22</v>
      </c>
      <c r="C214" s="66">
        <f>SUM(C111+C112+C113+C124+C125+C126+C137+C138+C139+C150+C151+C152+C163+C164+C165+C176+C177+C178+C189+C190+C191+C202+C203+C204)</f>
        <v>270.44915399999996</v>
      </c>
      <c r="D214" s="66">
        <f t="shared" ref="D214:N214" si="54">SUM(D111+D112+D113+D124+D125+D126+D137+D138+D139+D150+D151+D152+D163+D164+D165+D176+D177+D178+D189+D190+D191+D202+D203+D204)</f>
        <v>270.44915399999996</v>
      </c>
      <c r="E214" s="66">
        <f t="shared" si="54"/>
        <v>270.44915399999996</v>
      </c>
      <c r="F214" s="66">
        <f t="shared" si="54"/>
        <v>270.44915399999996</v>
      </c>
      <c r="G214" s="66">
        <f t="shared" si="54"/>
        <v>270.44915399999996</v>
      </c>
      <c r="H214" s="66">
        <f t="shared" si="54"/>
        <v>246.48543899999993</v>
      </c>
      <c r="I214" s="66">
        <f t="shared" si="54"/>
        <v>216.95589899999996</v>
      </c>
      <c r="J214" s="66">
        <f t="shared" si="54"/>
        <v>216.95589899999996</v>
      </c>
      <c r="K214" s="66">
        <f t="shared" si="54"/>
        <v>270.44915399999996</v>
      </c>
      <c r="L214" s="66">
        <f t="shared" si="54"/>
        <v>270.44915399999996</v>
      </c>
      <c r="M214" s="66">
        <f t="shared" si="54"/>
        <v>270.44915399999996</v>
      </c>
      <c r="N214" s="66">
        <f t="shared" si="54"/>
        <v>270.44915399999996</v>
      </c>
    </row>
    <row r="215" spans="1:14" x14ac:dyDescent="0.2">
      <c r="A215" s="59" t="s">
        <v>23</v>
      </c>
      <c r="C215" s="66">
        <f>SUM(C114+C115+C127+C128+C140+C141+C153+C154+C167+C166+C179+C180+C192+C193+C205+C206)</f>
        <v>105.67975758620686</v>
      </c>
      <c r="D215" s="66">
        <f t="shared" ref="D215:N215" si="55">SUM(D114+D115+D127+D128+D140+D141+D153+D154+D167+D166+D179+D180+D192+D193+D205+D206)</f>
        <v>105.67975758620686</v>
      </c>
      <c r="E215" s="66">
        <f t="shared" si="55"/>
        <v>105.67975758620686</v>
      </c>
      <c r="F215" s="66">
        <f t="shared" si="55"/>
        <v>105.67975758620686</v>
      </c>
      <c r="G215" s="66">
        <f t="shared" si="55"/>
        <v>105.67975758620686</v>
      </c>
      <c r="H215" s="66">
        <f t="shared" si="55"/>
        <v>97.458257586206869</v>
      </c>
      <c r="I215" s="66">
        <f t="shared" si="55"/>
        <v>87.114305586206882</v>
      </c>
      <c r="J215" s="66">
        <f t="shared" si="55"/>
        <v>87.114305586206882</v>
      </c>
      <c r="K215" s="66">
        <f t="shared" si="55"/>
        <v>105.67975758620686</v>
      </c>
      <c r="L215" s="66">
        <f t="shared" si="55"/>
        <v>105.67975758620686</v>
      </c>
      <c r="M215" s="66">
        <f t="shared" si="55"/>
        <v>105.67975758620686</v>
      </c>
      <c r="N215" s="66">
        <f t="shared" si="55"/>
        <v>105.67975758620686</v>
      </c>
    </row>
    <row r="216" spans="1:14" s="58" customFormat="1" x14ac:dyDescent="0.2">
      <c r="A216" s="58" t="s">
        <v>196</v>
      </c>
      <c r="B216" s="60"/>
      <c r="C216" s="60">
        <f>SUM(C213:C215)</f>
        <v>3521.7573115862065</v>
      </c>
      <c r="D216" s="60">
        <f t="shared" ref="D216:N216" si="56">SUM(D213:D215)</f>
        <v>3521.7573115862065</v>
      </c>
      <c r="E216" s="60">
        <f t="shared" si="56"/>
        <v>3521.7573115862065</v>
      </c>
      <c r="F216" s="60">
        <f t="shared" si="56"/>
        <v>3521.7573115862065</v>
      </c>
      <c r="G216" s="60">
        <f t="shared" si="56"/>
        <v>3521.7573115862065</v>
      </c>
      <c r="H216" s="60">
        <f t="shared" si="56"/>
        <v>3215.5220965862068</v>
      </c>
      <c r="I216" s="60">
        <f t="shared" si="56"/>
        <v>2830.8502045862069</v>
      </c>
      <c r="J216" s="60">
        <f t="shared" si="56"/>
        <v>2830.8502045862069</v>
      </c>
      <c r="K216" s="60">
        <f t="shared" si="56"/>
        <v>3521.7573115862065</v>
      </c>
      <c r="L216" s="60">
        <f t="shared" si="56"/>
        <v>3521.7573115862065</v>
      </c>
      <c r="M216" s="60">
        <f t="shared" si="56"/>
        <v>3521.7573115862065</v>
      </c>
      <c r="N216" s="60">
        <f t="shared" si="56"/>
        <v>3521.7573115862065</v>
      </c>
    </row>
    <row r="217" spans="1:14" x14ac:dyDescent="0.2">
      <c r="C217" s="60"/>
      <c r="D217" s="66"/>
      <c r="E217" s="66"/>
      <c r="F217" s="66"/>
      <c r="G217" s="66"/>
      <c r="H217" s="66"/>
      <c r="I217" s="66"/>
      <c r="J217" s="66"/>
      <c r="K217" s="66"/>
      <c r="L217" s="66"/>
      <c r="M217" s="66"/>
      <c r="N217" s="66"/>
    </row>
    <row r="218" spans="1:14" x14ac:dyDescent="0.2">
      <c r="C218" s="60"/>
      <c r="D218" s="66"/>
      <c r="E218" s="66"/>
      <c r="F218" s="66"/>
      <c r="G218" s="66"/>
      <c r="H218" s="66"/>
      <c r="I218" s="66"/>
      <c r="J218" s="66"/>
      <c r="K218" s="66"/>
      <c r="L218" s="66"/>
      <c r="M218" s="66"/>
      <c r="N218" s="66"/>
    </row>
    <row r="219" spans="1:14" x14ac:dyDescent="0.2">
      <c r="C219" s="60"/>
      <c r="D219" s="66"/>
      <c r="E219" s="66"/>
      <c r="F219" s="66"/>
      <c r="G219" s="66"/>
      <c r="H219" s="66"/>
      <c r="I219" s="66"/>
      <c r="J219" s="66"/>
      <c r="K219" s="66"/>
      <c r="L219" s="66"/>
      <c r="M219" s="66"/>
      <c r="N219" s="66"/>
    </row>
    <row r="220" spans="1:14" x14ac:dyDescent="0.2">
      <c r="C220" s="60"/>
      <c r="D220" s="66"/>
      <c r="E220" s="66"/>
      <c r="F220" s="66"/>
      <c r="G220" s="66"/>
      <c r="H220" s="66"/>
      <c r="I220" s="66"/>
      <c r="J220" s="66"/>
      <c r="K220" s="66"/>
      <c r="L220" s="66"/>
      <c r="M220" s="66"/>
      <c r="N220" s="66"/>
    </row>
    <row r="221" spans="1:14" x14ac:dyDescent="0.2">
      <c r="A221" s="84"/>
      <c r="B221" s="84"/>
      <c r="C221" s="60"/>
      <c r="D221" s="66"/>
      <c r="E221" s="66"/>
      <c r="F221" s="66"/>
      <c r="G221" s="66"/>
      <c r="H221" s="66"/>
      <c r="I221" s="66"/>
      <c r="J221" s="66"/>
      <c r="K221" s="66"/>
      <c r="L221" s="66"/>
      <c r="M221" s="66"/>
      <c r="N221" s="66"/>
    </row>
    <row r="222" spans="1:14" x14ac:dyDescent="0.2">
      <c r="A222" s="84"/>
      <c r="B222" s="84"/>
      <c r="C222" s="60"/>
      <c r="D222" s="66"/>
      <c r="E222" s="66"/>
      <c r="F222" s="66"/>
      <c r="G222" s="66"/>
      <c r="H222" s="66"/>
      <c r="I222" s="66"/>
      <c r="J222" s="66"/>
      <c r="K222" s="66"/>
      <c r="L222" s="66"/>
      <c r="M222" s="66"/>
      <c r="N222" s="66"/>
    </row>
    <row r="223" spans="1:14" x14ac:dyDescent="0.2">
      <c r="A223" s="84"/>
      <c r="B223" s="84"/>
      <c r="C223" s="60"/>
      <c r="D223" s="66"/>
      <c r="E223" s="66"/>
      <c r="F223" s="66"/>
      <c r="G223" s="66"/>
      <c r="H223" s="66"/>
      <c r="I223" s="66"/>
      <c r="J223" s="66"/>
      <c r="K223" s="66"/>
      <c r="L223" s="66"/>
      <c r="M223" s="66"/>
      <c r="N223" s="66"/>
    </row>
    <row r="224" spans="1:14" x14ac:dyDescent="0.2">
      <c r="A224" s="84"/>
      <c r="B224" s="84"/>
      <c r="C224" s="60"/>
      <c r="D224" s="66"/>
      <c r="E224" s="66"/>
      <c r="F224" s="66"/>
      <c r="G224" s="66"/>
      <c r="H224" s="66"/>
      <c r="I224" s="66"/>
      <c r="J224" s="66"/>
      <c r="K224" s="66"/>
      <c r="L224" s="66"/>
      <c r="M224" s="66"/>
      <c r="N224" s="66"/>
    </row>
    <row r="225" spans="1:14" x14ac:dyDescent="0.2">
      <c r="A225" s="84"/>
      <c r="B225" s="84"/>
      <c r="C225" s="60"/>
      <c r="D225" s="66"/>
      <c r="E225" s="66"/>
      <c r="F225" s="66"/>
      <c r="G225" s="66"/>
      <c r="H225" s="66"/>
      <c r="I225" s="66"/>
      <c r="J225" s="66"/>
      <c r="K225" s="66"/>
      <c r="L225" s="66"/>
      <c r="M225" s="66"/>
      <c r="N225" s="66"/>
    </row>
    <row r="226" spans="1:14" x14ac:dyDescent="0.2">
      <c r="A226" s="84"/>
      <c r="B226" s="84"/>
      <c r="C226" s="60"/>
      <c r="D226" s="66"/>
      <c r="E226" s="66"/>
      <c r="F226" s="66"/>
      <c r="G226" s="66"/>
      <c r="H226" s="66"/>
      <c r="I226" s="66"/>
      <c r="J226" s="66"/>
      <c r="K226" s="66"/>
      <c r="L226" s="66"/>
      <c r="M226" s="66"/>
      <c r="N226" s="66"/>
    </row>
    <row r="227" spans="1:14" x14ac:dyDescent="0.2">
      <c r="A227" s="84"/>
      <c r="B227" s="84"/>
      <c r="C227" s="60"/>
      <c r="D227" s="66"/>
      <c r="E227" s="66"/>
      <c r="F227" s="66"/>
      <c r="G227" s="66"/>
      <c r="H227" s="66"/>
      <c r="I227" s="66"/>
      <c r="J227" s="66"/>
      <c r="K227" s="66"/>
      <c r="L227" s="66"/>
      <c r="M227" s="66"/>
      <c r="N227" s="66"/>
    </row>
    <row r="228" spans="1:14" x14ac:dyDescent="0.2">
      <c r="A228" s="84"/>
      <c r="B228" s="84"/>
      <c r="C228" s="60"/>
      <c r="D228" s="66"/>
      <c r="E228" s="66"/>
      <c r="F228" s="66"/>
      <c r="G228" s="66"/>
      <c r="H228" s="66"/>
      <c r="I228" s="66"/>
      <c r="J228" s="66"/>
      <c r="K228" s="66"/>
      <c r="L228" s="66"/>
      <c r="M228" s="66"/>
      <c r="N228" s="66"/>
    </row>
    <row r="229" spans="1:14" x14ac:dyDescent="0.2">
      <c r="A229" s="84"/>
      <c r="B229" s="84"/>
      <c r="C229" s="60"/>
      <c r="D229" s="66"/>
      <c r="E229" s="66"/>
      <c r="F229" s="66"/>
      <c r="G229" s="66"/>
      <c r="H229" s="66"/>
      <c r="I229" s="66"/>
      <c r="J229" s="66"/>
      <c r="K229" s="66"/>
      <c r="L229" s="66"/>
      <c r="M229" s="66"/>
      <c r="N229" s="66"/>
    </row>
    <row r="230" spans="1:14" x14ac:dyDescent="0.2">
      <c r="A230" s="84"/>
      <c r="B230" s="84"/>
      <c r="C230" s="60"/>
      <c r="D230" s="66"/>
      <c r="E230" s="66"/>
      <c r="F230" s="66"/>
      <c r="G230" s="66"/>
      <c r="H230" s="66"/>
      <c r="I230" s="66"/>
      <c r="J230" s="66"/>
      <c r="K230" s="66"/>
      <c r="L230" s="66"/>
      <c r="M230" s="66"/>
      <c r="N230" s="66"/>
    </row>
    <row r="231" spans="1:14" x14ac:dyDescent="0.2">
      <c r="A231" s="84"/>
      <c r="B231" s="84"/>
      <c r="C231" s="60"/>
      <c r="D231" s="66"/>
      <c r="E231" s="66"/>
      <c r="F231" s="66"/>
      <c r="G231" s="66"/>
      <c r="H231" s="66"/>
      <c r="I231" s="66"/>
      <c r="J231" s="66"/>
      <c r="K231" s="66"/>
      <c r="L231" s="66"/>
      <c r="M231" s="66"/>
      <c r="N231" s="66"/>
    </row>
    <row r="232" spans="1:14" x14ac:dyDescent="0.2">
      <c r="A232" s="84"/>
      <c r="B232" s="84"/>
      <c r="C232" s="60"/>
      <c r="D232" s="66"/>
      <c r="E232" s="66"/>
      <c r="F232" s="66"/>
      <c r="G232" s="66"/>
      <c r="H232" s="66"/>
      <c r="I232" s="66"/>
      <c r="J232" s="66"/>
      <c r="K232" s="66"/>
      <c r="L232" s="66"/>
      <c r="M232" s="66"/>
      <c r="N232" s="66"/>
    </row>
    <row r="233" spans="1:14" x14ac:dyDescent="0.2">
      <c r="A233" s="84"/>
      <c r="B233" s="84"/>
      <c r="C233" s="60"/>
      <c r="D233" s="66"/>
      <c r="E233" s="66"/>
      <c r="F233" s="66"/>
      <c r="G233" s="66"/>
      <c r="H233" s="66"/>
      <c r="I233" s="66"/>
      <c r="J233" s="66"/>
      <c r="K233" s="66"/>
      <c r="L233" s="66"/>
      <c r="M233" s="66"/>
      <c r="N233" s="66"/>
    </row>
    <row r="234" spans="1:14" x14ac:dyDescent="0.2">
      <c r="A234" s="84"/>
      <c r="B234" s="84"/>
      <c r="C234" s="60"/>
      <c r="D234" s="66"/>
      <c r="E234" s="66"/>
      <c r="F234" s="66"/>
      <c r="G234" s="66"/>
      <c r="H234" s="66"/>
      <c r="I234" s="66"/>
      <c r="J234" s="66"/>
      <c r="K234" s="66"/>
      <c r="L234" s="66"/>
      <c r="M234" s="66"/>
      <c r="N234" s="66"/>
    </row>
    <row r="235" spans="1:14" x14ac:dyDescent="0.2">
      <c r="A235" s="84"/>
      <c r="B235" s="84"/>
      <c r="C235" s="60"/>
      <c r="D235" s="66"/>
      <c r="E235" s="66"/>
      <c r="F235" s="66"/>
      <c r="G235" s="66"/>
      <c r="H235" s="66"/>
      <c r="I235" s="66"/>
      <c r="J235" s="66"/>
      <c r="K235" s="66"/>
      <c r="L235" s="66"/>
      <c r="M235" s="66"/>
      <c r="N235" s="66"/>
    </row>
    <row r="236" spans="1:14" x14ac:dyDescent="0.2">
      <c r="A236" s="84"/>
      <c r="B236" s="84"/>
      <c r="C236" s="60"/>
      <c r="D236" s="66"/>
      <c r="E236" s="66"/>
      <c r="F236" s="66"/>
      <c r="G236" s="66"/>
      <c r="H236" s="66"/>
      <c r="I236" s="66"/>
      <c r="J236" s="66"/>
      <c r="K236" s="66"/>
      <c r="L236" s="66"/>
      <c r="M236" s="66"/>
      <c r="N236" s="66"/>
    </row>
    <row r="237" spans="1:14" x14ac:dyDescent="0.2">
      <c r="A237" s="84"/>
      <c r="B237" s="84"/>
      <c r="C237" s="60"/>
      <c r="D237" s="66"/>
      <c r="E237" s="66"/>
      <c r="F237" s="66"/>
      <c r="G237" s="66"/>
      <c r="H237" s="66"/>
      <c r="I237" s="66"/>
      <c r="J237" s="66"/>
      <c r="K237" s="66"/>
      <c r="L237" s="66"/>
      <c r="M237" s="66"/>
      <c r="N237" s="66"/>
    </row>
    <row r="238" spans="1:14" x14ac:dyDescent="0.2">
      <c r="A238" s="84"/>
      <c r="B238" s="84"/>
      <c r="C238" s="60"/>
      <c r="D238" s="66"/>
      <c r="E238" s="66"/>
      <c r="F238" s="66"/>
      <c r="G238" s="66"/>
      <c r="H238" s="66"/>
      <c r="I238" s="66"/>
      <c r="J238" s="66"/>
      <c r="K238" s="66"/>
      <c r="L238" s="66"/>
      <c r="M238" s="66"/>
      <c r="N238" s="66"/>
    </row>
    <row r="239" spans="1:14" x14ac:dyDescent="0.2">
      <c r="A239" s="84"/>
      <c r="B239" s="84"/>
      <c r="C239" s="60"/>
      <c r="D239" s="66"/>
      <c r="E239" s="66"/>
      <c r="F239" s="66"/>
      <c r="G239" s="66"/>
      <c r="H239" s="66"/>
      <c r="I239" s="66"/>
      <c r="J239" s="66"/>
      <c r="K239" s="66"/>
      <c r="L239" s="66"/>
      <c r="M239" s="66"/>
      <c r="N239" s="66"/>
    </row>
    <row r="240" spans="1:14" x14ac:dyDescent="0.2">
      <c r="A240" s="84"/>
      <c r="B240" s="84"/>
      <c r="C240" s="60"/>
      <c r="D240" s="66"/>
      <c r="E240" s="66"/>
      <c r="F240" s="66"/>
      <c r="G240" s="66"/>
      <c r="H240" s="66"/>
      <c r="I240" s="66"/>
      <c r="J240" s="66"/>
      <c r="K240" s="66"/>
      <c r="L240" s="66"/>
      <c r="M240" s="66"/>
      <c r="N240" s="66"/>
    </row>
    <row r="241" spans="1:14" x14ac:dyDescent="0.2">
      <c r="A241" s="84"/>
      <c r="B241" s="84"/>
      <c r="C241" s="60"/>
      <c r="D241" s="66"/>
      <c r="E241" s="66"/>
      <c r="F241" s="66"/>
      <c r="G241" s="66"/>
      <c r="H241" s="66"/>
      <c r="I241" s="66"/>
      <c r="J241" s="66"/>
      <c r="K241" s="66"/>
      <c r="L241" s="66"/>
      <c r="M241" s="66"/>
      <c r="N241" s="66"/>
    </row>
    <row r="242" spans="1:14" x14ac:dyDescent="0.2">
      <c r="A242" s="84"/>
      <c r="B242" s="84"/>
      <c r="C242" s="60"/>
      <c r="D242" s="66"/>
      <c r="E242" s="66"/>
      <c r="F242" s="66"/>
      <c r="G242" s="66"/>
      <c r="H242" s="66"/>
      <c r="I242" s="66"/>
      <c r="J242" s="66"/>
      <c r="K242" s="66"/>
      <c r="L242" s="66"/>
      <c r="M242" s="66"/>
      <c r="N242" s="66"/>
    </row>
    <row r="243" spans="1:14" x14ac:dyDescent="0.2">
      <c r="A243" s="84"/>
      <c r="B243" s="84"/>
      <c r="C243" s="60"/>
      <c r="D243" s="66"/>
      <c r="E243" s="66"/>
      <c r="F243" s="66"/>
      <c r="G243" s="66"/>
      <c r="H243" s="66"/>
      <c r="I243" s="66"/>
      <c r="J243" s="66"/>
      <c r="K243" s="66"/>
      <c r="L243" s="66"/>
      <c r="M243" s="66"/>
      <c r="N243" s="66"/>
    </row>
    <row r="244" spans="1:14" x14ac:dyDescent="0.2">
      <c r="A244" s="84"/>
      <c r="B244" s="84"/>
      <c r="C244" s="60"/>
      <c r="D244" s="66"/>
      <c r="E244" s="66"/>
      <c r="F244" s="66"/>
      <c r="G244" s="66"/>
      <c r="H244" s="66"/>
      <c r="I244" s="66"/>
      <c r="J244" s="66"/>
      <c r="K244" s="66"/>
      <c r="L244" s="66"/>
      <c r="M244" s="66"/>
      <c r="N244" s="66"/>
    </row>
    <row r="245" spans="1:14" x14ac:dyDescent="0.2">
      <c r="A245" s="84"/>
      <c r="B245" s="84"/>
      <c r="C245" s="60"/>
      <c r="D245" s="66"/>
      <c r="E245" s="66"/>
      <c r="F245" s="66"/>
      <c r="G245" s="66"/>
      <c r="H245" s="66"/>
      <c r="I245" s="66"/>
      <c r="J245" s="66"/>
      <c r="K245" s="66"/>
      <c r="L245" s="66"/>
      <c r="M245" s="66"/>
      <c r="N245" s="66"/>
    </row>
    <row r="246" spans="1:14" x14ac:dyDescent="0.2">
      <c r="A246" s="84"/>
      <c r="B246" s="84"/>
      <c r="C246" s="60"/>
      <c r="D246" s="66"/>
      <c r="E246" s="66"/>
      <c r="F246" s="66"/>
      <c r="G246" s="66"/>
      <c r="H246" s="66"/>
      <c r="I246" s="66"/>
      <c r="J246" s="66"/>
      <c r="K246" s="66"/>
      <c r="L246" s="66"/>
      <c r="M246" s="66"/>
      <c r="N246" s="66"/>
    </row>
    <row r="247" spans="1:14" x14ac:dyDescent="0.2">
      <c r="A247" s="84"/>
      <c r="B247" s="84"/>
      <c r="C247" s="60"/>
      <c r="D247" s="66"/>
      <c r="E247" s="66"/>
      <c r="F247" s="66"/>
      <c r="G247" s="66"/>
      <c r="H247" s="66"/>
      <c r="I247" s="66"/>
      <c r="J247" s="66"/>
      <c r="K247" s="66"/>
      <c r="L247" s="66"/>
      <c r="M247" s="66"/>
      <c r="N247" s="66"/>
    </row>
    <row r="248" spans="1:14" x14ac:dyDescent="0.2">
      <c r="A248" s="84"/>
      <c r="B248" s="84"/>
      <c r="C248" s="60"/>
      <c r="D248" s="66"/>
      <c r="E248" s="66"/>
      <c r="F248" s="66"/>
      <c r="G248" s="66"/>
      <c r="H248" s="66"/>
      <c r="I248" s="66"/>
      <c r="J248" s="66"/>
      <c r="K248" s="66"/>
      <c r="L248" s="66"/>
      <c r="M248" s="66"/>
      <c r="N248" s="66"/>
    </row>
    <row r="249" spans="1:14" x14ac:dyDescent="0.2">
      <c r="A249" s="84"/>
      <c r="B249" s="84"/>
      <c r="C249" s="60"/>
      <c r="D249" s="66"/>
      <c r="E249" s="66"/>
      <c r="F249" s="66"/>
      <c r="G249" s="66"/>
      <c r="H249" s="66"/>
      <c r="I249" s="66"/>
      <c r="J249" s="66"/>
      <c r="K249" s="66"/>
      <c r="L249" s="66"/>
      <c r="M249" s="66"/>
      <c r="N249" s="66"/>
    </row>
    <row r="250" spans="1:14" x14ac:dyDescent="0.2">
      <c r="A250" s="84"/>
      <c r="B250" s="84"/>
      <c r="C250" s="60"/>
      <c r="D250" s="66"/>
      <c r="E250" s="66"/>
      <c r="F250" s="66"/>
      <c r="G250" s="66"/>
      <c r="H250" s="66"/>
      <c r="I250" s="66"/>
      <c r="J250" s="66"/>
      <c r="K250" s="66"/>
      <c r="L250" s="66"/>
      <c r="M250" s="66"/>
      <c r="N250" s="66"/>
    </row>
    <row r="251" spans="1:14" x14ac:dyDescent="0.2">
      <c r="A251" s="84"/>
      <c r="B251" s="84"/>
      <c r="C251" s="60"/>
      <c r="D251" s="66"/>
      <c r="E251" s="66"/>
      <c r="F251" s="66"/>
      <c r="G251" s="66"/>
      <c r="H251" s="66"/>
      <c r="I251" s="66"/>
      <c r="J251" s="66"/>
      <c r="K251" s="66"/>
      <c r="L251" s="66"/>
      <c r="M251" s="66"/>
      <c r="N251" s="66"/>
    </row>
    <row r="252" spans="1:14" x14ac:dyDescent="0.2">
      <c r="A252" s="84"/>
      <c r="B252" s="84"/>
      <c r="C252" s="60"/>
      <c r="D252" s="66"/>
      <c r="E252" s="66"/>
      <c r="F252" s="66"/>
      <c r="G252" s="66"/>
      <c r="H252" s="66"/>
      <c r="I252" s="66"/>
      <c r="J252" s="66"/>
      <c r="K252" s="66"/>
      <c r="L252" s="66"/>
      <c r="M252" s="66"/>
      <c r="N252" s="66"/>
    </row>
    <row r="253" spans="1:14" x14ac:dyDescent="0.2">
      <c r="A253" s="84"/>
      <c r="B253" s="84"/>
      <c r="C253" s="60"/>
      <c r="D253" s="66"/>
      <c r="E253" s="66"/>
      <c r="F253" s="66"/>
      <c r="G253" s="66"/>
      <c r="H253" s="66"/>
      <c r="I253" s="66"/>
      <c r="J253" s="66"/>
      <c r="K253" s="66"/>
      <c r="L253" s="66"/>
      <c r="M253" s="66"/>
      <c r="N253" s="66"/>
    </row>
    <row r="254" spans="1:14" x14ac:dyDescent="0.2">
      <c r="A254" s="84"/>
      <c r="B254" s="84"/>
      <c r="C254" s="60"/>
      <c r="D254" s="66"/>
      <c r="E254" s="66"/>
      <c r="F254" s="66"/>
      <c r="G254" s="66"/>
      <c r="H254" s="66"/>
      <c r="I254" s="66"/>
      <c r="J254" s="66"/>
      <c r="K254" s="66"/>
      <c r="L254" s="66"/>
      <c r="M254" s="66"/>
      <c r="N254" s="66"/>
    </row>
    <row r="255" spans="1:14" x14ac:dyDescent="0.2">
      <c r="A255" s="84"/>
      <c r="B255" s="84"/>
      <c r="C255" s="60"/>
      <c r="D255" s="66"/>
      <c r="E255" s="66"/>
      <c r="F255" s="66"/>
      <c r="G255" s="66"/>
      <c r="H255" s="66"/>
      <c r="I255" s="66"/>
      <c r="J255" s="66"/>
      <c r="K255" s="66"/>
      <c r="L255" s="66"/>
      <c r="M255" s="66"/>
      <c r="N255" s="66"/>
    </row>
    <row r="256" spans="1:14" x14ac:dyDescent="0.2">
      <c r="A256" s="84"/>
      <c r="B256" s="84"/>
      <c r="C256" s="60"/>
      <c r="D256" s="66"/>
      <c r="E256" s="66"/>
      <c r="F256" s="66"/>
      <c r="G256" s="66"/>
      <c r="H256" s="66"/>
      <c r="I256" s="66"/>
      <c r="J256" s="66"/>
      <c r="K256" s="66"/>
      <c r="L256" s="66"/>
      <c r="M256" s="66"/>
      <c r="N256" s="66"/>
    </row>
    <row r="257" spans="1:14" x14ac:dyDescent="0.2">
      <c r="A257" s="84"/>
      <c r="B257" s="84"/>
      <c r="C257" s="60"/>
      <c r="D257" s="66"/>
      <c r="E257" s="66"/>
      <c r="F257" s="66"/>
      <c r="G257" s="66"/>
      <c r="H257" s="66"/>
      <c r="I257" s="66"/>
      <c r="J257" s="66"/>
      <c r="K257" s="66"/>
      <c r="L257" s="66"/>
      <c r="M257" s="66"/>
      <c r="N257" s="66"/>
    </row>
    <row r="258" spans="1:14" x14ac:dyDescent="0.2">
      <c r="A258" s="84"/>
      <c r="B258" s="84"/>
      <c r="C258" s="60"/>
      <c r="D258" s="66"/>
      <c r="E258" s="66"/>
      <c r="F258" s="66"/>
      <c r="G258" s="66"/>
      <c r="H258" s="66"/>
      <c r="I258" s="66"/>
      <c r="J258" s="66"/>
      <c r="K258" s="66"/>
      <c r="L258" s="66"/>
      <c r="M258" s="66"/>
      <c r="N258" s="66"/>
    </row>
    <row r="259" spans="1:14" x14ac:dyDescent="0.2">
      <c r="A259" s="84"/>
      <c r="B259" s="84"/>
      <c r="C259" s="60"/>
      <c r="D259" s="66"/>
      <c r="E259" s="66"/>
      <c r="F259" s="66"/>
      <c r="G259" s="66"/>
      <c r="H259" s="66"/>
      <c r="I259" s="66"/>
      <c r="J259" s="66"/>
      <c r="K259" s="66"/>
      <c r="L259" s="66"/>
      <c r="M259" s="66"/>
      <c r="N259" s="66"/>
    </row>
    <row r="260" spans="1:14" x14ac:dyDescent="0.2">
      <c r="A260" s="84"/>
      <c r="B260" s="84"/>
      <c r="C260" s="60"/>
      <c r="D260" s="66"/>
      <c r="E260" s="66"/>
      <c r="F260" s="66"/>
      <c r="G260" s="66"/>
      <c r="H260" s="66"/>
      <c r="I260" s="66"/>
      <c r="J260" s="66"/>
      <c r="K260" s="66"/>
      <c r="L260" s="66"/>
      <c r="M260" s="66"/>
      <c r="N260" s="66"/>
    </row>
    <row r="261" spans="1:14" x14ac:dyDescent="0.2">
      <c r="A261" s="84"/>
      <c r="B261" s="84"/>
      <c r="C261" s="60"/>
      <c r="D261" s="66"/>
      <c r="E261" s="66"/>
      <c r="F261" s="66"/>
      <c r="G261" s="66"/>
      <c r="H261" s="66"/>
      <c r="I261" s="66"/>
      <c r="J261" s="66"/>
      <c r="K261" s="66"/>
      <c r="L261" s="66"/>
      <c r="M261" s="66"/>
      <c r="N261" s="66"/>
    </row>
    <row r="262" spans="1:14" x14ac:dyDescent="0.2">
      <c r="A262" s="84"/>
      <c r="B262" s="84"/>
      <c r="C262" s="60"/>
      <c r="D262" s="66"/>
      <c r="E262" s="66"/>
      <c r="F262" s="66"/>
      <c r="G262" s="66"/>
      <c r="H262" s="66"/>
      <c r="I262" s="66"/>
      <c r="J262" s="66"/>
      <c r="K262" s="66"/>
      <c r="L262" s="66"/>
      <c r="M262" s="66"/>
      <c r="N262" s="66"/>
    </row>
    <row r="263" spans="1:14" x14ac:dyDescent="0.2">
      <c r="A263" s="84"/>
      <c r="B263" s="84"/>
      <c r="C263" s="60"/>
      <c r="D263" s="66"/>
      <c r="E263" s="66"/>
      <c r="F263" s="66"/>
      <c r="G263" s="66"/>
      <c r="H263" s="66"/>
      <c r="I263" s="66"/>
      <c r="J263" s="66"/>
      <c r="K263" s="66"/>
      <c r="L263" s="66"/>
      <c r="M263" s="66"/>
      <c r="N263" s="66"/>
    </row>
    <row r="264" spans="1:14" x14ac:dyDescent="0.2">
      <c r="A264" s="84"/>
      <c r="B264" s="84"/>
      <c r="C264" s="60"/>
      <c r="D264" s="66"/>
      <c r="E264" s="66"/>
      <c r="F264" s="66"/>
      <c r="G264" s="66"/>
      <c r="H264" s="66"/>
      <c r="I264" s="66"/>
      <c r="J264" s="66"/>
      <c r="K264" s="66"/>
      <c r="L264" s="66"/>
      <c r="M264" s="66"/>
      <c r="N264" s="66"/>
    </row>
    <row r="265" spans="1:14" x14ac:dyDescent="0.2">
      <c r="A265" s="84"/>
      <c r="B265" s="84"/>
      <c r="C265" s="60"/>
      <c r="D265" s="66"/>
      <c r="E265" s="66"/>
      <c r="F265" s="66"/>
      <c r="G265" s="66"/>
      <c r="H265" s="66"/>
      <c r="I265" s="66"/>
      <c r="J265" s="66"/>
      <c r="K265" s="66"/>
      <c r="L265" s="66"/>
      <c r="M265" s="66"/>
      <c r="N265" s="66"/>
    </row>
    <row r="266" spans="1:14" x14ac:dyDescent="0.2">
      <c r="A266" s="84"/>
      <c r="B266" s="84"/>
      <c r="C266" s="60"/>
      <c r="D266" s="66"/>
      <c r="E266" s="66"/>
      <c r="F266" s="66"/>
      <c r="G266" s="66"/>
      <c r="H266" s="66"/>
      <c r="I266" s="66"/>
      <c r="J266" s="66"/>
      <c r="K266" s="66"/>
      <c r="L266" s="66"/>
      <c r="M266" s="66"/>
      <c r="N266" s="66"/>
    </row>
    <row r="267" spans="1:14" x14ac:dyDescent="0.2">
      <c r="A267" s="84"/>
      <c r="B267" s="84"/>
      <c r="C267" s="60"/>
      <c r="D267" s="66"/>
      <c r="E267" s="66"/>
      <c r="F267" s="66"/>
      <c r="G267" s="66"/>
      <c r="H267" s="66"/>
      <c r="I267" s="66"/>
      <c r="J267" s="66"/>
      <c r="K267" s="66"/>
      <c r="L267" s="66"/>
      <c r="M267" s="66"/>
      <c r="N267" s="66"/>
    </row>
    <row r="268" spans="1:14" x14ac:dyDescent="0.2">
      <c r="A268" s="84"/>
      <c r="B268" s="84"/>
      <c r="C268" s="60"/>
      <c r="D268" s="66"/>
      <c r="E268" s="66"/>
      <c r="F268" s="66"/>
      <c r="G268" s="66"/>
      <c r="H268" s="66"/>
      <c r="I268" s="66"/>
      <c r="J268" s="66"/>
      <c r="K268" s="66"/>
      <c r="L268" s="66"/>
      <c r="M268" s="66"/>
      <c r="N268" s="66"/>
    </row>
    <row r="269" spans="1:14" x14ac:dyDescent="0.2">
      <c r="A269" s="84"/>
      <c r="B269" s="84"/>
      <c r="C269" s="60"/>
      <c r="D269" s="66"/>
      <c r="E269" s="66"/>
      <c r="F269" s="66"/>
      <c r="G269" s="66"/>
      <c r="H269" s="66"/>
      <c r="I269" s="66"/>
      <c r="J269" s="66"/>
      <c r="K269" s="66"/>
      <c r="L269" s="66"/>
      <c r="M269" s="66"/>
      <c r="N269" s="66"/>
    </row>
    <row r="270" spans="1:14" x14ac:dyDescent="0.2">
      <c r="A270" s="84"/>
      <c r="B270" s="84"/>
      <c r="C270" s="60"/>
      <c r="D270" s="66"/>
      <c r="E270" s="66"/>
      <c r="F270" s="66"/>
      <c r="G270" s="66"/>
      <c r="H270" s="66"/>
      <c r="I270" s="66"/>
      <c r="J270" s="66"/>
      <c r="K270" s="66"/>
      <c r="L270" s="66"/>
      <c r="M270" s="66"/>
      <c r="N270" s="66"/>
    </row>
    <row r="271" spans="1:14" x14ac:dyDescent="0.2">
      <c r="A271" s="84"/>
      <c r="B271" s="84"/>
      <c r="C271" s="60"/>
      <c r="D271" s="66"/>
      <c r="E271" s="66"/>
      <c r="F271" s="66"/>
      <c r="G271" s="66"/>
      <c r="H271" s="66"/>
      <c r="I271" s="66"/>
      <c r="J271" s="66"/>
      <c r="K271" s="66"/>
      <c r="L271" s="66"/>
      <c r="M271" s="66"/>
      <c r="N271" s="66"/>
    </row>
    <row r="272" spans="1:14" x14ac:dyDescent="0.2">
      <c r="A272" s="84"/>
      <c r="B272" s="84"/>
      <c r="C272" s="60"/>
      <c r="D272" s="66"/>
      <c r="E272" s="66"/>
      <c r="F272" s="66"/>
      <c r="G272" s="66"/>
      <c r="H272" s="66"/>
      <c r="I272" s="66"/>
      <c r="J272" s="66"/>
      <c r="K272" s="66"/>
      <c r="L272" s="66"/>
      <c r="M272" s="66"/>
      <c r="N272" s="66"/>
    </row>
    <row r="273" spans="1:14" x14ac:dyDescent="0.2">
      <c r="A273" s="84"/>
      <c r="B273" s="84"/>
      <c r="C273" s="60"/>
      <c r="D273" s="66"/>
      <c r="E273" s="66"/>
      <c r="F273" s="66"/>
      <c r="G273" s="66"/>
      <c r="H273" s="66"/>
      <c r="I273" s="66"/>
      <c r="J273" s="66"/>
      <c r="K273" s="66"/>
      <c r="L273" s="66"/>
      <c r="M273" s="66"/>
      <c r="N273" s="66"/>
    </row>
    <row r="274" spans="1:14" x14ac:dyDescent="0.2">
      <c r="A274" s="84"/>
      <c r="B274" s="84"/>
      <c r="C274" s="60"/>
      <c r="D274" s="66"/>
      <c r="E274" s="66"/>
      <c r="F274" s="66"/>
      <c r="G274" s="66"/>
      <c r="H274" s="66"/>
      <c r="I274" s="66"/>
      <c r="J274" s="66"/>
      <c r="K274" s="66"/>
      <c r="L274" s="66"/>
      <c r="M274" s="66"/>
      <c r="N274" s="66"/>
    </row>
    <row r="275" spans="1:14" x14ac:dyDescent="0.2">
      <c r="A275" s="84"/>
      <c r="B275" s="84"/>
      <c r="C275" s="60"/>
      <c r="D275" s="66"/>
      <c r="E275" s="66"/>
      <c r="F275" s="66"/>
      <c r="G275" s="66"/>
      <c r="H275" s="66"/>
      <c r="I275" s="66"/>
      <c r="J275" s="66"/>
      <c r="K275" s="66"/>
      <c r="L275" s="66"/>
      <c r="M275" s="66"/>
      <c r="N275" s="66"/>
    </row>
    <row r="276" spans="1:14" x14ac:dyDescent="0.2">
      <c r="A276" s="84"/>
      <c r="B276" s="84"/>
      <c r="C276" s="60"/>
      <c r="D276" s="66"/>
      <c r="E276" s="66"/>
      <c r="F276" s="66"/>
      <c r="G276" s="66"/>
      <c r="H276" s="66"/>
      <c r="I276" s="66"/>
      <c r="J276" s="66"/>
      <c r="K276" s="66"/>
      <c r="L276" s="66"/>
      <c r="M276" s="66"/>
      <c r="N276" s="66"/>
    </row>
    <row r="277" spans="1:14" x14ac:dyDescent="0.2">
      <c r="A277" s="84"/>
      <c r="B277" s="84"/>
      <c r="C277" s="60"/>
      <c r="D277" s="66"/>
      <c r="E277" s="66"/>
      <c r="F277" s="66"/>
      <c r="G277" s="66"/>
      <c r="H277" s="66"/>
      <c r="I277" s="66"/>
      <c r="J277" s="66"/>
      <c r="K277" s="66"/>
      <c r="L277" s="66"/>
      <c r="M277" s="66"/>
      <c r="N277" s="66"/>
    </row>
    <row r="278" spans="1:14" x14ac:dyDescent="0.2">
      <c r="A278" s="84"/>
      <c r="B278" s="84"/>
      <c r="C278" s="60"/>
      <c r="D278" s="66"/>
      <c r="E278" s="66"/>
      <c r="F278" s="66"/>
      <c r="G278" s="66"/>
      <c r="H278" s="66"/>
      <c r="I278" s="66"/>
      <c r="J278" s="66"/>
      <c r="K278" s="66"/>
      <c r="L278" s="66"/>
      <c r="M278" s="66"/>
      <c r="N278" s="66"/>
    </row>
    <row r="279" spans="1:14" x14ac:dyDescent="0.2">
      <c r="A279" s="84"/>
      <c r="B279" s="84"/>
      <c r="C279" s="60"/>
      <c r="D279" s="66"/>
      <c r="E279" s="66"/>
      <c r="F279" s="66"/>
      <c r="G279" s="66"/>
      <c r="H279" s="66"/>
      <c r="I279" s="66"/>
      <c r="J279" s="66"/>
      <c r="K279" s="66"/>
      <c r="L279" s="66"/>
      <c r="M279" s="66"/>
      <c r="N279" s="66"/>
    </row>
    <row r="280" spans="1:14" x14ac:dyDescent="0.2">
      <c r="A280" s="84"/>
      <c r="B280" s="84"/>
      <c r="C280" s="60"/>
      <c r="D280" s="66"/>
      <c r="E280" s="66"/>
      <c r="F280" s="66"/>
      <c r="G280" s="66"/>
      <c r="H280" s="66"/>
      <c r="I280" s="66"/>
      <c r="J280" s="66"/>
      <c r="K280" s="66"/>
      <c r="L280" s="66"/>
      <c r="M280" s="66"/>
      <c r="N280" s="66"/>
    </row>
    <row r="281" spans="1:14" x14ac:dyDescent="0.2">
      <c r="A281" s="84"/>
      <c r="B281" s="84"/>
      <c r="C281" s="60"/>
      <c r="D281" s="66"/>
      <c r="E281" s="66"/>
      <c r="F281" s="66"/>
      <c r="G281" s="66"/>
      <c r="H281" s="66"/>
      <c r="I281" s="66"/>
      <c r="J281" s="66"/>
      <c r="K281" s="66"/>
      <c r="L281" s="66"/>
      <c r="M281" s="66"/>
      <c r="N281" s="66"/>
    </row>
    <row r="282" spans="1:14" x14ac:dyDescent="0.2">
      <c r="A282" s="84"/>
      <c r="B282" s="84"/>
      <c r="C282" s="60"/>
      <c r="D282" s="66"/>
      <c r="E282" s="66"/>
      <c r="F282" s="66"/>
      <c r="G282" s="66"/>
      <c r="H282" s="66"/>
      <c r="I282" s="66"/>
      <c r="J282" s="66"/>
      <c r="K282" s="66"/>
      <c r="L282" s="66"/>
      <c r="M282" s="66"/>
      <c r="N282" s="66"/>
    </row>
    <row r="283" spans="1:14" x14ac:dyDescent="0.2">
      <c r="A283" s="84"/>
      <c r="B283" s="84"/>
      <c r="C283" s="60"/>
      <c r="D283" s="66"/>
      <c r="E283" s="66"/>
      <c r="F283" s="66"/>
      <c r="G283" s="66"/>
      <c r="H283" s="66"/>
      <c r="I283" s="66"/>
      <c r="J283" s="66"/>
      <c r="K283" s="66"/>
      <c r="L283" s="66"/>
      <c r="M283" s="66"/>
      <c r="N283" s="66"/>
    </row>
    <row r="284" spans="1:14" x14ac:dyDescent="0.2">
      <c r="A284" s="84"/>
      <c r="B284" s="84"/>
      <c r="C284" s="60"/>
      <c r="D284" s="66"/>
      <c r="E284" s="66"/>
      <c r="F284" s="66"/>
      <c r="G284" s="66"/>
      <c r="H284" s="66"/>
      <c r="I284" s="66"/>
      <c r="J284" s="66"/>
      <c r="K284" s="66"/>
      <c r="L284" s="66"/>
      <c r="M284" s="66"/>
      <c r="N284" s="66"/>
    </row>
    <row r="285" spans="1:14" x14ac:dyDescent="0.2">
      <c r="A285" s="84"/>
      <c r="B285" s="84"/>
      <c r="C285" s="60"/>
      <c r="D285" s="66"/>
      <c r="E285" s="66"/>
      <c r="F285" s="66"/>
      <c r="G285" s="66"/>
      <c r="H285" s="66"/>
      <c r="I285" s="66"/>
      <c r="J285" s="66"/>
      <c r="K285" s="66"/>
      <c r="L285" s="66"/>
      <c r="M285" s="66"/>
      <c r="N285" s="66"/>
    </row>
    <row r="286" spans="1:14" x14ac:dyDescent="0.2">
      <c r="A286" s="84"/>
      <c r="B286" s="84"/>
      <c r="C286" s="60"/>
      <c r="D286" s="66"/>
      <c r="E286" s="66"/>
      <c r="F286" s="66"/>
      <c r="G286" s="66"/>
      <c r="H286" s="66"/>
      <c r="I286" s="66"/>
      <c r="J286" s="66"/>
      <c r="K286" s="66"/>
      <c r="L286" s="66"/>
      <c r="M286" s="66"/>
      <c r="N286" s="66"/>
    </row>
    <row r="287" spans="1:14" x14ac:dyDescent="0.2">
      <c r="A287" s="84"/>
      <c r="B287" s="84"/>
      <c r="C287" s="60"/>
      <c r="D287" s="66"/>
      <c r="E287" s="66"/>
      <c r="F287" s="66"/>
      <c r="G287" s="66"/>
      <c r="H287" s="66"/>
      <c r="I287" s="66"/>
      <c r="J287" s="66"/>
      <c r="K287" s="66"/>
      <c r="L287" s="66"/>
      <c r="M287" s="66"/>
      <c r="N287" s="66"/>
    </row>
    <row r="288" spans="1:14" x14ac:dyDescent="0.2">
      <c r="A288" s="84"/>
      <c r="B288" s="84"/>
      <c r="C288" s="60"/>
      <c r="D288" s="66"/>
      <c r="E288" s="66"/>
      <c r="F288" s="66"/>
      <c r="G288" s="66"/>
      <c r="H288" s="66"/>
      <c r="I288" s="66"/>
      <c r="J288" s="66"/>
      <c r="K288" s="66"/>
      <c r="L288" s="66"/>
      <c r="M288" s="66"/>
      <c r="N288" s="66"/>
    </row>
    <row r="289" spans="1:14" x14ac:dyDescent="0.2">
      <c r="A289" s="84"/>
      <c r="B289" s="84"/>
      <c r="C289" s="60"/>
      <c r="D289" s="66"/>
      <c r="E289" s="66"/>
      <c r="F289" s="66"/>
      <c r="G289" s="66"/>
      <c r="H289" s="66"/>
      <c r="I289" s="66"/>
      <c r="J289" s="66"/>
      <c r="K289" s="66"/>
      <c r="L289" s="66"/>
      <c r="M289" s="66"/>
      <c r="N289" s="66"/>
    </row>
    <row r="290" spans="1:14" x14ac:dyDescent="0.2">
      <c r="A290" s="84"/>
      <c r="B290" s="84"/>
      <c r="C290" s="60"/>
      <c r="D290" s="66"/>
      <c r="E290" s="66"/>
      <c r="F290" s="66"/>
      <c r="G290" s="66"/>
      <c r="H290" s="66"/>
      <c r="I290" s="66"/>
      <c r="J290" s="66"/>
      <c r="K290" s="66"/>
      <c r="L290" s="66"/>
      <c r="M290" s="66"/>
      <c r="N290" s="66"/>
    </row>
    <row r="291" spans="1:14" x14ac:dyDescent="0.2">
      <c r="A291" s="84"/>
      <c r="B291" s="84"/>
      <c r="C291" s="60"/>
      <c r="D291" s="66"/>
      <c r="E291" s="66"/>
      <c r="F291" s="66"/>
      <c r="G291" s="66"/>
      <c r="H291" s="66"/>
      <c r="I291" s="66"/>
      <c r="J291" s="66"/>
      <c r="K291" s="66"/>
      <c r="L291" s="66"/>
      <c r="M291" s="66"/>
      <c r="N291" s="66"/>
    </row>
    <row r="292" spans="1:14" x14ac:dyDescent="0.2">
      <c r="A292" s="84"/>
      <c r="B292" s="84"/>
      <c r="C292" s="60"/>
      <c r="D292" s="66"/>
      <c r="E292" s="66"/>
      <c r="F292" s="66"/>
      <c r="G292" s="66"/>
      <c r="H292" s="66"/>
      <c r="I292" s="66"/>
      <c r="J292" s="66"/>
      <c r="K292" s="66"/>
      <c r="L292" s="66"/>
      <c r="M292" s="66"/>
      <c r="N292" s="66"/>
    </row>
    <row r="293" spans="1:14" x14ac:dyDescent="0.2">
      <c r="A293" s="84"/>
      <c r="B293" s="84"/>
      <c r="C293" s="60"/>
      <c r="D293" s="66"/>
      <c r="E293" s="66"/>
      <c r="F293" s="66"/>
      <c r="G293" s="66"/>
      <c r="H293" s="66"/>
      <c r="I293" s="66"/>
      <c r="J293" s="66"/>
      <c r="K293" s="66"/>
      <c r="L293" s="66"/>
      <c r="M293" s="66"/>
      <c r="N293" s="66"/>
    </row>
    <row r="294" spans="1:14" x14ac:dyDescent="0.2">
      <c r="A294" s="84"/>
      <c r="B294" s="84"/>
      <c r="C294" s="60"/>
      <c r="D294" s="66"/>
      <c r="E294" s="66"/>
      <c r="F294" s="66"/>
      <c r="G294" s="66"/>
      <c r="H294" s="66"/>
      <c r="I294" s="66"/>
      <c r="J294" s="66"/>
      <c r="K294" s="66"/>
      <c r="L294" s="66"/>
      <c r="M294" s="66"/>
      <c r="N294" s="66"/>
    </row>
    <row r="295" spans="1:14" x14ac:dyDescent="0.2">
      <c r="A295" s="84"/>
      <c r="B295" s="84"/>
      <c r="C295" s="60"/>
      <c r="D295" s="66"/>
      <c r="E295" s="66"/>
      <c r="F295" s="66"/>
      <c r="G295" s="66"/>
      <c r="H295" s="66"/>
      <c r="I295" s="66"/>
      <c r="J295" s="66"/>
      <c r="K295" s="66"/>
      <c r="L295" s="66"/>
      <c r="M295" s="66"/>
      <c r="N295" s="66"/>
    </row>
    <row r="296" spans="1:14" x14ac:dyDescent="0.2">
      <c r="A296" s="84"/>
      <c r="B296" s="84"/>
      <c r="C296" s="60"/>
      <c r="D296" s="66"/>
      <c r="E296" s="66"/>
      <c r="F296" s="66"/>
      <c r="G296" s="66"/>
      <c r="H296" s="66"/>
      <c r="I296" s="66"/>
      <c r="J296" s="66"/>
      <c r="K296" s="66"/>
      <c r="L296" s="66"/>
      <c r="M296" s="66"/>
      <c r="N296" s="66"/>
    </row>
    <row r="297" spans="1:14" x14ac:dyDescent="0.2">
      <c r="A297" s="84"/>
      <c r="B297" s="84"/>
      <c r="C297" s="60"/>
      <c r="D297" s="66"/>
      <c r="E297" s="66"/>
      <c r="F297" s="66"/>
      <c r="G297" s="66"/>
      <c r="H297" s="66"/>
      <c r="I297" s="66"/>
      <c r="J297" s="66"/>
      <c r="K297" s="66"/>
      <c r="L297" s="66"/>
      <c r="M297" s="66"/>
      <c r="N297" s="66"/>
    </row>
    <row r="298" spans="1:14" x14ac:dyDescent="0.2">
      <c r="A298" s="84"/>
      <c r="B298" s="84"/>
      <c r="C298" s="60"/>
      <c r="D298" s="66"/>
      <c r="E298" s="66"/>
      <c r="F298" s="66"/>
      <c r="G298" s="66"/>
      <c r="H298" s="66"/>
      <c r="I298" s="66"/>
      <c r="J298" s="66"/>
      <c r="K298" s="66"/>
      <c r="L298" s="66"/>
      <c r="M298" s="66"/>
      <c r="N298" s="66"/>
    </row>
    <row r="299" spans="1:14" x14ac:dyDescent="0.2">
      <c r="A299" s="84"/>
      <c r="B299" s="84"/>
      <c r="C299" s="60"/>
      <c r="D299" s="66"/>
      <c r="E299" s="66"/>
      <c r="F299" s="66"/>
      <c r="G299" s="66"/>
      <c r="H299" s="66"/>
      <c r="I299" s="66"/>
      <c r="J299" s="66"/>
      <c r="K299" s="66"/>
      <c r="L299" s="66"/>
      <c r="M299" s="66"/>
      <c r="N299" s="66"/>
    </row>
    <row r="300" spans="1:14" x14ac:dyDescent="0.2">
      <c r="A300" s="84"/>
      <c r="B300" s="84"/>
      <c r="C300" s="60"/>
      <c r="D300" s="66"/>
      <c r="E300" s="66"/>
      <c r="F300" s="66"/>
      <c r="G300" s="66"/>
      <c r="H300" s="66"/>
      <c r="I300" s="66"/>
      <c r="J300" s="66"/>
      <c r="K300" s="66"/>
      <c r="L300" s="66"/>
      <c r="M300" s="66"/>
      <c r="N300" s="66"/>
    </row>
    <row r="301" spans="1:14" x14ac:dyDescent="0.2">
      <c r="A301" s="84"/>
      <c r="B301" s="84"/>
      <c r="C301" s="60"/>
      <c r="D301" s="66"/>
      <c r="E301" s="66"/>
      <c r="F301" s="66"/>
      <c r="G301" s="66"/>
      <c r="H301" s="66"/>
      <c r="I301" s="66"/>
      <c r="J301" s="66"/>
      <c r="K301" s="66"/>
      <c r="L301" s="66"/>
      <c r="M301" s="66"/>
      <c r="N301" s="66"/>
    </row>
    <row r="302" spans="1:14" x14ac:dyDescent="0.2">
      <c r="A302" s="84"/>
      <c r="B302" s="84"/>
      <c r="C302" s="60"/>
      <c r="D302" s="66"/>
      <c r="E302" s="66"/>
      <c r="F302" s="66"/>
      <c r="G302" s="66"/>
      <c r="H302" s="66"/>
      <c r="I302" s="66"/>
      <c r="J302" s="66"/>
      <c r="K302" s="66"/>
      <c r="L302" s="66"/>
      <c r="M302" s="66"/>
      <c r="N302" s="66"/>
    </row>
    <row r="303" spans="1:14" x14ac:dyDescent="0.2">
      <c r="A303" s="84"/>
      <c r="B303" s="84"/>
      <c r="C303" s="60"/>
      <c r="D303" s="66"/>
      <c r="E303" s="66"/>
      <c r="F303" s="66"/>
      <c r="G303" s="66"/>
      <c r="H303" s="66"/>
      <c r="I303" s="66"/>
      <c r="J303" s="66"/>
      <c r="K303" s="66"/>
      <c r="L303" s="66"/>
      <c r="M303" s="66"/>
      <c r="N303" s="66"/>
    </row>
    <row r="304" spans="1:14" x14ac:dyDescent="0.2">
      <c r="A304" s="84"/>
      <c r="B304" s="84"/>
      <c r="C304" s="60"/>
      <c r="D304" s="66"/>
      <c r="E304" s="66"/>
      <c r="F304" s="66"/>
      <c r="G304" s="66"/>
      <c r="H304" s="66"/>
      <c r="I304" s="66"/>
      <c r="J304" s="66"/>
      <c r="K304" s="66"/>
      <c r="L304" s="66"/>
      <c r="M304" s="66"/>
      <c r="N304" s="66"/>
    </row>
    <row r="305" spans="1:14" x14ac:dyDescent="0.2">
      <c r="A305" s="84"/>
      <c r="B305" s="84"/>
      <c r="C305" s="60"/>
      <c r="D305" s="66"/>
      <c r="E305" s="66"/>
      <c r="F305" s="66"/>
      <c r="G305" s="66"/>
      <c r="H305" s="66"/>
      <c r="I305" s="66"/>
      <c r="J305" s="66"/>
      <c r="K305" s="66"/>
      <c r="L305" s="66"/>
      <c r="M305" s="66"/>
      <c r="N305" s="66"/>
    </row>
    <row r="306" spans="1:14" x14ac:dyDescent="0.2">
      <c r="A306" s="84"/>
      <c r="B306" s="84"/>
      <c r="C306" s="60"/>
      <c r="D306" s="66"/>
      <c r="E306" s="66"/>
      <c r="F306" s="66"/>
      <c r="G306" s="66"/>
      <c r="H306" s="66"/>
      <c r="I306" s="66"/>
      <c r="J306" s="66"/>
      <c r="K306" s="66"/>
      <c r="L306" s="66"/>
      <c r="M306" s="66"/>
      <c r="N306" s="66"/>
    </row>
    <row r="307" spans="1:14" x14ac:dyDescent="0.2">
      <c r="A307" s="84"/>
      <c r="B307" s="84"/>
      <c r="C307" s="60"/>
      <c r="D307" s="66"/>
      <c r="E307" s="66"/>
      <c r="F307" s="66"/>
      <c r="G307" s="66"/>
      <c r="H307" s="66"/>
      <c r="I307" s="66"/>
      <c r="J307" s="66"/>
      <c r="K307" s="66"/>
      <c r="L307" s="66"/>
      <c r="M307" s="66"/>
      <c r="N307" s="66"/>
    </row>
    <row r="308" spans="1:14" x14ac:dyDescent="0.2">
      <c r="A308" s="84"/>
      <c r="B308" s="84"/>
      <c r="C308" s="60"/>
      <c r="D308" s="66"/>
      <c r="E308" s="66"/>
      <c r="F308" s="66"/>
      <c r="G308" s="66"/>
      <c r="H308" s="66"/>
      <c r="I308" s="66"/>
      <c r="J308" s="66"/>
      <c r="K308" s="66"/>
      <c r="L308" s="66"/>
      <c r="M308" s="66"/>
      <c r="N308" s="66"/>
    </row>
    <row r="309" spans="1:14" x14ac:dyDescent="0.2">
      <c r="A309" s="84"/>
      <c r="B309" s="84"/>
      <c r="C309" s="60"/>
      <c r="D309" s="66"/>
      <c r="E309" s="66"/>
      <c r="F309" s="66"/>
      <c r="G309" s="66"/>
      <c r="H309" s="66"/>
      <c r="I309" s="66"/>
      <c r="J309" s="66"/>
      <c r="K309" s="66"/>
      <c r="L309" s="66"/>
      <c r="M309" s="66"/>
      <c r="N309" s="66"/>
    </row>
    <row r="310" spans="1:14" x14ac:dyDescent="0.2">
      <c r="A310" s="84"/>
      <c r="B310" s="84"/>
      <c r="C310" s="60"/>
      <c r="D310" s="66"/>
      <c r="E310" s="66"/>
      <c r="F310" s="66"/>
      <c r="G310" s="66"/>
      <c r="H310" s="66"/>
      <c r="I310" s="66"/>
      <c r="J310" s="66"/>
      <c r="K310" s="66"/>
      <c r="L310" s="66"/>
      <c r="M310" s="66"/>
      <c r="N310" s="66"/>
    </row>
    <row r="311" spans="1:14" x14ac:dyDescent="0.2">
      <c r="A311" s="84"/>
      <c r="B311" s="84"/>
      <c r="C311" s="60"/>
      <c r="D311" s="66"/>
      <c r="E311" s="66"/>
      <c r="F311" s="66"/>
      <c r="G311" s="66"/>
      <c r="H311" s="66"/>
      <c r="I311" s="66"/>
      <c r="J311" s="66"/>
      <c r="K311" s="66"/>
      <c r="L311" s="66"/>
      <c r="M311" s="66"/>
      <c r="N311" s="66"/>
    </row>
    <row r="312" spans="1:14" x14ac:dyDescent="0.2">
      <c r="A312" s="84"/>
      <c r="B312" s="84"/>
      <c r="C312" s="60"/>
      <c r="D312" s="66"/>
      <c r="E312" s="66"/>
      <c r="F312" s="66"/>
      <c r="G312" s="66"/>
      <c r="H312" s="66"/>
      <c r="I312" s="66"/>
      <c r="J312" s="66"/>
      <c r="K312" s="66"/>
      <c r="L312" s="66"/>
      <c r="M312" s="66"/>
      <c r="N312" s="66"/>
    </row>
    <row r="313" spans="1:14" x14ac:dyDescent="0.2">
      <c r="A313" s="84"/>
      <c r="B313" s="84"/>
      <c r="C313" s="60"/>
      <c r="D313" s="66"/>
      <c r="E313" s="66"/>
      <c r="F313" s="66"/>
      <c r="G313" s="66"/>
      <c r="H313" s="66"/>
      <c r="I313" s="66"/>
      <c r="J313" s="66"/>
      <c r="K313" s="66"/>
      <c r="L313" s="66"/>
      <c r="M313" s="66"/>
      <c r="N313" s="66"/>
    </row>
    <row r="314" spans="1:14" x14ac:dyDescent="0.2">
      <c r="A314" s="84"/>
      <c r="B314" s="84"/>
      <c r="C314" s="60"/>
      <c r="D314" s="66"/>
      <c r="E314" s="66"/>
      <c r="F314" s="66"/>
      <c r="G314" s="66"/>
      <c r="H314" s="66"/>
      <c r="I314" s="66"/>
      <c r="J314" s="66"/>
      <c r="K314" s="66"/>
      <c r="L314" s="66"/>
      <c r="M314" s="66"/>
      <c r="N314" s="66"/>
    </row>
    <row r="315" spans="1:14" x14ac:dyDescent="0.2">
      <c r="A315" s="84"/>
      <c r="B315" s="84"/>
      <c r="C315" s="60"/>
      <c r="D315" s="66"/>
      <c r="E315" s="66"/>
      <c r="F315" s="66"/>
      <c r="G315" s="66"/>
      <c r="H315" s="66"/>
      <c r="I315" s="66"/>
      <c r="J315" s="66"/>
      <c r="K315" s="66"/>
      <c r="L315" s="66"/>
      <c r="M315" s="66"/>
      <c r="N315" s="66"/>
    </row>
    <row r="316" spans="1:14" x14ac:dyDescent="0.2">
      <c r="A316" s="84"/>
      <c r="B316" s="84"/>
      <c r="C316" s="60"/>
      <c r="D316" s="66"/>
      <c r="E316" s="66"/>
      <c r="F316" s="66"/>
      <c r="G316" s="66"/>
      <c r="H316" s="66"/>
      <c r="I316" s="66"/>
      <c r="J316" s="66"/>
      <c r="K316" s="66"/>
      <c r="L316" s="66"/>
      <c r="M316" s="66"/>
      <c r="N316" s="66"/>
    </row>
    <row r="317" spans="1:14" x14ac:dyDescent="0.2">
      <c r="A317" s="84"/>
      <c r="B317" s="84"/>
      <c r="C317" s="60"/>
      <c r="D317" s="66"/>
      <c r="E317" s="66"/>
      <c r="F317" s="66"/>
      <c r="G317" s="66"/>
      <c r="H317" s="66"/>
      <c r="I317" s="66"/>
      <c r="J317" s="66"/>
      <c r="K317" s="66"/>
      <c r="L317" s="66"/>
      <c r="M317" s="66"/>
      <c r="N317" s="66"/>
    </row>
    <row r="318" spans="1:14" x14ac:dyDescent="0.2">
      <c r="A318" s="84"/>
      <c r="B318" s="84"/>
      <c r="C318" s="60"/>
      <c r="D318" s="66"/>
      <c r="E318" s="66"/>
      <c r="F318" s="66"/>
      <c r="G318" s="66"/>
      <c r="H318" s="66"/>
      <c r="I318" s="66"/>
      <c r="J318" s="66"/>
      <c r="K318" s="66"/>
      <c r="L318" s="66"/>
      <c r="M318" s="66"/>
      <c r="N318" s="66"/>
    </row>
    <row r="319" spans="1:14" x14ac:dyDescent="0.2">
      <c r="A319" s="84"/>
      <c r="B319" s="84"/>
      <c r="C319" s="60"/>
      <c r="D319" s="66"/>
      <c r="E319" s="66"/>
      <c r="F319" s="66"/>
      <c r="G319" s="66"/>
      <c r="H319" s="66"/>
      <c r="I319" s="66"/>
      <c r="J319" s="66"/>
      <c r="K319" s="66"/>
      <c r="L319" s="66"/>
      <c r="M319" s="66"/>
      <c r="N319" s="66"/>
    </row>
    <row r="320" spans="1:14" x14ac:dyDescent="0.2">
      <c r="A320" s="84"/>
      <c r="B320" s="84"/>
      <c r="C320" s="60"/>
      <c r="D320" s="66"/>
      <c r="E320" s="66"/>
      <c r="F320" s="66"/>
      <c r="G320" s="66"/>
      <c r="H320" s="66"/>
      <c r="I320" s="66"/>
      <c r="J320" s="66"/>
      <c r="K320" s="66"/>
      <c r="L320" s="66"/>
      <c r="M320" s="66"/>
      <c r="N320" s="66"/>
    </row>
    <row r="321" spans="1:14" x14ac:dyDescent="0.2">
      <c r="A321" s="84"/>
      <c r="B321" s="84"/>
      <c r="C321" s="60"/>
      <c r="D321" s="66"/>
      <c r="E321" s="66"/>
      <c r="F321" s="66"/>
      <c r="G321" s="66"/>
      <c r="H321" s="66"/>
      <c r="I321" s="66"/>
      <c r="J321" s="66"/>
      <c r="K321" s="66"/>
      <c r="L321" s="66"/>
      <c r="M321" s="66"/>
      <c r="N321" s="66"/>
    </row>
    <row r="322" spans="1:14" x14ac:dyDescent="0.2">
      <c r="A322" s="84"/>
      <c r="B322" s="84"/>
      <c r="C322" s="60"/>
      <c r="D322" s="66"/>
      <c r="E322" s="66"/>
      <c r="F322" s="66"/>
      <c r="G322" s="66"/>
      <c r="H322" s="66"/>
      <c r="I322" s="66"/>
      <c r="J322" s="66"/>
      <c r="K322" s="66"/>
      <c r="L322" s="66"/>
      <c r="M322" s="66"/>
      <c r="N322" s="66"/>
    </row>
    <row r="323" spans="1:14" x14ac:dyDescent="0.2">
      <c r="A323" s="84"/>
      <c r="B323" s="84"/>
      <c r="C323" s="60"/>
      <c r="D323" s="66"/>
      <c r="E323" s="66"/>
      <c r="F323" s="66"/>
      <c r="G323" s="66"/>
      <c r="H323" s="66"/>
      <c r="I323" s="66"/>
      <c r="J323" s="66"/>
      <c r="K323" s="66"/>
      <c r="L323" s="66"/>
      <c r="M323" s="66"/>
      <c r="N323" s="66"/>
    </row>
    <row r="324" spans="1:14" x14ac:dyDescent="0.2">
      <c r="A324" s="84"/>
      <c r="B324" s="84"/>
      <c r="C324" s="60"/>
      <c r="D324" s="66"/>
      <c r="E324" s="66"/>
      <c r="F324" s="66"/>
      <c r="G324" s="66"/>
      <c r="H324" s="66"/>
      <c r="I324" s="66"/>
      <c r="J324" s="66"/>
      <c r="K324" s="66"/>
      <c r="L324" s="66"/>
      <c r="M324" s="66"/>
      <c r="N324" s="66"/>
    </row>
    <row r="325" spans="1:14" x14ac:dyDescent="0.2">
      <c r="A325" s="84"/>
      <c r="B325" s="84"/>
      <c r="C325" s="60"/>
      <c r="D325" s="66"/>
      <c r="E325" s="66"/>
      <c r="F325" s="66"/>
      <c r="G325" s="66"/>
      <c r="H325" s="66"/>
      <c r="I325" s="66"/>
      <c r="J325" s="66"/>
      <c r="K325" s="66"/>
      <c r="L325" s="66"/>
      <c r="M325" s="66"/>
      <c r="N325" s="66"/>
    </row>
    <row r="326" spans="1:14" x14ac:dyDescent="0.2">
      <c r="A326" s="84"/>
      <c r="B326" s="84"/>
      <c r="C326" s="60"/>
      <c r="D326" s="66"/>
      <c r="E326" s="66"/>
      <c r="F326" s="66"/>
      <c r="G326" s="66"/>
      <c r="H326" s="66"/>
      <c r="I326" s="66"/>
      <c r="J326" s="66"/>
      <c r="K326" s="66"/>
      <c r="L326" s="66"/>
      <c r="M326" s="66"/>
      <c r="N326" s="66"/>
    </row>
    <row r="327" spans="1:14" x14ac:dyDescent="0.2">
      <c r="A327" s="84"/>
      <c r="B327" s="84"/>
      <c r="C327" s="60"/>
      <c r="D327" s="66"/>
      <c r="E327" s="66"/>
      <c r="F327" s="66"/>
      <c r="G327" s="66"/>
      <c r="H327" s="66"/>
      <c r="I327" s="66"/>
      <c r="J327" s="66"/>
      <c r="K327" s="66"/>
      <c r="L327" s="66"/>
      <c r="M327" s="66"/>
      <c r="N327" s="66"/>
    </row>
    <row r="328" spans="1:14" x14ac:dyDescent="0.2">
      <c r="A328" s="84"/>
      <c r="B328" s="84"/>
      <c r="C328" s="60"/>
      <c r="D328" s="66"/>
      <c r="E328" s="66"/>
      <c r="F328" s="66"/>
      <c r="G328" s="66"/>
      <c r="H328" s="66"/>
      <c r="I328" s="66"/>
      <c r="J328" s="66"/>
      <c r="K328" s="66"/>
      <c r="L328" s="66"/>
      <c r="M328" s="66"/>
      <c r="N328" s="66"/>
    </row>
    <row r="329" spans="1:14" x14ac:dyDescent="0.2">
      <c r="A329" s="84"/>
      <c r="B329" s="84"/>
      <c r="C329" s="60"/>
      <c r="D329" s="66"/>
      <c r="E329" s="66"/>
      <c r="F329" s="66"/>
      <c r="G329" s="66"/>
      <c r="H329" s="66"/>
      <c r="I329" s="66"/>
      <c r="J329" s="66"/>
      <c r="K329" s="66"/>
      <c r="L329" s="66"/>
      <c r="M329" s="66"/>
      <c r="N329" s="66"/>
    </row>
    <row r="330" spans="1:14" x14ac:dyDescent="0.2">
      <c r="A330" s="84"/>
      <c r="B330" s="84"/>
      <c r="C330" s="60"/>
      <c r="D330" s="66"/>
      <c r="E330" s="66"/>
      <c r="F330" s="66"/>
      <c r="G330" s="66"/>
      <c r="H330" s="66"/>
      <c r="I330" s="66"/>
      <c r="J330" s="66"/>
      <c r="K330" s="66"/>
      <c r="L330" s="66"/>
      <c r="M330" s="66"/>
      <c r="N330" s="66"/>
    </row>
    <row r="331" spans="1:14" x14ac:dyDescent="0.2">
      <c r="A331" s="84"/>
      <c r="B331" s="84"/>
      <c r="C331" s="60"/>
      <c r="D331" s="66"/>
      <c r="E331" s="66"/>
      <c r="F331" s="66"/>
      <c r="G331" s="66"/>
      <c r="H331" s="66"/>
      <c r="I331" s="66"/>
      <c r="J331" s="66"/>
      <c r="K331" s="66"/>
      <c r="L331" s="66"/>
      <c r="M331" s="66"/>
      <c r="N331" s="66"/>
    </row>
    <row r="332" spans="1:14" x14ac:dyDescent="0.2">
      <c r="A332" s="84"/>
      <c r="B332" s="84"/>
      <c r="C332" s="60"/>
      <c r="D332" s="66"/>
      <c r="E332" s="66"/>
      <c r="F332" s="66"/>
      <c r="G332" s="66"/>
      <c r="H332" s="66"/>
      <c r="I332" s="66"/>
      <c r="J332" s="66"/>
      <c r="K332" s="66"/>
      <c r="L332" s="66"/>
      <c r="M332" s="66"/>
      <c r="N332" s="66"/>
    </row>
    <row r="333" spans="1:14" x14ac:dyDescent="0.2">
      <c r="A333" s="84"/>
      <c r="B333" s="84"/>
      <c r="C333" s="60"/>
      <c r="D333" s="66"/>
      <c r="E333" s="66"/>
      <c r="F333" s="66"/>
      <c r="G333" s="66"/>
      <c r="H333" s="66"/>
      <c r="I333" s="66"/>
      <c r="J333" s="66"/>
      <c r="K333" s="66"/>
      <c r="L333" s="66"/>
      <c r="M333" s="66"/>
      <c r="N333" s="66"/>
    </row>
    <row r="334" spans="1:14" x14ac:dyDescent="0.2">
      <c r="A334" s="84"/>
      <c r="B334" s="84"/>
      <c r="C334" s="60"/>
      <c r="D334" s="66"/>
      <c r="E334" s="66"/>
      <c r="F334" s="66"/>
      <c r="G334" s="66"/>
      <c r="H334" s="66"/>
      <c r="I334" s="66"/>
      <c r="J334" s="66"/>
      <c r="K334" s="66"/>
      <c r="L334" s="66"/>
      <c r="M334" s="66"/>
      <c r="N334" s="66"/>
    </row>
    <row r="335" spans="1:14" x14ac:dyDescent="0.2">
      <c r="A335" s="84"/>
      <c r="B335" s="84"/>
      <c r="C335" s="60"/>
      <c r="D335" s="66"/>
      <c r="E335" s="66"/>
      <c r="F335" s="66"/>
      <c r="G335" s="66"/>
      <c r="H335" s="66"/>
      <c r="I335" s="66"/>
      <c r="J335" s="66"/>
      <c r="K335" s="66"/>
      <c r="L335" s="66"/>
      <c r="M335" s="66"/>
      <c r="N335" s="66"/>
    </row>
    <row r="336" spans="1:14" x14ac:dyDescent="0.2">
      <c r="A336" s="84"/>
      <c r="B336" s="84"/>
      <c r="C336" s="60"/>
      <c r="D336" s="66"/>
      <c r="E336" s="66"/>
      <c r="F336" s="66"/>
      <c r="G336" s="66"/>
      <c r="H336" s="66"/>
      <c r="I336" s="66"/>
      <c r="J336" s="66"/>
      <c r="K336" s="66"/>
      <c r="L336" s="66"/>
      <c r="M336" s="66"/>
      <c r="N336" s="66"/>
    </row>
    <row r="337" spans="1:14" x14ac:dyDescent="0.2">
      <c r="A337" s="84"/>
      <c r="B337" s="84"/>
      <c r="C337" s="60"/>
      <c r="D337" s="66"/>
      <c r="E337" s="66"/>
      <c r="F337" s="66"/>
      <c r="G337" s="66"/>
      <c r="H337" s="66"/>
      <c r="I337" s="66"/>
      <c r="J337" s="66"/>
      <c r="K337" s="66"/>
      <c r="L337" s="66"/>
      <c r="M337" s="66"/>
      <c r="N337" s="66"/>
    </row>
    <row r="338" spans="1:14" x14ac:dyDescent="0.2">
      <c r="A338" s="84"/>
      <c r="B338" s="84"/>
      <c r="C338" s="60"/>
      <c r="D338" s="66"/>
      <c r="E338" s="66"/>
      <c r="F338" s="66"/>
      <c r="G338" s="66"/>
      <c r="H338" s="66"/>
      <c r="I338" s="66"/>
      <c r="J338" s="66"/>
      <c r="K338" s="66"/>
      <c r="L338" s="66"/>
      <c r="M338" s="66"/>
      <c r="N338" s="66"/>
    </row>
    <row r="339" spans="1:14" x14ac:dyDescent="0.2">
      <c r="A339" s="84"/>
      <c r="B339" s="84"/>
      <c r="C339" s="60"/>
      <c r="D339" s="66"/>
      <c r="E339" s="66"/>
      <c r="F339" s="66"/>
      <c r="G339" s="66"/>
      <c r="H339" s="66"/>
      <c r="I339" s="66"/>
      <c r="J339" s="66"/>
      <c r="K339" s="66"/>
      <c r="L339" s="66"/>
      <c r="M339" s="66"/>
      <c r="N339" s="66"/>
    </row>
    <row r="340" spans="1:14" x14ac:dyDescent="0.2">
      <c r="A340" s="84"/>
      <c r="B340" s="84"/>
      <c r="C340" s="60"/>
      <c r="D340" s="66"/>
      <c r="E340" s="66"/>
      <c r="F340" s="66"/>
      <c r="G340" s="66"/>
      <c r="H340" s="66"/>
      <c r="I340" s="66"/>
      <c r="J340" s="66"/>
      <c r="K340" s="66"/>
      <c r="L340" s="66"/>
      <c r="M340" s="66"/>
      <c r="N340" s="66"/>
    </row>
    <row r="341" spans="1:14" x14ac:dyDescent="0.2">
      <c r="A341" s="84"/>
      <c r="B341" s="84"/>
      <c r="C341" s="60"/>
      <c r="D341" s="66"/>
      <c r="E341" s="66"/>
      <c r="F341" s="66"/>
      <c r="G341" s="66"/>
      <c r="H341" s="66"/>
      <c r="I341" s="66"/>
      <c r="J341" s="66"/>
      <c r="K341" s="66"/>
      <c r="L341" s="66"/>
      <c r="M341" s="66"/>
      <c r="N341" s="66"/>
    </row>
    <row r="342" spans="1:14" x14ac:dyDescent="0.2">
      <c r="A342" s="84"/>
      <c r="B342" s="84"/>
      <c r="C342" s="60"/>
      <c r="D342" s="66"/>
      <c r="E342" s="66"/>
      <c r="F342" s="66"/>
      <c r="G342" s="66"/>
      <c r="H342" s="66"/>
      <c r="I342" s="66"/>
      <c r="J342" s="66"/>
      <c r="K342" s="66"/>
      <c r="L342" s="66"/>
      <c r="M342" s="66"/>
      <c r="N342" s="66"/>
    </row>
    <row r="343" spans="1:14" x14ac:dyDescent="0.2">
      <c r="A343" s="84"/>
      <c r="B343" s="84"/>
      <c r="C343" s="60"/>
      <c r="D343" s="66"/>
      <c r="E343" s="66"/>
      <c r="F343" s="66"/>
      <c r="G343" s="66"/>
      <c r="H343" s="66"/>
      <c r="I343" s="66"/>
      <c r="J343" s="66"/>
      <c r="K343" s="66"/>
      <c r="L343" s="66"/>
      <c r="M343" s="66"/>
      <c r="N343" s="66"/>
    </row>
    <row r="344" spans="1:14" x14ac:dyDescent="0.2">
      <c r="A344" s="84"/>
      <c r="B344" s="84"/>
      <c r="C344" s="60"/>
      <c r="D344" s="66"/>
      <c r="E344" s="66"/>
      <c r="F344" s="66"/>
      <c r="G344" s="66"/>
      <c r="H344" s="66"/>
      <c r="I344" s="66"/>
      <c r="J344" s="66"/>
      <c r="K344" s="66"/>
      <c r="L344" s="66"/>
      <c r="M344" s="66"/>
      <c r="N344" s="66"/>
    </row>
    <row r="345" spans="1:14" x14ac:dyDescent="0.2">
      <c r="A345" s="84"/>
      <c r="B345" s="84"/>
      <c r="C345" s="60"/>
      <c r="D345" s="66"/>
      <c r="E345" s="66"/>
      <c r="F345" s="66"/>
      <c r="G345" s="66"/>
      <c r="H345" s="66"/>
      <c r="I345" s="66"/>
      <c r="J345" s="66"/>
      <c r="K345" s="66"/>
      <c r="L345" s="66"/>
      <c r="M345" s="66"/>
      <c r="N345" s="66"/>
    </row>
    <row r="346" spans="1:14" x14ac:dyDescent="0.2">
      <c r="A346" s="84"/>
      <c r="B346" s="84"/>
      <c r="C346" s="60"/>
      <c r="D346" s="66"/>
      <c r="E346" s="66"/>
      <c r="F346" s="66"/>
      <c r="G346" s="66"/>
      <c r="H346" s="66"/>
      <c r="I346" s="66"/>
      <c r="J346" s="66"/>
      <c r="K346" s="66"/>
      <c r="L346" s="66"/>
      <c r="M346" s="66"/>
      <c r="N346" s="66"/>
    </row>
    <row r="347" spans="1:14" x14ac:dyDescent="0.2">
      <c r="A347" s="84"/>
      <c r="B347" s="84"/>
      <c r="C347" s="60"/>
      <c r="D347" s="66"/>
      <c r="E347" s="66"/>
      <c r="F347" s="66"/>
      <c r="G347" s="66"/>
      <c r="H347" s="66"/>
      <c r="I347" s="66"/>
      <c r="J347" s="66"/>
      <c r="K347" s="66"/>
      <c r="L347" s="66"/>
      <c r="M347" s="66"/>
      <c r="N347" s="66"/>
    </row>
    <row r="348" spans="1:14" x14ac:dyDescent="0.2">
      <c r="A348" s="84"/>
      <c r="B348" s="84"/>
      <c r="C348" s="60"/>
      <c r="D348" s="66"/>
      <c r="E348" s="66"/>
      <c r="F348" s="66"/>
      <c r="G348" s="66"/>
      <c r="H348" s="66"/>
      <c r="I348" s="66"/>
      <c r="J348" s="66"/>
      <c r="K348" s="66"/>
      <c r="L348" s="66"/>
      <c r="M348" s="66"/>
      <c r="N348" s="66"/>
    </row>
    <row r="349" spans="1:14" x14ac:dyDescent="0.2">
      <c r="A349" s="84"/>
      <c r="B349" s="84"/>
      <c r="C349" s="60"/>
      <c r="D349" s="66"/>
      <c r="E349" s="66"/>
      <c r="F349" s="66"/>
      <c r="G349" s="66"/>
      <c r="H349" s="66"/>
      <c r="I349" s="66"/>
      <c r="J349" s="66"/>
      <c r="K349" s="66"/>
      <c r="L349" s="66"/>
      <c r="M349" s="66"/>
      <c r="N349" s="66"/>
    </row>
    <row r="350" spans="1:14" x14ac:dyDescent="0.2">
      <c r="A350" s="84"/>
      <c r="B350" s="84"/>
      <c r="C350" s="60"/>
      <c r="D350" s="66"/>
      <c r="E350" s="66"/>
      <c r="F350" s="66"/>
      <c r="G350" s="66"/>
      <c r="H350" s="66"/>
      <c r="I350" s="66"/>
      <c r="J350" s="66"/>
      <c r="K350" s="66"/>
      <c r="L350" s="66"/>
      <c r="M350" s="66"/>
      <c r="N350" s="66"/>
    </row>
    <row r="351" spans="1:14" x14ac:dyDescent="0.2">
      <c r="A351" s="84"/>
      <c r="B351" s="84"/>
      <c r="C351" s="60"/>
      <c r="D351" s="66"/>
      <c r="E351" s="66"/>
      <c r="F351" s="66"/>
      <c r="G351" s="66"/>
      <c r="H351" s="66"/>
      <c r="I351" s="66"/>
      <c r="J351" s="66"/>
      <c r="K351" s="66"/>
      <c r="L351" s="66"/>
      <c r="M351" s="66"/>
      <c r="N351" s="66"/>
    </row>
    <row r="352" spans="1:14" x14ac:dyDescent="0.2">
      <c r="A352" s="84"/>
      <c r="B352" s="84"/>
      <c r="C352" s="60"/>
      <c r="D352" s="66"/>
      <c r="E352" s="66"/>
      <c r="F352" s="66"/>
      <c r="G352" s="66"/>
      <c r="H352" s="66"/>
      <c r="I352" s="66"/>
      <c r="J352" s="66"/>
      <c r="K352" s="66"/>
      <c r="L352" s="66"/>
      <c r="M352" s="66"/>
      <c r="N352" s="66"/>
    </row>
    <row r="353" spans="1:14" x14ac:dyDescent="0.2">
      <c r="A353" s="84"/>
      <c r="B353" s="84"/>
      <c r="C353" s="60"/>
      <c r="D353" s="66"/>
      <c r="E353" s="66"/>
      <c r="F353" s="66"/>
      <c r="G353" s="66"/>
      <c r="H353" s="66"/>
      <c r="I353" s="66"/>
      <c r="J353" s="66"/>
      <c r="K353" s="66"/>
      <c r="L353" s="66"/>
      <c r="M353" s="66"/>
      <c r="N353" s="66"/>
    </row>
    <row r="354" spans="1:14" x14ac:dyDescent="0.2">
      <c r="A354" s="84"/>
      <c r="B354" s="84"/>
      <c r="C354" s="60"/>
      <c r="D354" s="66"/>
      <c r="E354" s="66"/>
      <c r="F354" s="66"/>
      <c r="G354" s="66"/>
      <c r="H354" s="66"/>
      <c r="I354" s="66"/>
      <c r="J354" s="66"/>
      <c r="K354" s="66"/>
      <c r="L354" s="66"/>
      <c r="M354" s="66"/>
      <c r="N354" s="66"/>
    </row>
    <row r="355" spans="1:14" x14ac:dyDescent="0.2">
      <c r="A355" s="84"/>
      <c r="B355" s="84"/>
      <c r="C355" s="60"/>
      <c r="D355" s="66"/>
      <c r="E355" s="66"/>
      <c r="F355" s="66"/>
      <c r="G355" s="66"/>
      <c r="H355" s="66"/>
      <c r="I355" s="66"/>
      <c r="J355" s="66"/>
      <c r="K355" s="66"/>
      <c r="L355" s="66"/>
      <c r="M355" s="66"/>
      <c r="N355" s="66"/>
    </row>
    <row r="356" spans="1:14" x14ac:dyDescent="0.2">
      <c r="A356" s="84"/>
      <c r="B356" s="84"/>
      <c r="C356" s="60"/>
      <c r="D356" s="66"/>
      <c r="E356" s="66"/>
      <c r="F356" s="66"/>
      <c r="G356" s="66"/>
      <c r="H356" s="66"/>
      <c r="I356" s="66"/>
      <c r="J356" s="66"/>
      <c r="K356" s="66"/>
      <c r="L356" s="66"/>
      <c r="M356" s="66"/>
      <c r="N356" s="66"/>
    </row>
    <row r="357" spans="1:14" x14ac:dyDescent="0.2">
      <c r="A357" s="84"/>
      <c r="B357" s="84"/>
      <c r="C357" s="60"/>
      <c r="D357" s="66"/>
      <c r="E357" s="66"/>
      <c r="F357" s="66"/>
      <c r="G357" s="66"/>
      <c r="H357" s="66"/>
      <c r="I357" s="66"/>
      <c r="J357" s="66"/>
      <c r="K357" s="66"/>
      <c r="L357" s="66"/>
      <c r="M357" s="66"/>
      <c r="N357" s="66"/>
    </row>
    <row r="358" spans="1:14" x14ac:dyDescent="0.2">
      <c r="A358" s="84"/>
      <c r="B358" s="84"/>
      <c r="C358" s="60"/>
      <c r="D358" s="66"/>
      <c r="E358" s="66"/>
      <c r="F358" s="66"/>
      <c r="G358" s="66"/>
      <c r="H358" s="66"/>
      <c r="I358" s="66"/>
      <c r="J358" s="66"/>
      <c r="K358" s="66"/>
      <c r="L358" s="66"/>
      <c r="M358" s="66"/>
      <c r="N358" s="66"/>
    </row>
    <row r="359" spans="1:14" x14ac:dyDescent="0.2">
      <c r="A359" s="84"/>
      <c r="B359" s="84"/>
      <c r="C359" s="60"/>
      <c r="D359" s="66"/>
      <c r="E359" s="66"/>
      <c r="F359" s="66"/>
      <c r="G359" s="66"/>
      <c r="H359" s="66"/>
      <c r="I359" s="66"/>
      <c r="J359" s="66"/>
      <c r="K359" s="66"/>
      <c r="L359" s="66"/>
      <c r="M359" s="66"/>
      <c r="N359" s="66"/>
    </row>
    <row r="360" spans="1:14" x14ac:dyDescent="0.2">
      <c r="A360" s="84"/>
      <c r="B360" s="84"/>
      <c r="C360" s="60"/>
      <c r="D360" s="66"/>
      <c r="E360" s="66"/>
      <c r="F360" s="66"/>
      <c r="G360" s="66"/>
      <c r="H360" s="66"/>
      <c r="I360" s="66"/>
      <c r="J360" s="66"/>
      <c r="K360" s="66"/>
      <c r="L360" s="66"/>
      <c r="M360" s="66"/>
      <c r="N360" s="66"/>
    </row>
    <row r="361" spans="1:14" x14ac:dyDescent="0.2">
      <c r="A361" s="84"/>
      <c r="B361" s="84"/>
      <c r="C361" s="60"/>
      <c r="D361" s="66"/>
      <c r="E361" s="66"/>
      <c r="F361" s="66"/>
      <c r="G361" s="66"/>
      <c r="H361" s="66"/>
      <c r="I361" s="66"/>
      <c r="J361" s="66"/>
      <c r="K361" s="66"/>
      <c r="L361" s="66"/>
      <c r="M361" s="66"/>
      <c r="N361" s="66"/>
    </row>
    <row r="362" spans="1:14" x14ac:dyDescent="0.2">
      <c r="A362" s="84"/>
      <c r="B362" s="84"/>
      <c r="C362" s="60"/>
      <c r="D362" s="66"/>
      <c r="E362" s="66"/>
      <c r="F362" s="66"/>
      <c r="G362" s="66"/>
      <c r="H362" s="66"/>
      <c r="I362" s="66"/>
      <c r="J362" s="66"/>
      <c r="K362" s="66"/>
      <c r="L362" s="66"/>
      <c r="M362" s="66"/>
      <c r="N362" s="66"/>
    </row>
    <row r="363" spans="1:14" x14ac:dyDescent="0.2">
      <c r="A363" s="84"/>
      <c r="B363" s="84"/>
      <c r="C363" s="60"/>
      <c r="D363" s="66"/>
      <c r="E363" s="66"/>
      <c r="F363" s="66"/>
      <c r="G363" s="66"/>
      <c r="H363" s="66"/>
      <c r="I363" s="66"/>
      <c r="J363" s="66"/>
      <c r="K363" s="66"/>
      <c r="L363" s="66"/>
      <c r="M363" s="66"/>
      <c r="N363" s="66"/>
    </row>
    <row r="364" spans="1:14" x14ac:dyDescent="0.2">
      <c r="A364" s="84"/>
      <c r="B364" s="84"/>
      <c r="C364" s="60"/>
      <c r="D364" s="66"/>
      <c r="E364" s="66"/>
      <c r="F364" s="66"/>
      <c r="G364" s="66"/>
      <c r="H364" s="66"/>
      <c r="I364" s="66"/>
      <c r="J364" s="66"/>
      <c r="K364" s="66"/>
      <c r="L364" s="66"/>
      <c r="M364" s="66"/>
      <c r="N364" s="66"/>
    </row>
    <row r="365" spans="1:14" x14ac:dyDescent="0.2">
      <c r="A365" s="84"/>
      <c r="B365" s="84"/>
      <c r="C365" s="60"/>
      <c r="D365" s="66"/>
      <c r="E365" s="66"/>
      <c r="F365" s="66"/>
      <c r="G365" s="66"/>
      <c r="H365" s="66"/>
      <c r="I365" s="66"/>
      <c r="J365" s="66"/>
      <c r="K365" s="66"/>
      <c r="L365" s="66"/>
      <c r="M365" s="66"/>
      <c r="N365" s="66"/>
    </row>
    <row r="366" spans="1:14" x14ac:dyDescent="0.2">
      <c r="A366" s="84"/>
      <c r="B366" s="84"/>
      <c r="C366" s="60"/>
      <c r="D366" s="66"/>
      <c r="E366" s="66"/>
      <c r="F366" s="66"/>
      <c r="G366" s="66"/>
      <c r="H366" s="66"/>
      <c r="I366" s="66"/>
      <c r="J366" s="66"/>
      <c r="K366" s="66"/>
      <c r="L366" s="66"/>
      <c r="M366" s="66"/>
      <c r="N366" s="66"/>
    </row>
    <row r="367" spans="1:14" x14ac:dyDescent="0.2">
      <c r="A367" s="84"/>
      <c r="B367" s="84"/>
      <c r="C367" s="60"/>
      <c r="D367" s="66"/>
      <c r="E367" s="66"/>
      <c r="F367" s="66"/>
      <c r="G367" s="66"/>
      <c r="H367" s="66"/>
      <c r="I367" s="66"/>
      <c r="J367" s="66"/>
      <c r="K367" s="66"/>
      <c r="L367" s="66"/>
      <c r="M367" s="66"/>
      <c r="N367" s="66"/>
    </row>
    <row r="368" spans="1:14" x14ac:dyDescent="0.2">
      <c r="A368" s="84"/>
      <c r="B368" s="84"/>
      <c r="C368" s="60"/>
      <c r="D368" s="66"/>
      <c r="E368" s="66"/>
      <c r="F368" s="66"/>
      <c r="G368" s="66"/>
      <c r="H368" s="66"/>
      <c r="I368" s="66"/>
      <c r="J368" s="66"/>
      <c r="K368" s="66"/>
      <c r="L368" s="66"/>
      <c r="M368" s="66"/>
      <c r="N368" s="66"/>
    </row>
    <row r="369" spans="1:14" x14ac:dyDescent="0.2">
      <c r="A369" s="84"/>
      <c r="B369" s="84"/>
      <c r="C369" s="60"/>
      <c r="D369" s="66"/>
      <c r="E369" s="66"/>
      <c r="F369" s="66"/>
      <c r="G369" s="66"/>
      <c r="H369" s="66"/>
      <c r="I369" s="66"/>
      <c r="J369" s="66"/>
      <c r="K369" s="66"/>
      <c r="L369" s="66"/>
      <c r="M369" s="66"/>
      <c r="N369" s="66"/>
    </row>
    <row r="370" spans="1:14" x14ac:dyDescent="0.2">
      <c r="A370" s="84"/>
      <c r="B370" s="84"/>
      <c r="C370" s="60"/>
      <c r="D370" s="66"/>
      <c r="E370" s="66"/>
      <c r="F370" s="66"/>
      <c r="G370" s="66"/>
      <c r="H370" s="66"/>
      <c r="I370" s="66"/>
      <c r="J370" s="66"/>
      <c r="K370" s="66"/>
      <c r="L370" s="66"/>
      <c r="M370" s="66"/>
      <c r="N370" s="66"/>
    </row>
    <row r="371" spans="1:14" x14ac:dyDescent="0.2">
      <c r="A371" s="84"/>
      <c r="B371" s="84"/>
      <c r="C371" s="60"/>
      <c r="D371" s="66"/>
      <c r="E371" s="66"/>
      <c r="F371" s="66"/>
      <c r="G371" s="66"/>
      <c r="H371" s="66"/>
      <c r="I371" s="66"/>
      <c r="J371" s="66"/>
      <c r="K371" s="66"/>
      <c r="L371" s="66"/>
      <c r="M371" s="66"/>
      <c r="N371" s="66"/>
    </row>
    <row r="372" spans="1:14" x14ac:dyDescent="0.2">
      <c r="A372" s="84"/>
      <c r="B372" s="84"/>
      <c r="C372" s="60"/>
      <c r="D372" s="66"/>
      <c r="E372" s="66"/>
      <c r="F372" s="66"/>
      <c r="G372" s="66"/>
      <c r="H372" s="66"/>
      <c r="I372" s="66"/>
      <c r="J372" s="66"/>
      <c r="K372" s="66"/>
      <c r="L372" s="66"/>
      <c r="M372" s="66"/>
      <c r="N372" s="66"/>
    </row>
    <row r="373" spans="1:14" x14ac:dyDescent="0.2">
      <c r="A373" s="84"/>
      <c r="B373" s="84"/>
      <c r="C373" s="60"/>
      <c r="D373" s="66"/>
      <c r="E373" s="66"/>
      <c r="F373" s="66"/>
      <c r="G373" s="66"/>
      <c r="H373" s="66"/>
      <c r="I373" s="66"/>
      <c r="J373" s="66"/>
      <c r="K373" s="66"/>
      <c r="L373" s="66"/>
      <c r="M373" s="66"/>
      <c r="N373" s="66"/>
    </row>
    <row r="374" spans="1:14" x14ac:dyDescent="0.2">
      <c r="A374" s="84"/>
      <c r="B374" s="84"/>
      <c r="C374" s="60"/>
      <c r="D374" s="66"/>
      <c r="E374" s="66"/>
      <c r="F374" s="66"/>
      <c r="G374" s="66"/>
      <c r="H374" s="66"/>
      <c r="I374" s="66"/>
      <c r="J374" s="66"/>
      <c r="K374" s="66"/>
      <c r="L374" s="66"/>
      <c r="M374" s="66"/>
      <c r="N374" s="66"/>
    </row>
    <row r="375" spans="1:14" x14ac:dyDescent="0.2">
      <c r="A375" s="84"/>
      <c r="B375" s="84"/>
      <c r="C375" s="60"/>
      <c r="D375" s="66"/>
      <c r="E375" s="66"/>
      <c r="F375" s="66"/>
      <c r="G375" s="66"/>
      <c r="H375" s="66"/>
      <c r="I375" s="66"/>
      <c r="J375" s="66"/>
      <c r="K375" s="66"/>
      <c r="L375" s="66"/>
      <c r="M375" s="66"/>
      <c r="N375" s="66"/>
    </row>
    <row r="376" spans="1:14" x14ac:dyDescent="0.2">
      <c r="A376" s="84"/>
      <c r="B376" s="84"/>
      <c r="C376" s="60"/>
      <c r="D376" s="66"/>
      <c r="E376" s="66"/>
      <c r="F376" s="66"/>
      <c r="G376" s="66"/>
      <c r="H376" s="66"/>
      <c r="I376" s="66"/>
      <c r="J376" s="66"/>
      <c r="K376" s="66"/>
      <c r="L376" s="66"/>
      <c r="M376" s="66"/>
      <c r="N376" s="66"/>
    </row>
    <row r="377" spans="1:14" x14ac:dyDescent="0.2">
      <c r="A377" s="84"/>
      <c r="B377" s="84"/>
      <c r="C377" s="60"/>
      <c r="D377" s="66"/>
      <c r="E377" s="66"/>
      <c r="F377" s="66"/>
      <c r="G377" s="66"/>
      <c r="H377" s="66"/>
      <c r="I377" s="66"/>
      <c r="J377" s="66"/>
      <c r="K377" s="66"/>
      <c r="L377" s="66"/>
      <c r="M377" s="66"/>
      <c r="N377" s="66"/>
    </row>
    <row r="378" spans="1:14" x14ac:dyDescent="0.2">
      <c r="A378" s="84"/>
      <c r="B378" s="84"/>
      <c r="C378" s="60"/>
      <c r="D378" s="66"/>
      <c r="E378" s="66"/>
      <c r="F378" s="66"/>
      <c r="G378" s="66"/>
      <c r="H378" s="66"/>
      <c r="I378" s="66"/>
      <c r="J378" s="66"/>
      <c r="K378" s="66"/>
      <c r="L378" s="66"/>
      <c r="M378" s="66"/>
      <c r="N378" s="66"/>
    </row>
    <row r="379" spans="1:14" x14ac:dyDescent="0.2">
      <c r="A379" s="84"/>
      <c r="B379" s="84"/>
      <c r="C379" s="60"/>
      <c r="D379" s="66"/>
      <c r="E379" s="66"/>
      <c r="F379" s="66"/>
      <c r="G379" s="66"/>
      <c r="H379" s="66"/>
      <c r="I379" s="66"/>
      <c r="J379" s="66"/>
      <c r="K379" s="66"/>
      <c r="L379" s="66"/>
      <c r="M379" s="66"/>
      <c r="N379" s="66"/>
    </row>
    <row r="380" spans="1:14" x14ac:dyDescent="0.2">
      <c r="A380" s="84"/>
      <c r="B380" s="84"/>
      <c r="C380" s="60"/>
      <c r="D380" s="66"/>
      <c r="E380" s="66"/>
      <c r="F380" s="66"/>
      <c r="G380" s="66"/>
      <c r="H380" s="66"/>
      <c r="I380" s="66"/>
      <c r="J380" s="66"/>
      <c r="K380" s="66"/>
      <c r="L380" s="66"/>
      <c r="M380" s="66"/>
      <c r="N380" s="66"/>
    </row>
    <row r="381" spans="1:14" x14ac:dyDescent="0.2">
      <c r="A381" s="84"/>
      <c r="B381" s="84"/>
      <c r="C381" s="60"/>
      <c r="D381" s="66"/>
      <c r="E381" s="66"/>
      <c r="F381" s="66"/>
      <c r="G381" s="66"/>
      <c r="H381" s="66"/>
      <c r="I381" s="66"/>
      <c r="J381" s="66"/>
      <c r="K381" s="66"/>
      <c r="L381" s="66"/>
      <c r="M381" s="66"/>
      <c r="N381" s="66"/>
    </row>
    <row r="382" spans="1:14" x14ac:dyDescent="0.2">
      <c r="A382" s="84"/>
      <c r="B382" s="84"/>
      <c r="C382" s="60"/>
      <c r="D382" s="66"/>
      <c r="E382" s="66"/>
      <c r="F382" s="66"/>
      <c r="G382" s="66"/>
      <c r="H382" s="66"/>
      <c r="I382" s="66"/>
      <c r="J382" s="66"/>
      <c r="K382" s="66"/>
      <c r="L382" s="66"/>
      <c r="M382" s="66"/>
      <c r="N382" s="66"/>
    </row>
    <row r="383" spans="1:14" x14ac:dyDescent="0.2">
      <c r="A383" s="84"/>
      <c r="B383" s="84"/>
      <c r="C383" s="60"/>
      <c r="D383" s="66"/>
      <c r="E383" s="66"/>
      <c r="F383" s="66"/>
      <c r="G383" s="66"/>
      <c r="H383" s="66"/>
      <c r="I383" s="66"/>
      <c r="J383" s="66"/>
      <c r="K383" s="66"/>
      <c r="L383" s="66"/>
      <c r="M383" s="66"/>
      <c r="N383" s="66"/>
    </row>
    <row r="384" spans="1:14" x14ac:dyDescent="0.2">
      <c r="A384" s="84"/>
      <c r="B384" s="84"/>
      <c r="C384" s="60"/>
      <c r="D384" s="66"/>
      <c r="E384" s="66"/>
      <c r="F384" s="66"/>
      <c r="G384" s="66"/>
      <c r="H384" s="66"/>
      <c r="I384" s="66"/>
      <c r="J384" s="66"/>
      <c r="K384" s="66"/>
      <c r="L384" s="66"/>
      <c r="M384" s="66"/>
      <c r="N384" s="66"/>
    </row>
    <row r="385" spans="1:14" x14ac:dyDescent="0.2">
      <c r="A385" s="84"/>
      <c r="B385" s="84"/>
      <c r="C385" s="60"/>
      <c r="D385" s="66"/>
      <c r="E385" s="66"/>
      <c r="F385" s="66"/>
      <c r="G385" s="66"/>
      <c r="H385" s="66"/>
      <c r="I385" s="66"/>
      <c r="J385" s="66"/>
      <c r="K385" s="66"/>
      <c r="L385" s="66"/>
      <c r="M385" s="66"/>
      <c r="N385" s="66"/>
    </row>
    <row r="386" spans="1:14" x14ac:dyDescent="0.2">
      <c r="A386" s="84"/>
      <c r="B386" s="84"/>
      <c r="C386" s="60"/>
      <c r="D386" s="66"/>
      <c r="E386" s="66"/>
      <c r="F386" s="66"/>
      <c r="G386" s="66"/>
      <c r="H386" s="66"/>
      <c r="I386" s="66"/>
      <c r="J386" s="66"/>
      <c r="K386" s="66"/>
      <c r="L386" s="66"/>
      <c r="M386" s="66"/>
      <c r="N386" s="66"/>
    </row>
    <row r="387" spans="1:14" x14ac:dyDescent="0.2">
      <c r="A387" s="84"/>
      <c r="B387" s="84"/>
      <c r="C387" s="60"/>
      <c r="D387" s="66"/>
      <c r="E387" s="66"/>
      <c r="F387" s="66"/>
      <c r="G387" s="66"/>
      <c r="H387" s="66"/>
      <c r="I387" s="66"/>
      <c r="J387" s="66"/>
      <c r="K387" s="66"/>
      <c r="L387" s="66"/>
      <c r="M387" s="66"/>
      <c r="N387" s="66"/>
    </row>
    <row r="388" spans="1:14" x14ac:dyDescent="0.2">
      <c r="A388" s="84"/>
      <c r="B388" s="84"/>
      <c r="C388" s="60"/>
      <c r="D388" s="66"/>
      <c r="E388" s="66"/>
      <c r="F388" s="66"/>
      <c r="G388" s="66"/>
      <c r="H388" s="66"/>
      <c r="I388" s="66"/>
      <c r="J388" s="66"/>
      <c r="K388" s="66"/>
      <c r="L388" s="66"/>
      <c r="M388" s="66"/>
      <c r="N388" s="66"/>
    </row>
    <row r="389" spans="1:14" x14ac:dyDescent="0.2">
      <c r="A389" s="84"/>
      <c r="B389" s="84"/>
      <c r="C389" s="60"/>
      <c r="D389" s="66"/>
      <c r="E389" s="66"/>
      <c r="F389" s="66"/>
      <c r="G389" s="66"/>
      <c r="H389" s="66"/>
      <c r="I389" s="66"/>
      <c r="J389" s="66"/>
      <c r="K389" s="66"/>
      <c r="L389" s="66"/>
      <c r="M389" s="66"/>
      <c r="N389" s="66"/>
    </row>
    <row r="390" spans="1:14" x14ac:dyDescent="0.2">
      <c r="A390" s="84"/>
      <c r="B390" s="84"/>
      <c r="C390" s="60"/>
      <c r="D390" s="66"/>
      <c r="E390" s="66"/>
      <c r="F390" s="66"/>
      <c r="G390" s="66"/>
      <c r="H390" s="66"/>
      <c r="I390" s="66"/>
      <c r="J390" s="66"/>
      <c r="K390" s="66"/>
      <c r="L390" s="66"/>
      <c r="M390" s="66"/>
      <c r="N390" s="66"/>
    </row>
    <row r="391" spans="1:14" x14ac:dyDescent="0.2">
      <c r="A391" s="84"/>
      <c r="B391" s="84"/>
      <c r="C391" s="60"/>
      <c r="D391" s="66"/>
      <c r="E391" s="66"/>
      <c r="F391" s="66"/>
      <c r="G391" s="66"/>
      <c r="H391" s="66"/>
      <c r="I391" s="66"/>
      <c r="J391" s="66"/>
      <c r="K391" s="66"/>
      <c r="L391" s="66"/>
      <c r="M391" s="66"/>
      <c r="N391" s="66"/>
    </row>
    <row r="392" spans="1:14" x14ac:dyDescent="0.2">
      <c r="A392" s="84"/>
      <c r="B392" s="84"/>
      <c r="C392" s="60"/>
      <c r="D392" s="66"/>
      <c r="E392" s="66"/>
      <c r="F392" s="66"/>
      <c r="G392" s="66"/>
      <c r="H392" s="66"/>
      <c r="I392" s="66"/>
      <c r="J392" s="66"/>
      <c r="K392" s="66"/>
      <c r="L392" s="66"/>
      <c r="M392" s="66"/>
      <c r="N392" s="66"/>
    </row>
    <row r="393" spans="1:14" x14ac:dyDescent="0.2">
      <c r="A393" s="84"/>
      <c r="B393" s="84"/>
      <c r="C393" s="60"/>
      <c r="D393" s="66"/>
      <c r="E393" s="66"/>
      <c r="F393" s="66"/>
      <c r="G393" s="66"/>
      <c r="H393" s="66"/>
      <c r="I393" s="66"/>
      <c r="J393" s="66"/>
      <c r="K393" s="66"/>
      <c r="L393" s="66"/>
      <c r="M393" s="66"/>
      <c r="N393" s="66"/>
    </row>
    <row r="394" spans="1:14" x14ac:dyDescent="0.2">
      <c r="A394" s="84"/>
      <c r="B394" s="84"/>
      <c r="C394" s="60"/>
      <c r="D394" s="66"/>
      <c r="E394" s="66"/>
      <c r="F394" s="66"/>
      <c r="G394" s="66"/>
      <c r="H394" s="66"/>
      <c r="I394" s="66"/>
      <c r="J394" s="66"/>
      <c r="K394" s="66"/>
      <c r="L394" s="66"/>
      <c r="M394" s="66"/>
      <c r="N394" s="66"/>
    </row>
    <row r="395" spans="1:14" x14ac:dyDescent="0.2">
      <c r="A395" s="84"/>
      <c r="B395" s="84"/>
      <c r="C395" s="60"/>
      <c r="D395" s="66"/>
      <c r="E395" s="66"/>
      <c r="F395" s="66"/>
      <c r="G395" s="66"/>
      <c r="H395" s="66"/>
      <c r="I395" s="66"/>
      <c r="J395" s="66"/>
      <c r="K395" s="66"/>
      <c r="L395" s="66"/>
      <c r="M395" s="66"/>
      <c r="N395" s="66"/>
    </row>
    <row r="396" spans="1:14" x14ac:dyDescent="0.2">
      <c r="A396" s="84"/>
      <c r="B396" s="84"/>
      <c r="C396" s="60"/>
      <c r="D396" s="66"/>
      <c r="E396" s="66"/>
      <c r="F396" s="66"/>
      <c r="G396" s="66"/>
      <c r="H396" s="66"/>
      <c r="I396" s="66"/>
      <c r="J396" s="66"/>
      <c r="K396" s="66"/>
      <c r="L396" s="66"/>
      <c r="M396" s="66"/>
      <c r="N396" s="66"/>
    </row>
    <row r="397" spans="1:14" x14ac:dyDescent="0.2">
      <c r="A397" s="84"/>
      <c r="B397" s="84"/>
      <c r="C397" s="60"/>
      <c r="D397" s="66"/>
      <c r="E397" s="66"/>
      <c r="F397" s="66"/>
      <c r="G397" s="66"/>
      <c r="H397" s="66"/>
      <c r="I397" s="66"/>
      <c r="J397" s="66"/>
      <c r="K397" s="66"/>
      <c r="L397" s="66"/>
      <c r="M397" s="66"/>
      <c r="N397" s="66"/>
    </row>
    <row r="398" spans="1:14" x14ac:dyDescent="0.2">
      <c r="A398" s="84"/>
      <c r="B398" s="84"/>
      <c r="C398" s="60"/>
      <c r="D398" s="66"/>
      <c r="E398" s="66"/>
      <c r="F398" s="66"/>
      <c r="G398" s="66"/>
      <c r="H398" s="66"/>
      <c r="I398" s="66"/>
      <c r="J398" s="66"/>
      <c r="K398" s="66"/>
      <c r="L398" s="66"/>
      <c r="M398" s="66"/>
      <c r="N398" s="66"/>
    </row>
    <row r="399" spans="1:14" x14ac:dyDescent="0.2">
      <c r="A399" s="84"/>
      <c r="B399" s="84"/>
      <c r="C399" s="60"/>
      <c r="D399" s="66"/>
      <c r="E399" s="66"/>
      <c r="F399" s="66"/>
      <c r="G399" s="66"/>
      <c r="H399" s="66"/>
      <c r="I399" s="66"/>
      <c r="J399" s="66"/>
      <c r="K399" s="66"/>
      <c r="L399" s="66"/>
      <c r="M399" s="66"/>
      <c r="N399" s="66"/>
    </row>
    <row r="400" spans="1:14" x14ac:dyDescent="0.2">
      <c r="A400" s="84"/>
      <c r="B400" s="84"/>
      <c r="C400" s="60"/>
      <c r="D400" s="66"/>
      <c r="E400" s="66"/>
      <c r="F400" s="66"/>
      <c r="G400" s="66"/>
      <c r="H400" s="66"/>
      <c r="I400" s="66"/>
      <c r="J400" s="66"/>
      <c r="K400" s="66"/>
      <c r="L400" s="66"/>
      <c r="M400" s="66"/>
      <c r="N400" s="66"/>
    </row>
    <row r="401" spans="1:14" x14ac:dyDescent="0.2">
      <c r="A401" s="84"/>
      <c r="B401" s="84"/>
      <c r="C401" s="60"/>
      <c r="D401" s="66"/>
      <c r="E401" s="66"/>
      <c r="F401" s="66"/>
      <c r="G401" s="66"/>
      <c r="H401" s="66"/>
      <c r="I401" s="66"/>
      <c r="J401" s="66"/>
      <c r="K401" s="66"/>
      <c r="L401" s="66"/>
      <c r="M401" s="66"/>
      <c r="N401" s="66"/>
    </row>
    <row r="402" spans="1:14" x14ac:dyDescent="0.2">
      <c r="A402" s="84"/>
      <c r="B402" s="84"/>
      <c r="C402" s="60"/>
      <c r="D402" s="66"/>
      <c r="E402" s="66"/>
      <c r="F402" s="66"/>
      <c r="G402" s="66"/>
      <c r="H402" s="66"/>
      <c r="I402" s="66"/>
      <c r="J402" s="66"/>
      <c r="K402" s="66"/>
      <c r="L402" s="66"/>
      <c r="M402" s="66"/>
      <c r="N402" s="66"/>
    </row>
    <row r="403" spans="1:14" x14ac:dyDescent="0.2">
      <c r="A403" s="84"/>
      <c r="B403" s="84"/>
      <c r="C403" s="60"/>
      <c r="D403" s="66"/>
      <c r="E403" s="66"/>
      <c r="F403" s="66"/>
      <c r="G403" s="66"/>
      <c r="H403" s="66"/>
      <c r="I403" s="66"/>
      <c r="J403" s="66"/>
      <c r="K403" s="66"/>
      <c r="L403" s="66"/>
      <c r="M403" s="66"/>
      <c r="N403" s="66"/>
    </row>
    <row r="404" spans="1:14" x14ac:dyDescent="0.2">
      <c r="A404" s="84"/>
      <c r="B404" s="84"/>
      <c r="C404" s="60"/>
      <c r="D404" s="66"/>
      <c r="E404" s="66"/>
      <c r="F404" s="66"/>
      <c r="G404" s="66"/>
      <c r="H404" s="66"/>
      <c r="I404" s="66"/>
      <c r="J404" s="66"/>
      <c r="K404" s="66"/>
      <c r="L404" s="66"/>
      <c r="M404" s="66"/>
      <c r="N404" s="66"/>
    </row>
    <row r="405" spans="1:14" x14ac:dyDescent="0.2">
      <c r="A405" s="84"/>
      <c r="B405" s="84"/>
      <c r="C405" s="60"/>
      <c r="D405" s="66"/>
      <c r="E405" s="66"/>
      <c r="F405" s="66"/>
      <c r="G405" s="66"/>
      <c r="H405" s="66"/>
      <c r="I405" s="66"/>
      <c r="J405" s="66"/>
      <c r="K405" s="66"/>
      <c r="L405" s="66"/>
      <c r="M405" s="66"/>
      <c r="N405" s="66"/>
    </row>
    <row r="406" spans="1:14" x14ac:dyDescent="0.2">
      <c r="A406" s="84"/>
      <c r="B406" s="84"/>
      <c r="C406" s="60"/>
      <c r="D406" s="66"/>
      <c r="E406" s="66"/>
      <c r="F406" s="66"/>
      <c r="G406" s="66"/>
      <c r="H406" s="66"/>
      <c r="I406" s="66"/>
      <c r="J406" s="66"/>
      <c r="K406" s="66"/>
      <c r="L406" s="66"/>
      <c r="M406" s="66"/>
      <c r="N406" s="66"/>
    </row>
    <row r="407" spans="1:14" x14ac:dyDescent="0.2">
      <c r="A407" s="84"/>
      <c r="B407" s="84"/>
      <c r="C407" s="60"/>
      <c r="D407" s="66"/>
      <c r="E407" s="66"/>
      <c r="F407" s="66"/>
      <c r="G407" s="66"/>
      <c r="H407" s="66"/>
      <c r="I407" s="66"/>
      <c r="J407" s="66"/>
      <c r="K407" s="66"/>
      <c r="L407" s="66"/>
      <c r="M407" s="66"/>
      <c r="N407" s="66"/>
    </row>
    <row r="408" spans="1:14" x14ac:dyDescent="0.2">
      <c r="A408" s="84"/>
      <c r="B408" s="84"/>
      <c r="C408" s="60"/>
      <c r="D408" s="66"/>
      <c r="E408" s="66"/>
      <c r="F408" s="66"/>
      <c r="G408" s="66"/>
      <c r="H408" s="66"/>
      <c r="I408" s="66"/>
      <c r="J408" s="66"/>
      <c r="K408" s="66"/>
      <c r="L408" s="66"/>
      <c r="M408" s="66"/>
      <c r="N408" s="66"/>
    </row>
    <row r="409" spans="1:14" x14ac:dyDescent="0.2">
      <c r="A409" s="84"/>
      <c r="B409" s="84"/>
      <c r="C409" s="60"/>
      <c r="D409" s="66"/>
      <c r="E409" s="66"/>
      <c r="F409" s="66"/>
      <c r="G409" s="66"/>
      <c r="H409" s="66"/>
      <c r="I409" s="66"/>
      <c r="J409" s="66"/>
      <c r="K409" s="66"/>
      <c r="L409" s="66"/>
      <c r="M409" s="66"/>
      <c r="N409" s="66"/>
    </row>
    <row r="410" spans="1:14" x14ac:dyDescent="0.2">
      <c r="A410" s="84"/>
      <c r="B410" s="84"/>
      <c r="C410" s="60"/>
      <c r="D410" s="66"/>
      <c r="E410" s="66"/>
      <c r="F410" s="66"/>
      <c r="G410" s="66"/>
      <c r="H410" s="66"/>
      <c r="I410" s="66"/>
      <c r="J410" s="66"/>
      <c r="K410" s="66"/>
      <c r="L410" s="66"/>
      <c r="M410" s="66"/>
      <c r="N410" s="66"/>
    </row>
    <row r="411" spans="1:14" x14ac:dyDescent="0.2">
      <c r="A411" s="84"/>
      <c r="B411" s="84"/>
      <c r="C411" s="60"/>
      <c r="D411" s="66"/>
      <c r="E411" s="66"/>
      <c r="F411" s="66"/>
      <c r="G411" s="66"/>
      <c r="H411" s="66"/>
      <c r="I411" s="66"/>
      <c r="J411" s="66"/>
      <c r="K411" s="66"/>
      <c r="L411" s="66"/>
      <c r="M411" s="66"/>
      <c r="N411" s="66"/>
    </row>
    <row r="412" spans="1:14" x14ac:dyDescent="0.2">
      <c r="A412" s="84"/>
      <c r="B412" s="84"/>
      <c r="C412" s="60"/>
      <c r="D412" s="66"/>
      <c r="E412" s="66"/>
      <c r="F412" s="66"/>
      <c r="G412" s="66"/>
      <c r="H412" s="66"/>
      <c r="I412" s="66"/>
      <c r="J412" s="66"/>
      <c r="K412" s="66"/>
      <c r="L412" s="66"/>
      <c r="M412" s="66"/>
      <c r="N412" s="66"/>
    </row>
    <row r="413" spans="1:14" x14ac:dyDescent="0.2">
      <c r="A413" s="84"/>
      <c r="B413" s="84"/>
      <c r="C413" s="60"/>
      <c r="D413" s="66"/>
      <c r="E413" s="66"/>
      <c r="F413" s="66"/>
      <c r="G413" s="66"/>
      <c r="H413" s="66"/>
      <c r="I413" s="66"/>
      <c r="J413" s="66"/>
      <c r="K413" s="66"/>
      <c r="L413" s="66"/>
      <c r="M413" s="66"/>
      <c r="N413" s="66"/>
    </row>
    <row r="414" spans="1:14" x14ac:dyDescent="0.2">
      <c r="A414" s="84"/>
      <c r="B414" s="84"/>
      <c r="C414" s="60"/>
      <c r="D414" s="66"/>
      <c r="E414" s="66"/>
      <c r="F414" s="66"/>
      <c r="G414" s="66"/>
      <c r="H414" s="66"/>
      <c r="I414" s="66"/>
      <c r="J414" s="66"/>
      <c r="K414" s="66"/>
      <c r="L414" s="66"/>
      <c r="M414" s="66"/>
      <c r="N414" s="66"/>
    </row>
    <row r="415" spans="1:14" x14ac:dyDescent="0.2">
      <c r="A415" s="84"/>
      <c r="B415" s="84"/>
      <c r="C415" s="60"/>
      <c r="D415" s="66"/>
      <c r="E415" s="66"/>
      <c r="F415" s="66"/>
      <c r="G415" s="66"/>
      <c r="H415" s="66"/>
      <c r="I415" s="66"/>
      <c r="J415" s="66"/>
      <c r="K415" s="66"/>
      <c r="L415" s="66"/>
      <c r="M415" s="66"/>
      <c r="N415" s="66"/>
    </row>
    <row r="416" spans="1:14" x14ac:dyDescent="0.2">
      <c r="A416" s="84"/>
      <c r="B416" s="84"/>
      <c r="C416" s="60"/>
      <c r="D416" s="66"/>
      <c r="E416" s="66"/>
      <c r="F416" s="66"/>
      <c r="G416" s="66"/>
      <c r="H416" s="66"/>
      <c r="I416" s="66"/>
      <c r="J416" s="66"/>
      <c r="K416" s="66"/>
      <c r="L416" s="66"/>
      <c r="M416" s="66"/>
      <c r="N416" s="66"/>
    </row>
    <row r="417" spans="1:14" x14ac:dyDescent="0.2">
      <c r="A417" s="84"/>
      <c r="B417" s="84"/>
      <c r="C417" s="60"/>
      <c r="D417" s="66"/>
      <c r="E417" s="66"/>
      <c r="F417" s="66"/>
      <c r="G417" s="66"/>
      <c r="H417" s="66"/>
      <c r="I417" s="66"/>
      <c r="J417" s="66"/>
      <c r="K417" s="66"/>
      <c r="L417" s="66"/>
      <c r="M417" s="66"/>
      <c r="N417" s="66"/>
    </row>
    <row r="418" spans="1:14" x14ac:dyDescent="0.2">
      <c r="A418" s="84"/>
      <c r="B418" s="84"/>
      <c r="C418" s="60"/>
      <c r="D418" s="66"/>
      <c r="E418" s="66"/>
      <c r="F418" s="66"/>
      <c r="G418" s="66"/>
      <c r="H418" s="66"/>
      <c r="I418" s="66"/>
      <c r="J418" s="66"/>
      <c r="K418" s="66"/>
      <c r="L418" s="66"/>
      <c r="M418" s="66"/>
      <c r="N418" s="66"/>
    </row>
    <row r="419" spans="1:14" x14ac:dyDescent="0.2">
      <c r="A419" s="84"/>
      <c r="B419" s="84"/>
      <c r="C419" s="60"/>
      <c r="D419" s="66"/>
      <c r="E419" s="66"/>
      <c r="F419" s="66"/>
      <c r="G419" s="66"/>
      <c r="H419" s="66"/>
      <c r="I419" s="66"/>
      <c r="J419" s="66"/>
      <c r="K419" s="66"/>
      <c r="L419" s="66"/>
      <c r="M419" s="66"/>
      <c r="N419" s="66"/>
    </row>
    <row r="420" spans="1:14" x14ac:dyDescent="0.2">
      <c r="A420" s="84"/>
      <c r="B420" s="84"/>
      <c r="C420" s="60"/>
      <c r="D420" s="66"/>
      <c r="E420" s="66"/>
      <c r="F420" s="66"/>
      <c r="G420" s="66"/>
      <c r="H420" s="66"/>
      <c r="I420" s="66"/>
      <c r="J420" s="66"/>
      <c r="K420" s="66"/>
      <c r="L420" s="66"/>
      <c r="M420" s="66"/>
      <c r="N420" s="66"/>
    </row>
    <row r="421" spans="1:14" x14ac:dyDescent="0.2">
      <c r="A421" s="84"/>
      <c r="B421" s="84"/>
      <c r="C421" s="60"/>
      <c r="D421" s="66"/>
      <c r="E421" s="66"/>
      <c r="F421" s="66"/>
      <c r="G421" s="66"/>
      <c r="H421" s="66"/>
      <c r="I421" s="66"/>
      <c r="J421" s="66"/>
      <c r="K421" s="66"/>
      <c r="L421" s="66"/>
      <c r="M421" s="66"/>
      <c r="N421" s="66"/>
    </row>
    <row r="422" spans="1:14" x14ac:dyDescent="0.2">
      <c r="A422" s="84"/>
      <c r="B422" s="84"/>
      <c r="C422" s="60"/>
      <c r="D422" s="66"/>
      <c r="E422" s="66"/>
      <c r="F422" s="66"/>
      <c r="G422" s="66"/>
      <c r="H422" s="66"/>
      <c r="I422" s="66"/>
      <c r="J422" s="66"/>
      <c r="K422" s="66"/>
      <c r="L422" s="66"/>
      <c r="M422" s="66"/>
      <c r="N422" s="66"/>
    </row>
    <row r="423" spans="1:14" x14ac:dyDescent="0.2">
      <c r="A423" s="84"/>
      <c r="B423" s="84"/>
      <c r="C423" s="60"/>
      <c r="D423" s="66"/>
      <c r="E423" s="66"/>
      <c r="F423" s="66"/>
      <c r="G423" s="66"/>
      <c r="H423" s="66"/>
      <c r="I423" s="66"/>
      <c r="J423" s="66"/>
      <c r="K423" s="66"/>
      <c r="L423" s="66"/>
      <c r="M423" s="66"/>
      <c r="N423" s="66"/>
    </row>
    <row r="424" spans="1:14" x14ac:dyDescent="0.2">
      <c r="A424" s="84"/>
      <c r="B424" s="84"/>
      <c r="C424" s="60"/>
      <c r="D424" s="66"/>
      <c r="E424" s="66"/>
      <c r="F424" s="66"/>
      <c r="G424" s="66"/>
      <c r="H424" s="66"/>
      <c r="I424" s="66"/>
      <c r="J424" s="66"/>
      <c r="K424" s="66"/>
      <c r="L424" s="66"/>
      <c r="M424" s="66"/>
      <c r="N424" s="66"/>
    </row>
    <row r="425" spans="1:14" x14ac:dyDescent="0.2">
      <c r="A425" s="84"/>
      <c r="B425" s="84"/>
      <c r="C425" s="60"/>
      <c r="D425" s="66"/>
      <c r="E425" s="66"/>
      <c r="F425" s="66"/>
      <c r="G425" s="66"/>
      <c r="H425" s="66"/>
      <c r="I425" s="66"/>
      <c r="J425" s="66"/>
      <c r="K425" s="66"/>
      <c r="L425" s="66"/>
      <c r="M425" s="66"/>
      <c r="N425" s="66"/>
    </row>
    <row r="426" spans="1:14" x14ac:dyDescent="0.2">
      <c r="A426" s="84"/>
      <c r="B426" s="84"/>
      <c r="C426" s="60"/>
      <c r="D426" s="66"/>
      <c r="E426" s="66"/>
      <c r="F426" s="66"/>
      <c r="G426" s="66"/>
      <c r="H426" s="66"/>
      <c r="I426" s="66"/>
      <c r="J426" s="66"/>
      <c r="K426" s="66"/>
      <c r="L426" s="66"/>
      <c r="M426" s="66"/>
      <c r="N426" s="66"/>
    </row>
    <row r="427" spans="1:14" x14ac:dyDescent="0.2">
      <c r="A427" s="84"/>
      <c r="B427" s="84"/>
      <c r="C427" s="60"/>
      <c r="D427" s="66"/>
      <c r="E427" s="66"/>
      <c r="F427" s="66"/>
      <c r="G427" s="66"/>
      <c r="H427" s="66"/>
      <c r="I427" s="66"/>
      <c r="J427" s="66"/>
      <c r="K427" s="66"/>
      <c r="L427" s="66"/>
      <c r="M427" s="66"/>
      <c r="N427" s="66"/>
    </row>
    <row r="428" spans="1:14" x14ac:dyDescent="0.2">
      <c r="A428" s="84"/>
      <c r="B428" s="84"/>
      <c r="C428" s="60"/>
      <c r="D428" s="66"/>
      <c r="E428" s="66"/>
      <c r="F428" s="66"/>
      <c r="G428" s="66"/>
      <c r="H428" s="66"/>
      <c r="I428" s="66"/>
      <c r="J428" s="66"/>
      <c r="K428" s="66"/>
      <c r="L428" s="66"/>
      <c r="M428" s="66"/>
      <c r="N428" s="66"/>
    </row>
    <row r="429" spans="1:14" x14ac:dyDescent="0.2">
      <c r="A429" s="84"/>
      <c r="B429" s="84"/>
      <c r="C429" s="60"/>
      <c r="D429" s="66"/>
      <c r="E429" s="66"/>
      <c r="F429" s="66"/>
      <c r="G429" s="66"/>
      <c r="H429" s="66"/>
      <c r="I429" s="66"/>
      <c r="J429" s="66"/>
      <c r="K429" s="66"/>
      <c r="L429" s="66"/>
      <c r="M429" s="66"/>
      <c r="N429" s="66"/>
    </row>
    <row r="430" spans="1:14" x14ac:dyDescent="0.2">
      <c r="A430" s="84"/>
      <c r="B430" s="84"/>
      <c r="C430" s="60"/>
      <c r="D430" s="66"/>
      <c r="E430" s="66"/>
      <c r="F430" s="66"/>
      <c r="G430" s="66"/>
      <c r="H430" s="66"/>
      <c r="I430" s="66"/>
      <c r="J430" s="66"/>
      <c r="K430" s="66"/>
      <c r="L430" s="66"/>
      <c r="M430" s="66"/>
      <c r="N430" s="66"/>
    </row>
    <row r="431" spans="1:14" x14ac:dyDescent="0.2">
      <c r="A431" s="84"/>
      <c r="B431" s="84"/>
      <c r="C431" s="60"/>
      <c r="D431" s="66"/>
      <c r="E431" s="66"/>
      <c r="F431" s="66"/>
      <c r="G431" s="66"/>
      <c r="H431" s="66"/>
      <c r="I431" s="66"/>
      <c r="J431" s="66"/>
      <c r="K431" s="66"/>
      <c r="L431" s="66"/>
      <c r="M431" s="66"/>
      <c r="N431" s="66"/>
    </row>
    <row r="432" spans="1:14" x14ac:dyDescent="0.2">
      <c r="A432" s="84"/>
      <c r="B432" s="84"/>
      <c r="C432" s="60"/>
      <c r="D432" s="66"/>
      <c r="E432" s="66"/>
      <c r="F432" s="66"/>
      <c r="G432" s="66"/>
      <c r="H432" s="66"/>
      <c r="I432" s="66"/>
      <c r="J432" s="66"/>
      <c r="K432" s="66"/>
      <c r="L432" s="66"/>
      <c r="M432" s="66"/>
      <c r="N432" s="66"/>
    </row>
    <row r="433" spans="1:14" x14ac:dyDescent="0.2">
      <c r="A433" s="84"/>
      <c r="B433" s="84"/>
      <c r="C433" s="60"/>
      <c r="D433" s="66"/>
      <c r="E433" s="66"/>
      <c r="F433" s="66"/>
      <c r="G433" s="66"/>
      <c r="H433" s="66"/>
      <c r="I433" s="66"/>
      <c r="J433" s="66"/>
      <c r="K433" s="66"/>
      <c r="L433" s="66"/>
      <c r="M433" s="66"/>
      <c r="N433" s="66"/>
    </row>
    <row r="434" spans="1:14" x14ac:dyDescent="0.2">
      <c r="A434" s="84"/>
      <c r="B434" s="84"/>
      <c r="C434" s="60"/>
      <c r="D434" s="66"/>
      <c r="E434" s="66"/>
      <c r="F434" s="66"/>
      <c r="G434" s="66"/>
      <c r="H434" s="66"/>
      <c r="I434" s="66"/>
      <c r="J434" s="66"/>
      <c r="K434" s="66"/>
      <c r="L434" s="66"/>
      <c r="M434" s="66"/>
      <c r="N434" s="66"/>
    </row>
    <row r="435" spans="1:14" x14ac:dyDescent="0.2">
      <c r="A435" s="84"/>
      <c r="B435" s="84"/>
      <c r="C435" s="60"/>
      <c r="D435" s="66"/>
      <c r="E435" s="66"/>
      <c r="F435" s="66"/>
      <c r="G435" s="66"/>
      <c r="H435" s="66"/>
      <c r="I435" s="66"/>
      <c r="J435" s="66"/>
      <c r="K435" s="66"/>
      <c r="L435" s="66"/>
      <c r="M435" s="66"/>
      <c r="N435" s="66"/>
    </row>
    <row r="436" spans="1:14" x14ac:dyDescent="0.2">
      <c r="A436" s="84"/>
      <c r="B436" s="84"/>
      <c r="C436" s="60"/>
      <c r="D436" s="66"/>
      <c r="E436" s="66"/>
      <c r="F436" s="66"/>
      <c r="G436" s="66"/>
      <c r="H436" s="66"/>
      <c r="I436" s="66"/>
      <c r="J436" s="66"/>
      <c r="K436" s="66"/>
      <c r="L436" s="66"/>
      <c r="M436" s="66"/>
      <c r="N436" s="66"/>
    </row>
    <row r="437" spans="1:14" x14ac:dyDescent="0.2">
      <c r="A437" s="84"/>
      <c r="B437" s="84"/>
      <c r="C437" s="60"/>
      <c r="D437" s="66"/>
      <c r="E437" s="66"/>
      <c r="F437" s="66"/>
      <c r="G437" s="66"/>
      <c r="H437" s="66"/>
      <c r="I437" s="66"/>
      <c r="J437" s="66"/>
      <c r="K437" s="66"/>
      <c r="L437" s="66"/>
      <c r="M437" s="66"/>
      <c r="N437" s="66"/>
    </row>
    <row r="438" spans="1:14" x14ac:dyDescent="0.2">
      <c r="A438" s="84"/>
      <c r="B438" s="84"/>
      <c r="C438" s="60"/>
      <c r="D438" s="66"/>
      <c r="E438" s="66"/>
      <c r="F438" s="66"/>
      <c r="G438" s="66"/>
      <c r="H438" s="66"/>
      <c r="I438" s="66"/>
      <c r="J438" s="66"/>
      <c r="K438" s="66"/>
      <c r="L438" s="66"/>
      <c r="M438" s="66"/>
      <c r="N438" s="66"/>
    </row>
    <row r="439" spans="1:14" x14ac:dyDescent="0.2">
      <c r="A439" s="84"/>
      <c r="B439" s="84"/>
      <c r="C439" s="60"/>
      <c r="D439" s="66"/>
      <c r="E439" s="66"/>
      <c r="F439" s="66"/>
      <c r="G439" s="66"/>
      <c r="H439" s="66"/>
      <c r="I439" s="66"/>
      <c r="J439" s="66"/>
      <c r="K439" s="66"/>
      <c r="L439" s="66"/>
      <c r="M439" s="66"/>
      <c r="N439" s="66"/>
    </row>
    <row r="440" spans="1:14" x14ac:dyDescent="0.2">
      <c r="A440" s="84"/>
      <c r="B440" s="84"/>
      <c r="C440" s="60"/>
      <c r="D440" s="66"/>
      <c r="E440" s="66"/>
      <c r="F440" s="66"/>
      <c r="G440" s="66"/>
      <c r="H440" s="66"/>
      <c r="I440" s="66"/>
      <c r="J440" s="66"/>
      <c r="K440" s="66"/>
      <c r="L440" s="66"/>
      <c r="M440" s="66"/>
      <c r="N440" s="66"/>
    </row>
    <row r="441" spans="1:14" x14ac:dyDescent="0.2">
      <c r="A441" s="84"/>
      <c r="B441" s="84"/>
      <c r="C441" s="60"/>
      <c r="D441" s="66"/>
      <c r="E441" s="66"/>
      <c r="F441" s="66"/>
      <c r="G441" s="66"/>
      <c r="H441" s="66"/>
      <c r="I441" s="66"/>
      <c r="J441" s="66"/>
      <c r="K441" s="66"/>
      <c r="L441" s="66"/>
      <c r="M441" s="66"/>
      <c r="N441" s="66"/>
    </row>
    <row r="442" spans="1:14" x14ac:dyDescent="0.2">
      <c r="A442" s="84"/>
      <c r="B442" s="84"/>
      <c r="C442" s="60"/>
      <c r="D442" s="66"/>
      <c r="E442" s="66"/>
      <c r="F442" s="66"/>
      <c r="G442" s="66"/>
      <c r="H442" s="66"/>
      <c r="I442" s="66"/>
      <c r="J442" s="66"/>
      <c r="K442" s="66"/>
      <c r="L442" s="66"/>
      <c r="M442" s="66"/>
      <c r="N442" s="66"/>
    </row>
    <row r="443" spans="1:14" x14ac:dyDescent="0.2">
      <c r="A443" s="84"/>
      <c r="B443" s="84"/>
      <c r="C443" s="60"/>
      <c r="D443" s="66"/>
      <c r="E443" s="66"/>
      <c r="F443" s="66"/>
      <c r="G443" s="66"/>
      <c r="H443" s="66"/>
      <c r="I443" s="66"/>
      <c r="J443" s="66"/>
      <c r="K443" s="66"/>
      <c r="L443" s="66"/>
      <c r="M443" s="66"/>
      <c r="N443" s="66"/>
    </row>
    <row r="444" spans="1:14" x14ac:dyDescent="0.2">
      <c r="A444" s="84"/>
      <c r="B444" s="84"/>
      <c r="C444" s="60"/>
      <c r="D444" s="66"/>
      <c r="E444" s="66"/>
      <c r="F444" s="66"/>
      <c r="G444" s="66"/>
      <c r="H444" s="66"/>
      <c r="I444" s="66"/>
      <c r="J444" s="66"/>
      <c r="K444" s="66"/>
      <c r="L444" s="66"/>
      <c r="M444" s="66"/>
      <c r="N444" s="66"/>
    </row>
    <row r="445" spans="1:14" x14ac:dyDescent="0.2">
      <c r="A445" s="84"/>
      <c r="B445" s="84"/>
      <c r="C445" s="60"/>
      <c r="D445" s="66"/>
      <c r="E445" s="66"/>
      <c r="F445" s="66"/>
      <c r="G445" s="66"/>
      <c r="H445" s="66"/>
      <c r="I445" s="66"/>
      <c r="J445" s="66"/>
      <c r="K445" s="66"/>
      <c r="L445" s="66"/>
      <c r="M445" s="66"/>
      <c r="N445" s="66"/>
    </row>
    <row r="446" spans="1:14" x14ac:dyDescent="0.2">
      <c r="A446" s="84"/>
      <c r="B446" s="84"/>
      <c r="C446" s="60"/>
      <c r="D446" s="66"/>
      <c r="E446" s="66"/>
      <c r="F446" s="66"/>
      <c r="G446" s="66"/>
      <c r="H446" s="66"/>
      <c r="I446" s="66"/>
      <c r="J446" s="66"/>
      <c r="K446" s="66"/>
      <c r="L446" s="66"/>
      <c r="M446" s="66"/>
      <c r="N446" s="66"/>
    </row>
    <row r="447" spans="1:14" x14ac:dyDescent="0.2">
      <c r="A447" s="84"/>
      <c r="B447" s="84"/>
      <c r="C447" s="60"/>
      <c r="D447" s="66"/>
      <c r="E447" s="66"/>
      <c r="F447" s="66"/>
      <c r="G447" s="66"/>
      <c r="H447" s="66"/>
      <c r="I447" s="66"/>
      <c r="J447" s="66"/>
      <c r="K447" s="66"/>
      <c r="L447" s="66"/>
      <c r="M447" s="66"/>
      <c r="N447" s="66"/>
    </row>
    <row r="448" spans="1:14" x14ac:dyDescent="0.2">
      <c r="A448" s="84"/>
      <c r="B448" s="84"/>
      <c r="C448" s="60"/>
      <c r="D448" s="66"/>
      <c r="E448" s="66"/>
      <c r="F448" s="66"/>
      <c r="G448" s="66"/>
      <c r="H448" s="66"/>
      <c r="I448" s="66"/>
      <c r="J448" s="66"/>
      <c r="K448" s="66"/>
      <c r="L448" s="66"/>
      <c r="M448" s="66"/>
      <c r="N448" s="66"/>
    </row>
    <row r="449" spans="1:14" x14ac:dyDescent="0.2">
      <c r="A449" s="84"/>
      <c r="B449" s="84"/>
      <c r="C449" s="60"/>
      <c r="D449" s="66"/>
      <c r="E449" s="66"/>
      <c r="F449" s="66"/>
      <c r="G449" s="66"/>
      <c r="H449" s="66"/>
      <c r="I449" s="66"/>
      <c r="J449" s="66"/>
      <c r="K449" s="66"/>
      <c r="L449" s="66"/>
      <c r="M449" s="66"/>
      <c r="N449" s="66"/>
    </row>
    <row r="450" spans="1:14" x14ac:dyDescent="0.2">
      <c r="A450" s="84"/>
      <c r="B450" s="84"/>
      <c r="C450" s="60"/>
      <c r="D450" s="66"/>
      <c r="E450" s="66"/>
      <c r="F450" s="66"/>
      <c r="G450" s="66"/>
      <c r="H450" s="66"/>
      <c r="I450" s="66"/>
      <c r="J450" s="66"/>
      <c r="K450" s="66"/>
      <c r="L450" s="66"/>
      <c r="M450" s="66"/>
      <c r="N450" s="66"/>
    </row>
    <row r="451" spans="1:14" x14ac:dyDescent="0.2">
      <c r="A451" s="84"/>
      <c r="B451" s="84"/>
      <c r="C451" s="60"/>
      <c r="D451" s="66"/>
      <c r="E451" s="66"/>
      <c r="F451" s="66"/>
      <c r="G451" s="66"/>
      <c r="H451" s="66"/>
      <c r="I451" s="66"/>
      <c r="J451" s="66"/>
      <c r="K451" s="66"/>
      <c r="L451" s="66"/>
      <c r="M451" s="66"/>
      <c r="N451" s="66"/>
    </row>
    <row r="452" spans="1:14" x14ac:dyDescent="0.2">
      <c r="A452" s="84"/>
      <c r="B452" s="84"/>
      <c r="C452" s="60"/>
      <c r="D452" s="66"/>
      <c r="E452" s="66"/>
      <c r="F452" s="66"/>
      <c r="G452" s="66"/>
      <c r="H452" s="66"/>
      <c r="I452" s="66"/>
      <c r="J452" s="66"/>
      <c r="K452" s="66"/>
      <c r="L452" s="66"/>
      <c r="M452" s="66"/>
      <c r="N452" s="66"/>
    </row>
    <row r="453" spans="1:14" x14ac:dyDescent="0.2">
      <c r="A453" s="84"/>
      <c r="B453" s="84"/>
      <c r="C453" s="60"/>
      <c r="D453" s="66"/>
      <c r="E453" s="66"/>
      <c r="F453" s="66"/>
      <c r="G453" s="66"/>
      <c r="H453" s="66"/>
      <c r="I453" s="66"/>
      <c r="J453" s="66"/>
      <c r="K453" s="66"/>
      <c r="L453" s="66"/>
      <c r="M453" s="66"/>
      <c r="N453" s="66"/>
    </row>
    <row r="454" spans="1:14" x14ac:dyDescent="0.2">
      <c r="A454" s="84"/>
      <c r="B454" s="84"/>
      <c r="C454" s="60"/>
      <c r="D454" s="66"/>
      <c r="E454" s="66"/>
      <c r="F454" s="66"/>
      <c r="G454" s="66"/>
      <c r="H454" s="66"/>
      <c r="I454" s="66"/>
      <c r="J454" s="66"/>
      <c r="K454" s="66"/>
      <c r="L454" s="66"/>
      <c r="M454" s="66"/>
      <c r="N454" s="66"/>
    </row>
    <row r="455" spans="1:14" x14ac:dyDescent="0.2">
      <c r="A455" s="84"/>
      <c r="B455" s="84"/>
      <c r="C455" s="60"/>
      <c r="D455" s="66"/>
      <c r="E455" s="66"/>
      <c r="F455" s="66"/>
      <c r="G455" s="66"/>
      <c r="H455" s="66"/>
      <c r="I455" s="66"/>
      <c r="J455" s="66"/>
      <c r="K455" s="66"/>
      <c r="L455" s="66"/>
      <c r="M455" s="66"/>
      <c r="N455" s="66"/>
    </row>
    <row r="456" spans="1:14" x14ac:dyDescent="0.2">
      <c r="A456" s="84"/>
      <c r="B456" s="84"/>
      <c r="C456" s="60"/>
      <c r="D456" s="66"/>
      <c r="E456" s="66"/>
      <c r="F456" s="66"/>
      <c r="G456" s="66"/>
      <c r="H456" s="66"/>
      <c r="I456" s="66"/>
      <c r="J456" s="66"/>
      <c r="K456" s="66"/>
      <c r="L456" s="66"/>
      <c r="M456" s="66"/>
      <c r="N456" s="66"/>
    </row>
    <row r="457" spans="1:14" x14ac:dyDescent="0.2">
      <c r="A457" s="84"/>
      <c r="B457" s="84"/>
      <c r="C457" s="60"/>
      <c r="D457" s="66"/>
      <c r="E457" s="66"/>
      <c r="F457" s="66"/>
      <c r="G457" s="66"/>
      <c r="H457" s="66"/>
      <c r="I457" s="66"/>
      <c r="J457" s="66"/>
      <c r="K457" s="66"/>
      <c r="L457" s="66"/>
      <c r="M457" s="66"/>
      <c r="N457" s="66"/>
    </row>
    <row r="458" spans="1:14" x14ac:dyDescent="0.2">
      <c r="A458" s="84"/>
      <c r="B458" s="84"/>
      <c r="C458" s="60"/>
      <c r="D458" s="66"/>
      <c r="E458" s="66"/>
      <c r="F458" s="66"/>
      <c r="G458" s="66"/>
      <c r="H458" s="66"/>
      <c r="I458" s="66"/>
      <c r="J458" s="66"/>
      <c r="K458" s="66"/>
      <c r="L458" s="66"/>
      <c r="M458" s="66"/>
      <c r="N458" s="66"/>
    </row>
    <row r="459" spans="1:14" x14ac:dyDescent="0.2">
      <c r="A459" s="84"/>
      <c r="B459" s="84"/>
      <c r="C459" s="60"/>
      <c r="D459" s="66"/>
      <c r="E459" s="66"/>
      <c r="F459" s="66"/>
      <c r="G459" s="66"/>
      <c r="H459" s="66"/>
      <c r="I459" s="66"/>
      <c r="J459" s="66"/>
      <c r="K459" s="66"/>
      <c r="L459" s="66"/>
      <c r="M459" s="66"/>
      <c r="N459" s="66"/>
    </row>
    <row r="460" spans="1:14" x14ac:dyDescent="0.2">
      <c r="A460" s="84"/>
      <c r="B460" s="84"/>
      <c r="C460" s="60"/>
      <c r="D460" s="66"/>
      <c r="E460" s="66"/>
      <c r="F460" s="66"/>
      <c r="G460" s="66"/>
      <c r="H460" s="66"/>
      <c r="I460" s="66"/>
      <c r="J460" s="66"/>
      <c r="K460" s="66"/>
      <c r="L460" s="66"/>
      <c r="M460" s="66"/>
      <c r="N460" s="66"/>
    </row>
    <row r="461" spans="1:14" x14ac:dyDescent="0.2">
      <c r="A461" s="84"/>
      <c r="B461" s="84"/>
      <c r="C461" s="60"/>
      <c r="D461" s="66"/>
      <c r="E461" s="66"/>
      <c r="F461" s="66"/>
      <c r="G461" s="66"/>
      <c r="H461" s="66"/>
      <c r="I461" s="66"/>
      <c r="J461" s="66"/>
      <c r="K461" s="66"/>
      <c r="L461" s="66"/>
      <c r="M461" s="66"/>
      <c r="N461" s="66"/>
    </row>
    <row r="462" spans="1:14" x14ac:dyDescent="0.2">
      <c r="A462" s="84"/>
      <c r="B462" s="84"/>
      <c r="C462" s="60"/>
      <c r="D462" s="66"/>
      <c r="E462" s="66"/>
      <c r="F462" s="66"/>
      <c r="G462" s="66"/>
      <c r="H462" s="66"/>
      <c r="I462" s="66"/>
      <c r="J462" s="66"/>
      <c r="K462" s="66"/>
      <c r="L462" s="66"/>
      <c r="M462" s="66"/>
      <c r="N462" s="66"/>
    </row>
    <row r="463" spans="1:14" x14ac:dyDescent="0.2">
      <c r="A463" s="84"/>
      <c r="B463" s="84"/>
      <c r="C463" s="60"/>
      <c r="D463" s="66"/>
      <c r="E463" s="66"/>
      <c r="F463" s="66"/>
      <c r="G463" s="66"/>
      <c r="H463" s="66"/>
      <c r="I463" s="66"/>
      <c r="J463" s="66"/>
      <c r="K463" s="66"/>
      <c r="L463" s="66"/>
      <c r="M463" s="66"/>
      <c r="N463" s="66"/>
    </row>
    <row r="464" spans="1:14" x14ac:dyDescent="0.2">
      <c r="A464" s="84"/>
      <c r="B464" s="84"/>
      <c r="C464" s="60"/>
      <c r="D464" s="66"/>
      <c r="E464" s="66"/>
      <c r="F464" s="66"/>
      <c r="G464" s="66"/>
      <c r="H464" s="66"/>
      <c r="I464" s="66"/>
      <c r="J464" s="66"/>
      <c r="K464" s="66"/>
      <c r="L464" s="66"/>
      <c r="M464" s="66"/>
      <c r="N464" s="66"/>
    </row>
    <row r="465" spans="1:14" x14ac:dyDescent="0.2">
      <c r="A465" s="84"/>
      <c r="B465" s="84"/>
      <c r="C465" s="60"/>
      <c r="D465" s="66"/>
      <c r="E465" s="66"/>
      <c r="F465" s="66"/>
      <c r="G465" s="66"/>
      <c r="H465" s="66"/>
      <c r="I465" s="66"/>
      <c r="J465" s="66"/>
      <c r="K465" s="66"/>
      <c r="L465" s="66"/>
      <c r="M465" s="66"/>
      <c r="N465" s="66"/>
    </row>
    <row r="466" spans="1:14" x14ac:dyDescent="0.2">
      <c r="A466" s="84"/>
      <c r="B466" s="84"/>
      <c r="C466" s="60"/>
      <c r="D466" s="66"/>
      <c r="E466" s="66"/>
      <c r="F466" s="66"/>
      <c r="G466" s="66"/>
      <c r="H466" s="66"/>
      <c r="I466" s="66"/>
      <c r="J466" s="66"/>
      <c r="K466" s="66"/>
      <c r="L466" s="66"/>
      <c r="M466" s="66"/>
      <c r="N466" s="66"/>
    </row>
    <row r="467" spans="1:14" x14ac:dyDescent="0.2">
      <c r="A467" s="84"/>
      <c r="B467" s="84"/>
      <c r="C467" s="60"/>
      <c r="D467" s="66"/>
      <c r="E467" s="66"/>
      <c r="F467" s="66"/>
      <c r="G467" s="66"/>
      <c r="H467" s="66"/>
      <c r="I467" s="66"/>
      <c r="J467" s="66"/>
      <c r="K467" s="66"/>
      <c r="L467" s="66"/>
      <c r="M467" s="66"/>
      <c r="N467" s="66"/>
    </row>
    <row r="468" spans="1:14" x14ac:dyDescent="0.2">
      <c r="A468" s="84"/>
      <c r="B468" s="84"/>
      <c r="C468" s="60"/>
      <c r="D468" s="66"/>
      <c r="E468" s="66"/>
      <c r="F468" s="66"/>
      <c r="G468" s="66"/>
      <c r="H468" s="66"/>
      <c r="I468" s="66"/>
      <c r="J468" s="66"/>
      <c r="K468" s="66"/>
      <c r="L468" s="66"/>
      <c r="M468" s="66"/>
      <c r="N468" s="66"/>
    </row>
    <row r="469" spans="1:14" x14ac:dyDescent="0.2">
      <c r="A469" s="84"/>
      <c r="B469" s="84"/>
      <c r="C469" s="60"/>
      <c r="D469" s="66"/>
      <c r="E469" s="66"/>
      <c r="F469" s="66"/>
      <c r="G469" s="66"/>
      <c r="H469" s="66"/>
      <c r="I469" s="66"/>
      <c r="J469" s="66"/>
      <c r="K469" s="66"/>
      <c r="L469" s="66"/>
      <c r="M469" s="66"/>
      <c r="N469" s="66"/>
    </row>
    <row r="470" spans="1:14" x14ac:dyDescent="0.2">
      <c r="A470" s="84"/>
      <c r="B470" s="84"/>
      <c r="C470" s="60"/>
      <c r="D470" s="66"/>
      <c r="E470" s="66"/>
      <c r="F470" s="66"/>
      <c r="G470" s="66"/>
      <c r="H470" s="66"/>
      <c r="I470" s="66"/>
      <c r="J470" s="66"/>
      <c r="K470" s="66"/>
      <c r="L470" s="66"/>
      <c r="M470" s="66"/>
      <c r="N470" s="66"/>
    </row>
    <row r="471" spans="1:14" x14ac:dyDescent="0.2">
      <c r="A471" s="84"/>
      <c r="B471" s="84"/>
      <c r="C471" s="60"/>
      <c r="D471" s="66"/>
      <c r="E471" s="66"/>
      <c r="F471" s="66"/>
      <c r="G471" s="66"/>
      <c r="H471" s="66"/>
      <c r="I471" s="66"/>
      <c r="J471" s="66"/>
      <c r="K471" s="66"/>
      <c r="L471" s="66"/>
      <c r="M471" s="66"/>
      <c r="N471" s="66"/>
    </row>
    <row r="472" spans="1:14" x14ac:dyDescent="0.2">
      <c r="A472" s="84"/>
      <c r="B472" s="84"/>
      <c r="C472" s="60"/>
      <c r="D472" s="66"/>
      <c r="E472" s="66"/>
      <c r="F472" s="66"/>
      <c r="G472" s="66"/>
      <c r="H472" s="66"/>
      <c r="I472" s="66"/>
      <c r="J472" s="66"/>
      <c r="K472" s="66"/>
      <c r="L472" s="66"/>
      <c r="M472" s="66"/>
      <c r="N472" s="66"/>
    </row>
    <row r="473" spans="1:14" x14ac:dyDescent="0.2">
      <c r="A473" s="84"/>
      <c r="B473" s="84"/>
      <c r="C473" s="60"/>
      <c r="D473" s="66"/>
      <c r="E473" s="66"/>
      <c r="F473" s="66"/>
      <c r="G473" s="66"/>
      <c r="H473" s="66"/>
      <c r="I473" s="66"/>
      <c r="J473" s="66"/>
      <c r="K473" s="66"/>
      <c r="L473" s="66"/>
      <c r="M473" s="66"/>
      <c r="N473" s="66"/>
    </row>
    <row r="474" spans="1:14" x14ac:dyDescent="0.2">
      <c r="A474" s="84"/>
      <c r="B474" s="84"/>
      <c r="C474" s="60"/>
      <c r="D474" s="66"/>
      <c r="E474" s="66"/>
      <c r="F474" s="66"/>
      <c r="G474" s="66"/>
      <c r="H474" s="66"/>
      <c r="I474" s="66"/>
      <c r="J474" s="66"/>
      <c r="K474" s="66"/>
      <c r="L474" s="66"/>
      <c r="M474" s="66"/>
      <c r="N474" s="66"/>
    </row>
    <row r="475" spans="1:14" x14ac:dyDescent="0.2">
      <c r="A475" s="84"/>
      <c r="B475" s="84"/>
      <c r="C475" s="60"/>
      <c r="D475" s="66"/>
      <c r="E475" s="66"/>
      <c r="F475" s="66"/>
      <c r="G475" s="66"/>
      <c r="H475" s="66"/>
      <c r="I475" s="66"/>
      <c r="J475" s="66"/>
      <c r="K475" s="66"/>
      <c r="L475" s="66"/>
      <c r="M475" s="66"/>
      <c r="N475" s="66"/>
    </row>
    <row r="476" spans="1:14" x14ac:dyDescent="0.2">
      <c r="A476" s="84"/>
      <c r="B476" s="84"/>
      <c r="C476" s="60"/>
      <c r="D476" s="66"/>
      <c r="E476" s="66"/>
      <c r="F476" s="66"/>
      <c r="G476" s="66"/>
      <c r="H476" s="66"/>
      <c r="I476" s="66"/>
      <c r="J476" s="66"/>
      <c r="K476" s="66"/>
      <c r="L476" s="66"/>
      <c r="M476" s="66"/>
      <c r="N476" s="66"/>
    </row>
    <row r="477" spans="1:14" x14ac:dyDescent="0.2">
      <c r="A477" s="84"/>
      <c r="B477" s="84"/>
      <c r="C477" s="60"/>
      <c r="D477" s="66"/>
      <c r="E477" s="66"/>
      <c r="F477" s="66"/>
      <c r="G477" s="66"/>
      <c r="H477" s="66"/>
      <c r="I477" s="66"/>
      <c r="J477" s="66"/>
      <c r="K477" s="66"/>
      <c r="L477" s="66"/>
      <c r="M477" s="66"/>
      <c r="N477" s="66"/>
    </row>
    <row r="478" spans="1:14" x14ac:dyDescent="0.2">
      <c r="A478" s="84"/>
      <c r="B478" s="84"/>
      <c r="C478" s="60"/>
      <c r="D478" s="66"/>
      <c r="E478" s="66"/>
      <c r="F478" s="66"/>
      <c r="G478" s="66"/>
      <c r="H478" s="66"/>
      <c r="I478" s="66"/>
      <c r="J478" s="66"/>
      <c r="K478" s="66"/>
      <c r="L478" s="66"/>
      <c r="M478" s="66"/>
      <c r="N478" s="66"/>
    </row>
    <row r="479" spans="1:14" x14ac:dyDescent="0.2">
      <c r="A479" s="84"/>
      <c r="B479" s="84"/>
      <c r="C479" s="60"/>
      <c r="D479" s="66"/>
      <c r="E479" s="66"/>
      <c r="F479" s="66"/>
      <c r="G479" s="66"/>
      <c r="H479" s="66"/>
      <c r="I479" s="66"/>
      <c r="J479" s="66"/>
      <c r="K479" s="66"/>
      <c r="L479" s="66"/>
      <c r="M479" s="66"/>
      <c r="N479" s="66"/>
    </row>
    <row r="480" spans="1:14" x14ac:dyDescent="0.2">
      <c r="A480" s="84"/>
      <c r="B480" s="84"/>
      <c r="C480" s="60"/>
      <c r="D480" s="66"/>
      <c r="E480" s="66"/>
      <c r="F480" s="66"/>
      <c r="G480" s="66"/>
      <c r="H480" s="66"/>
      <c r="I480" s="66"/>
      <c r="J480" s="66"/>
      <c r="K480" s="66"/>
      <c r="L480" s="66"/>
      <c r="M480" s="66"/>
      <c r="N480" s="66"/>
    </row>
    <row r="481" spans="1:14" x14ac:dyDescent="0.2">
      <c r="A481" s="84"/>
      <c r="B481" s="84"/>
      <c r="C481" s="60"/>
      <c r="D481" s="66"/>
      <c r="E481" s="66"/>
      <c r="F481" s="66"/>
      <c r="G481" s="66"/>
      <c r="H481" s="66"/>
      <c r="I481" s="66"/>
      <c r="J481" s="66"/>
      <c r="K481" s="66"/>
      <c r="L481" s="66"/>
      <c r="M481" s="66"/>
      <c r="N481" s="66"/>
    </row>
    <row r="482" spans="1:14" x14ac:dyDescent="0.2">
      <c r="A482" s="84"/>
      <c r="B482" s="84"/>
      <c r="C482" s="60"/>
      <c r="D482" s="66"/>
      <c r="E482" s="66"/>
      <c r="F482" s="66"/>
      <c r="G482" s="66"/>
      <c r="H482" s="66"/>
      <c r="I482" s="66"/>
      <c r="J482" s="66"/>
      <c r="K482" s="66"/>
      <c r="L482" s="66"/>
      <c r="M482" s="66"/>
      <c r="N482" s="66"/>
    </row>
    <row r="483" spans="1:14" x14ac:dyDescent="0.2">
      <c r="A483" s="84"/>
      <c r="B483" s="84"/>
      <c r="C483" s="60"/>
      <c r="D483" s="66"/>
      <c r="E483" s="66"/>
      <c r="F483" s="66"/>
      <c r="G483" s="66"/>
      <c r="H483" s="66"/>
      <c r="I483" s="66"/>
      <c r="J483" s="66"/>
      <c r="K483" s="66"/>
      <c r="L483" s="66"/>
      <c r="M483" s="66"/>
      <c r="N483" s="66"/>
    </row>
    <row r="484" spans="1:14" x14ac:dyDescent="0.2">
      <c r="A484" s="84"/>
      <c r="B484" s="84"/>
      <c r="C484" s="60"/>
      <c r="D484" s="66"/>
      <c r="E484" s="66"/>
      <c r="F484" s="66"/>
      <c r="G484" s="66"/>
      <c r="H484" s="66"/>
      <c r="I484" s="66"/>
      <c r="J484" s="66"/>
      <c r="K484" s="66"/>
      <c r="L484" s="66"/>
      <c r="M484" s="66"/>
      <c r="N484" s="66"/>
    </row>
    <row r="485" spans="1:14" x14ac:dyDescent="0.2">
      <c r="A485" s="84"/>
      <c r="B485" s="84"/>
      <c r="C485" s="60"/>
      <c r="D485" s="66"/>
      <c r="E485" s="66"/>
      <c r="F485" s="66"/>
      <c r="G485" s="66"/>
      <c r="H485" s="66"/>
      <c r="I485" s="66"/>
      <c r="J485" s="66"/>
      <c r="K485" s="66"/>
      <c r="L485" s="66"/>
      <c r="M485" s="66"/>
      <c r="N485" s="66"/>
    </row>
    <row r="486" spans="1:14" x14ac:dyDescent="0.2">
      <c r="A486" s="84"/>
      <c r="B486" s="84"/>
      <c r="C486" s="60"/>
      <c r="D486" s="66"/>
      <c r="E486" s="66"/>
      <c r="F486" s="66"/>
      <c r="G486" s="66"/>
      <c r="H486" s="66"/>
      <c r="I486" s="66"/>
      <c r="J486" s="66"/>
      <c r="K486" s="66"/>
      <c r="L486" s="66"/>
      <c r="M486" s="66"/>
      <c r="N486" s="66"/>
    </row>
    <row r="487" spans="1:14" x14ac:dyDescent="0.2">
      <c r="A487" s="84"/>
      <c r="B487" s="84"/>
      <c r="C487" s="60"/>
      <c r="D487" s="66"/>
      <c r="E487" s="66"/>
      <c r="F487" s="66"/>
      <c r="G487" s="66"/>
      <c r="H487" s="66"/>
      <c r="I487" s="66"/>
      <c r="J487" s="66"/>
      <c r="K487" s="66"/>
      <c r="L487" s="66"/>
      <c r="M487" s="66"/>
      <c r="N487" s="66"/>
    </row>
    <row r="488" spans="1:14" x14ac:dyDescent="0.2">
      <c r="A488" s="84"/>
      <c r="B488" s="84"/>
      <c r="C488" s="60"/>
      <c r="D488" s="66"/>
      <c r="E488" s="66"/>
      <c r="F488" s="66"/>
      <c r="G488" s="66"/>
      <c r="H488" s="66"/>
      <c r="I488" s="66"/>
      <c r="J488" s="66"/>
      <c r="K488" s="66"/>
      <c r="L488" s="66"/>
      <c r="M488" s="66"/>
      <c r="N488" s="66"/>
    </row>
    <row r="489" spans="1:14" x14ac:dyDescent="0.2">
      <c r="A489" s="84"/>
      <c r="B489" s="84"/>
      <c r="C489" s="60"/>
      <c r="D489" s="66"/>
      <c r="E489" s="66"/>
      <c r="F489" s="66"/>
      <c r="G489" s="66"/>
      <c r="H489" s="66"/>
      <c r="I489" s="66"/>
      <c r="J489" s="66"/>
      <c r="K489" s="66"/>
      <c r="L489" s="66"/>
      <c r="M489" s="66"/>
      <c r="N489" s="66"/>
    </row>
    <row r="490" spans="1:14" x14ac:dyDescent="0.2">
      <c r="A490" s="84"/>
      <c r="B490" s="84"/>
      <c r="C490" s="60"/>
      <c r="D490" s="66"/>
      <c r="E490" s="66"/>
      <c r="F490" s="66"/>
      <c r="G490" s="66"/>
      <c r="H490" s="66"/>
      <c r="I490" s="66"/>
      <c r="J490" s="66"/>
      <c r="K490" s="66"/>
      <c r="L490" s="66"/>
      <c r="M490" s="66"/>
      <c r="N490" s="66"/>
    </row>
    <row r="491" spans="1:14" x14ac:dyDescent="0.2">
      <c r="A491" s="84"/>
      <c r="B491" s="84"/>
      <c r="C491" s="60"/>
      <c r="D491" s="66"/>
      <c r="E491" s="66"/>
      <c r="F491" s="66"/>
      <c r="G491" s="66"/>
      <c r="H491" s="66"/>
      <c r="I491" s="66"/>
      <c r="J491" s="66"/>
      <c r="K491" s="66"/>
      <c r="L491" s="66"/>
      <c r="M491" s="66"/>
      <c r="N491" s="66"/>
    </row>
    <row r="492" spans="1:14" x14ac:dyDescent="0.2">
      <c r="A492" s="84"/>
      <c r="B492" s="84"/>
      <c r="C492" s="60"/>
      <c r="D492" s="66"/>
      <c r="E492" s="66"/>
      <c r="F492" s="66"/>
      <c r="G492" s="66"/>
      <c r="H492" s="66"/>
      <c r="I492" s="66"/>
      <c r="J492" s="66"/>
      <c r="K492" s="66"/>
      <c r="L492" s="66"/>
      <c r="M492" s="66"/>
      <c r="N492" s="66"/>
    </row>
    <row r="493" spans="1:14" x14ac:dyDescent="0.2">
      <c r="A493" s="84"/>
      <c r="B493" s="84"/>
      <c r="C493" s="60"/>
      <c r="D493" s="66"/>
      <c r="E493" s="66"/>
      <c r="F493" s="66"/>
      <c r="G493" s="66"/>
      <c r="H493" s="66"/>
      <c r="I493" s="66"/>
      <c r="J493" s="66"/>
      <c r="K493" s="66"/>
      <c r="L493" s="66"/>
      <c r="M493" s="66"/>
      <c r="N493" s="66"/>
    </row>
    <row r="494" spans="1:14" x14ac:dyDescent="0.2">
      <c r="A494" s="84"/>
      <c r="B494" s="84"/>
      <c r="C494" s="60"/>
      <c r="D494" s="66"/>
      <c r="E494" s="66"/>
      <c r="F494" s="66"/>
      <c r="G494" s="66"/>
      <c r="H494" s="66"/>
      <c r="I494" s="66"/>
      <c r="J494" s="66"/>
      <c r="K494" s="66"/>
      <c r="L494" s="66"/>
      <c r="M494" s="66"/>
      <c r="N494" s="66"/>
    </row>
    <row r="495" spans="1:14" x14ac:dyDescent="0.2">
      <c r="A495" s="84"/>
      <c r="B495" s="84"/>
      <c r="C495" s="60"/>
      <c r="D495" s="66"/>
      <c r="E495" s="66"/>
      <c r="F495" s="66"/>
      <c r="G495" s="66"/>
      <c r="H495" s="66"/>
      <c r="I495" s="66"/>
      <c r="J495" s="66"/>
      <c r="K495" s="66"/>
      <c r="L495" s="66"/>
      <c r="M495" s="66"/>
      <c r="N495" s="66"/>
    </row>
    <row r="496" spans="1:14" x14ac:dyDescent="0.2">
      <c r="A496" s="84"/>
      <c r="B496" s="84"/>
      <c r="C496" s="60"/>
      <c r="D496" s="66"/>
      <c r="E496" s="66"/>
      <c r="F496" s="66"/>
      <c r="G496" s="66"/>
      <c r="H496" s="66"/>
      <c r="I496" s="66"/>
      <c r="J496" s="66"/>
      <c r="K496" s="66"/>
      <c r="L496" s="66"/>
      <c r="M496" s="66"/>
      <c r="N496" s="66"/>
    </row>
    <row r="497" spans="1:14" x14ac:dyDescent="0.2">
      <c r="A497" s="84"/>
      <c r="B497" s="84"/>
      <c r="C497" s="60"/>
      <c r="D497" s="66"/>
      <c r="E497" s="66"/>
      <c r="F497" s="66"/>
      <c r="G497" s="66"/>
      <c r="H497" s="66"/>
      <c r="I497" s="66"/>
      <c r="J497" s="66"/>
      <c r="K497" s="66"/>
      <c r="L497" s="66"/>
      <c r="M497" s="66"/>
      <c r="N497" s="66"/>
    </row>
    <row r="498" spans="1:14" x14ac:dyDescent="0.2">
      <c r="A498" s="84"/>
      <c r="B498" s="84"/>
      <c r="C498" s="60"/>
      <c r="D498" s="66"/>
      <c r="E498" s="66"/>
      <c r="F498" s="66"/>
      <c r="G498" s="66"/>
      <c r="H498" s="66"/>
      <c r="I498" s="66"/>
      <c r="J498" s="66"/>
      <c r="K498" s="66"/>
      <c r="L498" s="66"/>
      <c r="M498" s="66"/>
      <c r="N498" s="66"/>
    </row>
    <row r="499" spans="1:14" x14ac:dyDescent="0.2">
      <c r="A499" s="84"/>
      <c r="B499" s="84"/>
      <c r="C499" s="60"/>
      <c r="D499" s="66"/>
      <c r="E499" s="66"/>
      <c r="F499" s="66"/>
      <c r="G499" s="66"/>
      <c r="H499" s="66"/>
      <c r="I499" s="66"/>
      <c r="J499" s="66"/>
      <c r="K499" s="66"/>
      <c r="L499" s="66"/>
      <c r="M499" s="66"/>
      <c r="N499" s="66"/>
    </row>
    <row r="500" spans="1:14" x14ac:dyDescent="0.2">
      <c r="A500" s="84"/>
      <c r="B500" s="84"/>
      <c r="C500" s="60"/>
      <c r="D500" s="66"/>
      <c r="E500" s="66"/>
      <c r="F500" s="66"/>
      <c r="G500" s="66"/>
      <c r="H500" s="66"/>
      <c r="I500" s="66"/>
      <c r="J500" s="66"/>
      <c r="K500" s="66"/>
      <c r="L500" s="66"/>
      <c r="M500" s="66"/>
      <c r="N500" s="66"/>
    </row>
    <row r="501" spans="1:14" x14ac:dyDescent="0.2">
      <c r="A501" s="84"/>
      <c r="B501" s="84"/>
      <c r="C501" s="60"/>
      <c r="D501" s="66"/>
      <c r="E501" s="66"/>
      <c r="F501" s="66"/>
      <c r="G501" s="66"/>
      <c r="H501" s="66"/>
      <c r="I501" s="66"/>
      <c r="J501" s="66"/>
      <c r="K501" s="66"/>
      <c r="L501" s="66"/>
      <c r="M501" s="66"/>
      <c r="N501" s="66"/>
    </row>
    <row r="502" spans="1:14" x14ac:dyDescent="0.2">
      <c r="A502" s="84"/>
      <c r="B502" s="84"/>
      <c r="C502" s="60"/>
      <c r="D502" s="66"/>
      <c r="E502" s="66"/>
      <c r="F502" s="66"/>
      <c r="G502" s="66"/>
      <c r="H502" s="66"/>
      <c r="I502" s="66"/>
      <c r="J502" s="66"/>
      <c r="K502" s="66"/>
      <c r="L502" s="66"/>
      <c r="M502" s="66"/>
      <c r="N502" s="66"/>
    </row>
    <row r="503" spans="1:14" x14ac:dyDescent="0.2">
      <c r="A503" s="84"/>
      <c r="B503" s="84"/>
      <c r="C503" s="60"/>
      <c r="D503" s="66"/>
      <c r="E503" s="66"/>
      <c r="F503" s="66"/>
      <c r="G503" s="66"/>
      <c r="H503" s="66"/>
      <c r="I503" s="66"/>
      <c r="J503" s="66"/>
      <c r="K503" s="66"/>
      <c r="L503" s="66"/>
      <c r="M503" s="66"/>
      <c r="N503" s="66"/>
    </row>
    <row r="504" spans="1:14" x14ac:dyDescent="0.2">
      <c r="A504" s="84"/>
      <c r="B504" s="84"/>
      <c r="C504" s="60"/>
      <c r="D504" s="66"/>
      <c r="E504" s="66"/>
      <c r="F504" s="66"/>
      <c r="G504" s="66"/>
      <c r="H504" s="66"/>
      <c r="I504" s="66"/>
      <c r="J504" s="66"/>
      <c r="K504" s="66"/>
      <c r="L504" s="66"/>
      <c r="M504" s="66"/>
      <c r="N504" s="66"/>
    </row>
    <row r="505" spans="1:14" x14ac:dyDescent="0.2">
      <c r="A505" s="84"/>
      <c r="B505" s="84"/>
      <c r="C505" s="60"/>
      <c r="D505" s="66"/>
      <c r="E505" s="66"/>
      <c r="F505" s="66"/>
      <c r="G505" s="66"/>
      <c r="H505" s="66"/>
      <c r="I505" s="66"/>
      <c r="J505" s="66"/>
      <c r="K505" s="66"/>
      <c r="L505" s="66"/>
      <c r="M505" s="66"/>
      <c r="N505" s="66"/>
    </row>
    <row r="506" spans="1:14" x14ac:dyDescent="0.2">
      <c r="A506" s="84"/>
      <c r="B506" s="84"/>
      <c r="C506" s="60"/>
      <c r="D506" s="66"/>
      <c r="E506" s="66"/>
      <c r="F506" s="66"/>
      <c r="G506" s="66"/>
      <c r="H506" s="66"/>
      <c r="I506" s="66"/>
      <c r="J506" s="66"/>
      <c r="K506" s="66"/>
      <c r="L506" s="66"/>
      <c r="M506" s="66"/>
      <c r="N506" s="66"/>
    </row>
    <row r="507" spans="1:14" x14ac:dyDescent="0.2">
      <c r="A507" s="84"/>
      <c r="B507" s="84"/>
      <c r="C507" s="60"/>
      <c r="D507" s="66"/>
      <c r="E507" s="66"/>
      <c r="F507" s="66"/>
      <c r="G507" s="66"/>
      <c r="H507" s="66"/>
      <c r="I507" s="66"/>
      <c r="J507" s="66"/>
      <c r="K507" s="66"/>
      <c r="L507" s="66"/>
      <c r="M507" s="66"/>
      <c r="N507" s="66"/>
    </row>
    <row r="508" spans="1:14" x14ac:dyDescent="0.2">
      <c r="A508" s="84"/>
      <c r="B508" s="84"/>
      <c r="C508" s="60"/>
      <c r="D508" s="66"/>
      <c r="E508" s="66"/>
      <c r="F508" s="66"/>
      <c r="G508" s="66"/>
      <c r="H508" s="66"/>
      <c r="I508" s="66"/>
      <c r="J508" s="66"/>
      <c r="K508" s="66"/>
      <c r="L508" s="66"/>
      <c r="M508" s="66"/>
      <c r="N508" s="66"/>
    </row>
    <row r="509" spans="1:14" x14ac:dyDescent="0.2">
      <c r="A509" s="84"/>
      <c r="B509" s="84"/>
      <c r="C509" s="60"/>
      <c r="D509" s="66"/>
      <c r="E509" s="66"/>
      <c r="F509" s="66"/>
      <c r="G509" s="66"/>
      <c r="H509" s="66"/>
      <c r="I509" s="66"/>
      <c r="J509" s="66"/>
      <c r="K509" s="66"/>
      <c r="L509" s="66"/>
      <c r="M509" s="66"/>
      <c r="N509" s="66"/>
    </row>
    <row r="510" spans="1:14" x14ac:dyDescent="0.2">
      <c r="A510" s="84"/>
      <c r="B510" s="84"/>
      <c r="C510" s="60"/>
      <c r="D510" s="66"/>
      <c r="E510" s="66"/>
      <c r="F510" s="66"/>
      <c r="G510" s="66"/>
      <c r="H510" s="66"/>
      <c r="I510" s="66"/>
      <c r="J510" s="66"/>
      <c r="K510" s="66"/>
      <c r="L510" s="66"/>
      <c r="M510" s="66"/>
      <c r="N510" s="66"/>
    </row>
    <row r="511" spans="1:14" x14ac:dyDescent="0.2">
      <c r="A511" s="84"/>
      <c r="B511" s="84"/>
      <c r="C511" s="60"/>
      <c r="D511" s="66"/>
      <c r="E511" s="66"/>
      <c r="F511" s="66"/>
      <c r="G511" s="66"/>
      <c r="H511" s="66"/>
      <c r="I511" s="66"/>
      <c r="J511" s="66"/>
      <c r="K511" s="66"/>
      <c r="L511" s="66"/>
      <c r="M511" s="66"/>
      <c r="N511" s="66"/>
    </row>
    <row r="512" spans="1:14" x14ac:dyDescent="0.2">
      <c r="A512" s="84"/>
      <c r="B512" s="84"/>
      <c r="C512" s="60"/>
      <c r="D512" s="66"/>
      <c r="E512" s="66"/>
      <c r="F512" s="66"/>
      <c r="G512" s="66"/>
      <c r="H512" s="66"/>
      <c r="I512" s="66"/>
      <c r="J512" s="66"/>
      <c r="K512" s="66"/>
      <c r="L512" s="66"/>
      <c r="M512" s="66"/>
      <c r="N512" s="66"/>
    </row>
    <row r="513" spans="1:14" x14ac:dyDescent="0.2">
      <c r="A513" s="84"/>
      <c r="B513" s="84"/>
      <c r="C513" s="60"/>
      <c r="D513" s="66"/>
      <c r="E513" s="66"/>
      <c r="F513" s="66"/>
      <c r="G513" s="66"/>
      <c r="H513" s="66"/>
      <c r="I513" s="66"/>
      <c r="J513" s="66"/>
      <c r="K513" s="66"/>
      <c r="L513" s="66"/>
      <c r="M513" s="66"/>
      <c r="N513" s="66"/>
    </row>
    <row r="514" spans="1:14" x14ac:dyDescent="0.2">
      <c r="A514" s="84"/>
      <c r="B514" s="84"/>
      <c r="C514" s="60"/>
      <c r="D514" s="66"/>
      <c r="E514" s="66"/>
      <c r="F514" s="66"/>
      <c r="G514" s="66"/>
      <c r="H514" s="66"/>
      <c r="I514" s="66"/>
      <c r="J514" s="66"/>
      <c r="K514" s="66"/>
      <c r="L514" s="66"/>
      <c r="M514" s="66"/>
      <c r="N514" s="66"/>
    </row>
    <row r="515" spans="1:14" x14ac:dyDescent="0.2">
      <c r="A515" s="84"/>
      <c r="B515" s="84"/>
      <c r="C515" s="60"/>
      <c r="D515" s="66"/>
      <c r="E515" s="66"/>
      <c r="F515" s="66"/>
      <c r="G515" s="66"/>
      <c r="H515" s="66"/>
      <c r="I515" s="66"/>
      <c r="J515" s="66"/>
      <c r="K515" s="66"/>
      <c r="L515" s="66"/>
      <c r="M515" s="66"/>
      <c r="N515" s="66"/>
    </row>
    <row r="516" spans="1:14" x14ac:dyDescent="0.2">
      <c r="A516" s="84"/>
      <c r="B516" s="84"/>
      <c r="C516" s="60"/>
      <c r="D516" s="66"/>
      <c r="E516" s="66"/>
      <c r="F516" s="66"/>
      <c r="G516" s="66"/>
      <c r="H516" s="66"/>
      <c r="I516" s="66"/>
      <c r="J516" s="66"/>
      <c r="K516" s="66"/>
      <c r="L516" s="66"/>
      <c r="M516" s="66"/>
      <c r="N516" s="66"/>
    </row>
    <row r="517" spans="1:14" x14ac:dyDescent="0.2">
      <c r="A517" s="84"/>
      <c r="B517" s="84"/>
      <c r="C517" s="60"/>
      <c r="D517" s="66"/>
      <c r="E517" s="66"/>
      <c r="F517" s="66"/>
      <c r="G517" s="66"/>
      <c r="H517" s="66"/>
      <c r="I517" s="66"/>
      <c r="J517" s="66"/>
      <c r="K517" s="66"/>
      <c r="L517" s="66"/>
      <c r="M517" s="66"/>
      <c r="N517" s="66"/>
    </row>
    <row r="518" spans="1:14" x14ac:dyDescent="0.2">
      <c r="A518" s="84"/>
      <c r="B518" s="84"/>
      <c r="C518" s="60"/>
      <c r="D518" s="66"/>
      <c r="E518" s="66"/>
      <c r="F518" s="66"/>
      <c r="G518" s="66"/>
      <c r="H518" s="66"/>
      <c r="I518" s="66"/>
      <c r="J518" s="66"/>
      <c r="K518" s="66"/>
      <c r="L518" s="66"/>
      <c r="M518" s="66"/>
      <c r="N518" s="66"/>
    </row>
    <row r="519" spans="1:14" x14ac:dyDescent="0.2">
      <c r="A519" s="84"/>
      <c r="B519" s="84"/>
      <c r="C519" s="60"/>
      <c r="D519" s="66"/>
      <c r="E519" s="66"/>
      <c r="F519" s="66"/>
      <c r="G519" s="66"/>
      <c r="H519" s="66"/>
      <c r="I519" s="66"/>
      <c r="J519" s="66"/>
      <c r="K519" s="66"/>
      <c r="L519" s="66"/>
      <c r="M519" s="66"/>
      <c r="N519" s="66"/>
    </row>
    <row r="520" spans="1:14" x14ac:dyDescent="0.2">
      <c r="A520" s="84"/>
      <c r="B520" s="84"/>
      <c r="C520" s="60"/>
      <c r="D520" s="66"/>
      <c r="E520" s="66"/>
      <c r="F520" s="66"/>
      <c r="G520" s="66"/>
      <c r="H520" s="66"/>
      <c r="I520" s="66"/>
      <c r="J520" s="66"/>
      <c r="K520" s="66"/>
      <c r="L520" s="66"/>
      <c r="M520" s="66"/>
      <c r="N520" s="66"/>
    </row>
    <row r="521" spans="1:14" x14ac:dyDescent="0.2">
      <c r="A521" s="84"/>
      <c r="B521" s="84"/>
      <c r="C521" s="60"/>
      <c r="D521" s="66"/>
      <c r="E521" s="66"/>
      <c r="F521" s="66"/>
      <c r="G521" s="66"/>
      <c r="H521" s="66"/>
      <c r="I521" s="66"/>
      <c r="J521" s="66"/>
      <c r="K521" s="66"/>
      <c r="L521" s="66"/>
      <c r="M521" s="66"/>
      <c r="N521" s="66"/>
    </row>
    <row r="522" spans="1:14" x14ac:dyDescent="0.2">
      <c r="A522" s="84"/>
      <c r="B522" s="84"/>
      <c r="C522" s="60"/>
      <c r="D522" s="66"/>
      <c r="E522" s="66"/>
      <c r="F522" s="66"/>
      <c r="G522" s="66"/>
      <c r="H522" s="66"/>
      <c r="I522" s="66"/>
      <c r="J522" s="66"/>
      <c r="K522" s="66"/>
      <c r="L522" s="66"/>
      <c r="M522" s="66"/>
      <c r="N522" s="66"/>
    </row>
    <row r="523" spans="1:14" x14ac:dyDescent="0.2">
      <c r="A523" s="84"/>
      <c r="B523" s="84"/>
      <c r="C523" s="60"/>
      <c r="D523" s="66"/>
      <c r="E523" s="66"/>
      <c r="F523" s="66"/>
      <c r="G523" s="66"/>
      <c r="H523" s="66"/>
      <c r="I523" s="66"/>
      <c r="J523" s="66"/>
      <c r="K523" s="66"/>
      <c r="L523" s="66"/>
      <c r="M523" s="66"/>
      <c r="N523" s="66"/>
    </row>
    <row r="524" spans="1:14" x14ac:dyDescent="0.2">
      <c r="A524" s="84"/>
      <c r="B524" s="84"/>
      <c r="C524" s="60"/>
      <c r="D524" s="66"/>
      <c r="E524" s="66"/>
      <c r="F524" s="66"/>
      <c r="G524" s="66"/>
      <c r="H524" s="66"/>
      <c r="I524" s="66"/>
      <c r="J524" s="66"/>
      <c r="K524" s="66"/>
      <c r="L524" s="66"/>
      <c r="M524" s="66"/>
      <c r="N524" s="66"/>
    </row>
    <row r="525" spans="1:14" x14ac:dyDescent="0.2">
      <c r="A525" s="84"/>
      <c r="B525" s="84"/>
      <c r="C525" s="60"/>
      <c r="D525" s="66"/>
      <c r="E525" s="66"/>
      <c r="F525" s="66"/>
      <c r="G525" s="66"/>
      <c r="H525" s="66"/>
      <c r="I525" s="66"/>
      <c r="J525" s="66"/>
      <c r="K525" s="66"/>
      <c r="L525" s="66"/>
      <c r="M525" s="66"/>
      <c r="N525" s="66"/>
    </row>
    <row r="526" spans="1:14" x14ac:dyDescent="0.2">
      <c r="A526" s="84"/>
      <c r="B526" s="84"/>
      <c r="C526" s="60"/>
      <c r="D526" s="66"/>
      <c r="E526" s="66"/>
      <c r="F526" s="66"/>
      <c r="G526" s="66"/>
      <c r="H526" s="66"/>
      <c r="I526" s="66"/>
      <c r="J526" s="66"/>
      <c r="K526" s="66"/>
      <c r="L526" s="66"/>
      <c r="M526" s="66"/>
      <c r="N526" s="66"/>
    </row>
    <row r="527" spans="1:14" x14ac:dyDescent="0.2">
      <c r="A527" s="84"/>
      <c r="B527" s="84"/>
      <c r="C527" s="60"/>
      <c r="D527" s="66"/>
      <c r="E527" s="66"/>
      <c r="F527" s="66"/>
      <c r="G527" s="66"/>
      <c r="H527" s="66"/>
      <c r="I527" s="66"/>
      <c r="J527" s="66"/>
      <c r="K527" s="66"/>
      <c r="L527" s="66"/>
      <c r="M527" s="66"/>
      <c r="N527" s="66"/>
    </row>
    <row r="528" spans="1:14" x14ac:dyDescent="0.2">
      <c r="A528" s="84"/>
      <c r="B528" s="84"/>
      <c r="C528" s="60"/>
      <c r="D528" s="66"/>
      <c r="E528" s="66"/>
      <c r="F528" s="66"/>
      <c r="G528" s="66"/>
      <c r="H528" s="66"/>
      <c r="I528" s="66"/>
      <c r="J528" s="66"/>
      <c r="K528" s="66"/>
      <c r="L528" s="66"/>
      <c r="M528" s="66"/>
      <c r="N528" s="66"/>
    </row>
    <row r="529" spans="1:14" x14ac:dyDescent="0.2">
      <c r="A529" s="84"/>
      <c r="B529" s="84"/>
      <c r="C529" s="60"/>
      <c r="D529" s="66"/>
      <c r="E529" s="66"/>
      <c r="F529" s="66"/>
      <c r="G529" s="66"/>
      <c r="H529" s="66"/>
      <c r="I529" s="66"/>
      <c r="J529" s="66"/>
      <c r="K529" s="66"/>
      <c r="L529" s="66"/>
      <c r="M529" s="66"/>
      <c r="N529" s="66"/>
    </row>
    <row r="530" spans="1:14" x14ac:dyDescent="0.2">
      <c r="A530" s="84"/>
      <c r="B530" s="84"/>
      <c r="C530" s="60"/>
      <c r="D530" s="66"/>
      <c r="E530" s="66"/>
      <c r="F530" s="66"/>
      <c r="G530" s="66"/>
      <c r="H530" s="66"/>
      <c r="I530" s="66"/>
      <c r="J530" s="66"/>
      <c r="K530" s="66"/>
      <c r="L530" s="66"/>
      <c r="M530" s="66"/>
      <c r="N530" s="66"/>
    </row>
    <row r="531" spans="1:14" x14ac:dyDescent="0.2">
      <c r="A531" s="84"/>
      <c r="B531" s="84"/>
      <c r="C531" s="60"/>
      <c r="D531" s="66"/>
      <c r="E531" s="66"/>
      <c r="F531" s="66"/>
      <c r="G531" s="66"/>
      <c r="H531" s="66"/>
      <c r="I531" s="66"/>
      <c r="J531" s="66"/>
      <c r="K531" s="66"/>
      <c r="L531" s="66"/>
      <c r="M531" s="66"/>
      <c r="N531" s="66"/>
    </row>
    <row r="532" spans="1:14" x14ac:dyDescent="0.2">
      <c r="A532" s="84"/>
      <c r="B532" s="84"/>
      <c r="C532" s="60"/>
      <c r="D532" s="66"/>
      <c r="E532" s="66"/>
      <c r="F532" s="66"/>
      <c r="G532" s="66"/>
      <c r="H532" s="66"/>
      <c r="I532" s="66"/>
      <c r="J532" s="66"/>
      <c r="K532" s="66"/>
      <c r="L532" s="66"/>
      <c r="M532" s="66"/>
      <c r="N532" s="66"/>
    </row>
    <row r="533" spans="1:14" x14ac:dyDescent="0.2">
      <c r="A533" s="84"/>
      <c r="B533" s="84"/>
      <c r="C533" s="60"/>
      <c r="D533" s="66"/>
      <c r="E533" s="66"/>
      <c r="F533" s="66"/>
      <c r="G533" s="66"/>
      <c r="H533" s="66"/>
      <c r="I533" s="66"/>
      <c r="J533" s="66"/>
      <c r="K533" s="66"/>
      <c r="L533" s="66"/>
      <c r="M533" s="66"/>
      <c r="N533" s="66"/>
    </row>
    <row r="534" spans="1:14" x14ac:dyDescent="0.2">
      <c r="A534" s="84"/>
      <c r="B534" s="84"/>
      <c r="C534" s="60"/>
      <c r="D534" s="66"/>
      <c r="E534" s="66"/>
      <c r="F534" s="66"/>
      <c r="G534" s="66"/>
      <c r="H534" s="66"/>
      <c r="I534" s="66"/>
      <c r="J534" s="66"/>
      <c r="K534" s="66"/>
      <c r="L534" s="66"/>
      <c r="M534" s="66"/>
      <c r="N534" s="66"/>
    </row>
    <row r="535" spans="1:14" x14ac:dyDescent="0.2">
      <c r="A535" s="84"/>
      <c r="B535" s="84"/>
      <c r="C535" s="60"/>
      <c r="D535" s="66"/>
      <c r="E535" s="66"/>
      <c r="F535" s="66"/>
      <c r="G535" s="66"/>
      <c r="H535" s="66"/>
      <c r="I535" s="66"/>
      <c r="J535" s="66"/>
      <c r="K535" s="66"/>
      <c r="L535" s="66"/>
      <c r="M535" s="66"/>
      <c r="N535" s="66"/>
    </row>
    <row r="536" spans="1:14" x14ac:dyDescent="0.2">
      <c r="A536" s="84"/>
      <c r="B536" s="84"/>
      <c r="C536" s="60"/>
      <c r="D536" s="66"/>
      <c r="E536" s="66"/>
      <c r="F536" s="66"/>
      <c r="G536" s="66"/>
      <c r="H536" s="66"/>
      <c r="I536" s="66"/>
      <c r="J536" s="66"/>
      <c r="K536" s="66"/>
      <c r="L536" s="66"/>
      <c r="M536" s="66"/>
      <c r="N536" s="66"/>
    </row>
    <row r="537" spans="1:14" x14ac:dyDescent="0.2">
      <c r="A537" s="84"/>
      <c r="B537" s="84"/>
      <c r="C537" s="60"/>
      <c r="D537" s="66"/>
      <c r="E537" s="66"/>
      <c r="F537" s="66"/>
      <c r="G537" s="66"/>
      <c r="H537" s="66"/>
      <c r="I537" s="66"/>
      <c r="J537" s="66"/>
      <c r="K537" s="66"/>
      <c r="L537" s="66"/>
      <c r="M537" s="66"/>
      <c r="N537" s="66"/>
    </row>
    <row r="538" spans="1:14" x14ac:dyDescent="0.2">
      <c r="A538" s="84"/>
      <c r="B538" s="84"/>
      <c r="C538" s="60"/>
      <c r="D538" s="66"/>
      <c r="E538" s="66"/>
      <c r="F538" s="66"/>
      <c r="G538" s="66"/>
      <c r="H538" s="66"/>
      <c r="I538" s="66"/>
      <c r="J538" s="66"/>
      <c r="K538" s="66"/>
      <c r="L538" s="66"/>
      <c r="M538" s="66"/>
      <c r="N538" s="66"/>
    </row>
    <row r="539" spans="1:14" x14ac:dyDescent="0.2">
      <c r="A539" s="84"/>
      <c r="B539" s="84"/>
      <c r="C539" s="60"/>
      <c r="D539" s="66"/>
      <c r="E539" s="66"/>
      <c r="F539" s="66"/>
      <c r="G539" s="66"/>
      <c r="H539" s="66"/>
      <c r="I539" s="66"/>
      <c r="J539" s="66"/>
      <c r="K539" s="66"/>
      <c r="L539" s="66"/>
      <c r="M539" s="66"/>
      <c r="N539" s="66"/>
    </row>
    <row r="540" spans="1:14" x14ac:dyDescent="0.2">
      <c r="A540" s="84"/>
      <c r="B540" s="84"/>
      <c r="C540" s="60"/>
      <c r="D540" s="66"/>
      <c r="E540" s="66"/>
      <c r="F540" s="66"/>
      <c r="G540" s="66"/>
      <c r="H540" s="66"/>
      <c r="I540" s="66"/>
      <c r="J540" s="66"/>
      <c r="K540" s="66"/>
      <c r="L540" s="66"/>
      <c r="M540" s="66"/>
      <c r="N540" s="66"/>
    </row>
    <row r="541" spans="1:14" x14ac:dyDescent="0.2">
      <c r="A541" s="84"/>
      <c r="B541" s="84"/>
      <c r="C541" s="60"/>
      <c r="D541" s="66"/>
      <c r="E541" s="66"/>
      <c r="F541" s="66"/>
      <c r="G541" s="66"/>
      <c r="H541" s="66"/>
      <c r="I541" s="66"/>
      <c r="J541" s="66"/>
      <c r="K541" s="66"/>
      <c r="L541" s="66"/>
      <c r="M541" s="66"/>
      <c r="N541" s="66"/>
    </row>
    <row r="542" spans="1:14" x14ac:dyDescent="0.2">
      <c r="A542" s="84"/>
      <c r="B542" s="84"/>
      <c r="C542" s="60"/>
      <c r="D542" s="66"/>
      <c r="E542" s="66"/>
      <c r="F542" s="66"/>
      <c r="G542" s="66"/>
      <c r="H542" s="66"/>
      <c r="I542" s="66"/>
      <c r="J542" s="66"/>
      <c r="K542" s="66"/>
      <c r="L542" s="66"/>
      <c r="M542" s="66"/>
      <c r="N542" s="66"/>
    </row>
    <row r="543" spans="1:14" x14ac:dyDescent="0.2">
      <c r="A543" s="84"/>
      <c r="B543" s="84"/>
      <c r="C543" s="60"/>
      <c r="D543" s="66"/>
      <c r="E543" s="66"/>
      <c r="F543" s="66"/>
      <c r="G543" s="66"/>
      <c r="H543" s="66"/>
      <c r="I543" s="66"/>
      <c r="J543" s="66"/>
      <c r="K543" s="66"/>
      <c r="L543" s="66"/>
      <c r="M543" s="66"/>
      <c r="N543" s="66"/>
    </row>
    <row r="544" spans="1:14" x14ac:dyDescent="0.2">
      <c r="A544" s="84"/>
      <c r="B544" s="84"/>
      <c r="C544" s="60"/>
      <c r="D544" s="66"/>
      <c r="E544" s="66"/>
      <c r="F544" s="66"/>
      <c r="G544" s="66"/>
      <c r="H544" s="66"/>
      <c r="I544" s="66"/>
      <c r="J544" s="66"/>
      <c r="K544" s="66"/>
      <c r="L544" s="66"/>
      <c r="M544" s="66"/>
      <c r="N544" s="66"/>
    </row>
    <row r="545" spans="1:14" x14ac:dyDescent="0.2">
      <c r="A545" s="84"/>
      <c r="B545" s="84"/>
      <c r="C545" s="60"/>
      <c r="D545" s="66"/>
      <c r="E545" s="66"/>
      <c r="F545" s="66"/>
      <c r="G545" s="66"/>
      <c r="H545" s="66"/>
      <c r="I545" s="66"/>
      <c r="J545" s="66"/>
      <c r="K545" s="66"/>
      <c r="L545" s="66"/>
      <c r="M545" s="66"/>
      <c r="N545" s="66"/>
    </row>
    <row r="546" spans="1:14" x14ac:dyDescent="0.2">
      <c r="A546" s="84"/>
      <c r="B546" s="84"/>
      <c r="C546" s="60"/>
      <c r="D546" s="66"/>
      <c r="E546" s="66"/>
      <c r="F546" s="66"/>
      <c r="G546" s="66"/>
      <c r="H546" s="66"/>
      <c r="I546" s="66"/>
      <c r="J546" s="66"/>
      <c r="K546" s="66"/>
      <c r="L546" s="66"/>
      <c r="M546" s="66"/>
      <c r="N546" s="66"/>
    </row>
    <row r="547" spans="1:14" x14ac:dyDescent="0.2">
      <c r="A547" s="84"/>
      <c r="B547" s="84"/>
      <c r="C547" s="60"/>
      <c r="D547" s="66"/>
      <c r="E547" s="66"/>
      <c r="F547" s="66"/>
      <c r="G547" s="66"/>
      <c r="H547" s="66"/>
      <c r="I547" s="66"/>
      <c r="J547" s="66"/>
      <c r="K547" s="66"/>
      <c r="L547" s="66"/>
      <c r="M547" s="66"/>
      <c r="N547" s="66"/>
    </row>
    <row r="548" spans="1:14" x14ac:dyDescent="0.2">
      <c r="A548" s="84"/>
      <c r="B548" s="84"/>
      <c r="C548" s="60"/>
      <c r="D548" s="66"/>
      <c r="E548" s="66"/>
      <c r="F548" s="66"/>
      <c r="G548" s="66"/>
      <c r="H548" s="66"/>
      <c r="I548" s="66"/>
      <c r="J548" s="66"/>
      <c r="K548" s="66"/>
      <c r="L548" s="66"/>
      <c r="M548" s="66"/>
      <c r="N548" s="66"/>
    </row>
    <row r="549" spans="1:14" x14ac:dyDescent="0.2">
      <c r="A549" s="84"/>
      <c r="B549" s="84"/>
      <c r="C549" s="60"/>
      <c r="D549" s="66"/>
      <c r="E549" s="66"/>
      <c r="F549" s="66"/>
      <c r="G549" s="66"/>
      <c r="H549" s="66"/>
      <c r="I549" s="66"/>
      <c r="J549" s="66"/>
      <c r="K549" s="66"/>
      <c r="L549" s="66"/>
      <c r="M549" s="66"/>
      <c r="N549" s="66"/>
    </row>
    <row r="550" spans="1:14" x14ac:dyDescent="0.2">
      <c r="A550" s="84"/>
      <c r="B550" s="84"/>
      <c r="C550" s="60"/>
      <c r="D550" s="66"/>
      <c r="E550" s="66"/>
      <c r="F550" s="66"/>
      <c r="G550" s="66"/>
      <c r="H550" s="66"/>
      <c r="I550" s="66"/>
      <c r="J550" s="66"/>
      <c r="K550" s="66"/>
      <c r="L550" s="66"/>
      <c r="M550" s="66"/>
      <c r="N550" s="66"/>
    </row>
    <row r="551" spans="1:14" x14ac:dyDescent="0.2">
      <c r="A551" s="84"/>
      <c r="B551" s="84"/>
      <c r="C551" s="60"/>
      <c r="D551" s="66"/>
      <c r="E551" s="66"/>
      <c r="F551" s="66"/>
      <c r="G551" s="66"/>
      <c r="H551" s="66"/>
      <c r="I551" s="66"/>
      <c r="J551" s="66"/>
      <c r="K551" s="66"/>
      <c r="L551" s="66"/>
      <c r="M551" s="66"/>
      <c r="N551" s="66"/>
    </row>
    <row r="552" spans="1:14" x14ac:dyDescent="0.2">
      <c r="A552" s="84"/>
      <c r="B552" s="84"/>
      <c r="C552" s="60"/>
      <c r="D552" s="66"/>
      <c r="E552" s="66"/>
      <c r="F552" s="66"/>
      <c r="G552" s="66"/>
      <c r="H552" s="66"/>
      <c r="I552" s="66"/>
      <c r="J552" s="66"/>
      <c r="K552" s="66"/>
      <c r="L552" s="66"/>
      <c r="M552" s="66"/>
      <c r="N552" s="66"/>
    </row>
    <row r="553" spans="1:14" x14ac:dyDescent="0.2">
      <c r="A553" s="84"/>
      <c r="B553" s="84"/>
      <c r="C553" s="60"/>
      <c r="D553" s="66"/>
      <c r="E553" s="66"/>
      <c r="F553" s="66"/>
      <c r="G553" s="66"/>
      <c r="H553" s="66"/>
      <c r="I553" s="66"/>
      <c r="J553" s="66"/>
      <c r="K553" s="66"/>
      <c r="L553" s="66"/>
      <c r="M553" s="66"/>
      <c r="N553" s="66"/>
    </row>
    <row r="554" spans="1:14" x14ac:dyDescent="0.2">
      <c r="A554" s="84"/>
      <c r="B554" s="84"/>
      <c r="C554" s="60"/>
      <c r="D554" s="66"/>
      <c r="E554" s="66"/>
      <c r="F554" s="66"/>
      <c r="G554" s="66"/>
      <c r="H554" s="66"/>
      <c r="I554" s="66"/>
      <c r="J554" s="66"/>
      <c r="K554" s="66"/>
      <c r="L554" s="66"/>
      <c r="M554" s="66"/>
      <c r="N554" s="66"/>
    </row>
    <row r="555" spans="1:14" x14ac:dyDescent="0.2">
      <c r="A555" s="84"/>
      <c r="B555" s="84"/>
      <c r="C555" s="60"/>
      <c r="D555" s="66"/>
      <c r="E555" s="66"/>
      <c r="F555" s="66"/>
      <c r="G555" s="66"/>
      <c r="H555" s="66"/>
      <c r="I555" s="66"/>
      <c r="J555" s="66"/>
      <c r="K555" s="66"/>
      <c r="L555" s="66"/>
      <c r="M555" s="66"/>
      <c r="N555" s="66"/>
    </row>
    <row r="556" spans="1:14" x14ac:dyDescent="0.2">
      <c r="A556" s="84"/>
      <c r="B556" s="84"/>
      <c r="C556" s="60"/>
      <c r="D556" s="66"/>
      <c r="E556" s="66"/>
      <c r="F556" s="66"/>
      <c r="G556" s="66"/>
      <c r="H556" s="66"/>
      <c r="I556" s="66"/>
      <c r="J556" s="66"/>
      <c r="K556" s="66"/>
      <c r="L556" s="66"/>
      <c r="M556" s="66"/>
      <c r="N556" s="66"/>
    </row>
    <row r="557" spans="1:14" x14ac:dyDescent="0.2">
      <c r="A557" s="84"/>
      <c r="B557" s="84"/>
      <c r="C557" s="60"/>
      <c r="D557" s="66"/>
      <c r="E557" s="66"/>
      <c r="F557" s="66"/>
      <c r="G557" s="66"/>
      <c r="H557" s="66"/>
      <c r="I557" s="66"/>
      <c r="J557" s="66"/>
      <c r="K557" s="66"/>
      <c r="L557" s="66"/>
      <c r="M557" s="66"/>
      <c r="N557" s="66"/>
    </row>
    <row r="558" spans="1:14" x14ac:dyDescent="0.2">
      <c r="A558" s="84"/>
      <c r="B558" s="84"/>
      <c r="C558" s="60"/>
      <c r="D558" s="66"/>
      <c r="E558" s="66"/>
      <c r="F558" s="66"/>
      <c r="G558" s="66"/>
      <c r="H558" s="66"/>
      <c r="I558" s="66"/>
      <c r="J558" s="66"/>
      <c r="K558" s="66"/>
      <c r="L558" s="66"/>
      <c r="M558" s="66"/>
      <c r="N558" s="66"/>
    </row>
    <row r="559" spans="1:14" x14ac:dyDescent="0.2">
      <c r="A559" s="84"/>
      <c r="B559" s="84"/>
      <c r="C559" s="60"/>
      <c r="D559" s="66"/>
      <c r="E559" s="66"/>
      <c r="F559" s="66"/>
      <c r="G559" s="66"/>
      <c r="H559" s="66"/>
      <c r="I559" s="66"/>
      <c r="J559" s="66"/>
      <c r="K559" s="66"/>
      <c r="L559" s="66"/>
      <c r="M559" s="66"/>
      <c r="N559" s="66"/>
    </row>
    <row r="560" spans="1:14" x14ac:dyDescent="0.2">
      <c r="A560" s="84"/>
      <c r="B560" s="84"/>
      <c r="C560" s="60"/>
      <c r="D560" s="66"/>
      <c r="E560" s="66"/>
      <c r="F560" s="66"/>
      <c r="G560" s="66"/>
      <c r="H560" s="66"/>
      <c r="I560" s="66"/>
      <c r="J560" s="66"/>
      <c r="K560" s="66"/>
      <c r="L560" s="66"/>
      <c r="M560" s="66"/>
      <c r="N560" s="66"/>
    </row>
    <row r="561" spans="1:14" x14ac:dyDescent="0.2">
      <c r="A561" s="84"/>
      <c r="B561" s="84"/>
      <c r="C561" s="60"/>
      <c r="D561" s="66"/>
      <c r="E561" s="66"/>
      <c r="F561" s="66"/>
      <c r="G561" s="66"/>
      <c r="H561" s="66"/>
      <c r="I561" s="66"/>
      <c r="J561" s="66"/>
      <c r="K561" s="66"/>
      <c r="L561" s="66"/>
      <c r="M561" s="66"/>
      <c r="N561" s="66"/>
    </row>
    <row r="562" spans="1:14" x14ac:dyDescent="0.2">
      <c r="A562" s="84"/>
      <c r="B562" s="84"/>
      <c r="C562" s="60"/>
      <c r="D562" s="66"/>
      <c r="E562" s="66"/>
      <c r="F562" s="66"/>
      <c r="G562" s="66"/>
      <c r="H562" s="66"/>
      <c r="I562" s="66"/>
      <c r="J562" s="66"/>
      <c r="K562" s="66"/>
      <c r="L562" s="66"/>
      <c r="M562" s="66"/>
      <c r="N562" s="66"/>
    </row>
    <row r="563" spans="1:14" x14ac:dyDescent="0.2">
      <c r="A563" s="84"/>
      <c r="B563" s="84"/>
      <c r="C563" s="60"/>
      <c r="D563" s="66"/>
      <c r="E563" s="66"/>
      <c r="F563" s="66"/>
      <c r="G563" s="66"/>
      <c r="H563" s="66"/>
      <c r="I563" s="66"/>
      <c r="J563" s="66"/>
      <c r="K563" s="66"/>
      <c r="L563" s="66"/>
      <c r="M563" s="66"/>
      <c r="N563" s="66"/>
    </row>
    <row r="564" spans="1:14" x14ac:dyDescent="0.2">
      <c r="A564" s="84"/>
      <c r="B564" s="84"/>
      <c r="C564" s="60"/>
      <c r="D564" s="66"/>
      <c r="E564" s="66"/>
      <c r="F564" s="66"/>
      <c r="G564" s="66"/>
      <c r="H564" s="66"/>
      <c r="I564" s="66"/>
      <c r="J564" s="66"/>
      <c r="K564" s="66"/>
      <c r="L564" s="66"/>
      <c r="M564" s="66"/>
      <c r="N564" s="66"/>
    </row>
    <row r="565" spans="1:14" x14ac:dyDescent="0.2">
      <c r="A565" s="84"/>
      <c r="B565" s="84"/>
      <c r="C565" s="60"/>
      <c r="D565" s="66"/>
      <c r="E565" s="66"/>
      <c r="F565" s="66"/>
      <c r="G565" s="66"/>
      <c r="H565" s="66"/>
      <c r="I565" s="66"/>
      <c r="J565" s="66"/>
      <c r="K565" s="66"/>
      <c r="L565" s="66"/>
      <c r="M565" s="66"/>
      <c r="N565" s="66"/>
    </row>
    <row r="566" spans="1:14" x14ac:dyDescent="0.2">
      <c r="A566" s="84"/>
      <c r="B566" s="84"/>
      <c r="C566" s="60"/>
      <c r="D566" s="66"/>
      <c r="E566" s="66"/>
      <c r="F566" s="66"/>
      <c r="G566" s="66"/>
      <c r="H566" s="66"/>
      <c r="I566" s="66"/>
      <c r="J566" s="66"/>
      <c r="K566" s="66"/>
      <c r="L566" s="66"/>
      <c r="M566" s="66"/>
      <c r="N566" s="66"/>
    </row>
    <row r="567" spans="1:14" x14ac:dyDescent="0.2">
      <c r="A567" s="84"/>
      <c r="B567" s="84"/>
      <c r="C567" s="60"/>
      <c r="D567" s="66"/>
      <c r="E567" s="66"/>
      <c r="F567" s="66"/>
      <c r="G567" s="66"/>
      <c r="H567" s="66"/>
      <c r="I567" s="66"/>
      <c r="J567" s="66"/>
      <c r="K567" s="66"/>
      <c r="L567" s="66"/>
      <c r="M567" s="66"/>
      <c r="N567" s="66"/>
    </row>
    <row r="568" spans="1:14" x14ac:dyDescent="0.2">
      <c r="A568" s="84"/>
      <c r="B568" s="84"/>
      <c r="C568" s="60"/>
      <c r="D568" s="66"/>
      <c r="E568" s="66"/>
      <c r="F568" s="66"/>
      <c r="G568" s="66"/>
      <c r="H568" s="66"/>
      <c r="I568" s="66"/>
      <c r="J568" s="66"/>
      <c r="K568" s="66"/>
      <c r="L568" s="66"/>
      <c r="M568" s="66"/>
      <c r="N568" s="66"/>
    </row>
    <row r="569" spans="1:14" x14ac:dyDescent="0.2">
      <c r="A569" s="84"/>
      <c r="B569" s="84"/>
      <c r="C569" s="60"/>
      <c r="D569" s="66"/>
      <c r="E569" s="66"/>
      <c r="F569" s="66"/>
      <c r="G569" s="66"/>
      <c r="H569" s="66"/>
      <c r="I569" s="66"/>
      <c r="J569" s="66"/>
      <c r="K569" s="66"/>
      <c r="L569" s="66"/>
      <c r="M569" s="66"/>
      <c r="N569" s="66"/>
    </row>
    <row r="570" spans="1:14" x14ac:dyDescent="0.2">
      <c r="A570" s="84"/>
      <c r="B570" s="84"/>
      <c r="C570" s="60"/>
      <c r="D570" s="66"/>
      <c r="E570" s="66"/>
      <c r="F570" s="66"/>
      <c r="G570" s="66"/>
      <c r="H570" s="66"/>
      <c r="I570" s="66"/>
      <c r="J570" s="66"/>
      <c r="K570" s="66"/>
      <c r="L570" s="66"/>
      <c r="M570" s="66"/>
      <c r="N570" s="66"/>
    </row>
    <row r="571" spans="1:14" x14ac:dyDescent="0.2">
      <c r="A571" s="84"/>
      <c r="B571" s="84"/>
      <c r="C571" s="60"/>
      <c r="D571" s="66"/>
      <c r="E571" s="66"/>
      <c r="F571" s="66"/>
      <c r="G571" s="66"/>
      <c r="H571" s="66"/>
      <c r="I571" s="66"/>
      <c r="J571" s="66"/>
      <c r="K571" s="66"/>
      <c r="L571" s="66"/>
      <c r="M571" s="66"/>
      <c r="N571" s="66"/>
    </row>
    <row r="572" spans="1:14" x14ac:dyDescent="0.2">
      <c r="A572" s="84"/>
      <c r="B572" s="84"/>
      <c r="C572" s="60"/>
      <c r="D572" s="66"/>
      <c r="E572" s="66"/>
      <c r="F572" s="66"/>
      <c r="G572" s="66"/>
      <c r="H572" s="66"/>
      <c r="I572" s="66"/>
      <c r="J572" s="66"/>
      <c r="K572" s="66"/>
      <c r="L572" s="66"/>
      <c r="M572" s="66"/>
      <c r="N572" s="66"/>
    </row>
    <row r="573" spans="1:14" x14ac:dyDescent="0.2">
      <c r="A573" s="84"/>
      <c r="B573" s="84"/>
      <c r="C573" s="60"/>
      <c r="D573" s="66"/>
      <c r="E573" s="66"/>
      <c r="F573" s="66"/>
      <c r="G573" s="66"/>
      <c r="H573" s="66"/>
      <c r="I573" s="66"/>
      <c r="J573" s="66"/>
      <c r="K573" s="66"/>
      <c r="L573" s="66"/>
      <c r="M573" s="66"/>
      <c r="N573" s="66"/>
    </row>
    <row r="574" spans="1:14" x14ac:dyDescent="0.2">
      <c r="A574" s="84"/>
      <c r="B574" s="84"/>
      <c r="C574" s="60"/>
      <c r="D574" s="66"/>
      <c r="E574" s="66"/>
      <c r="F574" s="66"/>
      <c r="G574" s="66"/>
      <c r="H574" s="66"/>
      <c r="I574" s="66"/>
      <c r="J574" s="66"/>
      <c r="K574" s="66"/>
      <c r="L574" s="66"/>
      <c r="M574" s="66"/>
      <c r="N574" s="66"/>
    </row>
    <row r="575" spans="1:14" x14ac:dyDescent="0.2">
      <c r="A575" s="84"/>
      <c r="B575" s="84"/>
      <c r="C575" s="60"/>
      <c r="D575" s="66"/>
      <c r="E575" s="66"/>
      <c r="F575" s="66"/>
      <c r="G575" s="66"/>
      <c r="H575" s="66"/>
      <c r="I575" s="66"/>
      <c r="J575" s="66"/>
      <c r="K575" s="66"/>
      <c r="L575" s="66"/>
      <c r="M575" s="66"/>
      <c r="N575" s="66"/>
    </row>
    <row r="576" spans="1:14" x14ac:dyDescent="0.2">
      <c r="A576" s="84"/>
      <c r="B576" s="84"/>
      <c r="C576" s="60"/>
      <c r="D576" s="66"/>
      <c r="E576" s="66"/>
      <c r="F576" s="66"/>
      <c r="G576" s="66"/>
      <c r="H576" s="66"/>
      <c r="I576" s="66"/>
      <c r="J576" s="66"/>
      <c r="K576" s="66"/>
      <c r="L576" s="66"/>
      <c r="M576" s="66"/>
      <c r="N576" s="66"/>
    </row>
    <row r="577" spans="1:14" x14ac:dyDescent="0.2">
      <c r="A577" s="84"/>
      <c r="B577" s="84"/>
      <c r="C577" s="60"/>
      <c r="D577" s="66"/>
      <c r="E577" s="66"/>
      <c r="F577" s="66"/>
      <c r="G577" s="66"/>
      <c r="H577" s="66"/>
      <c r="I577" s="66"/>
      <c r="J577" s="66"/>
      <c r="K577" s="66"/>
      <c r="L577" s="66"/>
      <c r="M577" s="66"/>
      <c r="N577" s="66"/>
    </row>
    <row r="578" spans="1:14" x14ac:dyDescent="0.2">
      <c r="A578" s="84"/>
      <c r="B578" s="84"/>
      <c r="C578" s="60"/>
      <c r="D578" s="66"/>
      <c r="E578" s="66"/>
      <c r="F578" s="66"/>
      <c r="G578" s="66"/>
      <c r="H578" s="66"/>
      <c r="I578" s="66"/>
      <c r="J578" s="66"/>
      <c r="K578" s="66"/>
      <c r="L578" s="66"/>
      <c r="M578" s="66"/>
      <c r="N578" s="66"/>
    </row>
    <row r="579" spans="1:14" x14ac:dyDescent="0.2">
      <c r="A579" s="84"/>
      <c r="B579" s="84"/>
      <c r="C579" s="60"/>
      <c r="D579" s="66"/>
      <c r="E579" s="66"/>
      <c r="F579" s="66"/>
      <c r="G579" s="66"/>
      <c r="H579" s="66"/>
      <c r="I579" s="66"/>
      <c r="J579" s="66"/>
      <c r="K579" s="66"/>
      <c r="L579" s="66"/>
      <c r="M579" s="66"/>
      <c r="N579" s="66"/>
    </row>
    <row r="580" spans="1:14" x14ac:dyDescent="0.2">
      <c r="A580" s="84"/>
      <c r="B580" s="84"/>
      <c r="C580" s="60"/>
      <c r="D580" s="66"/>
      <c r="E580" s="66"/>
      <c r="F580" s="66"/>
      <c r="G580" s="66"/>
      <c r="H580" s="66"/>
      <c r="I580" s="66"/>
      <c r="J580" s="66"/>
      <c r="K580" s="66"/>
      <c r="L580" s="66"/>
      <c r="M580" s="66"/>
      <c r="N580" s="66"/>
    </row>
    <row r="581" spans="1:14" x14ac:dyDescent="0.2">
      <c r="A581" s="84"/>
      <c r="B581" s="84"/>
      <c r="C581" s="60"/>
      <c r="D581" s="66"/>
      <c r="E581" s="66"/>
      <c r="F581" s="66"/>
      <c r="G581" s="66"/>
      <c r="H581" s="66"/>
      <c r="I581" s="66"/>
      <c r="J581" s="66"/>
      <c r="K581" s="66"/>
      <c r="L581" s="66"/>
      <c r="M581" s="66"/>
      <c r="N581" s="66"/>
    </row>
    <row r="582" spans="1:14" x14ac:dyDescent="0.2">
      <c r="A582" s="84"/>
      <c r="B582" s="84"/>
      <c r="C582" s="60"/>
      <c r="D582" s="66"/>
      <c r="E582" s="66"/>
      <c r="F582" s="66"/>
      <c r="G582" s="66"/>
      <c r="H582" s="66"/>
      <c r="I582" s="66"/>
      <c r="J582" s="66"/>
      <c r="K582" s="66"/>
      <c r="L582" s="66"/>
      <c r="M582" s="66"/>
      <c r="N582" s="66"/>
    </row>
    <row r="583" spans="1:14" x14ac:dyDescent="0.2">
      <c r="A583" s="84"/>
      <c r="B583" s="84"/>
      <c r="C583" s="60"/>
      <c r="D583" s="66"/>
      <c r="E583" s="66"/>
      <c r="F583" s="66"/>
      <c r="G583" s="66"/>
      <c r="H583" s="66"/>
      <c r="I583" s="66"/>
      <c r="J583" s="66"/>
      <c r="K583" s="66"/>
      <c r="L583" s="66"/>
      <c r="M583" s="66"/>
      <c r="N583" s="66"/>
    </row>
    <row r="584" spans="1:14" x14ac:dyDescent="0.2">
      <c r="A584" s="84"/>
      <c r="B584" s="84"/>
      <c r="C584" s="60"/>
      <c r="D584" s="66"/>
      <c r="E584" s="66"/>
      <c r="F584" s="66"/>
      <c r="G584" s="66"/>
      <c r="H584" s="66"/>
      <c r="I584" s="66"/>
      <c r="J584" s="66"/>
      <c r="K584" s="66"/>
      <c r="L584" s="66"/>
      <c r="M584" s="66"/>
      <c r="N584" s="66"/>
    </row>
    <row r="585" spans="1:14" x14ac:dyDescent="0.2">
      <c r="A585" s="84"/>
      <c r="B585" s="84"/>
      <c r="C585" s="60"/>
      <c r="D585" s="66"/>
      <c r="E585" s="66"/>
      <c r="F585" s="66"/>
      <c r="G585" s="66"/>
      <c r="H585" s="66"/>
      <c r="I585" s="66"/>
      <c r="J585" s="66"/>
      <c r="K585" s="66"/>
      <c r="L585" s="66"/>
      <c r="M585" s="66"/>
      <c r="N585" s="66"/>
    </row>
    <row r="586" spans="1:14" x14ac:dyDescent="0.2">
      <c r="A586" s="84"/>
      <c r="B586" s="84"/>
      <c r="C586" s="60"/>
      <c r="D586" s="66"/>
      <c r="E586" s="66"/>
      <c r="F586" s="66"/>
      <c r="G586" s="66"/>
      <c r="H586" s="66"/>
      <c r="I586" s="66"/>
      <c r="J586" s="66"/>
      <c r="K586" s="66"/>
      <c r="L586" s="66"/>
      <c r="M586" s="66"/>
      <c r="N586" s="66"/>
    </row>
    <row r="587" spans="1:14" x14ac:dyDescent="0.2">
      <c r="A587" s="84"/>
      <c r="B587" s="84"/>
      <c r="C587" s="60"/>
      <c r="D587" s="66"/>
      <c r="E587" s="66"/>
      <c r="F587" s="66"/>
      <c r="G587" s="66"/>
      <c r="H587" s="66"/>
      <c r="I587" s="66"/>
      <c r="J587" s="66"/>
      <c r="K587" s="66"/>
      <c r="L587" s="66"/>
      <c r="M587" s="66"/>
      <c r="N587" s="66"/>
    </row>
    <row r="588" spans="1:14" x14ac:dyDescent="0.2">
      <c r="A588" s="84"/>
      <c r="B588" s="84"/>
      <c r="C588" s="60"/>
      <c r="D588" s="66"/>
      <c r="E588" s="66"/>
      <c r="F588" s="66"/>
      <c r="G588" s="66"/>
      <c r="H588" s="66"/>
      <c r="I588" s="66"/>
      <c r="J588" s="66"/>
      <c r="K588" s="66"/>
      <c r="L588" s="66"/>
      <c r="M588" s="66"/>
      <c r="N588" s="66"/>
    </row>
    <row r="589" spans="1:14" x14ac:dyDescent="0.2">
      <c r="A589" s="84"/>
      <c r="B589" s="84"/>
      <c r="C589" s="60"/>
      <c r="D589" s="66"/>
      <c r="E589" s="66"/>
      <c r="F589" s="66"/>
      <c r="G589" s="66"/>
      <c r="H589" s="66"/>
      <c r="I589" s="66"/>
      <c r="J589" s="66"/>
      <c r="K589" s="66"/>
      <c r="L589" s="66"/>
      <c r="M589" s="66"/>
      <c r="N589" s="66"/>
    </row>
    <row r="590" spans="1:14" x14ac:dyDescent="0.2">
      <c r="A590" s="84"/>
      <c r="B590" s="84"/>
      <c r="C590" s="60"/>
      <c r="D590" s="66"/>
      <c r="E590" s="66"/>
      <c r="F590" s="66"/>
      <c r="G590" s="66"/>
      <c r="H590" s="66"/>
      <c r="I590" s="66"/>
      <c r="J590" s="66"/>
      <c r="K590" s="66"/>
      <c r="L590" s="66"/>
      <c r="M590" s="66"/>
      <c r="N590" s="66"/>
    </row>
    <row r="591" spans="1:14" x14ac:dyDescent="0.2">
      <c r="A591" s="84"/>
      <c r="B591" s="84"/>
      <c r="C591" s="60"/>
      <c r="D591" s="66"/>
      <c r="E591" s="66"/>
      <c r="F591" s="66"/>
      <c r="G591" s="66"/>
      <c r="H591" s="66"/>
      <c r="I591" s="66"/>
      <c r="J591" s="66"/>
      <c r="K591" s="66"/>
      <c r="L591" s="66"/>
      <c r="M591" s="66"/>
      <c r="N591" s="66"/>
    </row>
    <row r="592" spans="1:14" x14ac:dyDescent="0.2">
      <c r="A592" s="84"/>
      <c r="B592" s="84"/>
      <c r="C592" s="60"/>
      <c r="D592" s="66"/>
      <c r="E592" s="66"/>
      <c r="F592" s="66"/>
      <c r="G592" s="66"/>
      <c r="H592" s="66"/>
      <c r="I592" s="66"/>
      <c r="J592" s="66"/>
      <c r="K592" s="66"/>
      <c r="L592" s="66"/>
      <c r="M592" s="66"/>
      <c r="N592" s="66"/>
    </row>
    <row r="593" spans="1:14" x14ac:dyDescent="0.2">
      <c r="A593" s="84"/>
      <c r="B593" s="84"/>
      <c r="C593" s="60"/>
      <c r="D593" s="66"/>
      <c r="E593" s="66"/>
      <c r="F593" s="66"/>
      <c r="G593" s="66"/>
      <c r="H593" s="66"/>
      <c r="I593" s="66"/>
      <c r="J593" s="66"/>
      <c r="K593" s="66"/>
      <c r="L593" s="66"/>
      <c r="M593" s="66"/>
      <c r="N593" s="66"/>
    </row>
    <row r="594" spans="1:14" x14ac:dyDescent="0.2">
      <c r="A594" s="84"/>
      <c r="B594" s="84"/>
      <c r="C594" s="60"/>
      <c r="D594" s="66"/>
      <c r="E594" s="66"/>
      <c r="F594" s="66"/>
      <c r="G594" s="66"/>
      <c r="H594" s="66"/>
      <c r="I594" s="66"/>
      <c r="J594" s="66"/>
      <c r="K594" s="66"/>
      <c r="L594" s="66"/>
      <c r="M594" s="66"/>
      <c r="N594" s="66"/>
    </row>
    <row r="595" spans="1:14" x14ac:dyDescent="0.2">
      <c r="A595" s="84"/>
      <c r="B595" s="84"/>
      <c r="C595" s="60"/>
      <c r="D595" s="66"/>
      <c r="E595" s="66"/>
      <c r="F595" s="66"/>
      <c r="G595" s="66"/>
      <c r="H595" s="66"/>
      <c r="I595" s="66"/>
      <c r="J595" s="66"/>
      <c r="K595" s="66"/>
      <c r="L595" s="66"/>
      <c r="M595" s="66"/>
      <c r="N595" s="66"/>
    </row>
    <row r="596" spans="1:14" x14ac:dyDescent="0.2">
      <c r="A596" s="84"/>
      <c r="B596" s="84"/>
      <c r="C596" s="60"/>
      <c r="D596" s="66"/>
      <c r="E596" s="66"/>
      <c r="F596" s="66"/>
      <c r="G596" s="66"/>
      <c r="H596" s="66"/>
      <c r="I596" s="66"/>
      <c r="J596" s="66"/>
      <c r="K596" s="66"/>
      <c r="L596" s="66"/>
      <c r="M596" s="66"/>
      <c r="N596" s="66"/>
    </row>
    <row r="597" spans="1:14" x14ac:dyDescent="0.2">
      <c r="A597" s="84"/>
      <c r="B597" s="84"/>
      <c r="C597" s="60"/>
      <c r="D597" s="66"/>
      <c r="E597" s="66"/>
      <c r="F597" s="66"/>
      <c r="G597" s="66"/>
      <c r="H597" s="66"/>
      <c r="I597" s="66"/>
      <c r="J597" s="66"/>
      <c r="K597" s="66"/>
      <c r="L597" s="66"/>
      <c r="M597" s="66"/>
      <c r="N597" s="66"/>
    </row>
    <row r="598" spans="1:14" x14ac:dyDescent="0.2">
      <c r="A598" s="84"/>
      <c r="B598" s="84"/>
      <c r="C598" s="60"/>
      <c r="D598" s="66"/>
      <c r="E598" s="66"/>
      <c r="F598" s="66"/>
      <c r="G598" s="66"/>
      <c r="H598" s="66"/>
      <c r="I598" s="66"/>
      <c r="J598" s="66"/>
      <c r="K598" s="66"/>
      <c r="L598" s="66"/>
      <c r="M598" s="66"/>
      <c r="N598" s="66"/>
    </row>
    <row r="599" spans="1:14" x14ac:dyDescent="0.2">
      <c r="A599" s="84"/>
      <c r="B599" s="84"/>
      <c r="C599" s="60"/>
      <c r="D599" s="66"/>
      <c r="E599" s="66"/>
      <c r="F599" s="66"/>
      <c r="G599" s="66"/>
      <c r="H599" s="66"/>
      <c r="I599" s="66"/>
      <c r="J599" s="66"/>
      <c r="K599" s="66"/>
      <c r="L599" s="66"/>
      <c r="M599" s="66"/>
      <c r="N599" s="66"/>
    </row>
    <row r="600" spans="1:14" x14ac:dyDescent="0.2">
      <c r="A600" s="84"/>
      <c r="B600" s="84"/>
      <c r="C600" s="60"/>
      <c r="D600" s="66"/>
      <c r="E600" s="66"/>
      <c r="F600" s="66"/>
      <c r="G600" s="66"/>
      <c r="H600" s="66"/>
      <c r="I600" s="66"/>
      <c r="J600" s="66"/>
      <c r="K600" s="66"/>
      <c r="L600" s="66"/>
      <c r="M600" s="66"/>
      <c r="N600" s="66"/>
    </row>
    <row r="601" spans="1:14" x14ac:dyDescent="0.2">
      <c r="A601" s="84"/>
      <c r="B601" s="84"/>
      <c r="C601" s="60"/>
      <c r="D601" s="66"/>
      <c r="E601" s="66"/>
      <c r="F601" s="66"/>
      <c r="G601" s="66"/>
      <c r="H601" s="66"/>
      <c r="I601" s="66"/>
      <c r="J601" s="66"/>
      <c r="K601" s="66"/>
      <c r="L601" s="66"/>
      <c r="M601" s="66"/>
      <c r="N601" s="66"/>
    </row>
    <row r="602" spans="1:14" x14ac:dyDescent="0.2">
      <c r="A602" s="84"/>
      <c r="B602" s="84"/>
      <c r="C602" s="60"/>
      <c r="D602" s="66"/>
      <c r="E602" s="66"/>
      <c r="F602" s="66"/>
      <c r="G602" s="66"/>
      <c r="H602" s="66"/>
      <c r="I602" s="66"/>
      <c r="J602" s="66"/>
      <c r="K602" s="66"/>
      <c r="L602" s="66"/>
      <c r="M602" s="66"/>
      <c r="N602" s="66"/>
    </row>
    <row r="603" spans="1:14" x14ac:dyDescent="0.2">
      <c r="A603" s="84"/>
      <c r="B603" s="84"/>
      <c r="C603" s="60"/>
      <c r="D603" s="66"/>
      <c r="E603" s="66"/>
      <c r="F603" s="66"/>
      <c r="G603" s="66"/>
      <c r="H603" s="66"/>
      <c r="I603" s="66"/>
      <c r="J603" s="66"/>
      <c r="K603" s="66"/>
      <c r="L603" s="66"/>
      <c r="M603" s="66"/>
      <c r="N603" s="66"/>
    </row>
    <row r="604" spans="1:14" x14ac:dyDescent="0.2">
      <c r="A604" s="84"/>
      <c r="B604" s="84"/>
      <c r="C604" s="60"/>
      <c r="D604" s="66"/>
      <c r="E604" s="66"/>
      <c r="F604" s="66"/>
      <c r="G604" s="66"/>
      <c r="H604" s="66"/>
      <c r="I604" s="66"/>
      <c r="J604" s="66"/>
      <c r="K604" s="66"/>
      <c r="L604" s="66"/>
      <c r="M604" s="66"/>
      <c r="N604" s="66"/>
    </row>
    <row r="605" spans="1:14" x14ac:dyDescent="0.2">
      <c r="A605" s="84"/>
      <c r="B605" s="84"/>
      <c r="C605" s="60"/>
      <c r="D605" s="66"/>
      <c r="E605" s="66"/>
      <c r="F605" s="66"/>
      <c r="G605" s="66"/>
      <c r="H605" s="66"/>
      <c r="I605" s="66"/>
      <c r="J605" s="66"/>
      <c r="K605" s="66"/>
      <c r="L605" s="66"/>
      <c r="M605" s="66"/>
      <c r="N605" s="66"/>
    </row>
    <row r="606" spans="1:14" x14ac:dyDescent="0.2">
      <c r="A606" s="84"/>
      <c r="B606" s="84"/>
      <c r="C606" s="60"/>
      <c r="D606" s="66"/>
      <c r="E606" s="66"/>
      <c r="F606" s="66"/>
      <c r="G606" s="66"/>
      <c r="H606" s="66"/>
      <c r="I606" s="66"/>
      <c r="J606" s="66"/>
      <c r="K606" s="66"/>
      <c r="L606" s="66"/>
      <c r="M606" s="66"/>
      <c r="N606" s="66"/>
    </row>
    <row r="607" spans="1:14" x14ac:dyDescent="0.2">
      <c r="A607" s="84"/>
      <c r="B607" s="84"/>
      <c r="C607" s="60"/>
      <c r="D607" s="66"/>
      <c r="E607" s="66"/>
      <c r="F607" s="66"/>
      <c r="G607" s="66"/>
      <c r="H607" s="66"/>
      <c r="I607" s="66"/>
      <c r="J607" s="66"/>
      <c r="K607" s="66"/>
      <c r="L607" s="66"/>
      <c r="M607" s="66"/>
      <c r="N607" s="66"/>
    </row>
    <row r="608" spans="1:14" x14ac:dyDescent="0.2">
      <c r="A608" s="84"/>
      <c r="B608" s="84"/>
      <c r="C608" s="60"/>
      <c r="D608" s="66"/>
      <c r="E608" s="66"/>
      <c r="F608" s="66"/>
      <c r="G608" s="66"/>
      <c r="H608" s="66"/>
      <c r="I608" s="66"/>
      <c r="J608" s="66"/>
      <c r="K608" s="66"/>
      <c r="L608" s="66"/>
      <c r="M608" s="66"/>
      <c r="N608" s="66"/>
    </row>
    <row r="609" spans="1:14" x14ac:dyDescent="0.2">
      <c r="A609" s="84"/>
      <c r="B609" s="84"/>
      <c r="C609" s="60"/>
      <c r="D609" s="66"/>
      <c r="E609" s="66"/>
      <c r="F609" s="66"/>
      <c r="G609" s="66"/>
      <c r="H609" s="66"/>
      <c r="I609" s="66"/>
      <c r="J609" s="66"/>
      <c r="K609" s="66"/>
      <c r="L609" s="66"/>
      <c r="M609" s="66"/>
      <c r="N609" s="66"/>
    </row>
    <row r="610" spans="1:14" x14ac:dyDescent="0.2">
      <c r="A610" s="84"/>
      <c r="B610" s="84"/>
      <c r="C610" s="60"/>
      <c r="D610" s="66"/>
      <c r="E610" s="66"/>
      <c r="F610" s="66"/>
      <c r="G610" s="66"/>
      <c r="H610" s="66"/>
      <c r="I610" s="66"/>
      <c r="J610" s="66"/>
      <c r="K610" s="66"/>
      <c r="L610" s="66"/>
      <c r="M610" s="66"/>
      <c r="N610" s="66"/>
    </row>
    <row r="611" spans="1:14" x14ac:dyDescent="0.2">
      <c r="A611" s="84"/>
      <c r="B611" s="84"/>
      <c r="C611" s="60"/>
      <c r="D611" s="66"/>
      <c r="E611" s="66"/>
      <c r="F611" s="66"/>
      <c r="G611" s="66"/>
      <c r="H611" s="66"/>
      <c r="I611" s="66"/>
      <c r="J611" s="66"/>
      <c r="K611" s="66"/>
      <c r="L611" s="66"/>
      <c r="M611" s="66"/>
      <c r="N611" s="66"/>
    </row>
    <row r="612" spans="1:14" x14ac:dyDescent="0.2">
      <c r="A612" s="84"/>
      <c r="B612" s="84"/>
      <c r="C612" s="60"/>
      <c r="D612" s="66"/>
      <c r="E612" s="66"/>
      <c r="F612" s="66"/>
      <c r="G612" s="66"/>
      <c r="H612" s="66"/>
      <c r="I612" s="66"/>
      <c r="J612" s="66"/>
      <c r="K612" s="66"/>
      <c r="L612" s="66"/>
      <c r="M612" s="66"/>
      <c r="N612" s="66"/>
    </row>
    <row r="613" spans="1:14" x14ac:dyDescent="0.2">
      <c r="A613" s="84"/>
      <c r="B613" s="84"/>
      <c r="C613" s="60"/>
      <c r="D613" s="66"/>
      <c r="E613" s="66"/>
      <c r="F613" s="66"/>
      <c r="G613" s="66"/>
      <c r="H613" s="66"/>
      <c r="I613" s="66"/>
      <c r="J613" s="66"/>
      <c r="K613" s="66"/>
      <c r="L613" s="66"/>
      <c r="M613" s="66"/>
      <c r="N613" s="66"/>
    </row>
    <row r="614" spans="1:14" x14ac:dyDescent="0.2">
      <c r="A614" s="84"/>
      <c r="B614" s="84"/>
      <c r="C614" s="60"/>
      <c r="D614" s="66"/>
      <c r="E614" s="66"/>
      <c r="F614" s="66"/>
      <c r="G614" s="66"/>
      <c r="H614" s="66"/>
      <c r="I614" s="66"/>
      <c r="J614" s="66"/>
      <c r="K614" s="66"/>
      <c r="L614" s="66"/>
      <c r="M614" s="66"/>
      <c r="N614" s="66"/>
    </row>
    <row r="615" spans="1:14" x14ac:dyDescent="0.2">
      <c r="A615" s="84"/>
      <c r="B615" s="84"/>
      <c r="C615" s="60"/>
      <c r="D615" s="66"/>
      <c r="E615" s="66"/>
      <c r="F615" s="66"/>
      <c r="G615" s="66"/>
      <c r="H615" s="66"/>
      <c r="I615" s="66"/>
      <c r="J615" s="66"/>
      <c r="K615" s="66"/>
      <c r="L615" s="66"/>
      <c r="M615" s="66"/>
      <c r="N615" s="66"/>
    </row>
    <row r="616" spans="1:14" x14ac:dyDescent="0.2">
      <c r="A616" s="84"/>
      <c r="B616" s="84"/>
      <c r="C616" s="60"/>
      <c r="D616" s="66"/>
      <c r="E616" s="66"/>
      <c r="F616" s="66"/>
      <c r="G616" s="66"/>
      <c r="H616" s="66"/>
      <c r="I616" s="66"/>
      <c r="J616" s="66"/>
      <c r="K616" s="66"/>
      <c r="L616" s="66"/>
      <c r="M616" s="66"/>
      <c r="N616" s="66"/>
    </row>
    <row r="617" spans="1:14" x14ac:dyDescent="0.2">
      <c r="A617" s="84"/>
      <c r="B617" s="84"/>
      <c r="C617" s="60"/>
      <c r="D617" s="66"/>
      <c r="E617" s="66"/>
      <c r="F617" s="66"/>
      <c r="G617" s="66"/>
      <c r="H617" s="66"/>
      <c r="I617" s="66"/>
      <c r="J617" s="66"/>
      <c r="K617" s="66"/>
      <c r="L617" s="66"/>
      <c r="M617" s="66"/>
      <c r="N617" s="66"/>
    </row>
    <row r="618" spans="1:14" x14ac:dyDescent="0.2">
      <c r="A618" s="84"/>
      <c r="B618" s="84"/>
      <c r="C618" s="60"/>
      <c r="D618" s="66"/>
      <c r="E618" s="66"/>
      <c r="F618" s="66"/>
      <c r="G618" s="66"/>
      <c r="H618" s="66"/>
      <c r="I618" s="66"/>
      <c r="J618" s="66"/>
      <c r="K618" s="66"/>
      <c r="L618" s="66"/>
      <c r="M618" s="66"/>
      <c r="N618" s="66"/>
    </row>
    <row r="619" spans="1:14" x14ac:dyDescent="0.2">
      <c r="A619" s="84"/>
      <c r="B619" s="84"/>
      <c r="C619" s="60"/>
      <c r="D619" s="66"/>
      <c r="E619" s="66"/>
      <c r="F619" s="66"/>
      <c r="G619" s="66"/>
      <c r="H619" s="66"/>
      <c r="I619" s="66"/>
      <c r="J619" s="66"/>
      <c r="K619" s="66"/>
      <c r="L619" s="66"/>
      <c r="M619" s="66"/>
      <c r="N619" s="66"/>
    </row>
    <row r="620" spans="1:14" x14ac:dyDescent="0.2">
      <c r="A620" s="84"/>
      <c r="B620" s="84"/>
      <c r="C620" s="60"/>
      <c r="D620" s="66"/>
      <c r="E620" s="66"/>
      <c r="F620" s="66"/>
      <c r="G620" s="66"/>
      <c r="H620" s="66"/>
      <c r="I620" s="66"/>
      <c r="J620" s="66"/>
      <c r="K620" s="66"/>
      <c r="L620" s="66"/>
      <c r="M620" s="66"/>
      <c r="N620" s="66"/>
    </row>
    <row r="621" spans="1:14" x14ac:dyDescent="0.2">
      <c r="A621" s="84"/>
      <c r="B621" s="84"/>
      <c r="C621" s="60"/>
      <c r="D621" s="66"/>
      <c r="E621" s="66"/>
      <c r="F621" s="66"/>
      <c r="G621" s="66"/>
      <c r="H621" s="66"/>
      <c r="I621" s="66"/>
      <c r="J621" s="66"/>
      <c r="K621" s="66"/>
      <c r="L621" s="66"/>
      <c r="M621" s="66"/>
      <c r="N621" s="66"/>
    </row>
    <row r="622" spans="1:14" x14ac:dyDescent="0.2">
      <c r="A622" s="84"/>
      <c r="B622" s="84"/>
      <c r="C622" s="60"/>
      <c r="D622" s="66"/>
      <c r="E622" s="66"/>
      <c r="F622" s="66"/>
      <c r="G622" s="66"/>
      <c r="H622" s="66"/>
      <c r="I622" s="66"/>
      <c r="J622" s="66"/>
      <c r="K622" s="66"/>
      <c r="L622" s="66"/>
      <c r="M622" s="66"/>
      <c r="N622" s="66"/>
    </row>
    <row r="623" spans="1:14" x14ac:dyDescent="0.2">
      <c r="A623" s="84"/>
      <c r="B623" s="84"/>
      <c r="C623" s="60"/>
      <c r="D623" s="66"/>
      <c r="E623" s="66"/>
      <c r="F623" s="66"/>
      <c r="G623" s="66"/>
      <c r="H623" s="66"/>
      <c r="I623" s="66"/>
      <c r="J623" s="66"/>
      <c r="K623" s="66"/>
      <c r="L623" s="66"/>
      <c r="M623" s="66"/>
      <c r="N623" s="66"/>
    </row>
    <row r="624" spans="1:14" x14ac:dyDescent="0.2">
      <c r="A624" s="84"/>
      <c r="B624" s="84"/>
      <c r="C624" s="60"/>
      <c r="D624" s="66"/>
      <c r="E624" s="66"/>
      <c r="F624" s="66"/>
      <c r="G624" s="66"/>
      <c r="H624" s="66"/>
      <c r="I624" s="66"/>
      <c r="J624" s="66"/>
      <c r="K624" s="66"/>
      <c r="L624" s="66"/>
      <c r="M624" s="66"/>
      <c r="N624" s="66"/>
    </row>
    <row r="625" spans="1:14" x14ac:dyDescent="0.2">
      <c r="A625" s="84"/>
      <c r="B625" s="84"/>
      <c r="C625" s="60"/>
      <c r="D625" s="66"/>
      <c r="E625" s="66"/>
      <c r="F625" s="66"/>
      <c r="G625" s="66"/>
      <c r="H625" s="66"/>
      <c r="I625" s="66"/>
      <c r="J625" s="66"/>
      <c r="K625" s="66"/>
      <c r="L625" s="66"/>
      <c r="M625" s="66"/>
      <c r="N625" s="66"/>
    </row>
    <row r="626" spans="1:14" x14ac:dyDescent="0.2">
      <c r="A626" s="84"/>
      <c r="B626" s="84"/>
      <c r="C626" s="60"/>
      <c r="D626" s="66"/>
      <c r="E626" s="66"/>
      <c r="F626" s="66"/>
      <c r="G626" s="66"/>
      <c r="H626" s="66"/>
      <c r="I626" s="66"/>
      <c r="J626" s="66"/>
      <c r="K626" s="66"/>
      <c r="L626" s="66"/>
      <c r="M626" s="66"/>
      <c r="N626" s="66"/>
    </row>
    <row r="627" spans="1:14" x14ac:dyDescent="0.2">
      <c r="A627" s="84"/>
      <c r="B627" s="84"/>
      <c r="C627" s="60"/>
      <c r="D627" s="66"/>
      <c r="E627" s="66"/>
      <c r="F627" s="66"/>
      <c r="G627" s="66"/>
      <c r="H627" s="66"/>
      <c r="I627" s="66"/>
      <c r="J627" s="66"/>
      <c r="K627" s="66"/>
      <c r="L627" s="66"/>
      <c r="M627" s="66"/>
      <c r="N627" s="66"/>
    </row>
    <row r="628" spans="1:14" x14ac:dyDescent="0.2">
      <c r="A628" s="84"/>
      <c r="B628" s="84"/>
      <c r="C628" s="60"/>
      <c r="D628" s="66"/>
      <c r="E628" s="66"/>
      <c r="F628" s="66"/>
      <c r="G628" s="66"/>
      <c r="H628" s="66"/>
      <c r="I628" s="66"/>
      <c r="J628" s="66"/>
      <c r="K628" s="66"/>
      <c r="L628" s="66"/>
      <c r="M628" s="66"/>
      <c r="N628" s="66"/>
    </row>
    <row r="629" spans="1:14" x14ac:dyDescent="0.2">
      <c r="A629" s="84"/>
      <c r="B629" s="84"/>
      <c r="C629" s="60"/>
      <c r="D629" s="66"/>
      <c r="E629" s="66"/>
      <c r="F629" s="66"/>
      <c r="G629" s="66"/>
      <c r="H629" s="66"/>
      <c r="I629" s="66"/>
      <c r="J629" s="66"/>
      <c r="K629" s="66"/>
      <c r="L629" s="66"/>
      <c r="M629" s="66"/>
      <c r="N629" s="66"/>
    </row>
    <row r="630" spans="1:14" x14ac:dyDescent="0.2">
      <c r="A630" s="84"/>
      <c r="B630" s="84"/>
      <c r="C630" s="60"/>
      <c r="D630" s="66"/>
      <c r="E630" s="66"/>
      <c r="F630" s="66"/>
      <c r="G630" s="66"/>
      <c r="H630" s="66"/>
      <c r="I630" s="66"/>
      <c r="J630" s="66"/>
      <c r="K630" s="66"/>
      <c r="L630" s="66"/>
      <c r="M630" s="66"/>
      <c r="N630" s="66"/>
    </row>
    <row r="631" spans="1:14" x14ac:dyDescent="0.2">
      <c r="A631" s="84"/>
      <c r="B631" s="84"/>
      <c r="C631" s="60"/>
      <c r="D631" s="66"/>
      <c r="E631" s="66"/>
      <c r="F631" s="66"/>
      <c r="G631" s="66"/>
      <c r="H631" s="66"/>
      <c r="I631" s="66"/>
      <c r="J631" s="66"/>
      <c r="K631" s="66"/>
      <c r="L631" s="66"/>
      <c r="M631" s="66"/>
      <c r="N631" s="66"/>
    </row>
    <row r="632" spans="1:14" x14ac:dyDescent="0.2">
      <c r="A632" s="84"/>
      <c r="B632" s="84"/>
      <c r="C632" s="60"/>
      <c r="D632" s="66"/>
      <c r="E632" s="66"/>
      <c r="F632" s="66"/>
      <c r="G632" s="66"/>
      <c r="H632" s="66"/>
      <c r="I632" s="66"/>
      <c r="J632" s="66"/>
      <c r="K632" s="66"/>
      <c r="L632" s="66"/>
      <c r="M632" s="66"/>
      <c r="N632" s="66"/>
    </row>
    <row r="633" spans="1:14" x14ac:dyDescent="0.2">
      <c r="A633" s="84"/>
      <c r="B633" s="84"/>
      <c r="C633" s="60"/>
      <c r="D633" s="66"/>
      <c r="E633" s="66"/>
      <c r="F633" s="66"/>
      <c r="G633" s="66"/>
      <c r="H633" s="66"/>
      <c r="I633" s="66"/>
      <c r="J633" s="66"/>
      <c r="K633" s="66"/>
      <c r="L633" s="66"/>
      <c r="M633" s="66"/>
      <c r="N633" s="66"/>
    </row>
    <row r="634" spans="1:14" x14ac:dyDescent="0.2">
      <c r="A634" s="84"/>
      <c r="B634" s="84"/>
      <c r="C634" s="60"/>
      <c r="D634" s="66"/>
      <c r="E634" s="66"/>
      <c r="F634" s="66"/>
      <c r="G634" s="66"/>
      <c r="H634" s="66"/>
      <c r="I634" s="66"/>
      <c r="J634" s="66"/>
      <c r="K634" s="66"/>
      <c r="L634" s="66"/>
      <c r="M634" s="66"/>
      <c r="N634" s="66"/>
    </row>
    <row r="635" spans="1:14" x14ac:dyDescent="0.2">
      <c r="A635" s="84"/>
      <c r="B635" s="84"/>
      <c r="C635" s="60"/>
      <c r="D635" s="66"/>
      <c r="E635" s="66"/>
      <c r="F635" s="66"/>
      <c r="G635" s="66"/>
      <c r="H635" s="66"/>
      <c r="I635" s="66"/>
      <c r="J635" s="66"/>
      <c r="K635" s="66"/>
      <c r="L635" s="66"/>
      <c r="M635" s="66"/>
      <c r="N635" s="66"/>
    </row>
    <row r="636" spans="1:14" x14ac:dyDescent="0.2">
      <c r="A636" s="84"/>
      <c r="B636" s="84"/>
      <c r="C636" s="60"/>
      <c r="D636" s="66"/>
      <c r="E636" s="66"/>
      <c r="F636" s="66"/>
      <c r="G636" s="66"/>
      <c r="H636" s="66"/>
      <c r="I636" s="66"/>
      <c r="J636" s="66"/>
      <c r="K636" s="66"/>
      <c r="L636" s="66"/>
      <c r="M636" s="66"/>
      <c r="N636" s="66"/>
    </row>
    <row r="637" spans="1:14" x14ac:dyDescent="0.2">
      <c r="A637" s="84"/>
      <c r="B637" s="84"/>
      <c r="C637" s="60"/>
      <c r="D637" s="66"/>
      <c r="E637" s="66"/>
      <c r="F637" s="66"/>
      <c r="G637" s="66"/>
      <c r="H637" s="66"/>
      <c r="I637" s="66"/>
      <c r="J637" s="66"/>
      <c r="K637" s="66"/>
      <c r="L637" s="66"/>
      <c r="M637" s="66"/>
      <c r="N637" s="66"/>
    </row>
    <row r="638" spans="1:14" x14ac:dyDescent="0.2">
      <c r="A638" s="84"/>
      <c r="B638" s="84"/>
      <c r="C638" s="60"/>
      <c r="D638" s="66"/>
      <c r="E638" s="66"/>
      <c r="F638" s="66"/>
      <c r="G638" s="66"/>
      <c r="H638" s="66"/>
      <c r="I638" s="66"/>
      <c r="J638" s="66"/>
      <c r="K638" s="66"/>
      <c r="L638" s="66"/>
      <c r="M638" s="66"/>
      <c r="N638" s="66"/>
    </row>
    <row r="639" spans="1:14" x14ac:dyDescent="0.2">
      <c r="A639" s="84"/>
      <c r="B639" s="84"/>
      <c r="C639" s="60"/>
      <c r="D639" s="66"/>
      <c r="E639" s="66"/>
      <c r="F639" s="66"/>
      <c r="G639" s="66"/>
      <c r="H639" s="66"/>
      <c r="I639" s="66"/>
      <c r="J639" s="66"/>
      <c r="K639" s="66"/>
      <c r="L639" s="66"/>
      <c r="M639" s="66"/>
      <c r="N639" s="66"/>
    </row>
    <row r="640" spans="1:14" x14ac:dyDescent="0.2">
      <c r="A640" s="84"/>
      <c r="B640" s="84"/>
      <c r="C640" s="60"/>
      <c r="D640" s="66"/>
      <c r="E640" s="66"/>
      <c r="F640" s="66"/>
      <c r="G640" s="66"/>
      <c r="H640" s="66"/>
      <c r="I640" s="66"/>
      <c r="J640" s="66"/>
      <c r="K640" s="66"/>
      <c r="L640" s="66"/>
      <c r="M640" s="66"/>
      <c r="N640" s="66"/>
    </row>
    <row r="641" spans="1:14" x14ac:dyDescent="0.2">
      <c r="A641" s="84"/>
      <c r="B641" s="84"/>
      <c r="C641" s="60"/>
      <c r="D641" s="66"/>
      <c r="E641" s="66"/>
      <c r="F641" s="66"/>
      <c r="G641" s="66"/>
      <c r="H641" s="66"/>
      <c r="I641" s="66"/>
      <c r="J641" s="66"/>
      <c r="K641" s="66"/>
      <c r="L641" s="66"/>
      <c r="M641" s="66"/>
      <c r="N641" s="66"/>
    </row>
    <row r="642" spans="1:14" x14ac:dyDescent="0.2">
      <c r="A642" s="84"/>
      <c r="B642" s="84"/>
      <c r="C642" s="60"/>
      <c r="D642" s="66"/>
      <c r="E642" s="66"/>
      <c r="F642" s="66"/>
      <c r="G642" s="66"/>
      <c r="H642" s="66"/>
      <c r="I642" s="66"/>
      <c r="J642" s="66"/>
      <c r="K642" s="66"/>
      <c r="L642" s="66"/>
      <c r="M642" s="66"/>
      <c r="N642" s="66"/>
    </row>
    <row r="643" spans="1:14" x14ac:dyDescent="0.2">
      <c r="A643" s="84"/>
      <c r="B643" s="84"/>
      <c r="C643" s="60"/>
      <c r="D643" s="66"/>
      <c r="E643" s="66"/>
      <c r="F643" s="66"/>
      <c r="G643" s="66"/>
      <c r="H643" s="66"/>
      <c r="I643" s="66"/>
      <c r="J643" s="66"/>
      <c r="K643" s="66"/>
      <c r="L643" s="66"/>
      <c r="M643" s="66"/>
      <c r="N643" s="66"/>
    </row>
    <row r="644" spans="1:14" x14ac:dyDescent="0.2">
      <c r="A644" s="84"/>
      <c r="B644" s="84"/>
      <c r="C644" s="60"/>
      <c r="D644" s="66"/>
      <c r="E644" s="66"/>
      <c r="F644" s="66"/>
      <c r="G644" s="66"/>
      <c r="H644" s="66"/>
      <c r="I644" s="66"/>
      <c r="J644" s="66"/>
      <c r="K644" s="66"/>
      <c r="L644" s="66"/>
      <c r="M644" s="66"/>
      <c r="N644" s="66"/>
    </row>
    <row r="645" spans="1:14" x14ac:dyDescent="0.2">
      <c r="A645" s="84"/>
      <c r="B645" s="84"/>
      <c r="C645" s="60"/>
      <c r="D645" s="66"/>
      <c r="E645" s="66"/>
      <c r="F645" s="66"/>
      <c r="G645" s="66"/>
      <c r="H645" s="66"/>
      <c r="I645" s="66"/>
      <c r="J645" s="66"/>
      <c r="K645" s="66"/>
      <c r="L645" s="66"/>
      <c r="M645" s="66"/>
      <c r="N645" s="66"/>
    </row>
    <row r="646" spans="1:14" x14ac:dyDescent="0.2">
      <c r="A646" s="84"/>
      <c r="B646" s="84"/>
      <c r="C646" s="60"/>
      <c r="D646" s="66"/>
      <c r="E646" s="66"/>
      <c r="F646" s="66"/>
      <c r="G646" s="66"/>
      <c r="H646" s="66"/>
      <c r="I646" s="66"/>
      <c r="J646" s="66"/>
      <c r="K646" s="66"/>
      <c r="L646" s="66"/>
      <c r="M646" s="66"/>
      <c r="N646" s="66"/>
    </row>
    <row r="647" spans="1:14" x14ac:dyDescent="0.2">
      <c r="A647" s="84"/>
      <c r="B647" s="84"/>
      <c r="C647" s="60"/>
      <c r="D647" s="66"/>
      <c r="E647" s="66"/>
      <c r="F647" s="66"/>
      <c r="G647" s="66"/>
      <c r="H647" s="66"/>
      <c r="I647" s="66"/>
      <c r="J647" s="66"/>
      <c r="K647" s="66"/>
      <c r="L647" s="66"/>
      <c r="M647" s="66"/>
      <c r="N647" s="66"/>
    </row>
    <row r="648" spans="1:14" x14ac:dyDescent="0.2">
      <c r="A648" s="84"/>
      <c r="B648" s="84"/>
      <c r="C648" s="60"/>
      <c r="D648" s="66"/>
      <c r="E648" s="66"/>
      <c r="F648" s="66"/>
      <c r="G648" s="66"/>
      <c r="H648" s="66"/>
      <c r="I648" s="66"/>
      <c r="J648" s="66"/>
      <c r="K648" s="66"/>
      <c r="L648" s="66"/>
      <c r="M648" s="66"/>
      <c r="N648" s="66"/>
    </row>
    <row r="649" spans="1:14" x14ac:dyDescent="0.2">
      <c r="A649" s="84"/>
      <c r="B649" s="84"/>
      <c r="C649" s="60"/>
      <c r="D649" s="66"/>
      <c r="E649" s="66"/>
      <c r="F649" s="66"/>
      <c r="G649" s="66"/>
      <c r="H649" s="66"/>
      <c r="I649" s="66"/>
      <c r="J649" s="66"/>
      <c r="K649" s="66"/>
      <c r="L649" s="66"/>
      <c r="M649" s="66"/>
      <c r="N649" s="66"/>
    </row>
    <row r="650" spans="1:14" x14ac:dyDescent="0.2">
      <c r="A650" s="84"/>
      <c r="B650" s="84"/>
      <c r="C650" s="60"/>
      <c r="D650" s="66"/>
      <c r="E650" s="66"/>
      <c r="F650" s="66"/>
      <c r="G650" s="66"/>
      <c r="H650" s="66"/>
      <c r="I650" s="66"/>
      <c r="J650" s="66"/>
      <c r="K650" s="66"/>
      <c r="L650" s="66"/>
      <c r="M650" s="66"/>
      <c r="N650" s="66"/>
    </row>
    <row r="651" spans="1:14" x14ac:dyDescent="0.2">
      <c r="A651" s="84"/>
      <c r="B651" s="84"/>
      <c r="C651" s="60"/>
      <c r="D651" s="66"/>
      <c r="E651" s="66"/>
      <c r="F651" s="66"/>
      <c r="G651" s="66"/>
      <c r="H651" s="66"/>
      <c r="I651" s="66"/>
      <c r="J651" s="66"/>
      <c r="K651" s="66"/>
      <c r="L651" s="66"/>
      <c r="M651" s="66"/>
      <c r="N651" s="66"/>
    </row>
    <row r="652" spans="1:14" x14ac:dyDescent="0.2">
      <c r="A652" s="84"/>
      <c r="B652" s="84"/>
      <c r="C652" s="60"/>
      <c r="D652" s="66"/>
      <c r="E652" s="66"/>
      <c r="F652" s="66"/>
      <c r="G652" s="66"/>
      <c r="H652" s="66"/>
      <c r="I652" s="66"/>
      <c r="J652" s="66"/>
      <c r="K652" s="66"/>
      <c r="L652" s="66"/>
      <c r="M652" s="66"/>
      <c r="N652" s="66"/>
    </row>
    <row r="653" spans="1:14" x14ac:dyDescent="0.2">
      <c r="A653" s="84"/>
      <c r="B653" s="84"/>
      <c r="C653" s="60"/>
      <c r="D653" s="66"/>
      <c r="E653" s="66"/>
      <c r="F653" s="66"/>
      <c r="G653" s="66"/>
      <c r="H653" s="66"/>
      <c r="I653" s="66"/>
      <c r="J653" s="66"/>
      <c r="K653" s="66"/>
      <c r="L653" s="66"/>
      <c r="M653" s="66"/>
      <c r="N653" s="66"/>
    </row>
    <row r="654" spans="1:14" x14ac:dyDescent="0.2">
      <c r="A654" s="84"/>
      <c r="B654" s="84"/>
      <c r="C654" s="60"/>
      <c r="D654" s="66"/>
      <c r="E654" s="66"/>
      <c r="F654" s="66"/>
      <c r="G654" s="66"/>
      <c r="H654" s="66"/>
      <c r="I654" s="66"/>
      <c r="J654" s="66"/>
      <c r="K654" s="66"/>
      <c r="L654" s="66"/>
      <c r="M654" s="66"/>
      <c r="N654" s="66"/>
    </row>
    <row r="655" spans="1:14" x14ac:dyDescent="0.2">
      <c r="A655" s="84"/>
      <c r="B655" s="84"/>
      <c r="C655" s="60"/>
      <c r="D655" s="66"/>
      <c r="E655" s="66"/>
      <c r="F655" s="66"/>
      <c r="G655" s="66"/>
      <c r="H655" s="66"/>
      <c r="I655" s="66"/>
      <c r="J655" s="66"/>
      <c r="K655" s="66"/>
      <c r="L655" s="66"/>
      <c r="M655" s="66"/>
      <c r="N655" s="66"/>
    </row>
    <row r="656" spans="1:14" x14ac:dyDescent="0.2">
      <c r="A656" s="84"/>
      <c r="B656" s="84"/>
      <c r="C656" s="60"/>
      <c r="D656" s="66"/>
      <c r="E656" s="66"/>
      <c r="F656" s="66"/>
      <c r="G656" s="66"/>
      <c r="H656" s="66"/>
      <c r="I656" s="66"/>
      <c r="J656" s="66"/>
      <c r="K656" s="66"/>
      <c r="L656" s="66"/>
      <c r="M656" s="66"/>
      <c r="N656" s="66"/>
    </row>
    <row r="657" spans="1:14" x14ac:dyDescent="0.2">
      <c r="A657" s="84"/>
      <c r="B657" s="84"/>
      <c r="C657" s="60"/>
      <c r="D657" s="66"/>
      <c r="E657" s="66"/>
      <c r="F657" s="66"/>
      <c r="G657" s="66"/>
      <c r="H657" s="66"/>
      <c r="I657" s="66"/>
      <c r="J657" s="66"/>
      <c r="K657" s="66"/>
      <c r="L657" s="66"/>
      <c r="M657" s="66"/>
      <c r="N657" s="66"/>
    </row>
    <row r="658" spans="1:14" x14ac:dyDescent="0.2">
      <c r="A658" s="84"/>
      <c r="B658" s="84"/>
      <c r="C658" s="60"/>
      <c r="D658" s="66"/>
      <c r="E658" s="66"/>
      <c r="F658" s="66"/>
      <c r="G658" s="66"/>
      <c r="H658" s="66"/>
      <c r="I658" s="66"/>
      <c r="J658" s="66"/>
      <c r="K658" s="66"/>
      <c r="L658" s="66"/>
      <c r="M658" s="66"/>
      <c r="N658" s="66"/>
    </row>
    <row r="659" spans="1:14" x14ac:dyDescent="0.2">
      <c r="A659" s="84"/>
      <c r="B659" s="84"/>
      <c r="C659" s="60"/>
      <c r="D659" s="66"/>
      <c r="E659" s="66"/>
      <c r="F659" s="66"/>
      <c r="G659" s="66"/>
      <c r="H659" s="66"/>
      <c r="I659" s="66"/>
      <c r="J659" s="66"/>
      <c r="K659" s="66"/>
      <c r="L659" s="66"/>
      <c r="M659" s="66"/>
      <c r="N659" s="66"/>
    </row>
    <row r="660" spans="1:14" x14ac:dyDescent="0.2">
      <c r="A660" s="84"/>
      <c r="B660" s="84"/>
      <c r="C660" s="60"/>
      <c r="D660" s="66"/>
      <c r="E660" s="66"/>
      <c r="F660" s="66"/>
      <c r="G660" s="66"/>
      <c r="H660" s="66"/>
      <c r="I660" s="66"/>
      <c r="J660" s="66"/>
      <c r="K660" s="66"/>
      <c r="L660" s="66"/>
      <c r="M660" s="66"/>
      <c r="N660" s="66"/>
    </row>
    <row r="661" spans="1:14" x14ac:dyDescent="0.2">
      <c r="A661" s="84"/>
      <c r="B661" s="84"/>
      <c r="C661" s="60"/>
      <c r="D661" s="66"/>
      <c r="E661" s="66"/>
      <c r="F661" s="66"/>
      <c r="G661" s="66"/>
      <c r="H661" s="66"/>
      <c r="I661" s="66"/>
      <c r="J661" s="66"/>
      <c r="K661" s="66"/>
      <c r="L661" s="66"/>
      <c r="M661" s="66"/>
      <c r="N661" s="66"/>
    </row>
    <row r="662" spans="1:14" x14ac:dyDescent="0.2">
      <c r="A662" s="84"/>
      <c r="B662" s="84"/>
      <c r="C662" s="60"/>
      <c r="D662" s="66"/>
      <c r="E662" s="66"/>
      <c r="F662" s="66"/>
      <c r="G662" s="66"/>
      <c r="H662" s="66"/>
      <c r="I662" s="66"/>
      <c r="J662" s="66"/>
      <c r="K662" s="66"/>
      <c r="L662" s="66"/>
      <c r="M662" s="66"/>
      <c r="N662" s="66"/>
    </row>
    <row r="663" spans="1:14" x14ac:dyDescent="0.2">
      <c r="A663" s="84"/>
      <c r="B663" s="84"/>
      <c r="C663" s="60"/>
      <c r="D663" s="66"/>
      <c r="E663" s="66"/>
      <c r="F663" s="66"/>
      <c r="G663" s="66"/>
      <c r="H663" s="66"/>
      <c r="I663" s="66"/>
      <c r="J663" s="66"/>
      <c r="K663" s="66"/>
      <c r="L663" s="66"/>
      <c r="M663" s="66"/>
      <c r="N663" s="66"/>
    </row>
    <row r="664" spans="1:14" x14ac:dyDescent="0.2">
      <c r="A664" s="84"/>
      <c r="B664" s="84"/>
      <c r="C664" s="60"/>
      <c r="D664" s="66"/>
      <c r="E664" s="66"/>
      <c r="F664" s="66"/>
      <c r="G664" s="66"/>
      <c r="H664" s="66"/>
      <c r="I664" s="66"/>
      <c r="J664" s="66"/>
      <c r="K664" s="66"/>
      <c r="L664" s="66"/>
      <c r="M664" s="66"/>
      <c r="N664" s="66"/>
    </row>
    <row r="665" spans="1:14" x14ac:dyDescent="0.2">
      <c r="A665" s="84"/>
      <c r="B665" s="84"/>
      <c r="C665" s="60"/>
      <c r="D665" s="66"/>
      <c r="E665" s="66"/>
      <c r="F665" s="66"/>
      <c r="G665" s="66"/>
      <c r="H665" s="66"/>
      <c r="I665" s="66"/>
      <c r="J665" s="66"/>
      <c r="K665" s="66"/>
      <c r="L665" s="66"/>
      <c r="M665" s="66"/>
      <c r="N665" s="66"/>
    </row>
    <row r="666" spans="1:14" x14ac:dyDescent="0.2">
      <c r="A666" s="84"/>
      <c r="B666" s="84"/>
      <c r="C666" s="60"/>
      <c r="D666" s="66"/>
      <c r="E666" s="66"/>
      <c r="F666" s="66"/>
      <c r="G666" s="66"/>
      <c r="H666" s="66"/>
      <c r="I666" s="66"/>
      <c r="J666" s="66"/>
      <c r="K666" s="66"/>
      <c r="L666" s="66"/>
      <c r="M666" s="66"/>
      <c r="N666" s="66"/>
    </row>
    <row r="667" spans="1:14" x14ac:dyDescent="0.2">
      <c r="A667" s="84"/>
      <c r="B667" s="84"/>
      <c r="C667" s="60"/>
      <c r="D667" s="66"/>
      <c r="E667" s="66"/>
      <c r="F667" s="66"/>
      <c r="G667" s="66"/>
      <c r="H667" s="66"/>
      <c r="I667" s="66"/>
      <c r="J667" s="66"/>
      <c r="K667" s="66"/>
      <c r="L667" s="66"/>
      <c r="M667" s="66"/>
      <c r="N667" s="66"/>
    </row>
    <row r="668" spans="1:14" x14ac:dyDescent="0.2">
      <c r="A668" s="84"/>
      <c r="B668" s="84"/>
      <c r="C668" s="60"/>
      <c r="D668" s="66"/>
      <c r="E668" s="66"/>
      <c r="F668" s="66"/>
      <c r="G668" s="66"/>
      <c r="H668" s="66"/>
      <c r="I668" s="66"/>
      <c r="J668" s="66"/>
      <c r="K668" s="66"/>
      <c r="L668" s="66"/>
      <c r="M668" s="66"/>
      <c r="N668" s="66"/>
    </row>
    <row r="669" spans="1:14" x14ac:dyDescent="0.2">
      <c r="A669" s="84"/>
      <c r="B669" s="84"/>
      <c r="C669" s="60"/>
      <c r="D669" s="66"/>
      <c r="E669" s="66"/>
      <c r="F669" s="66"/>
      <c r="G669" s="66"/>
      <c r="H669" s="66"/>
      <c r="I669" s="66"/>
      <c r="J669" s="66"/>
      <c r="K669" s="66"/>
      <c r="L669" s="66"/>
      <c r="M669" s="66"/>
      <c r="N669" s="66"/>
    </row>
    <row r="670" spans="1:14" x14ac:dyDescent="0.2">
      <c r="A670" s="84"/>
      <c r="B670" s="84"/>
      <c r="C670" s="60"/>
      <c r="D670" s="66"/>
      <c r="E670" s="66"/>
      <c r="F670" s="66"/>
      <c r="G670" s="66"/>
      <c r="H670" s="66"/>
      <c r="I670" s="66"/>
      <c r="J670" s="66"/>
      <c r="K670" s="66"/>
      <c r="L670" s="66"/>
      <c r="M670" s="66"/>
      <c r="N670" s="66"/>
    </row>
    <row r="671" spans="1:14" x14ac:dyDescent="0.2">
      <c r="A671" s="84"/>
      <c r="B671" s="84"/>
      <c r="C671" s="60"/>
      <c r="D671" s="66"/>
      <c r="E671" s="66"/>
      <c r="F671" s="66"/>
      <c r="G671" s="66"/>
      <c r="H671" s="66"/>
      <c r="I671" s="66"/>
      <c r="J671" s="66"/>
      <c r="K671" s="66"/>
      <c r="L671" s="66"/>
      <c r="M671" s="66"/>
      <c r="N671" s="66"/>
    </row>
    <row r="672" spans="1:14" x14ac:dyDescent="0.2">
      <c r="A672" s="84"/>
      <c r="B672" s="84"/>
      <c r="C672" s="60"/>
      <c r="D672" s="66"/>
      <c r="E672" s="66"/>
      <c r="F672" s="66"/>
      <c r="G672" s="66"/>
      <c r="H672" s="66"/>
      <c r="I672" s="66"/>
      <c r="J672" s="66"/>
      <c r="K672" s="66"/>
      <c r="L672" s="66"/>
      <c r="M672" s="66"/>
      <c r="N672" s="66"/>
    </row>
    <row r="673" spans="1:14" x14ac:dyDescent="0.2">
      <c r="A673" s="84"/>
      <c r="B673" s="84"/>
      <c r="C673" s="60"/>
      <c r="D673" s="66"/>
      <c r="E673" s="66"/>
      <c r="F673" s="66"/>
      <c r="G673" s="66"/>
      <c r="H673" s="66"/>
      <c r="I673" s="66"/>
      <c r="J673" s="66"/>
      <c r="K673" s="66"/>
      <c r="L673" s="66"/>
      <c r="M673" s="66"/>
      <c r="N673" s="66"/>
    </row>
    <row r="674" spans="1:14" x14ac:dyDescent="0.2">
      <c r="A674" s="84"/>
      <c r="B674" s="84"/>
      <c r="C674" s="60"/>
      <c r="D674" s="66"/>
      <c r="E674" s="66"/>
      <c r="F674" s="66"/>
      <c r="G674" s="66"/>
      <c r="H674" s="66"/>
      <c r="I674" s="66"/>
      <c r="J674" s="66"/>
      <c r="K674" s="66"/>
      <c r="L674" s="66"/>
      <c r="M674" s="66"/>
      <c r="N674" s="66"/>
    </row>
    <row r="675" spans="1:14" x14ac:dyDescent="0.2">
      <c r="A675" s="84"/>
      <c r="B675" s="84"/>
      <c r="C675" s="60"/>
      <c r="D675" s="66"/>
      <c r="E675" s="66"/>
      <c r="F675" s="66"/>
      <c r="G675" s="66"/>
      <c r="H675" s="66"/>
      <c r="I675" s="66"/>
      <c r="J675" s="66"/>
      <c r="K675" s="66"/>
      <c r="L675" s="66"/>
      <c r="M675" s="66"/>
      <c r="N675" s="66"/>
    </row>
    <row r="676" spans="1:14" x14ac:dyDescent="0.2">
      <c r="A676" s="84"/>
      <c r="B676" s="84"/>
      <c r="C676" s="60"/>
      <c r="D676" s="66"/>
      <c r="E676" s="66"/>
      <c r="F676" s="66"/>
      <c r="G676" s="66"/>
      <c r="H676" s="66"/>
      <c r="I676" s="66"/>
      <c r="J676" s="66"/>
      <c r="K676" s="66"/>
      <c r="L676" s="66"/>
      <c r="M676" s="66"/>
      <c r="N676" s="66"/>
    </row>
    <row r="677" spans="1:14" x14ac:dyDescent="0.2">
      <c r="A677" s="84"/>
      <c r="B677" s="84"/>
      <c r="C677" s="60"/>
      <c r="D677" s="66"/>
      <c r="E677" s="66"/>
      <c r="F677" s="66"/>
      <c r="G677" s="66"/>
      <c r="H677" s="66"/>
      <c r="I677" s="66"/>
      <c r="J677" s="66"/>
      <c r="K677" s="66"/>
      <c r="L677" s="66"/>
      <c r="M677" s="66"/>
      <c r="N677" s="66"/>
    </row>
    <row r="678" spans="1:14" x14ac:dyDescent="0.2">
      <c r="A678" s="84"/>
      <c r="B678" s="84"/>
      <c r="C678" s="60"/>
      <c r="D678" s="66"/>
      <c r="E678" s="66"/>
      <c r="F678" s="66"/>
      <c r="G678" s="66"/>
      <c r="H678" s="66"/>
      <c r="I678" s="66"/>
      <c r="J678" s="66"/>
      <c r="K678" s="66"/>
      <c r="L678" s="66"/>
      <c r="M678" s="66"/>
      <c r="N678" s="66"/>
    </row>
    <row r="679" spans="1:14" x14ac:dyDescent="0.2">
      <c r="A679" s="84"/>
      <c r="B679" s="84"/>
      <c r="C679" s="60"/>
      <c r="D679" s="66"/>
      <c r="E679" s="66"/>
      <c r="F679" s="66"/>
      <c r="G679" s="66"/>
      <c r="H679" s="66"/>
      <c r="I679" s="66"/>
      <c r="J679" s="66"/>
      <c r="K679" s="66"/>
      <c r="L679" s="66"/>
      <c r="M679" s="66"/>
      <c r="N679" s="66"/>
    </row>
    <row r="680" spans="1:14" x14ac:dyDescent="0.2">
      <c r="A680" s="84"/>
      <c r="B680" s="84"/>
      <c r="C680" s="60"/>
      <c r="D680" s="66"/>
      <c r="E680" s="66"/>
      <c r="F680" s="66"/>
      <c r="G680" s="66"/>
      <c r="H680" s="66"/>
      <c r="I680" s="66"/>
      <c r="J680" s="66"/>
      <c r="K680" s="66"/>
      <c r="L680" s="66"/>
      <c r="M680" s="66"/>
      <c r="N680" s="66"/>
    </row>
    <row r="681" spans="1:14" x14ac:dyDescent="0.2">
      <c r="A681" s="84"/>
      <c r="B681" s="84"/>
      <c r="C681" s="60"/>
      <c r="D681" s="66"/>
      <c r="E681" s="66"/>
      <c r="F681" s="66"/>
      <c r="G681" s="66"/>
      <c r="H681" s="66"/>
      <c r="I681" s="66"/>
      <c r="J681" s="66"/>
      <c r="K681" s="66"/>
      <c r="L681" s="66"/>
      <c r="M681" s="66"/>
      <c r="N681" s="66"/>
    </row>
    <row r="682" spans="1:14" x14ac:dyDescent="0.2">
      <c r="A682" s="84"/>
      <c r="B682" s="84"/>
      <c r="C682" s="60"/>
      <c r="D682" s="66"/>
      <c r="E682" s="66"/>
      <c r="F682" s="66"/>
      <c r="G682" s="66"/>
      <c r="H682" s="66"/>
      <c r="I682" s="66"/>
      <c r="J682" s="66"/>
      <c r="K682" s="66"/>
      <c r="L682" s="66"/>
      <c r="M682" s="66"/>
      <c r="N682" s="66"/>
    </row>
    <row r="683" spans="1:14" x14ac:dyDescent="0.2">
      <c r="A683" s="84"/>
      <c r="B683" s="84"/>
      <c r="C683" s="60"/>
      <c r="D683" s="66"/>
      <c r="E683" s="66"/>
      <c r="F683" s="66"/>
      <c r="G683" s="66"/>
      <c r="H683" s="66"/>
      <c r="I683" s="66"/>
      <c r="J683" s="66"/>
      <c r="K683" s="66"/>
      <c r="L683" s="66"/>
      <c r="M683" s="66"/>
      <c r="N683" s="66"/>
    </row>
    <row r="684" spans="1:14" x14ac:dyDescent="0.2">
      <c r="A684" s="84"/>
      <c r="B684" s="84"/>
      <c r="C684" s="60"/>
      <c r="D684" s="66"/>
      <c r="E684" s="66"/>
      <c r="F684" s="66"/>
      <c r="G684" s="66"/>
      <c r="H684" s="66"/>
      <c r="I684" s="66"/>
      <c r="J684" s="66"/>
      <c r="K684" s="66"/>
      <c r="L684" s="66"/>
      <c r="M684" s="66"/>
      <c r="N684" s="66"/>
    </row>
    <row r="685" spans="1:14" x14ac:dyDescent="0.2">
      <c r="A685" s="84"/>
      <c r="B685" s="84"/>
      <c r="C685" s="60"/>
      <c r="D685" s="66"/>
      <c r="E685" s="66"/>
      <c r="F685" s="66"/>
      <c r="G685" s="66"/>
      <c r="H685" s="66"/>
      <c r="I685" s="66"/>
      <c r="J685" s="66"/>
      <c r="K685" s="66"/>
      <c r="L685" s="66"/>
      <c r="M685" s="66"/>
      <c r="N685" s="66"/>
    </row>
    <row r="686" spans="1:14" x14ac:dyDescent="0.2">
      <c r="A686" s="84"/>
      <c r="B686" s="84"/>
      <c r="C686" s="60"/>
      <c r="D686" s="66"/>
      <c r="E686" s="66"/>
      <c r="F686" s="66"/>
      <c r="G686" s="66"/>
      <c r="H686" s="66"/>
      <c r="I686" s="66"/>
      <c r="J686" s="66"/>
      <c r="K686" s="66"/>
      <c r="L686" s="66"/>
      <c r="M686" s="66"/>
      <c r="N686" s="66"/>
    </row>
    <row r="687" spans="1:14" x14ac:dyDescent="0.2">
      <c r="A687" s="84"/>
      <c r="B687" s="84"/>
      <c r="C687" s="60"/>
      <c r="D687" s="66"/>
      <c r="E687" s="66"/>
      <c r="F687" s="66"/>
      <c r="G687" s="66"/>
      <c r="H687" s="66"/>
      <c r="I687" s="66"/>
      <c r="J687" s="66"/>
      <c r="K687" s="66"/>
      <c r="L687" s="66"/>
      <c r="M687" s="66"/>
      <c r="N687" s="66"/>
    </row>
    <row r="688" spans="1:14" x14ac:dyDescent="0.2">
      <c r="A688" s="84"/>
      <c r="B688" s="84"/>
      <c r="C688" s="60"/>
      <c r="D688" s="66"/>
      <c r="E688" s="66"/>
      <c r="F688" s="66"/>
      <c r="G688" s="66"/>
      <c r="H688" s="66"/>
      <c r="I688" s="66"/>
      <c r="J688" s="66"/>
      <c r="K688" s="66"/>
      <c r="L688" s="66"/>
      <c r="M688" s="66"/>
      <c r="N688" s="66"/>
    </row>
    <row r="689" spans="1:14" x14ac:dyDescent="0.2">
      <c r="A689" s="84"/>
      <c r="B689" s="84"/>
      <c r="C689" s="60"/>
      <c r="D689" s="66"/>
      <c r="E689" s="66"/>
      <c r="F689" s="66"/>
      <c r="G689" s="66"/>
      <c r="H689" s="66"/>
      <c r="I689" s="66"/>
      <c r="J689" s="66"/>
      <c r="K689" s="66"/>
      <c r="L689" s="66"/>
      <c r="M689" s="66"/>
      <c r="N689" s="66"/>
    </row>
    <row r="690" spans="1:14" x14ac:dyDescent="0.2">
      <c r="A690" s="84"/>
      <c r="B690" s="84"/>
      <c r="C690" s="60"/>
      <c r="D690" s="66"/>
      <c r="E690" s="66"/>
      <c r="F690" s="66"/>
      <c r="G690" s="66"/>
      <c r="H690" s="66"/>
      <c r="I690" s="66"/>
      <c r="J690" s="66"/>
      <c r="K690" s="66"/>
      <c r="L690" s="66"/>
      <c r="M690" s="66"/>
      <c r="N690" s="66"/>
    </row>
    <row r="691" spans="1:14" x14ac:dyDescent="0.2">
      <c r="A691" s="84"/>
      <c r="B691" s="84"/>
      <c r="C691" s="60"/>
      <c r="D691" s="66"/>
      <c r="E691" s="66"/>
      <c r="F691" s="66"/>
      <c r="G691" s="66"/>
      <c r="H691" s="66"/>
      <c r="I691" s="66"/>
      <c r="J691" s="66"/>
      <c r="K691" s="66"/>
      <c r="L691" s="66"/>
      <c r="M691" s="66"/>
      <c r="N691" s="66"/>
    </row>
    <row r="692" spans="1:14" x14ac:dyDescent="0.2">
      <c r="A692" s="84"/>
      <c r="B692" s="84"/>
      <c r="C692" s="60"/>
      <c r="D692" s="66"/>
      <c r="E692" s="66"/>
      <c r="F692" s="66"/>
      <c r="G692" s="66"/>
      <c r="H692" s="66"/>
      <c r="I692" s="66"/>
      <c r="J692" s="66"/>
      <c r="K692" s="66"/>
      <c r="L692" s="66"/>
      <c r="M692" s="66"/>
      <c r="N692" s="66"/>
    </row>
    <row r="693" spans="1:14" x14ac:dyDescent="0.2">
      <c r="A693" s="84"/>
      <c r="B693" s="84"/>
      <c r="C693" s="60"/>
      <c r="D693" s="66"/>
      <c r="E693" s="66"/>
      <c r="F693" s="66"/>
      <c r="G693" s="66"/>
      <c r="H693" s="66"/>
      <c r="I693" s="66"/>
      <c r="J693" s="66"/>
      <c r="K693" s="66"/>
      <c r="L693" s="66"/>
      <c r="M693" s="66"/>
      <c r="N693" s="66"/>
    </row>
    <row r="694" spans="1:14" x14ac:dyDescent="0.2">
      <c r="A694" s="84"/>
      <c r="B694" s="84"/>
      <c r="C694" s="60"/>
      <c r="D694" s="66"/>
      <c r="E694" s="66"/>
      <c r="F694" s="66"/>
      <c r="G694" s="66"/>
      <c r="H694" s="66"/>
      <c r="I694" s="66"/>
      <c r="J694" s="66"/>
      <c r="K694" s="66"/>
      <c r="L694" s="66"/>
      <c r="M694" s="66"/>
      <c r="N694" s="66"/>
    </row>
    <row r="695" spans="1:14" x14ac:dyDescent="0.2">
      <c r="A695" s="84"/>
      <c r="B695" s="84"/>
      <c r="C695" s="60"/>
      <c r="D695" s="66"/>
      <c r="E695" s="66"/>
      <c r="F695" s="66"/>
      <c r="G695" s="66"/>
      <c r="H695" s="66"/>
      <c r="I695" s="66"/>
      <c r="J695" s="66"/>
      <c r="K695" s="66"/>
      <c r="L695" s="66"/>
      <c r="M695" s="66"/>
      <c r="N695" s="66"/>
    </row>
    <row r="696" spans="1:14" x14ac:dyDescent="0.2">
      <c r="A696" s="84"/>
      <c r="B696" s="84"/>
      <c r="C696" s="60"/>
      <c r="D696" s="66"/>
      <c r="E696" s="66"/>
      <c r="F696" s="66"/>
      <c r="G696" s="66"/>
      <c r="H696" s="66"/>
      <c r="I696" s="66"/>
      <c r="J696" s="66"/>
      <c r="K696" s="66"/>
      <c r="L696" s="66"/>
      <c r="M696" s="66"/>
      <c r="N696" s="66"/>
    </row>
    <row r="697" spans="1:14" x14ac:dyDescent="0.2">
      <c r="A697" s="84"/>
      <c r="B697" s="84"/>
      <c r="C697" s="60"/>
      <c r="D697" s="66"/>
      <c r="E697" s="66"/>
      <c r="F697" s="66"/>
      <c r="G697" s="66"/>
      <c r="H697" s="66"/>
      <c r="I697" s="66"/>
      <c r="J697" s="66"/>
      <c r="K697" s="66"/>
      <c r="L697" s="66"/>
      <c r="M697" s="66"/>
      <c r="N697" s="66"/>
    </row>
    <row r="698" spans="1:14" x14ac:dyDescent="0.2">
      <c r="A698" s="84"/>
      <c r="B698" s="84"/>
      <c r="C698" s="60"/>
      <c r="D698" s="66"/>
      <c r="E698" s="66"/>
      <c r="F698" s="66"/>
      <c r="G698" s="66"/>
      <c r="H698" s="66"/>
      <c r="I698" s="66"/>
      <c r="J698" s="66"/>
      <c r="K698" s="66"/>
      <c r="L698" s="66"/>
      <c r="M698" s="66"/>
      <c r="N698" s="66"/>
    </row>
    <row r="699" spans="1:14" x14ac:dyDescent="0.2">
      <c r="A699" s="84"/>
      <c r="B699" s="84"/>
      <c r="C699" s="60"/>
      <c r="D699" s="66"/>
      <c r="E699" s="66"/>
      <c r="F699" s="66"/>
      <c r="G699" s="66"/>
      <c r="H699" s="66"/>
      <c r="I699" s="66"/>
      <c r="J699" s="66"/>
      <c r="K699" s="66"/>
      <c r="L699" s="66"/>
      <c r="M699" s="66"/>
      <c r="N699" s="66"/>
    </row>
    <row r="700" spans="1:14" x14ac:dyDescent="0.2">
      <c r="A700" s="84"/>
      <c r="B700" s="84"/>
      <c r="C700" s="60"/>
      <c r="D700" s="66"/>
      <c r="E700" s="66"/>
      <c r="F700" s="66"/>
      <c r="G700" s="66"/>
      <c r="H700" s="66"/>
      <c r="I700" s="66"/>
      <c r="J700" s="66"/>
      <c r="K700" s="66"/>
      <c r="L700" s="66"/>
      <c r="M700" s="66"/>
      <c r="N700" s="66"/>
    </row>
    <row r="701" spans="1:14" x14ac:dyDescent="0.2">
      <c r="A701" s="84"/>
      <c r="B701" s="84"/>
      <c r="C701" s="60"/>
      <c r="D701" s="66"/>
      <c r="E701" s="66"/>
      <c r="F701" s="66"/>
      <c r="G701" s="66"/>
      <c r="H701" s="66"/>
      <c r="I701" s="66"/>
      <c r="J701" s="66"/>
      <c r="K701" s="66"/>
      <c r="L701" s="66"/>
      <c r="M701" s="66"/>
      <c r="N701" s="66"/>
    </row>
    <row r="702" spans="1:14" x14ac:dyDescent="0.2">
      <c r="A702" s="84"/>
      <c r="B702" s="84"/>
      <c r="C702" s="60"/>
      <c r="D702" s="66"/>
      <c r="E702" s="66"/>
      <c r="F702" s="66"/>
      <c r="G702" s="66"/>
      <c r="H702" s="66"/>
      <c r="I702" s="66"/>
      <c r="J702" s="66"/>
      <c r="K702" s="66"/>
      <c r="L702" s="66"/>
      <c r="M702" s="66"/>
      <c r="N702" s="66"/>
    </row>
    <row r="703" spans="1:14" x14ac:dyDescent="0.2">
      <c r="A703" s="84"/>
      <c r="B703" s="84"/>
      <c r="C703" s="60"/>
      <c r="D703" s="66"/>
      <c r="E703" s="66"/>
      <c r="F703" s="66"/>
      <c r="G703" s="66"/>
      <c r="H703" s="66"/>
      <c r="I703" s="66"/>
      <c r="J703" s="66"/>
      <c r="K703" s="66"/>
      <c r="L703" s="66"/>
      <c r="M703" s="66"/>
      <c r="N703" s="66"/>
    </row>
    <row r="704" spans="1:14" x14ac:dyDescent="0.2">
      <c r="A704" s="84"/>
      <c r="B704" s="84"/>
      <c r="C704" s="60"/>
      <c r="D704" s="66"/>
      <c r="E704" s="66"/>
      <c r="F704" s="66"/>
      <c r="G704" s="66"/>
      <c r="H704" s="66"/>
      <c r="I704" s="66"/>
      <c r="J704" s="66"/>
      <c r="K704" s="66"/>
      <c r="L704" s="66"/>
      <c r="M704" s="66"/>
      <c r="N704" s="66"/>
    </row>
    <row r="705" spans="1:14" x14ac:dyDescent="0.2">
      <c r="A705" s="84"/>
      <c r="B705" s="84"/>
      <c r="C705" s="60"/>
      <c r="D705" s="66"/>
      <c r="E705" s="66"/>
      <c r="F705" s="66"/>
      <c r="G705" s="66"/>
      <c r="H705" s="66"/>
      <c r="I705" s="66"/>
      <c r="J705" s="66"/>
      <c r="K705" s="66"/>
      <c r="L705" s="66"/>
      <c r="M705" s="66"/>
      <c r="N705" s="66"/>
    </row>
    <row r="706" spans="1:14" x14ac:dyDescent="0.2">
      <c r="A706" s="84"/>
      <c r="B706" s="84"/>
      <c r="C706" s="60"/>
      <c r="D706" s="66"/>
      <c r="E706" s="66"/>
      <c r="F706" s="66"/>
      <c r="G706" s="66"/>
      <c r="H706" s="66"/>
      <c r="I706" s="66"/>
      <c r="J706" s="66"/>
      <c r="K706" s="66"/>
      <c r="L706" s="66"/>
      <c r="M706" s="66"/>
      <c r="N706" s="66"/>
    </row>
    <row r="707" spans="1:14" x14ac:dyDescent="0.2">
      <c r="A707" s="84"/>
      <c r="B707" s="84"/>
      <c r="C707" s="60"/>
      <c r="D707" s="66"/>
      <c r="E707" s="66"/>
      <c r="F707" s="66"/>
      <c r="G707" s="66"/>
      <c r="H707" s="66"/>
      <c r="I707" s="66"/>
      <c r="J707" s="66"/>
      <c r="K707" s="66"/>
      <c r="L707" s="66"/>
      <c r="M707" s="66"/>
      <c r="N707" s="66"/>
    </row>
    <row r="708" spans="1:14" x14ac:dyDescent="0.2">
      <c r="A708" s="84"/>
      <c r="B708" s="84"/>
      <c r="C708" s="60"/>
      <c r="D708" s="66"/>
      <c r="E708" s="66"/>
      <c r="F708" s="66"/>
      <c r="G708" s="66"/>
      <c r="H708" s="66"/>
      <c r="I708" s="66"/>
      <c r="J708" s="66"/>
      <c r="K708" s="66"/>
      <c r="L708" s="66"/>
      <c r="M708" s="66"/>
      <c r="N708" s="66"/>
    </row>
    <row r="709" spans="1:14" x14ac:dyDescent="0.2">
      <c r="A709" s="84"/>
      <c r="B709" s="84"/>
      <c r="C709" s="60"/>
      <c r="D709" s="66"/>
      <c r="E709" s="66"/>
      <c r="F709" s="66"/>
      <c r="G709" s="66"/>
      <c r="H709" s="66"/>
      <c r="I709" s="66"/>
      <c r="J709" s="66"/>
      <c r="K709" s="66"/>
      <c r="L709" s="66"/>
      <c r="M709" s="66"/>
      <c r="N709" s="66"/>
    </row>
    <row r="710" spans="1:14" x14ac:dyDescent="0.2">
      <c r="A710" s="84"/>
      <c r="B710" s="84"/>
      <c r="C710" s="60"/>
      <c r="D710" s="66"/>
      <c r="E710" s="66"/>
      <c r="F710" s="66"/>
      <c r="G710" s="66"/>
      <c r="H710" s="66"/>
      <c r="I710" s="66"/>
      <c r="J710" s="66"/>
      <c r="K710" s="66"/>
      <c r="L710" s="66"/>
      <c r="M710" s="66"/>
      <c r="N710" s="66"/>
    </row>
    <row r="711" spans="1:14" x14ac:dyDescent="0.2">
      <c r="A711" s="84"/>
      <c r="B711" s="84"/>
      <c r="C711" s="60"/>
      <c r="D711" s="66"/>
      <c r="E711" s="66"/>
      <c r="F711" s="66"/>
      <c r="G711" s="66"/>
      <c r="H711" s="66"/>
      <c r="I711" s="66"/>
      <c r="J711" s="66"/>
      <c r="K711" s="66"/>
      <c r="L711" s="66"/>
      <c r="M711" s="66"/>
      <c r="N711" s="66"/>
    </row>
    <row r="712" spans="1:14" x14ac:dyDescent="0.2">
      <c r="A712" s="84"/>
      <c r="B712" s="84"/>
      <c r="C712" s="60"/>
      <c r="D712" s="66"/>
      <c r="E712" s="66"/>
      <c r="F712" s="66"/>
      <c r="G712" s="66"/>
      <c r="H712" s="66"/>
      <c r="I712" s="66"/>
      <c r="J712" s="66"/>
      <c r="K712" s="66"/>
      <c r="L712" s="66"/>
      <c r="M712" s="66"/>
      <c r="N712" s="66"/>
    </row>
    <row r="713" spans="1:14" x14ac:dyDescent="0.2">
      <c r="A713" s="84"/>
      <c r="B713" s="84"/>
      <c r="C713" s="60"/>
      <c r="D713" s="66"/>
      <c r="E713" s="66"/>
      <c r="F713" s="66"/>
      <c r="G713" s="66"/>
      <c r="H713" s="66"/>
      <c r="I713" s="66"/>
      <c r="J713" s="66"/>
      <c r="K713" s="66"/>
      <c r="L713" s="66"/>
      <c r="M713" s="66"/>
      <c r="N713" s="66"/>
    </row>
    <row r="714" spans="1:14" x14ac:dyDescent="0.2">
      <c r="A714" s="84"/>
      <c r="B714" s="84"/>
      <c r="C714" s="60"/>
      <c r="D714" s="66"/>
      <c r="E714" s="66"/>
      <c r="F714" s="66"/>
      <c r="G714" s="66"/>
      <c r="H714" s="66"/>
      <c r="I714" s="66"/>
      <c r="J714" s="66"/>
      <c r="K714" s="66"/>
      <c r="L714" s="66"/>
      <c r="M714" s="66"/>
      <c r="N714" s="66"/>
    </row>
    <row r="715" spans="1:14" x14ac:dyDescent="0.2">
      <c r="A715" s="84"/>
      <c r="B715" s="84"/>
      <c r="C715" s="60"/>
      <c r="D715" s="66"/>
      <c r="E715" s="66"/>
      <c r="F715" s="66"/>
      <c r="G715" s="66"/>
      <c r="H715" s="66"/>
      <c r="I715" s="66"/>
      <c r="J715" s="66"/>
      <c r="K715" s="66"/>
      <c r="L715" s="66"/>
      <c r="M715" s="66"/>
      <c r="N715" s="66"/>
    </row>
    <row r="716" spans="1:14" x14ac:dyDescent="0.2">
      <c r="A716" s="84"/>
      <c r="B716" s="84"/>
      <c r="C716" s="60"/>
      <c r="D716" s="66"/>
      <c r="E716" s="66"/>
      <c r="F716" s="66"/>
      <c r="G716" s="66"/>
      <c r="H716" s="66"/>
      <c r="I716" s="66"/>
      <c r="J716" s="66"/>
      <c r="K716" s="66"/>
      <c r="L716" s="66"/>
      <c r="M716" s="66"/>
      <c r="N716" s="66"/>
    </row>
    <row r="717" spans="1:14" x14ac:dyDescent="0.2">
      <c r="A717" s="84"/>
      <c r="B717" s="84"/>
      <c r="C717" s="60"/>
      <c r="D717" s="66"/>
      <c r="E717" s="66"/>
      <c r="F717" s="66"/>
      <c r="G717" s="66"/>
      <c r="H717" s="66"/>
      <c r="I717" s="66"/>
      <c r="J717" s="66"/>
      <c r="K717" s="66"/>
      <c r="L717" s="66"/>
      <c r="M717" s="66"/>
      <c r="N717" s="66"/>
    </row>
    <row r="718" spans="1:14" x14ac:dyDescent="0.2">
      <c r="A718" s="84"/>
      <c r="B718" s="84"/>
      <c r="C718" s="60"/>
      <c r="D718" s="66"/>
      <c r="E718" s="66"/>
      <c r="F718" s="66"/>
      <c r="G718" s="66"/>
      <c r="H718" s="66"/>
      <c r="I718" s="66"/>
      <c r="J718" s="66"/>
      <c r="K718" s="66"/>
      <c r="L718" s="66"/>
      <c r="M718" s="66"/>
      <c r="N718" s="66"/>
    </row>
    <row r="719" spans="1:14" x14ac:dyDescent="0.2">
      <c r="A719" s="84"/>
      <c r="B719" s="84"/>
      <c r="C719" s="60"/>
      <c r="D719" s="66"/>
      <c r="E719" s="66"/>
      <c r="F719" s="66"/>
      <c r="G719" s="66"/>
      <c r="H719" s="66"/>
      <c r="I719" s="66"/>
      <c r="J719" s="66"/>
      <c r="K719" s="66"/>
      <c r="L719" s="66"/>
      <c r="M719" s="66"/>
      <c r="N719" s="66"/>
    </row>
    <row r="720" spans="1:14" x14ac:dyDescent="0.2">
      <c r="A720" s="84"/>
      <c r="B720" s="84"/>
      <c r="C720" s="60"/>
      <c r="D720" s="66"/>
      <c r="E720" s="66"/>
      <c r="F720" s="66"/>
      <c r="G720" s="66"/>
      <c r="H720" s="66"/>
      <c r="I720" s="66"/>
      <c r="J720" s="66"/>
      <c r="K720" s="66"/>
      <c r="L720" s="66"/>
      <c r="M720" s="66"/>
      <c r="N720" s="66"/>
    </row>
    <row r="721" spans="1:14" x14ac:dyDescent="0.2">
      <c r="A721" s="84"/>
      <c r="B721" s="84"/>
      <c r="C721" s="60"/>
      <c r="D721" s="66"/>
      <c r="E721" s="66"/>
      <c r="F721" s="66"/>
      <c r="G721" s="66"/>
      <c r="H721" s="66"/>
      <c r="I721" s="66"/>
      <c r="J721" s="66"/>
      <c r="K721" s="66"/>
      <c r="L721" s="66"/>
      <c r="M721" s="66"/>
      <c r="N721" s="66"/>
    </row>
    <row r="722" spans="1:14" x14ac:dyDescent="0.2">
      <c r="A722" s="84"/>
      <c r="B722" s="84"/>
      <c r="C722" s="60"/>
      <c r="D722" s="66"/>
      <c r="E722" s="66"/>
      <c r="F722" s="66"/>
      <c r="G722" s="66"/>
      <c r="H722" s="66"/>
      <c r="I722" s="66"/>
      <c r="J722" s="66"/>
      <c r="K722" s="66"/>
      <c r="L722" s="66"/>
      <c r="M722" s="66"/>
      <c r="N722" s="66"/>
    </row>
    <row r="723" spans="1:14" x14ac:dyDescent="0.2">
      <c r="A723" s="84"/>
      <c r="B723" s="84"/>
      <c r="C723" s="60"/>
      <c r="D723" s="66"/>
      <c r="E723" s="66"/>
      <c r="F723" s="66"/>
      <c r="G723" s="66"/>
      <c r="H723" s="66"/>
      <c r="I723" s="66"/>
      <c r="J723" s="66"/>
      <c r="K723" s="66"/>
      <c r="L723" s="66"/>
      <c r="M723" s="66"/>
      <c r="N723" s="66"/>
    </row>
    <row r="724" spans="1:14" x14ac:dyDescent="0.2">
      <c r="A724" s="84"/>
      <c r="B724" s="84"/>
      <c r="C724" s="60"/>
      <c r="D724" s="66"/>
      <c r="E724" s="66"/>
      <c r="F724" s="66"/>
      <c r="G724" s="66"/>
      <c r="H724" s="66"/>
      <c r="I724" s="66"/>
      <c r="J724" s="66"/>
      <c r="K724" s="66"/>
      <c r="L724" s="66"/>
      <c r="M724" s="66"/>
      <c r="N724" s="66"/>
    </row>
    <row r="725" spans="1:14" x14ac:dyDescent="0.2">
      <c r="A725" s="84"/>
      <c r="B725" s="84"/>
      <c r="C725" s="60"/>
      <c r="D725" s="66"/>
      <c r="E725" s="66"/>
      <c r="F725" s="66"/>
      <c r="G725" s="66"/>
      <c r="H725" s="66"/>
      <c r="I725" s="66"/>
      <c r="J725" s="66"/>
      <c r="K725" s="66"/>
      <c r="L725" s="66"/>
      <c r="M725" s="66"/>
      <c r="N725" s="66"/>
    </row>
    <row r="726" spans="1:14" x14ac:dyDescent="0.2">
      <c r="A726" s="84"/>
      <c r="B726" s="84"/>
      <c r="C726" s="60"/>
      <c r="D726" s="66"/>
      <c r="E726" s="66"/>
      <c r="F726" s="66"/>
      <c r="G726" s="66"/>
      <c r="H726" s="66"/>
      <c r="I726" s="66"/>
      <c r="J726" s="66"/>
      <c r="K726" s="66"/>
      <c r="L726" s="66"/>
      <c r="M726" s="66"/>
      <c r="N726" s="66"/>
    </row>
    <row r="727" spans="1:14" x14ac:dyDescent="0.2">
      <c r="A727" s="84"/>
      <c r="B727" s="84"/>
      <c r="C727" s="60"/>
      <c r="D727" s="66"/>
      <c r="E727" s="66"/>
      <c r="F727" s="66"/>
      <c r="G727" s="66"/>
      <c r="H727" s="66"/>
      <c r="I727" s="66"/>
      <c r="J727" s="66"/>
      <c r="K727" s="66"/>
      <c r="L727" s="66"/>
      <c r="M727" s="66"/>
      <c r="N727" s="66"/>
    </row>
    <row r="728" spans="1:14" x14ac:dyDescent="0.2">
      <c r="A728" s="84"/>
      <c r="B728" s="84"/>
      <c r="C728" s="60"/>
      <c r="D728" s="66"/>
      <c r="E728" s="66"/>
      <c r="F728" s="66"/>
      <c r="G728" s="66"/>
      <c r="H728" s="66"/>
      <c r="I728" s="66"/>
      <c r="J728" s="66"/>
      <c r="K728" s="66"/>
      <c r="L728" s="66"/>
      <c r="M728" s="66"/>
      <c r="N728" s="66"/>
    </row>
    <row r="729" spans="1:14" x14ac:dyDescent="0.2">
      <c r="A729" s="84"/>
      <c r="B729" s="84"/>
      <c r="C729" s="60"/>
      <c r="D729" s="66"/>
      <c r="E729" s="66"/>
      <c r="F729" s="66"/>
      <c r="G729" s="66"/>
      <c r="H729" s="66"/>
      <c r="I729" s="66"/>
      <c r="J729" s="66"/>
      <c r="K729" s="66"/>
      <c r="L729" s="66"/>
      <c r="M729" s="66"/>
      <c r="N729" s="66"/>
    </row>
    <row r="730" spans="1:14" x14ac:dyDescent="0.2">
      <c r="A730" s="84"/>
      <c r="B730" s="84"/>
      <c r="C730" s="60"/>
      <c r="D730" s="66"/>
      <c r="E730" s="66"/>
      <c r="F730" s="66"/>
      <c r="G730" s="66"/>
      <c r="H730" s="66"/>
      <c r="I730" s="66"/>
      <c r="J730" s="66"/>
      <c r="K730" s="66"/>
      <c r="L730" s="66"/>
      <c r="M730" s="66"/>
      <c r="N730" s="66"/>
    </row>
    <row r="731" spans="1:14" x14ac:dyDescent="0.2">
      <c r="A731" s="84"/>
      <c r="B731" s="84"/>
      <c r="C731" s="60"/>
      <c r="D731" s="66"/>
      <c r="E731" s="66"/>
      <c r="F731" s="66"/>
      <c r="G731" s="66"/>
      <c r="H731" s="66"/>
      <c r="I731" s="66"/>
      <c r="J731" s="66"/>
      <c r="K731" s="66"/>
      <c r="L731" s="66"/>
      <c r="M731" s="66"/>
      <c r="N731" s="66"/>
    </row>
    <row r="732" spans="1:14" x14ac:dyDescent="0.2">
      <c r="A732" s="84"/>
      <c r="B732" s="84"/>
      <c r="C732" s="60"/>
      <c r="D732" s="66"/>
      <c r="E732" s="66"/>
      <c r="F732" s="66"/>
      <c r="G732" s="66"/>
      <c r="H732" s="66"/>
      <c r="I732" s="66"/>
      <c r="J732" s="66"/>
      <c r="K732" s="66"/>
      <c r="L732" s="66"/>
      <c r="M732" s="66"/>
      <c r="N732" s="66"/>
    </row>
    <row r="733" spans="1:14" x14ac:dyDescent="0.2">
      <c r="A733" s="84"/>
      <c r="B733" s="84"/>
      <c r="C733" s="60"/>
      <c r="D733" s="66"/>
      <c r="E733" s="66"/>
      <c r="F733" s="66"/>
      <c r="G733" s="66"/>
      <c r="H733" s="66"/>
      <c r="I733" s="66"/>
      <c r="J733" s="66"/>
      <c r="K733" s="66"/>
      <c r="L733" s="66"/>
      <c r="M733" s="66"/>
      <c r="N733" s="66"/>
    </row>
    <row r="734" spans="1:14" x14ac:dyDescent="0.2">
      <c r="A734" s="84"/>
      <c r="B734" s="84"/>
      <c r="C734" s="60"/>
      <c r="D734" s="66"/>
      <c r="E734" s="66"/>
      <c r="F734" s="66"/>
      <c r="G734" s="66"/>
      <c r="H734" s="66"/>
      <c r="I734" s="66"/>
      <c r="J734" s="66"/>
      <c r="K734" s="66"/>
      <c r="L734" s="66"/>
      <c r="M734" s="66"/>
      <c r="N734" s="66"/>
    </row>
    <row r="735" spans="1:14" x14ac:dyDescent="0.2">
      <c r="A735" s="84"/>
      <c r="B735" s="84"/>
      <c r="C735" s="60"/>
      <c r="D735" s="66"/>
      <c r="E735" s="66"/>
      <c r="F735" s="66"/>
      <c r="G735" s="66"/>
      <c r="H735" s="66"/>
      <c r="I735" s="66"/>
      <c r="J735" s="66"/>
      <c r="K735" s="66"/>
      <c r="L735" s="66"/>
      <c r="M735" s="66"/>
      <c r="N735" s="66"/>
    </row>
    <row r="736" spans="1:14" x14ac:dyDescent="0.2">
      <c r="A736" s="84"/>
      <c r="B736" s="84"/>
      <c r="C736" s="60"/>
      <c r="D736" s="66"/>
      <c r="E736" s="66"/>
      <c r="F736" s="66"/>
      <c r="G736" s="66"/>
      <c r="H736" s="66"/>
      <c r="I736" s="66"/>
      <c r="J736" s="66"/>
      <c r="K736" s="66"/>
      <c r="L736" s="66"/>
      <c r="M736" s="66"/>
      <c r="N736" s="66"/>
    </row>
    <row r="737" spans="1:14" x14ac:dyDescent="0.2">
      <c r="A737" s="84"/>
      <c r="B737" s="84"/>
      <c r="C737" s="60"/>
      <c r="D737" s="66"/>
      <c r="E737" s="66"/>
      <c r="F737" s="66"/>
      <c r="G737" s="66"/>
      <c r="H737" s="66"/>
      <c r="I737" s="66"/>
      <c r="J737" s="66"/>
      <c r="K737" s="66"/>
      <c r="L737" s="66"/>
      <c r="M737" s="66"/>
      <c r="N737" s="66"/>
    </row>
    <row r="738" spans="1:14" x14ac:dyDescent="0.2">
      <c r="A738" s="84"/>
      <c r="B738" s="84"/>
      <c r="C738" s="60"/>
      <c r="D738" s="66"/>
      <c r="E738" s="66"/>
      <c r="F738" s="66"/>
      <c r="G738" s="66"/>
      <c r="H738" s="66"/>
      <c r="I738" s="66"/>
      <c r="J738" s="66"/>
      <c r="K738" s="66"/>
      <c r="L738" s="66"/>
      <c r="M738" s="66"/>
      <c r="N738" s="66"/>
    </row>
    <row r="739" spans="1:14" x14ac:dyDescent="0.2">
      <c r="A739" s="84"/>
      <c r="B739" s="84"/>
      <c r="C739" s="60"/>
      <c r="D739" s="66"/>
      <c r="E739" s="66"/>
      <c r="F739" s="66"/>
      <c r="G739" s="66"/>
      <c r="H739" s="66"/>
      <c r="I739" s="66"/>
      <c r="J739" s="66"/>
      <c r="K739" s="66"/>
      <c r="L739" s="66"/>
      <c r="M739" s="66"/>
      <c r="N739" s="66"/>
    </row>
    <row r="740" spans="1:14" x14ac:dyDescent="0.2">
      <c r="A740" s="84"/>
      <c r="B740" s="84"/>
      <c r="C740" s="60"/>
      <c r="D740" s="66"/>
      <c r="E740" s="66"/>
      <c r="F740" s="66"/>
      <c r="G740" s="66"/>
      <c r="H740" s="66"/>
      <c r="I740" s="66"/>
      <c r="J740" s="66"/>
      <c r="K740" s="66"/>
      <c r="L740" s="66"/>
      <c r="M740" s="66"/>
      <c r="N740" s="66"/>
    </row>
    <row r="741" spans="1:14" x14ac:dyDescent="0.2">
      <c r="A741" s="84"/>
      <c r="B741" s="84"/>
      <c r="C741" s="60"/>
      <c r="D741" s="66"/>
      <c r="E741" s="66"/>
      <c r="F741" s="66"/>
      <c r="G741" s="66"/>
      <c r="H741" s="66"/>
      <c r="I741" s="66"/>
      <c r="J741" s="66"/>
      <c r="K741" s="66"/>
      <c r="L741" s="66"/>
      <c r="M741" s="66"/>
      <c r="N741" s="66"/>
    </row>
    <row r="742" spans="1:14" x14ac:dyDescent="0.2">
      <c r="A742" s="84"/>
      <c r="B742" s="84"/>
      <c r="C742" s="60"/>
      <c r="D742" s="66"/>
      <c r="E742" s="66"/>
      <c r="F742" s="66"/>
      <c r="G742" s="66"/>
      <c r="H742" s="66"/>
      <c r="I742" s="66"/>
      <c r="J742" s="66"/>
      <c r="K742" s="66"/>
      <c r="L742" s="66"/>
      <c r="M742" s="66"/>
      <c r="N742" s="66"/>
    </row>
    <row r="743" spans="1:14" x14ac:dyDescent="0.2">
      <c r="A743" s="84"/>
      <c r="B743" s="84"/>
      <c r="C743" s="60"/>
      <c r="D743" s="66"/>
      <c r="E743" s="66"/>
      <c r="F743" s="66"/>
      <c r="G743" s="66"/>
      <c r="H743" s="66"/>
      <c r="I743" s="66"/>
      <c r="J743" s="66"/>
      <c r="K743" s="66"/>
      <c r="L743" s="66"/>
      <c r="M743" s="66"/>
      <c r="N743" s="66"/>
    </row>
    <row r="744" spans="1:14" x14ac:dyDescent="0.2">
      <c r="A744" s="84"/>
      <c r="B744" s="84"/>
      <c r="C744" s="60"/>
      <c r="D744" s="66"/>
      <c r="E744" s="66"/>
      <c r="F744" s="66"/>
      <c r="G744" s="66"/>
      <c r="H744" s="66"/>
      <c r="I744" s="66"/>
      <c r="J744" s="66"/>
      <c r="K744" s="66"/>
      <c r="L744" s="66"/>
      <c r="M744" s="66"/>
      <c r="N744" s="66"/>
    </row>
    <row r="745" spans="1:14" x14ac:dyDescent="0.2">
      <c r="A745" s="84"/>
      <c r="B745" s="84"/>
      <c r="C745" s="60"/>
      <c r="D745" s="66"/>
      <c r="E745" s="66"/>
      <c r="F745" s="66"/>
      <c r="G745" s="66"/>
      <c r="H745" s="66"/>
      <c r="I745" s="66"/>
      <c r="J745" s="66"/>
      <c r="K745" s="66"/>
      <c r="L745" s="66"/>
      <c r="M745" s="66"/>
      <c r="N745" s="66"/>
    </row>
    <row r="746" spans="1:14" x14ac:dyDescent="0.2">
      <c r="A746" s="84"/>
      <c r="B746" s="84"/>
      <c r="C746" s="60"/>
      <c r="D746" s="66"/>
      <c r="E746" s="66"/>
      <c r="F746" s="66"/>
      <c r="G746" s="66"/>
      <c r="H746" s="66"/>
      <c r="I746" s="66"/>
      <c r="J746" s="66"/>
      <c r="K746" s="66"/>
      <c r="L746" s="66"/>
      <c r="M746" s="66"/>
      <c r="N746" s="66"/>
    </row>
    <row r="747" spans="1:14" x14ac:dyDescent="0.2">
      <c r="A747" s="84"/>
      <c r="B747" s="84"/>
      <c r="C747" s="60"/>
      <c r="D747" s="66"/>
      <c r="E747" s="66"/>
      <c r="F747" s="66"/>
      <c r="G747" s="66"/>
      <c r="H747" s="66"/>
      <c r="I747" s="66"/>
      <c r="J747" s="66"/>
      <c r="K747" s="66"/>
      <c r="L747" s="66"/>
      <c r="M747" s="66"/>
      <c r="N747" s="66"/>
    </row>
    <row r="748" spans="1:14" x14ac:dyDescent="0.2">
      <c r="A748" s="84"/>
      <c r="B748" s="84"/>
      <c r="C748" s="60"/>
      <c r="D748" s="66"/>
      <c r="E748" s="66"/>
      <c r="F748" s="66"/>
      <c r="G748" s="66"/>
      <c r="H748" s="66"/>
      <c r="I748" s="66"/>
      <c r="J748" s="66"/>
      <c r="K748" s="66"/>
      <c r="L748" s="66"/>
      <c r="M748" s="66"/>
      <c r="N748" s="66"/>
    </row>
    <row r="749" spans="1:14" x14ac:dyDescent="0.2">
      <c r="A749" s="84"/>
      <c r="B749" s="84"/>
      <c r="C749" s="60"/>
      <c r="D749" s="66"/>
      <c r="E749" s="66"/>
      <c r="F749" s="66"/>
      <c r="G749" s="66"/>
      <c r="H749" s="66"/>
      <c r="I749" s="66"/>
      <c r="J749" s="66"/>
      <c r="K749" s="66"/>
      <c r="L749" s="66"/>
      <c r="M749" s="66"/>
      <c r="N749" s="66"/>
    </row>
    <row r="750" spans="1:14" x14ac:dyDescent="0.2">
      <c r="A750" s="84"/>
      <c r="B750" s="84"/>
      <c r="C750" s="60"/>
      <c r="D750" s="66"/>
      <c r="E750" s="66"/>
      <c r="F750" s="66"/>
      <c r="G750" s="66"/>
      <c r="H750" s="66"/>
      <c r="I750" s="66"/>
      <c r="J750" s="66"/>
      <c r="K750" s="66"/>
      <c r="L750" s="66"/>
      <c r="M750" s="66"/>
      <c r="N750" s="66"/>
    </row>
    <row r="751" spans="1:14" x14ac:dyDescent="0.2">
      <c r="A751" s="84"/>
      <c r="B751" s="84"/>
      <c r="C751" s="60"/>
      <c r="D751" s="66"/>
      <c r="E751" s="66"/>
      <c r="F751" s="66"/>
      <c r="G751" s="66"/>
      <c r="H751" s="66"/>
      <c r="I751" s="66"/>
      <c r="J751" s="66"/>
      <c r="K751" s="66"/>
      <c r="L751" s="66"/>
      <c r="M751" s="66"/>
      <c r="N751" s="66"/>
    </row>
    <row r="752" spans="1:14" x14ac:dyDescent="0.2">
      <c r="A752" s="84"/>
      <c r="B752" s="84"/>
      <c r="C752" s="60"/>
      <c r="D752" s="66"/>
      <c r="E752" s="66"/>
      <c r="F752" s="66"/>
      <c r="G752" s="66"/>
      <c r="H752" s="66"/>
      <c r="I752" s="66"/>
      <c r="J752" s="66"/>
      <c r="K752" s="66"/>
      <c r="L752" s="66"/>
      <c r="M752" s="66"/>
      <c r="N752" s="66"/>
    </row>
    <row r="753" spans="1:14" x14ac:dyDescent="0.2">
      <c r="A753" s="84"/>
      <c r="B753" s="84"/>
      <c r="C753" s="60"/>
      <c r="D753" s="66"/>
      <c r="E753" s="66"/>
      <c r="F753" s="66"/>
      <c r="G753" s="66"/>
      <c r="H753" s="66"/>
      <c r="I753" s="66"/>
      <c r="J753" s="66"/>
      <c r="K753" s="66"/>
      <c r="L753" s="66"/>
      <c r="M753" s="66"/>
      <c r="N753" s="66"/>
    </row>
    <row r="754" spans="1:14" x14ac:dyDescent="0.2">
      <c r="A754" s="84"/>
      <c r="B754" s="84"/>
      <c r="C754" s="60"/>
      <c r="D754" s="66"/>
      <c r="E754" s="66"/>
      <c r="F754" s="66"/>
      <c r="G754" s="66"/>
      <c r="H754" s="66"/>
      <c r="I754" s="66"/>
      <c r="J754" s="66"/>
      <c r="K754" s="66"/>
      <c r="L754" s="66"/>
      <c r="M754" s="66"/>
      <c r="N754" s="66"/>
    </row>
    <row r="755" spans="1:14" x14ac:dyDescent="0.2">
      <c r="A755" s="84"/>
      <c r="B755" s="84"/>
      <c r="C755" s="60"/>
      <c r="D755" s="66"/>
      <c r="E755" s="66"/>
      <c r="F755" s="66"/>
      <c r="G755" s="66"/>
      <c r="H755" s="66"/>
      <c r="I755" s="66"/>
      <c r="J755" s="66"/>
      <c r="K755" s="66"/>
      <c r="L755" s="66"/>
      <c r="M755" s="66"/>
      <c r="N755" s="66"/>
    </row>
    <row r="756" spans="1:14" x14ac:dyDescent="0.2">
      <c r="A756" s="84"/>
      <c r="B756" s="84"/>
      <c r="C756" s="60"/>
      <c r="D756" s="66"/>
      <c r="E756" s="66"/>
      <c r="F756" s="66"/>
      <c r="G756" s="66"/>
      <c r="H756" s="66"/>
      <c r="I756" s="66"/>
      <c r="J756" s="66"/>
      <c r="K756" s="66"/>
      <c r="L756" s="66"/>
      <c r="M756" s="66"/>
      <c r="N756" s="66"/>
    </row>
    <row r="757" spans="1:14" x14ac:dyDescent="0.2">
      <c r="A757" s="84"/>
      <c r="B757" s="84"/>
      <c r="C757" s="60"/>
      <c r="D757" s="66"/>
      <c r="E757" s="66"/>
      <c r="F757" s="66"/>
      <c r="G757" s="66"/>
      <c r="H757" s="66"/>
      <c r="I757" s="66"/>
      <c r="J757" s="66"/>
      <c r="K757" s="66"/>
      <c r="L757" s="66"/>
      <c r="M757" s="66"/>
      <c r="N757" s="66"/>
    </row>
    <row r="758" spans="1:14" x14ac:dyDescent="0.2">
      <c r="A758" s="84"/>
      <c r="B758" s="84"/>
      <c r="C758" s="60"/>
      <c r="D758" s="66"/>
      <c r="E758" s="66"/>
      <c r="F758" s="66"/>
      <c r="G758" s="66"/>
      <c r="H758" s="66"/>
      <c r="I758" s="66"/>
      <c r="J758" s="66"/>
      <c r="K758" s="66"/>
      <c r="L758" s="66"/>
      <c r="M758" s="66"/>
      <c r="N758" s="66"/>
    </row>
    <row r="759" spans="1:14" x14ac:dyDescent="0.2">
      <c r="A759" s="84"/>
      <c r="B759" s="84"/>
      <c r="C759" s="60"/>
      <c r="D759" s="66"/>
      <c r="E759" s="66"/>
      <c r="F759" s="66"/>
      <c r="G759" s="66"/>
      <c r="H759" s="66"/>
      <c r="I759" s="66"/>
      <c r="J759" s="66"/>
      <c r="K759" s="66"/>
      <c r="L759" s="66"/>
      <c r="M759" s="66"/>
      <c r="N759" s="66"/>
    </row>
    <row r="760" spans="1:14" x14ac:dyDescent="0.2">
      <c r="A760" s="84"/>
      <c r="B760" s="84"/>
      <c r="C760" s="60"/>
      <c r="D760" s="66"/>
      <c r="E760" s="66"/>
      <c r="F760" s="66"/>
      <c r="G760" s="66"/>
      <c r="H760" s="66"/>
      <c r="I760" s="66"/>
      <c r="J760" s="66"/>
      <c r="K760" s="66"/>
      <c r="L760" s="66"/>
      <c r="M760" s="66"/>
      <c r="N760" s="66"/>
    </row>
    <row r="761" spans="1:14" x14ac:dyDescent="0.2">
      <c r="A761" s="84"/>
      <c r="B761" s="84"/>
      <c r="C761" s="60"/>
      <c r="D761" s="66"/>
      <c r="E761" s="66"/>
      <c r="F761" s="66"/>
      <c r="G761" s="66"/>
      <c r="H761" s="66"/>
      <c r="I761" s="66"/>
      <c r="J761" s="66"/>
      <c r="K761" s="66"/>
      <c r="L761" s="66"/>
      <c r="M761" s="66"/>
      <c r="N761" s="66"/>
    </row>
    <row r="762" spans="1:14" x14ac:dyDescent="0.2">
      <c r="A762" s="84"/>
      <c r="B762" s="84"/>
      <c r="C762" s="60"/>
      <c r="D762" s="66"/>
      <c r="E762" s="66"/>
      <c r="F762" s="66"/>
      <c r="G762" s="66"/>
      <c r="H762" s="66"/>
      <c r="I762" s="66"/>
      <c r="J762" s="66"/>
      <c r="K762" s="66"/>
      <c r="L762" s="66"/>
      <c r="M762" s="66"/>
      <c r="N762" s="66"/>
    </row>
    <row r="763" spans="1:14" x14ac:dyDescent="0.2">
      <c r="A763" s="84"/>
      <c r="B763" s="84"/>
      <c r="C763" s="60"/>
      <c r="D763" s="66"/>
      <c r="E763" s="66"/>
      <c r="F763" s="66"/>
      <c r="G763" s="66"/>
      <c r="H763" s="66"/>
      <c r="I763" s="66"/>
      <c r="J763" s="66"/>
      <c r="K763" s="66"/>
      <c r="L763" s="66"/>
      <c r="M763" s="66"/>
      <c r="N763" s="66"/>
    </row>
    <row r="764" spans="1:14" x14ac:dyDescent="0.2">
      <c r="A764" s="84"/>
      <c r="B764" s="84"/>
      <c r="C764" s="60"/>
      <c r="D764" s="66"/>
      <c r="E764" s="66"/>
      <c r="F764" s="66"/>
      <c r="G764" s="66"/>
      <c r="H764" s="66"/>
      <c r="I764" s="66"/>
      <c r="J764" s="66"/>
      <c r="K764" s="66"/>
      <c r="L764" s="66"/>
      <c r="M764" s="66"/>
      <c r="N764" s="66"/>
    </row>
    <row r="765" spans="1:14" x14ac:dyDescent="0.2">
      <c r="A765" s="84"/>
      <c r="B765" s="84"/>
      <c r="C765" s="60"/>
      <c r="D765" s="66"/>
      <c r="E765" s="66"/>
      <c r="F765" s="66"/>
      <c r="G765" s="66"/>
      <c r="H765" s="66"/>
      <c r="I765" s="66"/>
      <c r="J765" s="66"/>
      <c r="K765" s="66"/>
      <c r="L765" s="66"/>
      <c r="M765" s="66"/>
      <c r="N765" s="66"/>
    </row>
    <row r="766" spans="1:14" x14ac:dyDescent="0.2">
      <c r="A766" s="84"/>
      <c r="B766" s="84"/>
      <c r="C766" s="60"/>
      <c r="D766" s="66"/>
      <c r="E766" s="66"/>
      <c r="F766" s="66"/>
      <c r="G766" s="66"/>
      <c r="H766" s="66"/>
      <c r="I766" s="66"/>
      <c r="J766" s="66"/>
      <c r="K766" s="66"/>
      <c r="L766" s="66"/>
      <c r="M766" s="66"/>
      <c r="N766" s="66"/>
    </row>
    <row r="767" spans="1:14" x14ac:dyDescent="0.2">
      <c r="A767" s="84"/>
      <c r="B767" s="84"/>
      <c r="C767" s="60"/>
      <c r="D767" s="66"/>
      <c r="E767" s="66"/>
      <c r="F767" s="66"/>
      <c r="G767" s="66"/>
      <c r="H767" s="66"/>
      <c r="I767" s="66"/>
      <c r="J767" s="66"/>
      <c r="K767" s="66"/>
      <c r="L767" s="66"/>
      <c r="M767" s="66"/>
      <c r="N767" s="66"/>
    </row>
    <row r="768" spans="1:14" x14ac:dyDescent="0.2">
      <c r="A768" s="84"/>
      <c r="B768" s="84"/>
      <c r="C768" s="60"/>
      <c r="D768" s="66"/>
      <c r="E768" s="66"/>
      <c r="F768" s="66"/>
      <c r="G768" s="66"/>
      <c r="H768" s="66"/>
      <c r="I768" s="66"/>
      <c r="J768" s="66"/>
      <c r="K768" s="66"/>
      <c r="L768" s="66"/>
      <c r="M768" s="66"/>
      <c r="N768" s="66"/>
    </row>
    <row r="769" spans="1:14" x14ac:dyDescent="0.2">
      <c r="A769" s="84"/>
      <c r="B769" s="84"/>
      <c r="C769" s="60"/>
      <c r="D769" s="66"/>
      <c r="E769" s="66"/>
      <c r="F769" s="66"/>
      <c r="G769" s="66"/>
      <c r="H769" s="66"/>
      <c r="I769" s="66"/>
      <c r="J769" s="66"/>
      <c r="K769" s="66"/>
      <c r="L769" s="66"/>
      <c r="M769" s="66"/>
      <c r="N769" s="66"/>
    </row>
    <row r="770" spans="1:14" x14ac:dyDescent="0.2">
      <c r="A770" s="84"/>
      <c r="B770" s="84"/>
      <c r="C770" s="60"/>
      <c r="D770" s="66"/>
      <c r="E770" s="66"/>
      <c r="F770" s="66"/>
      <c r="G770" s="66"/>
      <c r="H770" s="66"/>
      <c r="I770" s="66"/>
      <c r="J770" s="66"/>
      <c r="K770" s="66"/>
      <c r="L770" s="66"/>
      <c r="M770" s="66"/>
      <c r="N770" s="66"/>
    </row>
    <row r="771" spans="1:14" x14ac:dyDescent="0.2">
      <c r="A771" s="84"/>
      <c r="B771" s="84"/>
      <c r="C771" s="60"/>
      <c r="D771" s="66"/>
      <c r="E771" s="66"/>
      <c r="F771" s="66"/>
      <c r="G771" s="66"/>
      <c r="H771" s="66"/>
      <c r="I771" s="66"/>
      <c r="J771" s="66"/>
      <c r="K771" s="66"/>
      <c r="L771" s="66"/>
      <c r="M771" s="66"/>
      <c r="N771" s="66"/>
    </row>
    <row r="772" spans="1:14" x14ac:dyDescent="0.2">
      <c r="A772" s="84"/>
      <c r="B772" s="84"/>
      <c r="C772" s="60"/>
      <c r="D772" s="66"/>
      <c r="E772" s="66"/>
      <c r="F772" s="66"/>
      <c r="G772" s="66"/>
      <c r="H772" s="66"/>
      <c r="I772" s="66"/>
      <c r="J772" s="66"/>
      <c r="K772" s="66"/>
      <c r="L772" s="66"/>
      <c r="M772" s="66"/>
      <c r="N772" s="66"/>
    </row>
    <row r="773" spans="1:14" x14ac:dyDescent="0.2">
      <c r="A773" s="84"/>
      <c r="B773" s="84"/>
      <c r="C773" s="60"/>
      <c r="D773" s="66"/>
      <c r="E773" s="66"/>
      <c r="F773" s="66"/>
      <c r="G773" s="66"/>
      <c r="H773" s="66"/>
      <c r="I773" s="66"/>
      <c r="J773" s="66"/>
      <c r="K773" s="66"/>
      <c r="L773" s="66"/>
      <c r="M773" s="66"/>
      <c r="N773" s="66"/>
    </row>
    <row r="774" spans="1:14" x14ac:dyDescent="0.2">
      <c r="A774" s="84"/>
      <c r="B774" s="84"/>
      <c r="C774" s="60"/>
      <c r="D774" s="66"/>
      <c r="E774" s="66"/>
      <c r="F774" s="66"/>
      <c r="G774" s="66"/>
      <c r="H774" s="66"/>
      <c r="I774" s="66"/>
      <c r="J774" s="66"/>
      <c r="K774" s="66"/>
      <c r="L774" s="66"/>
      <c r="M774" s="66"/>
      <c r="N774" s="66"/>
    </row>
    <row r="775" spans="1:14" x14ac:dyDescent="0.2">
      <c r="A775" s="84"/>
      <c r="B775" s="84"/>
      <c r="C775" s="60"/>
      <c r="D775" s="66"/>
      <c r="E775" s="66"/>
      <c r="F775" s="66"/>
      <c r="G775" s="66"/>
      <c r="H775" s="66"/>
      <c r="I775" s="66"/>
      <c r="J775" s="66"/>
      <c r="K775" s="66"/>
      <c r="L775" s="66"/>
      <c r="M775" s="66"/>
      <c r="N775" s="66"/>
    </row>
    <row r="776" spans="1:14" x14ac:dyDescent="0.2">
      <c r="A776" s="84"/>
      <c r="B776" s="84"/>
      <c r="C776" s="60"/>
      <c r="D776" s="66"/>
      <c r="E776" s="66"/>
      <c r="F776" s="66"/>
      <c r="G776" s="66"/>
      <c r="H776" s="66"/>
      <c r="I776" s="66"/>
      <c r="J776" s="66"/>
      <c r="K776" s="66"/>
      <c r="L776" s="66"/>
      <c r="M776" s="66"/>
      <c r="N776" s="66"/>
    </row>
    <row r="777" spans="1:14" x14ac:dyDescent="0.2">
      <c r="A777" s="84"/>
      <c r="B777" s="84"/>
      <c r="C777" s="60"/>
      <c r="D777" s="66"/>
      <c r="E777" s="66"/>
      <c r="F777" s="66"/>
      <c r="G777" s="66"/>
      <c r="H777" s="66"/>
      <c r="I777" s="66"/>
      <c r="J777" s="66"/>
      <c r="K777" s="66"/>
      <c r="L777" s="66"/>
      <c r="M777" s="66"/>
      <c r="N777" s="66"/>
    </row>
    <row r="778" spans="1:14" x14ac:dyDescent="0.2">
      <c r="A778" s="84"/>
      <c r="B778" s="84"/>
      <c r="C778" s="60"/>
      <c r="D778" s="66"/>
      <c r="E778" s="66"/>
      <c r="F778" s="66"/>
      <c r="G778" s="66"/>
      <c r="H778" s="66"/>
      <c r="I778" s="66"/>
      <c r="J778" s="66"/>
      <c r="K778" s="66"/>
      <c r="L778" s="66"/>
      <c r="M778" s="66"/>
      <c r="N778" s="66"/>
    </row>
    <row r="779" spans="1:14" x14ac:dyDescent="0.2">
      <c r="A779" s="84"/>
      <c r="B779" s="84"/>
      <c r="C779" s="60"/>
      <c r="D779" s="66"/>
      <c r="E779" s="66"/>
      <c r="F779" s="66"/>
      <c r="G779" s="66"/>
      <c r="H779" s="66"/>
      <c r="I779" s="66"/>
      <c r="J779" s="66"/>
      <c r="K779" s="66"/>
      <c r="L779" s="66"/>
      <c r="M779" s="66"/>
      <c r="N779" s="66"/>
    </row>
    <row r="780" spans="1:14" x14ac:dyDescent="0.2">
      <c r="A780" s="84"/>
      <c r="B780" s="84"/>
      <c r="C780" s="60"/>
      <c r="D780" s="66"/>
      <c r="E780" s="66"/>
      <c r="F780" s="66"/>
      <c r="G780" s="66"/>
      <c r="H780" s="66"/>
      <c r="I780" s="66"/>
      <c r="J780" s="66"/>
      <c r="K780" s="66"/>
      <c r="L780" s="66"/>
      <c r="M780" s="66"/>
      <c r="N780" s="66"/>
    </row>
    <row r="781" spans="1:14" x14ac:dyDescent="0.2">
      <c r="A781" s="84"/>
      <c r="B781" s="84"/>
      <c r="C781" s="60"/>
      <c r="D781" s="66"/>
      <c r="E781" s="66"/>
      <c r="F781" s="66"/>
      <c r="G781" s="66"/>
      <c r="H781" s="66"/>
      <c r="I781" s="66"/>
      <c r="J781" s="66"/>
      <c r="K781" s="66"/>
      <c r="L781" s="66"/>
      <c r="M781" s="66"/>
      <c r="N781" s="66"/>
    </row>
    <row r="782" spans="1:14" x14ac:dyDescent="0.2">
      <c r="A782" s="84"/>
      <c r="B782" s="84"/>
      <c r="C782" s="60"/>
      <c r="D782" s="66"/>
      <c r="E782" s="66"/>
      <c r="F782" s="66"/>
      <c r="G782" s="66"/>
      <c r="H782" s="66"/>
      <c r="I782" s="66"/>
      <c r="J782" s="66"/>
      <c r="K782" s="66"/>
      <c r="L782" s="66"/>
      <c r="M782" s="66"/>
      <c r="N782" s="66"/>
    </row>
    <row r="783" spans="1:14" x14ac:dyDescent="0.2">
      <c r="A783" s="84"/>
      <c r="B783" s="84"/>
      <c r="C783" s="60"/>
      <c r="D783" s="66"/>
      <c r="E783" s="66"/>
      <c r="F783" s="66"/>
      <c r="G783" s="66"/>
      <c r="H783" s="66"/>
      <c r="I783" s="66"/>
      <c r="J783" s="66"/>
      <c r="K783" s="66"/>
      <c r="L783" s="66"/>
      <c r="M783" s="66"/>
      <c r="N783" s="66"/>
    </row>
    <row r="784" spans="1:14" x14ac:dyDescent="0.2">
      <c r="A784" s="84"/>
      <c r="B784" s="84"/>
      <c r="C784" s="60"/>
      <c r="D784" s="66"/>
      <c r="E784" s="66"/>
      <c r="F784" s="66"/>
      <c r="G784" s="66"/>
      <c r="H784" s="66"/>
      <c r="I784" s="66"/>
      <c r="J784" s="66"/>
      <c r="K784" s="66"/>
      <c r="L784" s="66"/>
      <c r="M784" s="66"/>
      <c r="N784" s="66"/>
    </row>
    <row r="785" spans="1:14" x14ac:dyDescent="0.2">
      <c r="A785" s="84"/>
      <c r="B785" s="84"/>
      <c r="C785" s="60"/>
      <c r="D785" s="66"/>
      <c r="E785" s="66"/>
      <c r="F785" s="66"/>
      <c r="G785" s="66"/>
      <c r="H785" s="66"/>
      <c r="I785" s="66"/>
      <c r="J785" s="66"/>
      <c r="K785" s="66"/>
      <c r="L785" s="66"/>
      <c r="M785" s="66"/>
      <c r="N785" s="66"/>
    </row>
    <row r="786" spans="1:14" x14ac:dyDescent="0.2">
      <c r="A786" s="84"/>
      <c r="B786" s="84"/>
      <c r="C786" s="60"/>
      <c r="D786" s="66"/>
      <c r="E786" s="66"/>
      <c r="F786" s="66"/>
      <c r="G786" s="66"/>
      <c r="H786" s="66"/>
      <c r="I786" s="66"/>
      <c r="J786" s="66"/>
      <c r="K786" s="66"/>
      <c r="L786" s="66"/>
      <c r="M786" s="66"/>
      <c r="N786" s="66"/>
    </row>
    <row r="787" spans="1:14" x14ac:dyDescent="0.2">
      <c r="A787" s="84"/>
      <c r="B787" s="84"/>
      <c r="C787" s="60"/>
      <c r="D787" s="66"/>
      <c r="E787" s="66"/>
      <c r="F787" s="66"/>
      <c r="G787" s="66"/>
      <c r="H787" s="66"/>
      <c r="I787" s="66"/>
      <c r="J787" s="66"/>
      <c r="K787" s="66"/>
      <c r="L787" s="66"/>
      <c r="M787" s="66"/>
      <c r="N787" s="66"/>
    </row>
    <row r="788" spans="1:14" x14ac:dyDescent="0.2">
      <c r="A788" s="84"/>
      <c r="B788" s="84"/>
      <c r="C788" s="60"/>
      <c r="D788" s="66"/>
      <c r="E788" s="66"/>
      <c r="F788" s="66"/>
      <c r="G788" s="66"/>
      <c r="H788" s="66"/>
      <c r="I788" s="66"/>
      <c r="J788" s="66"/>
      <c r="K788" s="66"/>
      <c r="L788" s="66"/>
      <c r="M788" s="66"/>
      <c r="N788" s="66"/>
    </row>
    <row r="789" spans="1:14" x14ac:dyDescent="0.2">
      <c r="A789" s="84"/>
      <c r="B789" s="84"/>
      <c r="C789" s="60"/>
      <c r="D789" s="66"/>
      <c r="E789" s="66"/>
      <c r="F789" s="66"/>
      <c r="G789" s="66"/>
      <c r="H789" s="66"/>
      <c r="I789" s="66"/>
      <c r="J789" s="66"/>
      <c r="K789" s="66"/>
      <c r="L789" s="66"/>
      <c r="M789" s="66"/>
      <c r="N789" s="66"/>
    </row>
    <row r="790" spans="1:14" x14ac:dyDescent="0.2">
      <c r="A790" s="84"/>
      <c r="B790" s="84"/>
      <c r="C790" s="60"/>
      <c r="D790" s="66"/>
      <c r="E790" s="66"/>
      <c r="F790" s="66"/>
      <c r="G790" s="66"/>
      <c r="H790" s="66"/>
      <c r="I790" s="66"/>
      <c r="J790" s="66"/>
      <c r="K790" s="66"/>
      <c r="L790" s="66"/>
      <c r="M790" s="66"/>
      <c r="N790" s="66"/>
    </row>
    <row r="791" spans="1:14" x14ac:dyDescent="0.2">
      <c r="A791" s="84"/>
      <c r="B791" s="84"/>
      <c r="C791" s="60"/>
      <c r="D791" s="66"/>
      <c r="E791" s="66"/>
      <c r="F791" s="66"/>
      <c r="G791" s="66"/>
      <c r="H791" s="66"/>
      <c r="I791" s="66"/>
      <c r="J791" s="66"/>
      <c r="K791" s="66"/>
      <c r="L791" s="66"/>
      <c r="M791" s="66"/>
      <c r="N791" s="66"/>
    </row>
    <row r="792" spans="1:14" x14ac:dyDescent="0.2">
      <c r="A792" s="84"/>
      <c r="B792" s="84"/>
      <c r="C792" s="60"/>
      <c r="D792" s="66"/>
      <c r="E792" s="66"/>
      <c r="F792" s="66"/>
      <c r="G792" s="66"/>
      <c r="H792" s="66"/>
      <c r="I792" s="66"/>
      <c r="J792" s="66"/>
      <c r="K792" s="66"/>
      <c r="L792" s="66"/>
      <c r="M792" s="66"/>
      <c r="N792" s="66"/>
    </row>
    <row r="793" spans="1:14" x14ac:dyDescent="0.2">
      <c r="A793" s="84"/>
      <c r="B793" s="84"/>
      <c r="C793" s="60"/>
      <c r="D793" s="66"/>
      <c r="E793" s="66"/>
      <c r="F793" s="66"/>
      <c r="G793" s="66"/>
      <c r="H793" s="66"/>
      <c r="I793" s="66"/>
      <c r="J793" s="66"/>
      <c r="K793" s="66"/>
      <c r="L793" s="66"/>
      <c r="M793" s="66"/>
      <c r="N793" s="66"/>
    </row>
    <row r="794" spans="1:14" x14ac:dyDescent="0.2">
      <c r="A794" s="84"/>
      <c r="B794" s="84"/>
      <c r="C794" s="60"/>
      <c r="D794" s="66"/>
      <c r="E794" s="66"/>
      <c r="F794" s="66"/>
      <c r="G794" s="66"/>
      <c r="H794" s="66"/>
      <c r="I794" s="66"/>
      <c r="J794" s="66"/>
      <c r="K794" s="66"/>
      <c r="L794" s="66"/>
      <c r="M794" s="66"/>
      <c r="N794" s="66"/>
    </row>
    <row r="795" spans="1:14" x14ac:dyDescent="0.2">
      <c r="A795" s="84"/>
      <c r="B795" s="84"/>
      <c r="C795" s="60"/>
      <c r="D795" s="66"/>
      <c r="E795" s="66"/>
      <c r="F795" s="66"/>
      <c r="G795" s="66"/>
      <c r="H795" s="66"/>
      <c r="I795" s="66"/>
      <c r="J795" s="66"/>
      <c r="K795" s="66"/>
      <c r="L795" s="66"/>
      <c r="M795" s="66"/>
      <c r="N795" s="66"/>
    </row>
    <row r="796" spans="1:14" x14ac:dyDescent="0.2">
      <c r="A796" s="84"/>
      <c r="B796" s="84"/>
      <c r="C796" s="60"/>
      <c r="D796" s="66"/>
      <c r="E796" s="66"/>
      <c r="F796" s="66"/>
      <c r="G796" s="66"/>
      <c r="H796" s="66"/>
      <c r="I796" s="66"/>
      <c r="J796" s="66"/>
      <c r="K796" s="66"/>
      <c r="L796" s="66"/>
      <c r="M796" s="66"/>
      <c r="N796" s="66"/>
    </row>
    <row r="797" spans="1:14" x14ac:dyDescent="0.2">
      <c r="A797" s="84"/>
      <c r="B797" s="84"/>
      <c r="C797" s="60"/>
      <c r="D797" s="66"/>
      <c r="E797" s="66"/>
      <c r="F797" s="66"/>
      <c r="G797" s="66"/>
      <c r="H797" s="66"/>
      <c r="I797" s="66"/>
      <c r="J797" s="66"/>
      <c r="K797" s="66"/>
      <c r="L797" s="66"/>
      <c r="M797" s="66"/>
      <c r="N797" s="66"/>
    </row>
    <row r="798" spans="1:14" x14ac:dyDescent="0.2">
      <c r="A798" s="84"/>
      <c r="B798" s="84"/>
      <c r="C798" s="60"/>
      <c r="D798" s="66"/>
      <c r="E798" s="66"/>
      <c r="F798" s="66"/>
      <c r="G798" s="66"/>
      <c r="H798" s="66"/>
      <c r="I798" s="66"/>
      <c r="J798" s="66"/>
      <c r="K798" s="66"/>
      <c r="L798" s="66"/>
      <c r="M798" s="66"/>
      <c r="N798" s="66"/>
    </row>
    <row r="799" spans="1:14" x14ac:dyDescent="0.2">
      <c r="A799" s="84"/>
      <c r="B799" s="84"/>
      <c r="C799" s="60"/>
      <c r="D799" s="66"/>
      <c r="E799" s="66"/>
      <c r="F799" s="66"/>
      <c r="G799" s="66"/>
      <c r="H799" s="66"/>
      <c r="I799" s="66"/>
      <c r="J799" s="66"/>
      <c r="K799" s="66"/>
      <c r="L799" s="66"/>
      <c r="M799" s="66"/>
      <c r="N799" s="66"/>
    </row>
    <row r="800" spans="1:14" x14ac:dyDescent="0.2">
      <c r="A800" s="84"/>
      <c r="B800" s="84"/>
      <c r="C800" s="60"/>
      <c r="D800" s="66"/>
      <c r="E800" s="66"/>
      <c r="F800" s="66"/>
      <c r="G800" s="66"/>
      <c r="H800" s="66"/>
      <c r="I800" s="66"/>
      <c r="J800" s="66"/>
      <c r="K800" s="66"/>
      <c r="L800" s="66"/>
      <c r="M800" s="66"/>
      <c r="N800" s="66"/>
    </row>
    <row r="801" spans="1:14" x14ac:dyDescent="0.2">
      <c r="A801" s="84"/>
      <c r="B801" s="84"/>
      <c r="C801" s="60"/>
      <c r="D801" s="66"/>
      <c r="E801" s="66"/>
      <c r="F801" s="66"/>
      <c r="G801" s="66"/>
      <c r="H801" s="66"/>
      <c r="I801" s="66"/>
      <c r="J801" s="66"/>
      <c r="K801" s="66"/>
      <c r="L801" s="66"/>
      <c r="M801" s="66"/>
      <c r="N801" s="66"/>
    </row>
    <row r="802" spans="1:14" x14ac:dyDescent="0.2">
      <c r="A802" s="84"/>
      <c r="B802" s="84"/>
      <c r="C802" s="60"/>
      <c r="D802" s="66"/>
      <c r="E802" s="66"/>
      <c r="F802" s="66"/>
      <c r="G802" s="66"/>
      <c r="H802" s="66"/>
      <c r="I802" s="66"/>
      <c r="J802" s="66"/>
      <c r="K802" s="66"/>
      <c r="L802" s="66"/>
      <c r="M802" s="66"/>
      <c r="N802" s="66"/>
    </row>
    <row r="803" spans="1:14" x14ac:dyDescent="0.2">
      <c r="A803" s="84"/>
      <c r="B803" s="84"/>
      <c r="C803" s="60"/>
      <c r="D803" s="66"/>
      <c r="E803" s="66"/>
      <c r="F803" s="66"/>
      <c r="G803" s="66"/>
      <c r="H803" s="66"/>
      <c r="I803" s="66"/>
      <c r="J803" s="66"/>
      <c r="K803" s="66"/>
      <c r="L803" s="66"/>
      <c r="M803" s="66"/>
      <c r="N803" s="66"/>
    </row>
    <row r="804" spans="1:14" x14ac:dyDescent="0.2">
      <c r="A804" s="84"/>
      <c r="B804" s="84"/>
      <c r="C804" s="60"/>
      <c r="D804" s="66"/>
      <c r="E804" s="66"/>
      <c r="F804" s="66"/>
      <c r="G804" s="66"/>
      <c r="H804" s="66"/>
      <c r="I804" s="66"/>
      <c r="J804" s="66"/>
      <c r="K804" s="66"/>
      <c r="L804" s="66"/>
      <c r="M804" s="66"/>
      <c r="N804" s="66"/>
    </row>
    <row r="805" spans="1:14" x14ac:dyDescent="0.2">
      <c r="A805" s="84"/>
      <c r="B805" s="84"/>
      <c r="C805" s="60"/>
      <c r="D805" s="66"/>
      <c r="E805" s="66"/>
      <c r="F805" s="66"/>
      <c r="G805" s="66"/>
      <c r="H805" s="66"/>
      <c r="I805" s="66"/>
      <c r="J805" s="66"/>
      <c r="K805" s="66"/>
      <c r="L805" s="66"/>
      <c r="M805" s="66"/>
      <c r="N805" s="66"/>
    </row>
    <row r="806" spans="1:14" x14ac:dyDescent="0.2">
      <c r="A806" s="84"/>
      <c r="B806" s="84"/>
      <c r="C806" s="60"/>
      <c r="D806" s="66"/>
      <c r="E806" s="66"/>
      <c r="F806" s="66"/>
      <c r="G806" s="66"/>
      <c r="H806" s="66"/>
      <c r="I806" s="66"/>
      <c r="J806" s="66"/>
      <c r="K806" s="66"/>
      <c r="L806" s="66"/>
      <c r="M806" s="66"/>
      <c r="N806" s="66"/>
    </row>
    <row r="807" spans="1:14" x14ac:dyDescent="0.2">
      <c r="A807" s="84"/>
      <c r="B807" s="84"/>
      <c r="C807" s="60"/>
      <c r="D807" s="66"/>
      <c r="E807" s="66"/>
      <c r="F807" s="66"/>
      <c r="G807" s="66"/>
      <c r="H807" s="66"/>
      <c r="I807" s="66"/>
      <c r="J807" s="66"/>
      <c r="K807" s="66"/>
      <c r="L807" s="66"/>
      <c r="M807" s="66"/>
      <c r="N807" s="66"/>
    </row>
    <row r="808" spans="1:14" x14ac:dyDescent="0.2">
      <c r="A808" s="84"/>
      <c r="B808" s="84"/>
      <c r="C808" s="60"/>
      <c r="D808" s="66"/>
      <c r="E808" s="66"/>
      <c r="F808" s="66"/>
      <c r="G808" s="66"/>
      <c r="H808" s="66"/>
      <c r="I808" s="66"/>
      <c r="J808" s="66"/>
      <c r="K808" s="66"/>
      <c r="L808" s="66"/>
      <c r="M808" s="66"/>
      <c r="N808" s="66"/>
    </row>
    <row r="809" spans="1:14" x14ac:dyDescent="0.2">
      <c r="A809" s="84"/>
      <c r="B809" s="84"/>
      <c r="C809" s="60"/>
      <c r="D809" s="66"/>
      <c r="E809" s="66"/>
      <c r="F809" s="66"/>
      <c r="G809" s="66"/>
      <c r="H809" s="66"/>
      <c r="I809" s="66"/>
      <c r="J809" s="66"/>
      <c r="K809" s="66"/>
      <c r="L809" s="66"/>
      <c r="M809" s="66"/>
      <c r="N809" s="66"/>
    </row>
    <row r="810" spans="1:14" x14ac:dyDescent="0.2">
      <c r="A810" s="84"/>
      <c r="B810" s="84"/>
      <c r="C810" s="60"/>
      <c r="D810" s="66"/>
      <c r="E810" s="66"/>
      <c r="F810" s="66"/>
      <c r="G810" s="66"/>
      <c r="H810" s="66"/>
      <c r="I810" s="66"/>
      <c r="J810" s="66"/>
      <c r="K810" s="66"/>
      <c r="L810" s="66"/>
      <c r="M810" s="66"/>
      <c r="N810" s="66"/>
    </row>
    <row r="811" spans="1:14" x14ac:dyDescent="0.2">
      <c r="A811" s="84"/>
      <c r="B811" s="84"/>
      <c r="C811" s="60"/>
      <c r="D811" s="66"/>
      <c r="E811" s="66"/>
      <c r="F811" s="66"/>
      <c r="G811" s="66"/>
      <c r="H811" s="66"/>
      <c r="I811" s="66"/>
      <c r="J811" s="66"/>
      <c r="K811" s="66"/>
      <c r="L811" s="66"/>
      <c r="M811" s="66"/>
      <c r="N811" s="66"/>
    </row>
    <row r="812" spans="1:14" x14ac:dyDescent="0.2">
      <c r="A812" s="84"/>
      <c r="B812" s="84"/>
      <c r="C812" s="60"/>
      <c r="D812" s="66"/>
      <c r="E812" s="66"/>
      <c r="F812" s="66"/>
      <c r="G812" s="66"/>
      <c r="H812" s="66"/>
      <c r="I812" s="66"/>
      <c r="J812" s="66"/>
      <c r="K812" s="66"/>
      <c r="L812" s="66"/>
      <c r="M812" s="66"/>
      <c r="N812" s="66"/>
    </row>
    <row r="813" spans="1:14" x14ac:dyDescent="0.2">
      <c r="A813" s="84"/>
      <c r="B813" s="84"/>
      <c r="C813" s="60"/>
      <c r="D813" s="66"/>
      <c r="E813" s="66"/>
      <c r="F813" s="66"/>
      <c r="G813" s="66"/>
      <c r="H813" s="66"/>
      <c r="I813" s="66"/>
      <c r="J813" s="66"/>
      <c r="K813" s="66"/>
      <c r="L813" s="66"/>
      <c r="M813" s="66"/>
      <c r="N813" s="66"/>
    </row>
    <row r="814" spans="1:14" x14ac:dyDescent="0.2">
      <c r="A814" s="84"/>
      <c r="B814" s="84"/>
      <c r="C814" s="60"/>
      <c r="D814" s="66"/>
      <c r="E814" s="66"/>
      <c r="F814" s="66"/>
      <c r="G814" s="66"/>
      <c r="H814" s="66"/>
      <c r="I814" s="66"/>
      <c r="J814" s="66"/>
      <c r="K814" s="66"/>
      <c r="L814" s="66"/>
      <c r="M814" s="66"/>
      <c r="N814" s="66"/>
    </row>
    <row r="815" spans="1:14" x14ac:dyDescent="0.2">
      <c r="A815" s="84"/>
      <c r="B815" s="84"/>
      <c r="C815" s="60"/>
      <c r="D815" s="66"/>
      <c r="E815" s="66"/>
      <c r="F815" s="66"/>
      <c r="G815" s="66"/>
      <c r="H815" s="66"/>
      <c r="I815" s="66"/>
      <c r="J815" s="66"/>
      <c r="K815" s="66"/>
      <c r="L815" s="66"/>
      <c r="M815" s="66"/>
      <c r="N815" s="66"/>
    </row>
    <row r="816" spans="1:14" x14ac:dyDescent="0.2">
      <c r="A816" s="84"/>
      <c r="B816" s="84"/>
      <c r="C816" s="60"/>
      <c r="D816" s="66"/>
      <c r="E816" s="66"/>
      <c r="F816" s="66"/>
      <c r="G816" s="66"/>
      <c r="H816" s="66"/>
      <c r="I816" s="66"/>
      <c r="J816" s="66"/>
      <c r="K816" s="66"/>
      <c r="L816" s="66"/>
      <c r="M816" s="66"/>
      <c r="N816" s="66"/>
    </row>
    <row r="817" spans="1:14" x14ac:dyDescent="0.2">
      <c r="A817" s="84"/>
      <c r="B817" s="84"/>
      <c r="C817" s="60"/>
      <c r="D817" s="66"/>
      <c r="E817" s="66"/>
      <c r="F817" s="66"/>
      <c r="G817" s="66"/>
      <c r="H817" s="66"/>
      <c r="I817" s="66"/>
      <c r="J817" s="66"/>
      <c r="K817" s="66"/>
      <c r="L817" s="66"/>
      <c r="M817" s="66"/>
      <c r="N817" s="66"/>
    </row>
    <row r="818" spans="1:14" x14ac:dyDescent="0.2">
      <c r="A818" s="84"/>
      <c r="B818" s="84"/>
      <c r="C818" s="60"/>
      <c r="D818" s="66"/>
      <c r="E818" s="66"/>
      <c r="F818" s="66"/>
      <c r="G818" s="66"/>
      <c r="H818" s="66"/>
      <c r="I818" s="66"/>
      <c r="J818" s="66"/>
      <c r="K818" s="66"/>
      <c r="L818" s="66"/>
      <c r="M818" s="66"/>
      <c r="N818" s="66"/>
    </row>
    <row r="819" spans="1:14" x14ac:dyDescent="0.2">
      <c r="A819" s="84"/>
      <c r="B819" s="84"/>
      <c r="C819" s="60"/>
      <c r="D819" s="66"/>
      <c r="E819" s="66"/>
      <c r="F819" s="66"/>
      <c r="G819" s="66"/>
      <c r="H819" s="66"/>
      <c r="I819" s="66"/>
      <c r="J819" s="66"/>
      <c r="K819" s="66"/>
      <c r="L819" s="66"/>
      <c r="M819" s="66"/>
      <c r="N819" s="66"/>
    </row>
    <row r="820" spans="1:14" x14ac:dyDescent="0.2">
      <c r="A820" s="84"/>
      <c r="B820" s="84"/>
      <c r="C820" s="60"/>
      <c r="D820" s="66"/>
      <c r="E820" s="66"/>
      <c r="F820" s="66"/>
      <c r="G820" s="66"/>
      <c r="H820" s="66"/>
      <c r="I820" s="66"/>
      <c r="J820" s="66"/>
      <c r="K820" s="66"/>
      <c r="L820" s="66"/>
      <c r="M820" s="66"/>
      <c r="N820" s="66"/>
    </row>
    <row r="821" spans="1:14" x14ac:dyDescent="0.2">
      <c r="A821" s="84"/>
      <c r="B821" s="84"/>
      <c r="C821" s="60"/>
      <c r="D821" s="66"/>
      <c r="E821" s="66"/>
      <c r="F821" s="66"/>
      <c r="G821" s="66"/>
      <c r="H821" s="66"/>
      <c r="I821" s="66"/>
      <c r="J821" s="66"/>
      <c r="K821" s="66"/>
      <c r="L821" s="66"/>
      <c r="M821" s="66"/>
      <c r="N821" s="66"/>
    </row>
    <row r="822" spans="1:14" x14ac:dyDescent="0.2">
      <c r="A822" s="84"/>
      <c r="B822" s="84"/>
      <c r="C822" s="60"/>
      <c r="D822" s="66"/>
      <c r="E822" s="66"/>
      <c r="F822" s="66"/>
      <c r="G822" s="66"/>
      <c r="H822" s="66"/>
      <c r="I822" s="66"/>
      <c r="J822" s="66"/>
      <c r="K822" s="66"/>
      <c r="L822" s="66"/>
      <c r="M822" s="66"/>
      <c r="N822" s="66"/>
    </row>
    <row r="823" spans="1:14" x14ac:dyDescent="0.2">
      <c r="A823" s="84"/>
      <c r="B823" s="84"/>
      <c r="C823" s="60"/>
      <c r="D823" s="66"/>
      <c r="E823" s="66"/>
      <c r="F823" s="66"/>
      <c r="G823" s="66"/>
      <c r="H823" s="66"/>
      <c r="I823" s="66"/>
      <c r="J823" s="66"/>
      <c r="K823" s="66"/>
      <c r="L823" s="66"/>
      <c r="M823" s="66"/>
      <c r="N823" s="66"/>
    </row>
    <row r="824" spans="1:14" x14ac:dyDescent="0.2">
      <c r="A824" s="84"/>
      <c r="B824" s="84"/>
      <c r="C824" s="60"/>
      <c r="D824" s="66"/>
      <c r="E824" s="66"/>
      <c r="F824" s="66"/>
      <c r="G824" s="66"/>
      <c r="H824" s="66"/>
      <c r="I824" s="66"/>
      <c r="J824" s="66"/>
      <c r="K824" s="66"/>
      <c r="L824" s="66"/>
      <c r="M824" s="66"/>
      <c r="N824" s="66"/>
    </row>
    <row r="825" spans="1:14" x14ac:dyDescent="0.2">
      <c r="A825" s="84"/>
      <c r="B825" s="84"/>
      <c r="C825" s="60"/>
      <c r="D825" s="66"/>
      <c r="E825" s="66"/>
      <c r="F825" s="66"/>
      <c r="G825" s="66"/>
      <c r="H825" s="66"/>
      <c r="I825" s="66"/>
      <c r="J825" s="66"/>
      <c r="K825" s="66"/>
      <c r="L825" s="66"/>
      <c r="M825" s="66"/>
      <c r="N825" s="66"/>
    </row>
    <row r="826" spans="1:14" x14ac:dyDescent="0.2">
      <c r="A826" s="84"/>
      <c r="B826" s="84"/>
      <c r="C826" s="60"/>
      <c r="D826" s="66"/>
      <c r="E826" s="66"/>
      <c r="F826" s="66"/>
      <c r="G826" s="66"/>
      <c r="H826" s="66"/>
      <c r="I826" s="66"/>
      <c r="J826" s="66"/>
      <c r="K826" s="66"/>
      <c r="L826" s="66"/>
      <c r="M826" s="66"/>
      <c r="N826" s="66"/>
    </row>
    <row r="827" spans="1:14" x14ac:dyDescent="0.2">
      <c r="A827" s="84"/>
      <c r="B827" s="84"/>
      <c r="C827" s="60"/>
      <c r="D827" s="66"/>
      <c r="E827" s="66"/>
      <c r="F827" s="66"/>
      <c r="G827" s="66"/>
      <c r="H827" s="66"/>
      <c r="I827" s="66"/>
      <c r="J827" s="66"/>
      <c r="K827" s="66"/>
      <c r="L827" s="66"/>
      <c r="M827" s="66"/>
      <c r="N827" s="66"/>
    </row>
    <row r="828" spans="1:14" x14ac:dyDescent="0.2">
      <c r="A828" s="84"/>
      <c r="B828" s="84"/>
      <c r="C828" s="60"/>
      <c r="D828" s="66"/>
      <c r="E828" s="66"/>
      <c r="F828" s="66"/>
      <c r="G828" s="66"/>
      <c r="H828" s="66"/>
      <c r="I828" s="66"/>
      <c r="J828" s="66"/>
      <c r="K828" s="66"/>
      <c r="L828" s="66"/>
      <c r="M828" s="66"/>
      <c r="N828" s="66"/>
    </row>
    <row r="829" spans="1:14" x14ac:dyDescent="0.2">
      <c r="A829" s="84"/>
      <c r="B829" s="84"/>
      <c r="C829" s="60"/>
      <c r="D829" s="66"/>
      <c r="E829" s="66"/>
      <c r="F829" s="66"/>
      <c r="G829" s="66"/>
      <c r="H829" s="66"/>
      <c r="I829" s="66"/>
      <c r="J829" s="66"/>
      <c r="K829" s="66"/>
      <c r="L829" s="66"/>
      <c r="M829" s="66"/>
      <c r="N829" s="66"/>
    </row>
    <row r="830" spans="1:14" x14ac:dyDescent="0.2">
      <c r="A830" s="84"/>
      <c r="B830" s="84"/>
      <c r="C830" s="60"/>
      <c r="D830" s="66"/>
      <c r="E830" s="66"/>
      <c r="F830" s="66"/>
      <c r="G830" s="66"/>
      <c r="H830" s="66"/>
      <c r="I830" s="66"/>
      <c r="J830" s="66"/>
      <c r="K830" s="66"/>
      <c r="L830" s="66"/>
      <c r="M830" s="66"/>
      <c r="N830" s="66"/>
    </row>
    <row r="831" spans="1:14" x14ac:dyDescent="0.2">
      <c r="A831" s="84"/>
      <c r="B831" s="84"/>
      <c r="C831" s="60"/>
      <c r="D831" s="66"/>
      <c r="E831" s="66"/>
      <c r="F831" s="66"/>
      <c r="G831" s="66"/>
      <c r="H831" s="66"/>
      <c r="I831" s="66"/>
      <c r="J831" s="66"/>
      <c r="K831" s="66"/>
      <c r="L831" s="66"/>
      <c r="M831" s="66"/>
      <c r="N831" s="66"/>
    </row>
    <row r="832" spans="1:14" x14ac:dyDescent="0.2">
      <c r="A832" s="84"/>
      <c r="B832" s="84"/>
      <c r="C832" s="60"/>
      <c r="D832" s="66"/>
      <c r="E832" s="66"/>
      <c r="F832" s="66"/>
      <c r="G832" s="66"/>
      <c r="H832" s="66"/>
      <c r="I832" s="66"/>
      <c r="J832" s="66"/>
      <c r="K832" s="66"/>
      <c r="L832" s="66"/>
      <c r="M832" s="66"/>
      <c r="N832" s="66"/>
    </row>
    <row r="833" spans="1:14" x14ac:dyDescent="0.2">
      <c r="A833" s="84"/>
      <c r="B833" s="84"/>
      <c r="C833" s="60"/>
      <c r="D833" s="66"/>
      <c r="E833" s="66"/>
      <c r="F833" s="66"/>
      <c r="G833" s="66"/>
      <c r="H833" s="66"/>
      <c r="I833" s="66"/>
      <c r="J833" s="66"/>
      <c r="K833" s="66"/>
      <c r="L833" s="66"/>
      <c r="M833" s="66"/>
      <c r="N833" s="66"/>
    </row>
    <row r="834" spans="1:14" x14ac:dyDescent="0.2">
      <c r="A834" s="84"/>
      <c r="B834" s="84"/>
      <c r="C834" s="60"/>
      <c r="D834" s="66"/>
      <c r="E834" s="66"/>
      <c r="F834" s="66"/>
      <c r="G834" s="66"/>
      <c r="H834" s="66"/>
      <c r="I834" s="66"/>
      <c r="J834" s="66"/>
      <c r="K834" s="66"/>
      <c r="L834" s="66"/>
      <c r="M834" s="66"/>
      <c r="N834" s="66"/>
    </row>
    <row r="835" spans="1:14" x14ac:dyDescent="0.2">
      <c r="A835" s="84"/>
      <c r="B835" s="84"/>
      <c r="C835" s="60"/>
      <c r="D835" s="66"/>
      <c r="E835" s="66"/>
      <c r="F835" s="66"/>
      <c r="G835" s="66"/>
      <c r="H835" s="66"/>
      <c r="I835" s="66"/>
      <c r="J835" s="66"/>
      <c r="K835" s="66"/>
      <c r="L835" s="66"/>
      <c r="M835" s="66"/>
      <c r="N835" s="66"/>
    </row>
    <row r="836" spans="1:14" x14ac:dyDescent="0.2">
      <c r="A836" s="84"/>
      <c r="B836" s="84"/>
      <c r="C836" s="60"/>
      <c r="D836" s="66"/>
      <c r="E836" s="66"/>
      <c r="F836" s="66"/>
      <c r="G836" s="66"/>
      <c r="H836" s="66"/>
      <c r="I836" s="66"/>
      <c r="J836" s="66"/>
      <c r="K836" s="66"/>
      <c r="L836" s="66"/>
      <c r="M836" s="66"/>
      <c r="N836" s="66"/>
    </row>
    <row r="837" spans="1:14" x14ac:dyDescent="0.2">
      <c r="A837" s="84"/>
      <c r="B837" s="84"/>
      <c r="C837" s="60"/>
      <c r="D837" s="66"/>
      <c r="E837" s="66"/>
      <c r="F837" s="66"/>
      <c r="G837" s="66"/>
      <c r="H837" s="66"/>
      <c r="I837" s="66"/>
      <c r="J837" s="66"/>
      <c r="K837" s="66"/>
      <c r="L837" s="66"/>
      <c r="M837" s="66"/>
      <c r="N837" s="66"/>
    </row>
    <row r="838" spans="1:14" x14ac:dyDescent="0.2">
      <c r="A838" s="84"/>
      <c r="B838" s="84"/>
      <c r="C838" s="60"/>
      <c r="D838" s="66"/>
      <c r="E838" s="66"/>
      <c r="F838" s="66"/>
      <c r="G838" s="66"/>
      <c r="H838" s="66"/>
      <c r="I838" s="66"/>
      <c r="J838" s="66"/>
      <c r="K838" s="66"/>
      <c r="L838" s="66"/>
      <c r="M838" s="66"/>
      <c r="N838" s="66"/>
    </row>
    <row r="839" spans="1:14" x14ac:dyDescent="0.2">
      <c r="A839" s="84"/>
      <c r="B839" s="84"/>
      <c r="C839" s="60"/>
      <c r="D839" s="66"/>
      <c r="E839" s="66"/>
      <c r="F839" s="66"/>
      <c r="G839" s="66"/>
      <c r="H839" s="66"/>
      <c r="I839" s="66"/>
      <c r="J839" s="66"/>
      <c r="K839" s="66"/>
      <c r="L839" s="66"/>
      <c r="M839" s="66"/>
      <c r="N839" s="66"/>
    </row>
    <row r="840" spans="1:14" x14ac:dyDescent="0.2">
      <c r="A840" s="84"/>
      <c r="B840" s="84"/>
      <c r="C840" s="60"/>
      <c r="D840" s="66"/>
      <c r="E840" s="66"/>
      <c r="F840" s="66"/>
      <c r="G840" s="66"/>
      <c r="H840" s="66"/>
      <c r="I840" s="66"/>
      <c r="J840" s="66"/>
      <c r="K840" s="66"/>
      <c r="L840" s="66"/>
      <c r="M840" s="66"/>
      <c r="N840" s="66"/>
    </row>
    <row r="841" spans="1:14" x14ac:dyDescent="0.2">
      <c r="A841" s="84"/>
      <c r="B841" s="84"/>
      <c r="C841" s="60"/>
      <c r="D841" s="66"/>
      <c r="E841" s="66"/>
      <c r="F841" s="66"/>
      <c r="G841" s="66"/>
      <c r="H841" s="66"/>
      <c r="I841" s="66"/>
      <c r="J841" s="66"/>
      <c r="K841" s="66"/>
      <c r="L841" s="66"/>
      <c r="M841" s="66"/>
      <c r="N841" s="66"/>
    </row>
    <row r="842" spans="1:14" x14ac:dyDescent="0.2">
      <c r="A842" s="84"/>
      <c r="B842" s="84"/>
      <c r="C842" s="60"/>
      <c r="D842" s="66"/>
      <c r="E842" s="66"/>
      <c r="F842" s="66"/>
      <c r="G842" s="66"/>
      <c r="H842" s="66"/>
      <c r="I842" s="66"/>
      <c r="J842" s="66"/>
      <c r="K842" s="66"/>
      <c r="L842" s="66"/>
      <c r="M842" s="66"/>
      <c r="N842" s="66"/>
    </row>
    <row r="843" spans="1:14" x14ac:dyDescent="0.2">
      <c r="A843" s="84"/>
      <c r="B843" s="84"/>
      <c r="C843" s="60"/>
      <c r="D843" s="66"/>
      <c r="E843" s="66"/>
      <c r="F843" s="66"/>
      <c r="G843" s="66"/>
      <c r="H843" s="66"/>
      <c r="I843" s="66"/>
      <c r="J843" s="66"/>
      <c r="K843" s="66"/>
      <c r="L843" s="66"/>
      <c r="M843" s="66"/>
      <c r="N843" s="66"/>
    </row>
    <row r="844" spans="1:14" x14ac:dyDescent="0.2">
      <c r="A844" s="84"/>
      <c r="B844" s="84"/>
      <c r="C844" s="60"/>
      <c r="D844" s="66"/>
      <c r="E844" s="66"/>
      <c r="F844" s="66"/>
      <c r="G844" s="66"/>
      <c r="H844" s="66"/>
      <c r="I844" s="66"/>
      <c r="J844" s="66"/>
      <c r="K844" s="66"/>
      <c r="L844" s="66"/>
      <c r="M844" s="66"/>
      <c r="N844" s="66"/>
    </row>
    <row r="845" spans="1:14" x14ac:dyDescent="0.2">
      <c r="A845" s="84"/>
      <c r="B845" s="84"/>
      <c r="C845" s="60"/>
      <c r="D845" s="66"/>
      <c r="E845" s="66"/>
      <c r="F845" s="66"/>
      <c r="G845" s="66"/>
      <c r="H845" s="66"/>
      <c r="I845" s="66"/>
      <c r="J845" s="66"/>
      <c r="K845" s="66"/>
      <c r="L845" s="66"/>
      <c r="M845" s="66"/>
      <c r="N845" s="66"/>
    </row>
    <row r="846" spans="1:14" x14ac:dyDescent="0.2">
      <c r="A846" s="84"/>
      <c r="B846" s="84"/>
      <c r="C846" s="60"/>
      <c r="D846" s="66"/>
      <c r="E846" s="66"/>
      <c r="F846" s="66"/>
      <c r="G846" s="66"/>
      <c r="H846" s="66"/>
      <c r="I846" s="66"/>
      <c r="J846" s="66"/>
      <c r="K846" s="66"/>
      <c r="L846" s="66"/>
      <c r="M846" s="66"/>
      <c r="N846" s="66"/>
    </row>
    <row r="847" spans="1:14" x14ac:dyDescent="0.2">
      <c r="A847" s="84"/>
      <c r="B847" s="84"/>
      <c r="C847" s="60"/>
      <c r="D847" s="66"/>
      <c r="E847" s="66"/>
      <c r="F847" s="66"/>
      <c r="G847" s="66"/>
      <c r="H847" s="66"/>
      <c r="I847" s="66"/>
      <c r="J847" s="66"/>
      <c r="K847" s="66"/>
      <c r="L847" s="66"/>
      <c r="M847" s="66"/>
      <c r="N847" s="66"/>
    </row>
    <row r="848" spans="1:14" x14ac:dyDescent="0.2">
      <c r="A848" s="84"/>
      <c r="B848" s="84"/>
      <c r="C848" s="60"/>
      <c r="D848" s="66"/>
      <c r="E848" s="66"/>
      <c r="F848" s="66"/>
      <c r="G848" s="66"/>
      <c r="H848" s="66"/>
      <c r="I848" s="66"/>
      <c r="J848" s="66"/>
      <c r="K848" s="66"/>
      <c r="L848" s="66"/>
      <c r="M848" s="66"/>
      <c r="N848" s="66"/>
    </row>
    <row r="849" spans="1:14" x14ac:dyDescent="0.2">
      <c r="A849" s="84"/>
      <c r="B849" s="84"/>
      <c r="C849" s="60"/>
      <c r="D849" s="66"/>
      <c r="E849" s="66"/>
      <c r="F849" s="66"/>
      <c r="G849" s="66"/>
      <c r="H849" s="66"/>
      <c r="I849" s="66"/>
      <c r="J849" s="66"/>
      <c r="K849" s="66"/>
      <c r="L849" s="66"/>
      <c r="M849" s="66"/>
      <c r="N849" s="66"/>
    </row>
    <row r="850" spans="1:14" x14ac:dyDescent="0.2">
      <c r="A850" s="84"/>
      <c r="B850" s="84"/>
      <c r="C850" s="60"/>
      <c r="D850" s="66"/>
      <c r="E850" s="66"/>
      <c r="F850" s="66"/>
      <c r="G850" s="66"/>
      <c r="H850" s="66"/>
      <c r="I850" s="66"/>
      <c r="J850" s="66"/>
      <c r="K850" s="66"/>
      <c r="L850" s="66"/>
      <c r="M850" s="66"/>
      <c r="N850" s="66"/>
    </row>
    <row r="851" spans="1:14" x14ac:dyDescent="0.2">
      <c r="A851" s="84"/>
      <c r="B851" s="84"/>
      <c r="C851" s="60"/>
      <c r="D851" s="66"/>
      <c r="E851" s="66"/>
      <c r="F851" s="66"/>
      <c r="G851" s="66"/>
      <c r="H851" s="66"/>
      <c r="I851" s="66"/>
      <c r="J851" s="66"/>
      <c r="K851" s="66"/>
      <c r="L851" s="66"/>
      <c r="M851" s="66"/>
      <c r="N851" s="66"/>
    </row>
    <row r="852" spans="1:14" x14ac:dyDescent="0.2">
      <c r="A852" s="84"/>
      <c r="B852" s="84"/>
      <c r="C852" s="60"/>
      <c r="D852" s="66"/>
      <c r="E852" s="66"/>
      <c r="F852" s="66"/>
      <c r="G852" s="66"/>
      <c r="H852" s="66"/>
      <c r="I852" s="66"/>
      <c r="J852" s="66"/>
      <c r="K852" s="66"/>
      <c r="L852" s="66"/>
      <c r="M852" s="66"/>
      <c r="N852" s="66"/>
    </row>
    <row r="853" spans="1:14" x14ac:dyDescent="0.2">
      <c r="A853" s="84"/>
      <c r="B853" s="84"/>
      <c r="C853" s="60"/>
      <c r="D853" s="66"/>
      <c r="E853" s="66"/>
      <c r="F853" s="66"/>
      <c r="G853" s="66"/>
      <c r="H853" s="66"/>
      <c r="I853" s="66"/>
      <c r="J853" s="66"/>
      <c r="K853" s="66"/>
      <c r="L853" s="66"/>
      <c r="M853" s="66"/>
      <c r="N853" s="66"/>
    </row>
    <row r="854" spans="1:14" x14ac:dyDescent="0.2">
      <c r="A854" s="84"/>
      <c r="B854" s="84"/>
      <c r="C854" s="60"/>
      <c r="D854" s="66"/>
      <c r="E854" s="66"/>
      <c r="F854" s="66"/>
      <c r="G854" s="66"/>
      <c r="H854" s="66"/>
      <c r="I854" s="66"/>
      <c r="J854" s="66"/>
      <c r="K854" s="66"/>
      <c r="L854" s="66"/>
      <c r="M854" s="66"/>
      <c r="N854" s="66"/>
    </row>
    <row r="855" spans="1:14" x14ac:dyDescent="0.2">
      <c r="A855" s="84"/>
      <c r="B855" s="84"/>
      <c r="C855" s="60"/>
      <c r="D855" s="66"/>
      <c r="E855" s="66"/>
      <c r="F855" s="66"/>
      <c r="G855" s="66"/>
      <c r="H855" s="66"/>
      <c r="I855" s="66"/>
      <c r="J855" s="66"/>
      <c r="K855" s="66"/>
      <c r="L855" s="66"/>
      <c r="M855" s="66"/>
      <c r="N855" s="66"/>
    </row>
    <row r="856" spans="1:14" x14ac:dyDescent="0.2">
      <c r="A856" s="84"/>
      <c r="B856" s="84"/>
      <c r="C856" s="60"/>
      <c r="D856" s="66"/>
      <c r="E856" s="66"/>
      <c r="F856" s="66"/>
      <c r="G856" s="66"/>
      <c r="H856" s="66"/>
      <c r="I856" s="66"/>
      <c r="J856" s="66"/>
      <c r="K856" s="66"/>
      <c r="L856" s="66"/>
      <c r="M856" s="66"/>
      <c r="N856" s="66"/>
    </row>
    <row r="857" spans="1:14" x14ac:dyDescent="0.2">
      <c r="A857" s="84"/>
      <c r="B857" s="84"/>
      <c r="C857" s="60"/>
      <c r="D857" s="66"/>
      <c r="E857" s="66"/>
      <c r="F857" s="66"/>
      <c r="G857" s="66"/>
      <c r="H857" s="66"/>
      <c r="I857" s="66"/>
      <c r="J857" s="66"/>
      <c r="K857" s="66"/>
      <c r="L857" s="66"/>
      <c r="M857" s="66"/>
      <c r="N857" s="66"/>
    </row>
    <row r="858" spans="1:14" x14ac:dyDescent="0.2">
      <c r="A858" s="84"/>
      <c r="B858" s="84"/>
      <c r="C858" s="60"/>
      <c r="D858" s="66"/>
      <c r="E858" s="66"/>
      <c r="F858" s="66"/>
      <c r="G858" s="66"/>
      <c r="H858" s="66"/>
      <c r="I858" s="66"/>
      <c r="J858" s="66"/>
      <c r="K858" s="66"/>
      <c r="L858" s="66"/>
      <c r="M858" s="66"/>
      <c r="N858" s="66"/>
    </row>
    <row r="859" spans="1:14" x14ac:dyDescent="0.2">
      <c r="A859" s="84"/>
      <c r="B859" s="84"/>
      <c r="C859" s="60"/>
      <c r="D859" s="66"/>
      <c r="E859" s="66"/>
      <c r="F859" s="66"/>
      <c r="G859" s="66"/>
      <c r="H859" s="66"/>
      <c r="I859" s="66"/>
      <c r="J859" s="66"/>
      <c r="K859" s="66"/>
      <c r="L859" s="66"/>
      <c r="M859" s="66"/>
      <c r="N859" s="66"/>
    </row>
    <row r="860" spans="1:14" x14ac:dyDescent="0.2">
      <c r="A860" s="84"/>
      <c r="B860" s="84"/>
      <c r="C860" s="60"/>
      <c r="D860" s="66"/>
      <c r="E860" s="66"/>
      <c r="F860" s="66"/>
      <c r="G860" s="66"/>
      <c r="H860" s="66"/>
      <c r="I860" s="66"/>
      <c r="J860" s="66"/>
      <c r="K860" s="66"/>
      <c r="L860" s="66"/>
      <c r="M860" s="66"/>
      <c r="N860" s="66"/>
    </row>
    <row r="861" spans="1:14" x14ac:dyDescent="0.2">
      <c r="A861" s="84"/>
      <c r="B861" s="84"/>
      <c r="C861" s="60"/>
      <c r="D861" s="66"/>
      <c r="E861" s="66"/>
      <c r="F861" s="66"/>
      <c r="G861" s="66"/>
      <c r="H861" s="66"/>
      <c r="I861" s="66"/>
      <c r="J861" s="66"/>
      <c r="K861" s="66"/>
      <c r="L861" s="66"/>
      <c r="M861" s="66"/>
      <c r="N861" s="66"/>
    </row>
    <row r="862" spans="1:14" x14ac:dyDescent="0.2">
      <c r="A862" s="84"/>
      <c r="B862" s="84"/>
      <c r="C862" s="60"/>
      <c r="D862" s="66"/>
      <c r="E862" s="66"/>
      <c r="F862" s="66"/>
      <c r="G862" s="66"/>
      <c r="H862" s="66"/>
      <c r="I862" s="66"/>
      <c r="J862" s="66"/>
      <c r="K862" s="66"/>
      <c r="L862" s="66"/>
      <c r="M862" s="66"/>
      <c r="N862" s="66"/>
    </row>
    <row r="863" spans="1:14" x14ac:dyDescent="0.2">
      <c r="A863" s="84"/>
      <c r="B863" s="84"/>
      <c r="C863" s="60"/>
      <c r="D863" s="66"/>
      <c r="E863" s="66"/>
      <c r="F863" s="66"/>
      <c r="G863" s="66"/>
      <c r="H863" s="66"/>
      <c r="I863" s="66"/>
      <c r="J863" s="66"/>
      <c r="K863" s="66"/>
      <c r="L863" s="66"/>
      <c r="M863" s="66"/>
      <c r="N863" s="66"/>
    </row>
    <row r="864" spans="1:14" x14ac:dyDescent="0.2">
      <c r="A864" s="84"/>
      <c r="B864" s="84"/>
      <c r="C864" s="60"/>
      <c r="D864" s="66"/>
      <c r="E864" s="66"/>
      <c r="F864" s="66"/>
      <c r="G864" s="66"/>
      <c r="H864" s="66"/>
      <c r="I864" s="66"/>
      <c r="J864" s="66"/>
      <c r="K864" s="66"/>
      <c r="L864" s="66"/>
      <c r="M864" s="66"/>
      <c r="N864" s="66"/>
    </row>
    <row r="865" spans="1:14" x14ac:dyDescent="0.2">
      <c r="A865" s="84"/>
      <c r="B865" s="84"/>
      <c r="C865" s="60"/>
      <c r="D865" s="66"/>
      <c r="E865" s="66"/>
      <c r="F865" s="66"/>
      <c r="G865" s="66"/>
      <c r="H865" s="66"/>
      <c r="I865" s="66"/>
      <c r="J865" s="66"/>
      <c r="K865" s="66"/>
      <c r="L865" s="66"/>
      <c r="M865" s="66"/>
      <c r="N865" s="66"/>
    </row>
    <row r="866" spans="1:14" x14ac:dyDescent="0.2">
      <c r="A866" s="84"/>
      <c r="B866" s="84"/>
      <c r="C866" s="60"/>
      <c r="D866" s="66"/>
      <c r="E866" s="66"/>
      <c r="F866" s="66"/>
      <c r="G866" s="66"/>
      <c r="H866" s="66"/>
      <c r="I866" s="66"/>
      <c r="J866" s="66"/>
      <c r="K866" s="66"/>
      <c r="L866" s="66"/>
      <c r="M866" s="66"/>
      <c r="N866" s="66"/>
    </row>
    <row r="867" spans="1:14" x14ac:dyDescent="0.2">
      <c r="A867" s="84"/>
      <c r="B867" s="84"/>
      <c r="C867" s="60"/>
      <c r="D867" s="66"/>
      <c r="E867" s="66"/>
      <c r="F867" s="66"/>
      <c r="G867" s="66"/>
      <c r="H867" s="66"/>
      <c r="I867" s="66"/>
      <c r="J867" s="66"/>
      <c r="K867" s="66"/>
      <c r="L867" s="66"/>
      <c r="M867" s="66"/>
      <c r="N867" s="66"/>
    </row>
    <row r="868" spans="1:14" x14ac:dyDescent="0.2">
      <c r="A868" s="84"/>
      <c r="B868" s="84"/>
      <c r="C868" s="60"/>
      <c r="D868" s="66"/>
      <c r="E868" s="66"/>
      <c r="F868" s="66"/>
      <c r="G868" s="66"/>
      <c r="H868" s="66"/>
      <c r="I868" s="66"/>
      <c r="J868" s="66"/>
      <c r="K868" s="66"/>
      <c r="L868" s="66"/>
      <c r="M868" s="66"/>
      <c r="N868" s="66"/>
    </row>
    <row r="869" spans="1:14" x14ac:dyDescent="0.2">
      <c r="A869" s="84"/>
      <c r="B869" s="84"/>
      <c r="C869" s="60"/>
      <c r="D869" s="66"/>
      <c r="E869" s="66"/>
      <c r="F869" s="66"/>
      <c r="G869" s="66"/>
      <c r="H869" s="66"/>
      <c r="I869" s="66"/>
      <c r="J869" s="66"/>
      <c r="K869" s="66"/>
      <c r="L869" s="66"/>
      <c r="M869" s="66"/>
      <c r="N869" s="66"/>
    </row>
    <row r="870" spans="1:14" x14ac:dyDescent="0.2">
      <c r="A870" s="84"/>
      <c r="B870" s="84"/>
      <c r="C870" s="60"/>
      <c r="D870" s="66"/>
      <c r="E870" s="66"/>
      <c r="F870" s="66"/>
      <c r="G870" s="66"/>
      <c r="H870" s="66"/>
      <c r="I870" s="66"/>
      <c r="J870" s="66"/>
      <c r="K870" s="66"/>
      <c r="L870" s="66"/>
      <c r="M870" s="66"/>
      <c r="N870" s="66"/>
    </row>
    <row r="871" spans="1:14" x14ac:dyDescent="0.2">
      <c r="A871" s="84"/>
      <c r="B871" s="84"/>
      <c r="C871" s="60"/>
      <c r="D871" s="66"/>
      <c r="E871" s="66"/>
      <c r="F871" s="66"/>
      <c r="G871" s="66"/>
      <c r="H871" s="66"/>
      <c r="I871" s="66"/>
      <c r="J871" s="66"/>
      <c r="K871" s="66"/>
      <c r="L871" s="66"/>
      <c r="M871" s="66"/>
      <c r="N871" s="66"/>
    </row>
    <row r="872" spans="1:14" x14ac:dyDescent="0.2">
      <c r="A872" s="84"/>
      <c r="B872" s="84"/>
      <c r="C872" s="60"/>
      <c r="D872" s="66"/>
      <c r="E872" s="66"/>
      <c r="F872" s="66"/>
      <c r="G872" s="66"/>
      <c r="H872" s="66"/>
      <c r="I872" s="66"/>
      <c r="J872" s="66"/>
      <c r="K872" s="66"/>
      <c r="L872" s="66"/>
      <c r="M872" s="66"/>
      <c r="N872" s="66"/>
    </row>
    <row r="873" spans="1:14" x14ac:dyDescent="0.2">
      <c r="A873" s="84"/>
      <c r="B873" s="84"/>
      <c r="C873" s="60"/>
      <c r="D873" s="66"/>
      <c r="E873" s="66"/>
      <c r="F873" s="66"/>
      <c r="G873" s="66"/>
      <c r="H873" s="66"/>
      <c r="I873" s="66"/>
      <c r="J873" s="66"/>
      <c r="K873" s="66"/>
      <c r="L873" s="66"/>
      <c r="M873" s="66"/>
      <c r="N873" s="66"/>
    </row>
    <row r="874" spans="1:14" x14ac:dyDescent="0.2">
      <c r="A874" s="84"/>
      <c r="B874" s="84"/>
      <c r="C874" s="60"/>
      <c r="D874" s="66"/>
      <c r="E874" s="66"/>
      <c r="F874" s="66"/>
      <c r="G874" s="66"/>
      <c r="H874" s="66"/>
      <c r="I874" s="66"/>
      <c r="J874" s="66"/>
      <c r="K874" s="66"/>
      <c r="L874" s="66"/>
      <c r="M874" s="66"/>
      <c r="N874" s="66"/>
    </row>
    <row r="875" spans="1:14" x14ac:dyDescent="0.2">
      <c r="A875" s="84"/>
      <c r="B875" s="84"/>
      <c r="C875" s="60"/>
      <c r="D875" s="66"/>
      <c r="E875" s="66"/>
      <c r="F875" s="66"/>
      <c r="G875" s="66"/>
      <c r="H875" s="66"/>
      <c r="I875" s="66"/>
      <c r="J875" s="66"/>
      <c r="K875" s="66"/>
      <c r="L875" s="66"/>
      <c r="M875" s="66"/>
      <c r="N875" s="66"/>
    </row>
    <row r="876" spans="1:14" x14ac:dyDescent="0.2">
      <c r="A876" s="84"/>
      <c r="B876" s="84"/>
      <c r="C876" s="60"/>
      <c r="D876" s="66"/>
      <c r="E876" s="66"/>
      <c r="F876" s="66"/>
      <c r="G876" s="66"/>
      <c r="H876" s="66"/>
      <c r="I876" s="66"/>
      <c r="J876" s="66"/>
      <c r="K876" s="66"/>
      <c r="L876" s="66"/>
      <c r="M876" s="66"/>
      <c r="N876" s="66"/>
    </row>
    <row r="877" spans="1:14" x14ac:dyDescent="0.2">
      <c r="A877" s="84"/>
      <c r="B877" s="84"/>
      <c r="C877" s="60"/>
      <c r="D877" s="66"/>
      <c r="E877" s="66"/>
      <c r="F877" s="66"/>
      <c r="G877" s="66"/>
      <c r="H877" s="66"/>
      <c r="I877" s="66"/>
      <c r="J877" s="66"/>
      <c r="K877" s="66"/>
      <c r="L877" s="66"/>
      <c r="M877" s="66"/>
      <c r="N877" s="66"/>
    </row>
    <row r="878" spans="1:14" x14ac:dyDescent="0.2">
      <c r="A878" s="84"/>
      <c r="B878" s="84"/>
      <c r="C878" s="60"/>
      <c r="D878" s="66"/>
      <c r="E878" s="66"/>
      <c r="F878" s="66"/>
      <c r="G878" s="66"/>
      <c r="H878" s="66"/>
      <c r="I878" s="66"/>
      <c r="J878" s="66"/>
      <c r="K878" s="66"/>
      <c r="L878" s="66"/>
      <c r="M878" s="66"/>
      <c r="N878" s="66"/>
    </row>
    <row r="879" spans="1:14" x14ac:dyDescent="0.2">
      <c r="A879" s="84"/>
      <c r="B879" s="84"/>
      <c r="C879" s="60"/>
      <c r="D879" s="66"/>
      <c r="E879" s="66"/>
      <c r="F879" s="66"/>
      <c r="G879" s="66"/>
      <c r="H879" s="66"/>
      <c r="I879" s="66"/>
      <c r="J879" s="66"/>
      <c r="K879" s="66"/>
      <c r="L879" s="66"/>
      <c r="M879" s="66"/>
      <c r="N879" s="66"/>
    </row>
    <row r="880" spans="1:14" x14ac:dyDescent="0.2">
      <c r="A880" s="84"/>
      <c r="B880" s="84"/>
      <c r="C880" s="60"/>
      <c r="D880" s="66"/>
      <c r="E880" s="66"/>
      <c r="F880" s="66"/>
      <c r="G880" s="66"/>
      <c r="H880" s="66"/>
      <c r="I880" s="66"/>
      <c r="J880" s="66"/>
      <c r="K880" s="66"/>
      <c r="L880" s="66"/>
      <c r="M880" s="66"/>
      <c r="N880" s="66"/>
    </row>
    <row r="881" spans="1:14" x14ac:dyDescent="0.2">
      <c r="A881" s="84"/>
      <c r="B881" s="84"/>
      <c r="C881" s="60"/>
      <c r="D881" s="66"/>
      <c r="E881" s="66"/>
      <c r="F881" s="66"/>
      <c r="G881" s="66"/>
      <c r="H881" s="66"/>
      <c r="I881" s="66"/>
      <c r="J881" s="66"/>
      <c r="K881" s="66"/>
      <c r="L881" s="66"/>
      <c r="M881" s="66"/>
      <c r="N881" s="66"/>
    </row>
    <row r="882" spans="1:14" x14ac:dyDescent="0.2">
      <c r="A882" s="84"/>
      <c r="B882" s="84"/>
      <c r="C882" s="60"/>
      <c r="D882" s="66"/>
      <c r="E882" s="66"/>
      <c r="F882" s="66"/>
      <c r="G882" s="66"/>
      <c r="H882" s="66"/>
      <c r="I882" s="66"/>
      <c r="J882" s="66"/>
      <c r="K882" s="66"/>
      <c r="L882" s="66"/>
      <c r="M882" s="66"/>
      <c r="N882" s="66"/>
    </row>
    <row r="883" spans="1:14" x14ac:dyDescent="0.2">
      <c r="A883" s="84"/>
      <c r="B883" s="84"/>
      <c r="C883" s="60"/>
      <c r="D883" s="66"/>
      <c r="E883" s="66"/>
      <c r="F883" s="66"/>
      <c r="G883" s="66"/>
      <c r="H883" s="66"/>
      <c r="I883" s="66"/>
      <c r="J883" s="66"/>
      <c r="K883" s="66"/>
      <c r="L883" s="66"/>
      <c r="M883" s="66"/>
      <c r="N883" s="66"/>
    </row>
    <row r="884" spans="1:14" x14ac:dyDescent="0.2">
      <c r="A884" s="84"/>
      <c r="B884" s="84"/>
      <c r="C884" s="60"/>
      <c r="D884" s="66"/>
      <c r="E884" s="66"/>
      <c r="F884" s="66"/>
      <c r="G884" s="66"/>
      <c r="H884" s="66"/>
      <c r="I884" s="66"/>
      <c r="J884" s="66"/>
      <c r="K884" s="66"/>
      <c r="L884" s="66"/>
      <c r="M884" s="66"/>
      <c r="N884" s="66"/>
    </row>
    <row r="885" spans="1:14" x14ac:dyDescent="0.2">
      <c r="A885" s="84"/>
      <c r="B885" s="84"/>
      <c r="C885" s="60"/>
      <c r="D885" s="66"/>
      <c r="E885" s="66"/>
      <c r="F885" s="66"/>
      <c r="G885" s="66"/>
      <c r="H885" s="66"/>
      <c r="I885" s="66"/>
      <c r="J885" s="66"/>
      <c r="K885" s="66"/>
      <c r="L885" s="66"/>
      <c r="M885" s="66"/>
      <c r="N885" s="66"/>
    </row>
    <row r="886" spans="1:14" x14ac:dyDescent="0.2">
      <c r="A886" s="84"/>
      <c r="B886" s="84"/>
      <c r="C886" s="60"/>
      <c r="D886" s="66"/>
      <c r="E886" s="66"/>
      <c r="F886" s="66"/>
      <c r="G886" s="66"/>
      <c r="H886" s="66"/>
      <c r="I886" s="66"/>
      <c r="J886" s="66"/>
      <c r="K886" s="66"/>
      <c r="L886" s="66"/>
      <c r="M886" s="66"/>
      <c r="N886" s="66"/>
    </row>
    <row r="887" spans="1:14" x14ac:dyDescent="0.2">
      <c r="A887" s="84"/>
      <c r="B887" s="84"/>
      <c r="C887" s="60"/>
      <c r="D887" s="66"/>
      <c r="E887" s="66"/>
      <c r="F887" s="66"/>
      <c r="G887" s="66"/>
      <c r="H887" s="66"/>
      <c r="I887" s="66"/>
      <c r="J887" s="66"/>
      <c r="K887" s="66"/>
      <c r="L887" s="66"/>
      <c r="M887" s="66"/>
      <c r="N887" s="66"/>
    </row>
    <row r="888" spans="1:14" x14ac:dyDescent="0.2">
      <c r="A888" s="84"/>
      <c r="B888" s="84"/>
      <c r="C888" s="60"/>
      <c r="D888" s="66"/>
      <c r="E888" s="66"/>
      <c r="F888" s="66"/>
      <c r="G888" s="66"/>
      <c r="H888" s="66"/>
      <c r="I888" s="66"/>
      <c r="J888" s="66"/>
      <c r="K888" s="66"/>
      <c r="L888" s="66"/>
      <c r="M888" s="66"/>
      <c r="N888" s="66"/>
    </row>
    <row r="889" spans="1:14" x14ac:dyDescent="0.2">
      <c r="A889" s="84"/>
      <c r="B889" s="84"/>
      <c r="C889" s="60"/>
      <c r="D889" s="66"/>
      <c r="E889" s="66"/>
      <c r="F889" s="66"/>
      <c r="G889" s="66"/>
      <c r="H889" s="66"/>
      <c r="I889" s="66"/>
      <c r="J889" s="66"/>
      <c r="K889" s="66"/>
      <c r="L889" s="66"/>
      <c r="M889" s="66"/>
      <c r="N889" s="66"/>
    </row>
    <row r="890" spans="1:14" x14ac:dyDescent="0.2">
      <c r="A890" s="84"/>
      <c r="B890" s="84"/>
      <c r="C890" s="60"/>
      <c r="D890" s="66"/>
      <c r="E890" s="66"/>
      <c r="F890" s="66"/>
      <c r="G890" s="66"/>
      <c r="H890" s="66"/>
      <c r="I890" s="66"/>
      <c r="J890" s="66"/>
      <c r="K890" s="66"/>
      <c r="L890" s="66"/>
      <c r="M890" s="66"/>
      <c r="N890" s="66"/>
    </row>
    <row r="891" spans="1:14" x14ac:dyDescent="0.2">
      <c r="A891" s="84"/>
      <c r="B891" s="84"/>
      <c r="C891" s="60"/>
      <c r="D891" s="66"/>
      <c r="E891" s="66"/>
      <c r="F891" s="66"/>
      <c r="G891" s="66"/>
      <c r="H891" s="66"/>
      <c r="I891" s="66"/>
      <c r="J891" s="66"/>
      <c r="K891" s="66"/>
      <c r="L891" s="66"/>
      <c r="M891" s="66"/>
      <c r="N891" s="66"/>
    </row>
    <row r="892" spans="1:14" x14ac:dyDescent="0.2">
      <c r="A892" s="84"/>
      <c r="B892" s="84"/>
      <c r="C892" s="60"/>
      <c r="D892" s="66"/>
      <c r="E892" s="66"/>
      <c r="F892" s="66"/>
      <c r="G892" s="66"/>
      <c r="H892" s="66"/>
      <c r="I892" s="66"/>
      <c r="J892" s="66"/>
      <c r="K892" s="66"/>
      <c r="L892" s="66"/>
      <c r="M892" s="66"/>
      <c r="N892" s="66"/>
    </row>
    <row r="893" spans="1:14" x14ac:dyDescent="0.2">
      <c r="A893" s="84"/>
      <c r="B893" s="84"/>
      <c r="C893" s="60"/>
      <c r="D893" s="66"/>
      <c r="E893" s="66"/>
      <c r="F893" s="66"/>
      <c r="G893" s="66"/>
      <c r="H893" s="66"/>
      <c r="I893" s="66"/>
      <c r="J893" s="66"/>
      <c r="K893" s="66"/>
      <c r="L893" s="66"/>
      <c r="M893" s="66"/>
      <c r="N893" s="66"/>
    </row>
    <row r="894" spans="1:14" x14ac:dyDescent="0.2">
      <c r="A894" s="84"/>
      <c r="B894" s="84"/>
      <c r="C894" s="60"/>
      <c r="D894" s="66"/>
      <c r="E894" s="66"/>
      <c r="F894" s="66"/>
      <c r="G894" s="66"/>
      <c r="H894" s="66"/>
      <c r="I894" s="66"/>
      <c r="J894" s="66"/>
      <c r="K894" s="66"/>
      <c r="L894" s="66"/>
      <c r="M894" s="66"/>
      <c r="N894" s="66"/>
    </row>
    <row r="895" spans="1:14" x14ac:dyDescent="0.2">
      <c r="A895" s="84"/>
      <c r="B895" s="84"/>
      <c r="C895" s="60"/>
      <c r="D895" s="66"/>
      <c r="E895" s="66"/>
      <c r="F895" s="66"/>
      <c r="G895" s="66"/>
      <c r="H895" s="66"/>
      <c r="I895" s="66"/>
      <c r="J895" s="66"/>
      <c r="K895" s="66"/>
      <c r="L895" s="66"/>
      <c r="M895" s="66"/>
      <c r="N895" s="66"/>
    </row>
    <row r="896" spans="1:14" x14ac:dyDescent="0.2">
      <c r="A896" s="84"/>
      <c r="B896" s="84"/>
      <c r="C896" s="60"/>
      <c r="D896" s="66"/>
      <c r="E896" s="66"/>
      <c r="F896" s="66"/>
      <c r="G896" s="66"/>
      <c r="H896" s="66"/>
      <c r="I896" s="66"/>
      <c r="J896" s="66"/>
      <c r="K896" s="66"/>
      <c r="L896" s="66"/>
      <c r="M896" s="66"/>
      <c r="N896" s="66"/>
    </row>
    <row r="897" spans="1:14" x14ac:dyDescent="0.2">
      <c r="A897" s="84"/>
      <c r="B897" s="84"/>
      <c r="C897" s="60"/>
      <c r="D897" s="66"/>
      <c r="E897" s="66"/>
      <c r="F897" s="66"/>
      <c r="G897" s="66"/>
      <c r="H897" s="66"/>
      <c r="I897" s="66"/>
      <c r="J897" s="66"/>
      <c r="K897" s="66"/>
      <c r="L897" s="66"/>
      <c r="M897" s="66"/>
      <c r="N897" s="66"/>
    </row>
    <row r="898" spans="1:14" x14ac:dyDescent="0.2">
      <c r="A898" s="84"/>
      <c r="B898" s="84"/>
      <c r="C898" s="60"/>
      <c r="D898" s="66"/>
      <c r="E898" s="66"/>
      <c r="F898" s="66"/>
      <c r="G898" s="66"/>
      <c r="H898" s="66"/>
      <c r="I898" s="66"/>
      <c r="J898" s="66"/>
      <c r="K898" s="66"/>
      <c r="L898" s="66"/>
      <c r="M898" s="66"/>
      <c r="N898" s="66"/>
    </row>
    <row r="899" spans="1:14" x14ac:dyDescent="0.2">
      <c r="A899" s="84"/>
      <c r="B899" s="84"/>
      <c r="C899" s="60"/>
      <c r="D899" s="66"/>
      <c r="E899" s="66"/>
      <c r="F899" s="66"/>
      <c r="G899" s="66"/>
      <c r="H899" s="66"/>
      <c r="I899" s="66"/>
      <c r="J899" s="66"/>
      <c r="K899" s="66"/>
      <c r="L899" s="66"/>
      <c r="M899" s="66"/>
      <c r="N899" s="66"/>
    </row>
    <row r="900" spans="1:14" x14ac:dyDescent="0.2">
      <c r="A900" s="84"/>
      <c r="B900" s="84"/>
      <c r="C900" s="60"/>
      <c r="D900" s="66"/>
      <c r="E900" s="66"/>
      <c r="F900" s="66"/>
      <c r="G900" s="66"/>
      <c r="H900" s="66"/>
      <c r="I900" s="66"/>
      <c r="J900" s="66"/>
      <c r="K900" s="66"/>
      <c r="L900" s="66"/>
      <c r="M900" s="66"/>
      <c r="N900" s="66"/>
    </row>
    <row r="901" spans="1:14" x14ac:dyDescent="0.2">
      <c r="A901" s="84"/>
      <c r="B901" s="84"/>
      <c r="C901" s="60"/>
      <c r="D901" s="66"/>
      <c r="E901" s="66"/>
      <c r="F901" s="66"/>
      <c r="G901" s="66"/>
      <c r="H901" s="66"/>
      <c r="I901" s="66"/>
      <c r="J901" s="66"/>
      <c r="K901" s="66"/>
      <c r="L901" s="66"/>
      <c r="M901" s="66"/>
      <c r="N901" s="66"/>
    </row>
    <row r="902" spans="1:14" x14ac:dyDescent="0.2">
      <c r="A902" s="84"/>
      <c r="B902" s="84"/>
      <c r="C902" s="60"/>
      <c r="D902" s="66"/>
      <c r="E902" s="66"/>
      <c r="F902" s="66"/>
      <c r="G902" s="66"/>
      <c r="H902" s="66"/>
      <c r="I902" s="66"/>
      <c r="J902" s="66"/>
      <c r="K902" s="66"/>
      <c r="L902" s="66"/>
      <c r="M902" s="66"/>
      <c r="N902" s="66"/>
    </row>
    <row r="903" spans="1:14" x14ac:dyDescent="0.2">
      <c r="A903" s="84"/>
      <c r="B903" s="84"/>
      <c r="C903" s="60"/>
      <c r="D903" s="66"/>
      <c r="E903" s="66"/>
      <c r="F903" s="66"/>
      <c r="G903" s="66"/>
      <c r="H903" s="66"/>
      <c r="I903" s="66"/>
      <c r="J903" s="66"/>
      <c r="K903" s="66"/>
      <c r="L903" s="66"/>
      <c r="M903" s="66"/>
      <c r="N903" s="66"/>
    </row>
    <row r="904" spans="1:14" x14ac:dyDescent="0.2">
      <c r="A904" s="84"/>
      <c r="B904" s="84"/>
      <c r="C904" s="60"/>
      <c r="D904" s="66"/>
      <c r="E904" s="66"/>
      <c r="F904" s="66"/>
      <c r="G904" s="66"/>
      <c r="H904" s="66"/>
      <c r="I904" s="66"/>
      <c r="J904" s="66"/>
      <c r="K904" s="66"/>
      <c r="L904" s="66"/>
      <c r="M904" s="66"/>
      <c r="N904" s="66"/>
    </row>
    <row r="905" spans="1:14" x14ac:dyDescent="0.2">
      <c r="A905" s="84"/>
      <c r="B905" s="84"/>
      <c r="C905" s="60"/>
      <c r="D905" s="66"/>
      <c r="E905" s="66"/>
      <c r="F905" s="66"/>
      <c r="G905" s="66"/>
      <c r="H905" s="66"/>
      <c r="I905" s="66"/>
      <c r="J905" s="66"/>
      <c r="K905" s="66"/>
      <c r="L905" s="66"/>
      <c r="M905" s="66"/>
      <c r="N905" s="66"/>
    </row>
    <row r="906" spans="1:14" x14ac:dyDescent="0.2">
      <c r="A906" s="84"/>
      <c r="B906" s="84"/>
      <c r="C906" s="60"/>
      <c r="D906" s="66"/>
      <c r="E906" s="66"/>
      <c r="F906" s="66"/>
      <c r="G906" s="66"/>
      <c r="H906" s="66"/>
      <c r="I906" s="66"/>
      <c r="J906" s="66"/>
      <c r="K906" s="66"/>
      <c r="L906" s="66"/>
      <c r="M906" s="66"/>
      <c r="N906" s="66"/>
    </row>
    <row r="907" spans="1:14" x14ac:dyDescent="0.2">
      <c r="A907" s="84"/>
      <c r="B907" s="84"/>
      <c r="C907" s="60"/>
      <c r="D907" s="66"/>
      <c r="E907" s="66"/>
      <c r="F907" s="66"/>
      <c r="G907" s="66"/>
      <c r="H907" s="66"/>
      <c r="I907" s="66"/>
      <c r="J907" s="66"/>
      <c r="K907" s="66"/>
      <c r="L907" s="66"/>
      <c r="M907" s="66"/>
      <c r="N907" s="66"/>
    </row>
    <row r="908" spans="1:14" x14ac:dyDescent="0.2">
      <c r="A908" s="84"/>
      <c r="B908" s="84"/>
      <c r="C908" s="60"/>
      <c r="D908" s="66"/>
      <c r="E908" s="66"/>
      <c r="F908" s="66"/>
      <c r="G908" s="66"/>
      <c r="H908" s="66"/>
      <c r="I908" s="66"/>
      <c r="J908" s="66"/>
      <c r="K908" s="66"/>
      <c r="L908" s="66"/>
      <c r="M908" s="66"/>
      <c r="N908" s="66"/>
    </row>
    <row r="909" spans="1:14" x14ac:dyDescent="0.2">
      <c r="A909" s="84"/>
      <c r="B909" s="84"/>
      <c r="C909" s="60"/>
      <c r="D909" s="66"/>
      <c r="E909" s="66"/>
      <c r="F909" s="66"/>
      <c r="G909" s="66"/>
      <c r="H909" s="66"/>
      <c r="I909" s="66"/>
      <c r="J909" s="66"/>
      <c r="K909" s="66"/>
      <c r="L909" s="66"/>
      <c r="M909" s="66"/>
      <c r="N909" s="66"/>
    </row>
    <row r="910" spans="1:14" x14ac:dyDescent="0.2">
      <c r="A910" s="84"/>
      <c r="B910" s="84"/>
      <c r="C910" s="60"/>
      <c r="D910" s="66"/>
      <c r="E910" s="66"/>
      <c r="F910" s="66"/>
      <c r="G910" s="66"/>
      <c r="H910" s="66"/>
      <c r="I910" s="66"/>
      <c r="J910" s="66"/>
      <c r="K910" s="66"/>
      <c r="L910" s="66"/>
      <c r="M910" s="66"/>
      <c r="N910" s="66"/>
    </row>
    <row r="911" spans="1:14" x14ac:dyDescent="0.2">
      <c r="A911" s="84"/>
      <c r="B911" s="84"/>
      <c r="C911" s="60"/>
      <c r="D911" s="66"/>
      <c r="E911" s="66"/>
      <c r="F911" s="66"/>
      <c r="G911" s="66"/>
      <c r="H911" s="66"/>
      <c r="I911" s="66"/>
      <c r="J911" s="66"/>
      <c r="K911" s="66"/>
      <c r="L911" s="66"/>
      <c r="M911" s="66"/>
      <c r="N911" s="66"/>
    </row>
    <row r="912" spans="1:14" x14ac:dyDescent="0.2">
      <c r="A912" s="84"/>
      <c r="B912" s="84"/>
      <c r="C912" s="60"/>
      <c r="D912" s="66"/>
      <c r="E912" s="66"/>
      <c r="F912" s="66"/>
      <c r="G912" s="66"/>
      <c r="H912" s="66"/>
      <c r="I912" s="66"/>
      <c r="J912" s="66"/>
      <c r="K912" s="66"/>
      <c r="L912" s="66"/>
      <c r="M912" s="66"/>
      <c r="N912" s="66"/>
    </row>
    <row r="913" spans="1:14" x14ac:dyDescent="0.2">
      <c r="A913" s="84"/>
      <c r="B913" s="84"/>
      <c r="C913" s="60"/>
      <c r="D913" s="66"/>
      <c r="E913" s="66"/>
      <c r="F913" s="66"/>
      <c r="G913" s="66"/>
      <c r="H913" s="66"/>
      <c r="I913" s="66"/>
      <c r="J913" s="66"/>
      <c r="K913" s="66"/>
      <c r="L913" s="66"/>
      <c r="M913" s="66"/>
      <c r="N913" s="66"/>
    </row>
    <row r="914" spans="1:14" x14ac:dyDescent="0.2">
      <c r="A914" s="84"/>
      <c r="B914" s="84"/>
      <c r="C914" s="60"/>
      <c r="D914" s="66"/>
      <c r="E914" s="66"/>
      <c r="F914" s="66"/>
      <c r="G914" s="66"/>
      <c r="H914" s="66"/>
      <c r="I914" s="66"/>
      <c r="J914" s="66"/>
      <c r="K914" s="66"/>
      <c r="L914" s="66"/>
      <c r="M914" s="66"/>
      <c r="N914" s="66"/>
    </row>
    <row r="915" spans="1:14" x14ac:dyDescent="0.2">
      <c r="A915" s="84"/>
      <c r="B915" s="84"/>
      <c r="C915" s="60"/>
      <c r="D915" s="66"/>
      <c r="E915" s="66"/>
      <c r="F915" s="66"/>
      <c r="G915" s="66"/>
      <c r="H915" s="66"/>
      <c r="I915" s="66"/>
      <c r="J915" s="66"/>
      <c r="K915" s="66"/>
      <c r="L915" s="66"/>
      <c r="M915" s="66"/>
      <c r="N915" s="66"/>
    </row>
    <row r="916" spans="1:14" x14ac:dyDescent="0.2">
      <c r="A916" s="84"/>
      <c r="B916" s="84"/>
      <c r="C916" s="60"/>
      <c r="D916" s="66"/>
      <c r="E916" s="66"/>
      <c r="F916" s="66"/>
      <c r="G916" s="66"/>
      <c r="H916" s="66"/>
      <c r="I916" s="66"/>
      <c r="J916" s="66"/>
      <c r="K916" s="66"/>
      <c r="L916" s="66"/>
      <c r="M916" s="66"/>
      <c r="N916" s="66"/>
    </row>
    <row r="917" spans="1:14" x14ac:dyDescent="0.2">
      <c r="A917" s="84"/>
      <c r="B917" s="84"/>
      <c r="C917" s="60"/>
      <c r="D917" s="66"/>
      <c r="E917" s="66"/>
      <c r="F917" s="66"/>
      <c r="G917" s="66"/>
      <c r="H917" s="66"/>
      <c r="I917" s="66"/>
      <c r="J917" s="66"/>
      <c r="K917" s="66"/>
      <c r="L917" s="66"/>
      <c r="M917" s="66"/>
      <c r="N917" s="66"/>
    </row>
    <row r="918" spans="1:14" x14ac:dyDescent="0.2">
      <c r="A918" s="84"/>
      <c r="B918" s="84"/>
      <c r="C918" s="60"/>
      <c r="D918" s="66"/>
      <c r="E918" s="66"/>
      <c r="F918" s="66"/>
      <c r="G918" s="66"/>
      <c r="H918" s="66"/>
      <c r="I918" s="66"/>
      <c r="J918" s="66"/>
      <c r="K918" s="66"/>
      <c r="L918" s="66"/>
      <c r="M918" s="66"/>
      <c r="N918" s="66"/>
    </row>
    <row r="919" spans="1:14" x14ac:dyDescent="0.2">
      <c r="A919" s="84"/>
      <c r="B919" s="84"/>
      <c r="C919" s="60"/>
      <c r="D919" s="66"/>
      <c r="E919" s="66"/>
      <c r="F919" s="66"/>
      <c r="G919" s="66"/>
      <c r="H919" s="66"/>
      <c r="I919" s="66"/>
      <c r="J919" s="66"/>
      <c r="K919" s="66"/>
      <c r="L919" s="66"/>
      <c r="M919" s="66"/>
      <c r="N919" s="66"/>
    </row>
    <row r="920" spans="1:14" x14ac:dyDescent="0.2">
      <c r="A920" s="84"/>
      <c r="B920" s="84"/>
      <c r="C920" s="60"/>
      <c r="D920" s="66"/>
      <c r="E920" s="66"/>
      <c r="F920" s="66"/>
      <c r="G920" s="66"/>
      <c r="H920" s="66"/>
      <c r="I920" s="66"/>
      <c r="J920" s="66"/>
      <c r="K920" s="66"/>
      <c r="L920" s="66"/>
      <c r="M920" s="66"/>
      <c r="N920" s="66"/>
    </row>
    <row r="921" spans="1:14" x14ac:dyDescent="0.2">
      <c r="A921" s="84"/>
      <c r="B921" s="84"/>
      <c r="C921" s="60"/>
      <c r="D921" s="66"/>
      <c r="E921" s="66"/>
      <c r="F921" s="66"/>
      <c r="G921" s="66"/>
      <c r="H921" s="66"/>
      <c r="I921" s="66"/>
      <c r="J921" s="66"/>
      <c r="K921" s="66"/>
      <c r="L921" s="66"/>
      <c r="M921" s="66"/>
      <c r="N921" s="66"/>
    </row>
    <row r="922" spans="1:14" x14ac:dyDescent="0.2">
      <c r="A922" s="84"/>
      <c r="B922" s="84"/>
      <c r="C922" s="60"/>
      <c r="D922" s="66"/>
      <c r="E922" s="66"/>
      <c r="F922" s="66"/>
      <c r="G922" s="66"/>
      <c r="H922" s="66"/>
      <c r="I922" s="66"/>
      <c r="J922" s="66"/>
      <c r="K922" s="66"/>
      <c r="L922" s="66"/>
      <c r="M922" s="66"/>
      <c r="N922" s="66"/>
    </row>
    <row r="923" spans="1:14" x14ac:dyDescent="0.2">
      <c r="A923" s="84"/>
      <c r="B923" s="84"/>
      <c r="C923" s="60"/>
      <c r="D923" s="66"/>
      <c r="E923" s="66"/>
      <c r="F923" s="66"/>
      <c r="G923" s="66"/>
      <c r="H923" s="66"/>
      <c r="I923" s="66"/>
      <c r="J923" s="66"/>
      <c r="K923" s="66"/>
      <c r="L923" s="66"/>
      <c r="M923" s="66"/>
      <c r="N923" s="66"/>
    </row>
    <row r="924" spans="1:14" x14ac:dyDescent="0.2">
      <c r="A924" s="84"/>
      <c r="B924" s="84"/>
      <c r="C924" s="60"/>
      <c r="D924" s="66"/>
      <c r="E924" s="66"/>
      <c r="F924" s="66"/>
      <c r="G924" s="66"/>
      <c r="H924" s="66"/>
      <c r="I924" s="66"/>
      <c r="J924" s="66"/>
      <c r="K924" s="66"/>
      <c r="L924" s="66"/>
      <c r="M924" s="66"/>
      <c r="N924" s="66"/>
    </row>
    <row r="925" spans="1:14" x14ac:dyDescent="0.2">
      <c r="A925" s="84"/>
      <c r="B925" s="84"/>
      <c r="C925" s="60"/>
      <c r="D925" s="66"/>
      <c r="E925" s="66"/>
      <c r="F925" s="66"/>
      <c r="G925" s="66"/>
      <c r="H925" s="66"/>
      <c r="I925" s="66"/>
      <c r="J925" s="66"/>
      <c r="K925" s="66"/>
      <c r="L925" s="66"/>
      <c r="M925" s="66"/>
      <c r="N925" s="66"/>
    </row>
    <row r="926" spans="1:14" x14ac:dyDescent="0.2">
      <c r="A926" s="84"/>
      <c r="B926" s="84"/>
      <c r="C926" s="60"/>
      <c r="D926" s="66"/>
      <c r="E926" s="66"/>
      <c r="F926" s="66"/>
      <c r="G926" s="66"/>
      <c r="H926" s="66"/>
      <c r="I926" s="66"/>
      <c r="J926" s="66"/>
      <c r="K926" s="66"/>
      <c r="L926" s="66"/>
      <c r="M926" s="66"/>
      <c r="N926" s="66"/>
    </row>
    <row r="927" spans="1:14" x14ac:dyDescent="0.2">
      <c r="A927" s="84"/>
      <c r="B927" s="84"/>
      <c r="C927" s="60"/>
      <c r="D927" s="66"/>
      <c r="E927" s="66"/>
      <c r="F927" s="66"/>
      <c r="G927" s="66"/>
      <c r="H927" s="66"/>
      <c r="I927" s="66"/>
      <c r="J927" s="66"/>
      <c r="K927" s="66"/>
      <c r="L927" s="66"/>
      <c r="M927" s="66"/>
      <c r="N927" s="66"/>
    </row>
    <row r="928" spans="1:14" x14ac:dyDescent="0.2">
      <c r="A928" s="84"/>
      <c r="B928" s="84"/>
      <c r="C928" s="60"/>
      <c r="D928" s="66"/>
      <c r="E928" s="66"/>
      <c r="F928" s="66"/>
      <c r="G928" s="66"/>
      <c r="H928" s="66"/>
      <c r="I928" s="66"/>
      <c r="J928" s="66"/>
      <c r="K928" s="66"/>
      <c r="L928" s="66"/>
      <c r="M928" s="66"/>
      <c r="N928" s="66"/>
    </row>
    <row r="929" spans="1:14" x14ac:dyDescent="0.2">
      <c r="A929" s="84"/>
      <c r="B929" s="84"/>
      <c r="C929" s="60"/>
      <c r="D929" s="66"/>
      <c r="E929" s="66"/>
      <c r="F929" s="66"/>
      <c r="G929" s="66"/>
      <c r="H929" s="66"/>
      <c r="I929" s="66"/>
      <c r="J929" s="66"/>
      <c r="K929" s="66"/>
      <c r="L929" s="66"/>
      <c r="M929" s="66"/>
      <c r="N929" s="66"/>
    </row>
    <row r="930" spans="1:14" x14ac:dyDescent="0.2">
      <c r="A930" s="84"/>
      <c r="B930" s="84"/>
      <c r="C930" s="60"/>
      <c r="D930" s="66"/>
      <c r="E930" s="66"/>
      <c r="F930" s="66"/>
      <c r="G930" s="66"/>
      <c r="H930" s="66"/>
      <c r="I930" s="66"/>
      <c r="J930" s="66"/>
      <c r="K930" s="66"/>
      <c r="L930" s="66"/>
      <c r="M930" s="66"/>
      <c r="N930" s="66"/>
    </row>
    <row r="931" spans="1:14" x14ac:dyDescent="0.2">
      <c r="A931" s="84"/>
      <c r="B931" s="84"/>
      <c r="C931" s="60"/>
      <c r="D931" s="66"/>
      <c r="E931" s="66"/>
      <c r="F931" s="66"/>
      <c r="G931" s="66"/>
      <c r="H931" s="66"/>
      <c r="I931" s="66"/>
      <c r="J931" s="66"/>
      <c r="K931" s="66"/>
      <c r="L931" s="66"/>
      <c r="M931" s="66"/>
      <c r="N931" s="66"/>
    </row>
    <row r="932" spans="1:14" x14ac:dyDescent="0.2">
      <c r="A932" s="84"/>
      <c r="B932" s="84"/>
      <c r="C932" s="60"/>
      <c r="D932" s="66"/>
      <c r="E932" s="66"/>
      <c r="F932" s="66"/>
      <c r="G932" s="66"/>
      <c r="H932" s="66"/>
      <c r="I932" s="66"/>
      <c r="J932" s="66"/>
      <c r="K932" s="66"/>
      <c r="L932" s="66"/>
      <c r="M932" s="66"/>
      <c r="N932" s="66"/>
    </row>
    <row r="933" spans="1:14" x14ac:dyDescent="0.2">
      <c r="A933" s="84"/>
      <c r="B933" s="84"/>
      <c r="C933" s="60"/>
      <c r="D933" s="66"/>
      <c r="E933" s="66"/>
      <c r="F933" s="66"/>
      <c r="G933" s="66"/>
      <c r="H933" s="66"/>
      <c r="I933" s="66"/>
      <c r="J933" s="66"/>
      <c r="K933" s="66"/>
      <c r="L933" s="66"/>
      <c r="M933" s="66"/>
      <c r="N933" s="66"/>
    </row>
    <row r="934" spans="1:14" x14ac:dyDescent="0.2">
      <c r="A934" s="84"/>
      <c r="B934" s="84"/>
      <c r="C934" s="60"/>
      <c r="D934" s="66"/>
      <c r="E934" s="66"/>
      <c r="F934" s="66"/>
      <c r="G934" s="66"/>
      <c r="H934" s="66"/>
      <c r="I934" s="66"/>
      <c r="J934" s="66"/>
      <c r="K934" s="66"/>
      <c r="L934" s="66"/>
      <c r="M934" s="66"/>
      <c r="N934" s="66"/>
    </row>
    <row r="935" spans="1:14" x14ac:dyDescent="0.2">
      <c r="A935" s="84"/>
      <c r="B935" s="84"/>
      <c r="C935" s="60"/>
      <c r="D935" s="66"/>
      <c r="E935" s="66"/>
      <c r="F935" s="66"/>
      <c r="G935" s="66"/>
      <c r="H935" s="66"/>
      <c r="I935" s="66"/>
      <c r="J935" s="66"/>
      <c r="K935" s="66"/>
      <c r="L935" s="66"/>
      <c r="M935" s="66"/>
      <c r="N935" s="66"/>
    </row>
    <row r="936" spans="1:14" x14ac:dyDescent="0.2">
      <c r="A936" s="84"/>
      <c r="B936" s="84"/>
      <c r="C936" s="60"/>
      <c r="D936" s="66"/>
      <c r="E936" s="66"/>
      <c r="F936" s="66"/>
      <c r="G936" s="66"/>
      <c r="H936" s="66"/>
      <c r="I936" s="66"/>
      <c r="J936" s="66"/>
      <c r="K936" s="66"/>
      <c r="L936" s="66"/>
      <c r="M936" s="66"/>
      <c r="N936" s="66"/>
    </row>
    <row r="937" spans="1:14" x14ac:dyDescent="0.2">
      <c r="A937" s="84"/>
      <c r="B937" s="84"/>
      <c r="C937" s="60"/>
      <c r="D937" s="66"/>
      <c r="E937" s="66"/>
      <c r="F937" s="66"/>
      <c r="G937" s="66"/>
      <c r="H937" s="66"/>
      <c r="I937" s="66"/>
      <c r="J937" s="66"/>
      <c r="K937" s="66"/>
      <c r="L937" s="66"/>
      <c r="M937" s="66"/>
      <c r="N937" s="66"/>
    </row>
    <row r="938" spans="1:14" x14ac:dyDescent="0.2">
      <c r="A938" s="84"/>
      <c r="B938" s="84"/>
      <c r="C938" s="60"/>
      <c r="D938" s="66"/>
      <c r="E938" s="66"/>
      <c r="F938" s="66"/>
      <c r="G938" s="66"/>
      <c r="H938" s="66"/>
      <c r="I938" s="66"/>
      <c r="J938" s="66"/>
      <c r="K938" s="66"/>
      <c r="L938" s="66"/>
      <c r="M938" s="66"/>
      <c r="N938" s="66"/>
    </row>
    <row r="939" spans="1:14" x14ac:dyDescent="0.2">
      <c r="A939" s="84"/>
      <c r="B939" s="84"/>
      <c r="C939" s="60"/>
      <c r="D939" s="66"/>
      <c r="E939" s="66"/>
      <c r="F939" s="66"/>
      <c r="G939" s="66"/>
      <c r="H939" s="66"/>
      <c r="I939" s="66"/>
      <c r="J939" s="66"/>
      <c r="K939" s="66"/>
      <c r="L939" s="66"/>
      <c r="M939" s="66"/>
      <c r="N939" s="66"/>
    </row>
    <row r="940" spans="1:14" x14ac:dyDescent="0.2">
      <c r="A940" s="84"/>
      <c r="B940" s="84"/>
      <c r="C940" s="60"/>
      <c r="D940" s="66"/>
      <c r="E940" s="66"/>
      <c r="F940" s="66"/>
      <c r="G940" s="66"/>
      <c r="H940" s="66"/>
      <c r="I940" s="66"/>
      <c r="J940" s="66"/>
      <c r="K940" s="66"/>
      <c r="L940" s="66"/>
      <c r="M940" s="66"/>
      <c r="N940" s="66"/>
    </row>
    <row r="941" spans="1:14" x14ac:dyDescent="0.2">
      <c r="A941" s="84"/>
      <c r="B941" s="84"/>
      <c r="C941" s="60"/>
      <c r="D941" s="66"/>
      <c r="E941" s="66"/>
      <c r="F941" s="66"/>
      <c r="G941" s="66"/>
      <c r="H941" s="66"/>
      <c r="I941" s="66"/>
      <c r="J941" s="66"/>
      <c r="K941" s="66"/>
      <c r="L941" s="66"/>
      <c r="M941" s="66"/>
      <c r="N941" s="66"/>
    </row>
    <row r="942" spans="1:14" x14ac:dyDescent="0.2">
      <c r="A942" s="84"/>
      <c r="B942" s="84"/>
      <c r="C942" s="60"/>
      <c r="D942" s="66"/>
      <c r="E942" s="66"/>
      <c r="F942" s="66"/>
      <c r="G942" s="66"/>
      <c r="H942" s="66"/>
      <c r="I942" s="66"/>
      <c r="J942" s="66"/>
      <c r="K942" s="66"/>
      <c r="L942" s="66"/>
      <c r="M942" s="66"/>
      <c r="N942" s="66"/>
    </row>
    <row r="943" spans="1:14" x14ac:dyDescent="0.2">
      <c r="A943" s="84"/>
      <c r="B943" s="84"/>
      <c r="C943" s="60"/>
      <c r="D943" s="66"/>
      <c r="E943" s="66"/>
      <c r="F943" s="66"/>
      <c r="G943" s="66"/>
      <c r="H943" s="66"/>
      <c r="I943" s="66"/>
      <c r="J943" s="66"/>
      <c r="K943" s="66"/>
      <c r="L943" s="66"/>
      <c r="M943" s="66"/>
      <c r="N943" s="66"/>
    </row>
    <row r="944" spans="1:14" x14ac:dyDescent="0.2">
      <c r="A944" s="84"/>
      <c r="B944" s="84"/>
      <c r="C944" s="60"/>
      <c r="D944" s="66"/>
      <c r="E944" s="66"/>
      <c r="F944" s="66"/>
      <c r="G944" s="66"/>
      <c r="H944" s="66"/>
      <c r="I944" s="66"/>
      <c r="J944" s="66"/>
      <c r="K944" s="66"/>
      <c r="L944" s="66"/>
      <c r="M944" s="66"/>
      <c r="N944" s="66"/>
    </row>
    <row r="945" spans="1:14" x14ac:dyDescent="0.2">
      <c r="A945" s="84"/>
      <c r="B945" s="84"/>
      <c r="C945" s="60"/>
      <c r="D945" s="66"/>
      <c r="E945" s="66"/>
      <c r="F945" s="66"/>
      <c r="G945" s="66"/>
      <c r="H945" s="66"/>
      <c r="I945" s="66"/>
      <c r="J945" s="66"/>
      <c r="K945" s="66"/>
      <c r="L945" s="66"/>
      <c r="M945" s="66"/>
      <c r="N945" s="66"/>
    </row>
    <row r="946" spans="1:14" x14ac:dyDescent="0.2">
      <c r="A946" s="84"/>
      <c r="B946" s="84"/>
      <c r="C946" s="60"/>
      <c r="D946" s="66"/>
      <c r="E946" s="66"/>
      <c r="F946" s="66"/>
      <c r="G946" s="66"/>
      <c r="H946" s="66"/>
      <c r="I946" s="66"/>
      <c r="J946" s="66"/>
      <c r="K946" s="66"/>
      <c r="L946" s="66"/>
      <c r="M946" s="66"/>
      <c r="N946" s="66"/>
    </row>
    <row r="947" spans="1:14" x14ac:dyDescent="0.2">
      <c r="A947" s="84"/>
      <c r="B947" s="84"/>
      <c r="C947" s="60"/>
      <c r="D947" s="66"/>
      <c r="E947" s="66"/>
      <c r="F947" s="66"/>
      <c r="G947" s="66"/>
      <c r="H947" s="66"/>
      <c r="I947" s="66"/>
      <c r="J947" s="66"/>
      <c r="K947" s="66"/>
      <c r="L947" s="66"/>
      <c r="M947" s="66"/>
      <c r="N947" s="66"/>
    </row>
    <row r="948" spans="1:14" x14ac:dyDescent="0.2">
      <c r="A948" s="84"/>
      <c r="B948" s="84"/>
      <c r="C948" s="60"/>
      <c r="D948" s="66"/>
      <c r="E948" s="66"/>
      <c r="F948" s="66"/>
      <c r="G948" s="66"/>
      <c r="H948" s="66"/>
      <c r="I948" s="66"/>
      <c r="J948" s="66"/>
      <c r="K948" s="66"/>
      <c r="L948" s="66"/>
      <c r="M948" s="66"/>
      <c r="N948" s="66"/>
    </row>
    <row r="949" spans="1:14" x14ac:dyDescent="0.2">
      <c r="A949" s="84"/>
      <c r="B949" s="84"/>
      <c r="C949" s="60"/>
      <c r="D949" s="66"/>
      <c r="E949" s="66"/>
      <c r="F949" s="66"/>
      <c r="G949" s="66"/>
      <c r="H949" s="66"/>
      <c r="I949" s="66"/>
      <c r="J949" s="66"/>
      <c r="K949" s="66"/>
      <c r="L949" s="66"/>
      <c r="M949" s="66"/>
      <c r="N949" s="66"/>
    </row>
    <row r="950" spans="1:14" x14ac:dyDescent="0.2">
      <c r="A950" s="84"/>
      <c r="B950" s="84"/>
      <c r="C950" s="60"/>
      <c r="D950" s="66"/>
      <c r="E950" s="66"/>
      <c r="F950" s="66"/>
      <c r="G950" s="66"/>
      <c r="H950" s="66"/>
      <c r="I950" s="66"/>
      <c r="J950" s="66"/>
      <c r="K950" s="66"/>
      <c r="L950" s="66"/>
      <c r="M950" s="66"/>
      <c r="N950" s="66"/>
    </row>
    <row r="951" spans="1:14" x14ac:dyDescent="0.2">
      <c r="A951" s="84"/>
      <c r="B951" s="84"/>
      <c r="C951" s="60"/>
      <c r="D951" s="66"/>
      <c r="E951" s="66"/>
      <c r="F951" s="66"/>
      <c r="G951" s="66"/>
      <c r="H951" s="66"/>
      <c r="I951" s="66"/>
      <c r="J951" s="66"/>
      <c r="K951" s="66"/>
      <c r="L951" s="66"/>
      <c r="M951" s="66"/>
      <c r="N951" s="66"/>
    </row>
    <row r="952" spans="1:14" x14ac:dyDescent="0.2">
      <c r="A952" s="84"/>
      <c r="B952" s="84"/>
      <c r="C952" s="60"/>
      <c r="D952" s="66"/>
      <c r="E952" s="66"/>
      <c r="F952" s="66"/>
      <c r="G952" s="66"/>
      <c r="H952" s="66"/>
      <c r="I952" s="66"/>
      <c r="J952" s="66"/>
      <c r="K952" s="66"/>
      <c r="L952" s="66"/>
      <c r="M952" s="66"/>
      <c r="N952" s="66"/>
    </row>
    <row r="953" spans="1:14" x14ac:dyDescent="0.2">
      <c r="A953" s="84"/>
      <c r="B953" s="84"/>
      <c r="C953" s="60"/>
      <c r="D953" s="66"/>
      <c r="E953" s="66"/>
      <c r="F953" s="66"/>
      <c r="G953" s="66"/>
      <c r="H953" s="66"/>
      <c r="I953" s="66"/>
      <c r="J953" s="66"/>
      <c r="K953" s="66"/>
      <c r="L953" s="66"/>
      <c r="M953" s="66"/>
      <c r="N953" s="66"/>
    </row>
    <row r="954" spans="1:14" x14ac:dyDescent="0.2">
      <c r="A954" s="84"/>
      <c r="B954" s="84"/>
      <c r="C954" s="60"/>
      <c r="D954" s="66"/>
      <c r="E954" s="66"/>
      <c r="F954" s="66"/>
      <c r="G954" s="66"/>
      <c r="H954" s="66"/>
      <c r="I954" s="66"/>
      <c r="J954" s="66"/>
      <c r="K954" s="66"/>
      <c r="L954" s="66"/>
      <c r="M954" s="66"/>
      <c r="N954" s="66"/>
    </row>
    <row r="955" spans="1:14" x14ac:dyDescent="0.2">
      <c r="A955" s="84"/>
      <c r="B955" s="84"/>
      <c r="C955" s="60"/>
      <c r="D955" s="66"/>
      <c r="E955" s="66"/>
      <c r="F955" s="66"/>
      <c r="G955" s="66"/>
      <c r="H955" s="66"/>
      <c r="I955" s="66"/>
      <c r="J955" s="66"/>
      <c r="K955" s="66"/>
      <c r="L955" s="66"/>
      <c r="M955" s="66"/>
      <c r="N955" s="66"/>
    </row>
    <row r="956" spans="1:14" x14ac:dyDescent="0.2">
      <c r="A956" s="84"/>
      <c r="B956" s="84"/>
      <c r="C956" s="60"/>
      <c r="D956" s="66"/>
      <c r="E956" s="66"/>
      <c r="F956" s="66"/>
      <c r="G956" s="66"/>
      <c r="H956" s="66"/>
      <c r="I956" s="66"/>
      <c r="J956" s="66"/>
      <c r="K956" s="66"/>
      <c r="L956" s="66"/>
      <c r="M956" s="66"/>
      <c r="N956" s="66"/>
    </row>
    <row r="957" spans="1:14" x14ac:dyDescent="0.2">
      <c r="A957" s="84"/>
      <c r="B957" s="84"/>
      <c r="C957" s="60"/>
      <c r="D957" s="66"/>
      <c r="E957" s="66"/>
      <c r="F957" s="66"/>
      <c r="G957" s="66"/>
      <c r="H957" s="66"/>
      <c r="I957" s="66"/>
      <c r="J957" s="66"/>
      <c r="K957" s="66"/>
      <c r="L957" s="66"/>
      <c r="M957" s="66"/>
      <c r="N957" s="66"/>
    </row>
    <row r="958" spans="1:14" x14ac:dyDescent="0.2">
      <c r="A958" s="84"/>
      <c r="B958" s="84"/>
      <c r="C958" s="60"/>
      <c r="D958" s="66"/>
      <c r="E958" s="66"/>
      <c r="F958" s="66"/>
      <c r="G958" s="66"/>
      <c r="H958" s="66"/>
      <c r="I958" s="66"/>
      <c r="J958" s="66"/>
      <c r="K958" s="66"/>
      <c r="L958" s="66"/>
      <c r="M958" s="66"/>
      <c r="N958" s="66"/>
    </row>
    <row r="959" spans="1:14" x14ac:dyDescent="0.2">
      <c r="A959" s="84"/>
      <c r="B959" s="84"/>
      <c r="C959" s="60"/>
      <c r="D959" s="66"/>
      <c r="E959" s="66"/>
      <c r="F959" s="66"/>
      <c r="G959" s="66"/>
      <c r="H959" s="66"/>
      <c r="I959" s="66"/>
      <c r="J959" s="66"/>
      <c r="K959" s="66"/>
      <c r="L959" s="66"/>
      <c r="M959" s="66"/>
      <c r="N959" s="66"/>
    </row>
    <row r="960" spans="1:14" x14ac:dyDescent="0.2">
      <c r="A960" s="84"/>
      <c r="B960" s="84"/>
      <c r="C960" s="60"/>
      <c r="D960" s="66"/>
      <c r="E960" s="66"/>
      <c r="F960" s="66"/>
      <c r="G960" s="66"/>
      <c r="H960" s="66"/>
      <c r="I960" s="66"/>
      <c r="J960" s="66"/>
      <c r="K960" s="66"/>
      <c r="L960" s="66"/>
      <c r="M960" s="66"/>
      <c r="N960" s="66"/>
    </row>
    <row r="961" spans="1:14" x14ac:dyDescent="0.2">
      <c r="A961" s="84"/>
      <c r="B961" s="84"/>
      <c r="C961" s="60"/>
      <c r="D961" s="66"/>
      <c r="E961" s="66"/>
      <c r="F961" s="66"/>
      <c r="G961" s="66"/>
      <c r="H961" s="66"/>
      <c r="I961" s="66"/>
      <c r="J961" s="66"/>
      <c r="K961" s="66"/>
      <c r="L961" s="66"/>
      <c r="M961" s="66"/>
      <c r="N961" s="66"/>
    </row>
    <row r="962" spans="1:14" x14ac:dyDescent="0.2">
      <c r="A962" s="84"/>
      <c r="B962" s="84"/>
      <c r="C962" s="60"/>
      <c r="D962" s="66"/>
      <c r="E962" s="66"/>
      <c r="F962" s="66"/>
      <c r="G962" s="66"/>
      <c r="H962" s="66"/>
      <c r="I962" s="66"/>
      <c r="J962" s="66"/>
      <c r="K962" s="66"/>
      <c r="L962" s="66"/>
      <c r="M962" s="66"/>
      <c r="N962" s="66"/>
    </row>
    <row r="963" spans="1:14" x14ac:dyDescent="0.2">
      <c r="A963" s="84"/>
      <c r="B963" s="84"/>
      <c r="C963" s="60"/>
      <c r="D963" s="66"/>
      <c r="E963" s="66"/>
      <c r="F963" s="66"/>
      <c r="G963" s="66"/>
      <c r="H963" s="66"/>
      <c r="I963" s="66"/>
      <c r="J963" s="66"/>
      <c r="K963" s="66"/>
      <c r="L963" s="66"/>
      <c r="M963" s="66"/>
      <c r="N963" s="66"/>
    </row>
    <row r="964" spans="1:14" x14ac:dyDescent="0.2">
      <c r="A964" s="84"/>
      <c r="B964" s="84"/>
      <c r="C964" s="60"/>
      <c r="D964" s="66"/>
      <c r="E964" s="66"/>
      <c r="F964" s="66"/>
      <c r="G964" s="66"/>
      <c r="H964" s="66"/>
      <c r="I964" s="66"/>
      <c r="J964" s="66"/>
      <c r="K964" s="66"/>
      <c r="L964" s="66"/>
      <c r="M964" s="66"/>
      <c r="N964" s="66"/>
    </row>
    <row r="965" spans="1:14" x14ac:dyDescent="0.2">
      <c r="A965" s="84"/>
      <c r="B965" s="84"/>
      <c r="C965" s="60"/>
      <c r="D965" s="66"/>
      <c r="E965" s="66"/>
      <c r="F965" s="66"/>
      <c r="G965" s="66"/>
      <c r="H965" s="66"/>
      <c r="I965" s="66"/>
      <c r="J965" s="66"/>
      <c r="K965" s="66"/>
      <c r="L965" s="66"/>
      <c r="M965" s="66"/>
      <c r="N965" s="66"/>
    </row>
    <row r="966" spans="1:14" x14ac:dyDescent="0.2">
      <c r="A966" s="84"/>
      <c r="B966" s="84"/>
      <c r="C966" s="60"/>
      <c r="D966" s="66"/>
      <c r="E966" s="66"/>
      <c r="F966" s="66"/>
      <c r="G966" s="66"/>
      <c r="H966" s="66"/>
      <c r="I966" s="66"/>
      <c r="J966" s="66"/>
      <c r="K966" s="66"/>
      <c r="L966" s="66"/>
      <c r="M966" s="66"/>
      <c r="N966" s="66"/>
    </row>
    <row r="967" spans="1:14" x14ac:dyDescent="0.2">
      <c r="A967" s="84"/>
      <c r="B967" s="84"/>
      <c r="C967" s="60"/>
      <c r="D967" s="66"/>
      <c r="E967" s="66"/>
      <c r="F967" s="66"/>
      <c r="G967" s="66"/>
      <c r="H967" s="66"/>
      <c r="I967" s="66"/>
      <c r="J967" s="66"/>
      <c r="K967" s="66"/>
      <c r="L967" s="66"/>
      <c r="M967" s="66"/>
      <c r="N967" s="66"/>
    </row>
    <row r="968" spans="1:14" x14ac:dyDescent="0.2">
      <c r="A968" s="84"/>
      <c r="B968" s="84"/>
      <c r="C968" s="60"/>
      <c r="D968" s="66"/>
      <c r="E968" s="66"/>
      <c r="F968" s="66"/>
      <c r="G968" s="66"/>
      <c r="H968" s="66"/>
      <c r="I968" s="66"/>
      <c r="J968" s="66"/>
      <c r="K968" s="66"/>
      <c r="L968" s="66"/>
      <c r="M968" s="66"/>
      <c r="N968" s="66"/>
    </row>
    <row r="969" spans="1:14" x14ac:dyDescent="0.2">
      <c r="A969" s="84"/>
      <c r="B969" s="84"/>
      <c r="C969" s="60"/>
      <c r="D969" s="66"/>
      <c r="E969" s="66"/>
      <c r="F969" s="66"/>
      <c r="G969" s="66"/>
      <c r="H969" s="66"/>
      <c r="I969" s="66"/>
      <c r="J969" s="66"/>
      <c r="K969" s="66"/>
      <c r="L969" s="66"/>
      <c r="M969" s="66"/>
      <c r="N969" s="66"/>
    </row>
    <row r="970" spans="1:14" x14ac:dyDescent="0.2">
      <c r="A970" s="84"/>
      <c r="B970" s="84"/>
      <c r="C970" s="60"/>
      <c r="D970" s="66"/>
      <c r="E970" s="66"/>
      <c r="F970" s="66"/>
      <c r="G970" s="66"/>
      <c r="H970" s="66"/>
      <c r="I970" s="66"/>
      <c r="J970" s="66"/>
      <c r="K970" s="66"/>
      <c r="L970" s="66"/>
      <c r="M970" s="66"/>
      <c r="N970" s="66"/>
    </row>
    <row r="971" spans="1:14" x14ac:dyDescent="0.2">
      <c r="A971" s="84"/>
      <c r="B971" s="84"/>
      <c r="C971" s="60"/>
      <c r="D971" s="66"/>
      <c r="E971" s="66"/>
      <c r="F971" s="66"/>
      <c r="G971" s="66"/>
      <c r="H971" s="66"/>
      <c r="I971" s="66"/>
      <c r="J971" s="66"/>
      <c r="K971" s="66"/>
      <c r="L971" s="66"/>
      <c r="M971" s="66"/>
      <c r="N971" s="66"/>
    </row>
    <row r="972" spans="1:14" x14ac:dyDescent="0.2">
      <c r="A972" s="84"/>
      <c r="B972" s="84"/>
      <c r="C972" s="60"/>
      <c r="D972" s="66"/>
      <c r="E972" s="66"/>
      <c r="F972" s="66"/>
      <c r="G972" s="66"/>
      <c r="H972" s="66"/>
      <c r="I972" s="66"/>
      <c r="J972" s="66"/>
      <c r="K972" s="66"/>
      <c r="L972" s="66"/>
      <c r="M972" s="66"/>
      <c r="N972" s="66"/>
    </row>
    <row r="973" spans="1:14" x14ac:dyDescent="0.2">
      <c r="A973" s="84"/>
      <c r="B973" s="84"/>
      <c r="C973" s="60"/>
      <c r="D973" s="66"/>
      <c r="E973" s="66"/>
      <c r="F973" s="66"/>
      <c r="G973" s="66"/>
      <c r="H973" s="66"/>
      <c r="I973" s="66"/>
      <c r="J973" s="66"/>
      <c r="K973" s="66"/>
      <c r="L973" s="66"/>
      <c r="M973" s="66"/>
      <c r="N973" s="66"/>
    </row>
    <row r="974" spans="1:14" x14ac:dyDescent="0.2">
      <c r="A974" s="84"/>
      <c r="B974" s="84"/>
      <c r="C974" s="60"/>
      <c r="D974" s="66"/>
      <c r="E974" s="66"/>
      <c r="F974" s="66"/>
      <c r="G974" s="66"/>
      <c r="H974" s="66"/>
      <c r="I974" s="66"/>
      <c r="J974" s="66"/>
      <c r="K974" s="66"/>
      <c r="L974" s="66"/>
      <c r="M974" s="66"/>
      <c r="N974" s="66"/>
    </row>
    <row r="975" spans="1:14" x14ac:dyDescent="0.2">
      <c r="A975" s="84"/>
      <c r="B975" s="84"/>
      <c r="C975" s="60"/>
      <c r="D975" s="66"/>
      <c r="E975" s="66"/>
      <c r="F975" s="66"/>
      <c r="G975" s="66"/>
      <c r="H975" s="66"/>
      <c r="I975" s="66"/>
      <c r="J975" s="66"/>
      <c r="K975" s="66"/>
      <c r="L975" s="66"/>
      <c r="M975" s="66"/>
      <c r="N975" s="66"/>
    </row>
    <row r="976" spans="1:14" x14ac:dyDescent="0.2">
      <c r="A976" s="84"/>
      <c r="B976" s="84"/>
      <c r="C976" s="60"/>
      <c r="D976" s="66"/>
      <c r="E976" s="66"/>
      <c r="F976" s="66"/>
      <c r="G976" s="66"/>
      <c r="H976" s="66"/>
      <c r="I976" s="66"/>
      <c r="J976" s="66"/>
      <c r="K976" s="66"/>
      <c r="L976" s="66"/>
      <c r="M976" s="66"/>
      <c r="N976" s="66"/>
    </row>
    <row r="977" spans="1:14" x14ac:dyDescent="0.2">
      <c r="A977" s="84"/>
      <c r="B977" s="84"/>
      <c r="C977" s="60"/>
      <c r="D977" s="66"/>
      <c r="E977" s="66"/>
      <c r="F977" s="66"/>
      <c r="G977" s="66"/>
      <c r="H977" s="66"/>
      <c r="I977" s="66"/>
      <c r="J977" s="66"/>
      <c r="K977" s="66"/>
      <c r="L977" s="66"/>
      <c r="M977" s="66"/>
      <c r="N977" s="66"/>
    </row>
    <row r="978" spans="1:14" x14ac:dyDescent="0.2">
      <c r="A978" s="84"/>
      <c r="B978" s="84"/>
      <c r="C978" s="60"/>
      <c r="D978" s="66"/>
      <c r="E978" s="66"/>
      <c r="F978" s="66"/>
      <c r="G978" s="66"/>
      <c r="H978" s="66"/>
      <c r="I978" s="66"/>
      <c r="J978" s="66"/>
      <c r="K978" s="66"/>
      <c r="L978" s="66"/>
      <c r="M978" s="66"/>
      <c r="N978" s="66"/>
    </row>
    <row r="979" spans="1:14" x14ac:dyDescent="0.2">
      <c r="A979" s="84"/>
      <c r="B979" s="84"/>
      <c r="C979" s="60"/>
      <c r="D979" s="66"/>
      <c r="E979" s="66"/>
      <c r="F979" s="66"/>
      <c r="G979" s="66"/>
      <c r="H979" s="66"/>
      <c r="I979" s="66"/>
      <c r="J979" s="66"/>
      <c r="K979" s="66"/>
      <c r="L979" s="66"/>
      <c r="M979" s="66"/>
      <c r="N979" s="66"/>
    </row>
    <row r="980" spans="1:14" x14ac:dyDescent="0.2">
      <c r="A980" s="84"/>
      <c r="B980" s="84"/>
      <c r="C980" s="60"/>
      <c r="D980" s="66"/>
      <c r="E980" s="66"/>
      <c r="F980" s="66"/>
      <c r="G980" s="66"/>
      <c r="H980" s="66"/>
      <c r="I980" s="66"/>
      <c r="J980" s="66"/>
      <c r="K980" s="66"/>
      <c r="L980" s="66"/>
      <c r="M980" s="66"/>
      <c r="N980" s="66"/>
    </row>
    <row r="981" spans="1:14" x14ac:dyDescent="0.2">
      <c r="A981" s="84"/>
      <c r="B981" s="84"/>
      <c r="C981" s="60"/>
      <c r="D981" s="66"/>
      <c r="E981" s="66"/>
      <c r="F981" s="66"/>
      <c r="G981" s="66"/>
      <c r="H981" s="66"/>
      <c r="I981" s="66"/>
      <c r="J981" s="66"/>
      <c r="K981" s="66"/>
      <c r="L981" s="66"/>
      <c r="M981" s="66"/>
      <c r="N981" s="66"/>
    </row>
    <row r="982" spans="1:14" x14ac:dyDescent="0.2">
      <c r="A982" s="84"/>
      <c r="B982" s="84"/>
      <c r="C982" s="60"/>
      <c r="D982" s="66"/>
      <c r="E982" s="66"/>
      <c r="F982" s="66"/>
      <c r="G982" s="66"/>
      <c r="H982" s="66"/>
      <c r="I982" s="66"/>
      <c r="J982" s="66"/>
      <c r="K982" s="66"/>
      <c r="L982" s="66"/>
      <c r="M982" s="66"/>
      <c r="N982" s="66"/>
    </row>
    <row r="983" spans="1:14" x14ac:dyDescent="0.2">
      <c r="A983" s="84"/>
      <c r="B983" s="84"/>
      <c r="C983" s="60"/>
      <c r="D983" s="66"/>
      <c r="E983" s="66"/>
      <c r="F983" s="66"/>
      <c r="G983" s="66"/>
      <c r="H983" s="66"/>
      <c r="I983" s="66"/>
      <c r="J983" s="66"/>
      <c r="K983" s="66"/>
      <c r="L983" s="66"/>
      <c r="M983" s="66"/>
      <c r="N983" s="66"/>
    </row>
    <row r="984" spans="1:14" x14ac:dyDescent="0.2">
      <c r="A984" s="84"/>
      <c r="B984" s="84"/>
      <c r="C984" s="60"/>
      <c r="D984" s="66"/>
      <c r="E984" s="66"/>
      <c r="F984" s="66"/>
      <c r="G984" s="66"/>
      <c r="H984" s="66"/>
      <c r="I984" s="66"/>
      <c r="J984" s="66"/>
      <c r="K984" s="66"/>
      <c r="L984" s="66"/>
      <c r="M984" s="66"/>
      <c r="N984" s="66"/>
    </row>
    <row r="985" spans="1:14" x14ac:dyDescent="0.2">
      <c r="A985" s="84"/>
      <c r="B985" s="84"/>
      <c r="C985" s="60"/>
      <c r="D985" s="66"/>
      <c r="E985" s="66"/>
      <c r="F985" s="66"/>
      <c r="G985" s="66"/>
      <c r="H985" s="66"/>
      <c r="I985" s="66"/>
      <c r="J985" s="66"/>
      <c r="K985" s="66"/>
      <c r="L985" s="66"/>
      <c r="M985" s="66"/>
      <c r="N985" s="66"/>
    </row>
    <row r="986" spans="1:14" x14ac:dyDescent="0.2">
      <c r="A986" s="84"/>
      <c r="B986" s="84"/>
      <c r="C986" s="60"/>
      <c r="D986" s="66"/>
      <c r="E986" s="66"/>
      <c r="F986" s="66"/>
      <c r="G986" s="66"/>
      <c r="H986" s="66"/>
      <c r="I986" s="66"/>
      <c r="J986" s="66"/>
      <c r="K986" s="66"/>
      <c r="L986" s="66"/>
      <c r="M986" s="66"/>
      <c r="N986" s="66"/>
    </row>
    <row r="987" spans="1:14" x14ac:dyDescent="0.2">
      <c r="A987" s="84"/>
      <c r="B987" s="84"/>
      <c r="C987" s="60"/>
      <c r="D987" s="66"/>
      <c r="E987" s="66"/>
      <c r="F987" s="66"/>
      <c r="G987" s="66"/>
      <c r="H987" s="66"/>
      <c r="I987" s="66"/>
      <c r="J987" s="66"/>
      <c r="K987" s="66"/>
      <c r="L987" s="66"/>
      <c r="M987" s="66"/>
      <c r="N987" s="66"/>
    </row>
    <row r="988" spans="1:14" x14ac:dyDescent="0.2">
      <c r="A988" s="84"/>
      <c r="B988" s="84"/>
      <c r="C988" s="60"/>
      <c r="D988" s="66"/>
      <c r="E988" s="66"/>
      <c r="F988" s="66"/>
      <c r="G988" s="66"/>
      <c r="H988" s="66"/>
      <c r="I988" s="66"/>
      <c r="J988" s="66"/>
      <c r="K988" s="66"/>
      <c r="L988" s="66"/>
      <c r="M988" s="66"/>
      <c r="N988" s="66"/>
    </row>
    <row r="989" spans="1:14" x14ac:dyDescent="0.2">
      <c r="A989" s="84"/>
      <c r="B989" s="84"/>
      <c r="C989" s="60"/>
      <c r="D989" s="66"/>
      <c r="E989" s="66"/>
      <c r="F989" s="66"/>
      <c r="G989" s="66"/>
      <c r="H989" s="66"/>
      <c r="I989" s="66"/>
      <c r="J989" s="66"/>
      <c r="K989" s="66"/>
      <c r="L989" s="66"/>
      <c r="M989" s="66"/>
      <c r="N989" s="66"/>
    </row>
    <row r="990" spans="1:14" x14ac:dyDescent="0.2">
      <c r="A990" s="84"/>
      <c r="B990" s="84"/>
      <c r="C990" s="60"/>
      <c r="D990" s="66"/>
      <c r="E990" s="66"/>
      <c r="F990" s="66"/>
      <c r="G990" s="66"/>
      <c r="H990" s="66"/>
      <c r="I990" s="66"/>
      <c r="J990" s="66"/>
      <c r="K990" s="66"/>
      <c r="L990" s="66"/>
      <c r="M990" s="66"/>
      <c r="N990" s="66"/>
    </row>
    <row r="991" spans="1:14" x14ac:dyDescent="0.2">
      <c r="A991" s="84"/>
      <c r="B991" s="84"/>
      <c r="C991" s="60"/>
      <c r="D991" s="66"/>
      <c r="E991" s="66"/>
      <c r="F991" s="66"/>
      <c r="G991" s="66"/>
      <c r="H991" s="66"/>
      <c r="I991" s="66"/>
      <c r="J991" s="66"/>
      <c r="K991" s="66"/>
      <c r="L991" s="66"/>
      <c r="M991" s="66"/>
      <c r="N991" s="66"/>
    </row>
    <row r="992" spans="1:14" x14ac:dyDescent="0.2">
      <c r="A992" s="84"/>
      <c r="B992" s="84"/>
      <c r="C992" s="60"/>
      <c r="D992" s="66"/>
      <c r="E992" s="66"/>
      <c r="F992" s="66"/>
      <c r="G992" s="66"/>
      <c r="H992" s="66"/>
      <c r="I992" s="66"/>
      <c r="J992" s="66"/>
      <c r="K992" s="66"/>
      <c r="L992" s="66"/>
      <c r="M992" s="66"/>
      <c r="N992" s="66"/>
    </row>
    <row r="993" spans="1:14" x14ac:dyDescent="0.2">
      <c r="A993" s="84"/>
      <c r="B993" s="84"/>
      <c r="C993" s="60"/>
      <c r="D993" s="66"/>
      <c r="E993" s="66"/>
      <c r="F993" s="66"/>
      <c r="G993" s="66"/>
      <c r="H993" s="66"/>
      <c r="I993" s="66"/>
      <c r="J993" s="66"/>
      <c r="K993" s="66"/>
      <c r="L993" s="66"/>
      <c r="M993" s="66"/>
      <c r="N993" s="66"/>
    </row>
    <row r="994" spans="1:14" x14ac:dyDescent="0.2">
      <c r="A994" s="84"/>
      <c r="B994" s="84"/>
      <c r="C994" s="60"/>
      <c r="D994" s="66"/>
      <c r="E994" s="66"/>
      <c r="F994" s="66"/>
      <c r="G994" s="66"/>
      <c r="H994" s="66"/>
      <c r="I994" s="66"/>
      <c r="J994" s="66"/>
      <c r="K994" s="66"/>
      <c r="L994" s="66"/>
      <c r="M994" s="66"/>
      <c r="N994" s="66"/>
    </row>
    <row r="995" spans="1:14" x14ac:dyDescent="0.2">
      <c r="A995" s="84"/>
      <c r="B995" s="84"/>
      <c r="C995" s="60"/>
      <c r="D995" s="66"/>
      <c r="E995" s="66"/>
      <c r="F995" s="66"/>
      <c r="G995" s="66"/>
      <c r="H995" s="66"/>
      <c r="I995" s="66"/>
      <c r="J995" s="66"/>
      <c r="K995" s="66"/>
      <c r="L995" s="66"/>
      <c r="M995" s="66"/>
      <c r="N995" s="66"/>
    </row>
    <row r="996" spans="1:14" x14ac:dyDescent="0.2">
      <c r="A996" s="84"/>
      <c r="B996" s="84"/>
      <c r="C996" s="60"/>
      <c r="D996" s="66"/>
      <c r="E996" s="66"/>
      <c r="F996" s="66"/>
      <c r="G996" s="66"/>
      <c r="H996" s="66"/>
      <c r="I996" s="66"/>
      <c r="J996" s="66"/>
      <c r="K996" s="66"/>
      <c r="L996" s="66"/>
      <c r="M996" s="66"/>
      <c r="N996" s="66"/>
    </row>
    <row r="997" spans="1:14" x14ac:dyDescent="0.2">
      <c r="A997" s="84"/>
      <c r="B997" s="84"/>
      <c r="C997" s="60"/>
      <c r="D997" s="66"/>
      <c r="E997" s="66"/>
      <c r="F997" s="66"/>
      <c r="G997" s="66"/>
      <c r="H997" s="66"/>
      <c r="I997" s="66"/>
      <c r="J997" s="66"/>
      <c r="K997" s="66"/>
      <c r="L997" s="66"/>
      <c r="M997" s="66"/>
      <c r="N997" s="66"/>
    </row>
    <row r="998" spans="1:14" x14ac:dyDescent="0.2">
      <c r="A998" s="84"/>
      <c r="B998" s="84"/>
      <c r="C998" s="60"/>
      <c r="D998" s="66"/>
      <c r="E998" s="66"/>
      <c r="F998" s="66"/>
      <c r="G998" s="66"/>
      <c r="H998" s="66"/>
      <c r="I998" s="66"/>
      <c r="J998" s="66"/>
      <c r="K998" s="66"/>
      <c r="L998" s="66"/>
      <c r="M998" s="66"/>
      <c r="N998" s="66"/>
    </row>
    <row r="999" spans="1:14" x14ac:dyDescent="0.2">
      <c r="A999" s="84"/>
      <c r="B999" s="84"/>
      <c r="C999" s="60"/>
      <c r="D999" s="66"/>
      <c r="E999" s="66"/>
      <c r="F999" s="66"/>
      <c r="G999" s="66"/>
      <c r="H999" s="66"/>
      <c r="I999" s="66"/>
      <c r="J999" s="66"/>
      <c r="K999" s="66"/>
      <c r="L999" s="66"/>
      <c r="M999" s="66"/>
      <c r="N999" s="66"/>
    </row>
    <row r="1000" spans="1:14" x14ac:dyDescent="0.2">
      <c r="A1000" s="84"/>
      <c r="B1000" s="84"/>
      <c r="C1000" s="60"/>
      <c r="D1000" s="66"/>
      <c r="E1000" s="66"/>
      <c r="F1000" s="66"/>
      <c r="G1000" s="66"/>
      <c r="H1000" s="66"/>
      <c r="I1000" s="66"/>
      <c r="J1000" s="66"/>
      <c r="K1000" s="66"/>
      <c r="L1000" s="66"/>
      <c r="M1000" s="66"/>
      <c r="N1000" s="66"/>
    </row>
    <row r="1001" spans="1:14" x14ac:dyDescent="0.2">
      <c r="A1001" s="84"/>
      <c r="B1001" s="84"/>
      <c r="C1001" s="60"/>
      <c r="D1001" s="66"/>
      <c r="E1001" s="66"/>
      <c r="F1001" s="66"/>
      <c r="G1001" s="66"/>
      <c r="H1001" s="66"/>
      <c r="I1001" s="66"/>
      <c r="J1001" s="66"/>
      <c r="K1001" s="66"/>
      <c r="L1001" s="66"/>
      <c r="M1001" s="66"/>
      <c r="N1001" s="66"/>
    </row>
    <row r="1002" spans="1:14" x14ac:dyDescent="0.2">
      <c r="A1002" s="84"/>
      <c r="B1002" s="84"/>
      <c r="C1002" s="60"/>
      <c r="D1002" s="66"/>
      <c r="E1002" s="66"/>
      <c r="F1002" s="66"/>
      <c r="G1002" s="66"/>
      <c r="H1002" s="66"/>
      <c r="I1002" s="66"/>
      <c r="J1002" s="66"/>
      <c r="K1002" s="66"/>
      <c r="L1002" s="66"/>
      <c r="M1002" s="66"/>
      <c r="N1002" s="66"/>
    </row>
    <row r="1003" spans="1:14" x14ac:dyDescent="0.2">
      <c r="A1003" s="84"/>
      <c r="B1003" s="84"/>
      <c r="C1003" s="60"/>
      <c r="D1003" s="66"/>
      <c r="E1003" s="66"/>
      <c r="F1003" s="66"/>
      <c r="G1003" s="66"/>
      <c r="H1003" s="66"/>
      <c r="I1003" s="66"/>
      <c r="J1003" s="66"/>
      <c r="K1003" s="66"/>
      <c r="L1003" s="66"/>
      <c r="M1003" s="66"/>
      <c r="N1003" s="66"/>
    </row>
    <row r="1004" spans="1:14" x14ac:dyDescent="0.2">
      <c r="A1004" s="84"/>
      <c r="B1004" s="84"/>
      <c r="C1004" s="60"/>
      <c r="D1004" s="66"/>
      <c r="E1004" s="66"/>
      <c r="F1004" s="66"/>
      <c r="G1004" s="66"/>
      <c r="H1004" s="66"/>
      <c r="I1004" s="66"/>
      <c r="J1004" s="66"/>
      <c r="K1004" s="66"/>
      <c r="L1004" s="66"/>
      <c r="M1004" s="66"/>
      <c r="N1004" s="66"/>
    </row>
    <row r="1005" spans="1:14" x14ac:dyDescent="0.2">
      <c r="A1005" s="84"/>
      <c r="B1005" s="84"/>
      <c r="C1005" s="60"/>
      <c r="D1005" s="66"/>
      <c r="E1005" s="66"/>
      <c r="F1005" s="66"/>
      <c r="G1005" s="66"/>
      <c r="H1005" s="66"/>
      <c r="I1005" s="66"/>
      <c r="J1005" s="66"/>
      <c r="K1005" s="66"/>
      <c r="L1005" s="66"/>
      <c r="M1005" s="66"/>
      <c r="N1005" s="66"/>
    </row>
    <row r="1006" spans="1:14" x14ac:dyDescent="0.2">
      <c r="A1006" s="84"/>
      <c r="B1006" s="84"/>
      <c r="C1006" s="60"/>
      <c r="D1006" s="66"/>
      <c r="E1006" s="66"/>
      <c r="F1006" s="66"/>
      <c r="G1006" s="66"/>
      <c r="H1006" s="66"/>
      <c r="I1006" s="66"/>
      <c r="J1006" s="66"/>
      <c r="K1006" s="66"/>
      <c r="L1006" s="66"/>
      <c r="M1006" s="66"/>
      <c r="N1006" s="66"/>
    </row>
    <row r="1007" spans="1:14" x14ac:dyDescent="0.2">
      <c r="A1007" s="84"/>
      <c r="B1007" s="84"/>
      <c r="C1007" s="60"/>
      <c r="D1007" s="66"/>
      <c r="E1007" s="66"/>
      <c r="F1007" s="66"/>
      <c r="G1007" s="66"/>
      <c r="H1007" s="66"/>
      <c r="I1007" s="66"/>
      <c r="J1007" s="66"/>
      <c r="K1007" s="66"/>
      <c r="L1007" s="66"/>
      <c r="M1007" s="66"/>
      <c r="N1007" s="66"/>
    </row>
    <row r="1008" spans="1:14" x14ac:dyDescent="0.2">
      <c r="A1008" s="84"/>
      <c r="B1008" s="84"/>
      <c r="C1008" s="60"/>
      <c r="D1008" s="66"/>
      <c r="E1008" s="66"/>
      <c r="F1008" s="66"/>
      <c r="G1008" s="66"/>
      <c r="H1008" s="66"/>
      <c r="I1008" s="66"/>
      <c r="J1008" s="66"/>
      <c r="K1008" s="66"/>
      <c r="L1008" s="66"/>
      <c r="M1008" s="66"/>
      <c r="N1008" s="66"/>
    </row>
    <row r="1009" spans="1:14" x14ac:dyDescent="0.2">
      <c r="A1009" s="84"/>
      <c r="B1009" s="84"/>
      <c r="C1009" s="60"/>
      <c r="D1009" s="66"/>
      <c r="E1009" s="66"/>
      <c r="F1009" s="66"/>
      <c r="G1009" s="66"/>
      <c r="H1009" s="66"/>
      <c r="I1009" s="66"/>
      <c r="J1009" s="66"/>
      <c r="K1009" s="66"/>
      <c r="L1009" s="66"/>
      <c r="M1009" s="66"/>
      <c r="N1009" s="66"/>
    </row>
    <row r="1010" spans="1:14" x14ac:dyDescent="0.2">
      <c r="A1010" s="84"/>
      <c r="B1010" s="84"/>
      <c r="C1010" s="60"/>
      <c r="D1010" s="66"/>
      <c r="E1010" s="66"/>
      <c r="F1010" s="66"/>
      <c r="G1010" s="66"/>
      <c r="H1010" s="66"/>
      <c r="I1010" s="66"/>
      <c r="J1010" s="66"/>
      <c r="K1010" s="66"/>
      <c r="L1010" s="66"/>
      <c r="M1010" s="66"/>
      <c r="N1010" s="66"/>
    </row>
    <row r="1011" spans="1:14" x14ac:dyDescent="0.2">
      <c r="A1011" s="84"/>
      <c r="B1011" s="84"/>
      <c r="C1011" s="60"/>
      <c r="D1011" s="66"/>
      <c r="E1011" s="66"/>
      <c r="F1011" s="66"/>
      <c r="G1011" s="66"/>
      <c r="H1011" s="66"/>
      <c r="I1011" s="66"/>
      <c r="J1011" s="66"/>
      <c r="K1011" s="66"/>
      <c r="L1011" s="66"/>
      <c r="M1011" s="66"/>
      <c r="N1011" s="66"/>
    </row>
    <row r="1012" spans="1:14" x14ac:dyDescent="0.2">
      <c r="A1012" s="84"/>
      <c r="B1012" s="84"/>
      <c r="C1012" s="60"/>
      <c r="D1012" s="66"/>
      <c r="E1012" s="66"/>
      <c r="F1012" s="66"/>
      <c r="G1012" s="66"/>
      <c r="H1012" s="66"/>
      <c r="I1012" s="66"/>
      <c r="J1012" s="66"/>
      <c r="K1012" s="66"/>
      <c r="L1012" s="66"/>
      <c r="M1012" s="66"/>
      <c r="N1012" s="66"/>
    </row>
    <row r="1013" spans="1:14" x14ac:dyDescent="0.2">
      <c r="A1013" s="84"/>
      <c r="B1013" s="84"/>
      <c r="C1013" s="60"/>
      <c r="D1013" s="66"/>
      <c r="E1013" s="66"/>
      <c r="F1013" s="66"/>
      <c r="G1013" s="66"/>
      <c r="H1013" s="66"/>
      <c r="I1013" s="66"/>
      <c r="J1013" s="66"/>
      <c r="K1013" s="66"/>
      <c r="L1013" s="66"/>
      <c r="M1013" s="66"/>
      <c r="N1013" s="66"/>
    </row>
    <row r="1014" spans="1:14" x14ac:dyDescent="0.2">
      <c r="A1014" s="84"/>
      <c r="B1014" s="84"/>
      <c r="C1014" s="60"/>
      <c r="D1014" s="66"/>
      <c r="E1014" s="66"/>
      <c r="F1014" s="66"/>
      <c r="G1014" s="66"/>
      <c r="H1014" s="66"/>
      <c r="I1014" s="66"/>
      <c r="J1014" s="66"/>
      <c r="K1014" s="66"/>
      <c r="L1014" s="66"/>
      <c r="M1014" s="66"/>
      <c r="N1014" s="66"/>
    </row>
    <row r="1015" spans="1:14" x14ac:dyDescent="0.2">
      <c r="A1015" s="84"/>
      <c r="B1015" s="84"/>
      <c r="C1015" s="60"/>
      <c r="D1015" s="66"/>
      <c r="E1015" s="66"/>
      <c r="F1015" s="66"/>
      <c r="G1015" s="66"/>
      <c r="H1015" s="66"/>
      <c r="I1015" s="66"/>
      <c r="J1015" s="66"/>
      <c r="K1015" s="66"/>
      <c r="L1015" s="66"/>
      <c r="M1015" s="66"/>
      <c r="N1015" s="66"/>
    </row>
    <row r="1016" spans="1:14" x14ac:dyDescent="0.2">
      <c r="A1016" s="84"/>
      <c r="B1016" s="84"/>
      <c r="C1016" s="60"/>
      <c r="D1016" s="66"/>
      <c r="E1016" s="66"/>
      <c r="F1016" s="66"/>
      <c r="G1016" s="66"/>
      <c r="H1016" s="66"/>
      <c r="I1016" s="66"/>
      <c r="J1016" s="66"/>
      <c r="K1016" s="66"/>
      <c r="L1016" s="66"/>
      <c r="M1016" s="66"/>
      <c r="N1016" s="66"/>
    </row>
    <row r="1017" spans="1:14" x14ac:dyDescent="0.2">
      <c r="A1017" s="84"/>
      <c r="B1017" s="84"/>
      <c r="C1017" s="60"/>
      <c r="D1017" s="66"/>
      <c r="E1017" s="66"/>
      <c r="F1017" s="66"/>
      <c r="G1017" s="66"/>
      <c r="H1017" s="66"/>
      <c r="I1017" s="66"/>
      <c r="J1017" s="66"/>
      <c r="K1017" s="66"/>
      <c r="L1017" s="66"/>
      <c r="M1017" s="66"/>
      <c r="N1017" s="66"/>
    </row>
    <row r="1018" spans="1:14" x14ac:dyDescent="0.2">
      <c r="A1018" s="84"/>
      <c r="B1018" s="84"/>
      <c r="C1018" s="60"/>
      <c r="D1018" s="66"/>
      <c r="E1018" s="66"/>
      <c r="F1018" s="66"/>
      <c r="G1018" s="66"/>
      <c r="H1018" s="66"/>
      <c r="I1018" s="66"/>
      <c r="J1018" s="66"/>
      <c r="K1018" s="66"/>
      <c r="L1018" s="66"/>
      <c r="M1018" s="66"/>
      <c r="N1018" s="66"/>
    </row>
    <row r="1019" spans="1:14" x14ac:dyDescent="0.2">
      <c r="A1019" s="84"/>
      <c r="B1019" s="84"/>
      <c r="C1019" s="60"/>
      <c r="D1019" s="66"/>
      <c r="E1019" s="66"/>
      <c r="F1019" s="66"/>
      <c r="G1019" s="66"/>
      <c r="H1019" s="66"/>
      <c r="I1019" s="66"/>
      <c r="J1019" s="66"/>
      <c r="K1019" s="66"/>
      <c r="L1019" s="66"/>
      <c r="M1019" s="66"/>
      <c r="N1019" s="66"/>
    </row>
    <row r="1020" spans="1:14" x14ac:dyDescent="0.2">
      <c r="A1020" s="84"/>
      <c r="B1020" s="84"/>
      <c r="C1020" s="60"/>
      <c r="D1020" s="66"/>
      <c r="E1020" s="66"/>
      <c r="F1020" s="66"/>
      <c r="G1020" s="66"/>
      <c r="H1020" s="66"/>
      <c r="I1020" s="66"/>
      <c r="J1020" s="66"/>
      <c r="K1020" s="66"/>
      <c r="L1020" s="66"/>
      <c r="M1020" s="66"/>
      <c r="N1020" s="66"/>
    </row>
    <row r="1021" spans="1:14" x14ac:dyDescent="0.2">
      <c r="A1021" s="84"/>
      <c r="B1021" s="84"/>
      <c r="C1021" s="60"/>
      <c r="D1021" s="66"/>
      <c r="E1021" s="66"/>
      <c r="F1021" s="66"/>
      <c r="G1021" s="66"/>
      <c r="H1021" s="66"/>
      <c r="I1021" s="66"/>
      <c r="J1021" s="66"/>
      <c r="K1021" s="66"/>
      <c r="L1021" s="66"/>
      <c r="M1021" s="66"/>
      <c r="N1021" s="66"/>
    </row>
    <row r="1022" spans="1:14" x14ac:dyDescent="0.2">
      <c r="A1022" s="84"/>
      <c r="B1022" s="84"/>
      <c r="C1022" s="60"/>
      <c r="D1022" s="66"/>
      <c r="E1022" s="66"/>
      <c r="F1022" s="66"/>
      <c r="G1022" s="66"/>
      <c r="H1022" s="66"/>
      <c r="I1022" s="66"/>
      <c r="J1022" s="66"/>
      <c r="K1022" s="66"/>
      <c r="L1022" s="66"/>
      <c r="M1022" s="66"/>
      <c r="N1022" s="66"/>
    </row>
    <row r="1023" spans="1:14" x14ac:dyDescent="0.2">
      <c r="A1023" s="84"/>
      <c r="B1023" s="84"/>
      <c r="C1023" s="60"/>
      <c r="D1023" s="66"/>
      <c r="E1023" s="66"/>
      <c r="F1023" s="66"/>
      <c r="G1023" s="66"/>
      <c r="H1023" s="66"/>
      <c r="I1023" s="66"/>
      <c r="J1023" s="66"/>
      <c r="K1023" s="66"/>
      <c r="L1023" s="66"/>
      <c r="M1023" s="66"/>
      <c r="N1023" s="66"/>
    </row>
    <row r="1024" spans="1:14" x14ac:dyDescent="0.2">
      <c r="A1024" s="84"/>
      <c r="B1024" s="84"/>
      <c r="C1024" s="60"/>
      <c r="D1024" s="66"/>
      <c r="E1024" s="66"/>
      <c r="F1024" s="66"/>
      <c r="G1024" s="66"/>
      <c r="H1024" s="66"/>
      <c r="I1024" s="66"/>
      <c r="J1024" s="66"/>
      <c r="K1024" s="66"/>
      <c r="L1024" s="66"/>
      <c r="M1024" s="66"/>
      <c r="N1024" s="66"/>
    </row>
    <row r="1025" spans="1:14" x14ac:dyDescent="0.2">
      <c r="A1025" s="84"/>
      <c r="B1025" s="84"/>
      <c r="C1025" s="60"/>
      <c r="D1025" s="66"/>
      <c r="E1025" s="66"/>
      <c r="F1025" s="66"/>
      <c r="G1025" s="66"/>
      <c r="H1025" s="66"/>
      <c r="I1025" s="66"/>
      <c r="J1025" s="66"/>
      <c r="K1025" s="66"/>
      <c r="L1025" s="66"/>
      <c r="M1025" s="66"/>
      <c r="N1025" s="66"/>
    </row>
    <row r="1026" spans="1:14" x14ac:dyDescent="0.2">
      <c r="A1026" s="84"/>
      <c r="B1026" s="84"/>
      <c r="C1026" s="60"/>
      <c r="D1026" s="66"/>
      <c r="E1026" s="66"/>
      <c r="F1026" s="66"/>
      <c r="G1026" s="66"/>
      <c r="H1026" s="66"/>
      <c r="I1026" s="66"/>
      <c r="J1026" s="66"/>
      <c r="K1026" s="66"/>
      <c r="L1026" s="66"/>
      <c r="M1026" s="66"/>
      <c r="N1026" s="66"/>
    </row>
    <row r="1027" spans="1:14" x14ac:dyDescent="0.2">
      <c r="A1027" s="84"/>
      <c r="B1027" s="84"/>
      <c r="C1027" s="60"/>
      <c r="D1027" s="66"/>
      <c r="E1027" s="66"/>
      <c r="F1027" s="66"/>
      <c r="G1027" s="66"/>
      <c r="H1027" s="66"/>
      <c r="I1027" s="66"/>
      <c r="J1027" s="66"/>
      <c r="K1027" s="66"/>
      <c r="L1027" s="66"/>
      <c r="M1027" s="66"/>
      <c r="N1027" s="66"/>
    </row>
    <row r="1028" spans="1:14" x14ac:dyDescent="0.2">
      <c r="A1028" s="84"/>
      <c r="B1028" s="84"/>
      <c r="C1028" s="60"/>
      <c r="D1028" s="66"/>
      <c r="E1028" s="66"/>
      <c r="F1028" s="66"/>
      <c r="G1028" s="66"/>
      <c r="H1028" s="66"/>
      <c r="I1028" s="66"/>
      <c r="J1028" s="66"/>
      <c r="K1028" s="66"/>
      <c r="L1028" s="66"/>
      <c r="M1028" s="66"/>
      <c r="N1028" s="66"/>
    </row>
    <row r="1029" spans="1:14" x14ac:dyDescent="0.2">
      <c r="A1029" s="84"/>
      <c r="B1029" s="84"/>
      <c r="C1029" s="60"/>
      <c r="D1029" s="66"/>
      <c r="E1029" s="66"/>
      <c r="F1029" s="66"/>
      <c r="G1029" s="66"/>
      <c r="H1029" s="66"/>
      <c r="I1029" s="66"/>
      <c r="J1029" s="66"/>
      <c r="K1029" s="66"/>
      <c r="L1029" s="66"/>
      <c r="M1029" s="66"/>
      <c r="N1029" s="66"/>
    </row>
    <row r="1030" spans="1:14" x14ac:dyDescent="0.2">
      <c r="A1030" s="84"/>
      <c r="B1030" s="84"/>
      <c r="C1030" s="60"/>
      <c r="D1030" s="66"/>
      <c r="E1030" s="66"/>
      <c r="F1030" s="66"/>
      <c r="G1030" s="66"/>
      <c r="H1030" s="66"/>
      <c r="I1030" s="66"/>
      <c r="J1030" s="66"/>
      <c r="K1030" s="66"/>
      <c r="L1030" s="66"/>
      <c r="M1030" s="66"/>
      <c r="N1030" s="66"/>
    </row>
    <row r="1031" spans="1:14" x14ac:dyDescent="0.2">
      <c r="A1031" s="84"/>
      <c r="B1031" s="84"/>
      <c r="C1031" s="60"/>
      <c r="D1031" s="66"/>
      <c r="E1031" s="66"/>
      <c r="F1031" s="66"/>
      <c r="G1031" s="66"/>
      <c r="H1031" s="66"/>
      <c r="I1031" s="66"/>
      <c r="J1031" s="66"/>
      <c r="K1031" s="66"/>
      <c r="L1031" s="66"/>
      <c r="M1031" s="66"/>
      <c r="N1031" s="66"/>
    </row>
    <row r="1032" spans="1:14" x14ac:dyDescent="0.2">
      <c r="A1032" s="84"/>
      <c r="B1032" s="84"/>
      <c r="C1032" s="60"/>
      <c r="D1032" s="66"/>
      <c r="E1032" s="66"/>
      <c r="F1032" s="66"/>
      <c r="G1032" s="66"/>
      <c r="H1032" s="66"/>
      <c r="I1032" s="66"/>
      <c r="J1032" s="66"/>
      <c r="K1032" s="66"/>
      <c r="L1032" s="66"/>
      <c r="M1032" s="66"/>
      <c r="N1032" s="66"/>
    </row>
    <row r="1033" spans="1:14" x14ac:dyDescent="0.2">
      <c r="A1033" s="84"/>
      <c r="B1033" s="84"/>
      <c r="C1033" s="60"/>
      <c r="D1033" s="66"/>
      <c r="E1033" s="66"/>
      <c r="F1033" s="66"/>
      <c r="G1033" s="66"/>
      <c r="H1033" s="66"/>
      <c r="I1033" s="66"/>
      <c r="J1033" s="66"/>
      <c r="K1033" s="66"/>
      <c r="L1033" s="66"/>
      <c r="M1033" s="66"/>
      <c r="N1033" s="66"/>
    </row>
    <row r="1034" spans="1:14" x14ac:dyDescent="0.2">
      <c r="A1034" s="84"/>
      <c r="B1034" s="84"/>
      <c r="C1034" s="60"/>
      <c r="D1034" s="66"/>
      <c r="E1034" s="66"/>
      <c r="F1034" s="66"/>
      <c r="G1034" s="66"/>
      <c r="H1034" s="66"/>
      <c r="I1034" s="66"/>
      <c r="J1034" s="66"/>
      <c r="K1034" s="66"/>
      <c r="L1034" s="66"/>
      <c r="M1034" s="66"/>
      <c r="N1034" s="66"/>
    </row>
    <row r="1035" spans="1:14" x14ac:dyDescent="0.2">
      <c r="A1035" s="84"/>
      <c r="B1035" s="84"/>
      <c r="C1035" s="60"/>
      <c r="D1035" s="66"/>
      <c r="E1035" s="66"/>
      <c r="F1035" s="66"/>
      <c r="G1035" s="66"/>
      <c r="H1035" s="66"/>
      <c r="I1035" s="66"/>
      <c r="J1035" s="66"/>
      <c r="K1035" s="66"/>
      <c r="L1035" s="66"/>
      <c r="M1035" s="66"/>
      <c r="N1035" s="66"/>
    </row>
    <row r="1036" spans="1:14" x14ac:dyDescent="0.2">
      <c r="A1036" s="84"/>
      <c r="B1036" s="84"/>
      <c r="C1036" s="60"/>
      <c r="D1036" s="66"/>
      <c r="E1036" s="66"/>
      <c r="F1036" s="66"/>
      <c r="G1036" s="66"/>
      <c r="H1036" s="66"/>
      <c r="I1036" s="66"/>
      <c r="J1036" s="66"/>
      <c r="K1036" s="66"/>
      <c r="L1036" s="66"/>
      <c r="M1036" s="66"/>
      <c r="N1036" s="66"/>
    </row>
    <row r="1037" spans="1:14" x14ac:dyDescent="0.2">
      <c r="A1037" s="84"/>
      <c r="B1037" s="84"/>
      <c r="C1037" s="60"/>
      <c r="D1037" s="66"/>
      <c r="E1037" s="66"/>
      <c r="F1037" s="66"/>
      <c r="G1037" s="66"/>
      <c r="H1037" s="66"/>
      <c r="I1037" s="66"/>
      <c r="J1037" s="66"/>
      <c r="K1037" s="66"/>
      <c r="L1037" s="66"/>
      <c r="M1037" s="66"/>
      <c r="N1037" s="66"/>
    </row>
    <row r="1038" spans="1:14" x14ac:dyDescent="0.2">
      <c r="A1038" s="84"/>
      <c r="B1038" s="84"/>
      <c r="C1038" s="60"/>
      <c r="D1038" s="66"/>
      <c r="E1038" s="66"/>
      <c r="F1038" s="66"/>
      <c r="G1038" s="66"/>
      <c r="H1038" s="66"/>
      <c r="I1038" s="66"/>
      <c r="J1038" s="66"/>
      <c r="K1038" s="66"/>
      <c r="L1038" s="66"/>
      <c r="M1038" s="66"/>
      <c r="N1038" s="66"/>
    </row>
    <row r="1039" spans="1:14" x14ac:dyDescent="0.2">
      <c r="A1039" s="84"/>
      <c r="B1039" s="84"/>
      <c r="C1039" s="60"/>
      <c r="D1039" s="66"/>
      <c r="E1039" s="66"/>
      <c r="F1039" s="66"/>
      <c r="G1039" s="66"/>
      <c r="H1039" s="66"/>
      <c r="I1039" s="66"/>
      <c r="J1039" s="66"/>
      <c r="K1039" s="66"/>
      <c r="L1039" s="66"/>
      <c r="M1039" s="66"/>
      <c r="N1039" s="66"/>
    </row>
    <row r="1040" spans="1:14" x14ac:dyDescent="0.2">
      <c r="A1040" s="84"/>
      <c r="B1040" s="84"/>
      <c r="C1040" s="60"/>
      <c r="D1040" s="66"/>
      <c r="E1040" s="66"/>
      <c r="F1040" s="66"/>
      <c r="G1040" s="66"/>
      <c r="H1040" s="66"/>
      <c r="I1040" s="66"/>
      <c r="J1040" s="66"/>
      <c r="K1040" s="66"/>
      <c r="L1040" s="66"/>
      <c r="M1040" s="66"/>
      <c r="N1040" s="66"/>
    </row>
    <row r="1041" spans="1:14" x14ac:dyDescent="0.2">
      <c r="A1041" s="84"/>
      <c r="B1041" s="84"/>
      <c r="C1041" s="60"/>
      <c r="D1041" s="66"/>
      <c r="E1041" s="66"/>
      <c r="F1041" s="66"/>
      <c r="G1041" s="66"/>
      <c r="H1041" s="66"/>
      <c r="I1041" s="66"/>
      <c r="J1041" s="66"/>
      <c r="K1041" s="66"/>
      <c r="L1041" s="66"/>
      <c r="M1041" s="66"/>
      <c r="N1041" s="66"/>
    </row>
    <row r="1042" spans="1:14" x14ac:dyDescent="0.2">
      <c r="A1042" s="84"/>
      <c r="B1042" s="84"/>
      <c r="C1042" s="60"/>
      <c r="D1042" s="66"/>
      <c r="E1042" s="66"/>
      <c r="F1042" s="66"/>
      <c r="G1042" s="66"/>
      <c r="H1042" s="66"/>
      <c r="I1042" s="66"/>
      <c r="J1042" s="66"/>
      <c r="K1042" s="66"/>
      <c r="L1042" s="66"/>
      <c r="M1042" s="66"/>
      <c r="N1042" s="66"/>
    </row>
    <row r="1043" spans="1:14" x14ac:dyDescent="0.2">
      <c r="A1043" s="84"/>
      <c r="B1043" s="84"/>
      <c r="C1043" s="60"/>
      <c r="D1043" s="66"/>
      <c r="E1043" s="66"/>
      <c r="F1043" s="66"/>
      <c r="G1043" s="66"/>
      <c r="H1043" s="66"/>
      <c r="I1043" s="66"/>
      <c r="J1043" s="66"/>
      <c r="K1043" s="66"/>
      <c r="L1043" s="66"/>
      <c r="M1043" s="66"/>
      <c r="N1043" s="66"/>
    </row>
    <row r="1044" spans="1:14" x14ac:dyDescent="0.2">
      <c r="A1044" s="84"/>
      <c r="B1044" s="84"/>
      <c r="C1044" s="60"/>
      <c r="D1044" s="66"/>
      <c r="E1044" s="66"/>
      <c r="F1044" s="66"/>
      <c r="G1044" s="66"/>
      <c r="H1044" s="66"/>
      <c r="I1044" s="66"/>
      <c r="J1044" s="66"/>
      <c r="K1044" s="66"/>
      <c r="L1044" s="66"/>
      <c r="M1044" s="66"/>
      <c r="N1044" s="66"/>
    </row>
    <row r="1045" spans="1:14" x14ac:dyDescent="0.2">
      <c r="A1045" s="84"/>
      <c r="B1045" s="84"/>
      <c r="C1045" s="60"/>
      <c r="D1045" s="66"/>
      <c r="E1045" s="66"/>
      <c r="F1045" s="66"/>
      <c r="G1045" s="66"/>
      <c r="H1045" s="66"/>
      <c r="I1045" s="66"/>
      <c r="J1045" s="66"/>
      <c r="K1045" s="66"/>
      <c r="L1045" s="66"/>
      <c r="M1045" s="66"/>
      <c r="N1045" s="66"/>
    </row>
    <row r="1046" spans="1:14" x14ac:dyDescent="0.2">
      <c r="A1046" s="84"/>
      <c r="B1046" s="84"/>
      <c r="C1046" s="60"/>
      <c r="D1046" s="66"/>
      <c r="E1046" s="66"/>
      <c r="F1046" s="66"/>
      <c r="G1046" s="66"/>
      <c r="H1046" s="66"/>
      <c r="I1046" s="66"/>
      <c r="J1046" s="66"/>
      <c r="K1046" s="66"/>
      <c r="L1046" s="66"/>
      <c r="M1046" s="66"/>
      <c r="N1046" s="66"/>
    </row>
    <row r="1047" spans="1:14" x14ac:dyDescent="0.2">
      <c r="A1047" s="84"/>
      <c r="B1047" s="84"/>
      <c r="C1047" s="60"/>
      <c r="D1047" s="66"/>
      <c r="E1047" s="66"/>
      <c r="F1047" s="66"/>
      <c r="G1047" s="66"/>
      <c r="H1047" s="66"/>
      <c r="I1047" s="66"/>
      <c r="J1047" s="66"/>
      <c r="K1047" s="66"/>
      <c r="L1047" s="66"/>
      <c r="M1047" s="66"/>
      <c r="N1047" s="66"/>
    </row>
    <row r="1048" spans="1:14" x14ac:dyDescent="0.2">
      <c r="A1048" s="84"/>
      <c r="B1048" s="84"/>
      <c r="C1048" s="60"/>
      <c r="D1048" s="66"/>
      <c r="E1048" s="66"/>
      <c r="F1048" s="66"/>
      <c r="G1048" s="66"/>
      <c r="H1048" s="66"/>
      <c r="I1048" s="66"/>
      <c r="J1048" s="66"/>
      <c r="K1048" s="66"/>
      <c r="L1048" s="66"/>
      <c r="M1048" s="66"/>
      <c r="N1048" s="66"/>
    </row>
    <row r="1049" spans="1:14" x14ac:dyDescent="0.2">
      <c r="A1049" s="84"/>
      <c r="B1049" s="84"/>
      <c r="C1049" s="60"/>
      <c r="D1049" s="66"/>
      <c r="E1049" s="66"/>
      <c r="F1049" s="66"/>
      <c r="G1049" s="66"/>
      <c r="H1049" s="66"/>
      <c r="I1049" s="66"/>
      <c r="J1049" s="66"/>
      <c r="K1049" s="66"/>
      <c r="L1049" s="66"/>
      <c r="M1049" s="66"/>
      <c r="N1049" s="66"/>
    </row>
    <row r="1050" spans="1:14" x14ac:dyDescent="0.2">
      <c r="A1050" s="84"/>
      <c r="B1050" s="84"/>
      <c r="C1050" s="60"/>
      <c r="D1050" s="66"/>
      <c r="E1050" s="66"/>
      <c r="F1050" s="66"/>
      <c r="G1050" s="66"/>
      <c r="H1050" s="66"/>
      <c r="I1050" s="66"/>
      <c r="J1050" s="66"/>
      <c r="K1050" s="66"/>
      <c r="L1050" s="66"/>
      <c r="M1050" s="66"/>
      <c r="N1050" s="66"/>
    </row>
    <row r="1051" spans="1:14" x14ac:dyDescent="0.2">
      <c r="A1051" s="84"/>
      <c r="B1051" s="84"/>
      <c r="C1051" s="60"/>
      <c r="D1051" s="66"/>
      <c r="E1051" s="66"/>
      <c r="F1051" s="66"/>
      <c r="G1051" s="66"/>
      <c r="H1051" s="66"/>
      <c r="I1051" s="66"/>
      <c r="J1051" s="66"/>
      <c r="K1051" s="66"/>
      <c r="L1051" s="66"/>
      <c r="M1051" s="66"/>
      <c r="N1051" s="66"/>
    </row>
    <row r="1052" spans="1:14" x14ac:dyDescent="0.2">
      <c r="A1052" s="84"/>
      <c r="B1052" s="84"/>
      <c r="C1052" s="60"/>
      <c r="D1052" s="66"/>
      <c r="E1052" s="66"/>
      <c r="F1052" s="66"/>
      <c r="G1052" s="66"/>
      <c r="H1052" s="66"/>
      <c r="I1052" s="66"/>
      <c r="J1052" s="66"/>
      <c r="K1052" s="66"/>
      <c r="L1052" s="66"/>
      <c r="M1052" s="66"/>
      <c r="N1052" s="66"/>
    </row>
    <row r="1053" spans="1:14" x14ac:dyDescent="0.2">
      <c r="A1053" s="84"/>
      <c r="B1053" s="84"/>
      <c r="C1053" s="60"/>
      <c r="D1053" s="66"/>
      <c r="E1053" s="66"/>
      <c r="F1053" s="66"/>
      <c r="G1053" s="66"/>
      <c r="H1053" s="66"/>
      <c r="I1053" s="66"/>
      <c r="J1053" s="66"/>
      <c r="K1053" s="66"/>
      <c r="L1053" s="66"/>
      <c r="M1053" s="66"/>
      <c r="N1053" s="66"/>
    </row>
    <row r="1054" spans="1:14" x14ac:dyDescent="0.2">
      <c r="A1054" s="84"/>
      <c r="B1054" s="84"/>
      <c r="C1054" s="60"/>
      <c r="D1054" s="66"/>
      <c r="E1054" s="66"/>
      <c r="F1054" s="66"/>
      <c r="G1054" s="66"/>
      <c r="H1054" s="66"/>
      <c r="I1054" s="66"/>
      <c r="J1054" s="66"/>
      <c r="K1054" s="66"/>
      <c r="L1054" s="66"/>
      <c r="M1054" s="66"/>
      <c r="N1054" s="66"/>
    </row>
    <row r="1055" spans="1:14" x14ac:dyDescent="0.2">
      <c r="A1055" s="84"/>
      <c r="B1055" s="84"/>
      <c r="C1055" s="60"/>
      <c r="D1055" s="66"/>
      <c r="E1055" s="66"/>
      <c r="F1055" s="66"/>
      <c r="G1055" s="66"/>
      <c r="H1055" s="66"/>
      <c r="I1055" s="66"/>
      <c r="J1055" s="66"/>
      <c r="K1055" s="66"/>
      <c r="L1055" s="66"/>
      <c r="M1055" s="66"/>
      <c r="N1055" s="66"/>
    </row>
    <row r="1056" spans="1:14" x14ac:dyDescent="0.2">
      <c r="A1056" s="84"/>
      <c r="B1056" s="84"/>
      <c r="C1056" s="60"/>
      <c r="D1056" s="66"/>
      <c r="E1056" s="66"/>
      <c r="F1056" s="66"/>
      <c r="G1056" s="66"/>
      <c r="H1056" s="66"/>
      <c r="I1056" s="66"/>
      <c r="J1056" s="66"/>
      <c r="K1056" s="66"/>
      <c r="L1056" s="66"/>
      <c r="M1056" s="66"/>
      <c r="N1056" s="66"/>
    </row>
    <row r="1057" spans="1:14" x14ac:dyDescent="0.2">
      <c r="A1057" s="84"/>
      <c r="B1057" s="84"/>
      <c r="C1057" s="60"/>
      <c r="D1057" s="66"/>
      <c r="E1057" s="66"/>
      <c r="F1057" s="66"/>
      <c r="G1057" s="66"/>
      <c r="H1057" s="66"/>
      <c r="I1057" s="66"/>
      <c r="J1057" s="66"/>
      <c r="K1057" s="66"/>
      <c r="L1057" s="66"/>
      <c r="M1057" s="66"/>
      <c r="N1057" s="66"/>
    </row>
    <row r="1058" spans="1:14" x14ac:dyDescent="0.2">
      <c r="A1058" s="84"/>
      <c r="B1058" s="84"/>
      <c r="C1058" s="60"/>
      <c r="D1058" s="66"/>
      <c r="E1058" s="66"/>
      <c r="F1058" s="66"/>
      <c r="G1058" s="66"/>
      <c r="H1058" s="66"/>
      <c r="I1058" s="66"/>
      <c r="J1058" s="66"/>
      <c r="K1058" s="66"/>
      <c r="L1058" s="66"/>
      <c r="M1058" s="66"/>
      <c r="N1058" s="66"/>
    </row>
    <row r="1059" spans="1:14" x14ac:dyDescent="0.2">
      <c r="A1059" s="84"/>
      <c r="B1059" s="84"/>
      <c r="C1059" s="60"/>
      <c r="D1059" s="66"/>
      <c r="E1059" s="66"/>
      <c r="F1059" s="66"/>
      <c r="G1059" s="66"/>
      <c r="H1059" s="66"/>
      <c r="I1059" s="66"/>
      <c r="J1059" s="66"/>
      <c r="K1059" s="66"/>
      <c r="L1059" s="66"/>
      <c r="M1059" s="66"/>
      <c r="N1059" s="66"/>
    </row>
    <row r="1060" spans="1:14" x14ac:dyDescent="0.2">
      <c r="A1060" s="84"/>
      <c r="B1060" s="84"/>
      <c r="C1060" s="60"/>
      <c r="D1060" s="66"/>
      <c r="E1060" s="66"/>
      <c r="F1060" s="66"/>
      <c r="G1060" s="66"/>
      <c r="H1060" s="66"/>
      <c r="I1060" s="66"/>
      <c r="J1060" s="66"/>
      <c r="K1060" s="66"/>
      <c r="L1060" s="66"/>
      <c r="M1060" s="66"/>
      <c r="N1060" s="66"/>
    </row>
    <row r="1061" spans="1:14" x14ac:dyDescent="0.2">
      <c r="A1061" s="84"/>
      <c r="B1061" s="84"/>
      <c r="C1061" s="60"/>
      <c r="D1061" s="66"/>
      <c r="E1061" s="66"/>
      <c r="F1061" s="66"/>
      <c r="G1061" s="66"/>
      <c r="H1061" s="66"/>
      <c r="I1061" s="66"/>
      <c r="J1061" s="66"/>
      <c r="K1061" s="66"/>
      <c r="L1061" s="66"/>
      <c r="M1061" s="66"/>
      <c r="N1061" s="66"/>
    </row>
    <row r="1062" spans="1:14" x14ac:dyDescent="0.2">
      <c r="A1062" s="84"/>
      <c r="B1062" s="84"/>
      <c r="C1062" s="60"/>
      <c r="D1062" s="66"/>
      <c r="E1062" s="66"/>
      <c r="F1062" s="66"/>
      <c r="G1062" s="66"/>
      <c r="H1062" s="66"/>
      <c r="I1062" s="66"/>
      <c r="J1062" s="66"/>
      <c r="K1062" s="66"/>
      <c r="L1062" s="66"/>
      <c r="M1062" s="66"/>
      <c r="N1062" s="66"/>
    </row>
    <row r="1063" spans="1:14" x14ac:dyDescent="0.2">
      <c r="A1063" s="84"/>
      <c r="B1063" s="84"/>
      <c r="C1063" s="60"/>
      <c r="D1063" s="66"/>
      <c r="E1063" s="66"/>
      <c r="F1063" s="66"/>
      <c r="G1063" s="66"/>
      <c r="H1063" s="66"/>
      <c r="I1063" s="66"/>
      <c r="J1063" s="66"/>
      <c r="K1063" s="66"/>
      <c r="L1063" s="66"/>
      <c r="M1063" s="66"/>
      <c r="N1063" s="66"/>
    </row>
    <row r="1064" spans="1:14" x14ac:dyDescent="0.2">
      <c r="A1064" s="84"/>
      <c r="B1064" s="84"/>
      <c r="C1064" s="60"/>
      <c r="D1064" s="66"/>
      <c r="E1064" s="66"/>
      <c r="F1064" s="66"/>
      <c r="G1064" s="66"/>
      <c r="H1064" s="66"/>
      <c r="I1064" s="66"/>
      <c r="J1064" s="66"/>
      <c r="K1064" s="66"/>
      <c r="L1064" s="66"/>
      <c r="M1064" s="66"/>
      <c r="N1064" s="66"/>
    </row>
    <row r="1065" spans="1:14" x14ac:dyDescent="0.2">
      <c r="A1065" s="84"/>
      <c r="B1065" s="84"/>
      <c r="C1065" s="60"/>
      <c r="D1065" s="66"/>
      <c r="E1065" s="66"/>
      <c r="F1065" s="66"/>
      <c r="G1065" s="66"/>
      <c r="H1065" s="66"/>
      <c r="I1065" s="66"/>
      <c r="J1065" s="66"/>
      <c r="K1065" s="66"/>
      <c r="L1065" s="66"/>
      <c r="M1065" s="66"/>
      <c r="N1065" s="66"/>
    </row>
    <row r="1066" spans="1:14" x14ac:dyDescent="0.2">
      <c r="A1066" s="84"/>
      <c r="B1066" s="84"/>
      <c r="C1066" s="60"/>
      <c r="D1066" s="66"/>
      <c r="E1066" s="66"/>
      <c r="F1066" s="66"/>
      <c r="G1066" s="66"/>
      <c r="H1066" s="66"/>
      <c r="I1066" s="66"/>
      <c r="J1066" s="66"/>
      <c r="K1066" s="66"/>
      <c r="L1066" s="66"/>
      <c r="M1066" s="66"/>
      <c r="N1066" s="66"/>
    </row>
    <row r="1067" spans="1:14" x14ac:dyDescent="0.2">
      <c r="A1067" s="84"/>
      <c r="B1067" s="84"/>
      <c r="C1067" s="60"/>
      <c r="D1067" s="66"/>
      <c r="E1067" s="66"/>
      <c r="F1067" s="66"/>
      <c r="G1067" s="66"/>
      <c r="H1067" s="66"/>
      <c r="I1067" s="66"/>
      <c r="J1067" s="66"/>
      <c r="K1067" s="66"/>
      <c r="L1067" s="66"/>
      <c r="M1067" s="66"/>
      <c r="N1067" s="66"/>
    </row>
    <row r="1068" spans="1:14" x14ac:dyDescent="0.2">
      <c r="A1068" s="84"/>
      <c r="B1068" s="84"/>
      <c r="C1068" s="60"/>
      <c r="D1068" s="66"/>
      <c r="E1068" s="66"/>
      <c r="F1068" s="66"/>
      <c r="G1068" s="66"/>
      <c r="H1068" s="66"/>
      <c r="I1068" s="66"/>
      <c r="J1068" s="66"/>
      <c r="K1068" s="66"/>
      <c r="L1068" s="66"/>
      <c r="M1068" s="66"/>
      <c r="N1068" s="66"/>
    </row>
    <row r="1069" spans="1:14" x14ac:dyDescent="0.2">
      <c r="A1069" s="84"/>
      <c r="B1069" s="84"/>
      <c r="C1069" s="60"/>
      <c r="D1069" s="66"/>
      <c r="E1069" s="66"/>
      <c r="F1069" s="66"/>
      <c r="G1069" s="66"/>
      <c r="H1069" s="66"/>
      <c r="I1069" s="66"/>
      <c r="J1069" s="66"/>
      <c r="K1069" s="66"/>
      <c r="L1069" s="66"/>
      <c r="M1069" s="66"/>
      <c r="N1069" s="66"/>
    </row>
    <row r="1070" spans="1:14" x14ac:dyDescent="0.2">
      <c r="A1070" s="84"/>
      <c r="B1070" s="84"/>
      <c r="C1070" s="60"/>
      <c r="D1070" s="66"/>
      <c r="E1070" s="66"/>
      <c r="F1070" s="66"/>
      <c r="G1070" s="66"/>
      <c r="H1070" s="66"/>
      <c r="I1070" s="66"/>
      <c r="J1070" s="66"/>
      <c r="K1070" s="66"/>
      <c r="L1070" s="66"/>
      <c r="M1070" s="66"/>
      <c r="N1070" s="66"/>
    </row>
    <row r="1071" spans="1:14" x14ac:dyDescent="0.2">
      <c r="A1071" s="84"/>
      <c r="B1071" s="84"/>
      <c r="C1071" s="60"/>
      <c r="D1071" s="66"/>
      <c r="E1071" s="66"/>
      <c r="F1071" s="66"/>
      <c r="G1071" s="66"/>
      <c r="H1071" s="66"/>
      <c r="I1071" s="66"/>
      <c r="J1071" s="66"/>
      <c r="K1071" s="66"/>
      <c r="L1071" s="66"/>
      <c r="M1071" s="66"/>
      <c r="N1071" s="66"/>
    </row>
    <row r="1072" spans="1:14" x14ac:dyDescent="0.2">
      <c r="A1072" s="84"/>
      <c r="B1072" s="84"/>
      <c r="C1072" s="60"/>
      <c r="D1072" s="66"/>
      <c r="E1072" s="66"/>
      <c r="F1072" s="66"/>
      <c r="G1072" s="66"/>
      <c r="H1072" s="66"/>
      <c r="I1072" s="66"/>
      <c r="J1072" s="66"/>
      <c r="K1072" s="66"/>
      <c r="L1072" s="66"/>
      <c r="M1072" s="66"/>
      <c r="N1072" s="66"/>
    </row>
    <row r="1073" spans="1:14" x14ac:dyDescent="0.2">
      <c r="A1073" s="84"/>
      <c r="B1073" s="84"/>
      <c r="C1073" s="60"/>
      <c r="D1073" s="66"/>
      <c r="E1073" s="66"/>
      <c r="F1073" s="66"/>
      <c r="G1073" s="66"/>
      <c r="H1073" s="66"/>
      <c r="I1073" s="66"/>
      <c r="J1073" s="66"/>
      <c r="K1073" s="66"/>
      <c r="L1073" s="66"/>
      <c r="M1073" s="66"/>
      <c r="N1073" s="66"/>
    </row>
    <row r="1074" spans="1:14" x14ac:dyDescent="0.2">
      <c r="A1074" s="84"/>
      <c r="B1074" s="84"/>
      <c r="C1074" s="60"/>
      <c r="D1074" s="66"/>
      <c r="E1074" s="66"/>
      <c r="F1074" s="66"/>
      <c r="G1074" s="66"/>
      <c r="H1074" s="66"/>
      <c r="I1074" s="66"/>
      <c r="J1074" s="66"/>
      <c r="K1074" s="66"/>
      <c r="L1074" s="66"/>
      <c r="M1074" s="66"/>
      <c r="N1074" s="66"/>
    </row>
    <row r="1075" spans="1:14" x14ac:dyDescent="0.2">
      <c r="A1075" s="84"/>
      <c r="B1075" s="84"/>
      <c r="C1075" s="60"/>
      <c r="D1075" s="66"/>
      <c r="E1075" s="66"/>
      <c r="F1075" s="66"/>
      <c r="G1075" s="66"/>
      <c r="H1075" s="66"/>
      <c r="I1075" s="66"/>
      <c r="J1075" s="66"/>
      <c r="K1075" s="66"/>
      <c r="L1075" s="66"/>
      <c r="M1075" s="66"/>
      <c r="N1075" s="66"/>
    </row>
    <row r="1076" spans="1:14" x14ac:dyDescent="0.2">
      <c r="A1076" s="84"/>
      <c r="B1076" s="84"/>
      <c r="C1076" s="60"/>
      <c r="D1076" s="66"/>
      <c r="E1076" s="66"/>
      <c r="F1076" s="66"/>
      <c r="G1076" s="66"/>
      <c r="H1076" s="66"/>
      <c r="I1076" s="66"/>
      <c r="J1076" s="66"/>
      <c r="K1076" s="66"/>
      <c r="L1076" s="66"/>
      <c r="M1076" s="66"/>
      <c r="N1076" s="66"/>
    </row>
    <row r="1077" spans="1:14" x14ac:dyDescent="0.2">
      <c r="A1077" s="84"/>
      <c r="B1077" s="84"/>
      <c r="C1077" s="60"/>
      <c r="D1077" s="66"/>
      <c r="E1077" s="66"/>
      <c r="F1077" s="66"/>
      <c r="G1077" s="66"/>
      <c r="H1077" s="66"/>
      <c r="I1077" s="66"/>
      <c r="J1077" s="66"/>
      <c r="K1077" s="66"/>
      <c r="L1077" s="66"/>
      <c r="M1077" s="66"/>
      <c r="N1077" s="66"/>
    </row>
    <row r="1078" spans="1:14" x14ac:dyDescent="0.2">
      <c r="A1078" s="84"/>
      <c r="B1078" s="84"/>
      <c r="C1078" s="60"/>
      <c r="D1078" s="66"/>
      <c r="E1078" s="66"/>
      <c r="F1078" s="66"/>
      <c r="G1078" s="66"/>
      <c r="H1078" s="66"/>
      <c r="I1078" s="66"/>
      <c r="J1078" s="66"/>
      <c r="K1078" s="66"/>
      <c r="L1078" s="66"/>
      <c r="M1078" s="66"/>
      <c r="N1078" s="66"/>
    </row>
    <row r="1079" spans="1:14" x14ac:dyDescent="0.2">
      <c r="A1079" s="84"/>
      <c r="B1079" s="84"/>
      <c r="C1079" s="60"/>
      <c r="D1079" s="66"/>
      <c r="E1079" s="66"/>
      <c r="F1079" s="66"/>
      <c r="G1079" s="66"/>
      <c r="H1079" s="66"/>
      <c r="I1079" s="66"/>
      <c r="J1079" s="66"/>
      <c r="K1079" s="66"/>
      <c r="L1079" s="66"/>
      <c r="M1079" s="66"/>
      <c r="N1079" s="66"/>
    </row>
    <row r="1080" spans="1:14" x14ac:dyDescent="0.2">
      <c r="A1080" s="84"/>
      <c r="B1080" s="84"/>
      <c r="C1080" s="60"/>
      <c r="D1080" s="66"/>
      <c r="E1080" s="66"/>
      <c r="F1080" s="66"/>
      <c r="G1080" s="66"/>
      <c r="H1080" s="66"/>
      <c r="I1080" s="66"/>
      <c r="J1080" s="66"/>
      <c r="K1080" s="66"/>
      <c r="L1080" s="66"/>
      <c r="M1080" s="66"/>
      <c r="N1080" s="66"/>
    </row>
    <row r="1081" spans="1:14" x14ac:dyDescent="0.2">
      <c r="A1081" s="84"/>
      <c r="B1081" s="84"/>
      <c r="C1081" s="60"/>
      <c r="D1081" s="66"/>
      <c r="E1081" s="66"/>
      <c r="F1081" s="66"/>
      <c r="G1081" s="66"/>
      <c r="H1081" s="66"/>
      <c r="I1081" s="66"/>
      <c r="J1081" s="66"/>
      <c r="K1081" s="66"/>
      <c r="L1081" s="66"/>
      <c r="M1081" s="66"/>
      <c r="N1081" s="66"/>
    </row>
    <row r="1082" spans="1:14" x14ac:dyDescent="0.2">
      <c r="A1082" s="84"/>
      <c r="B1082" s="84"/>
      <c r="C1082" s="60"/>
      <c r="D1082" s="66"/>
      <c r="E1082" s="66"/>
      <c r="F1082" s="66"/>
      <c r="G1082" s="66"/>
      <c r="H1082" s="66"/>
      <c r="I1082" s="66"/>
      <c r="J1082" s="66"/>
      <c r="K1082" s="66"/>
      <c r="L1082" s="66"/>
      <c r="M1082" s="66"/>
      <c r="N1082" s="66"/>
    </row>
    <row r="1083" spans="1:14" x14ac:dyDescent="0.2">
      <c r="A1083" s="84"/>
      <c r="B1083" s="84"/>
      <c r="C1083" s="60"/>
      <c r="D1083" s="66"/>
      <c r="E1083" s="66"/>
      <c r="F1083" s="66"/>
      <c r="G1083" s="66"/>
      <c r="H1083" s="66"/>
      <c r="I1083" s="66"/>
      <c r="J1083" s="66"/>
      <c r="K1083" s="66"/>
      <c r="L1083" s="66"/>
      <c r="M1083" s="66"/>
      <c r="N1083" s="66"/>
    </row>
    <row r="1084" spans="1:14" x14ac:dyDescent="0.2">
      <c r="A1084" s="84"/>
      <c r="B1084" s="84"/>
      <c r="C1084" s="60"/>
      <c r="D1084" s="66"/>
      <c r="E1084" s="66"/>
      <c r="F1084" s="66"/>
      <c r="G1084" s="66"/>
      <c r="H1084" s="66"/>
      <c r="I1084" s="66"/>
      <c r="J1084" s="66"/>
      <c r="K1084" s="66"/>
      <c r="L1084" s="66"/>
      <c r="M1084" s="66"/>
      <c r="N1084" s="66"/>
    </row>
    <row r="1085" spans="1:14" x14ac:dyDescent="0.2">
      <c r="A1085" s="84"/>
      <c r="B1085" s="84"/>
      <c r="C1085" s="60"/>
      <c r="D1085" s="66"/>
      <c r="E1085" s="66"/>
      <c r="F1085" s="66"/>
      <c r="G1085" s="66"/>
      <c r="H1085" s="66"/>
      <c r="I1085" s="66"/>
      <c r="J1085" s="66"/>
      <c r="K1085" s="66"/>
      <c r="L1085" s="66"/>
      <c r="M1085" s="66"/>
      <c r="N1085" s="66"/>
    </row>
    <row r="1086" spans="1:14" x14ac:dyDescent="0.2">
      <c r="A1086" s="84"/>
      <c r="B1086" s="84"/>
      <c r="C1086" s="60"/>
      <c r="D1086" s="66"/>
      <c r="E1086" s="66"/>
      <c r="F1086" s="66"/>
      <c r="G1086" s="66"/>
      <c r="H1086" s="66"/>
      <c r="I1086" s="66"/>
      <c r="J1086" s="66"/>
      <c r="K1086" s="66"/>
      <c r="L1086" s="66"/>
      <c r="M1086" s="66"/>
      <c r="N1086" s="66"/>
    </row>
    <row r="1087" spans="1:14" x14ac:dyDescent="0.2">
      <c r="A1087" s="84"/>
      <c r="B1087" s="84"/>
      <c r="C1087" s="60"/>
      <c r="D1087" s="66"/>
      <c r="E1087" s="66"/>
      <c r="F1087" s="66"/>
      <c r="G1087" s="66"/>
      <c r="H1087" s="66"/>
      <c r="I1087" s="66"/>
      <c r="J1087" s="66"/>
      <c r="K1087" s="66"/>
      <c r="L1087" s="66"/>
      <c r="M1087" s="66"/>
      <c r="N1087" s="66"/>
    </row>
    <row r="1088" spans="1:14" x14ac:dyDescent="0.2">
      <c r="A1088" s="84"/>
      <c r="B1088" s="84"/>
      <c r="C1088" s="60"/>
      <c r="D1088" s="66"/>
      <c r="E1088" s="66"/>
      <c r="F1088" s="66"/>
      <c r="G1088" s="66"/>
      <c r="H1088" s="66"/>
      <c r="I1088" s="66"/>
      <c r="J1088" s="66"/>
      <c r="K1088" s="66"/>
      <c r="L1088" s="66"/>
      <c r="M1088" s="66"/>
      <c r="N1088" s="66"/>
    </row>
    <row r="1089" spans="1:14" x14ac:dyDescent="0.2">
      <c r="A1089" s="84"/>
      <c r="B1089" s="84"/>
      <c r="C1089" s="60"/>
      <c r="D1089" s="66"/>
      <c r="E1089" s="66"/>
      <c r="F1089" s="66"/>
      <c r="G1089" s="66"/>
      <c r="H1089" s="66"/>
      <c r="I1089" s="66"/>
      <c r="J1089" s="66"/>
      <c r="K1089" s="66"/>
      <c r="L1089" s="66"/>
      <c r="M1089" s="66"/>
      <c r="N1089" s="66"/>
    </row>
    <row r="1090" spans="1:14" x14ac:dyDescent="0.2">
      <c r="A1090" s="84"/>
      <c r="B1090" s="84"/>
      <c r="C1090" s="60"/>
      <c r="D1090" s="66"/>
      <c r="E1090" s="66"/>
      <c r="F1090" s="66"/>
      <c r="G1090" s="66"/>
      <c r="H1090" s="66"/>
      <c r="I1090" s="66"/>
      <c r="J1090" s="66"/>
      <c r="K1090" s="66"/>
      <c r="L1090" s="66"/>
      <c r="M1090" s="66"/>
      <c r="N1090" s="66"/>
    </row>
    <row r="1091" spans="1:14" x14ac:dyDescent="0.2">
      <c r="A1091" s="84"/>
      <c r="B1091" s="84"/>
      <c r="C1091" s="60"/>
      <c r="D1091" s="66"/>
      <c r="E1091" s="66"/>
      <c r="F1091" s="66"/>
      <c r="G1091" s="66"/>
      <c r="H1091" s="66"/>
      <c r="I1091" s="66"/>
      <c r="J1091" s="66"/>
      <c r="K1091" s="66"/>
      <c r="L1091" s="66"/>
      <c r="M1091" s="66"/>
      <c r="N1091" s="66"/>
    </row>
    <row r="1092" spans="1:14" x14ac:dyDescent="0.2">
      <c r="A1092" s="84"/>
      <c r="B1092" s="84"/>
      <c r="C1092" s="60"/>
      <c r="D1092" s="66"/>
      <c r="E1092" s="66"/>
      <c r="F1092" s="66"/>
      <c r="G1092" s="66"/>
      <c r="H1092" s="66"/>
      <c r="I1092" s="66"/>
      <c r="J1092" s="66"/>
      <c r="K1092" s="66"/>
      <c r="L1092" s="66"/>
      <c r="M1092" s="66"/>
      <c r="N1092" s="66"/>
    </row>
    <row r="1093" spans="1:14" x14ac:dyDescent="0.2">
      <c r="A1093" s="84"/>
      <c r="B1093" s="84"/>
      <c r="C1093" s="60"/>
      <c r="D1093" s="66"/>
      <c r="E1093" s="66"/>
      <c r="F1093" s="66"/>
      <c r="G1093" s="66"/>
      <c r="H1093" s="66"/>
      <c r="I1093" s="66"/>
      <c r="J1093" s="66"/>
      <c r="K1093" s="66"/>
      <c r="L1093" s="66"/>
      <c r="M1093" s="66"/>
      <c r="N1093" s="66"/>
    </row>
    <row r="1094" spans="1:14" x14ac:dyDescent="0.2">
      <c r="A1094" s="84"/>
      <c r="B1094" s="84"/>
      <c r="C1094" s="60"/>
      <c r="D1094" s="66"/>
      <c r="E1094" s="66"/>
      <c r="F1094" s="66"/>
      <c r="G1094" s="66"/>
      <c r="H1094" s="66"/>
      <c r="I1094" s="66"/>
      <c r="J1094" s="66"/>
      <c r="K1094" s="66"/>
      <c r="L1094" s="66"/>
      <c r="M1094" s="66"/>
      <c r="N1094" s="66"/>
    </row>
    <row r="1095" spans="1:14" x14ac:dyDescent="0.2">
      <c r="A1095" s="84"/>
      <c r="B1095" s="84"/>
      <c r="C1095" s="60"/>
      <c r="D1095" s="66"/>
      <c r="E1095" s="66"/>
      <c r="F1095" s="66"/>
      <c r="G1095" s="66"/>
      <c r="H1095" s="66"/>
      <c r="I1095" s="66"/>
      <c r="J1095" s="66"/>
      <c r="K1095" s="66"/>
      <c r="L1095" s="66"/>
      <c r="M1095" s="66"/>
      <c r="N1095" s="66"/>
    </row>
    <row r="1096" spans="1:14" x14ac:dyDescent="0.2">
      <c r="A1096" s="84"/>
      <c r="B1096" s="84"/>
      <c r="C1096" s="60"/>
      <c r="D1096" s="66"/>
      <c r="E1096" s="66"/>
      <c r="F1096" s="66"/>
      <c r="G1096" s="66"/>
      <c r="H1096" s="66"/>
      <c r="I1096" s="66"/>
      <c r="J1096" s="66"/>
      <c r="K1096" s="66"/>
      <c r="L1096" s="66"/>
      <c r="M1096" s="66"/>
      <c r="N1096" s="66"/>
    </row>
    <row r="1097" spans="1:14" x14ac:dyDescent="0.2">
      <c r="A1097" s="84"/>
      <c r="B1097" s="84"/>
      <c r="C1097" s="60"/>
      <c r="D1097" s="66"/>
      <c r="E1097" s="66"/>
      <c r="F1097" s="66"/>
      <c r="G1097" s="66"/>
      <c r="H1097" s="66"/>
      <c r="I1097" s="66"/>
      <c r="J1097" s="66"/>
      <c r="K1097" s="66"/>
      <c r="L1097" s="66"/>
      <c r="M1097" s="66"/>
      <c r="N1097" s="66"/>
    </row>
    <row r="1098" spans="1:14" x14ac:dyDescent="0.2">
      <c r="A1098" s="84"/>
      <c r="B1098" s="84"/>
      <c r="C1098" s="60"/>
      <c r="D1098" s="66"/>
      <c r="E1098" s="66"/>
      <c r="F1098" s="66"/>
      <c r="G1098" s="66"/>
      <c r="H1098" s="66"/>
      <c r="I1098" s="66"/>
      <c r="J1098" s="66"/>
      <c r="K1098" s="66"/>
      <c r="L1098" s="66"/>
      <c r="M1098" s="66"/>
      <c r="N1098" s="66"/>
    </row>
    <row r="1099" spans="1:14" x14ac:dyDescent="0.2">
      <c r="A1099" s="84"/>
      <c r="B1099" s="84"/>
      <c r="C1099" s="60"/>
      <c r="D1099" s="66"/>
      <c r="E1099" s="66"/>
      <c r="F1099" s="66"/>
      <c r="G1099" s="66"/>
      <c r="H1099" s="66"/>
      <c r="I1099" s="66"/>
      <c r="J1099" s="66"/>
      <c r="K1099" s="66"/>
      <c r="L1099" s="66"/>
      <c r="M1099" s="66"/>
      <c r="N1099" s="66"/>
    </row>
    <row r="1100" spans="1:14" x14ac:dyDescent="0.2">
      <c r="A1100" s="84"/>
      <c r="B1100" s="84"/>
      <c r="C1100" s="60"/>
      <c r="D1100" s="66"/>
      <c r="E1100" s="66"/>
      <c r="F1100" s="66"/>
      <c r="G1100" s="66"/>
      <c r="H1100" s="66"/>
      <c r="I1100" s="66"/>
      <c r="J1100" s="66"/>
      <c r="K1100" s="66"/>
      <c r="L1100" s="66"/>
      <c r="M1100" s="66"/>
      <c r="N1100" s="66"/>
    </row>
    <row r="1101" spans="1:14" x14ac:dyDescent="0.2">
      <c r="A1101" s="84"/>
      <c r="B1101" s="84"/>
      <c r="C1101" s="60"/>
      <c r="D1101" s="66"/>
      <c r="E1101" s="66"/>
      <c r="F1101" s="66"/>
      <c r="G1101" s="66"/>
      <c r="H1101" s="66"/>
      <c r="I1101" s="66"/>
      <c r="J1101" s="66"/>
      <c r="K1101" s="66"/>
      <c r="L1101" s="66"/>
      <c r="M1101" s="66"/>
      <c r="N1101" s="66"/>
    </row>
    <row r="1102" spans="1:14" x14ac:dyDescent="0.2">
      <c r="A1102" s="84"/>
      <c r="B1102" s="84"/>
      <c r="C1102" s="60"/>
      <c r="D1102" s="66"/>
      <c r="E1102" s="66"/>
      <c r="F1102" s="66"/>
      <c r="G1102" s="66"/>
      <c r="H1102" s="66"/>
      <c r="I1102" s="66"/>
      <c r="J1102" s="66"/>
      <c r="K1102" s="66"/>
      <c r="L1102" s="66"/>
      <c r="M1102" s="66"/>
      <c r="N1102" s="66"/>
    </row>
    <row r="1103" spans="1:14" x14ac:dyDescent="0.2">
      <c r="A1103" s="84"/>
      <c r="B1103" s="84"/>
      <c r="C1103" s="60"/>
      <c r="D1103" s="66"/>
      <c r="E1103" s="66"/>
      <c r="F1103" s="66"/>
      <c r="G1103" s="66"/>
      <c r="H1103" s="66"/>
      <c r="I1103" s="66"/>
      <c r="J1103" s="66"/>
      <c r="K1103" s="66"/>
      <c r="L1103" s="66"/>
      <c r="M1103" s="66"/>
      <c r="N1103" s="66"/>
    </row>
    <row r="1104" spans="1:14" x14ac:dyDescent="0.2">
      <c r="A1104" s="84"/>
      <c r="B1104" s="84"/>
      <c r="C1104" s="60"/>
      <c r="D1104" s="66"/>
      <c r="E1104" s="66"/>
      <c r="F1104" s="66"/>
      <c r="G1104" s="66"/>
      <c r="H1104" s="66"/>
      <c r="I1104" s="66"/>
      <c r="J1104" s="66"/>
      <c r="K1104" s="66"/>
      <c r="L1104" s="66"/>
      <c r="M1104" s="66"/>
      <c r="N1104" s="66"/>
    </row>
    <row r="1105" spans="1:14" x14ac:dyDescent="0.2">
      <c r="A1105" s="84"/>
      <c r="B1105" s="84"/>
      <c r="C1105" s="60"/>
      <c r="D1105" s="66"/>
      <c r="E1105" s="66"/>
      <c r="F1105" s="66"/>
      <c r="G1105" s="66"/>
      <c r="H1105" s="66"/>
      <c r="I1105" s="66"/>
      <c r="J1105" s="66"/>
      <c r="K1105" s="66"/>
      <c r="L1105" s="66"/>
      <c r="M1105" s="66"/>
      <c r="N1105" s="66"/>
    </row>
    <row r="1106" spans="1:14" x14ac:dyDescent="0.2">
      <c r="A1106" s="84"/>
      <c r="B1106" s="84"/>
      <c r="C1106" s="60"/>
      <c r="D1106" s="66"/>
      <c r="E1106" s="66"/>
      <c r="F1106" s="66"/>
      <c r="G1106" s="66"/>
      <c r="H1106" s="66"/>
      <c r="I1106" s="66"/>
      <c r="J1106" s="66"/>
      <c r="K1106" s="66"/>
      <c r="L1106" s="66"/>
      <c r="M1106" s="66"/>
      <c r="N1106" s="66"/>
    </row>
    <row r="1107" spans="1:14" x14ac:dyDescent="0.2">
      <c r="A1107" s="84"/>
      <c r="B1107" s="84"/>
      <c r="C1107" s="60"/>
      <c r="D1107" s="66"/>
      <c r="E1107" s="66"/>
      <c r="F1107" s="66"/>
      <c r="G1107" s="66"/>
      <c r="H1107" s="66"/>
      <c r="I1107" s="66"/>
      <c r="J1107" s="66"/>
      <c r="K1107" s="66"/>
      <c r="L1107" s="66"/>
      <c r="M1107" s="66"/>
      <c r="N1107" s="66"/>
    </row>
    <row r="1108" spans="1:14" x14ac:dyDescent="0.2">
      <c r="A1108" s="84"/>
      <c r="B1108" s="84"/>
      <c r="C1108" s="60"/>
      <c r="D1108" s="66"/>
      <c r="E1108" s="66"/>
      <c r="F1108" s="66"/>
      <c r="G1108" s="66"/>
      <c r="H1108" s="66"/>
      <c r="I1108" s="66"/>
      <c r="J1108" s="66"/>
      <c r="K1108" s="66"/>
      <c r="L1108" s="66"/>
      <c r="M1108" s="66"/>
      <c r="N1108" s="66"/>
    </row>
    <row r="1109" spans="1:14" x14ac:dyDescent="0.2">
      <c r="A1109" s="84"/>
      <c r="B1109" s="84"/>
      <c r="C1109" s="60"/>
      <c r="D1109" s="66"/>
      <c r="E1109" s="66"/>
      <c r="F1109" s="66"/>
      <c r="G1109" s="66"/>
      <c r="H1109" s="66"/>
      <c r="I1109" s="66"/>
      <c r="J1109" s="66"/>
      <c r="K1109" s="66"/>
      <c r="L1109" s="66"/>
      <c r="M1109" s="66"/>
      <c r="N1109" s="66"/>
    </row>
    <row r="1110" spans="1:14" x14ac:dyDescent="0.2">
      <c r="A1110" s="84"/>
      <c r="B1110" s="84"/>
      <c r="C1110" s="60"/>
      <c r="D1110" s="66"/>
      <c r="E1110" s="66"/>
      <c r="F1110" s="66"/>
      <c r="G1110" s="66"/>
      <c r="H1110" s="66"/>
      <c r="I1110" s="66"/>
      <c r="J1110" s="66"/>
      <c r="K1110" s="66"/>
      <c r="L1110" s="66"/>
      <c r="M1110" s="66"/>
      <c r="N1110" s="66"/>
    </row>
    <row r="1111" spans="1:14" x14ac:dyDescent="0.2">
      <c r="A1111" s="84"/>
      <c r="B1111" s="84"/>
      <c r="C1111" s="60"/>
      <c r="D1111" s="66"/>
      <c r="E1111" s="66"/>
      <c r="F1111" s="66"/>
      <c r="G1111" s="66"/>
      <c r="H1111" s="66"/>
      <c r="I1111" s="66"/>
      <c r="J1111" s="66"/>
      <c r="K1111" s="66"/>
      <c r="L1111" s="66"/>
      <c r="M1111" s="66"/>
      <c r="N1111" s="66"/>
    </row>
    <row r="1112" spans="1:14" x14ac:dyDescent="0.2">
      <c r="A1112" s="84"/>
      <c r="B1112" s="84"/>
      <c r="C1112" s="60"/>
      <c r="D1112" s="66"/>
      <c r="E1112" s="66"/>
      <c r="F1112" s="66"/>
      <c r="G1112" s="66"/>
      <c r="H1112" s="66"/>
      <c r="I1112" s="66"/>
      <c r="J1112" s="66"/>
      <c r="K1112" s="66"/>
      <c r="L1112" s="66"/>
      <c r="M1112" s="66"/>
      <c r="N1112" s="66"/>
    </row>
    <row r="1113" spans="1:14" x14ac:dyDescent="0.2">
      <c r="A1113" s="84"/>
      <c r="B1113" s="84"/>
      <c r="C1113" s="60"/>
      <c r="D1113" s="66"/>
      <c r="E1113" s="66"/>
      <c r="F1113" s="66"/>
      <c r="G1113" s="66"/>
      <c r="H1113" s="66"/>
      <c r="I1113" s="66"/>
      <c r="J1113" s="66"/>
      <c r="K1113" s="66"/>
      <c r="L1113" s="66"/>
      <c r="M1113" s="66"/>
      <c r="N1113" s="66"/>
    </row>
    <row r="1114" spans="1:14" x14ac:dyDescent="0.2">
      <c r="A1114" s="84"/>
      <c r="B1114" s="84"/>
      <c r="C1114" s="60"/>
      <c r="D1114" s="66"/>
      <c r="E1114" s="66"/>
      <c r="F1114" s="66"/>
      <c r="G1114" s="66"/>
      <c r="H1114" s="66"/>
      <c r="I1114" s="66"/>
      <c r="J1114" s="66"/>
      <c r="K1114" s="66"/>
      <c r="L1114" s="66"/>
      <c r="M1114" s="66"/>
      <c r="N1114" s="66"/>
    </row>
    <row r="1115" spans="1:14" x14ac:dyDescent="0.2">
      <c r="A1115" s="84"/>
      <c r="B1115" s="84"/>
      <c r="C1115" s="60"/>
      <c r="D1115" s="66"/>
      <c r="E1115" s="66"/>
      <c r="F1115" s="66"/>
      <c r="G1115" s="66"/>
      <c r="H1115" s="66"/>
      <c r="I1115" s="66"/>
      <c r="J1115" s="66"/>
      <c r="K1115" s="66"/>
      <c r="L1115" s="66"/>
      <c r="M1115" s="66"/>
      <c r="N1115" s="66"/>
    </row>
    <row r="1116" spans="1:14" x14ac:dyDescent="0.2">
      <c r="A1116" s="84"/>
      <c r="B1116" s="84"/>
      <c r="C1116" s="60"/>
      <c r="D1116" s="66"/>
      <c r="E1116" s="66"/>
      <c r="F1116" s="66"/>
      <c r="G1116" s="66"/>
      <c r="H1116" s="66"/>
      <c r="I1116" s="66"/>
      <c r="J1116" s="66"/>
      <c r="K1116" s="66"/>
      <c r="L1116" s="66"/>
      <c r="M1116" s="66"/>
      <c r="N1116" s="66"/>
    </row>
    <row r="1117" spans="1:14" x14ac:dyDescent="0.2">
      <c r="A1117" s="84"/>
      <c r="B1117" s="84"/>
      <c r="C1117" s="60"/>
      <c r="D1117" s="66"/>
      <c r="E1117" s="66"/>
      <c r="F1117" s="66"/>
      <c r="G1117" s="66"/>
      <c r="H1117" s="66"/>
      <c r="I1117" s="66"/>
      <c r="J1117" s="66"/>
      <c r="K1117" s="66"/>
      <c r="L1117" s="66"/>
      <c r="M1117" s="66"/>
      <c r="N1117" s="66"/>
    </row>
    <row r="1118" spans="1:14" x14ac:dyDescent="0.2">
      <c r="A1118" s="84"/>
      <c r="B1118" s="84"/>
      <c r="C1118" s="60"/>
      <c r="D1118" s="66"/>
      <c r="E1118" s="66"/>
      <c r="F1118" s="66"/>
      <c r="G1118" s="66"/>
      <c r="H1118" s="66"/>
      <c r="I1118" s="66"/>
      <c r="J1118" s="66"/>
      <c r="K1118" s="66"/>
      <c r="L1118" s="66"/>
      <c r="M1118" s="66"/>
      <c r="N1118" s="66"/>
    </row>
    <row r="1119" spans="1:14" x14ac:dyDescent="0.2">
      <c r="A1119" s="84"/>
      <c r="B1119" s="84"/>
      <c r="C1119" s="60"/>
      <c r="D1119" s="66"/>
      <c r="E1119" s="66"/>
      <c r="F1119" s="66"/>
      <c r="G1119" s="66"/>
      <c r="H1119" s="66"/>
      <c r="I1119" s="66"/>
      <c r="J1119" s="66"/>
      <c r="K1119" s="66"/>
      <c r="L1119" s="66"/>
      <c r="M1119" s="66"/>
      <c r="N1119" s="66"/>
    </row>
    <row r="1120" spans="1:14" x14ac:dyDescent="0.2">
      <c r="A1120" s="84"/>
      <c r="B1120" s="84"/>
      <c r="C1120" s="60"/>
      <c r="D1120" s="66"/>
      <c r="E1120" s="66"/>
      <c r="F1120" s="66"/>
      <c r="G1120" s="66"/>
      <c r="H1120" s="66"/>
      <c r="I1120" s="66"/>
      <c r="J1120" s="66"/>
      <c r="K1120" s="66"/>
      <c r="L1120" s="66"/>
      <c r="M1120" s="66"/>
      <c r="N1120" s="66"/>
    </row>
    <row r="1121" spans="1:14" x14ac:dyDescent="0.2">
      <c r="A1121" s="84"/>
      <c r="B1121" s="84"/>
      <c r="C1121" s="60"/>
      <c r="D1121" s="66"/>
      <c r="E1121" s="66"/>
      <c r="F1121" s="66"/>
      <c r="G1121" s="66"/>
      <c r="H1121" s="66"/>
      <c r="I1121" s="66"/>
      <c r="J1121" s="66"/>
      <c r="K1121" s="66"/>
      <c r="L1121" s="66"/>
      <c r="M1121" s="66"/>
      <c r="N1121" s="66"/>
    </row>
    <row r="1122" spans="1:14" x14ac:dyDescent="0.2">
      <c r="A1122" s="84"/>
      <c r="B1122" s="84"/>
      <c r="C1122" s="60"/>
      <c r="D1122" s="66"/>
      <c r="E1122" s="66"/>
      <c r="F1122" s="66"/>
      <c r="G1122" s="66"/>
      <c r="H1122" s="66"/>
      <c r="I1122" s="66"/>
      <c r="J1122" s="66"/>
      <c r="K1122" s="66"/>
      <c r="L1122" s="66"/>
      <c r="M1122" s="66"/>
      <c r="N1122" s="66"/>
    </row>
    <row r="1123" spans="1:14" x14ac:dyDescent="0.2">
      <c r="A1123" s="84"/>
      <c r="B1123" s="84"/>
      <c r="C1123" s="60"/>
      <c r="D1123" s="66"/>
      <c r="E1123" s="66"/>
      <c r="F1123" s="66"/>
      <c r="G1123" s="66"/>
      <c r="H1123" s="66"/>
      <c r="I1123" s="66"/>
      <c r="J1123" s="66"/>
      <c r="K1123" s="66"/>
      <c r="L1123" s="66"/>
      <c r="M1123" s="66"/>
      <c r="N1123" s="66"/>
    </row>
    <row r="1124" spans="1:14" x14ac:dyDescent="0.2">
      <c r="A1124" s="84"/>
      <c r="B1124" s="84"/>
      <c r="C1124" s="60"/>
      <c r="D1124" s="66"/>
      <c r="E1124" s="66"/>
      <c r="F1124" s="66"/>
      <c r="G1124" s="66"/>
      <c r="H1124" s="66"/>
      <c r="I1124" s="66"/>
      <c r="J1124" s="66"/>
      <c r="K1124" s="66"/>
      <c r="L1124" s="66"/>
      <c r="M1124" s="66"/>
      <c r="N1124" s="66"/>
    </row>
    <row r="1125" spans="1:14" x14ac:dyDescent="0.2">
      <c r="A1125" s="84"/>
      <c r="B1125" s="84"/>
      <c r="C1125" s="60"/>
      <c r="D1125" s="66"/>
      <c r="E1125" s="66"/>
      <c r="F1125" s="66"/>
      <c r="G1125" s="66"/>
      <c r="H1125" s="66"/>
      <c r="I1125" s="66"/>
      <c r="J1125" s="66"/>
      <c r="K1125" s="66"/>
      <c r="L1125" s="66"/>
      <c r="M1125" s="66"/>
      <c r="N1125" s="66"/>
    </row>
    <row r="1126" spans="1:14" x14ac:dyDescent="0.2">
      <c r="A1126" s="84"/>
      <c r="B1126" s="84"/>
      <c r="C1126" s="60"/>
      <c r="D1126" s="66"/>
      <c r="E1126" s="66"/>
      <c r="F1126" s="66"/>
      <c r="G1126" s="66"/>
      <c r="H1126" s="66"/>
      <c r="I1126" s="66"/>
      <c r="J1126" s="66"/>
      <c r="K1126" s="66"/>
      <c r="L1126" s="66"/>
      <c r="M1126" s="66"/>
      <c r="N1126" s="66"/>
    </row>
    <row r="1127" spans="1:14" x14ac:dyDescent="0.2">
      <c r="A1127" s="84"/>
      <c r="B1127" s="84"/>
      <c r="C1127" s="60"/>
      <c r="D1127" s="66"/>
      <c r="E1127" s="66"/>
      <c r="F1127" s="66"/>
      <c r="G1127" s="66"/>
      <c r="H1127" s="66"/>
      <c r="I1127" s="66"/>
      <c r="J1127" s="66"/>
      <c r="K1127" s="66"/>
      <c r="L1127" s="66"/>
      <c r="M1127" s="66"/>
      <c r="N1127" s="66"/>
    </row>
    <row r="1128" spans="1:14" x14ac:dyDescent="0.2">
      <c r="A1128" s="84"/>
      <c r="B1128" s="84"/>
      <c r="C1128" s="60"/>
      <c r="D1128" s="66"/>
      <c r="E1128" s="66"/>
      <c r="F1128" s="66"/>
      <c r="G1128" s="66"/>
      <c r="H1128" s="66"/>
      <c r="I1128" s="66"/>
      <c r="J1128" s="66"/>
      <c r="K1128" s="66"/>
      <c r="L1128" s="66"/>
      <c r="M1128" s="66"/>
      <c r="N1128" s="66"/>
    </row>
    <row r="1129" spans="1:14" x14ac:dyDescent="0.2">
      <c r="A1129" s="84"/>
      <c r="B1129" s="84"/>
      <c r="C1129" s="60"/>
      <c r="D1129" s="66"/>
      <c r="E1129" s="66"/>
      <c r="F1129" s="66"/>
      <c r="G1129" s="66"/>
      <c r="H1129" s="66"/>
      <c r="I1129" s="66"/>
      <c r="J1129" s="66"/>
      <c r="K1129" s="66"/>
      <c r="L1129" s="66"/>
      <c r="M1129" s="66"/>
      <c r="N1129" s="66"/>
    </row>
    <row r="1130" spans="1:14" x14ac:dyDescent="0.2">
      <c r="A1130" s="84"/>
      <c r="B1130" s="84"/>
      <c r="C1130" s="60"/>
      <c r="D1130" s="66"/>
      <c r="E1130" s="66"/>
      <c r="F1130" s="66"/>
      <c r="G1130" s="66"/>
      <c r="H1130" s="66"/>
      <c r="I1130" s="66"/>
      <c r="J1130" s="66"/>
      <c r="K1130" s="66"/>
      <c r="L1130" s="66"/>
      <c r="M1130" s="66"/>
      <c r="N1130" s="66"/>
    </row>
    <row r="1131" spans="1:14" x14ac:dyDescent="0.2">
      <c r="A1131" s="84"/>
      <c r="B1131" s="84"/>
      <c r="C1131" s="60"/>
      <c r="D1131" s="66"/>
      <c r="E1131" s="66"/>
      <c r="F1131" s="66"/>
      <c r="G1131" s="66"/>
      <c r="H1131" s="66"/>
      <c r="I1131" s="66"/>
      <c r="J1131" s="66"/>
      <c r="K1131" s="66"/>
      <c r="L1131" s="66"/>
      <c r="M1131" s="66"/>
      <c r="N1131" s="66"/>
    </row>
    <row r="1132" spans="1:14" x14ac:dyDescent="0.2">
      <c r="A1132" s="84"/>
      <c r="B1132" s="84"/>
      <c r="C1132" s="60"/>
      <c r="D1132" s="66"/>
      <c r="E1132" s="66"/>
      <c r="F1132" s="66"/>
      <c r="G1132" s="66"/>
      <c r="H1132" s="66"/>
      <c r="I1132" s="66"/>
      <c r="J1132" s="66"/>
      <c r="K1132" s="66"/>
      <c r="L1132" s="66"/>
      <c r="M1132" s="66"/>
      <c r="N1132" s="66"/>
    </row>
    <row r="1133" spans="1:14" x14ac:dyDescent="0.2">
      <c r="A1133" s="84"/>
      <c r="B1133" s="84"/>
      <c r="C1133" s="60"/>
      <c r="D1133" s="66"/>
      <c r="E1133" s="66"/>
      <c r="F1133" s="66"/>
      <c r="G1133" s="66"/>
      <c r="H1133" s="66"/>
      <c r="I1133" s="66"/>
      <c r="J1133" s="66"/>
      <c r="K1133" s="66"/>
      <c r="L1133" s="66"/>
      <c r="M1133" s="66"/>
      <c r="N1133" s="66"/>
    </row>
    <row r="1134" spans="1:14" x14ac:dyDescent="0.2">
      <c r="A1134" s="84"/>
      <c r="B1134" s="84"/>
      <c r="C1134" s="60"/>
      <c r="D1134" s="66"/>
      <c r="E1134" s="66"/>
      <c r="F1134" s="66"/>
      <c r="G1134" s="66"/>
      <c r="H1134" s="66"/>
      <c r="I1134" s="66"/>
      <c r="J1134" s="66"/>
      <c r="K1134" s="66"/>
      <c r="L1134" s="66"/>
      <c r="M1134" s="66"/>
      <c r="N1134" s="66"/>
    </row>
    <row r="1135" spans="1:14" x14ac:dyDescent="0.2">
      <c r="A1135" s="84"/>
      <c r="B1135" s="84"/>
      <c r="C1135" s="60"/>
      <c r="D1135" s="66"/>
      <c r="E1135" s="66"/>
      <c r="F1135" s="66"/>
      <c r="G1135" s="66"/>
      <c r="H1135" s="66"/>
      <c r="I1135" s="66"/>
      <c r="J1135" s="66"/>
      <c r="K1135" s="66"/>
      <c r="L1135" s="66"/>
      <c r="M1135" s="66"/>
      <c r="N1135" s="66"/>
    </row>
    <row r="1136" spans="1:14" x14ac:dyDescent="0.2">
      <c r="A1136" s="84"/>
      <c r="B1136" s="84"/>
      <c r="C1136" s="60"/>
      <c r="D1136" s="66"/>
      <c r="E1136" s="66"/>
      <c r="F1136" s="66"/>
      <c r="G1136" s="66"/>
      <c r="H1136" s="66"/>
      <c r="I1136" s="66"/>
      <c r="J1136" s="66"/>
      <c r="K1136" s="66"/>
      <c r="L1136" s="66"/>
      <c r="M1136" s="66"/>
      <c r="N1136" s="66"/>
    </row>
    <row r="1137" spans="1:14" x14ac:dyDescent="0.2">
      <c r="A1137" s="84"/>
      <c r="B1137" s="84"/>
      <c r="C1137" s="60"/>
      <c r="D1137" s="66"/>
      <c r="E1137" s="66"/>
      <c r="F1137" s="66"/>
      <c r="G1137" s="66"/>
      <c r="H1137" s="66"/>
      <c r="I1137" s="66"/>
      <c r="J1137" s="66"/>
      <c r="K1137" s="66"/>
      <c r="L1137" s="66"/>
      <c r="M1137" s="66"/>
      <c r="N1137" s="66"/>
    </row>
    <row r="1138" spans="1:14" x14ac:dyDescent="0.2">
      <c r="A1138" s="84"/>
      <c r="B1138" s="84"/>
      <c r="C1138" s="60"/>
      <c r="D1138" s="66"/>
      <c r="E1138" s="66"/>
      <c r="F1138" s="66"/>
      <c r="G1138" s="66"/>
      <c r="H1138" s="66"/>
      <c r="I1138" s="66"/>
      <c r="J1138" s="66"/>
      <c r="K1138" s="66"/>
      <c r="L1138" s="66"/>
      <c r="M1138" s="66"/>
      <c r="N1138" s="66"/>
    </row>
    <row r="1139" spans="1:14" x14ac:dyDescent="0.2">
      <c r="A1139" s="84"/>
      <c r="B1139" s="84"/>
      <c r="C1139" s="60"/>
      <c r="D1139" s="66"/>
      <c r="E1139" s="66"/>
      <c r="F1139" s="66"/>
      <c r="G1139" s="66"/>
      <c r="H1139" s="66"/>
      <c r="I1139" s="66"/>
      <c r="J1139" s="66"/>
      <c r="K1139" s="66"/>
      <c r="L1139" s="66"/>
      <c r="M1139" s="66"/>
      <c r="N1139" s="66"/>
    </row>
    <row r="1140" spans="1:14" x14ac:dyDescent="0.2">
      <c r="A1140" s="84"/>
      <c r="B1140" s="84"/>
      <c r="C1140" s="60"/>
      <c r="D1140" s="66"/>
      <c r="E1140" s="66"/>
      <c r="F1140" s="66"/>
      <c r="G1140" s="66"/>
      <c r="H1140" s="66"/>
      <c r="I1140" s="66"/>
      <c r="J1140" s="66"/>
      <c r="K1140" s="66"/>
      <c r="L1140" s="66"/>
      <c r="M1140" s="66"/>
      <c r="N1140" s="66"/>
    </row>
    <row r="1141" spans="1:14" x14ac:dyDescent="0.2">
      <c r="A1141" s="84"/>
      <c r="B1141" s="84"/>
      <c r="C1141" s="60"/>
      <c r="D1141" s="66"/>
      <c r="E1141" s="66"/>
      <c r="F1141" s="66"/>
      <c r="G1141" s="66"/>
      <c r="H1141" s="66"/>
      <c r="I1141" s="66"/>
      <c r="J1141" s="66"/>
      <c r="K1141" s="66"/>
      <c r="L1141" s="66"/>
      <c r="M1141" s="66"/>
      <c r="N1141" s="66"/>
    </row>
    <row r="1142" spans="1:14" x14ac:dyDescent="0.2">
      <c r="A1142" s="84"/>
      <c r="B1142" s="84"/>
      <c r="C1142" s="60"/>
      <c r="D1142" s="66"/>
      <c r="E1142" s="66"/>
      <c r="F1142" s="66"/>
      <c r="G1142" s="66"/>
      <c r="H1142" s="66"/>
      <c r="I1142" s="66"/>
      <c r="J1142" s="66"/>
      <c r="K1142" s="66"/>
      <c r="L1142" s="66"/>
      <c r="M1142" s="66"/>
      <c r="N1142" s="66"/>
    </row>
    <row r="1143" spans="1:14" x14ac:dyDescent="0.2">
      <c r="A1143" s="84"/>
      <c r="B1143" s="84"/>
      <c r="C1143" s="60"/>
      <c r="D1143" s="66"/>
      <c r="E1143" s="66"/>
      <c r="F1143" s="66"/>
      <c r="G1143" s="66"/>
      <c r="H1143" s="66"/>
      <c r="I1143" s="66"/>
      <c r="J1143" s="66"/>
      <c r="K1143" s="66"/>
      <c r="L1143" s="66"/>
      <c r="M1143" s="66"/>
      <c r="N1143" s="66"/>
    </row>
    <row r="1144" spans="1:14" x14ac:dyDescent="0.2">
      <c r="A1144" s="84"/>
      <c r="B1144" s="84"/>
      <c r="C1144" s="60"/>
      <c r="D1144" s="66"/>
      <c r="E1144" s="66"/>
      <c r="F1144" s="66"/>
      <c r="G1144" s="66"/>
      <c r="H1144" s="66"/>
      <c r="I1144" s="66"/>
      <c r="J1144" s="66"/>
      <c r="K1144" s="66"/>
      <c r="L1144" s="66"/>
      <c r="M1144" s="66"/>
      <c r="N1144" s="66"/>
    </row>
    <row r="1145" spans="1:14" x14ac:dyDescent="0.2">
      <c r="A1145" s="84"/>
      <c r="B1145" s="84"/>
      <c r="C1145" s="60"/>
      <c r="D1145" s="66"/>
      <c r="E1145" s="66"/>
      <c r="F1145" s="66"/>
      <c r="G1145" s="66"/>
      <c r="H1145" s="66"/>
      <c r="I1145" s="66"/>
      <c r="J1145" s="66"/>
      <c r="K1145" s="66"/>
      <c r="L1145" s="66"/>
      <c r="M1145" s="66"/>
      <c r="N1145" s="66"/>
    </row>
    <row r="1146" spans="1:14" x14ac:dyDescent="0.2">
      <c r="A1146" s="84"/>
      <c r="B1146" s="84"/>
      <c r="C1146" s="60"/>
      <c r="D1146" s="66"/>
      <c r="E1146" s="66"/>
      <c r="F1146" s="66"/>
      <c r="G1146" s="66"/>
      <c r="H1146" s="66"/>
      <c r="I1146" s="66"/>
      <c r="J1146" s="66"/>
      <c r="K1146" s="66"/>
      <c r="L1146" s="66"/>
      <c r="M1146" s="66"/>
      <c r="N1146" s="66"/>
    </row>
    <row r="1147" spans="1:14" x14ac:dyDescent="0.2">
      <c r="A1147" s="84"/>
      <c r="B1147" s="84"/>
      <c r="C1147" s="60"/>
      <c r="D1147" s="66"/>
      <c r="E1147" s="66"/>
      <c r="F1147" s="66"/>
      <c r="G1147" s="66"/>
      <c r="H1147" s="66"/>
      <c r="I1147" s="66"/>
      <c r="J1147" s="66"/>
      <c r="K1147" s="66"/>
      <c r="L1147" s="66"/>
      <c r="M1147" s="66"/>
      <c r="N1147" s="66"/>
    </row>
    <row r="1148" spans="1:14" x14ac:dyDescent="0.2">
      <c r="A1148" s="84"/>
      <c r="B1148" s="84"/>
      <c r="C1148" s="60"/>
      <c r="D1148" s="66"/>
      <c r="E1148" s="66"/>
      <c r="F1148" s="66"/>
      <c r="G1148" s="66"/>
      <c r="H1148" s="66"/>
      <c r="I1148" s="66"/>
      <c r="J1148" s="66"/>
      <c r="K1148" s="66"/>
      <c r="L1148" s="66"/>
      <c r="M1148" s="66"/>
      <c r="N1148" s="66"/>
    </row>
    <row r="1149" spans="1:14" x14ac:dyDescent="0.2">
      <c r="A1149" s="84"/>
      <c r="B1149" s="84"/>
      <c r="C1149" s="60"/>
      <c r="D1149" s="66"/>
      <c r="E1149" s="66"/>
      <c r="F1149" s="66"/>
      <c r="G1149" s="66"/>
      <c r="H1149" s="66"/>
      <c r="I1149" s="66"/>
      <c r="J1149" s="66"/>
      <c r="K1149" s="66"/>
      <c r="L1149" s="66"/>
      <c r="M1149" s="66"/>
      <c r="N1149" s="66"/>
    </row>
    <row r="1150" spans="1:14" x14ac:dyDescent="0.2">
      <c r="A1150" s="84"/>
      <c r="B1150" s="84"/>
      <c r="C1150" s="60"/>
      <c r="D1150" s="66"/>
      <c r="E1150" s="66"/>
      <c r="F1150" s="66"/>
      <c r="G1150" s="66"/>
      <c r="H1150" s="66"/>
      <c r="I1150" s="66"/>
      <c r="J1150" s="66"/>
      <c r="K1150" s="66"/>
      <c r="L1150" s="66"/>
      <c r="M1150" s="66"/>
      <c r="N1150" s="66"/>
    </row>
    <row r="1151" spans="1:14" x14ac:dyDescent="0.2">
      <c r="A1151" s="84"/>
      <c r="B1151" s="84"/>
      <c r="C1151" s="60"/>
      <c r="D1151" s="66"/>
      <c r="E1151" s="66"/>
      <c r="F1151" s="66"/>
      <c r="G1151" s="66"/>
      <c r="H1151" s="66"/>
      <c r="I1151" s="66"/>
      <c r="J1151" s="66"/>
      <c r="K1151" s="66"/>
      <c r="L1151" s="66"/>
      <c r="M1151" s="66"/>
      <c r="N1151" s="66"/>
    </row>
    <row r="1152" spans="1:14" x14ac:dyDescent="0.2">
      <c r="A1152" s="84"/>
      <c r="B1152" s="84"/>
      <c r="C1152" s="60"/>
      <c r="D1152" s="66"/>
      <c r="E1152" s="66"/>
      <c r="F1152" s="66"/>
      <c r="G1152" s="66"/>
      <c r="H1152" s="66"/>
      <c r="I1152" s="66"/>
      <c r="J1152" s="66"/>
      <c r="K1152" s="66"/>
      <c r="L1152" s="66"/>
      <c r="M1152" s="66"/>
      <c r="N1152" s="66"/>
    </row>
    <row r="1153" spans="1:14" x14ac:dyDescent="0.2">
      <c r="A1153" s="84"/>
      <c r="B1153" s="84"/>
      <c r="C1153" s="60"/>
      <c r="D1153" s="66"/>
      <c r="E1153" s="66"/>
      <c r="F1153" s="66"/>
      <c r="G1153" s="66"/>
      <c r="H1153" s="66"/>
      <c r="I1153" s="66"/>
      <c r="J1153" s="66"/>
      <c r="K1153" s="66"/>
      <c r="L1153" s="66"/>
      <c r="M1153" s="66"/>
      <c r="N1153" s="66"/>
    </row>
    <row r="1154" spans="1:14" x14ac:dyDescent="0.2">
      <c r="A1154" s="84"/>
      <c r="B1154" s="84"/>
      <c r="C1154" s="60"/>
      <c r="D1154" s="66"/>
      <c r="E1154" s="66"/>
      <c r="F1154" s="66"/>
      <c r="G1154" s="66"/>
      <c r="H1154" s="66"/>
      <c r="I1154" s="66"/>
      <c r="J1154" s="66"/>
      <c r="K1154" s="66"/>
      <c r="L1154" s="66"/>
      <c r="M1154" s="66"/>
      <c r="N1154" s="66"/>
    </row>
    <row r="1155" spans="1:14" x14ac:dyDescent="0.2">
      <c r="A1155" s="84"/>
      <c r="B1155" s="84"/>
      <c r="C1155" s="60"/>
      <c r="D1155" s="66"/>
      <c r="E1155" s="66"/>
      <c r="F1155" s="66"/>
      <c r="G1155" s="66"/>
      <c r="H1155" s="66"/>
      <c r="I1155" s="66"/>
      <c r="J1155" s="66"/>
      <c r="K1155" s="66"/>
      <c r="L1155" s="66"/>
      <c r="M1155" s="66"/>
      <c r="N1155" s="66"/>
    </row>
    <row r="1156" spans="1:14" x14ac:dyDescent="0.2">
      <c r="A1156" s="84"/>
      <c r="B1156" s="84"/>
      <c r="C1156" s="60"/>
      <c r="D1156" s="66"/>
      <c r="E1156" s="66"/>
      <c r="F1156" s="66"/>
      <c r="G1156" s="66"/>
      <c r="H1156" s="66"/>
      <c r="I1156" s="66"/>
      <c r="J1156" s="66"/>
      <c r="K1156" s="66"/>
      <c r="L1156" s="66"/>
      <c r="M1156" s="66"/>
      <c r="N1156" s="66"/>
    </row>
    <row r="1157" spans="1:14" x14ac:dyDescent="0.2">
      <c r="A1157" s="84"/>
      <c r="B1157" s="84"/>
      <c r="C1157" s="60"/>
      <c r="D1157" s="66"/>
      <c r="E1157" s="66"/>
      <c r="F1157" s="66"/>
      <c r="G1157" s="66"/>
      <c r="H1157" s="66"/>
      <c r="I1157" s="66"/>
      <c r="J1157" s="66"/>
      <c r="K1157" s="66"/>
      <c r="L1157" s="66"/>
      <c r="M1157" s="66"/>
      <c r="N1157" s="66"/>
    </row>
    <row r="1158" spans="1:14" x14ac:dyDescent="0.2">
      <c r="A1158" s="84"/>
      <c r="B1158" s="84"/>
      <c r="C1158" s="60"/>
      <c r="D1158" s="66"/>
      <c r="E1158" s="66"/>
      <c r="F1158" s="66"/>
      <c r="G1158" s="66"/>
      <c r="H1158" s="66"/>
      <c r="I1158" s="66"/>
      <c r="J1158" s="66"/>
      <c r="K1158" s="66"/>
      <c r="L1158" s="66"/>
      <c r="M1158" s="66"/>
      <c r="N1158" s="66"/>
    </row>
    <row r="1159" spans="1:14" x14ac:dyDescent="0.2">
      <c r="A1159" s="84"/>
      <c r="B1159" s="84"/>
      <c r="C1159" s="60"/>
      <c r="D1159" s="66"/>
      <c r="E1159" s="66"/>
      <c r="F1159" s="66"/>
      <c r="G1159" s="66"/>
      <c r="H1159" s="66"/>
      <c r="I1159" s="66"/>
      <c r="J1159" s="66"/>
      <c r="K1159" s="66"/>
      <c r="L1159" s="66"/>
      <c r="M1159" s="66"/>
      <c r="N1159" s="66"/>
    </row>
    <row r="1160" spans="1:14" x14ac:dyDescent="0.2">
      <c r="A1160" s="84"/>
      <c r="B1160" s="84"/>
      <c r="C1160" s="60"/>
      <c r="D1160" s="66"/>
      <c r="E1160" s="66"/>
      <c r="F1160" s="66"/>
      <c r="G1160" s="66"/>
      <c r="H1160" s="66"/>
      <c r="I1160" s="66"/>
      <c r="J1160" s="66"/>
      <c r="K1160" s="66"/>
      <c r="L1160" s="66"/>
      <c r="M1160" s="66"/>
      <c r="N1160" s="66"/>
    </row>
    <row r="1161" spans="1:14" x14ac:dyDescent="0.2">
      <c r="A1161" s="84"/>
      <c r="B1161" s="84"/>
      <c r="C1161" s="60"/>
      <c r="D1161" s="66"/>
      <c r="E1161" s="66"/>
      <c r="F1161" s="66"/>
      <c r="G1161" s="66"/>
      <c r="H1161" s="66"/>
      <c r="I1161" s="66"/>
      <c r="J1161" s="66"/>
      <c r="K1161" s="66"/>
      <c r="L1161" s="66"/>
      <c r="M1161" s="66"/>
      <c r="N1161" s="66"/>
    </row>
    <row r="1162" spans="1:14" x14ac:dyDescent="0.2">
      <c r="A1162" s="84"/>
      <c r="B1162" s="84"/>
      <c r="C1162" s="60"/>
      <c r="D1162" s="66"/>
      <c r="E1162" s="66"/>
      <c r="F1162" s="66"/>
      <c r="G1162" s="66"/>
      <c r="H1162" s="66"/>
      <c r="I1162" s="66"/>
      <c r="J1162" s="66"/>
      <c r="K1162" s="66"/>
      <c r="L1162" s="66"/>
      <c r="M1162" s="66"/>
      <c r="N1162" s="66"/>
    </row>
    <row r="1163" spans="1:14" x14ac:dyDescent="0.2">
      <c r="A1163" s="84"/>
      <c r="B1163" s="84"/>
      <c r="C1163" s="60"/>
      <c r="D1163" s="66"/>
      <c r="E1163" s="66"/>
      <c r="F1163" s="66"/>
      <c r="G1163" s="66"/>
      <c r="H1163" s="66"/>
      <c r="I1163" s="66"/>
      <c r="J1163" s="66"/>
      <c r="K1163" s="66"/>
      <c r="L1163" s="66"/>
      <c r="M1163" s="66"/>
      <c r="N1163" s="66"/>
    </row>
    <row r="1164" spans="1:14" x14ac:dyDescent="0.2">
      <c r="A1164" s="84"/>
      <c r="B1164" s="84"/>
      <c r="C1164" s="60"/>
      <c r="D1164" s="66"/>
      <c r="E1164" s="66"/>
      <c r="F1164" s="66"/>
      <c r="G1164" s="66"/>
      <c r="H1164" s="66"/>
      <c r="I1164" s="66"/>
      <c r="J1164" s="66"/>
      <c r="K1164" s="66"/>
      <c r="L1164" s="66"/>
      <c r="M1164" s="66"/>
      <c r="N1164" s="66"/>
    </row>
    <row r="1165" spans="1:14" x14ac:dyDescent="0.2">
      <c r="A1165" s="84"/>
      <c r="B1165" s="84"/>
      <c r="C1165" s="60"/>
      <c r="D1165" s="66"/>
      <c r="E1165" s="66"/>
      <c r="F1165" s="66"/>
      <c r="G1165" s="66"/>
      <c r="H1165" s="66"/>
      <c r="I1165" s="66"/>
      <c r="J1165" s="66"/>
      <c r="K1165" s="66"/>
      <c r="L1165" s="66"/>
      <c r="M1165" s="66"/>
      <c r="N1165" s="66"/>
    </row>
    <row r="1166" spans="1:14" x14ac:dyDescent="0.2">
      <c r="A1166" s="84"/>
      <c r="B1166" s="84"/>
      <c r="C1166" s="60"/>
      <c r="D1166" s="66"/>
      <c r="E1166" s="66"/>
      <c r="F1166" s="66"/>
      <c r="G1166" s="66"/>
      <c r="H1166" s="66"/>
      <c r="I1166" s="66"/>
      <c r="J1166" s="66"/>
      <c r="K1166" s="66"/>
      <c r="L1166" s="66"/>
      <c r="M1166" s="66"/>
      <c r="N1166" s="66"/>
    </row>
    <row r="1167" spans="1:14" x14ac:dyDescent="0.2">
      <c r="A1167" s="84"/>
      <c r="B1167" s="84"/>
      <c r="C1167" s="60"/>
      <c r="D1167" s="66"/>
      <c r="E1167" s="66"/>
      <c r="F1167" s="66"/>
      <c r="G1167" s="66"/>
      <c r="H1167" s="66"/>
      <c r="I1167" s="66"/>
      <c r="J1167" s="66"/>
      <c r="K1167" s="66"/>
      <c r="L1167" s="66"/>
      <c r="M1167" s="66"/>
      <c r="N1167" s="66"/>
    </row>
    <row r="1168" spans="1:14" x14ac:dyDescent="0.2">
      <c r="A1168" s="84"/>
      <c r="B1168" s="84"/>
      <c r="C1168" s="60"/>
      <c r="D1168" s="66"/>
      <c r="E1168" s="66"/>
      <c r="F1168" s="66"/>
      <c r="G1168" s="66"/>
      <c r="H1168" s="66"/>
      <c r="I1168" s="66"/>
      <c r="J1168" s="66"/>
      <c r="K1168" s="66"/>
      <c r="L1168" s="66"/>
      <c r="M1168" s="66"/>
      <c r="N1168" s="66"/>
    </row>
    <row r="1169" spans="1:14" x14ac:dyDescent="0.2">
      <c r="A1169" s="84"/>
      <c r="B1169" s="84"/>
      <c r="C1169" s="60"/>
      <c r="D1169" s="66"/>
      <c r="E1169" s="66"/>
      <c r="F1169" s="66"/>
      <c r="G1169" s="66"/>
      <c r="H1169" s="66"/>
      <c r="I1169" s="66"/>
      <c r="J1169" s="66"/>
      <c r="K1169" s="66"/>
      <c r="L1169" s="66"/>
      <c r="M1169" s="66"/>
      <c r="N1169" s="66"/>
    </row>
    <row r="1170" spans="1:14" x14ac:dyDescent="0.2">
      <c r="A1170" s="84"/>
      <c r="B1170" s="84"/>
      <c r="C1170" s="60"/>
      <c r="D1170" s="66"/>
      <c r="E1170" s="66"/>
      <c r="F1170" s="66"/>
      <c r="G1170" s="66"/>
      <c r="H1170" s="66"/>
      <c r="I1170" s="66"/>
      <c r="J1170" s="66"/>
      <c r="K1170" s="66"/>
      <c r="L1170" s="66"/>
      <c r="M1170" s="66"/>
      <c r="N1170" s="66"/>
    </row>
    <row r="1171" spans="1:14" x14ac:dyDescent="0.2">
      <c r="A1171" s="84"/>
      <c r="B1171" s="84"/>
      <c r="C1171" s="60"/>
      <c r="D1171" s="66"/>
      <c r="E1171" s="66"/>
      <c r="F1171" s="66"/>
      <c r="G1171" s="66"/>
      <c r="H1171" s="66"/>
      <c r="I1171" s="66"/>
      <c r="J1171" s="66"/>
      <c r="K1171" s="66"/>
      <c r="L1171" s="66"/>
      <c r="M1171" s="66"/>
      <c r="N1171" s="66"/>
    </row>
    <row r="1172" spans="1:14" x14ac:dyDescent="0.2">
      <c r="A1172" s="84"/>
      <c r="B1172" s="84"/>
      <c r="C1172" s="60"/>
      <c r="D1172" s="66"/>
      <c r="E1172" s="66"/>
      <c r="F1172" s="66"/>
      <c r="G1172" s="66"/>
      <c r="H1172" s="66"/>
      <c r="I1172" s="66"/>
      <c r="J1172" s="66"/>
      <c r="K1172" s="66"/>
      <c r="L1172" s="66"/>
      <c r="M1172" s="66"/>
      <c r="N1172" s="66"/>
    </row>
    <row r="1173" spans="1:14" x14ac:dyDescent="0.2">
      <c r="A1173" s="84"/>
      <c r="B1173" s="84"/>
      <c r="C1173" s="60"/>
      <c r="D1173" s="66"/>
      <c r="E1173" s="66"/>
      <c r="F1173" s="66"/>
      <c r="G1173" s="66"/>
      <c r="H1173" s="66"/>
      <c r="I1173" s="66"/>
      <c r="J1173" s="66"/>
      <c r="K1173" s="66"/>
      <c r="L1173" s="66"/>
      <c r="M1173" s="66"/>
      <c r="N1173" s="66"/>
    </row>
    <row r="1174" spans="1:14" x14ac:dyDescent="0.2">
      <c r="A1174" s="84"/>
      <c r="B1174" s="84"/>
      <c r="C1174" s="60"/>
      <c r="D1174" s="66"/>
      <c r="E1174" s="66"/>
      <c r="F1174" s="66"/>
      <c r="G1174" s="66"/>
      <c r="H1174" s="66"/>
      <c r="I1174" s="66"/>
      <c r="J1174" s="66"/>
      <c r="K1174" s="66"/>
      <c r="L1174" s="66"/>
      <c r="M1174" s="66"/>
      <c r="N1174" s="66"/>
    </row>
    <row r="1175" spans="1:14" x14ac:dyDescent="0.2">
      <c r="A1175" s="84"/>
      <c r="B1175" s="84"/>
      <c r="C1175" s="60"/>
      <c r="D1175" s="66"/>
      <c r="E1175" s="66"/>
      <c r="F1175" s="66"/>
      <c r="G1175" s="66"/>
      <c r="H1175" s="66"/>
      <c r="I1175" s="66"/>
      <c r="J1175" s="66"/>
      <c r="K1175" s="66"/>
      <c r="L1175" s="66"/>
      <c r="M1175" s="66"/>
      <c r="N1175" s="66"/>
    </row>
    <row r="1176" spans="1:14" x14ac:dyDescent="0.2">
      <c r="A1176" s="84"/>
      <c r="B1176" s="84"/>
      <c r="C1176" s="60"/>
      <c r="D1176" s="66"/>
      <c r="E1176" s="66"/>
      <c r="F1176" s="66"/>
      <c r="G1176" s="66"/>
      <c r="H1176" s="66"/>
      <c r="I1176" s="66"/>
      <c r="J1176" s="66"/>
      <c r="K1176" s="66"/>
      <c r="L1176" s="66"/>
      <c r="M1176" s="66"/>
      <c r="N1176" s="66"/>
    </row>
    <row r="1177" spans="1:14" x14ac:dyDescent="0.2">
      <c r="A1177" s="84"/>
      <c r="B1177" s="84"/>
      <c r="C1177" s="60"/>
      <c r="D1177" s="66"/>
      <c r="E1177" s="66"/>
      <c r="F1177" s="66"/>
      <c r="G1177" s="66"/>
      <c r="H1177" s="66"/>
      <c r="I1177" s="66"/>
      <c r="J1177" s="66"/>
      <c r="K1177" s="66"/>
      <c r="L1177" s="66"/>
      <c r="M1177" s="66"/>
      <c r="N1177" s="66"/>
    </row>
    <row r="1178" spans="1:14" x14ac:dyDescent="0.2">
      <c r="A1178" s="84"/>
      <c r="B1178" s="84"/>
      <c r="C1178" s="60"/>
      <c r="D1178" s="66"/>
      <c r="E1178" s="66"/>
      <c r="F1178" s="66"/>
      <c r="G1178" s="66"/>
      <c r="H1178" s="66"/>
      <c r="I1178" s="66"/>
      <c r="J1178" s="66"/>
      <c r="K1178" s="66"/>
      <c r="L1178" s="66"/>
      <c r="M1178" s="66"/>
      <c r="N1178" s="66"/>
    </row>
    <row r="1179" spans="1:14" x14ac:dyDescent="0.2">
      <c r="A1179" s="84"/>
      <c r="B1179" s="84"/>
      <c r="C1179" s="60"/>
      <c r="D1179" s="66"/>
      <c r="E1179" s="66"/>
      <c r="F1179" s="66"/>
      <c r="G1179" s="66"/>
      <c r="H1179" s="66"/>
      <c r="I1179" s="66"/>
      <c r="J1179" s="66"/>
      <c r="K1179" s="66"/>
      <c r="L1179" s="66"/>
      <c r="M1179" s="66"/>
      <c r="N1179" s="66"/>
    </row>
    <row r="1180" spans="1:14" x14ac:dyDescent="0.2">
      <c r="A1180" s="84"/>
      <c r="B1180" s="84"/>
      <c r="C1180" s="60"/>
      <c r="D1180" s="66"/>
      <c r="E1180" s="66"/>
      <c r="F1180" s="66"/>
      <c r="G1180" s="66"/>
      <c r="H1180" s="66"/>
      <c r="I1180" s="66"/>
      <c r="J1180" s="66"/>
      <c r="K1180" s="66"/>
      <c r="L1180" s="66"/>
      <c r="M1180" s="66"/>
      <c r="N1180" s="66"/>
    </row>
    <row r="1181" spans="1:14" x14ac:dyDescent="0.2">
      <c r="A1181" s="84"/>
      <c r="B1181" s="84"/>
      <c r="C1181" s="60"/>
      <c r="D1181" s="66"/>
      <c r="E1181" s="66"/>
      <c r="F1181" s="66"/>
      <c r="G1181" s="66"/>
      <c r="H1181" s="66"/>
      <c r="I1181" s="66"/>
      <c r="J1181" s="66"/>
      <c r="K1181" s="66"/>
      <c r="L1181" s="66"/>
      <c r="M1181" s="66"/>
      <c r="N1181" s="66"/>
    </row>
    <row r="1182" spans="1:14" x14ac:dyDescent="0.2">
      <c r="A1182" s="84"/>
      <c r="B1182" s="84"/>
      <c r="C1182" s="60"/>
      <c r="D1182" s="66"/>
      <c r="E1182" s="66"/>
      <c r="F1182" s="66"/>
      <c r="G1182" s="66"/>
      <c r="H1182" s="66"/>
      <c r="I1182" s="66"/>
      <c r="J1182" s="66"/>
      <c r="K1182" s="66"/>
      <c r="L1182" s="66"/>
      <c r="M1182" s="66"/>
      <c r="N1182" s="66"/>
    </row>
    <row r="1183" spans="1:14" x14ac:dyDescent="0.2">
      <c r="A1183" s="84"/>
      <c r="B1183" s="84"/>
      <c r="C1183" s="60"/>
      <c r="D1183" s="66"/>
      <c r="E1183" s="66"/>
      <c r="F1183" s="66"/>
      <c r="G1183" s="66"/>
      <c r="H1183" s="66"/>
      <c r="I1183" s="66"/>
      <c r="J1183" s="66"/>
      <c r="K1183" s="66"/>
      <c r="L1183" s="66"/>
      <c r="M1183" s="66"/>
      <c r="N1183" s="66"/>
    </row>
    <row r="1184" spans="1:14" x14ac:dyDescent="0.2">
      <c r="A1184" s="84"/>
      <c r="B1184" s="84"/>
      <c r="C1184" s="60"/>
      <c r="D1184" s="66"/>
      <c r="E1184" s="66"/>
      <c r="F1184" s="66"/>
      <c r="G1184" s="66"/>
      <c r="H1184" s="66"/>
      <c r="I1184" s="66"/>
      <c r="J1184" s="66"/>
      <c r="K1184" s="66"/>
      <c r="L1184" s="66"/>
      <c r="M1184" s="66"/>
      <c r="N1184" s="66"/>
    </row>
    <row r="1185" spans="1:14" x14ac:dyDescent="0.2">
      <c r="A1185" s="84"/>
      <c r="B1185" s="84"/>
      <c r="C1185" s="60"/>
      <c r="D1185" s="66"/>
      <c r="E1185" s="66"/>
      <c r="F1185" s="66"/>
      <c r="G1185" s="66"/>
      <c r="H1185" s="66"/>
      <c r="I1185" s="66"/>
      <c r="J1185" s="66"/>
      <c r="K1185" s="66"/>
      <c r="L1185" s="66"/>
      <c r="M1185" s="66"/>
      <c r="N1185" s="66"/>
    </row>
    <row r="1186" spans="1:14" x14ac:dyDescent="0.2">
      <c r="A1186" s="84"/>
      <c r="B1186" s="84"/>
      <c r="C1186" s="60"/>
      <c r="D1186" s="66"/>
      <c r="E1186" s="66"/>
      <c r="F1186" s="66"/>
      <c r="G1186" s="66"/>
      <c r="H1186" s="66"/>
      <c r="I1186" s="66"/>
      <c r="J1186" s="66"/>
      <c r="K1186" s="66"/>
      <c r="L1186" s="66"/>
      <c r="M1186" s="66"/>
      <c r="N1186" s="66"/>
    </row>
    <row r="1187" spans="1:14" x14ac:dyDescent="0.2">
      <c r="A1187" s="84"/>
      <c r="B1187" s="84"/>
      <c r="C1187" s="60"/>
      <c r="D1187" s="66"/>
      <c r="E1187" s="66"/>
      <c r="F1187" s="66"/>
      <c r="G1187" s="66"/>
      <c r="H1187" s="66"/>
      <c r="I1187" s="66"/>
      <c r="J1187" s="66"/>
      <c r="K1187" s="66"/>
      <c r="L1187" s="66"/>
      <c r="M1187" s="66"/>
      <c r="N1187" s="66"/>
    </row>
    <row r="1188" spans="1:14" x14ac:dyDescent="0.2">
      <c r="A1188" s="84"/>
      <c r="B1188" s="84"/>
      <c r="C1188" s="60"/>
      <c r="D1188" s="66"/>
      <c r="E1188" s="66"/>
      <c r="F1188" s="66"/>
      <c r="G1188" s="66"/>
      <c r="H1188" s="66"/>
      <c r="I1188" s="66"/>
      <c r="J1188" s="66"/>
      <c r="K1188" s="66"/>
      <c r="L1188" s="66"/>
      <c r="M1188" s="66"/>
      <c r="N1188" s="66"/>
    </row>
    <row r="1189" spans="1:14" x14ac:dyDescent="0.2">
      <c r="A1189" s="84"/>
      <c r="B1189" s="84"/>
      <c r="C1189" s="60"/>
      <c r="D1189" s="66"/>
      <c r="E1189" s="66"/>
      <c r="F1189" s="66"/>
      <c r="G1189" s="66"/>
      <c r="H1189" s="66"/>
      <c r="I1189" s="66"/>
      <c r="J1189" s="66"/>
      <c r="K1189" s="66"/>
      <c r="L1189" s="66"/>
      <c r="M1189" s="66"/>
      <c r="N1189" s="66"/>
    </row>
    <row r="1190" spans="1:14" x14ac:dyDescent="0.2">
      <c r="A1190" s="84"/>
      <c r="B1190" s="84"/>
      <c r="C1190" s="60"/>
      <c r="D1190" s="66"/>
      <c r="E1190" s="66"/>
      <c r="F1190" s="66"/>
      <c r="G1190" s="66"/>
      <c r="H1190" s="66"/>
      <c r="I1190" s="66"/>
      <c r="J1190" s="66"/>
      <c r="K1190" s="66"/>
      <c r="L1190" s="66"/>
      <c r="M1190" s="66"/>
      <c r="N1190" s="66"/>
    </row>
    <row r="1191" spans="1:14" x14ac:dyDescent="0.2">
      <c r="A1191" s="84"/>
      <c r="B1191" s="84"/>
      <c r="C1191" s="60"/>
      <c r="D1191" s="66"/>
      <c r="E1191" s="66"/>
      <c r="F1191" s="66"/>
      <c r="G1191" s="66"/>
      <c r="H1191" s="66"/>
      <c r="I1191" s="66"/>
      <c r="J1191" s="66"/>
      <c r="K1191" s="66"/>
      <c r="L1191" s="66"/>
      <c r="M1191" s="66"/>
      <c r="N1191" s="66"/>
    </row>
    <row r="1192" spans="1:14" x14ac:dyDescent="0.2">
      <c r="A1192" s="84"/>
      <c r="B1192" s="84"/>
      <c r="C1192" s="60"/>
      <c r="D1192" s="66"/>
      <c r="E1192" s="66"/>
      <c r="F1192" s="66"/>
      <c r="G1192" s="66"/>
      <c r="H1192" s="66"/>
      <c r="I1192" s="66"/>
      <c r="J1192" s="66"/>
      <c r="K1192" s="66"/>
      <c r="L1192" s="66"/>
      <c r="M1192" s="66"/>
      <c r="N1192" s="66"/>
    </row>
    <row r="1193" spans="1:14" x14ac:dyDescent="0.2">
      <c r="A1193" s="84"/>
      <c r="B1193" s="84"/>
      <c r="C1193" s="60"/>
      <c r="D1193" s="66"/>
      <c r="E1193" s="66"/>
      <c r="F1193" s="66"/>
      <c r="G1193" s="66"/>
      <c r="H1193" s="66"/>
      <c r="I1193" s="66"/>
      <c r="J1193" s="66"/>
      <c r="K1193" s="66"/>
      <c r="L1193" s="66"/>
      <c r="M1193" s="66"/>
      <c r="N1193" s="66"/>
    </row>
    <row r="1194" spans="1:14" x14ac:dyDescent="0.2">
      <c r="A1194" s="84"/>
      <c r="B1194" s="84"/>
      <c r="C1194" s="60"/>
      <c r="D1194" s="66"/>
      <c r="E1194" s="66"/>
      <c r="F1194" s="66"/>
      <c r="G1194" s="66"/>
      <c r="H1194" s="66"/>
      <c r="I1194" s="66"/>
      <c r="J1194" s="66"/>
      <c r="K1194" s="66"/>
      <c r="L1194" s="66"/>
      <c r="M1194" s="66"/>
      <c r="N1194" s="66"/>
    </row>
    <row r="1195" spans="1:14" x14ac:dyDescent="0.2">
      <c r="A1195" s="84"/>
      <c r="B1195" s="84"/>
      <c r="C1195" s="60"/>
      <c r="D1195" s="66"/>
      <c r="E1195" s="66"/>
      <c r="F1195" s="66"/>
      <c r="G1195" s="66"/>
      <c r="H1195" s="66"/>
      <c r="I1195" s="66"/>
      <c r="J1195" s="66"/>
      <c r="K1195" s="66"/>
      <c r="L1195" s="66"/>
      <c r="M1195" s="66"/>
      <c r="N1195" s="66"/>
    </row>
    <row r="1196" spans="1:14" x14ac:dyDescent="0.2">
      <c r="A1196" s="84"/>
      <c r="B1196" s="84"/>
      <c r="C1196" s="60"/>
      <c r="D1196" s="66"/>
      <c r="E1196" s="66"/>
      <c r="F1196" s="66"/>
      <c r="G1196" s="66"/>
      <c r="H1196" s="66"/>
      <c r="I1196" s="66"/>
      <c r="J1196" s="66"/>
      <c r="K1196" s="66"/>
      <c r="L1196" s="66"/>
      <c r="M1196" s="66"/>
      <c r="N1196" s="66"/>
    </row>
    <row r="1197" spans="1:14" x14ac:dyDescent="0.2">
      <c r="A1197" s="84"/>
      <c r="B1197" s="84"/>
      <c r="C1197" s="60"/>
      <c r="D1197" s="66"/>
      <c r="E1197" s="66"/>
      <c r="F1197" s="66"/>
      <c r="G1197" s="66"/>
      <c r="H1197" s="66"/>
      <c r="I1197" s="66"/>
      <c r="J1197" s="66"/>
      <c r="K1197" s="66"/>
      <c r="L1197" s="66"/>
      <c r="M1197" s="66"/>
      <c r="N1197" s="66"/>
    </row>
    <row r="1198" spans="1:14" x14ac:dyDescent="0.2">
      <c r="A1198" s="84"/>
      <c r="B1198" s="84"/>
      <c r="C1198" s="60"/>
      <c r="D1198" s="66"/>
      <c r="E1198" s="66"/>
      <c r="F1198" s="66"/>
      <c r="G1198" s="66"/>
      <c r="H1198" s="66"/>
      <c r="I1198" s="66"/>
      <c r="J1198" s="66"/>
      <c r="K1198" s="66"/>
      <c r="L1198" s="66"/>
      <c r="M1198" s="66"/>
      <c r="N1198" s="66"/>
    </row>
    <row r="1199" spans="1:14" x14ac:dyDescent="0.2">
      <c r="A1199" s="84"/>
      <c r="B1199" s="84"/>
      <c r="C1199" s="60"/>
      <c r="D1199" s="66"/>
      <c r="E1199" s="66"/>
      <c r="F1199" s="66"/>
      <c r="G1199" s="66"/>
      <c r="H1199" s="66"/>
      <c r="I1199" s="66"/>
      <c r="J1199" s="66"/>
      <c r="K1199" s="66"/>
      <c r="L1199" s="66"/>
      <c r="M1199" s="66"/>
      <c r="N1199" s="66"/>
    </row>
    <row r="1200" spans="1:14" x14ac:dyDescent="0.2">
      <c r="A1200" s="84"/>
      <c r="B1200" s="84"/>
      <c r="C1200" s="60"/>
      <c r="D1200" s="66"/>
      <c r="E1200" s="66"/>
      <c r="F1200" s="66"/>
      <c r="G1200" s="66"/>
      <c r="H1200" s="66"/>
      <c r="I1200" s="66"/>
      <c r="J1200" s="66"/>
      <c r="K1200" s="66"/>
      <c r="L1200" s="66"/>
      <c r="M1200" s="66"/>
      <c r="N1200" s="66"/>
    </row>
    <row r="1201" spans="1:14" x14ac:dyDescent="0.2">
      <c r="A1201" s="84"/>
      <c r="B1201" s="84"/>
      <c r="C1201" s="60"/>
      <c r="D1201" s="66"/>
      <c r="E1201" s="66"/>
      <c r="F1201" s="66"/>
      <c r="G1201" s="66"/>
      <c r="H1201" s="66"/>
      <c r="I1201" s="66"/>
      <c r="J1201" s="66"/>
      <c r="K1201" s="66"/>
      <c r="L1201" s="66"/>
      <c r="M1201" s="66"/>
      <c r="N1201" s="66"/>
    </row>
    <row r="1202" spans="1:14" x14ac:dyDescent="0.2">
      <c r="A1202" s="84"/>
      <c r="B1202" s="84"/>
      <c r="C1202" s="60"/>
      <c r="D1202" s="66"/>
      <c r="E1202" s="66"/>
      <c r="F1202" s="66"/>
      <c r="G1202" s="66"/>
      <c r="H1202" s="66"/>
      <c r="I1202" s="66"/>
      <c r="J1202" s="66"/>
      <c r="K1202" s="66"/>
      <c r="L1202" s="66"/>
      <c r="M1202" s="66"/>
      <c r="N1202" s="66"/>
    </row>
    <row r="1203" spans="1:14" x14ac:dyDescent="0.2">
      <c r="A1203" s="84"/>
      <c r="B1203" s="84"/>
      <c r="C1203" s="60"/>
      <c r="D1203" s="66"/>
      <c r="E1203" s="66"/>
      <c r="F1203" s="66"/>
      <c r="G1203" s="66"/>
      <c r="H1203" s="66"/>
      <c r="I1203" s="66"/>
      <c r="J1203" s="66"/>
      <c r="K1203" s="66"/>
      <c r="L1203" s="66"/>
      <c r="M1203" s="66"/>
      <c r="N1203" s="66"/>
    </row>
    <row r="1204" spans="1:14" x14ac:dyDescent="0.2">
      <c r="A1204" s="84"/>
      <c r="B1204" s="84"/>
      <c r="C1204" s="60"/>
      <c r="D1204" s="66"/>
      <c r="E1204" s="66"/>
      <c r="F1204" s="66"/>
      <c r="G1204" s="66"/>
      <c r="H1204" s="66"/>
      <c r="I1204" s="66"/>
      <c r="J1204" s="66"/>
      <c r="K1204" s="66"/>
      <c r="L1204" s="66"/>
      <c r="M1204" s="66"/>
      <c r="N1204" s="66"/>
    </row>
    <row r="1205" spans="1:14" x14ac:dyDescent="0.2">
      <c r="A1205" s="84"/>
      <c r="B1205" s="84"/>
      <c r="C1205" s="60"/>
      <c r="D1205" s="66"/>
      <c r="E1205" s="66"/>
      <c r="F1205" s="66"/>
      <c r="G1205" s="66"/>
      <c r="H1205" s="66"/>
      <c r="I1205" s="66"/>
      <c r="J1205" s="66"/>
      <c r="K1205" s="66"/>
      <c r="L1205" s="66"/>
      <c r="M1205" s="66"/>
      <c r="N1205" s="66"/>
    </row>
    <row r="1206" spans="1:14" x14ac:dyDescent="0.2">
      <c r="A1206" s="84"/>
      <c r="B1206" s="84"/>
      <c r="C1206" s="60"/>
      <c r="D1206" s="66"/>
      <c r="E1206" s="66"/>
      <c r="F1206" s="66"/>
      <c r="G1206" s="66"/>
      <c r="H1206" s="66"/>
      <c r="I1206" s="66"/>
      <c r="J1206" s="66"/>
      <c r="K1206" s="66"/>
      <c r="L1206" s="66"/>
      <c r="M1206" s="66"/>
      <c r="N1206" s="66"/>
    </row>
    <row r="1207" spans="1:14" x14ac:dyDescent="0.2">
      <c r="A1207" s="84"/>
      <c r="B1207" s="84"/>
      <c r="C1207" s="60"/>
      <c r="D1207" s="66"/>
      <c r="E1207" s="66"/>
      <c r="F1207" s="66"/>
      <c r="G1207" s="66"/>
      <c r="H1207" s="66"/>
      <c r="I1207" s="66"/>
      <c r="J1207" s="66"/>
      <c r="K1207" s="66"/>
      <c r="L1207" s="66"/>
      <c r="M1207" s="66"/>
      <c r="N1207" s="66"/>
    </row>
    <row r="1208" spans="1:14" x14ac:dyDescent="0.2">
      <c r="A1208" s="84"/>
      <c r="B1208" s="84"/>
      <c r="C1208" s="60"/>
      <c r="D1208" s="66"/>
      <c r="E1208" s="66"/>
      <c r="F1208" s="66"/>
      <c r="G1208" s="66"/>
      <c r="H1208" s="66"/>
      <c r="I1208" s="66"/>
      <c r="J1208" s="66"/>
      <c r="K1208" s="66"/>
      <c r="L1208" s="66"/>
      <c r="M1208" s="66"/>
      <c r="N1208" s="66"/>
    </row>
    <row r="1209" spans="1:14" x14ac:dyDescent="0.2">
      <c r="A1209" s="84"/>
      <c r="B1209" s="84"/>
      <c r="C1209" s="60"/>
      <c r="D1209" s="66"/>
      <c r="E1209" s="66"/>
      <c r="F1209" s="66"/>
      <c r="G1209" s="66"/>
      <c r="H1209" s="66"/>
      <c r="I1209" s="66"/>
      <c r="J1209" s="66"/>
      <c r="K1209" s="66"/>
      <c r="L1209" s="66"/>
      <c r="M1209" s="66"/>
      <c r="N1209" s="66"/>
    </row>
    <row r="1210" spans="1:14" x14ac:dyDescent="0.2">
      <c r="A1210" s="84"/>
      <c r="B1210" s="84"/>
      <c r="C1210" s="60"/>
      <c r="D1210" s="66"/>
      <c r="E1210" s="66"/>
      <c r="F1210" s="66"/>
      <c r="G1210" s="66"/>
      <c r="H1210" s="66"/>
      <c r="I1210" s="66"/>
      <c r="J1210" s="66"/>
      <c r="K1210" s="66"/>
      <c r="L1210" s="66"/>
      <c r="M1210" s="66"/>
      <c r="N1210" s="66"/>
    </row>
  </sheetData>
  <pageMargins left="0.25" right="0.25" top="0.75" bottom="0.75" header="0.3" footer="0.3"/>
  <pageSetup scale="80" fitToHeight="0" orientation="landscape" r:id="rId1"/>
  <headerFooter>
    <oddFooter>&amp;LRev &amp;D&amp;C&amp;P</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386"/>
  <sheetViews>
    <sheetView topLeftCell="A210" workbookViewId="0">
      <selection sqref="A1:N231"/>
    </sheetView>
  </sheetViews>
  <sheetFormatPr defaultRowHeight="15.75" x14ac:dyDescent="0.25"/>
  <cols>
    <col min="1" max="1" width="29.375" customWidth="1"/>
  </cols>
  <sheetData>
    <row r="1" spans="1:15" ht="16.5" thickBot="1" x14ac:dyDescent="0.3">
      <c r="A1" s="67" t="str">
        <f>CMS!A1</f>
        <v>Northwest Youth Services Budget - 2018 - APPROVED BY BOARD NOV 30, 2017</v>
      </c>
      <c r="B1" s="79"/>
      <c r="C1" s="67"/>
      <c r="D1" s="67"/>
      <c r="E1" s="67"/>
      <c r="F1" s="67"/>
      <c r="G1" s="67"/>
      <c r="H1" s="67"/>
      <c r="I1" s="67"/>
      <c r="J1" s="67"/>
      <c r="K1" s="67"/>
      <c r="L1" s="67"/>
      <c r="M1" s="67"/>
      <c r="N1" s="67"/>
      <c r="O1" s="58"/>
    </row>
    <row r="2" spans="1:15" x14ac:dyDescent="0.25">
      <c r="A2" s="80"/>
      <c r="B2" s="81"/>
      <c r="C2" s="58"/>
      <c r="D2" s="58"/>
      <c r="E2" s="58"/>
      <c r="F2" s="58"/>
      <c r="G2" s="58"/>
      <c r="H2" s="58"/>
      <c r="I2" s="58"/>
      <c r="J2" s="58"/>
      <c r="K2" s="58"/>
      <c r="L2" s="58"/>
      <c r="M2" s="58"/>
      <c r="N2" s="58"/>
      <c r="O2" s="58"/>
    </row>
    <row r="3" spans="1:15" x14ac:dyDescent="0.25">
      <c r="A3" s="81" t="s">
        <v>567</v>
      </c>
      <c r="B3" s="81"/>
      <c r="C3" s="58"/>
      <c r="D3" s="58"/>
      <c r="E3" s="58"/>
      <c r="F3" s="58"/>
      <c r="G3" s="58"/>
      <c r="H3" s="58"/>
      <c r="I3" s="58"/>
      <c r="J3" s="58"/>
      <c r="K3" s="58"/>
      <c r="L3" s="58"/>
      <c r="M3" s="58"/>
      <c r="N3" s="58"/>
      <c r="O3" s="58"/>
    </row>
    <row r="4" spans="1:15" x14ac:dyDescent="0.25">
      <c r="A4" s="59"/>
      <c r="B4" s="60"/>
      <c r="C4" s="84"/>
      <c r="D4" s="84"/>
      <c r="E4" s="84"/>
      <c r="F4" s="84"/>
      <c r="G4" s="84"/>
      <c r="H4" s="84"/>
      <c r="I4" s="84"/>
      <c r="J4" s="84"/>
      <c r="K4" s="84"/>
      <c r="L4" s="84"/>
      <c r="M4" s="84"/>
      <c r="N4" s="84"/>
      <c r="O4" s="84"/>
    </row>
    <row r="5" spans="1:15" ht="16.5" thickBot="1" x14ac:dyDescent="0.3">
      <c r="A5" s="82" t="s">
        <v>143</v>
      </c>
      <c r="B5" s="83" t="s">
        <v>144</v>
      </c>
      <c r="C5" s="83" t="str">
        <f>CMS!C5</f>
        <v>January</v>
      </c>
      <c r="D5" s="83" t="str">
        <f>CMS!D5</f>
        <v>February</v>
      </c>
      <c r="E5" s="83" t="str">
        <f>CMS!E5</f>
        <v>March</v>
      </c>
      <c r="F5" s="83" t="str">
        <f>CMS!F5</f>
        <v>April</v>
      </c>
      <c r="G5" s="83" t="str">
        <f>CMS!G5</f>
        <v>May</v>
      </c>
      <c r="H5" s="83" t="str">
        <f>CMS!H5</f>
        <v>June</v>
      </c>
      <c r="I5" s="83" t="str">
        <f>CMS!I5</f>
        <v>July</v>
      </c>
      <c r="J5" s="83" t="str">
        <f>CMS!J5</f>
        <v>August</v>
      </c>
      <c r="K5" s="83" t="str">
        <f>CMS!K5</f>
        <v>September</v>
      </c>
      <c r="L5" s="83" t="str">
        <f>CMS!L5</f>
        <v>October</v>
      </c>
      <c r="M5" s="83" t="str">
        <f>CMS!M5</f>
        <v>November</v>
      </c>
      <c r="N5" s="83" t="str">
        <f>CMS!N5</f>
        <v>December</v>
      </c>
      <c r="O5" s="70"/>
    </row>
    <row r="6" spans="1:15" x14ac:dyDescent="0.25">
      <c r="A6" s="28"/>
      <c r="B6" s="86"/>
      <c r="C6" s="86"/>
      <c r="D6" s="26"/>
      <c r="E6" s="26"/>
      <c r="F6" s="26"/>
      <c r="G6" s="26"/>
      <c r="H6" s="26"/>
      <c r="I6" s="26"/>
      <c r="J6" s="26"/>
      <c r="K6" s="26"/>
      <c r="L6" s="26"/>
      <c r="M6" s="26"/>
      <c r="N6" s="26"/>
      <c r="O6" s="70"/>
    </row>
    <row r="7" spans="1:15" x14ac:dyDescent="0.25">
      <c r="A7" s="58" t="s">
        <v>14</v>
      </c>
      <c r="B7" s="60"/>
      <c r="C7" s="60"/>
      <c r="D7" s="94"/>
      <c r="E7" s="94"/>
      <c r="F7" s="94"/>
      <c r="G7" s="94"/>
      <c r="H7" s="94"/>
      <c r="I7" s="94"/>
      <c r="J7" s="94"/>
      <c r="K7" s="94"/>
      <c r="L7" s="94"/>
      <c r="M7" s="94"/>
      <c r="N7" s="94"/>
      <c r="O7" s="70"/>
    </row>
    <row r="8" spans="1:15" x14ac:dyDescent="0.25">
      <c r="A8" s="61" t="s">
        <v>700</v>
      </c>
      <c r="B8" s="63">
        <f>SUM(C8:N8)</f>
        <v>82443.856666666645</v>
      </c>
      <c r="C8" s="62">
        <f>SUM(254981/18)*0.485</f>
        <v>6870.3213888888886</v>
      </c>
      <c r="D8" s="62">
        <f t="shared" ref="D8:N8" si="0">SUM(254981/18)*0.485</f>
        <v>6870.3213888888886</v>
      </c>
      <c r="E8" s="62">
        <f t="shared" si="0"/>
        <v>6870.3213888888886</v>
      </c>
      <c r="F8" s="62">
        <f t="shared" si="0"/>
        <v>6870.3213888888886</v>
      </c>
      <c r="G8" s="62">
        <f t="shared" si="0"/>
        <v>6870.3213888888886</v>
      </c>
      <c r="H8" s="62">
        <f t="shared" si="0"/>
        <v>6870.3213888888886</v>
      </c>
      <c r="I8" s="62">
        <f t="shared" si="0"/>
        <v>6870.3213888888886</v>
      </c>
      <c r="J8" s="62">
        <f t="shared" si="0"/>
        <v>6870.3213888888886</v>
      </c>
      <c r="K8" s="62">
        <f t="shared" si="0"/>
        <v>6870.3213888888886</v>
      </c>
      <c r="L8" s="62">
        <f t="shared" si="0"/>
        <v>6870.3213888888886</v>
      </c>
      <c r="M8" s="62">
        <f t="shared" si="0"/>
        <v>6870.3213888888886</v>
      </c>
      <c r="N8" s="62">
        <f t="shared" si="0"/>
        <v>6870.3213888888886</v>
      </c>
      <c r="O8" s="84"/>
    </row>
    <row r="9" spans="1:15" hidden="1" x14ac:dyDescent="0.25">
      <c r="A9" s="61" t="s">
        <v>145</v>
      </c>
      <c r="B9" s="63">
        <f>SUM(C9:N9)</f>
        <v>0</v>
      </c>
      <c r="C9" s="62"/>
      <c r="D9" s="62"/>
      <c r="E9" s="62"/>
      <c r="F9" s="62"/>
      <c r="G9" s="62"/>
      <c r="H9" s="62"/>
      <c r="I9" s="62"/>
      <c r="J9" s="93"/>
      <c r="K9" s="93"/>
      <c r="L9" s="93"/>
      <c r="M9" s="93"/>
      <c r="N9" s="93"/>
      <c r="O9" s="84"/>
    </row>
    <row r="10" spans="1:15" hidden="1" x14ac:dyDescent="0.25">
      <c r="A10" s="61" t="s">
        <v>145</v>
      </c>
      <c r="B10" s="63">
        <f t="shared" ref="B10:B44" si="1">SUM(C10:N10)</f>
        <v>0</v>
      </c>
      <c r="C10" s="63"/>
      <c r="D10" s="62"/>
      <c r="E10" s="62"/>
      <c r="F10" s="62"/>
      <c r="G10" s="62"/>
      <c r="H10" s="62"/>
      <c r="I10" s="62"/>
      <c r="J10" s="62"/>
      <c r="K10" s="62"/>
      <c r="L10" s="62"/>
      <c r="M10" s="62"/>
      <c r="N10" s="62"/>
      <c r="O10" s="84"/>
    </row>
    <row r="11" spans="1:15" hidden="1" x14ac:dyDescent="0.25">
      <c r="A11" s="61" t="s">
        <v>145</v>
      </c>
      <c r="B11" s="63">
        <f t="shared" si="1"/>
        <v>0</v>
      </c>
      <c r="C11" s="63"/>
      <c r="D11" s="62"/>
      <c r="E11" s="62"/>
      <c r="F11" s="62"/>
      <c r="G11" s="62"/>
      <c r="H11" s="62"/>
      <c r="I11" s="62"/>
      <c r="J11" s="93"/>
      <c r="K11" s="93"/>
      <c r="L11" s="93"/>
      <c r="M11" s="93"/>
      <c r="N11" s="93"/>
      <c r="O11" s="84"/>
    </row>
    <row r="12" spans="1:15" hidden="1" x14ac:dyDescent="0.25">
      <c r="A12" s="61" t="s">
        <v>145</v>
      </c>
      <c r="B12" s="63">
        <f t="shared" si="1"/>
        <v>0</v>
      </c>
      <c r="C12" s="63"/>
      <c r="D12" s="62"/>
      <c r="E12" s="62"/>
      <c r="F12" s="62"/>
      <c r="G12" s="62"/>
      <c r="H12" s="62"/>
      <c r="I12" s="62"/>
      <c r="J12" s="93"/>
      <c r="K12" s="93"/>
      <c r="L12" s="93"/>
      <c r="M12" s="93"/>
      <c r="N12" s="93"/>
      <c r="O12" s="84"/>
    </row>
    <row r="13" spans="1:15" hidden="1" x14ac:dyDescent="0.25">
      <c r="A13" s="61" t="s">
        <v>145</v>
      </c>
      <c r="B13" s="63">
        <f t="shared" si="1"/>
        <v>0</v>
      </c>
      <c r="C13" s="63"/>
      <c r="D13" s="62"/>
      <c r="E13" s="62"/>
      <c r="F13" s="62"/>
      <c r="G13" s="62"/>
      <c r="H13" s="62"/>
      <c r="I13" s="62"/>
      <c r="J13" s="62"/>
      <c r="K13" s="62"/>
      <c r="L13" s="62"/>
      <c r="M13" s="62"/>
      <c r="N13" s="62"/>
      <c r="O13" s="84"/>
    </row>
    <row r="14" spans="1:15" hidden="1" x14ac:dyDescent="0.25">
      <c r="A14" s="61" t="s">
        <v>145</v>
      </c>
      <c r="B14" s="63">
        <f t="shared" si="1"/>
        <v>0</v>
      </c>
      <c r="C14" s="63"/>
      <c r="D14" s="62"/>
      <c r="E14" s="62"/>
      <c r="F14" s="62"/>
      <c r="G14" s="62"/>
      <c r="H14" s="62"/>
      <c r="I14" s="62"/>
      <c r="J14" s="62"/>
      <c r="K14" s="62"/>
      <c r="L14" s="62"/>
      <c r="M14" s="62"/>
      <c r="N14" s="62"/>
      <c r="O14" s="84"/>
    </row>
    <row r="15" spans="1:15" hidden="1" x14ac:dyDescent="0.25">
      <c r="A15" s="61" t="s">
        <v>145</v>
      </c>
      <c r="B15" s="63">
        <f t="shared" si="1"/>
        <v>0</v>
      </c>
      <c r="C15" s="63"/>
      <c r="D15" s="62"/>
      <c r="E15" s="62"/>
      <c r="F15" s="62"/>
      <c r="G15" s="62"/>
      <c r="H15" s="62"/>
      <c r="I15" s="62"/>
      <c r="J15" s="62"/>
      <c r="K15" s="62"/>
      <c r="L15" s="62"/>
      <c r="M15" s="62"/>
      <c r="N15" s="62"/>
      <c r="O15" s="84"/>
    </row>
    <row r="16" spans="1:15" hidden="1" x14ac:dyDescent="0.25">
      <c r="A16" s="61" t="s">
        <v>145</v>
      </c>
      <c r="B16" s="63">
        <f t="shared" si="1"/>
        <v>0</v>
      </c>
      <c r="C16" s="63"/>
      <c r="D16" s="62"/>
      <c r="E16" s="62"/>
      <c r="F16" s="62"/>
      <c r="G16" s="62"/>
      <c r="H16" s="62"/>
      <c r="I16" s="62"/>
      <c r="J16" s="62"/>
      <c r="K16" s="62"/>
      <c r="L16" s="62"/>
      <c r="M16" s="62"/>
      <c r="N16" s="62"/>
      <c r="O16" s="84"/>
    </row>
    <row r="17" spans="1:15" hidden="1" x14ac:dyDescent="0.25">
      <c r="A17" s="61" t="s">
        <v>145</v>
      </c>
      <c r="B17" s="63">
        <f t="shared" si="1"/>
        <v>0</v>
      </c>
      <c r="C17" s="63"/>
      <c r="D17" s="62"/>
      <c r="E17" s="62"/>
      <c r="F17" s="62"/>
      <c r="G17" s="62"/>
      <c r="H17" s="62"/>
      <c r="I17" s="62"/>
      <c r="J17" s="62"/>
      <c r="K17" s="62"/>
      <c r="L17" s="62"/>
      <c r="M17" s="62"/>
      <c r="N17" s="62"/>
      <c r="O17" s="84"/>
    </row>
    <row r="18" spans="1:15" hidden="1" x14ac:dyDescent="0.25">
      <c r="A18" s="61" t="s">
        <v>145</v>
      </c>
      <c r="B18" s="63">
        <f t="shared" si="1"/>
        <v>0</v>
      </c>
      <c r="C18" s="63"/>
      <c r="D18" s="62"/>
      <c r="E18" s="62"/>
      <c r="F18" s="62"/>
      <c r="G18" s="62"/>
      <c r="H18" s="62"/>
      <c r="I18" s="62"/>
      <c r="J18" s="62"/>
      <c r="K18" s="62"/>
      <c r="L18" s="62"/>
      <c r="M18" s="62"/>
      <c r="N18" s="62"/>
      <c r="O18" s="84"/>
    </row>
    <row r="19" spans="1:15" hidden="1" x14ac:dyDescent="0.25">
      <c r="A19" s="61" t="s">
        <v>145</v>
      </c>
      <c r="B19" s="63">
        <f t="shared" si="1"/>
        <v>0</v>
      </c>
      <c r="C19" s="63"/>
      <c r="D19" s="62"/>
      <c r="E19" s="62"/>
      <c r="F19" s="62"/>
      <c r="G19" s="62"/>
      <c r="H19" s="62"/>
      <c r="I19" s="62"/>
      <c r="J19" s="62"/>
      <c r="K19" s="62"/>
      <c r="L19" s="62"/>
      <c r="M19" s="62"/>
      <c r="N19" s="62"/>
      <c r="O19" s="84"/>
    </row>
    <row r="20" spans="1:15" hidden="1" x14ac:dyDescent="0.25">
      <c r="A20" s="61" t="s">
        <v>145</v>
      </c>
      <c r="B20" s="63">
        <f t="shared" si="1"/>
        <v>0</v>
      </c>
      <c r="C20" s="63"/>
      <c r="D20" s="62"/>
      <c r="E20" s="62"/>
      <c r="F20" s="62"/>
      <c r="G20" s="62"/>
      <c r="H20" s="62"/>
      <c r="I20" s="62"/>
      <c r="J20" s="62"/>
      <c r="K20" s="62"/>
      <c r="L20" s="62"/>
      <c r="M20" s="62"/>
      <c r="N20" s="62"/>
      <c r="O20" s="84"/>
    </row>
    <row r="21" spans="1:15" hidden="1" x14ac:dyDescent="0.25">
      <c r="A21" s="61" t="s">
        <v>145</v>
      </c>
      <c r="B21" s="63">
        <f t="shared" si="1"/>
        <v>0</v>
      </c>
      <c r="C21" s="63"/>
      <c r="D21" s="62"/>
      <c r="E21" s="62"/>
      <c r="F21" s="62"/>
      <c r="G21" s="62"/>
      <c r="H21" s="62"/>
      <c r="I21" s="62"/>
      <c r="J21" s="62"/>
      <c r="K21" s="62"/>
      <c r="L21" s="62"/>
      <c r="M21" s="62"/>
      <c r="N21" s="62"/>
      <c r="O21" s="84"/>
    </row>
    <row r="22" spans="1:15" hidden="1" x14ac:dyDescent="0.25">
      <c r="A22" s="61" t="s">
        <v>145</v>
      </c>
      <c r="B22" s="63">
        <f t="shared" si="1"/>
        <v>0</v>
      </c>
      <c r="C22" s="63"/>
      <c r="D22" s="62"/>
      <c r="E22" s="62"/>
      <c r="F22" s="62"/>
      <c r="G22" s="62"/>
      <c r="H22" s="62"/>
      <c r="I22" s="62"/>
      <c r="J22" s="62"/>
      <c r="K22" s="62"/>
      <c r="L22" s="62"/>
      <c r="M22" s="62"/>
      <c r="N22" s="62"/>
      <c r="O22" s="84"/>
    </row>
    <row r="23" spans="1:15" hidden="1" x14ac:dyDescent="0.25">
      <c r="A23" s="61" t="s">
        <v>146</v>
      </c>
      <c r="B23" s="63">
        <f t="shared" si="1"/>
        <v>0</v>
      </c>
      <c r="C23" s="63"/>
      <c r="D23" s="62"/>
      <c r="E23" s="62"/>
      <c r="F23" s="62"/>
      <c r="G23" s="62"/>
      <c r="H23" s="62"/>
      <c r="I23" s="62"/>
      <c r="J23" s="62"/>
      <c r="K23" s="62"/>
      <c r="L23" s="93"/>
      <c r="M23" s="93"/>
      <c r="N23" s="93"/>
      <c r="O23" s="84"/>
    </row>
    <row r="24" spans="1:15" hidden="1" x14ac:dyDescent="0.25">
      <c r="A24" s="61" t="s">
        <v>146</v>
      </c>
      <c r="B24" s="63">
        <f t="shared" si="1"/>
        <v>0</v>
      </c>
      <c r="C24" s="63"/>
      <c r="D24" s="62"/>
      <c r="E24" s="62"/>
      <c r="F24" s="62"/>
      <c r="G24" s="62"/>
      <c r="H24" s="62"/>
      <c r="I24" s="62"/>
      <c r="J24" s="62"/>
      <c r="K24" s="62"/>
      <c r="L24" s="62"/>
      <c r="M24" s="62"/>
      <c r="N24" s="62"/>
      <c r="O24" s="84"/>
    </row>
    <row r="25" spans="1:15" hidden="1" x14ac:dyDescent="0.25">
      <c r="A25" s="61" t="s">
        <v>146</v>
      </c>
      <c r="B25" s="63">
        <f t="shared" si="1"/>
        <v>0</v>
      </c>
      <c r="C25" s="63"/>
      <c r="D25" s="62"/>
      <c r="E25" s="62"/>
      <c r="F25" s="62"/>
      <c r="G25" s="62"/>
      <c r="H25" s="62"/>
      <c r="I25" s="62"/>
      <c r="J25" s="62"/>
      <c r="K25" s="62"/>
      <c r="L25" s="62"/>
      <c r="M25" s="62"/>
      <c r="N25" s="62"/>
      <c r="O25" s="84"/>
    </row>
    <row r="26" spans="1:15" hidden="1" x14ac:dyDescent="0.25">
      <c r="A26" s="61" t="s">
        <v>146</v>
      </c>
      <c r="B26" s="63">
        <f t="shared" si="1"/>
        <v>0</v>
      </c>
      <c r="C26" s="63"/>
      <c r="D26" s="62"/>
      <c r="E26" s="62"/>
      <c r="F26" s="62"/>
      <c r="G26" s="62"/>
      <c r="H26" s="62"/>
      <c r="I26" s="62"/>
      <c r="J26" s="62"/>
      <c r="K26" s="62"/>
      <c r="L26" s="62"/>
      <c r="M26" s="62"/>
      <c r="N26" s="62"/>
      <c r="O26" s="84"/>
    </row>
    <row r="27" spans="1:15" hidden="1" x14ac:dyDescent="0.25">
      <c r="A27" s="61" t="s">
        <v>146</v>
      </c>
      <c r="B27" s="63">
        <f t="shared" si="1"/>
        <v>0</v>
      </c>
      <c r="C27" s="63"/>
      <c r="D27" s="62"/>
      <c r="E27" s="62"/>
      <c r="F27" s="62"/>
      <c r="G27" s="62"/>
      <c r="H27" s="62"/>
      <c r="I27" s="62"/>
      <c r="J27" s="62"/>
      <c r="K27" s="62"/>
      <c r="L27" s="62"/>
      <c r="M27" s="62"/>
      <c r="N27" s="62"/>
      <c r="O27" s="84"/>
    </row>
    <row r="28" spans="1:15" hidden="1" x14ac:dyDescent="0.25">
      <c r="A28" s="61" t="s">
        <v>146</v>
      </c>
      <c r="B28" s="63">
        <f t="shared" si="1"/>
        <v>0</v>
      </c>
      <c r="C28" s="63"/>
      <c r="D28" s="62"/>
      <c r="E28" s="62"/>
      <c r="F28" s="62"/>
      <c r="G28" s="62"/>
      <c r="H28" s="62"/>
      <c r="I28" s="62"/>
      <c r="J28" s="62"/>
      <c r="K28" s="62"/>
      <c r="L28" s="62"/>
      <c r="M28" s="62"/>
      <c r="N28" s="62"/>
      <c r="O28" s="84"/>
    </row>
    <row r="29" spans="1:15" hidden="1" x14ac:dyDescent="0.25">
      <c r="A29" s="61" t="s">
        <v>146</v>
      </c>
      <c r="B29" s="63">
        <f t="shared" si="1"/>
        <v>0</v>
      </c>
      <c r="C29" s="63"/>
      <c r="D29" s="62"/>
      <c r="E29" s="62"/>
      <c r="F29" s="62"/>
      <c r="G29" s="62"/>
      <c r="H29" s="62"/>
      <c r="I29" s="62"/>
      <c r="J29" s="62"/>
      <c r="K29" s="62"/>
      <c r="L29" s="62"/>
      <c r="M29" s="62"/>
      <c r="N29" s="62"/>
      <c r="O29" s="84"/>
    </row>
    <row r="30" spans="1:15" hidden="1" x14ac:dyDescent="0.25">
      <c r="A30" s="61" t="s">
        <v>146</v>
      </c>
      <c r="B30" s="63">
        <f t="shared" si="1"/>
        <v>0</v>
      </c>
      <c r="C30" s="63"/>
      <c r="D30" s="62"/>
      <c r="E30" s="62"/>
      <c r="F30" s="62"/>
      <c r="G30" s="62"/>
      <c r="H30" s="62"/>
      <c r="I30" s="62"/>
      <c r="J30" s="62"/>
      <c r="K30" s="62"/>
      <c r="L30" s="62"/>
      <c r="M30" s="62"/>
      <c r="N30" s="62"/>
      <c r="O30" s="84"/>
    </row>
    <row r="31" spans="1:15" hidden="1" x14ac:dyDescent="0.25">
      <c r="A31" s="61" t="s">
        <v>146</v>
      </c>
      <c r="B31" s="63">
        <f t="shared" si="1"/>
        <v>0</v>
      </c>
      <c r="C31" s="63"/>
      <c r="D31" s="62"/>
      <c r="E31" s="62"/>
      <c r="F31" s="62"/>
      <c r="G31" s="62"/>
      <c r="H31" s="62"/>
      <c r="I31" s="62"/>
      <c r="J31" s="62"/>
      <c r="K31" s="62"/>
      <c r="L31" s="62"/>
      <c r="M31" s="62"/>
      <c r="N31" s="62"/>
      <c r="O31" s="84"/>
    </row>
    <row r="32" spans="1:15" hidden="1" x14ac:dyDescent="0.25">
      <c r="A32" s="61" t="s">
        <v>146</v>
      </c>
      <c r="B32" s="63">
        <f t="shared" si="1"/>
        <v>0</v>
      </c>
      <c r="C32" s="63"/>
      <c r="D32" s="62"/>
      <c r="E32" s="62"/>
      <c r="F32" s="62"/>
      <c r="G32" s="62"/>
      <c r="H32" s="62"/>
      <c r="I32" s="62"/>
      <c r="J32" s="62"/>
      <c r="K32" s="62"/>
      <c r="L32" s="62"/>
      <c r="M32" s="62"/>
      <c r="N32" s="62"/>
      <c r="O32" s="84"/>
    </row>
    <row r="33" spans="1:15" hidden="1" x14ac:dyDescent="0.25">
      <c r="A33" s="61" t="s">
        <v>146</v>
      </c>
      <c r="B33" s="63">
        <f t="shared" si="1"/>
        <v>0</v>
      </c>
      <c r="C33" s="63"/>
      <c r="D33" s="62"/>
      <c r="E33" s="62"/>
      <c r="F33" s="62"/>
      <c r="G33" s="62"/>
      <c r="H33" s="62"/>
      <c r="I33" s="62"/>
      <c r="J33" s="62"/>
      <c r="K33" s="62"/>
      <c r="L33" s="62"/>
      <c r="M33" s="62"/>
      <c r="N33" s="62"/>
      <c r="O33" s="84"/>
    </row>
    <row r="34" spans="1:15" hidden="1" x14ac:dyDescent="0.25">
      <c r="A34" s="61" t="s">
        <v>146</v>
      </c>
      <c r="B34" s="63">
        <f t="shared" si="1"/>
        <v>0</v>
      </c>
      <c r="C34" s="63"/>
      <c r="D34" s="62"/>
      <c r="E34" s="62"/>
      <c r="F34" s="62"/>
      <c r="G34" s="62"/>
      <c r="H34" s="62"/>
      <c r="I34" s="62"/>
      <c r="J34" s="62"/>
      <c r="K34" s="62"/>
      <c r="L34" s="62"/>
      <c r="M34" s="62"/>
      <c r="N34" s="62"/>
      <c r="O34" s="84"/>
    </row>
    <row r="35" spans="1:15" hidden="1" x14ac:dyDescent="0.25">
      <c r="A35" s="61" t="s">
        <v>146</v>
      </c>
      <c r="B35" s="63">
        <f t="shared" si="1"/>
        <v>0</v>
      </c>
      <c r="C35" s="63"/>
      <c r="D35" s="62"/>
      <c r="E35" s="62"/>
      <c r="F35" s="62"/>
      <c r="G35" s="62"/>
      <c r="H35" s="62"/>
      <c r="I35" s="62"/>
      <c r="J35" s="62"/>
      <c r="K35" s="62"/>
      <c r="L35" s="62"/>
      <c r="M35" s="62"/>
      <c r="N35" s="62"/>
      <c r="O35" s="84"/>
    </row>
    <row r="36" spans="1:15" hidden="1" x14ac:dyDescent="0.25">
      <c r="A36" s="61" t="s">
        <v>146</v>
      </c>
      <c r="B36" s="63">
        <f t="shared" si="1"/>
        <v>0</v>
      </c>
      <c r="C36" s="62"/>
      <c r="D36" s="62"/>
      <c r="E36" s="62"/>
      <c r="F36" s="62"/>
      <c r="G36" s="62"/>
      <c r="H36" s="62"/>
      <c r="I36" s="62"/>
      <c r="J36" s="62"/>
      <c r="K36" s="62"/>
      <c r="L36" s="62"/>
      <c r="M36" s="62"/>
      <c r="N36" s="62"/>
      <c r="O36" s="84"/>
    </row>
    <row r="37" spans="1:15" hidden="1" x14ac:dyDescent="0.25">
      <c r="A37" s="61" t="s">
        <v>146</v>
      </c>
      <c r="B37" s="63">
        <f t="shared" si="1"/>
        <v>0</v>
      </c>
      <c r="C37" s="63"/>
      <c r="D37" s="62"/>
      <c r="E37" s="62"/>
      <c r="F37" s="62"/>
      <c r="G37" s="62"/>
      <c r="H37" s="62"/>
      <c r="I37" s="62"/>
      <c r="J37" s="62"/>
      <c r="K37" s="62"/>
      <c r="L37" s="62"/>
      <c r="M37" s="62"/>
      <c r="N37" s="62"/>
      <c r="O37" s="84"/>
    </row>
    <row r="38" spans="1:15" hidden="1" x14ac:dyDescent="0.25">
      <c r="A38" s="61" t="s">
        <v>146</v>
      </c>
      <c r="B38" s="63">
        <f t="shared" si="1"/>
        <v>0</v>
      </c>
      <c r="C38" s="63"/>
      <c r="D38" s="62"/>
      <c r="E38" s="62"/>
      <c r="F38" s="62"/>
      <c r="G38" s="62"/>
      <c r="H38" s="62"/>
      <c r="I38" s="62"/>
      <c r="J38" s="62"/>
      <c r="K38" s="62"/>
      <c r="L38" s="62"/>
      <c r="M38" s="62"/>
      <c r="N38" s="62"/>
      <c r="O38" s="84"/>
    </row>
    <row r="39" spans="1:15" x14ac:dyDescent="0.25">
      <c r="A39" s="61" t="s">
        <v>16</v>
      </c>
      <c r="B39" s="63">
        <f t="shared" si="1"/>
        <v>0</v>
      </c>
      <c r="C39" s="63"/>
      <c r="D39" s="62"/>
      <c r="E39" s="62"/>
      <c r="F39" s="62"/>
      <c r="G39" s="62"/>
      <c r="H39" s="62"/>
      <c r="I39" s="62"/>
      <c r="J39" s="62"/>
      <c r="K39" s="62"/>
      <c r="L39" s="62"/>
      <c r="M39" s="62"/>
      <c r="N39" s="62"/>
      <c r="O39" s="84"/>
    </row>
    <row r="40" spans="1:15" x14ac:dyDescent="0.25">
      <c r="A40" s="61" t="s">
        <v>17</v>
      </c>
      <c r="B40" s="63">
        <f t="shared" si="1"/>
        <v>0</v>
      </c>
      <c r="C40" s="63"/>
      <c r="D40" s="62"/>
      <c r="E40" s="62"/>
      <c r="F40" s="62"/>
      <c r="G40" s="62"/>
      <c r="H40" s="62"/>
      <c r="I40" s="62"/>
      <c r="J40" s="62"/>
      <c r="K40" s="62"/>
      <c r="L40" s="62"/>
      <c r="M40" s="62"/>
      <c r="N40" s="62"/>
      <c r="O40" s="84"/>
    </row>
    <row r="41" spans="1:15" x14ac:dyDescent="0.25">
      <c r="A41" s="61" t="s">
        <v>147</v>
      </c>
      <c r="B41" s="63">
        <f t="shared" si="1"/>
        <v>0</v>
      </c>
      <c r="C41" s="62"/>
      <c r="D41" s="62"/>
      <c r="E41" s="62"/>
      <c r="F41" s="62"/>
      <c r="G41" s="62"/>
      <c r="H41" s="62"/>
      <c r="I41" s="62"/>
      <c r="J41" s="62"/>
      <c r="K41" s="62"/>
      <c r="L41" s="62"/>
      <c r="M41" s="62"/>
      <c r="N41" s="62"/>
      <c r="O41" s="84"/>
    </row>
    <row r="42" spans="1:15" x14ac:dyDescent="0.25">
      <c r="A42" s="61" t="s">
        <v>148</v>
      </c>
      <c r="B42" s="63">
        <f t="shared" si="1"/>
        <v>0</v>
      </c>
      <c r="C42" s="63"/>
      <c r="D42" s="62"/>
      <c r="E42" s="62"/>
      <c r="F42" s="62"/>
      <c r="G42" s="62"/>
      <c r="H42" s="62"/>
      <c r="I42" s="62"/>
      <c r="J42" s="62"/>
      <c r="K42" s="62"/>
      <c r="L42" s="62"/>
      <c r="M42" s="62"/>
      <c r="N42" s="62"/>
      <c r="O42" s="84"/>
    </row>
    <row r="43" spans="1:15" x14ac:dyDescent="0.25">
      <c r="A43" s="61" t="s">
        <v>149</v>
      </c>
      <c r="B43" s="63">
        <f t="shared" si="1"/>
        <v>0</v>
      </c>
      <c r="C43" s="63"/>
      <c r="D43" s="62"/>
      <c r="E43" s="62"/>
      <c r="F43" s="62"/>
      <c r="G43" s="62"/>
      <c r="H43" s="62"/>
      <c r="I43" s="62"/>
      <c r="J43" s="62"/>
      <c r="K43" s="62"/>
      <c r="L43" s="62"/>
      <c r="M43" s="62"/>
      <c r="N43" s="62"/>
      <c r="O43" s="84"/>
    </row>
    <row r="44" spans="1:15" x14ac:dyDescent="0.25">
      <c r="A44" s="61" t="s">
        <v>150</v>
      </c>
      <c r="B44" s="63">
        <f t="shared" si="1"/>
        <v>0</v>
      </c>
      <c r="C44" s="63"/>
      <c r="D44" s="62"/>
      <c r="E44" s="62"/>
      <c r="F44" s="62"/>
      <c r="G44" s="62"/>
      <c r="H44" s="62"/>
      <c r="I44" s="62"/>
      <c r="J44" s="62"/>
      <c r="K44" s="62"/>
      <c r="L44" s="62"/>
      <c r="M44" s="62"/>
      <c r="N44" s="62"/>
      <c r="O44" s="84"/>
    </row>
    <row r="45" spans="1:15" ht="16.5" thickBot="1" x14ac:dyDescent="0.3">
      <c r="A45" s="61" t="s">
        <v>18</v>
      </c>
      <c r="B45" s="63">
        <f>SUM(C45:N45)</f>
        <v>0</v>
      </c>
      <c r="C45" s="63"/>
      <c r="D45" s="62"/>
      <c r="E45" s="62"/>
      <c r="F45" s="62"/>
      <c r="G45" s="62"/>
      <c r="H45" s="62"/>
      <c r="I45" s="62"/>
      <c r="J45" s="62"/>
      <c r="K45" s="62"/>
      <c r="L45" s="62"/>
      <c r="M45" s="62"/>
      <c r="N45" s="62"/>
      <c r="O45" s="84"/>
    </row>
    <row r="46" spans="1:15" x14ac:dyDescent="0.25">
      <c r="A46" s="64" t="s">
        <v>151</v>
      </c>
      <c r="B46" s="65">
        <f t="shared" ref="B46:N46" si="2">SUM(B8:B45)</f>
        <v>82443.856666666645</v>
      </c>
      <c r="C46" s="65">
        <f t="shared" si="2"/>
        <v>6870.3213888888886</v>
      </c>
      <c r="D46" s="65">
        <f t="shared" si="2"/>
        <v>6870.3213888888886</v>
      </c>
      <c r="E46" s="65">
        <f t="shared" si="2"/>
        <v>6870.3213888888886</v>
      </c>
      <c r="F46" s="65">
        <f t="shared" si="2"/>
        <v>6870.3213888888886</v>
      </c>
      <c r="G46" s="65">
        <f t="shared" si="2"/>
        <v>6870.3213888888886</v>
      </c>
      <c r="H46" s="65">
        <f t="shared" si="2"/>
        <v>6870.3213888888886</v>
      </c>
      <c r="I46" s="65">
        <f t="shared" si="2"/>
        <v>6870.3213888888886</v>
      </c>
      <c r="J46" s="65">
        <f t="shared" si="2"/>
        <v>6870.3213888888886</v>
      </c>
      <c r="K46" s="65">
        <f t="shared" si="2"/>
        <v>6870.3213888888886</v>
      </c>
      <c r="L46" s="65">
        <f t="shared" si="2"/>
        <v>6870.3213888888886</v>
      </c>
      <c r="M46" s="65">
        <f t="shared" si="2"/>
        <v>6870.3213888888886</v>
      </c>
      <c r="N46" s="65">
        <f t="shared" si="2"/>
        <v>6870.3213888888886</v>
      </c>
      <c r="O46" s="84"/>
    </row>
    <row r="47" spans="1:15" x14ac:dyDescent="0.25">
      <c r="A47" s="59"/>
      <c r="B47" s="60"/>
      <c r="C47" s="60"/>
      <c r="D47" s="66"/>
      <c r="E47" s="66"/>
      <c r="F47" s="66"/>
      <c r="G47" s="66"/>
      <c r="H47" s="66"/>
      <c r="I47" s="66"/>
      <c r="J47" s="66"/>
      <c r="K47" s="66"/>
      <c r="L47" s="66"/>
      <c r="M47" s="66"/>
      <c r="N47" s="66"/>
      <c r="O47" s="84"/>
    </row>
    <row r="48" spans="1:15" x14ac:dyDescent="0.25">
      <c r="A48" s="58"/>
      <c r="B48" s="60"/>
      <c r="C48" s="60"/>
      <c r="D48" s="100"/>
      <c r="E48" s="100"/>
      <c r="F48" s="100"/>
      <c r="G48" s="100"/>
      <c r="H48" s="100"/>
      <c r="I48" s="100"/>
      <c r="J48" s="100"/>
      <c r="K48" s="100"/>
      <c r="L48" s="100"/>
      <c r="M48" s="100"/>
      <c r="N48" s="100"/>
      <c r="O48" s="84"/>
    </row>
    <row r="49" spans="1:15" x14ac:dyDescent="0.25">
      <c r="A49" s="58" t="s">
        <v>152</v>
      </c>
      <c r="B49" s="85"/>
      <c r="C49" s="85"/>
      <c r="D49" s="85"/>
      <c r="E49" s="85"/>
      <c r="F49" s="85"/>
      <c r="G49" s="85"/>
      <c r="H49" s="85"/>
      <c r="I49" s="85"/>
      <c r="J49" s="85"/>
      <c r="K49" s="85"/>
      <c r="L49" s="85"/>
      <c r="M49" s="85"/>
      <c r="N49" s="85"/>
      <c r="O49" s="84"/>
    </row>
    <row r="50" spans="1:15" x14ac:dyDescent="0.25">
      <c r="A50" s="61" t="s">
        <v>153</v>
      </c>
      <c r="B50" s="63">
        <f>SUM(C50:N50)</f>
        <v>21262.939199999997</v>
      </c>
      <c r="C50" s="62">
        <f>SUM(C228)</f>
        <v>1771.9116000000001</v>
      </c>
      <c r="D50" s="62">
        <f t="shared" ref="D50:N52" si="3">SUM(D228)</f>
        <v>1771.9116000000001</v>
      </c>
      <c r="E50" s="62">
        <f t="shared" si="3"/>
        <v>1771.9116000000001</v>
      </c>
      <c r="F50" s="62">
        <f t="shared" si="3"/>
        <v>1771.9116000000001</v>
      </c>
      <c r="G50" s="62">
        <f t="shared" si="3"/>
        <v>1771.9116000000001</v>
      </c>
      <c r="H50" s="62">
        <f t="shared" si="3"/>
        <v>1771.9116000000001</v>
      </c>
      <c r="I50" s="62">
        <f t="shared" si="3"/>
        <v>1771.9116000000001</v>
      </c>
      <c r="J50" s="62">
        <f t="shared" si="3"/>
        <v>1771.9116000000001</v>
      </c>
      <c r="K50" s="62">
        <f t="shared" si="3"/>
        <v>1771.9116000000001</v>
      </c>
      <c r="L50" s="62">
        <f t="shared" si="3"/>
        <v>1771.9116000000001</v>
      </c>
      <c r="M50" s="62">
        <f t="shared" si="3"/>
        <v>1771.9116000000001</v>
      </c>
      <c r="N50" s="62">
        <f t="shared" si="3"/>
        <v>1771.9116000000001</v>
      </c>
      <c r="O50" s="84"/>
    </row>
    <row r="51" spans="1:15" x14ac:dyDescent="0.25">
      <c r="A51" s="61" t="s">
        <v>22</v>
      </c>
      <c r="B51" s="63">
        <f>SUM(C51:N51)</f>
        <v>1855.5344999999995</v>
      </c>
      <c r="C51" s="62">
        <f>SUM(C229)</f>
        <v>154.62787499999999</v>
      </c>
      <c r="D51" s="62">
        <f t="shared" si="3"/>
        <v>154.62787499999999</v>
      </c>
      <c r="E51" s="62">
        <f t="shared" si="3"/>
        <v>154.62787499999999</v>
      </c>
      <c r="F51" s="62">
        <f t="shared" si="3"/>
        <v>154.62787499999999</v>
      </c>
      <c r="G51" s="62">
        <f t="shared" si="3"/>
        <v>154.62787499999999</v>
      </c>
      <c r="H51" s="62">
        <f t="shared" si="3"/>
        <v>154.62787499999999</v>
      </c>
      <c r="I51" s="62">
        <f t="shared" si="3"/>
        <v>154.62787499999999</v>
      </c>
      <c r="J51" s="62">
        <f t="shared" si="3"/>
        <v>154.62787499999999</v>
      </c>
      <c r="K51" s="62">
        <f t="shared" si="3"/>
        <v>154.62787499999999</v>
      </c>
      <c r="L51" s="62">
        <f t="shared" si="3"/>
        <v>154.62787499999999</v>
      </c>
      <c r="M51" s="62">
        <f t="shared" si="3"/>
        <v>154.62787499999999</v>
      </c>
      <c r="N51" s="62">
        <f t="shared" si="3"/>
        <v>154.62787499999999</v>
      </c>
      <c r="O51" s="84"/>
    </row>
    <row r="52" spans="1:15" ht="16.5" thickBot="1" x14ac:dyDescent="0.3">
      <c r="A52" s="90" t="s">
        <v>23</v>
      </c>
      <c r="B52" s="63">
        <f>SUM(C52:N52)</f>
        <v>1183.2262725517239</v>
      </c>
      <c r="C52" s="62">
        <f>SUM(C230)</f>
        <v>98.602189379310332</v>
      </c>
      <c r="D52" s="62">
        <f t="shared" si="3"/>
        <v>98.602189379310332</v>
      </c>
      <c r="E52" s="62">
        <f t="shared" si="3"/>
        <v>98.602189379310332</v>
      </c>
      <c r="F52" s="62">
        <f t="shared" si="3"/>
        <v>98.602189379310332</v>
      </c>
      <c r="G52" s="62">
        <f t="shared" si="3"/>
        <v>98.602189379310332</v>
      </c>
      <c r="H52" s="62">
        <f t="shared" si="3"/>
        <v>98.602189379310332</v>
      </c>
      <c r="I52" s="62">
        <f t="shared" si="3"/>
        <v>98.602189379310332</v>
      </c>
      <c r="J52" s="62">
        <f t="shared" si="3"/>
        <v>98.602189379310332</v>
      </c>
      <c r="K52" s="62">
        <f t="shared" si="3"/>
        <v>98.602189379310332</v>
      </c>
      <c r="L52" s="62">
        <f t="shared" si="3"/>
        <v>98.602189379310332</v>
      </c>
      <c r="M52" s="62">
        <f t="shared" si="3"/>
        <v>98.602189379310332</v>
      </c>
      <c r="N52" s="62">
        <f t="shared" si="3"/>
        <v>98.602189379310332</v>
      </c>
      <c r="O52" s="101"/>
    </row>
    <row r="53" spans="1:15" x14ac:dyDescent="0.25">
      <c r="A53" s="64" t="s">
        <v>154</v>
      </c>
      <c r="B53" s="65">
        <f>SUM(B50:B52)</f>
        <v>24301.69997255172</v>
      </c>
      <c r="C53" s="65">
        <f t="shared" ref="C53:N53" si="4">SUM(C50:C52)</f>
        <v>2025.1416643793104</v>
      </c>
      <c r="D53" s="65">
        <f t="shared" si="4"/>
        <v>2025.1416643793104</v>
      </c>
      <c r="E53" s="65">
        <f t="shared" si="4"/>
        <v>2025.1416643793104</v>
      </c>
      <c r="F53" s="65">
        <f t="shared" si="4"/>
        <v>2025.1416643793104</v>
      </c>
      <c r="G53" s="65">
        <f t="shared" si="4"/>
        <v>2025.1416643793104</v>
      </c>
      <c r="H53" s="65">
        <f t="shared" si="4"/>
        <v>2025.1416643793104</v>
      </c>
      <c r="I53" s="65">
        <f t="shared" si="4"/>
        <v>2025.1416643793104</v>
      </c>
      <c r="J53" s="65">
        <f t="shared" si="4"/>
        <v>2025.1416643793104</v>
      </c>
      <c r="K53" s="65">
        <f t="shared" si="4"/>
        <v>2025.1416643793104</v>
      </c>
      <c r="L53" s="65">
        <f t="shared" si="4"/>
        <v>2025.1416643793104</v>
      </c>
      <c r="M53" s="65">
        <f t="shared" si="4"/>
        <v>2025.1416643793104</v>
      </c>
      <c r="N53" s="65">
        <f t="shared" si="4"/>
        <v>2025.1416643793104</v>
      </c>
      <c r="O53" s="140">
        <f>SUM(C231:N231)</f>
        <v>24301.699972551723</v>
      </c>
    </row>
    <row r="54" spans="1:15" x14ac:dyDescent="0.25">
      <c r="A54" s="59"/>
      <c r="B54" s="60"/>
      <c r="C54" s="60"/>
      <c r="D54" s="66"/>
      <c r="E54" s="66"/>
      <c r="F54" s="66"/>
      <c r="G54" s="66"/>
      <c r="H54" s="66"/>
      <c r="I54" s="66"/>
      <c r="J54" s="66"/>
      <c r="K54" s="66"/>
      <c r="L54" s="66"/>
      <c r="M54" s="66"/>
      <c r="N54" s="66"/>
      <c r="O54" s="84"/>
    </row>
    <row r="55" spans="1:15" x14ac:dyDescent="0.25">
      <c r="A55" s="59"/>
      <c r="B55" s="60"/>
      <c r="C55" s="60"/>
      <c r="D55" s="66"/>
      <c r="E55" s="66"/>
      <c r="F55" s="66"/>
      <c r="G55" s="66"/>
      <c r="H55" s="66"/>
      <c r="I55" s="66"/>
      <c r="J55" s="66"/>
      <c r="K55" s="66"/>
      <c r="L55" s="66"/>
      <c r="M55" s="66"/>
      <c r="N55" s="66"/>
      <c r="O55" s="84"/>
    </row>
    <row r="56" spans="1:15" x14ac:dyDescent="0.25">
      <c r="A56" s="58" t="s">
        <v>155</v>
      </c>
      <c r="B56" s="60"/>
      <c r="C56" s="60"/>
      <c r="D56" s="66"/>
      <c r="E56" s="66"/>
      <c r="F56" s="66"/>
      <c r="G56" s="66"/>
      <c r="H56" s="66"/>
      <c r="I56" s="66"/>
      <c r="J56" s="66"/>
      <c r="K56" s="66"/>
      <c r="L56" s="66"/>
      <c r="M56" s="66"/>
      <c r="N56" s="66"/>
      <c r="O56" s="84"/>
    </row>
    <row r="57" spans="1:15" x14ac:dyDescent="0.25">
      <c r="A57" s="61" t="str">
        <f>CMS!A57</f>
        <v>Training</v>
      </c>
      <c r="B57" s="63">
        <f>SUM(C57:N57)</f>
        <v>0</v>
      </c>
      <c r="C57" s="62"/>
      <c r="D57" s="62"/>
      <c r="E57" s="62"/>
      <c r="F57" s="62"/>
      <c r="G57" s="62"/>
      <c r="H57" s="62"/>
      <c r="I57" s="62"/>
      <c r="J57" s="62"/>
      <c r="K57" s="62"/>
      <c r="L57" s="62"/>
      <c r="M57" s="62"/>
      <c r="N57" s="62"/>
      <c r="O57" s="84"/>
    </row>
    <row r="58" spans="1:15" x14ac:dyDescent="0.25">
      <c r="A58" s="61" t="str">
        <f>CMS!A58</f>
        <v>Travel</v>
      </c>
      <c r="B58" s="63">
        <f>SUM(C58:N58)</f>
        <v>500.00000000000006</v>
      </c>
      <c r="C58" s="62">
        <f>SUM(500/12)</f>
        <v>41.666666666666664</v>
      </c>
      <c r="D58" s="62">
        <f t="shared" ref="D58:N60" si="5">SUM(500/12)</f>
        <v>41.666666666666664</v>
      </c>
      <c r="E58" s="62">
        <f t="shared" si="5"/>
        <v>41.666666666666664</v>
      </c>
      <c r="F58" s="62">
        <f t="shared" si="5"/>
        <v>41.666666666666664</v>
      </c>
      <c r="G58" s="62">
        <f t="shared" si="5"/>
        <v>41.666666666666664</v>
      </c>
      <c r="H58" s="62">
        <f t="shared" si="5"/>
        <v>41.666666666666664</v>
      </c>
      <c r="I58" s="62">
        <f t="shared" si="5"/>
        <v>41.666666666666664</v>
      </c>
      <c r="J58" s="62">
        <f t="shared" si="5"/>
        <v>41.666666666666664</v>
      </c>
      <c r="K58" s="62">
        <f t="shared" si="5"/>
        <v>41.666666666666664</v>
      </c>
      <c r="L58" s="62">
        <f t="shared" si="5"/>
        <v>41.666666666666664</v>
      </c>
      <c r="M58" s="62">
        <f t="shared" si="5"/>
        <v>41.666666666666664</v>
      </c>
      <c r="N58" s="62">
        <f t="shared" si="5"/>
        <v>41.666666666666664</v>
      </c>
      <c r="O58" s="84"/>
    </row>
    <row r="59" spans="1:15" x14ac:dyDescent="0.25">
      <c r="A59" s="61" t="str">
        <f>CMS!A59</f>
        <v>Recognition</v>
      </c>
      <c r="B59" s="63">
        <f>SUM(C59:N59)</f>
        <v>0</v>
      </c>
      <c r="C59" s="62"/>
      <c r="D59" s="62"/>
      <c r="E59" s="62"/>
      <c r="F59" s="62"/>
      <c r="G59" s="62"/>
      <c r="H59" s="62"/>
      <c r="I59" s="62"/>
      <c r="J59" s="62"/>
      <c r="K59" s="62"/>
      <c r="L59" s="62"/>
      <c r="M59" s="62"/>
      <c r="N59" s="62"/>
      <c r="O59" s="84"/>
    </row>
    <row r="60" spans="1:15" x14ac:dyDescent="0.25">
      <c r="A60" s="61" t="str">
        <f>CMS!A60</f>
        <v>Communications</v>
      </c>
      <c r="B60" s="63">
        <f t="shared" ref="B60:B82" si="6">SUM(C60:N60)</f>
        <v>500.00000000000006</v>
      </c>
      <c r="C60" s="62">
        <f>SUM(500/12)</f>
        <v>41.666666666666664</v>
      </c>
      <c r="D60" s="62">
        <f t="shared" si="5"/>
        <v>41.666666666666664</v>
      </c>
      <c r="E60" s="62">
        <f t="shared" si="5"/>
        <v>41.666666666666664</v>
      </c>
      <c r="F60" s="62">
        <f t="shared" si="5"/>
        <v>41.666666666666664</v>
      </c>
      <c r="G60" s="62">
        <f t="shared" si="5"/>
        <v>41.666666666666664</v>
      </c>
      <c r="H60" s="62">
        <f t="shared" si="5"/>
        <v>41.666666666666664</v>
      </c>
      <c r="I60" s="62">
        <f t="shared" si="5"/>
        <v>41.666666666666664</v>
      </c>
      <c r="J60" s="62">
        <f t="shared" si="5"/>
        <v>41.666666666666664</v>
      </c>
      <c r="K60" s="62">
        <f t="shared" si="5"/>
        <v>41.666666666666664</v>
      </c>
      <c r="L60" s="62">
        <f t="shared" si="5"/>
        <v>41.666666666666664</v>
      </c>
      <c r="M60" s="62">
        <f t="shared" si="5"/>
        <v>41.666666666666664</v>
      </c>
      <c r="N60" s="62">
        <f t="shared" si="5"/>
        <v>41.666666666666664</v>
      </c>
      <c r="O60" s="84"/>
    </row>
    <row r="61" spans="1:15" x14ac:dyDescent="0.25">
      <c r="A61" s="61" t="str">
        <f>CMS!A61</f>
        <v>Dues &amp; Subscriptions</v>
      </c>
      <c r="B61" s="63">
        <f t="shared" si="6"/>
        <v>0</v>
      </c>
      <c r="C61" s="63"/>
      <c r="D61" s="62"/>
      <c r="E61" s="62"/>
      <c r="F61" s="62"/>
      <c r="G61" s="62"/>
      <c r="H61" s="62"/>
      <c r="I61" s="62"/>
      <c r="J61" s="62"/>
      <c r="K61" s="62"/>
      <c r="L61" s="62"/>
      <c r="M61" s="62"/>
      <c r="N61" s="62"/>
      <c r="O61" s="84"/>
    </row>
    <row r="62" spans="1:15" x14ac:dyDescent="0.25">
      <c r="A62" s="61" t="str">
        <f>CMS!A62</f>
        <v>Liability Insurance</v>
      </c>
      <c r="B62" s="63">
        <f t="shared" si="6"/>
        <v>467.62031238210199</v>
      </c>
      <c r="C62" s="62">
        <f>SUM('Data Links'!$B$5/'All Employees'!$I$65)/12*C102</f>
        <v>38.968359365175175</v>
      </c>
      <c r="D62" s="62">
        <f>SUM('Data Links'!$B$5/'All Employees'!$I$65)/12*D102</f>
        <v>38.968359365175175</v>
      </c>
      <c r="E62" s="62">
        <f>SUM('Data Links'!$B$5/'All Employees'!$I$65)/12*E102</f>
        <v>38.968359365175175</v>
      </c>
      <c r="F62" s="62">
        <f>SUM('Data Links'!$B$5/'All Employees'!$I$65)/12*F102</f>
        <v>38.968359365175175</v>
      </c>
      <c r="G62" s="62">
        <f>SUM('Data Links'!$B$5/'All Employees'!$I$65)/12*G102</f>
        <v>38.968359365175175</v>
      </c>
      <c r="H62" s="62">
        <f>SUM('Data Links'!$B$5/'All Employees'!$I$65)/12*H102</f>
        <v>38.968359365175175</v>
      </c>
      <c r="I62" s="62">
        <f>SUM('Data Links'!$B$5/'All Employees'!$I$65)/12*I102</f>
        <v>38.968359365175175</v>
      </c>
      <c r="J62" s="62">
        <f>SUM('Data Links'!$B$5/'All Employees'!$I$65)/12*J102</f>
        <v>38.968359365175175</v>
      </c>
      <c r="K62" s="62">
        <f>SUM('Data Links'!$B$5/'All Employees'!$I$65)/12*K102</f>
        <v>38.968359365175175</v>
      </c>
      <c r="L62" s="62">
        <f>SUM('Data Links'!$B$5/'All Employees'!$I$65)/12*L102</f>
        <v>38.968359365175175</v>
      </c>
      <c r="M62" s="62">
        <f>SUM('Data Links'!$B$5/'All Employees'!$I$65)/12*M102</f>
        <v>38.968359365175175</v>
      </c>
      <c r="N62" s="62">
        <f>SUM('Data Links'!$B$5/'All Employees'!$I$65)/12*N102</f>
        <v>38.968359365175175</v>
      </c>
      <c r="O62" s="84"/>
    </row>
    <row r="63" spans="1:15" x14ac:dyDescent="0.25">
      <c r="A63" s="61" t="str">
        <f>CMS!A63</f>
        <v>Professional Services</v>
      </c>
      <c r="B63" s="63">
        <f t="shared" si="6"/>
        <v>0</v>
      </c>
      <c r="C63" s="63"/>
      <c r="D63" s="62"/>
      <c r="E63" s="62"/>
      <c r="F63" s="62"/>
      <c r="G63" s="62"/>
      <c r="H63" s="62"/>
      <c r="I63" s="62"/>
      <c r="J63" s="62"/>
      <c r="K63" s="62"/>
      <c r="L63" s="62"/>
      <c r="M63" s="62"/>
      <c r="N63" s="62"/>
      <c r="O63" s="84"/>
    </row>
    <row r="64" spans="1:15" x14ac:dyDescent="0.25">
      <c r="A64" s="61" t="str">
        <f>CMS!A64</f>
        <v>Legal Fees</v>
      </c>
      <c r="B64" s="63">
        <f t="shared" si="6"/>
        <v>0</v>
      </c>
      <c r="C64" s="63"/>
      <c r="D64" s="62"/>
      <c r="E64" s="62"/>
      <c r="F64" s="62"/>
      <c r="G64" s="62"/>
      <c r="H64" s="62"/>
      <c r="I64" s="62"/>
      <c r="J64" s="62"/>
      <c r="K64" s="62"/>
      <c r="L64" s="62"/>
      <c r="M64" s="62"/>
      <c r="N64" s="62"/>
      <c r="O64" s="84"/>
    </row>
    <row r="65" spans="1:15" x14ac:dyDescent="0.25">
      <c r="A65" s="61" t="str">
        <f>CMS!A65</f>
        <v>Technical Services</v>
      </c>
      <c r="B65" s="63">
        <f t="shared" si="6"/>
        <v>0</v>
      </c>
      <c r="C65" s="63"/>
      <c r="D65" s="62"/>
      <c r="E65" s="62"/>
      <c r="F65" s="62"/>
      <c r="G65" s="62"/>
      <c r="H65" s="62"/>
      <c r="I65" s="62"/>
      <c r="J65" s="62"/>
      <c r="K65" s="62"/>
      <c r="L65" s="62"/>
      <c r="M65" s="62"/>
      <c r="N65" s="62"/>
      <c r="O65" s="84"/>
    </row>
    <row r="66" spans="1:15" x14ac:dyDescent="0.25">
      <c r="A66" s="61" t="str">
        <f>CMS!A66</f>
        <v>Taxes/Licenses &amp; Permits</v>
      </c>
      <c r="B66" s="63">
        <f t="shared" si="6"/>
        <v>0</v>
      </c>
      <c r="C66" s="63"/>
      <c r="D66" s="62"/>
      <c r="E66" s="62"/>
      <c r="F66" s="62"/>
      <c r="G66" s="62"/>
      <c r="H66" s="62"/>
      <c r="I66" s="62"/>
      <c r="J66" s="62"/>
      <c r="K66" s="62"/>
      <c r="L66" s="62"/>
      <c r="M66" s="62"/>
      <c r="N66" s="62"/>
      <c r="O66" s="84"/>
    </row>
    <row r="67" spans="1:15" x14ac:dyDescent="0.25">
      <c r="A67" s="61" t="str">
        <f>CMS!A67</f>
        <v>Small Tools &amp; Equip</v>
      </c>
      <c r="B67" s="63">
        <f t="shared" si="6"/>
        <v>0</v>
      </c>
      <c r="C67" s="63"/>
      <c r="D67" s="62"/>
      <c r="E67" s="62"/>
      <c r="F67" s="62"/>
      <c r="G67" s="62"/>
      <c r="H67" s="62"/>
      <c r="I67" s="62"/>
      <c r="J67" s="62"/>
      <c r="K67" s="62"/>
      <c r="L67" s="62"/>
      <c r="M67" s="62"/>
      <c r="N67" s="62"/>
      <c r="O67" s="84"/>
    </row>
    <row r="68" spans="1:15" x14ac:dyDescent="0.25">
      <c r="A68" s="61" t="str">
        <f>CMS!A68</f>
        <v>Office Supplies</v>
      </c>
      <c r="B68" s="63">
        <f t="shared" si="6"/>
        <v>300</v>
      </c>
      <c r="C68" s="62">
        <v>25</v>
      </c>
      <c r="D68" s="62">
        <v>25</v>
      </c>
      <c r="E68" s="62">
        <v>25</v>
      </c>
      <c r="F68" s="62">
        <v>25</v>
      </c>
      <c r="G68" s="62">
        <v>25</v>
      </c>
      <c r="H68" s="62">
        <v>25</v>
      </c>
      <c r="I68" s="62">
        <v>25</v>
      </c>
      <c r="J68" s="62">
        <v>25</v>
      </c>
      <c r="K68" s="62">
        <v>25</v>
      </c>
      <c r="L68" s="62">
        <v>25</v>
      </c>
      <c r="M68" s="62">
        <v>25</v>
      </c>
      <c r="N68" s="62">
        <v>25</v>
      </c>
      <c r="O68" s="84"/>
    </row>
    <row r="69" spans="1:15" x14ac:dyDescent="0.25">
      <c r="A69" s="61" t="str">
        <f>CMS!A69</f>
        <v>Program Supplies</v>
      </c>
      <c r="B69" s="63">
        <f t="shared" si="6"/>
        <v>2400</v>
      </c>
      <c r="C69" s="62">
        <f>SUM(2400/12)</f>
        <v>200</v>
      </c>
      <c r="D69" s="62">
        <f t="shared" ref="D69:N69" si="7">SUM(2400/12)</f>
        <v>200</v>
      </c>
      <c r="E69" s="62">
        <f t="shared" si="7"/>
        <v>200</v>
      </c>
      <c r="F69" s="62">
        <f t="shared" si="7"/>
        <v>200</v>
      </c>
      <c r="G69" s="62">
        <f t="shared" si="7"/>
        <v>200</v>
      </c>
      <c r="H69" s="62">
        <f t="shared" si="7"/>
        <v>200</v>
      </c>
      <c r="I69" s="62">
        <f t="shared" si="7"/>
        <v>200</v>
      </c>
      <c r="J69" s="62">
        <f t="shared" si="7"/>
        <v>200</v>
      </c>
      <c r="K69" s="62">
        <f t="shared" si="7"/>
        <v>200</v>
      </c>
      <c r="L69" s="62">
        <f t="shared" si="7"/>
        <v>200</v>
      </c>
      <c r="M69" s="62">
        <f t="shared" si="7"/>
        <v>200</v>
      </c>
      <c r="N69" s="62">
        <f t="shared" si="7"/>
        <v>200</v>
      </c>
      <c r="O69" s="84"/>
    </row>
    <row r="70" spans="1:15" x14ac:dyDescent="0.25">
      <c r="A70" s="61" t="str">
        <f>CMS!A70</f>
        <v>Advertising</v>
      </c>
      <c r="B70" s="63">
        <f t="shared" si="6"/>
        <v>0</v>
      </c>
      <c r="C70" s="63"/>
      <c r="D70" s="62"/>
      <c r="E70" s="62"/>
      <c r="F70" s="62"/>
      <c r="G70" s="62"/>
      <c r="H70" s="62"/>
      <c r="I70" s="62"/>
      <c r="J70" s="62"/>
      <c r="K70" s="62"/>
      <c r="L70" s="62"/>
      <c r="M70" s="62"/>
      <c r="N70" s="62"/>
      <c r="O70" s="84"/>
    </row>
    <row r="71" spans="1:15" x14ac:dyDescent="0.25">
      <c r="A71" s="61" t="str">
        <f>CMS!A71</f>
        <v>Repairs &amp; Maintenance</v>
      </c>
      <c r="B71" s="63">
        <f t="shared" si="6"/>
        <v>0</v>
      </c>
      <c r="C71" s="63"/>
      <c r="D71" s="62"/>
      <c r="E71" s="62"/>
      <c r="F71" s="62"/>
      <c r="G71" s="62"/>
      <c r="H71" s="62"/>
      <c r="I71" s="62"/>
      <c r="J71" s="62"/>
      <c r="K71" s="62"/>
      <c r="L71" s="62"/>
      <c r="M71" s="62"/>
      <c r="N71" s="62"/>
      <c r="O71" s="84"/>
    </row>
    <row r="72" spans="1:15" x14ac:dyDescent="0.25">
      <c r="A72" s="61" t="str">
        <f>CMS!A72</f>
        <v>Client Expense</v>
      </c>
      <c r="B72" s="63">
        <f t="shared" si="6"/>
        <v>2400</v>
      </c>
      <c r="C72" s="62">
        <v>200</v>
      </c>
      <c r="D72" s="62">
        <v>200</v>
      </c>
      <c r="E72" s="62">
        <v>200</v>
      </c>
      <c r="F72" s="62">
        <v>200</v>
      </c>
      <c r="G72" s="62">
        <v>200</v>
      </c>
      <c r="H72" s="62">
        <v>200</v>
      </c>
      <c r="I72" s="62">
        <v>200</v>
      </c>
      <c r="J72" s="62">
        <v>200</v>
      </c>
      <c r="K72" s="62">
        <v>200</v>
      </c>
      <c r="L72" s="62">
        <v>200</v>
      </c>
      <c r="M72" s="62">
        <v>200</v>
      </c>
      <c r="N72" s="62">
        <v>200</v>
      </c>
      <c r="O72" s="84"/>
    </row>
    <row r="73" spans="1:15" x14ac:dyDescent="0.25">
      <c r="A73" s="61" t="str">
        <f>CMS!A73</f>
        <v>Printing</v>
      </c>
      <c r="B73" s="63">
        <f t="shared" si="6"/>
        <v>0</v>
      </c>
      <c r="C73" s="63"/>
      <c r="D73" s="62"/>
      <c r="E73" s="62"/>
      <c r="F73" s="62"/>
      <c r="G73" s="62"/>
      <c r="H73" s="62"/>
      <c r="I73" s="62"/>
      <c r="J73" s="62"/>
      <c r="K73" s="62"/>
      <c r="L73" s="62"/>
      <c r="M73" s="62"/>
      <c r="N73" s="62"/>
      <c r="O73" s="84"/>
    </row>
    <row r="74" spans="1:15" x14ac:dyDescent="0.25">
      <c r="A74" s="61" t="str">
        <f>CMS!A74</f>
        <v>Postage</v>
      </c>
      <c r="B74" s="63">
        <f t="shared" si="6"/>
        <v>0</v>
      </c>
      <c r="C74" s="63"/>
      <c r="D74" s="62"/>
      <c r="E74" s="62"/>
      <c r="F74" s="62"/>
      <c r="G74" s="62"/>
      <c r="H74" s="62"/>
      <c r="I74" s="62"/>
      <c r="J74" s="62"/>
      <c r="K74" s="62"/>
      <c r="L74" s="62"/>
      <c r="M74" s="62"/>
      <c r="N74" s="62"/>
      <c r="O74" s="84"/>
    </row>
    <row r="75" spans="1:15" x14ac:dyDescent="0.25">
      <c r="A75" s="61" t="str">
        <f>CMS!A75</f>
        <v>Rent/Lease Expense</v>
      </c>
      <c r="B75" s="63">
        <f t="shared" si="6"/>
        <v>43200</v>
      </c>
      <c r="C75" s="62">
        <f>SUM(21600*2)/12</f>
        <v>3600</v>
      </c>
      <c r="D75" s="62">
        <f t="shared" ref="D75:N75" si="8">SUM(21600*2)/12</f>
        <v>3600</v>
      </c>
      <c r="E75" s="62">
        <f t="shared" si="8"/>
        <v>3600</v>
      </c>
      <c r="F75" s="62">
        <f t="shared" si="8"/>
        <v>3600</v>
      </c>
      <c r="G75" s="62">
        <f t="shared" si="8"/>
        <v>3600</v>
      </c>
      <c r="H75" s="62">
        <f t="shared" si="8"/>
        <v>3600</v>
      </c>
      <c r="I75" s="62">
        <f t="shared" si="8"/>
        <v>3600</v>
      </c>
      <c r="J75" s="62">
        <f t="shared" si="8"/>
        <v>3600</v>
      </c>
      <c r="K75" s="62">
        <f t="shared" si="8"/>
        <v>3600</v>
      </c>
      <c r="L75" s="62">
        <f t="shared" si="8"/>
        <v>3600</v>
      </c>
      <c r="M75" s="62">
        <f t="shared" si="8"/>
        <v>3600</v>
      </c>
      <c r="N75" s="62">
        <f t="shared" si="8"/>
        <v>3600</v>
      </c>
      <c r="O75" s="84"/>
    </row>
    <row r="76" spans="1:15" x14ac:dyDescent="0.25">
      <c r="A76" s="61" t="str">
        <f>CMS!A76</f>
        <v>Utilities</v>
      </c>
      <c r="B76" s="63">
        <f t="shared" si="6"/>
        <v>6000</v>
      </c>
      <c r="C76" s="62">
        <f>SUM(6000/12)</f>
        <v>500</v>
      </c>
      <c r="D76" s="62">
        <f t="shared" ref="D76:N76" si="9">SUM(6000/12)</f>
        <v>500</v>
      </c>
      <c r="E76" s="62">
        <f t="shared" si="9"/>
        <v>500</v>
      </c>
      <c r="F76" s="62">
        <f t="shared" si="9"/>
        <v>500</v>
      </c>
      <c r="G76" s="62">
        <f t="shared" si="9"/>
        <v>500</v>
      </c>
      <c r="H76" s="62">
        <f t="shared" si="9"/>
        <v>500</v>
      </c>
      <c r="I76" s="62">
        <f t="shared" si="9"/>
        <v>500</v>
      </c>
      <c r="J76" s="62">
        <f t="shared" si="9"/>
        <v>500</v>
      </c>
      <c r="K76" s="62">
        <f t="shared" si="9"/>
        <v>500</v>
      </c>
      <c r="L76" s="62">
        <f t="shared" si="9"/>
        <v>500</v>
      </c>
      <c r="M76" s="62">
        <f t="shared" si="9"/>
        <v>500</v>
      </c>
      <c r="N76" s="62">
        <f t="shared" si="9"/>
        <v>500</v>
      </c>
      <c r="O76" s="84"/>
    </row>
    <row r="77" spans="1:15" x14ac:dyDescent="0.25">
      <c r="A77" s="61" t="str">
        <f>CMS!A77</f>
        <v>Bank Fees/Late Fees</v>
      </c>
      <c r="B77" s="63">
        <f t="shared" si="6"/>
        <v>0</v>
      </c>
      <c r="C77" s="63"/>
      <c r="D77" s="62"/>
      <c r="E77" s="62"/>
      <c r="F77" s="62"/>
      <c r="G77" s="62"/>
      <c r="H77" s="62"/>
      <c r="I77" s="62"/>
      <c r="J77" s="62"/>
      <c r="K77" s="62"/>
      <c r="L77" s="62"/>
      <c r="M77" s="62"/>
      <c r="N77" s="62"/>
      <c r="O77" s="84"/>
    </row>
    <row r="78" spans="1:15" x14ac:dyDescent="0.25">
      <c r="A78" s="61" t="str">
        <f>CMS!A78</f>
        <v>Bad Debt Expense</v>
      </c>
      <c r="B78" s="63">
        <f t="shared" si="6"/>
        <v>0</v>
      </c>
      <c r="C78" s="62"/>
      <c r="D78" s="62"/>
      <c r="E78" s="62"/>
      <c r="F78" s="62"/>
      <c r="G78" s="62"/>
      <c r="H78" s="62"/>
      <c r="I78" s="62"/>
      <c r="J78" s="62"/>
      <c r="K78" s="62"/>
      <c r="L78" s="62"/>
      <c r="M78" s="62"/>
      <c r="N78" s="62"/>
      <c r="O78" s="84"/>
    </row>
    <row r="79" spans="1:15" x14ac:dyDescent="0.25">
      <c r="A79" s="61" t="str">
        <f>CMS!A79</f>
        <v>Interest Expense</v>
      </c>
      <c r="B79" s="63">
        <f t="shared" si="6"/>
        <v>0</v>
      </c>
      <c r="C79" s="62"/>
      <c r="D79" s="62"/>
      <c r="E79" s="62"/>
      <c r="F79" s="62"/>
      <c r="G79" s="62"/>
      <c r="H79" s="62"/>
      <c r="I79" s="62"/>
      <c r="J79" s="62"/>
      <c r="K79" s="62"/>
      <c r="L79" s="62"/>
      <c r="M79" s="62"/>
      <c r="N79" s="62"/>
      <c r="O79" s="84"/>
    </row>
    <row r="80" spans="1:15" x14ac:dyDescent="0.25">
      <c r="A80" s="61" t="str">
        <f>CMS!A80</f>
        <v>Meeting Expense</v>
      </c>
      <c r="B80" s="63">
        <f t="shared" si="6"/>
        <v>0</v>
      </c>
      <c r="C80" s="63"/>
      <c r="D80" s="62"/>
      <c r="E80" s="62"/>
      <c r="F80" s="62"/>
      <c r="G80" s="62"/>
      <c r="H80" s="62"/>
      <c r="I80" s="62"/>
      <c r="J80" s="62"/>
      <c r="K80" s="62"/>
      <c r="L80" s="62"/>
      <c r="M80" s="62"/>
      <c r="N80" s="62"/>
      <c r="O80" s="84"/>
    </row>
    <row r="81" spans="1:15" x14ac:dyDescent="0.25">
      <c r="A81" s="61" t="str">
        <f>CMS!A81</f>
        <v>In Kind Expense</v>
      </c>
      <c r="B81" s="63">
        <f t="shared" si="6"/>
        <v>0</v>
      </c>
      <c r="C81" s="63"/>
      <c r="D81" s="62"/>
      <c r="E81" s="62"/>
      <c r="F81" s="62"/>
      <c r="G81" s="62"/>
      <c r="H81" s="62"/>
      <c r="I81" s="62"/>
      <c r="J81" s="62"/>
      <c r="K81" s="62"/>
      <c r="L81" s="62"/>
      <c r="M81" s="62"/>
      <c r="N81" s="62"/>
      <c r="O81" s="84"/>
    </row>
    <row r="82" spans="1:15" ht="16.5" thickBot="1" x14ac:dyDescent="0.3">
      <c r="A82" s="61" t="str">
        <f>CMS!A82</f>
        <v>Misc Expense</v>
      </c>
      <c r="B82" s="63">
        <f t="shared" si="6"/>
        <v>0</v>
      </c>
      <c r="C82" s="63"/>
      <c r="D82" s="93"/>
      <c r="E82" s="93"/>
      <c r="F82" s="93"/>
      <c r="G82" s="93"/>
      <c r="H82" s="93"/>
      <c r="I82" s="93"/>
      <c r="J82" s="93"/>
      <c r="K82" s="93"/>
      <c r="L82" s="93"/>
      <c r="M82" s="93"/>
      <c r="N82" s="93"/>
      <c r="O82" s="101"/>
    </row>
    <row r="83" spans="1:15" x14ac:dyDescent="0.25">
      <c r="A83" s="64" t="s">
        <v>24</v>
      </c>
      <c r="B83" s="65">
        <f>SUM(B57:B82)</f>
        <v>55767.620312382103</v>
      </c>
      <c r="C83" s="65">
        <f t="shared" ref="C83:N83" si="10">SUM(C57:C82)</f>
        <v>4647.3016926985083</v>
      </c>
      <c r="D83" s="65">
        <f t="shared" si="10"/>
        <v>4647.3016926985083</v>
      </c>
      <c r="E83" s="65">
        <f t="shared" si="10"/>
        <v>4647.3016926985083</v>
      </c>
      <c r="F83" s="65">
        <f t="shared" si="10"/>
        <v>4647.3016926985083</v>
      </c>
      <c r="G83" s="65">
        <f t="shared" si="10"/>
        <v>4647.3016926985083</v>
      </c>
      <c r="H83" s="65">
        <f t="shared" si="10"/>
        <v>4647.3016926985083</v>
      </c>
      <c r="I83" s="65">
        <f t="shared" si="10"/>
        <v>4647.3016926985083</v>
      </c>
      <c r="J83" s="65">
        <f t="shared" si="10"/>
        <v>4647.3016926985083</v>
      </c>
      <c r="K83" s="65">
        <f t="shared" si="10"/>
        <v>4647.3016926985083</v>
      </c>
      <c r="L83" s="65">
        <f t="shared" si="10"/>
        <v>4647.3016926985083</v>
      </c>
      <c r="M83" s="65">
        <f t="shared" si="10"/>
        <v>4647.3016926985083</v>
      </c>
      <c r="N83" s="65">
        <f t="shared" si="10"/>
        <v>4647.3016926985083</v>
      </c>
      <c r="O83" s="84"/>
    </row>
    <row r="84" spans="1:15" x14ac:dyDescent="0.25">
      <c r="A84" s="59"/>
      <c r="B84" s="60"/>
      <c r="C84" s="60"/>
      <c r="D84" s="66"/>
      <c r="E84" s="66"/>
      <c r="F84" s="66"/>
      <c r="G84" s="66"/>
      <c r="H84" s="66"/>
      <c r="I84" s="66"/>
      <c r="J84" s="66"/>
      <c r="K84" s="66"/>
      <c r="L84" s="66"/>
      <c r="M84" s="66"/>
      <c r="N84" s="66"/>
      <c r="O84" s="84"/>
    </row>
    <row r="85" spans="1:15" x14ac:dyDescent="0.25">
      <c r="A85" s="28"/>
      <c r="B85" s="86"/>
      <c r="C85" s="86"/>
      <c r="D85" s="86"/>
      <c r="E85" s="86"/>
      <c r="F85" s="86"/>
      <c r="G85" s="86"/>
      <c r="H85" s="86"/>
      <c r="I85" s="86"/>
      <c r="J85" s="86"/>
      <c r="K85" s="86"/>
      <c r="L85" s="86"/>
      <c r="M85" s="86"/>
      <c r="N85" s="86"/>
      <c r="O85" s="84"/>
    </row>
    <row r="86" spans="1:15" x14ac:dyDescent="0.25">
      <c r="A86" s="58" t="s">
        <v>25</v>
      </c>
      <c r="B86" s="60"/>
      <c r="C86" s="60"/>
      <c r="D86" s="66"/>
      <c r="E86" s="66"/>
      <c r="F86" s="66"/>
      <c r="G86" s="66"/>
      <c r="H86" s="66"/>
      <c r="I86" s="66"/>
      <c r="J86" s="66"/>
      <c r="K86" s="66"/>
      <c r="L86" s="66"/>
      <c r="M86" s="66"/>
      <c r="N86" s="66"/>
      <c r="O86" s="84"/>
    </row>
    <row r="87" spans="1:15" x14ac:dyDescent="0.25">
      <c r="A87" s="61" t="s">
        <v>329</v>
      </c>
      <c r="B87" s="63">
        <f>SUM(C87:N87)</f>
        <v>-2559.914510118876</v>
      </c>
      <c r="C87" s="62">
        <f>SUM('CMS &amp; Fundraising Allocations'!B60)</f>
        <v>-361.53586106162567</v>
      </c>
      <c r="D87" s="62">
        <f>SUM('CMS &amp; Fundraising Allocations'!C60)</f>
        <v>-623.23529336841568</v>
      </c>
      <c r="E87" s="62">
        <f>SUM('CMS &amp; Fundraising Allocations'!D60)</f>
        <v>-933.77846462122375</v>
      </c>
      <c r="F87" s="62">
        <f>SUM('CMS &amp; Fundraising Allocations'!E60)</f>
        <v>-623.91746849336005</v>
      </c>
      <c r="G87" s="62">
        <f>SUM('CMS &amp; Fundraising Allocations'!F60)</f>
        <v>-592.52035836779464</v>
      </c>
      <c r="H87" s="62">
        <f>SUM('CMS &amp; Fundraising Allocations'!G60)</f>
        <v>-708.50718398646393</v>
      </c>
      <c r="I87" s="62">
        <f>SUM('CMS &amp; Fundraising Allocations'!H60)</f>
        <v>-162.76708403095515</v>
      </c>
      <c r="J87" s="62">
        <f>SUM('CMS &amp; Fundraising Allocations'!I60)</f>
        <v>-597.65372618300125</v>
      </c>
      <c r="K87" s="62">
        <f>SUM('CMS &amp; Fundraising Allocations'!J60)</f>
        <v>-611.53598997561949</v>
      </c>
      <c r="L87" s="62">
        <f>SUM('CMS &amp; Fundraising Allocations'!K60)</f>
        <v>-539.4982967814924</v>
      </c>
      <c r="M87" s="62">
        <f>SUM('CMS &amp; Fundraising Allocations'!L60)</f>
        <v>523.10884096625387</v>
      </c>
      <c r="N87" s="62">
        <f>SUM('CMS &amp; Fundraising Allocations'!M60)</f>
        <v>2671.926375784823</v>
      </c>
      <c r="O87" s="84"/>
    </row>
    <row r="88" spans="1:15" x14ac:dyDescent="0.25">
      <c r="A88" s="61" t="s">
        <v>330</v>
      </c>
      <c r="B88" s="63">
        <f>SUM(C88:N88)</f>
        <v>0</v>
      </c>
      <c r="C88" s="63"/>
      <c r="D88" s="62"/>
      <c r="E88" s="62"/>
      <c r="F88" s="62"/>
      <c r="G88" s="62"/>
      <c r="H88" s="62"/>
      <c r="I88" s="62"/>
      <c r="J88" s="62"/>
      <c r="K88" s="62"/>
      <c r="L88" s="62"/>
      <c r="M88" s="62"/>
      <c r="N88" s="62"/>
      <c r="O88" s="84"/>
    </row>
    <row r="89" spans="1:15" ht="16.5" thickBot="1" x14ac:dyDescent="0.3">
      <c r="A89" s="61"/>
      <c r="B89" s="63">
        <f>SUM(C89:N89)</f>
        <v>0</v>
      </c>
      <c r="C89" s="63"/>
      <c r="D89" s="62"/>
      <c r="E89" s="62"/>
      <c r="F89" s="62"/>
      <c r="G89" s="62"/>
      <c r="H89" s="62"/>
      <c r="I89" s="62"/>
      <c r="J89" s="62"/>
      <c r="K89" s="62"/>
      <c r="L89" s="62"/>
      <c r="M89" s="62"/>
      <c r="N89" s="62"/>
      <c r="O89" s="84"/>
    </row>
    <row r="90" spans="1:15" x14ac:dyDescent="0.25">
      <c r="A90" s="64" t="s">
        <v>26</v>
      </c>
      <c r="B90" s="65">
        <f t="shared" ref="B90:N90" si="11">SUM(B87:B89)</f>
        <v>-2559.914510118876</v>
      </c>
      <c r="C90" s="65">
        <f t="shared" si="11"/>
        <v>-361.53586106162567</v>
      </c>
      <c r="D90" s="65">
        <f t="shared" si="11"/>
        <v>-623.23529336841568</v>
      </c>
      <c r="E90" s="65">
        <f t="shared" si="11"/>
        <v>-933.77846462122375</v>
      </c>
      <c r="F90" s="65">
        <f t="shared" si="11"/>
        <v>-623.91746849336005</v>
      </c>
      <c r="G90" s="65">
        <f t="shared" si="11"/>
        <v>-592.52035836779464</v>
      </c>
      <c r="H90" s="65">
        <f t="shared" si="11"/>
        <v>-708.50718398646393</v>
      </c>
      <c r="I90" s="65">
        <f t="shared" si="11"/>
        <v>-162.76708403095515</v>
      </c>
      <c r="J90" s="65">
        <f t="shared" si="11"/>
        <v>-597.65372618300125</v>
      </c>
      <c r="K90" s="65">
        <f t="shared" si="11"/>
        <v>-611.53598997561949</v>
      </c>
      <c r="L90" s="65">
        <f t="shared" si="11"/>
        <v>-539.4982967814924</v>
      </c>
      <c r="M90" s="65">
        <f t="shared" si="11"/>
        <v>523.10884096625387</v>
      </c>
      <c r="N90" s="65">
        <f t="shared" si="11"/>
        <v>2671.926375784823</v>
      </c>
      <c r="O90" s="84"/>
    </row>
    <row r="91" spans="1:15" x14ac:dyDescent="0.25">
      <c r="A91" s="59"/>
      <c r="B91" s="60"/>
      <c r="C91" s="60"/>
      <c r="D91" s="66"/>
      <c r="E91" s="66"/>
      <c r="F91" s="66"/>
      <c r="G91" s="66"/>
      <c r="H91" s="66"/>
      <c r="I91" s="66"/>
      <c r="J91" s="66"/>
      <c r="K91" s="66"/>
      <c r="L91" s="66"/>
      <c r="M91" s="66"/>
      <c r="N91" s="66"/>
      <c r="O91" s="84"/>
    </row>
    <row r="92" spans="1:15" x14ac:dyDescent="0.25">
      <c r="A92" s="265" t="s">
        <v>405</v>
      </c>
      <c r="B92" s="266"/>
      <c r="C92" s="266">
        <f>SUM(C46-C53-C83-C90)</f>
        <v>559.4138928726959</v>
      </c>
      <c r="D92" s="266">
        <f t="shared" ref="D92:N92" si="12">SUM(D46-D53-D83-D90)</f>
        <v>821.11332517948597</v>
      </c>
      <c r="E92" s="266">
        <f t="shared" si="12"/>
        <v>1131.656496432294</v>
      </c>
      <c r="F92" s="266">
        <f t="shared" si="12"/>
        <v>821.79550030443033</v>
      </c>
      <c r="G92" s="266">
        <f t="shared" si="12"/>
        <v>790.39839017886493</v>
      </c>
      <c r="H92" s="266">
        <f t="shared" si="12"/>
        <v>906.38521579753422</v>
      </c>
      <c r="I92" s="266">
        <f t="shared" si="12"/>
        <v>360.64511584202546</v>
      </c>
      <c r="J92" s="266">
        <f t="shared" si="12"/>
        <v>795.53175799407154</v>
      </c>
      <c r="K92" s="266">
        <f t="shared" si="12"/>
        <v>809.41402178668977</v>
      </c>
      <c r="L92" s="266">
        <f t="shared" si="12"/>
        <v>737.37632859256269</v>
      </c>
      <c r="M92" s="266">
        <f t="shared" si="12"/>
        <v>-325.23080915518358</v>
      </c>
      <c r="N92" s="267">
        <f t="shared" si="12"/>
        <v>-2474.0483439737527</v>
      </c>
      <c r="O92" s="84"/>
    </row>
    <row r="93" spans="1:15" x14ac:dyDescent="0.25">
      <c r="A93" s="59"/>
      <c r="B93" s="60"/>
      <c r="C93" s="60"/>
      <c r="D93" s="66"/>
      <c r="E93" s="66"/>
      <c r="F93" s="66"/>
      <c r="G93" s="66"/>
      <c r="H93" s="66"/>
      <c r="I93" s="66"/>
      <c r="J93" s="66"/>
      <c r="K93" s="66"/>
      <c r="L93" s="66"/>
      <c r="M93" s="66"/>
      <c r="N93" s="66"/>
      <c r="O93" s="84"/>
    </row>
    <row r="94" spans="1:15" x14ac:dyDescent="0.25">
      <c r="A94" s="59"/>
      <c r="B94" s="86" t="str">
        <f>B5</f>
        <v>Total</v>
      </c>
      <c r="C94" s="86"/>
      <c r="D94" s="66"/>
      <c r="E94" s="66"/>
      <c r="F94" s="66"/>
      <c r="G94" s="66"/>
      <c r="H94" s="66"/>
      <c r="I94" s="66"/>
      <c r="J94" s="66"/>
      <c r="K94" s="66"/>
      <c r="L94" s="66"/>
      <c r="M94" s="66"/>
      <c r="N94" s="66"/>
      <c r="O94" s="84"/>
    </row>
    <row r="95" spans="1:15" x14ac:dyDescent="0.25">
      <c r="A95" s="58" t="s">
        <v>31</v>
      </c>
      <c r="B95" s="60">
        <f>SUM(B46)</f>
        <v>82443.856666666645</v>
      </c>
      <c r="C95" s="81"/>
      <c r="D95" s="66"/>
      <c r="E95" s="66"/>
      <c r="F95" s="66"/>
      <c r="G95" s="66"/>
      <c r="H95" s="66"/>
      <c r="I95" s="66"/>
      <c r="J95" s="66"/>
      <c r="K95" s="66"/>
      <c r="L95" s="66"/>
      <c r="M95" s="66"/>
      <c r="N95" s="66"/>
      <c r="O95" s="84"/>
    </row>
    <row r="96" spans="1:15" x14ac:dyDescent="0.25">
      <c r="A96" s="58" t="s">
        <v>32</v>
      </c>
      <c r="B96" s="60">
        <f>-B53</f>
        <v>-24301.69997255172</v>
      </c>
      <c r="C96" s="81"/>
      <c r="D96" s="66"/>
      <c r="E96" s="66"/>
      <c r="F96" s="66"/>
      <c r="G96" s="66"/>
      <c r="H96" s="66"/>
      <c r="I96" s="66"/>
      <c r="J96" s="66"/>
      <c r="K96" s="66"/>
      <c r="L96" s="66"/>
      <c r="M96" s="66"/>
      <c r="N96" s="66"/>
      <c r="O96" s="84"/>
    </row>
    <row r="97" spans="1:15" x14ac:dyDescent="0.25">
      <c r="A97" s="58" t="s">
        <v>33</v>
      </c>
      <c r="B97" s="60">
        <f>SUM(-B83)</f>
        <v>-55767.620312382103</v>
      </c>
      <c r="C97" s="81"/>
      <c r="D97" s="66"/>
      <c r="E97" s="66"/>
      <c r="F97" s="66"/>
      <c r="G97" s="66"/>
      <c r="H97" s="66"/>
      <c r="I97" s="66"/>
      <c r="J97" s="66"/>
      <c r="K97" s="66"/>
      <c r="L97" s="66"/>
      <c r="M97" s="66"/>
      <c r="N97" s="66"/>
      <c r="O97" s="84"/>
    </row>
    <row r="98" spans="1:15" x14ac:dyDescent="0.25">
      <c r="A98" s="58" t="s">
        <v>182</v>
      </c>
      <c r="B98" s="60">
        <f>SUM(B90)</f>
        <v>-2559.914510118876</v>
      </c>
      <c r="C98" s="81"/>
      <c r="D98" s="66"/>
      <c r="E98" s="66"/>
      <c r="F98" s="66"/>
      <c r="G98" s="66"/>
      <c r="H98" s="66"/>
      <c r="I98" s="66"/>
      <c r="J98" s="66"/>
      <c r="K98" s="66"/>
      <c r="L98" s="66"/>
      <c r="M98" s="66"/>
      <c r="N98" s="66"/>
      <c r="O98" s="84"/>
    </row>
    <row r="99" spans="1:15" x14ac:dyDescent="0.25">
      <c r="A99" s="87" t="s">
        <v>35</v>
      </c>
      <c r="B99" s="88">
        <f>SUM(B95:B98)</f>
        <v>-185.37812838605805</v>
      </c>
      <c r="C99" s="81"/>
      <c r="D99" s="66"/>
      <c r="E99" s="73"/>
      <c r="F99" s="66"/>
      <c r="G99" s="81"/>
      <c r="H99" s="81"/>
      <c r="I99" s="66"/>
      <c r="J99" s="66"/>
      <c r="K99" s="66"/>
      <c r="L99" s="66"/>
      <c r="M99" s="66"/>
      <c r="N99" s="66"/>
      <c r="O99" s="84"/>
    </row>
    <row r="100" spans="1:15" x14ac:dyDescent="0.25">
      <c r="A100" s="59"/>
      <c r="B100" s="60"/>
      <c r="C100" s="81"/>
      <c r="D100" s="66"/>
      <c r="E100" s="66"/>
      <c r="F100" s="66"/>
      <c r="G100" s="66"/>
      <c r="H100" s="66"/>
      <c r="I100" s="66"/>
      <c r="J100" s="66"/>
      <c r="K100" s="66"/>
      <c r="L100" s="66"/>
      <c r="M100" s="66"/>
      <c r="N100" s="66"/>
      <c r="O100" s="84"/>
    </row>
    <row r="101" spans="1:15" x14ac:dyDescent="0.25">
      <c r="A101" s="59"/>
      <c r="B101" s="60"/>
      <c r="C101" s="60"/>
      <c r="D101" s="66"/>
      <c r="E101" s="66"/>
      <c r="F101" s="66"/>
      <c r="G101" s="66"/>
      <c r="H101" s="66"/>
      <c r="I101" s="66"/>
      <c r="J101" s="66"/>
      <c r="K101" s="66"/>
      <c r="L101" s="66"/>
      <c r="M101" s="66"/>
      <c r="N101" s="66"/>
      <c r="O101" s="84"/>
    </row>
    <row r="102" spans="1:15" x14ac:dyDescent="0.25">
      <c r="A102" s="58"/>
      <c r="B102" s="60" t="s">
        <v>183</v>
      </c>
      <c r="C102" s="75">
        <f>SUM(C108+C121+C134+C147+C160+C173+C186+C199+C212)</f>
        <v>0.62344827586206886</v>
      </c>
      <c r="D102" s="75">
        <f t="shared" ref="D102:N102" si="13">SUM(D108+D121+D134+D147+D160+D173+D186+D199+D212)</f>
        <v>0.62344827586206886</v>
      </c>
      <c r="E102" s="75">
        <f t="shared" si="13"/>
        <v>0.62344827586206886</v>
      </c>
      <c r="F102" s="75">
        <f t="shared" si="13"/>
        <v>0.62344827586206886</v>
      </c>
      <c r="G102" s="75">
        <f t="shared" si="13"/>
        <v>0.62344827586206886</v>
      </c>
      <c r="H102" s="75">
        <f t="shared" si="13"/>
        <v>0.62344827586206886</v>
      </c>
      <c r="I102" s="75">
        <f t="shared" si="13"/>
        <v>0.62344827586206886</v>
      </c>
      <c r="J102" s="75">
        <f t="shared" si="13"/>
        <v>0.62344827586206886</v>
      </c>
      <c r="K102" s="75">
        <f t="shared" si="13"/>
        <v>0.62344827586206886</v>
      </c>
      <c r="L102" s="75">
        <f t="shared" si="13"/>
        <v>0.62344827586206886</v>
      </c>
      <c r="M102" s="75">
        <f t="shared" si="13"/>
        <v>0.62344827586206886</v>
      </c>
      <c r="N102" s="75">
        <f t="shared" si="13"/>
        <v>0.62344827586206886</v>
      </c>
      <c r="O102" s="84"/>
    </row>
    <row r="103" spans="1:15" x14ac:dyDescent="0.25">
      <c r="A103" s="58"/>
      <c r="B103" s="60"/>
      <c r="C103" s="73"/>
      <c r="D103" s="66"/>
      <c r="E103" s="66"/>
      <c r="F103" s="66"/>
      <c r="G103" s="66"/>
      <c r="H103" s="66"/>
      <c r="I103" s="66"/>
      <c r="J103" s="66"/>
      <c r="K103" s="66"/>
      <c r="L103" s="66"/>
      <c r="M103" s="66"/>
      <c r="N103" s="84"/>
      <c r="O103" s="84"/>
    </row>
    <row r="104" spans="1:15" x14ac:dyDescent="0.25">
      <c r="A104" s="116" t="s">
        <v>184</v>
      </c>
      <c r="B104" s="92"/>
      <c r="C104" s="25"/>
      <c r="D104" s="91"/>
      <c r="E104" s="91"/>
      <c r="F104" s="91"/>
      <c r="G104" s="91"/>
      <c r="H104" s="91"/>
      <c r="I104" s="91"/>
      <c r="J104" s="91"/>
      <c r="K104" s="91"/>
      <c r="L104" s="91"/>
      <c r="M104" s="91"/>
      <c r="N104" s="27"/>
      <c r="O104" s="84"/>
    </row>
    <row r="105" spans="1:15" x14ac:dyDescent="0.25">
      <c r="A105" s="59"/>
      <c r="B105" s="60"/>
      <c r="C105" s="89" t="str">
        <f t="shared" ref="C105:N105" si="14">C5</f>
        <v>January</v>
      </c>
      <c r="D105" s="89" t="str">
        <f t="shared" si="14"/>
        <v>February</v>
      </c>
      <c r="E105" s="89" t="str">
        <f t="shared" si="14"/>
        <v>March</v>
      </c>
      <c r="F105" s="89" t="str">
        <f t="shared" si="14"/>
        <v>April</v>
      </c>
      <c r="G105" s="89" t="str">
        <f t="shared" si="14"/>
        <v>May</v>
      </c>
      <c r="H105" s="89" t="str">
        <f t="shared" si="14"/>
        <v>June</v>
      </c>
      <c r="I105" s="89" t="str">
        <f t="shared" si="14"/>
        <v>July</v>
      </c>
      <c r="J105" s="89" t="str">
        <f t="shared" si="14"/>
        <v>August</v>
      </c>
      <c r="K105" s="89" t="str">
        <f t="shared" si="14"/>
        <v>September</v>
      </c>
      <c r="L105" s="89" t="str">
        <f t="shared" si="14"/>
        <v>October</v>
      </c>
      <c r="M105" s="89" t="str">
        <f t="shared" si="14"/>
        <v>November</v>
      </c>
      <c r="N105" s="89" t="str">
        <f t="shared" si="14"/>
        <v>December</v>
      </c>
      <c r="O105" s="84"/>
    </row>
    <row r="106" spans="1:15" x14ac:dyDescent="0.25">
      <c r="A106" s="59"/>
      <c r="B106" s="60"/>
      <c r="C106" s="72">
        <v>30</v>
      </c>
      <c r="D106" s="72">
        <v>31</v>
      </c>
      <c r="E106" s="72">
        <v>30</v>
      </c>
      <c r="F106" s="72">
        <v>31</v>
      </c>
      <c r="G106" s="72">
        <v>31</v>
      </c>
      <c r="H106" s="72">
        <v>30</v>
      </c>
      <c r="I106" s="72">
        <v>31</v>
      </c>
      <c r="J106" s="72">
        <v>30</v>
      </c>
      <c r="K106" s="72">
        <v>31</v>
      </c>
      <c r="L106" s="72">
        <v>31</v>
      </c>
      <c r="M106" s="72">
        <v>28</v>
      </c>
      <c r="N106" s="71">
        <v>31</v>
      </c>
      <c r="O106" s="84"/>
    </row>
    <row r="107" spans="1:15" x14ac:dyDescent="0.25">
      <c r="A107" s="59"/>
      <c r="B107" s="89" t="s">
        <v>185</v>
      </c>
      <c r="C107" s="78">
        <f>C94</f>
        <v>0</v>
      </c>
      <c r="D107" s="53">
        <v>1</v>
      </c>
      <c r="E107" s="53"/>
      <c r="F107" s="53">
        <v>1</v>
      </c>
      <c r="G107" s="53"/>
      <c r="H107" s="53">
        <v>1</v>
      </c>
      <c r="I107" s="53">
        <v>1</v>
      </c>
      <c r="J107" s="53">
        <v>1</v>
      </c>
      <c r="K107" s="53">
        <v>1</v>
      </c>
      <c r="L107" s="53">
        <v>2</v>
      </c>
      <c r="M107" s="53">
        <v>1</v>
      </c>
      <c r="N107" s="59"/>
      <c r="O107" s="84"/>
    </row>
    <row r="108" spans="1:15" x14ac:dyDescent="0.25">
      <c r="A108" s="59"/>
      <c r="B108" s="89" t="s">
        <v>44</v>
      </c>
      <c r="C108" s="49">
        <f>SUM('Program Support Allocations'!$C$37)</f>
        <v>3.4482758620689655E-2</v>
      </c>
      <c r="D108" s="49">
        <f>SUM('Program Support Allocations'!$C$37)</f>
        <v>3.4482758620689655E-2</v>
      </c>
      <c r="E108" s="49">
        <f>SUM('Program Support Allocations'!$C$37)</f>
        <v>3.4482758620689655E-2</v>
      </c>
      <c r="F108" s="49">
        <f>SUM('Program Support Allocations'!$C$37)</f>
        <v>3.4482758620689655E-2</v>
      </c>
      <c r="G108" s="49">
        <f>SUM('Program Support Allocations'!$C$37)</f>
        <v>3.4482758620689655E-2</v>
      </c>
      <c r="H108" s="49">
        <f>SUM('Program Support Allocations'!$C$37)</f>
        <v>3.4482758620689655E-2</v>
      </c>
      <c r="I108" s="49">
        <f>SUM('Program Support Allocations'!$C$37)</f>
        <v>3.4482758620689655E-2</v>
      </c>
      <c r="J108" s="49">
        <f>SUM('Program Support Allocations'!$C$37)</f>
        <v>3.4482758620689655E-2</v>
      </c>
      <c r="K108" s="49">
        <f>SUM('Program Support Allocations'!$C$37)</f>
        <v>3.4482758620689655E-2</v>
      </c>
      <c r="L108" s="49">
        <f>SUM('Program Support Allocations'!$C$37)</f>
        <v>3.4482758620689655E-2</v>
      </c>
      <c r="M108" s="49">
        <f>SUM('Program Support Allocations'!$C$37)</f>
        <v>3.4482758620689655E-2</v>
      </c>
      <c r="N108" s="49">
        <f>SUM('Program Support Allocations'!$C$37)</f>
        <v>3.4482758620689655E-2</v>
      </c>
      <c r="O108" s="84"/>
    </row>
    <row r="109" spans="1:15" x14ac:dyDescent="0.25">
      <c r="A109" s="59"/>
      <c r="B109" s="89" t="s">
        <v>186</v>
      </c>
      <c r="C109" s="53">
        <f>SUM(174*C108)</f>
        <v>6</v>
      </c>
      <c r="D109" s="53">
        <f t="shared" ref="D109:N109" si="15">SUM(174*D108)</f>
        <v>6</v>
      </c>
      <c r="E109" s="53">
        <f t="shared" si="15"/>
        <v>6</v>
      </c>
      <c r="F109" s="53">
        <f t="shared" si="15"/>
        <v>6</v>
      </c>
      <c r="G109" s="53">
        <f t="shared" si="15"/>
        <v>6</v>
      </c>
      <c r="H109" s="53">
        <f t="shared" si="15"/>
        <v>6</v>
      </c>
      <c r="I109" s="53">
        <f t="shared" si="15"/>
        <v>6</v>
      </c>
      <c r="J109" s="53">
        <f t="shared" si="15"/>
        <v>6</v>
      </c>
      <c r="K109" s="53">
        <f t="shared" si="15"/>
        <v>6</v>
      </c>
      <c r="L109" s="53">
        <f t="shared" si="15"/>
        <v>6</v>
      </c>
      <c r="M109" s="53">
        <f t="shared" si="15"/>
        <v>6</v>
      </c>
      <c r="N109" s="53">
        <f t="shared" si="15"/>
        <v>6</v>
      </c>
      <c r="O109" s="84"/>
    </row>
    <row r="110" spans="1:15" x14ac:dyDescent="0.25">
      <c r="A110" s="59" t="s">
        <v>623</v>
      </c>
      <c r="B110" s="78" t="s">
        <v>187</v>
      </c>
      <c r="C110" s="66">
        <f>SUM(C109*$B$111)</f>
        <v>171.18</v>
      </c>
      <c r="D110" s="66">
        <f t="shared" ref="D110:N110" si="16">SUM(D109*$B$111)</f>
        <v>171.18</v>
      </c>
      <c r="E110" s="66">
        <f t="shared" si="16"/>
        <v>171.18</v>
      </c>
      <c r="F110" s="66">
        <f t="shared" si="16"/>
        <v>171.18</v>
      </c>
      <c r="G110" s="66">
        <f t="shared" si="16"/>
        <v>171.18</v>
      </c>
      <c r="H110" s="66">
        <f t="shared" si="16"/>
        <v>171.18</v>
      </c>
      <c r="I110" s="66">
        <f t="shared" si="16"/>
        <v>171.18</v>
      </c>
      <c r="J110" s="66">
        <f t="shared" si="16"/>
        <v>171.18</v>
      </c>
      <c r="K110" s="66">
        <f t="shared" si="16"/>
        <v>171.18</v>
      </c>
      <c r="L110" s="66">
        <f t="shared" si="16"/>
        <v>171.18</v>
      </c>
      <c r="M110" s="66">
        <f t="shared" si="16"/>
        <v>171.18</v>
      </c>
      <c r="N110" s="66">
        <f t="shared" si="16"/>
        <v>171.18</v>
      </c>
      <c r="O110" s="84"/>
    </row>
    <row r="111" spans="1:15" x14ac:dyDescent="0.25">
      <c r="A111" s="59" t="s">
        <v>188</v>
      </c>
      <c r="B111" s="74">
        <v>28.53</v>
      </c>
      <c r="C111" s="66">
        <f>SUM(C110)*'Data Links'!$B$15</f>
        <v>13.095270000000001</v>
      </c>
      <c r="D111" s="66">
        <f>SUM(D110)*'Data Links'!$B$15</f>
        <v>13.095270000000001</v>
      </c>
      <c r="E111" s="66">
        <f>SUM(E110)*'Data Links'!$B$15</f>
        <v>13.095270000000001</v>
      </c>
      <c r="F111" s="66">
        <f>SUM(F110)*'Data Links'!$B$15</f>
        <v>13.095270000000001</v>
      </c>
      <c r="G111" s="66">
        <f>SUM(G110)*'Data Links'!$B$15</f>
        <v>13.095270000000001</v>
      </c>
      <c r="H111" s="66">
        <f>SUM(H110)*'Data Links'!$B$15</f>
        <v>13.095270000000001</v>
      </c>
      <c r="I111" s="66">
        <f>SUM(I110)*'Data Links'!$B$15</f>
        <v>13.095270000000001</v>
      </c>
      <c r="J111" s="66">
        <f>SUM(J110)*'Data Links'!$B$15</f>
        <v>13.095270000000001</v>
      </c>
      <c r="K111" s="66">
        <f>SUM(K110)*'Data Links'!$B$15</f>
        <v>13.095270000000001</v>
      </c>
      <c r="L111" s="66">
        <f>SUM(L110)*'Data Links'!$B$15</f>
        <v>13.095270000000001</v>
      </c>
      <c r="M111" s="66">
        <f>SUM(M110)*'Data Links'!$B$15</f>
        <v>13.095270000000001</v>
      </c>
      <c r="N111" s="66">
        <f>SUM(N110)*'Data Links'!$B$15</f>
        <v>13.095270000000001</v>
      </c>
      <c r="O111" s="84"/>
    </row>
    <row r="112" spans="1:15" x14ac:dyDescent="0.25">
      <c r="A112" s="59" t="s">
        <v>189</v>
      </c>
      <c r="B112" s="60"/>
      <c r="C112" s="66">
        <f>SUM(C110*'Data Links'!$B$13)</f>
        <v>1.02708</v>
      </c>
      <c r="D112" s="66">
        <f>SUM(D110*'Data Links'!$B$13)</f>
        <v>1.02708</v>
      </c>
      <c r="E112" s="66">
        <f>SUM(E110*'Data Links'!$B$13)</f>
        <v>1.02708</v>
      </c>
      <c r="F112" s="66">
        <f>SUM(F110*'Data Links'!$B$13)</f>
        <v>1.02708</v>
      </c>
      <c r="G112" s="66">
        <f>SUM(G110*'Data Links'!$B$13)</f>
        <v>1.02708</v>
      </c>
      <c r="H112" s="66">
        <f>SUM(H110*'Data Links'!$B$13)</f>
        <v>1.02708</v>
      </c>
      <c r="I112" s="66">
        <f>SUM(I110*'Data Links'!$B$13)</f>
        <v>1.02708</v>
      </c>
      <c r="J112" s="66">
        <f>SUM(J110*'Data Links'!$B$13)</f>
        <v>1.02708</v>
      </c>
      <c r="K112" s="66">
        <f>SUM(K110*'Data Links'!$B$13)</f>
        <v>1.02708</v>
      </c>
      <c r="L112" s="66">
        <f>SUM(L110*'Data Links'!$B$13)</f>
        <v>1.02708</v>
      </c>
      <c r="M112" s="66">
        <f>SUM(M110*'Data Links'!$B$13)</f>
        <v>1.02708</v>
      </c>
      <c r="N112" s="66">
        <f>SUM(N110*'Data Links'!$B$13)</f>
        <v>1.02708</v>
      </c>
      <c r="O112" s="84"/>
    </row>
    <row r="113" spans="1:15" x14ac:dyDescent="0.25">
      <c r="A113" s="59" t="s">
        <v>190</v>
      </c>
      <c r="B113" s="60"/>
      <c r="C113" s="66">
        <f>SUM(C109*'Data Links'!$B$8)</f>
        <v>0.46710000000000002</v>
      </c>
      <c r="D113" s="66">
        <f>SUM(D109*'Data Links'!$B$8)</f>
        <v>0.46710000000000002</v>
      </c>
      <c r="E113" s="66">
        <f>SUM(E109*'Data Links'!$B$8)</f>
        <v>0.46710000000000002</v>
      </c>
      <c r="F113" s="66">
        <f>SUM(F109*'Data Links'!$B$8)</f>
        <v>0.46710000000000002</v>
      </c>
      <c r="G113" s="66">
        <f>SUM(G109*'Data Links'!$B$8)</f>
        <v>0.46710000000000002</v>
      </c>
      <c r="H113" s="66">
        <f>SUM(H109*'Data Links'!$B$8)</f>
        <v>0.46710000000000002</v>
      </c>
      <c r="I113" s="66">
        <f>SUM(I109*'Data Links'!$B$8)</f>
        <v>0.46710000000000002</v>
      </c>
      <c r="J113" s="66">
        <f>SUM(J109*'Data Links'!$B$8)</f>
        <v>0.46710000000000002</v>
      </c>
      <c r="K113" s="66">
        <f>SUM(K109*'Data Links'!$B$8)</f>
        <v>0.46710000000000002</v>
      </c>
      <c r="L113" s="66">
        <f>SUM(L109*'Data Links'!$B$8)</f>
        <v>0.46710000000000002</v>
      </c>
      <c r="M113" s="66">
        <f>SUM(M109*'Data Links'!$B$8)</f>
        <v>0.46710000000000002</v>
      </c>
      <c r="N113" s="66">
        <f>SUM(N109*'Data Links'!$B$8)</f>
        <v>0.46710000000000002</v>
      </c>
      <c r="O113" s="84"/>
    </row>
    <row r="114" spans="1:15" x14ac:dyDescent="0.25">
      <c r="A114" s="59" t="s">
        <v>191</v>
      </c>
      <c r="B114" s="60"/>
      <c r="C114" s="66">
        <f>SUM('All Employees'!$P$51)*C108</f>
        <v>14.689655172413794</v>
      </c>
      <c r="D114" s="66">
        <f>SUM('All Employees'!$P$51)*D108</f>
        <v>14.689655172413794</v>
      </c>
      <c r="E114" s="66">
        <f>SUM('All Employees'!$P$51)*E108</f>
        <v>14.689655172413794</v>
      </c>
      <c r="F114" s="66">
        <f>SUM('All Employees'!$P$51)*F108</f>
        <v>14.689655172413794</v>
      </c>
      <c r="G114" s="66">
        <f>SUM('All Employees'!$P$51)*G108</f>
        <v>14.689655172413794</v>
      </c>
      <c r="H114" s="66">
        <f>SUM('All Employees'!$P$51)*H108</f>
        <v>14.689655172413794</v>
      </c>
      <c r="I114" s="66">
        <f>SUM('All Employees'!$P$51)*I108</f>
        <v>14.689655172413794</v>
      </c>
      <c r="J114" s="66">
        <f>SUM('All Employees'!$P$51)*J108</f>
        <v>14.689655172413794</v>
      </c>
      <c r="K114" s="66">
        <f>SUM('All Employees'!$P$51)*K108</f>
        <v>14.689655172413794</v>
      </c>
      <c r="L114" s="66">
        <f>SUM('All Employees'!$P$51)*L108</f>
        <v>14.689655172413794</v>
      </c>
      <c r="M114" s="66">
        <f>SUM('All Employees'!$P$51)*M108</f>
        <v>14.689655172413794</v>
      </c>
      <c r="N114" s="66">
        <f>SUM('All Employees'!$P$51)*N108</f>
        <v>14.689655172413794</v>
      </c>
      <c r="O114" s="84"/>
    </row>
    <row r="115" spans="1:15" x14ac:dyDescent="0.25">
      <c r="A115" s="59" t="s">
        <v>192</v>
      </c>
      <c r="B115" s="60"/>
      <c r="C115" s="66">
        <f>SUM(C110*'Data Links'!$B$17)</f>
        <v>5.1353999999999997</v>
      </c>
      <c r="D115" s="66">
        <f>SUM(D110*'Data Links'!$B$17)</f>
        <v>5.1353999999999997</v>
      </c>
      <c r="E115" s="66">
        <f>SUM(E110*'Data Links'!$B$17)</f>
        <v>5.1353999999999997</v>
      </c>
      <c r="F115" s="66">
        <f>SUM(F110*'Data Links'!$B$17)</f>
        <v>5.1353999999999997</v>
      </c>
      <c r="G115" s="66">
        <f>SUM(G110*'Data Links'!$B$17)</f>
        <v>5.1353999999999997</v>
      </c>
      <c r="H115" s="66">
        <f>SUM(H110*'Data Links'!$B$17)</f>
        <v>5.1353999999999997</v>
      </c>
      <c r="I115" s="66">
        <f>SUM(I110*'Data Links'!$B$17)</f>
        <v>5.1353999999999997</v>
      </c>
      <c r="J115" s="66">
        <f>SUM(J110*'Data Links'!$B$17)</f>
        <v>5.1353999999999997</v>
      </c>
      <c r="K115" s="66">
        <f>SUM(K110*'Data Links'!$B$17)</f>
        <v>5.1353999999999997</v>
      </c>
      <c r="L115" s="66">
        <f>SUM(L110*'Data Links'!$B$17)</f>
        <v>5.1353999999999997</v>
      </c>
      <c r="M115" s="66">
        <f>SUM(M110*'Data Links'!$B$17)</f>
        <v>5.1353999999999997</v>
      </c>
      <c r="N115" s="66">
        <f>SUM(N110*'Data Links'!$B$17)</f>
        <v>5.1353999999999997</v>
      </c>
      <c r="O115" s="84"/>
    </row>
    <row r="116" spans="1:15" x14ac:dyDescent="0.25">
      <c r="A116" s="58" t="s">
        <v>144</v>
      </c>
      <c r="B116" s="60"/>
      <c r="C116" s="60">
        <f t="shared" ref="C116:N116" si="17">SUM(C110:C115)</f>
        <v>205.59450517241379</v>
      </c>
      <c r="D116" s="60">
        <f t="shared" si="17"/>
        <v>205.59450517241379</v>
      </c>
      <c r="E116" s="60">
        <f t="shared" si="17"/>
        <v>205.59450517241379</v>
      </c>
      <c r="F116" s="60">
        <f t="shared" si="17"/>
        <v>205.59450517241379</v>
      </c>
      <c r="G116" s="60">
        <f t="shared" si="17"/>
        <v>205.59450517241379</v>
      </c>
      <c r="H116" s="60">
        <f t="shared" si="17"/>
        <v>205.59450517241379</v>
      </c>
      <c r="I116" s="60">
        <f t="shared" si="17"/>
        <v>205.59450517241379</v>
      </c>
      <c r="J116" s="60">
        <f t="shared" si="17"/>
        <v>205.59450517241379</v>
      </c>
      <c r="K116" s="60">
        <f t="shared" si="17"/>
        <v>205.59450517241379</v>
      </c>
      <c r="L116" s="60">
        <f t="shared" si="17"/>
        <v>205.59450517241379</v>
      </c>
      <c r="M116" s="60">
        <f t="shared" si="17"/>
        <v>205.59450517241379</v>
      </c>
      <c r="N116" s="60">
        <f t="shared" si="17"/>
        <v>205.59450517241379</v>
      </c>
      <c r="O116" s="60">
        <f>SUM(C116:N116)</f>
        <v>2467.1340620689657</v>
      </c>
    </row>
    <row r="117" spans="1:15" x14ac:dyDescent="0.25">
      <c r="A117" s="59"/>
      <c r="B117" s="60"/>
      <c r="C117" s="60"/>
      <c r="D117" s="66"/>
      <c r="E117" s="66"/>
      <c r="F117" s="66"/>
      <c r="G117" s="66"/>
      <c r="H117" s="66"/>
      <c r="I117" s="66"/>
      <c r="J117" s="66"/>
      <c r="K117" s="66"/>
      <c r="L117" s="66"/>
      <c r="M117" s="66"/>
      <c r="N117" s="66"/>
      <c r="O117" s="84"/>
    </row>
    <row r="118" spans="1:15" x14ac:dyDescent="0.25">
      <c r="A118" s="59"/>
      <c r="B118" s="60"/>
      <c r="C118" s="89" t="str">
        <f>C105</f>
        <v>January</v>
      </c>
      <c r="D118" s="89" t="str">
        <f t="shared" ref="D118:N120" si="18">D105</f>
        <v>February</v>
      </c>
      <c r="E118" s="89" t="str">
        <f t="shared" si="18"/>
        <v>March</v>
      </c>
      <c r="F118" s="89" t="str">
        <f t="shared" si="18"/>
        <v>April</v>
      </c>
      <c r="G118" s="89" t="str">
        <f t="shared" si="18"/>
        <v>May</v>
      </c>
      <c r="H118" s="89" t="str">
        <f t="shared" si="18"/>
        <v>June</v>
      </c>
      <c r="I118" s="89" t="str">
        <f t="shared" si="18"/>
        <v>July</v>
      </c>
      <c r="J118" s="89" t="str">
        <f t="shared" si="18"/>
        <v>August</v>
      </c>
      <c r="K118" s="89" t="str">
        <f t="shared" si="18"/>
        <v>September</v>
      </c>
      <c r="L118" s="89" t="str">
        <f t="shared" si="18"/>
        <v>October</v>
      </c>
      <c r="M118" s="89" t="str">
        <f t="shared" si="18"/>
        <v>November</v>
      </c>
      <c r="N118" s="89" t="str">
        <f t="shared" si="18"/>
        <v>December</v>
      </c>
      <c r="O118" s="84"/>
    </row>
    <row r="119" spans="1:15" x14ac:dyDescent="0.25">
      <c r="A119" s="59"/>
      <c r="B119" s="60"/>
      <c r="C119" s="72">
        <f>C106</f>
        <v>30</v>
      </c>
      <c r="D119" s="72">
        <f t="shared" si="18"/>
        <v>31</v>
      </c>
      <c r="E119" s="72">
        <f t="shared" si="18"/>
        <v>30</v>
      </c>
      <c r="F119" s="72">
        <f t="shared" si="18"/>
        <v>31</v>
      </c>
      <c r="G119" s="72">
        <f t="shared" si="18"/>
        <v>31</v>
      </c>
      <c r="H119" s="72">
        <f t="shared" si="18"/>
        <v>30</v>
      </c>
      <c r="I119" s="72">
        <f t="shared" si="18"/>
        <v>31</v>
      </c>
      <c r="J119" s="72">
        <f t="shared" si="18"/>
        <v>30</v>
      </c>
      <c r="K119" s="72">
        <f t="shared" si="18"/>
        <v>31</v>
      </c>
      <c r="L119" s="72">
        <f t="shared" si="18"/>
        <v>31</v>
      </c>
      <c r="M119" s="72">
        <f t="shared" si="18"/>
        <v>28</v>
      </c>
      <c r="N119" s="72">
        <f t="shared" si="18"/>
        <v>31</v>
      </c>
      <c r="O119" s="84"/>
    </row>
    <row r="120" spans="1:15" x14ac:dyDescent="0.25">
      <c r="A120" s="59"/>
      <c r="B120" s="89" t="s">
        <v>185</v>
      </c>
      <c r="C120" s="53">
        <f>C107</f>
        <v>0</v>
      </c>
      <c r="D120" s="53">
        <f t="shared" si="18"/>
        <v>1</v>
      </c>
      <c r="E120" s="53">
        <f t="shared" si="18"/>
        <v>0</v>
      </c>
      <c r="F120" s="53">
        <f t="shared" si="18"/>
        <v>1</v>
      </c>
      <c r="G120" s="53">
        <f t="shared" si="18"/>
        <v>0</v>
      </c>
      <c r="H120" s="53">
        <f t="shared" si="18"/>
        <v>1</v>
      </c>
      <c r="I120" s="53">
        <f t="shared" si="18"/>
        <v>1</v>
      </c>
      <c r="J120" s="53">
        <f t="shared" si="18"/>
        <v>1</v>
      </c>
      <c r="K120" s="53">
        <f t="shared" si="18"/>
        <v>1</v>
      </c>
      <c r="L120" s="53">
        <f t="shared" si="18"/>
        <v>2</v>
      </c>
      <c r="M120" s="53">
        <f t="shared" si="18"/>
        <v>1</v>
      </c>
      <c r="N120" s="53">
        <f t="shared" si="18"/>
        <v>0</v>
      </c>
      <c r="O120" s="84"/>
    </row>
    <row r="121" spans="1:15" x14ac:dyDescent="0.25">
      <c r="A121" s="59"/>
      <c r="B121" s="89" t="s">
        <v>44</v>
      </c>
      <c r="C121" s="49">
        <v>0.02</v>
      </c>
      <c r="D121" s="49">
        <v>0.02</v>
      </c>
      <c r="E121" s="49">
        <v>0.02</v>
      </c>
      <c r="F121" s="49">
        <v>0.02</v>
      </c>
      <c r="G121" s="49">
        <v>0.02</v>
      </c>
      <c r="H121" s="49">
        <v>0.02</v>
      </c>
      <c r="I121" s="49">
        <v>0.02</v>
      </c>
      <c r="J121" s="49">
        <v>0.02</v>
      </c>
      <c r="K121" s="49">
        <v>0.02</v>
      </c>
      <c r="L121" s="49">
        <v>0.02</v>
      </c>
      <c r="M121" s="49">
        <v>0.02</v>
      </c>
      <c r="N121" s="49">
        <v>0.02</v>
      </c>
      <c r="O121" s="84"/>
    </row>
    <row r="122" spans="1:15" x14ac:dyDescent="0.25">
      <c r="A122" s="59"/>
      <c r="B122" s="89" t="s">
        <v>186</v>
      </c>
      <c r="C122" s="53">
        <f>SUM(174*C121)</f>
        <v>3.48</v>
      </c>
      <c r="D122" s="53">
        <f t="shared" ref="D122:N122" si="19">SUM(174*D121)</f>
        <v>3.48</v>
      </c>
      <c r="E122" s="53">
        <f t="shared" si="19"/>
        <v>3.48</v>
      </c>
      <c r="F122" s="53">
        <f t="shared" si="19"/>
        <v>3.48</v>
      </c>
      <c r="G122" s="53">
        <f t="shared" si="19"/>
        <v>3.48</v>
      </c>
      <c r="H122" s="53">
        <f t="shared" si="19"/>
        <v>3.48</v>
      </c>
      <c r="I122" s="53">
        <f t="shared" si="19"/>
        <v>3.48</v>
      </c>
      <c r="J122" s="53">
        <f t="shared" si="19"/>
        <v>3.48</v>
      </c>
      <c r="K122" s="53">
        <f t="shared" si="19"/>
        <v>3.48</v>
      </c>
      <c r="L122" s="53">
        <f t="shared" si="19"/>
        <v>3.48</v>
      </c>
      <c r="M122" s="53">
        <f t="shared" si="19"/>
        <v>3.48</v>
      </c>
      <c r="N122" s="53">
        <f t="shared" si="19"/>
        <v>3.48</v>
      </c>
      <c r="O122" s="84"/>
    </row>
    <row r="123" spans="1:15" x14ac:dyDescent="0.25">
      <c r="A123" s="59" t="s">
        <v>390</v>
      </c>
      <c r="B123" s="78" t="s">
        <v>391</v>
      </c>
      <c r="C123" s="66">
        <f>SUM(C122*$B$124)</f>
        <v>78.021600000000007</v>
      </c>
      <c r="D123" s="66">
        <f t="shared" ref="D123:N123" si="20">SUM(D122*$B$124)</f>
        <v>78.021600000000007</v>
      </c>
      <c r="E123" s="66">
        <f t="shared" si="20"/>
        <v>78.021600000000007</v>
      </c>
      <c r="F123" s="66">
        <f t="shared" si="20"/>
        <v>78.021600000000007</v>
      </c>
      <c r="G123" s="66">
        <f t="shared" si="20"/>
        <v>78.021600000000007</v>
      </c>
      <c r="H123" s="66">
        <f t="shared" si="20"/>
        <v>78.021600000000007</v>
      </c>
      <c r="I123" s="66">
        <f t="shared" si="20"/>
        <v>78.021600000000007</v>
      </c>
      <c r="J123" s="66">
        <f t="shared" si="20"/>
        <v>78.021600000000007</v>
      </c>
      <c r="K123" s="66">
        <f t="shared" si="20"/>
        <v>78.021600000000007</v>
      </c>
      <c r="L123" s="66">
        <f t="shared" si="20"/>
        <v>78.021600000000007</v>
      </c>
      <c r="M123" s="66">
        <f t="shared" si="20"/>
        <v>78.021600000000007</v>
      </c>
      <c r="N123" s="66">
        <f t="shared" si="20"/>
        <v>78.021600000000007</v>
      </c>
      <c r="O123" s="84"/>
    </row>
    <row r="124" spans="1:15" x14ac:dyDescent="0.25">
      <c r="A124" s="59" t="s">
        <v>188</v>
      </c>
      <c r="B124" s="74">
        <v>22.42</v>
      </c>
      <c r="C124" s="66">
        <f>SUM(C123)*'Data Links'!$B$15</f>
        <v>5.9686524000000007</v>
      </c>
      <c r="D124" s="66">
        <f>SUM(D123)*'Data Links'!$B$15</f>
        <v>5.9686524000000007</v>
      </c>
      <c r="E124" s="66">
        <f>SUM(E123)*'Data Links'!$B$15</f>
        <v>5.9686524000000007</v>
      </c>
      <c r="F124" s="66">
        <f>SUM(F123)*'Data Links'!$B$15</f>
        <v>5.9686524000000007</v>
      </c>
      <c r="G124" s="66">
        <f>SUM(G123)*'Data Links'!$B$15</f>
        <v>5.9686524000000007</v>
      </c>
      <c r="H124" s="66">
        <f>SUM(H123)*'Data Links'!$B$15</f>
        <v>5.9686524000000007</v>
      </c>
      <c r="I124" s="66">
        <f>SUM(I123)*'Data Links'!$B$15</f>
        <v>5.9686524000000007</v>
      </c>
      <c r="J124" s="66">
        <f>SUM(J123)*'Data Links'!$B$15</f>
        <v>5.9686524000000007</v>
      </c>
      <c r="K124" s="66">
        <f>SUM(K123)*'Data Links'!$B$15</f>
        <v>5.9686524000000007</v>
      </c>
      <c r="L124" s="66">
        <f>SUM(L123)*'Data Links'!$B$15</f>
        <v>5.9686524000000007</v>
      </c>
      <c r="M124" s="66">
        <f>SUM(M123)*'Data Links'!$B$15</f>
        <v>5.9686524000000007</v>
      </c>
      <c r="N124" s="66">
        <f>SUM(N123)*'Data Links'!$B$15</f>
        <v>5.9686524000000007</v>
      </c>
      <c r="O124" s="84"/>
    </row>
    <row r="125" spans="1:15" x14ac:dyDescent="0.25">
      <c r="A125" s="59" t="s">
        <v>189</v>
      </c>
      <c r="B125" s="60"/>
      <c r="C125" s="66">
        <f>SUM(C123*'Data Links'!$B$13)</f>
        <v>0.46812960000000003</v>
      </c>
      <c r="D125" s="66">
        <f>SUM(D123*'Data Links'!$B$13)</f>
        <v>0.46812960000000003</v>
      </c>
      <c r="E125" s="66">
        <f>SUM(E123*'Data Links'!$B$13)</f>
        <v>0.46812960000000003</v>
      </c>
      <c r="F125" s="66">
        <f>SUM(F123*'Data Links'!$B$13)</f>
        <v>0.46812960000000003</v>
      </c>
      <c r="G125" s="66">
        <f>SUM(G123*'Data Links'!$B$13)</f>
        <v>0.46812960000000003</v>
      </c>
      <c r="H125" s="66">
        <f>SUM(H123*'Data Links'!$B$13)</f>
        <v>0.46812960000000003</v>
      </c>
      <c r="I125" s="66">
        <f>SUM(I123*'Data Links'!$B$13)</f>
        <v>0.46812960000000003</v>
      </c>
      <c r="J125" s="66">
        <f>SUM(J123*'Data Links'!$B$13)</f>
        <v>0.46812960000000003</v>
      </c>
      <c r="K125" s="66">
        <f>SUM(K123*'Data Links'!$B$13)</f>
        <v>0.46812960000000003</v>
      </c>
      <c r="L125" s="66">
        <f>SUM(L123*'Data Links'!$B$13)</f>
        <v>0.46812960000000003</v>
      </c>
      <c r="M125" s="66">
        <f>SUM(M123*'Data Links'!$B$13)</f>
        <v>0.46812960000000003</v>
      </c>
      <c r="N125" s="66">
        <f>SUM(N123*'Data Links'!$B$13)</f>
        <v>0.46812960000000003</v>
      </c>
      <c r="O125" s="84"/>
    </row>
    <row r="126" spans="1:15" x14ac:dyDescent="0.25">
      <c r="A126" s="59" t="s">
        <v>190</v>
      </c>
      <c r="B126" s="60"/>
      <c r="C126" s="66">
        <f>SUM(C122*'Data Links'!$B$8)</f>
        <v>0.27091799999999999</v>
      </c>
      <c r="D126" s="66">
        <f>SUM(D122*'Data Links'!$B$8)</f>
        <v>0.27091799999999999</v>
      </c>
      <c r="E126" s="66">
        <f>SUM(E122*'Data Links'!$B$8)</f>
        <v>0.27091799999999999</v>
      </c>
      <c r="F126" s="66">
        <f>SUM(F122*'Data Links'!$B$8)</f>
        <v>0.27091799999999999</v>
      </c>
      <c r="G126" s="66">
        <f>SUM(G122*'Data Links'!$B$8)</f>
        <v>0.27091799999999999</v>
      </c>
      <c r="H126" s="66">
        <f>SUM(H122*'Data Links'!$B$8)</f>
        <v>0.27091799999999999</v>
      </c>
      <c r="I126" s="66">
        <f>SUM(I122*'Data Links'!$B$8)</f>
        <v>0.27091799999999999</v>
      </c>
      <c r="J126" s="66">
        <f>SUM(J122*'Data Links'!$B$8)</f>
        <v>0.27091799999999999</v>
      </c>
      <c r="K126" s="66">
        <f>SUM(K122*'Data Links'!$B$8)</f>
        <v>0.27091799999999999</v>
      </c>
      <c r="L126" s="66">
        <f>SUM(L122*'Data Links'!$B$8)</f>
        <v>0.27091799999999999</v>
      </c>
      <c r="M126" s="66">
        <f>SUM(M122*'Data Links'!$B$8)</f>
        <v>0.27091799999999999</v>
      </c>
      <c r="N126" s="66">
        <f>SUM(N122*'Data Links'!$B$8)</f>
        <v>0.27091799999999999</v>
      </c>
      <c r="O126" s="84"/>
    </row>
    <row r="127" spans="1:15" x14ac:dyDescent="0.25">
      <c r="A127" s="59" t="s">
        <v>191</v>
      </c>
      <c r="B127" s="60"/>
      <c r="C127" s="66">
        <f>SUM(C121*'Data Links'!$B$25)</f>
        <v>8.5291999999999994</v>
      </c>
      <c r="D127" s="66">
        <f>SUM(D121*'Data Links'!$B$25)</f>
        <v>8.5291999999999994</v>
      </c>
      <c r="E127" s="66">
        <f>SUM(E121*'Data Links'!$B$25)</f>
        <v>8.5291999999999994</v>
      </c>
      <c r="F127" s="66">
        <f>SUM(F121*'Data Links'!$B$25)</f>
        <v>8.5291999999999994</v>
      </c>
      <c r="G127" s="66">
        <f>SUM(G121*'Data Links'!$B$25)</f>
        <v>8.5291999999999994</v>
      </c>
      <c r="H127" s="66">
        <f>SUM(H121*'Data Links'!$B$25)</f>
        <v>8.5291999999999994</v>
      </c>
      <c r="I127" s="66">
        <f>SUM(I121*'Data Links'!$B$25)</f>
        <v>8.5291999999999994</v>
      </c>
      <c r="J127" s="66">
        <f>SUM(J121*'Data Links'!$B$25)</f>
        <v>8.5291999999999994</v>
      </c>
      <c r="K127" s="66">
        <f>SUM(K121*'Data Links'!$B$25)</f>
        <v>8.5291999999999994</v>
      </c>
      <c r="L127" s="66">
        <f>SUM(L121*'Data Links'!$B$25)</f>
        <v>8.5291999999999994</v>
      </c>
      <c r="M127" s="66">
        <f>SUM(M121*'Data Links'!$B$25)</f>
        <v>8.5291999999999994</v>
      </c>
      <c r="N127" s="66">
        <f>SUM(N121*'Data Links'!$B$25)</f>
        <v>8.5291999999999994</v>
      </c>
      <c r="O127" s="84"/>
    </row>
    <row r="128" spans="1:15" x14ac:dyDescent="0.25">
      <c r="A128" s="59" t="s">
        <v>192</v>
      </c>
      <c r="B128" s="60"/>
      <c r="C128" s="66">
        <f>SUM(C123*'Data Links'!$B$17)</f>
        <v>2.3406480000000003</v>
      </c>
      <c r="D128" s="66">
        <f>SUM(D123*'Data Links'!$B$17)</f>
        <v>2.3406480000000003</v>
      </c>
      <c r="E128" s="66">
        <f>SUM(E123*'Data Links'!$B$17)</f>
        <v>2.3406480000000003</v>
      </c>
      <c r="F128" s="66">
        <f>SUM(F123*'Data Links'!$B$17)</f>
        <v>2.3406480000000003</v>
      </c>
      <c r="G128" s="66">
        <f>SUM(G123*'Data Links'!$B$17)</f>
        <v>2.3406480000000003</v>
      </c>
      <c r="H128" s="66">
        <f>SUM(H123*'Data Links'!$B$17)</f>
        <v>2.3406480000000003</v>
      </c>
      <c r="I128" s="66">
        <f>SUM(I123*'Data Links'!$B$17)</f>
        <v>2.3406480000000003</v>
      </c>
      <c r="J128" s="66">
        <f>SUM(J123*'Data Links'!$B$17)</f>
        <v>2.3406480000000003</v>
      </c>
      <c r="K128" s="66">
        <f>SUM(K123*'Data Links'!$B$17)</f>
        <v>2.3406480000000003</v>
      </c>
      <c r="L128" s="66">
        <f>SUM(L123*'Data Links'!$B$17)</f>
        <v>2.3406480000000003</v>
      </c>
      <c r="M128" s="66">
        <f>SUM(M123*'Data Links'!$B$17)</f>
        <v>2.3406480000000003</v>
      </c>
      <c r="N128" s="66">
        <f>SUM(N123*'Data Links'!$B$17)</f>
        <v>2.3406480000000003</v>
      </c>
      <c r="O128" s="84"/>
    </row>
    <row r="129" spans="1:15" x14ac:dyDescent="0.25">
      <c r="A129" s="58" t="s">
        <v>144</v>
      </c>
      <c r="B129" s="60"/>
      <c r="C129" s="60">
        <f t="shared" ref="C129:N129" si="21">SUM(C123:C128)</f>
        <v>95.599148</v>
      </c>
      <c r="D129" s="60">
        <f t="shared" si="21"/>
        <v>95.599148</v>
      </c>
      <c r="E129" s="60">
        <f t="shared" si="21"/>
        <v>95.599148</v>
      </c>
      <c r="F129" s="60">
        <f t="shared" si="21"/>
        <v>95.599148</v>
      </c>
      <c r="G129" s="60">
        <f t="shared" si="21"/>
        <v>95.599148</v>
      </c>
      <c r="H129" s="60">
        <f t="shared" si="21"/>
        <v>95.599148</v>
      </c>
      <c r="I129" s="60">
        <f t="shared" si="21"/>
        <v>95.599148</v>
      </c>
      <c r="J129" s="60">
        <f t="shared" si="21"/>
        <v>95.599148</v>
      </c>
      <c r="K129" s="60">
        <f t="shared" si="21"/>
        <v>95.599148</v>
      </c>
      <c r="L129" s="60">
        <f t="shared" si="21"/>
        <v>95.599148</v>
      </c>
      <c r="M129" s="60">
        <f t="shared" si="21"/>
        <v>95.599148</v>
      </c>
      <c r="N129" s="60">
        <f t="shared" si="21"/>
        <v>95.599148</v>
      </c>
      <c r="O129" s="60">
        <f>SUM(C129:N129)</f>
        <v>1147.1897759999999</v>
      </c>
    </row>
    <row r="130" spans="1:15" x14ac:dyDescent="0.25">
      <c r="A130" s="59"/>
      <c r="B130" s="60"/>
      <c r="C130" s="60"/>
      <c r="D130" s="66"/>
      <c r="E130" s="66"/>
      <c r="F130" s="66"/>
      <c r="G130" s="66"/>
      <c r="H130" s="66"/>
      <c r="I130" s="66"/>
      <c r="J130" s="66"/>
      <c r="K130" s="66"/>
      <c r="L130" s="66"/>
      <c r="M130" s="66"/>
      <c r="N130" s="66"/>
      <c r="O130" s="84"/>
    </row>
    <row r="131" spans="1:15" hidden="1" x14ac:dyDescent="0.25">
      <c r="A131" s="59"/>
      <c r="B131" s="60"/>
      <c r="C131" s="89" t="str">
        <f>C118</f>
        <v>January</v>
      </c>
      <c r="D131" s="89" t="str">
        <f t="shared" ref="D131:N131" si="22">D118</f>
        <v>February</v>
      </c>
      <c r="E131" s="89" t="str">
        <f t="shared" si="22"/>
        <v>March</v>
      </c>
      <c r="F131" s="89" t="str">
        <f t="shared" si="22"/>
        <v>April</v>
      </c>
      <c r="G131" s="89" t="str">
        <f t="shared" si="22"/>
        <v>May</v>
      </c>
      <c r="H131" s="89" t="str">
        <f t="shared" si="22"/>
        <v>June</v>
      </c>
      <c r="I131" s="89" t="str">
        <f t="shared" si="22"/>
        <v>July</v>
      </c>
      <c r="J131" s="89" t="str">
        <f t="shared" si="22"/>
        <v>August</v>
      </c>
      <c r="K131" s="89" t="str">
        <f t="shared" si="22"/>
        <v>September</v>
      </c>
      <c r="L131" s="89" t="str">
        <f t="shared" si="22"/>
        <v>October</v>
      </c>
      <c r="M131" s="89" t="str">
        <f t="shared" si="22"/>
        <v>November</v>
      </c>
      <c r="N131" s="89" t="str">
        <f t="shared" si="22"/>
        <v>December</v>
      </c>
      <c r="O131" s="84"/>
    </row>
    <row r="132" spans="1:15" hidden="1" x14ac:dyDescent="0.25">
      <c r="A132" s="59"/>
      <c r="B132" s="60"/>
      <c r="C132" s="89">
        <f t="shared" ref="C132:N133" si="23">C119</f>
        <v>30</v>
      </c>
      <c r="D132" s="89">
        <f t="shared" si="23"/>
        <v>31</v>
      </c>
      <c r="E132" s="89">
        <f t="shared" si="23"/>
        <v>30</v>
      </c>
      <c r="F132" s="89">
        <f t="shared" si="23"/>
        <v>31</v>
      </c>
      <c r="G132" s="89">
        <f t="shared" si="23"/>
        <v>31</v>
      </c>
      <c r="H132" s="89">
        <f t="shared" si="23"/>
        <v>30</v>
      </c>
      <c r="I132" s="89">
        <f t="shared" si="23"/>
        <v>31</v>
      </c>
      <c r="J132" s="89">
        <f t="shared" si="23"/>
        <v>30</v>
      </c>
      <c r="K132" s="89">
        <f t="shared" si="23"/>
        <v>31</v>
      </c>
      <c r="L132" s="89">
        <f t="shared" si="23"/>
        <v>31</v>
      </c>
      <c r="M132" s="89">
        <f t="shared" si="23"/>
        <v>28</v>
      </c>
      <c r="N132" s="89">
        <f t="shared" si="23"/>
        <v>31</v>
      </c>
      <c r="O132" s="84"/>
    </row>
    <row r="133" spans="1:15" hidden="1" x14ac:dyDescent="0.25">
      <c r="A133" s="59"/>
      <c r="B133" s="89" t="s">
        <v>185</v>
      </c>
      <c r="C133" s="53">
        <f>C120</f>
        <v>0</v>
      </c>
      <c r="D133" s="78">
        <f t="shared" si="23"/>
        <v>1</v>
      </c>
      <c r="E133" s="78">
        <f t="shared" si="23"/>
        <v>0</v>
      </c>
      <c r="F133" s="78">
        <f t="shared" si="23"/>
        <v>1</v>
      </c>
      <c r="G133" s="78">
        <f t="shared" si="23"/>
        <v>0</v>
      </c>
      <c r="H133" s="78">
        <f t="shared" si="23"/>
        <v>1</v>
      </c>
      <c r="I133" s="78">
        <f t="shared" si="23"/>
        <v>1</v>
      </c>
      <c r="J133" s="78">
        <f t="shared" si="23"/>
        <v>1</v>
      </c>
      <c r="K133" s="78">
        <f t="shared" si="23"/>
        <v>1</v>
      </c>
      <c r="L133" s="78">
        <f t="shared" si="23"/>
        <v>2</v>
      </c>
      <c r="M133" s="78">
        <f t="shared" si="23"/>
        <v>1</v>
      </c>
      <c r="N133" s="78">
        <f t="shared" si="23"/>
        <v>0</v>
      </c>
      <c r="O133" s="84"/>
    </row>
    <row r="134" spans="1:15" hidden="1" x14ac:dyDescent="0.25">
      <c r="A134" s="59"/>
      <c r="B134" s="89" t="s">
        <v>44</v>
      </c>
      <c r="C134" s="49"/>
      <c r="D134" s="49"/>
      <c r="E134" s="49"/>
      <c r="F134" s="49"/>
      <c r="G134" s="49"/>
      <c r="H134" s="49"/>
      <c r="I134" s="49"/>
      <c r="J134" s="49"/>
      <c r="K134" s="49"/>
      <c r="L134" s="49"/>
      <c r="M134" s="49"/>
      <c r="N134" s="49"/>
      <c r="O134" s="84"/>
    </row>
    <row r="135" spans="1:15" hidden="1" x14ac:dyDescent="0.25">
      <c r="A135" s="59"/>
      <c r="B135" s="89" t="s">
        <v>186</v>
      </c>
      <c r="C135" s="53">
        <f>SUM(174*C134)</f>
        <v>0</v>
      </c>
      <c r="D135" s="53">
        <f t="shared" ref="D135:N135" si="24">SUM(174*D134)</f>
        <v>0</v>
      </c>
      <c r="E135" s="53">
        <f t="shared" si="24"/>
        <v>0</v>
      </c>
      <c r="F135" s="53">
        <f t="shared" si="24"/>
        <v>0</v>
      </c>
      <c r="G135" s="53">
        <f t="shared" si="24"/>
        <v>0</v>
      </c>
      <c r="H135" s="53">
        <f t="shared" si="24"/>
        <v>0</v>
      </c>
      <c r="I135" s="53">
        <f t="shared" si="24"/>
        <v>0</v>
      </c>
      <c r="J135" s="53">
        <f t="shared" si="24"/>
        <v>0</v>
      </c>
      <c r="K135" s="53">
        <f t="shared" si="24"/>
        <v>0</v>
      </c>
      <c r="L135" s="53">
        <f t="shared" si="24"/>
        <v>0</v>
      </c>
      <c r="M135" s="53">
        <f t="shared" si="24"/>
        <v>0</v>
      </c>
      <c r="N135" s="53">
        <f t="shared" si="24"/>
        <v>0</v>
      </c>
      <c r="O135" s="84"/>
    </row>
    <row r="136" spans="1:15" hidden="1" x14ac:dyDescent="0.25">
      <c r="A136" s="59" t="s">
        <v>193</v>
      </c>
      <c r="B136" s="78" t="s">
        <v>187</v>
      </c>
      <c r="C136" s="66">
        <f>SUM(C135*$B$137)</f>
        <v>0</v>
      </c>
      <c r="D136" s="66">
        <f t="shared" ref="D136:N136" si="25">SUM(D135*$B$137)</f>
        <v>0</v>
      </c>
      <c r="E136" s="66">
        <f t="shared" si="25"/>
        <v>0</v>
      </c>
      <c r="F136" s="66">
        <f t="shared" si="25"/>
        <v>0</v>
      </c>
      <c r="G136" s="66">
        <f t="shared" si="25"/>
        <v>0</v>
      </c>
      <c r="H136" s="66">
        <f t="shared" si="25"/>
        <v>0</v>
      </c>
      <c r="I136" s="66">
        <f t="shared" si="25"/>
        <v>0</v>
      </c>
      <c r="J136" s="66">
        <f t="shared" si="25"/>
        <v>0</v>
      </c>
      <c r="K136" s="66">
        <f t="shared" si="25"/>
        <v>0</v>
      </c>
      <c r="L136" s="66">
        <f t="shared" si="25"/>
        <v>0</v>
      </c>
      <c r="M136" s="66">
        <f t="shared" si="25"/>
        <v>0</v>
      </c>
      <c r="N136" s="66">
        <f t="shared" si="25"/>
        <v>0</v>
      </c>
      <c r="O136" s="84"/>
    </row>
    <row r="137" spans="1:15" hidden="1" x14ac:dyDescent="0.25">
      <c r="A137" s="59" t="s">
        <v>188</v>
      </c>
      <c r="B137" s="74">
        <v>0</v>
      </c>
      <c r="C137" s="66">
        <f>SUM(C136)*'Data Links'!$B$15</f>
        <v>0</v>
      </c>
      <c r="D137" s="66">
        <f>SUM(D136)*'Data Links'!$B$15</f>
        <v>0</v>
      </c>
      <c r="E137" s="66">
        <f>SUM(E136)*'Data Links'!$B$15</f>
        <v>0</v>
      </c>
      <c r="F137" s="66">
        <f>SUM(F136)*'Data Links'!$B$15</f>
        <v>0</v>
      </c>
      <c r="G137" s="66">
        <f>SUM(G136)*'Data Links'!$B$15</f>
        <v>0</v>
      </c>
      <c r="H137" s="66">
        <f>SUM(H136)*'Data Links'!$B$15</f>
        <v>0</v>
      </c>
      <c r="I137" s="66">
        <f>SUM(I136)*'Data Links'!$B$15</f>
        <v>0</v>
      </c>
      <c r="J137" s="66">
        <f>SUM(J136)*'Data Links'!$B$15</f>
        <v>0</v>
      </c>
      <c r="K137" s="66">
        <f>SUM(K136)*'Data Links'!$B$15</f>
        <v>0</v>
      </c>
      <c r="L137" s="66">
        <f>SUM(L136)*'Data Links'!$B$15</f>
        <v>0</v>
      </c>
      <c r="M137" s="66">
        <f>SUM(M136)*'Data Links'!$B$15</f>
        <v>0</v>
      </c>
      <c r="N137" s="66">
        <f>SUM(N136)*'Data Links'!$B$15</f>
        <v>0</v>
      </c>
      <c r="O137" s="84"/>
    </row>
    <row r="138" spans="1:15" hidden="1" x14ac:dyDescent="0.25">
      <c r="A138" s="59" t="s">
        <v>189</v>
      </c>
      <c r="B138" s="74"/>
      <c r="C138" s="66">
        <f>SUM(C136*'Data Links'!$B$13)</f>
        <v>0</v>
      </c>
      <c r="D138" s="66">
        <f>SUM(D136*'Data Links'!$B$13)</f>
        <v>0</v>
      </c>
      <c r="E138" s="66">
        <f>SUM(E136*'Data Links'!$B$13)</f>
        <v>0</v>
      </c>
      <c r="F138" s="66">
        <f>SUM(F136*'Data Links'!$B$13)</f>
        <v>0</v>
      </c>
      <c r="G138" s="66">
        <f>SUM(G136*'Data Links'!$B$13)</f>
        <v>0</v>
      </c>
      <c r="H138" s="66">
        <f>SUM(H136*'Data Links'!$B$13)</f>
        <v>0</v>
      </c>
      <c r="I138" s="66">
        <f>SUM(I136*'Data Links'!$B$13)</f>
        <v>0</v>
      </c>
      <c r="J138" s="66">
        <f>SUM(J136*'Data Links'!$B$13)</f>
        <v>0</v>
      </c>
      <c r="K138" s="66">
        <f>SUM(K136*'Data Links'!$B$13)</f>
        <v>0</v>
      </c>
      <c r="L138" s="66">
        <f>SUM(L136*'Data Links'!$B$13)</f>
        <v>0</v>
      </c>
      <c r="M138" s="66">
        <f>SUM(M136*'Data Links'!$B$13)</f>
        <v>0</v>
      </c>
      <c r="N138" s="66">
        <f>SUM(N136*'Data Links'!$B$13)</f>
        <v>0</v>
      </c>
      <c r="O138" s="84"/>
    </row>
    <row r="139" spans="1:15" hidden="1" x14ac:dyDescent="0.25">
      <c r="A139" s="59" t="s">
        <v>190</v>
      </c>
      <c r="B139" s="60"/>
      <c r="C139" s="66">
        <f>SUM(C135*'Data Links'!$B$8)</f>
        <v>0</v>
      </c>
      <c r="D139" s="66">
        <f>SUM(D135*'Data Links'!$B$8)</f>
        <v>0</v>
      </c>
      <c r="E139" s="66">
        <f>SUM(E135*'Data Links'!$B$8)</f>
        <v>0</v>
      </c>
      <c r="F139" s="66">
        <f>SUM(F135*'Data Links'!$B$8)</f>
        <v>0</v>
      </c>
      <c r="G139" s="66">
        <f>SUM(G135*'Data Links'!$B$8)</f>
        <v>0</v>
      </c>
      <c r="H139" s="66">
        <f>SUM(H135*'Data Links'!$B$8)</f>
        <v>0</v>
      </c>
      <c r="I139" s="66">
        <f>SUM(I135*'Data Links'!$B$8)</f>
        <v>0</v>
      </c>
      <c r="J139" s="66">
        <f>SUM(J135*'Data Links'!$B$8)</f>
        <v>0</v>
      </c>
      <c r="K139" s="66">
        <f>SUM(K135*'Data Links'!$B$8)</f>
        <v>0</v>
      </c>
      <c r="L139" s="66">
        <f>SUM(L135*'Data Links'!$B$8)</f>
        <v>0</v>
      </c>
      <c r="M139" s="66">
        <f>SUM(M135*'Data Links'!$B$8)</f>
        <v>0</v>
      </c>
      <c r="N139" s="66">
        <f>SUM(N135*'Data Links'!$B$8)</f>
        <v>0</v>
      </c>
      <c r="O139" s="84"/>
    </row>
    <row r="140" spans="1:15" hidden="1" x14ac:dyDescent="0.25">
      <c r="A140" s="59" t="s">
        <v>191</v>
      </c>
      <c r="B140" s="60"/>
      <c r="C140" s="66"/>
      <c r="D140" s="66"/>
      <c r="E140" s="66"/>
      <c r="F140" s="66"/>
      <c r="G140" s="66"/>
      <c r="H140" s="66"/>
      <c r="I140" s="66"/>
      <c r="J140" s="66"/>
      <c r="K140" s="66"/>
      <c r="L140" s="66"/>
      <c r="M140" s="66"/>
      <c r="N140" s="66"/>
      <c r="O140" s="84"/>
    </row>
    <row r="141" spans="1:15" hidden="1" x14ac:dyDescent="0.25">
      <c r="A141" s="59" t="s">
        <v>192</v>
      </c>
      <c r="B141" s="60"/>
      <c r="C141" s="66">
        <f>SUM(C136*'Data Links'!$B$17)</f>
        <v>0</v>
      </c>
      <c r="D141" s="66">
        <f>SUM(D136*'Data Links'!$B$17)</f>
        <v>0</v>
      </c>
      <c r="E141" s="66">
        <f>SUM(E136*'Data Links'!$B$17)</f>
        <v>0</v>
      </c>
      <c r="F141" s="66">
        <f>SUM(F136*'Data Links'!$B$17)</f>
        <v>0</v>
      </c>
      <c r="G141" s="66">
        <f>SUM(G136*'Data Links'!$B$17)</f>
        <v>0</v>
      </c>
      <c r="H141" s="66">
        <f>SUM(H136*'Data Links'!$B$17)</f>
        <v>0</v>
      </c>
      <c r="I141" s="66">
        <f>SUM(I136*'Data Links'!$B$17)</f>
        <v>0</v>
      </c>
      <c r="J141" s="66">
        <f>SUM(J136*'Data Links'!$B$17)</f>
        <v>0</v>
      </c>
      <c r="K141" s="66">
        <f>SUM(K136*'Data Links'!$B$17)</f>
        <v>0</v>
      </c>
      <c r="L141" s="66">
        <f>SUM(L136*'Data Links'!$B$17)</f>
        <v>0</v>
      </c>
      <c r="M141" s="66">
        <f>SUM(M136*'Data Links'!$B$17)</f>
        <v>0</v>
      </c>
      <c r="N141" s="66">
        <f>SUM(N136*'Data Links'!$B$17)</f>
        <v>0</v>
      </c>
      <c r="O141" s="84"/>
    </row>
    <row r="142" spans="1:15" hidden="1" x14ac:dyDescent="0.25">
      <c r="A142" s="58" t="s">
        <v>144</v>
      </c>
      <c r="B142" s="60"/>
      <c r="C142" s="60">
        <f t="shared" ref="C142:N142" si="26">SUM(C136:C141)</f>
        <v>0</v>
      </c>
      <c r="D142" s="60">
        <f t="shared" si="26"/>
        <v>0</v>
      </c>
      <c r="E142" s="60">
        <f t="shared" si="26"/>
        <v>0</v>
      </c>
      <c r="F142" s="60">
        <f t="shared" si="26"/>
        <v>0</v>
      </c>
      <c r="G142" s="60">
        <f t="shared" si="26"/>
        <v>0</v>
      </c>
      <c r="H142" s="60">
        <f t="shared" si="26"/>
        <v>0</v>
      </c>
      <c r="I142" s="60">
        <f t="shared" si="26"/>
        <v>0</v>
      </c>
      <c r="J142" s="60">
        <f t="shared" si="26"/>
        <v>0</v>
      </c>
      <c r="K142" s="60">
        <f t="shared" si="26"/>
        <v>0</v>
      </c>
      <c r="L142" s="60">
        <f t="shared" si="26"/>
        <v>0</v>
      </c>
      <c r="M142" s="60">
        <f t="shared" si="26"/>
        <v>0</v>
      </c>
      <c r="N142" s="60">
        <f t="shared" si="26"/>
        <v>0</v>
      </c>
      <c r="O142" s="60"/>
    </row>
    <row r="143" spans="1:15" hidden="1" x14ac:dyDescent="0.25">
      <c r="A143" s="59"/>
      <c r="B143" s="60"/>
      <c r="C143" s="60"/>
      <c r="D143" s="66"/>
      <c r="E143" s="66"/>
      <c r="F143" s="66"/>
      <c r="G143" s="66"/>
      <c r="H143" s="66"/>
      <c r="I143" s="66"/>
      <c r="J143" s="66"/>
      <c r="K143" s="66"/>
      <c r="L143" s="66"/>
      <c r="M143" s="66"/>
      <c r="N143" s="66"/>
      <c r="O143" s="84"/>
    </row>
    <row r="144" spans="1:15" hidden="1" x14ac:dyDescent="0.25">
      <c r="A144" s="59"/>
      <c r="B144" s="60"/>
      <c r="C144" s="89" t="str">
        <f>C131</f>
        <v>January</v>
      </c>
      <c r="D144" s="89" t="str">
        <f t="shared" ref="D144:N144" si="27">D131</f>
        <v>February</v>
      </c>
      <c r="E144" s="89" t="str">
        <f t="shared" si="27"/>
        <v>March</v>
      </c>
      <c r="F144" s="89" t="str">
        <f t="shared" si="27"/>
        <v>April</v>
      </c>
      <c r="G144" s="89" t="str">
        <f t="shared" si="27"/>
        <v>May</v>
      </c>
      <c r="H144" s="89" t="str">
        <f t="shared" si="27"/>
        <v>June</v>
      </c>
      <c r="I144" s="89" t="str">
        <f t="shared" si="27"/>
        <v>July</v>
      </c>
      <c r="J144" s="89" t="str">
        <f t="shared" si="27"/>
        <v>August</v>
      </c>
      <c r="K144" s="89" t="str">
        <f t="shared" si="27"/>
        <v>September</v>
      </c>
      <c r="L144" s="89" t="str">
        <f t="shared" si="27"/>
        <v>October</v>
      </c>
      <c r="M144" s="89" t="str">
        <f t="shared" si="27"/>
        <v>November</v>
      </c>
      <c r="N144" s="89" t="str">
        <f t="shared" si="27"/>
        <v>December</v>
      </c>
      <c r="O144" s="84"/>
    </row>
    <row r="145" spans="1:15" hidden="1" x14ac:dyDescent="0.25">
      <c r="A145" s="59"/>
      <c r="B145" s="60"/>
      <c r="C145" s="89">
        <f t="shared" ref="C145:N146" si="28">C132</f>
        <v>30</v>
      </c>
      <c r="D145" s="89">
        <f t="shared" si="28"/>
        <v>31</v>
      </c>
      <c r="E145" s="89">
        <f t="shared" si="28"/>
        <v>30</v>
      </c>
      <c r="F145" s="89">
        <f t="shared" si="28"/>
        <v>31</v>
      </c>
      <c r="G145" s="89">
        <f t="shared" si="28"/>
        <v>31</v>
      </c>
      <c r="H145" s="89">
        <f t="shared" si="28"/>
        <v>30</v>
      </c>
      <c r="I145" s="89">
        <f t="shared" si="28"/>
        <v>31</v>
      </c>
      <c r="J145" s="89">
        <f t="shared" si="28"/>
        <v>30</v>
      </c>
      <c r="K145" s="89">
        <f t="shared" si="28"/>
        <v>31</v>
      </c>
      <c r="L145" s="89">
        <f t="shared" si="28"/>
        <v>31</v>
      </c>
      <c r="M145" s="89">
        <f t="shared" si="28"/>
        <v>28</v>
      </c>
      <c r="N145" s="89">
        <f t="shared" si="28"/>
        <v>31</v>
      </c>
      <c r="O145" s="84"/>
    </row>
    <row r="146" spans="1:15" hidden="1" x14ac:dyDescent="0.25">
      <c r="A146" s="59"/>
      <c r="B146" s="89" t="s">
        <v>185</v>
      </c>
      <c r="C146" s="78">
        <f t="shared" si="28"/>
        <v>0</v>
      </c>
      <c r="D146" s="78">
        <f t="shared" si="28"/>
        <v>1</v>
      </c>
      <c r="E146" s="78">
        <f t="shared" si="28"/>
        <v>0</v>
      </c>
      <c r="F146" s="78">
        <f t="shared" si="28"/>
        <v>1</v>
      </c>
      <c r="G146" s="78">
        <f t="shared" si="28"/>
        <v>0</v>
      </c>
      <c r="H146" s="78">
        <f t="shared" si="28"/>
        <v>1</v>
      </c>
      <c r="I146" s="78">
        <f t="shared" si="28"/>
        <v>1</v>
      </c>
      <c r="J146" s="78">
        <f t="shared" si="28"/>
        <v>1</v>
      </c>
      <c r="K146" s="78">
        <f t="shared" si="28"/>
        <v>1</v>
      </c>
      <c r="L146" s="78">
        <f t="shared" si="28"/>
        <v>2</v>
      </c>
      <c r="M146" s="78">
        <f t="shared" si="28"/>
        <v>1</v>
      </c>
      <c r="N146" s="78">
        <f t="shared" si="28"/>
        <v>0</v>
      </c>
      <c r="O146" s="84"/>
    </row>
    <row r="147" spans="1:15" hidden="1" x14ac:dyDescent="0.25">
      <c r="A147" s="59"/>
      <c r="B147" s="89" t="s">
        <v>44</v>
      </c>
      <c r="C147" s="49">
        <v>0</v>
      </c>
      <c r="D147" s="49">
        <v>0</v>
      </c>
      <c r="E147" s="49">
        <v>0</v>
      </c>
      <c r="F147" s="49">
        <v>0</v>
      </c>
      <c r="G147" s="49">
        <v>0</v>
      </c>
      <c r="H147" s="49">
        <v>0</v>
      </c>
      <c r="I147" s="49">
        <v>0</v>
      </c>
      <c r="J147" s="49">
        <v>0</v>
      </c>
      <c r="K147" s="49">
        <v>0</v>
      </c>
      <c r="L147" s="49">
        <v>0</v>
      </c>
      <c r="M147" s="49">
        <v>0</v>
      </c>
      <c r="N147" s="49">
        <v>0</v>
      </c>
      <c r="O147" s="84"/>
    </row>
    <row r="148" spans="1:15" hidden="1" x14ac:dyDescent="0.25">
      <c r="A148" s="59"/>
      <c r="B148" s="78" t="s">
        <v>186</v>
      </c>
      <c r="C148" s="53">
        <f>SUM(174*C147)</f>
        <v>0</v>
      </c>
      <c r="D148" s="53">
        <f t="shared" ref="D148:N148" si="29">SUM(174*D147)</f>
        <v>0</v>
      </c>
      <c r="E148" s="53">
        <f t="shared" si="29"/>
        <v>0</v>
      </c>
      <c r="F148" s="53">
        <f t="shared" si="29"/>
        <v>0</v>
      </c>
      <c r="G148" s="53">
        <f t="shared" si="29"/>
        <v>0</v>
      </c>
      <c r="H148" s="53">
        <f t="shared" si="29"/>
        <v>0</v>
      </c>
      <c r="I148" s="53">
        <f t="shared" si="29"/>
        <v>0</v>
      </c>
      <c r="J148" s="53">
        <f t="shared" si="29"/>
        <v>0</v>
      </c>
      <c r="K148" s="53">
        <f t="shared" si="29"/>
        <v>0</v>
      </c>
      <c r="L148" s="53">
        <f t="shared" si="29"/>
        <v>0</v>
      </c>
      <c r="M148" s="53">
        <f t="shared" si="29"/>
        <v>0</v>
      </c>
      <c r="N148" s="53">
        <f t="shared" si="29"/>
        <v>0</v>
      </c>
      <c r="O148" s="84"/>
    </row>
    <row r="149" spans="1:15" hidden="1" x14ac:dyDescent="0.25">
      <c r="A149" s="59" t="s">
        <v>193</v>
      </c>
      <c r="B149" s="78" t="s">
        <v>187</v>
      </c>
      <c r="C149" s="66">
        <f>SUM(C148*$B$150)</f>
        <v>0</v>
      </c>
      <c r="D149" s="66">
        <f t="shared" ref="D149:N149" si="30">SUM(D148*$B$150)</f>
        <v>0</v>
      </c>
      <c r="E149" s="66">
        <f t="shared" si="30"/>
        <v>0</v>
      </c>
      <c r="F149" s="66">
        <f t="shared" si="30"/>
        <v>0</v>
      </c>
      <c r="G149" s="66">
        <f t="shared" si="30"/>
        <v>0</v>
      </c>
      <c r="H149" s="66">
        <f t="shared" si="30"/>
        <v>0</v>
      </c>
      <c r="I149" s="66">
        <f t="shared" si="30"/>
        <v>0</v>
      </c>
      <c r="J149" s="66">
        <f t="shared" si="30"/>
        <v>0</v>
      </c>
      <c r="K149" s="66">
        <f t="shared" si="30"/>
        <v>0</v>
      </c>
      <c r="L149" s="66">
        <f t="shared" si="30"/>
        <v>0</v>
      </c>
      <c r="M149" s="66">
        <f t="shared" si="30"/>
        <v>0</v>
      </c>
      <c r="N149" s="66">
        <f t="shared" si="30"/>
        <v>0</v>
      </c>
      <c r="O149" s="84"/>
    </row>
    <row r="150" spans="1:15" hidden="1" x14ac:dyDescent="0.25">
      <c r="A150" s="59" t="s">
        <v>188</v>
      </c>
      <c r="B150" s="74">
        <v>0</v>
      </c>
      <c r="C150" s="66">
        <f>SUM(C149)*'Data Links'!$B$15</f>
        <v>0</v>
      </c>
      <c r="D150" s="66">
        <f>SUM(D149)*'Data Links'!$B$15</f>
        <v>0</v>
      </c>
      <c r="E150" s="66">
        <f>SUM(E149)*'Data Links'!$B$15</f>
        <v>0</v>
      </c>
      <c r="F150" s="66">
        <f>SUM(F149)*'Data Links'!$B$15</f>
        <v>0</v>
      </c>
      <c r="G150" s="66">
        <f>SUM(G149)*'Data Links'!$B$15</f>
        <v>0</v>
      </c>
      <c r="H150" s="66">
        <f>SUM(H149)*'Data Links'!$B$15</f>
        <v>0</v>
      </c>
      <c r="I150" s="66">
        <f>SUM(I149)*'Data Links'!$B$15</f>
        <v>0</v>
      </c>
      <c r="J150" s="66">
        <f>SUM(J149)*'Data Links'!$B$15</f>
        <v>0</v>
      </c>
      <c r="K150" s="66">
        <f>SUM(K149)*'Data Links'!$B$15</f>
        <v>0</v>
      </c>
      <c r="L150" s="66">
        <f>SUM(L149)*'Data Links'!$B$15</f>
        <v>0</v>
      </c>
      <c r="M150" s="66">
        <f>SUM(M149)*'Data Links'!$B$15</f>
        <v>0</v>
      </c>
      <c r="N150" s="66">
        <f>SUM(N149)*'Data Links'!$B$15</f>
        <v>0</v>
      </c>
      <c r="O150" s="84"/>
    </row>
    <row r="151" spans="1:15" hidden="1" x14ac:dyDescent="0.25">
      <c r="A151" s="59" t="s">
        <v>189</v>
      </c>
      <c r="B151" s="74"/>
      <c r="C151" s="66">
        <f>SUM(C149*'Data Links'!$B$13)</f>
        <v>0</v>
      </c>
      <c r="D151" s="66">
        <f>SUM(D149*'Data Links'!$B$13)</f>
        <v>0</v>
      </c>
      <c r="E151" s="66">
        <f>SUM(E149*'Data Links'!$B$13)</f>
        <v>0</v>
      </c>
      <c r="F151" s="66">
        <f>SUM(F149*'Data Links'!$B$13)</f>
        <v>0</v>
      </c>
      <c r="G151" s="66">
        <f>SUM(G149*'Data Links'!$B$13)</f>
        <v>0</v>
      </c>
      <c r="H151" s="66">
        <f>SUM(H149*'Data Links'!$B$13)</f>
        <v>0</v>
      </c>
      <c r="I151" s="66">
        <f>SUM(I149*'Data Links'!$B$13)</f>
        <v>0</v>
      </c>
      <c r="J151" s="66">
        <f>SUM(J149*'Data Links'!$B$13)</f>
        <v>0</v>
      </c>
      <c r="K151" s="66">
        <f>SUM(K149*'Data Links'!$B$13)</f>
        <v>0</v>
      </c>
      <c r="L151" s="66">
        <f>SUM(L149*'Data Links'!$B$13)</f>
        <v>0</v>
      </c>
      <c r="M151" s="66">
        <f>SUM(M149*'Data Links'!$B$13)</f>
        <v>0</v>
      </c>
      <c r="N151" s="66">
        <f>SUM(N149*'Data Links'!$B$13)</f>
        <v>0</v>
      </c>
      <c r="O151" s="84"/>
    </row>
    <row r="152" spans="1:15" hidden="1" x14ac:dyDescent="0.25">
      <c r="A152" s="59" t="s">
        <v>190</v>
      </c>
      <c r="B152" s="60"/>
      <c r="C152" s="66">
        <f>SUM(C148*'Data Links'!$B$8)</f>
        <v>0</v>
      </c>
      <c r="D152" s="66">
        <f>SUM(D148*'Data Links'!$B$8)</f>
        <v>0</v>
      </c>
      <c r="E152" s="66">
        <f>SUM(E148*'Data Links'!$B$8)</f>
        <v>0</v>
      </c>
      <c r="F152" s="66">
        <f>SUM(F148*'Data Links'!$B$8)</f>
        <v>0</v>
      </c>
      <c r="G152" s="66">
        <f>SUM(G148*'Data Links'!$B$8)</f>
        <v>0</v>
      </c>
      <c r="H152" s="66">
        <f>SUM(H148*'Data Links'!$B$8)</f>
        <v>0</v>
      </c>
      <c r="I152" s="66">
        <f>SUM(I148*'Data Links'!$B$8)</f>
        <v>0</v>
      </c>
      <c r="J152" s="66">
        <f>SUM(J148*'Data Links'!$B$8)</f>
        <v>0</v>
      </c>
      <c r="K152" s="66">
        <f>SUM(K148*'Data Links'!$B$8)</f>
        <v>0</v>
      </c>
      <c r="L152" s="66">
        <f>SUM(L148*'Data Links'!$B$8)</f>
        <v>0</v>
      </c>
      <c r="M152" s="66">
        <f>SUM(M148*'Data Links'!$B$8)</f>
        <v>0</v>
      </c>
      <c r="N152" s="66">
        <f>SUM(N148*'Data Links'!$B$8)</f>
        <v>0</v>
      </c>
      <c r="O152" s="84"/>
    </row>
    <row r="153" spans="1:15" hidden="1" x14ac:dyDescent="0.25">
      <c r="A153" s="59" t="s">
        <v>191</v>
      </c>
      <c r="B153" s="60"/>
      <c r="C153" s="66">
        <f>SUM('Data Links'!$B$25)*C147</f>
        <v>0</v>
      </c>
      <c r="D153" s="66">
        <f>SUM('Data Links'!$B$25)*D147</f>
        <v>0</v>
      </c>
      <c r="E153" s="66">
        <f>SUM('Data Links'!$B$25)*E147</f>
        <v>0</v>
      </c>
      <c r="F153" s="66">
        <f>SUM('Data Links'!$B$25)*F147</f>
        <v>0</v>
      </c>
      <c r="G153" s="66">
        <f>SUM('Data Links'!$B$25)*G147</f>
        <v>0</v>
      </c>
      <c r="H153" s="66">
        <f>SUM('Data Links'!$B$25)*H147</f>
        <v>0</v>
      </c>
      <c r="I153" s="66">
        <f>SUM('Data Links'!$B$25)*I147</f>
        <v>0</v>
      </c>
      <c r="J153" s="66">
        <f>SUM('Data Links'!$B$25)*J147</f>
        <v>0</v>
      </c>
      <c r="K153" s="66">
        <f>SUM('Data Links'!$B$25)*K147</f>
        <v>0</v>
      </c>
      <c r="L153" s="66">
        <f>SUM('Data Links'!$B$25)*L147</f>
        <v>0</v>
      </c>
      <c r="M153" s="66">
        <f>SUM('Data Links'!$B$25)*M147</f>
        <v>0</v>
      </c>
      <c r="N153" s="66">
        <f>SUM('Data Links'!$B$25)*N147</f>
        <v>0</v>
      </c>
      <c r="O153" s="84"/>
    </row>
    <row r="154" spans="1:15" hidden="1" x14ac:dyDescent="0.25">
      <c r="A154" s="59" t="s">
        <v>192</v>
      </c>
      <c r="B154" s="60"/>
      <c r="C154" s="66">
        <f>SUM(C149*'Data Links'!$B$17)</f>
        <v>0</v>
      </c>
      <c r="D154" s="66">
        <f>SUM(D149*'Data Links'!$B$17)</f>
        <v>0</v>
      </c>
      <c r="E154" s="66">
        <f>SUM(E149*'Data Links'!$B$17)</f>
        <v>0</v>
      </c>
      <c r="F154" s="66">
        <f>SUM(F149*'Data Links'!$B$17)</f>
        <v>0</v>
      </c>
      <c r="G154" s="66">
        <f>SUM(G149*'Data Links'!$B$17)</f>
        <v>0</v>
      </c>
      <c r="H154" s="66">
        <f>SUM(H149*'Data Links'!$B$17)</f>
        <v>0</v>
      </c>
      <c r="I154" s="66">
        <f>SUM(I149*'Data Links'!$B$17)</f>
        <v>0</v>
      </c>
      <c r="J154" s="66">
        <f>SUM(J149*'Data Links'!$B$17)</f>
        <v>0</v>
      </c>
      <c r="K154" s="66">
        <f>SUM(K149*'Data Links'!$B$17)</f>
        <v>0</v>
      </c>
      <c r="L154" s="66">
        <f>SUM(L149*'Data Links'!$B$17)</f>
        <v>0</v>
      </c>
      <c r="M154" s="66">
        <f>SUM(M149*'Data Links'!$B$17)</f>
        <v>0</v>
      </c>
      <c r="N154" s="66">
        <f>SUM(N149*'Data Links'!$B$17)</f>
        <v>0</v>
      </c>
      <c r="O154" s="84"/>
    </row>
    <row r="155" spans="1:15" hidden="1" x14ac:dyDescent="0.25">
      <c r="A155" s="58" t="s">
        <v>144</v>
      </c>
      <c r="B155" s="60"/>
      <c r="C155" s="60">
        <f t="shared" ref="C155:N155" si="31">SUM(C149:C154)</f>
        <v>0</v>
      </c>
      <c r="D155" s="60">
        <f t="shared" si="31"/>
        <v>0</v>
      </c>
      <c r="E155" s="60">
        <f t="shared" si="31"/>
        <v>0</v>
      </c>
      <c r="F155" s="60">
        <f t="shared" si="31"/>
        <v>0</v>
      </c>
      <c r="G155" s="60">
        <f t="shared" si="31"/>
        <v>0</v>
      </c>
      <c r="H155" s="60">
        <f t="shared" si="31"/>
        <v>0</v>
      </c>
      <c r="I155" s="60">
        <f t="shared" si="31"/>
        <v>0</v>
      </c>
      <c r="J155" s="60">
        <f t="shared" si="31"/>
        <v>0</v>
      </c>
      <c r="K155" s="60">
        <f t="shared" si="31"/>
        <v>0</v>
      </c>
      <c r="L155" s="60">
        <f t="shared" si="31"/>
        <v>0</v>
      </c>
      <c r="M155" s="60">
        <f t="shared" si="31"/>
        <v>0</v>
      </c>
      <c r="N155" s="60">
        <f t="shared" si="31"/>
        <v>0</v>
      </c>
      <c r="O155" s="60"/>
    </row>
    <row r="156" spans="1:15" x14ac:dyDescent="0.25">
      <c r="A156" s="59"/>
      <c r="B156" s="60"/>
      <c r="C156" s="60"/>
      <c r="D156" s="66"/>
      <c r="E156" s="66"/>
      <c r="F156" s="66"/>
      <c r="G156" s="66"/>
      <c r="H156" s="66"/>
      <c r="I156" s="66"/>
      <c r="J156" s="66"/>
      <c r="K156" s="66"/>
      <c r="L156" s="66"/>
      <c r="M156" s="66"/>
      <c r="N156" s="66"/>
      <c r="O156" s="140"/>
    </row>
    <row r="157" spans="1:15" x14ac:dyDescent="0.25">
      <c r="A157" s="59"/>
      <c r="B157" s="60"/>
      <c r="C157" s="89" t="str">
        <f>C144</f>
        <v>January</v>
      </c>
      <c r="D157" s="89" t="str">
        <f t="shared" ref="D157:N157" si="32">D144</f>
        <v>February</v>
      </c>
      <c r="E157" s="89" t="str">
        <f t="shared" si="32"/>
        <v>March</v>
      </c>
      <c r="F157" s="89" t="str">
        <f t="shared" si="32"/>
        <v>April</v>
      </c>
      <c r="G157" s="89" t="str">
        <f t="shared" si="32"/>
        <v>May</v>
      </c>
      <c r="H157" s="89" t="str">
        <f t="shared" si="32"/>
        <v>June</v>
      </c>
      <c r="I157" s="89" t="str">
        <f t="shared" si="32"/>
        <v>July</v>
      </c>
      <c r="J157" s="89" t="str">
        <f t="shared" si="32"/>
        <v>August</v>
      </c>
      <c r="K157" s="89" t="str">
        <f t="shared" si="32"/>
        <v>September</v>
      </c>
      <c r="L157" s="89" t="str">
        <f t="shared" si="32"/>
        <v>October</v>
      </c>
      <c r="M157" s="89" t="str">
        <f t="shared" si="32"/>
        <v>November</v>
      </c>
      <c r="N157" s="89" t="str">
        <f t="shared" si="32"/>
        <v>December</v>
      </c>
      <c r="O157" s="84"/>
    </row>
    <row r="158" spans="1:15" x14ac:dyDescent="0.25">
      <c r="A158" s="59"/>
      <c r="B158" s="60"/>
      <c r="C158" s="89">
        <f t="shared" ref="C158:N159" si="33">C145</f>
        <v>30</v>
      </c>
      <c r="D158" s="89">
        <f t="shared" si="33"/>
        <v>31</v>
      </c>
      <c r="E158" s="89">
        <f t="shared" si="33"/>
        <v>30</v>
      </c>
      <c r="F158" s="89">
        <f t="shared" si="33"/>
        <v>31</v>
      </c>
      <c r="G158" s="89">
        <f t="shared" si="33"/>
        <v>31</v>
      </c>
      <c r="H158" s="89">
        <f t="shared" si="33"/>
        <v>30</v>
      </c>
      <c r="I158" s="89">
        <f t="shared" si="33"/>
        <v>31</v>
      </c>
      <c r="J158" s="89">
        <f t="shared" si="33"/>
        <v>30</v>
      </c>
      <c r="K158" s="89">
        <f t="shared" si="33"/>
        <v>31</v>
      </c>
      <c r="L158" s="89">
        <f t="shared" si="33"/>
        <v>31</v>
      </c>
      <c r="M158" s="89">
        <f t="shared" si="33"/>
        <v>28</v>
      </c>
      <c r="N158" s="89">
        <f t="shared" si="33"/>
        <v>31</v>
      </c>
      <c r="O158" s="84"/>
    </row>
    <row r="159" spans="1:15" x14ac:dyDescent="0.25">
      <c r="A159" s="59"/>
      <c r="B159" s="89" t="s">
        <v>185</v>
      </c>
      <c r="C159" s="78">
        <f t="shared" si="33"/>
        <v>0</v>
      </c>
      <c r="D159" s="78">
        <f t="shared" si="33"/>
        <v>1</v>
      </c>
      <c r="E159" s="78">
        <f t="shared" si="33"/>
        <v>0</v>
      </c>
      <c r="F159" s="78">
        <f t="shared" si="33"/>
        <v>1</v>
      </c>
      <c r="G159" s="78">
        <f t="shared" si="33"/>
        <v>0</v>
      </c>
      <c r="H159" s="78">
        <f t="shared" si="33"/>
        <v>1</v>
      </c>
      <c r="I159" s="78">
        <f t="shared" si="33"/>
        <v>1</v>
      </c>
      <c r="J159" s="78">
        <f t="shared" si="33"/>
        <v>1</v>
      </c>
      <c r="K159" s="78">
        <f t="shared" si="33"/>
        <v>1</v>
      </c>
      <c r="L159" s="78">
        <f t="shared" si="33"/>
        <v>2</v>
      </c>
      <c r="M159" s="78">
        <f t="shared" si="33"/>
        <v>1</v>
      </c>
      <c r="N159" s="78">
        <f t="shared" si="33"/>
        <v>0</v>
      </c>
      <c r="O159" s="84"/>
    </row>
    <row r="160" spans="1:15" x14ac:dyDescent="0.25">
      <c r="A160" s="59"/>
      <c r="B160" s="89" t="s">
        <v>44</v>
      </c>
      <c r="C160" s="49">
        <v>0.5</v>
      </c>
      <c r="D160" s="49">
        <v>0.5</v>
      </c>
      <c r="E160" s="49">
        <v>0.5</v>
      </c>
      <c r="F160" s="49">
        <v>0.5</v>
      </c>
      <c r="G160" s="49">
        <v>0.5</v>
      </c>
      <c r="H160" s="49">
        <v>0.5</v>
      </c>
      <c r="I160" s="49">
        <v>0.5</v>
      </c>
      <c r="J160" s="49">
        <v>0.5</v>
      </c>
      <c r="K160" s="49">
        <v>0.5</v>
      </c>
      <c r="L160" s="49">
        <v>0.5</v>
      </c>
      <c r="M160" s="49">
        <v>0.5</v>
      </c>
      <c r="N160" s="49">
        <v>0.5</v>
      </c>
      <c r="O160" s="84"/>
    </row>
    <row r="161" spans="1:15" x14ac:dyDescent="0.25">
      <c r="A161" s="59"/>
      <c r="B161" s="78" t="s">
        <v>186</v>
      </c>
      <c r="C161" s="53">
        <f>SUM(174*C160)</f>
        <v>87</v>
      </c>
      <c r="D161" s="53">
        <f t="shared" ref="D161:N161" si="34">SUM(174*D160)</f>
        <v>87</v>
      </c>
      <c r="E161" s="53">
        <f t="shared" si="34"/>
        <v>87</v>
      </c>
      <c r="F161" s="53">
        <f t="shared" si="34"/>
        <v>87</v>
      </c>
      <c r="G161" s="53">
        <f t="shared" si="34"/>
        <v>87</v>
      </c>
      <c r="H161" s="53">
        <f t="shared" si="34"/>
        <v>87</v>
      </c>
      <c r="I161" s="53">
        <f t="shared" si="34"/>
        <v>87</v>
      </c>
      <c r="J161" s="53">
        <f t="shared" si="34"/>
        <v>87</v>
      </c>
      <c r="K161" s="53">
        <f t="shared" si="34"/>
        <v>87</v>
      </c>
      <c r="L161" s="53">
        <f t="shared" si="34"/>
        <v>87</v>
      </c>
      <c r="M161" s="53">
        <f t="shared" si="34"/>
        <v>87</v>
      </c>
      <c r="N161" s="53">
        <f t="shared" si="34"/>
        <v>87</v>
      </c>
      <c r="O161" s="84"/>
    </row>
    <row r="162" spans="1:15" x14ac:dyDescent="0.25">
      <c r="A162" s="59" t="s">
        <v>397</v>
      </c>
      <c r="B162" s="78" t="s">
        <v>256</v>
      </c>
      <c r="C162" s="66">
        <f>SUM(C161*$B$163)</f>
        <v>1318.05</v>
      </c>
      <c r="D162" s="66">
        <f t="shared" ref="D162:N162" si="35">SUM(D161*$B$163)</f>
        <v>1318.05</v>
      </c>
      <c r="E162" s="66">
        <f t="shared" si="35"/>
        <v>1318.05</v>
      </c>
      <c r="F162" s="66">
        <f t="shared" si="35"/>
        <v>1318.05</v>
      </c>
      <c r="G162" s="66">
        <f t="shared" si="35"/>
        <v>1318.05</v>
      </c>
      <c r="H162" s="66">
        <f t="shared" si="35"/>
        <v>1318.05</v>
      </c>
      <c r="I162" s="66">
        <f t="shared" si="35"/>
        <v>1318.05</v>
      </c>
      <c r="J162" s="66">
        <f t="shared" si="35"/>
        <v>1318.05</v>
      </c>
      <c r="K162" s="66">
        <f t="shared" si="35"/>
        <v>1318.05</v>
      </c>
      <c r="L162" s="66">
        <f t="shared" si="35"/>
        <v>1318.05</v>
      </c>
      <c r="M162" s="66">
        <f t="shared" si="35"/>
        <v>1318.05</v>
      </c>
      <c r="N162" s="66">
        <f t="shared" si="35"/>
        <v>1318.05</v>
      </c>
      <c r="O162" s="84"/>
    </row>
    <row r="163" spans="1:15" x14ac:dyDescent="0.25">
      <c r="A163" s="59" t="s">
        <v>188</v>
      </c>
      <c r="B163" s="241">
        <f>14.25+0.9</f>
        <v>15.15</v>
      </c>
      <c r="C163" s="66">
        <f>SUM(C162)*'Data Links'!$B$15</f>
        <v>100.83082499999999</v>
      </c>
      <c r="D163" s="66">
        <f>SUM(D162)*'Data Links'!$B$15</f>
        <v>100.83082499999999</v>
      </c>
      <c r="E163" s="66">
        <f>SUM(E162)*'Data Links'!$B$15</f>
        <v>100.83082499999999</v>
      </c>
      <c r="F163" s="66">
        <f>SUM(F162)*'Data Links'!$B$15</f>
        <v>100.83082499999999</v>
      </c>
      <c r="G163" s="66">
        <f>SUM(G162)*'Data Links'!$B$15</f>
        <v>100.83082499999999</v>
      </c>
      <c r="H163" s="66">
        <f>SUM(H162)*'Data Links'!$B$15</f>
        <v>100.83082499999999</v>
      </c>
      <c r="I163" s="66">
        <f>SUM(I162)*'Data Links'!$B$15</f>
        <v>100.83082499999999</v>
      </c>
      <c r="J163" s="66">
        <f>SUM(J162)*'Data Links'!$B$15</f>
        <v>100.83082499999999</v>
      </c>
      <c r="K163" s="66">
        <f>SUM(K162)*'Data Links'!$B$15</f>
        <v>100.83082499999999</v>
      </c>
      <c r="L163" s="66">
        <f>SUM(L162)*'Data Links'!$B$15</f>
        <v>100.83082499999999</v>
      </c>
      <c r="M163" s="66">
        <f>SUM(M162)*'Data Links'!$B$15</f>
        <v>100.83082499999999</v>
      </c>
      <c r="N163" s="66">
        <f>SUM(N162)*'Data Links'!$B$15</f>
        <v>100.83082499999999</v>
      </c>
      <c r="O163" s="84"/>
    </row>
    <row r="164" spans="1:15" x14ac:dyDescent="0.25">
      <c r="A164" s="59" t="s">
        <v>189</v>
      </c>
      <c r="B164" s="241">
        <f>12.24+0.9</f>
        <v>13.14</v>
      </c>
      <c r="C164" s="66">
        <f>SUM(C162*'Data Links'!$B$13)</f>
        <v>7.9082999999999997</v>
      </c>
      <c r="D164" s="66">
        <f>SUM(D162*'Data Links'!$B$13)</f>
        <v>7.9082999999999997</v>
      </c>
      <c r="E164" s="66">
        <f>SUM(E162*'Data Links'!$B$13)</f>
        <v>7.9082999999999997</v>
      </c>
      <c r="F164" s="66">
        <f>SUM(F162*'Data Links'!$B$13)</f>
        <v>7.9082999999999997</v>
      </c>
      <c r="G164" s="66">
        <f>SUM(G162*'Data Links'!$B$13)</f>
        <v>7.9082999999999997</v>
      </c>
      <c r="H164" s="66">
        <f>SUM(H162*'Data Links'!$B$13)</f>
        <v>7.9082999999999997</v>
      </c>
      <c r="I164" s="66">
        <f>SUM(I162*'Data Links'!$B$13)</f>
        <v>7.9082999999999997</v>
      </c>
      <c r="J164" s="66">
        <f>SUM(J162*'Data Links'!$B$13)</f>
        <v>7.9082999999999997</v>
      </c>
      <c r="K164" s="66">
        <f>SUM(K162*'Data Links'!$B$13)</f>
        <v>7.9082999999999997</v>
      </c>
      <c r="L164" s="66">
        <f>SUM(L162*'Data Links'!$B$13)</f>
        <v>7.9082999999999997</v>
      </c>
      <c r="M164" s="66">
        <f>SUM(M162*'Data Links'!$B$13)</f>
        <v>7.9082999999999997</v>
      </c>
      <c r="N164" s="66">
        <f>SUM(N162*'Data Links'!$B$13)</f>
        <v>7.9082999999999997</v>
      </c>
      <c r="O164" s="84"/>
    </row>
    <row r="165" spans="1:15" x14ac:dyDescent="0.25">
      <c r="A165" s="59" t="s">
        <v>190</v>
      </c>
      <c r="B165" s="60"/>
      <c r="C165" s="66">
        <f>SUM(C161*'Data Links'!$B$8)</f>
        <v>6.7729499999999998</v>
      </c>
      <c r="D165" s="66">
        <f>SUM(D161*'Data Links'!$B$8)</f>
        <v>6.7729499999999998</v>
      </c>
      <c r="E165" s="66">
        <f>SUM(E161*'Data Links'!$B$8)</f>
        <v>6.7729499999999998</v>
      </c>
      <c r="F165" s="66">
        <f>SUM(F161*'Data Links'!$B$8)</f>
        <v>6.7729499999999998</v>
      </c>
      <c r="G165" s="66">
        <f>SUM(G161*'Data Links'!$B$8)</f>
        <v>6.7729499999999998</v>
      </c>
      <c r="H165" s="66">
        <f>SUM(H161*'Data Links'!$B$8)</f>
        <v>6.7729499999999998</v>
      </c>
      <c r="I165" s="66">
        <f>SUM(I161*'Data Links'!$B$8)</f>
        <v>6.7729499999999998</v>
      </c>
      <c r="J165" s="66">
        <f>SUM(J161*'Data Links'!$B$8)</f>
        <v>6.7729499999999998</v>
      </c>
      <c r="K165" s="66">
        <f>SUM(K161*'Data Links'!$B$8)</f>
        <v>6.7729499999999998</v>
      </c>
      <c r="L165" s="66">
        <f>SUM(L161*'Data Links'!$B$8)</f>
        <v>6.7729499999999998</v>
      </c>
      <c r="M165" s="66">
        <f>SUM(M161*'Data Links'!$B$8)</f>
        <v>6.7729499999999998</v>
      </c>
      <c r="N165" s="66">
        <f>SUM(N161*'Data Links'!$B$8)</f>
        <v>6.7729499999999998</v>
      </c>
      <c r="O165" s="84"/>
    </row>
    <row r="166" spans="1:15" x14ac:dyDescent="0.25">
      <c r="A166" s="59" t="s">
        <v>191</v>
      </c>
      <c r="B166" s="60"/>
      <c r="C166" s="66"/>
      <c r="D166" s="66"/>
      <c r="E166" s="66"/>
      <c r="F166" s="66"/>
      <c r="G166" s="66"/>
      <c r="H166" s="66"/>
      <c r="I166" s="66"/>
      <c r="J166" s="66"/>
      <c r="K166" s="66"/>
      <c r="L166" s="66"/>
      <c r="M166" s="66"/>
      <c r="N166" s="66"/>
      <c r="O166" s="84"/>
    </row>
    <row r="167" spans="1:15" x14ac:dyDescent="0.25">
      <c r="A167" s="59" t="s">
        <v>192</v>
      </c>
      <c r="B167" s="60"/>
      <c r="C167" s="66">
        <f>SUM(C162*'Data Links'!$B$17)</f>
        <v>39.541499999999999</v>
      </c>
      <c r="D167" s="66">
        <f>SUM(D162*'Data Links'!$B$17)</f>
        <v>39.541499999999999</v>
      </c>
      <c r="E167" s="66">
        <f>SUM(E162*'Data Links'!$B$17)</f>
        <v>39.541499999999999</v>
      </c>
      <c r="F167" s="66">
        <f>SUM(F162*'Data Links'!$B$17)</f>
        <v>39.541499999999999</v>
      </c>
      <c r="G167" s="66">
        <f>SUM(G162*'Data Links'!$B$17)</f>
        <v>39.541499999999999</v>
      </c>
      <c r="H167" s="66">
        <f>SUM(H162*'Data Links'!$B$17)</f>
        <v>39.541499999999999</v>
      </c>
      <c r="I167" s="66">
        <f>SUM(I162*'Data Links'!$B$17)</f>
        <v>39.541499999999999</v>
      </c>
      <c r="J167" s="66">
        <f>SUM(J162*'Data Links'!$B$17)</f>
        <v>39.541499999999999</v>
      </c>
      <c r="K167" s="66">
        <f>SUM(K162*'Data Links'!$B$17)</f>
        <v>39.541499999999999</v>
      </c>
      <c r="L167" s="66">
        <f>SUM(L162*'Data Links'!$B$17)</f>
        <v>39.541499999999999</v>
      </c>
      <c r="M167" s="66">
        <f>SUM(M162*'Data Links'!$B$17)</f>
        <v>39.541499999999999</v>
      </c>
      <c r="N167" s="66">
        <f>SUM(N162*'Data Links'!$B$17)</f>
        <v>39.541499999999999</v>
      </c>
      <c r="O167" s="84"/>
    </row>
    <row r="168" spans="1:15" x14ac:dyDescent="0.25">
      <c r="A168" s="58" t="s">
        <v>144</v>
      </c>
      <c r="B168" s="60"/>
      <c r="C168" s="60">
        <f t="shared" ref="C168:N168" si="36">SUM(C162:C167)</f>
        <v>1473.1035750000001</v>
      </c>
      <c r="D168" s="60">
        <f t="shared" si="36"/>
        <v>1473.1035750000001</v>
      </c>
      <c r="E168" s="60">
        <f t="shared" si="36"/>
        <v>1473.1035750000001</v>
      </c>
      <c r="F168" s="60">
        <f t="shared" si="36"/>
        <v>1473.1035750000001</v>
      </c>
      <c r="G168" s="60">
        <f t="shared" si="36"/>
        <v>1473.1035750000001</v>
      </c>
      <c r="H168" s="60">
        <f t="shared" si="36"/>
        <v>1473.1035750000001</v>
      </c>
      <c r="I168" s="60">
        <f t="shared" si="36"/>
        <v>1473.1035750000001</v>
      </c>
      <c r="J168" s="60">
        <f t="shared" si="36"/>
        <v>1473.1035750000001</v>
      </c>
      <c r="K168" s="60">
        <f t="shared" si="36"/>
        <v>1473.1035750000001</v>
      </c>
      <c r="L168" s="60">
        <f t="shared" si="36"/>
        <v>1473.1035750000001</v>
      </c>
      <c r="M168" s="60">
        <f t="shared" si="36"/>
        <v>1473.1035750000001</v>
      </c>
      <c r="N168" s="60">
        <f t="shared" si="36"/>
        <v>1473.1035750000001</v>
      </c>
      <c r="O168" s="60">
        <f>SUM(C168:N168)</f>
        <v>17677.242900000005</v>
      </c>
    </row>
    <row r="169" spans="1:15" x14ac:dyDescent="0.25">
      <c r="A169" s="59"/>
      <c r="B169" s="60"/>
      <c r="C169" s="60"/>
      <c r="D169" s="66"/>
      <c r="E169" s="66"/>
      <c r="F169" s="66"/>
      <c r="G169" s="66"/>
      <c r="H169" s="66"/>
      <c r="I169" s="66"/>
      <c r="J169" s="66"/>
      <c r="K169" s="66"/>
      <c r="L169" s="66"/>
      <c r="M169" s="66"/>
      <c r="N169" s="66"/>
      <c r="O169" s="84"/>
    </row>
    <row r="170" spans="1:15" x14ac:dyDescent="0.25">
      <c r="A170" s="59"/>
      <c r="B170" s="60"/>
      <c r="C170" s="89" t="str">
        <f>C157</f>
        <v>January</v>
      </c>
      <c r="D170" s="89" t="str">
        <f t="shared" ref="D170:N170" si="37">D157</f>
        <v>February</v>
      </c>
      <c r="E170" s="89" t="str">
        <f t="shared" si="37"/>
        <v>March</v>
      </c>
      <c r="F170" s="89" t="str">
        <f t="shared" si="37"/>
        <v>April</v>
      </c>
      <c r="G170" s="89" t="str">
        <f t="shared" si="37"/>
        <v>May</v>
      </c>
      <c r="H170" s="89" t="str">
        <f t="shared" si="37"/>
        <v>June</v>
      </c>
      <c r="I170" s="89" t="str">
        <f t="shared" si="37"/>
        <v>July</v>
      </c>
      <c r="J170" s="89" t="str">
        <f t="shared" si="37"/>
        <v>August</v>
      </c>
      <c r="K170" s="89" t="str">
        <f t="shared" si="37"/>
        <v>September</v>
      </c>
      <c r="L170" s="89" t="str">
        <f t="shared" si="37"/>
        <v>October</v>
      </c>
      <c r="M170" s="89" t="str">
        <f t="shared" si="37"/>
        <v>November</v>
      </c>
      <c r="N170" s="89" t="str">
        <f t="shared" si="37"/>
        <v>December</v>
      </c>
      <c r="O170" s="84"/>
    </row>
    <row r="171" spans="1:15" x14ac:dyDescent="0.25">
      <c r="A171" s="59"/>
      <c r="B171" s="60"/>
      <c r="C171" s="89">
        <f t="shared" ref="C171:N172" si="38">C158</f>
        <v>30</v>
      </c>
      <c r="D171" s="89">
        <f t="shared" si="38"/>
        <v>31</v>
      </c>
      <c r="E171" s="89">
        <f t="shared" si="38"/>
        <v>30</v>
      </c>
      <c r="F171" s="89">
        <f t="shared" si="38"/>
        <v>31</v>
      </c>
      <c r="G171" s="89">
        <f t="shared" si="38"/>
        <v>31</v>
      </c>
      <c r="H171" s="89">
        <f t="shared" si="38"/>
        <v>30</v>
      </c>
      <c r="I171" s="89">
        <f t="shared" si="38"/>
        <v>31</v>
      </c>
      <c r="J171" s="89">
        <f t="shared" si="38"/>
        <v>30</v>
      </c>
      <c r="K171" s="89">
        <f t="shared" si="38"/>
        <v>31</v>
      </c>
      <c r="L171" s="89">
        <f t="shared" si="38"/>
        <v>31</v>
      </c>
      <c r="M171" s="89">
        <f t="shared" si="38"/>
        <v>28</v>
      </c>
      <c r="N171" s="89">
        <f t="shared" si="38"/>
        <v>31</v>
      </c>
      <c r="O171" s="84"/>
    </row>
    <row r="172" spans="1:15" x14ac:dyDescent="0.25">
      <c r="A172" s="59"/>
      <c r="B172" s="89" t="s">
        <v>185</v>
      </c>
      <c r="C172" s="78">
        <f t="shared" si="38"/>
        <v>0</v>
      </c>
      <c r="D172" s="78">
        <f t="shared" si="38"/>
        <v>1</v>
      </c>
      <c r="E172" s="78">
        <f t="shared" si="38"/>
        <v>0</v>
      </c>
      <c r="F172" s="78">
        <f t="shared" si="38"/>
        <v>1</v>
      </c>
      <c r="G172" s="78">
        <f t="shared" si="38"/>
        <v>0</v>
      </c>
      <c r="H172" s="78">
        <f t="shared" si="38"/>
        <v>1</v>
      </c>
      <c r="I172" s="78">
        <f t="shared" si="38"/>
        <v>1</v>
      </c>
      <c r="J172" s="78">
        <f t="shared" si="38"/>
        <v>1</v>
      </c>
      <c r="K172" s="78">
        <f t="shared" si="38"/>
        <v>1</v>
      </c>
      <c r="L172" s="78">
        <f t="shared" si="38"/>
        <v>2</v>
      </c>
      <c r="M172" s="78">
        <f t="shared" si="38"/>
        <v>1</v>
      </c>
      <c r="N172" s="78">
        <f t="shared" si="38"/>
        <v>0</v>
      </c>
      <c r="O172" s="84"/>
    </row>
    <row r="173" spans="1:15" x14ac:dyDescent="0.25">
      <c r="A173" s="59"/>
      <c r="B173" s="89" t="s">
        <v>44</v>
      </c>
      <c r="C173" s="49">
        <f>SUM('Program Support Allocations'!$C$17)</f>
        <v>3.4482758620689655E-2</v>
      </c>
      <c r="D173" s="49">
        <f>SUM('Program Support Allocations'!$C$17)</f>
        <v>3.4482758620689655E-2</v>
      </c>
      <c r="E173" s="49">
        <f>SUM('Program Support Allocations'!$C$17)</f>
        <v>3.4482758620689655E-2</v>
      </c>
      <c r="F173" s="49">
        <f>SUM('Program Support Allocations'!$C$17)</f>
        <v>3.4482758620689655E-2</v>
      </c>
      <c r="G173" s="49">
        <f>SUM('Program Support Allocations'!$C$17)</f>
        <v>3.4482758620689655E-2</v>
      </c>
      <c r="H173" s="49">
        <f>SUM('Program Support Allocations'!$C$17)</f>
        <v>3.4482758620689655E-2</v>
      </c>
      <c r="I173" s="49">
        <f>SUM('Program Support Allocations'!$C$17)</f>
        <v>3.4482758620689655E-2</v>
      </c>
      <c r="J173" s="49">
        <f>SUM('Program Support Allocations'!$C$17)</f>
        <v>3.4482758620689655E-2</v>
      </c>
      <c r="K173" s="49">
        <f>SUM('Program Support Allocations'!$C$17)</f>
        <v>3.4482758620689655E-2</v>
      </c>
      <c r="L173" s="49">
        <f>SUM('Program Support Allocations'!$C$17)</f>
        <v>3.4482758620689655E-2</v>
      </c>
      <c r="M173" s="49">
        <f>SUM('Program Support Allocations'!$C$17)</f>
        <v>3.4482758620689655E-2</v>
      </c>
      <c r="N173" s="49">
        <f>SUM('Program Support Allocations'!$C$17)</f>
        <v>3.4482758620689655E-2</v>
      </c>
      <c r="O173" s="84"/>
    </row>
    <row r="174" spans="1:15" x14ac:dyDescent="0.25">
      <c r="A174" s="59"/>
      <c r="B174" s="89" t="s">
        <v>186</v>
      </c>
      <c r="C174" s="53">
        <f>SUM(174*C173)</f>
        <v>6</v>
      </c>
      <c r="D174" s="53">
        <f t="shared" ref="D174:N174" si="39">SUM(174*D173)</f>
        <v>6</v>
      </c>
      <c r="E174" s="53">
        <f t="shared" si="39"/>
        <v>6</v>
      </c>
      <c r="F174" s="53">
        <f t="shared" si="39"/>
        <v>6</v>
      </c>
      <c r="G174" s="53">
        <f t="shared" si="39"/>
        <v>6</v>
      </c>
      <c r="H174" s="53">
        <f t="shared" si="39"/>
        <v>6</v>
      </c>
      <c r="I174" s="53">
        <f t="shared" si="39"/>
        <v>6</v>
      </c>
      <c r="J174" s="53">
        <f t="shared" si="39"/>
        <v>6</v>
      </c>
      <c r="K174" s="53">
        <f t="shared" si="39"/>
        <v>6</v>
      </c>
      <c r="L174" s="53">
        <f t="shared" si="39"/>
        <v>6</v>
      </c>
      <c r="M174" s="53">
        <f t="shared" si="39"/>
        <v>6</v>
      </c>
      <c r="N174" s="53">
        <f t="shared" si="39"/>
        <v>6</v>
      </c>
      <c r="O174" s="84"/>
    </row>
    <row r="175" spans="1:15" x14ac:dyDescent="0.25">
      <c r="A175" s="59" t="s">
        <v>349</v>
      </c>
      <c r="B175" s="78" t="s">
        <v>348</v>
      </c>
      <c r="C175" s="66">
        <f>SUM(C174*$B$176)</f>
        <v>94.5</v>
      </c>
      <c r="D175" s="66">
        <f t="shared" ref="D175:N175" si="40">SUM(D174*$B$176)</f>
        <v>94.5</v>
      </c>
      <c r="E175" s="66">
        <f t="shared" si="40"/>
        <v>94.5</v>
      </c>
      <c r="F175" s="66">
        <f t="shared" si="40"/>
        <v>94.5</v>
      </c>
      <c r="G175" s="66">
        <f t="shared" si="40"/>
        <v>94.5</v>
      </c>
      <c r="H175" s="66">
        <f t="shared" si="40"/>
        <v>94.5</v>
      </c>
      <c r="I175" s="66">
        <f t="shared" si="40"/>
        <v>94.5</v>
      </c>
      <c r="J175" s="66">
        <f t="shared" si="40"/>
        <v>94.5</v>
      </c>
      <c r="K175" s="66">
        <f t="shared" si="40"/>
        <v>94.5</v>
      </c>
      <c r="L175" s="66">
        <f t="shared" si="40"/>
        <v>94.5</v>
      </c>
      <c r="M175" s="66">
        <f t="shared" si="40"/>
        <v>94.5</v>
      </c>
      <c r="N175" s="66">
        <f t="shared" si="40"/>
        <v>94.5</v>
      </c>
      <c r="O175" s="84"/>
    </row>
    <row r="176" spans="1:15" x14ac:dyDescent="0.25">
      <c r="A176" s="59" t="s">
        <v>188</v>
      </c>
      <c r="B176" s="74">
        <v>15.75</v>
      </c>
      <c r="C176" s="66">
        <f>SUM(C175)*'Data Links'!$B$15</f>
        <v>7.2292499999999995</v>
      </c>
      <c r="D176" s="66">
        <f>SUM(D175)*'Data Links'!$B$15</f>
        <v>7.2292499999999995</v>
      </c>
      <c r="E176" s="66">
        <f>SUM(E175)*'Data Links'!$B$15</f>
        <v>7.2292499999999995</v>
      </c>
      <c r="F176" s="66">
        <f>SUM(F175)*'Data Links'!$B$15</f>
        <v>7.2292499999999995</v>
      </c>
      <c r="G176" s="66">
        <f>SUM(G175)*'Data Links'!$B$15</f>
        <v>7.2292499999999995</v>
      </c>
      <c r="H176" s="66">
        <f>SUM(H175)*'Data Links'!$B$15</f>
        <v>7.2292499999999995</v>
      </c>
      <c r="I176" s="66">
        <f>SUM(I175)*'Data Links'!$B$15</f>
        <v>7.2292499999999995</v>
      </c>
      <c r="J176" s="66">
        <f>SUM(J175)*'Data Links'!$B$15</f>
        <v>7.2292499999999995</v>
      </c>
      <c r="K176" s="66">
        <f>SUM(K175)*'Data Links'!$B$15</f>
        <v>7.2292499999999995</v>
      </c>
      <c r="L176" s="66">
        <f>SUM(L175)*'Data Links'!$B$15</f>
        <v>7.2292499999999995</v>
      </c>
      <c r="M176" s="66">
        <f>SUM(M175)*'Data Links'!$B$15</f>
        <v>7.2292499999999995</v>
      </c>
      <c r="N176" s="66">
        <f>SUM(N175)*'Data Links'!$B$15</f>
        <v>7.2292499999999995</v>
      </c>
      <c r="O176" s="84"/>
    </row>
    <row r="177" spans="1:15" x14ac:dyDescent="0.25">
      <c r="A177" s="59" t="s">
        <v>189</v>
      </c>
      <c r="B177" s="74">
        <v>14.66</v>
      </c>
      <c r="C177" s="66">
        <f>SUM(C175*'Data Links'!$B$13)</f>
        <v>0.56700000000000006</v>
      </c>
      <c r="D177" s="66">
        <f>SUM(D175*'Data Links'!$B$13)</f>
        <v>0.56700000000000006</v>
      </c>
      <c r="E177" s="66">
        <f>SUM(E175*'Data Links'!$B$13)</f>
        <v>0.56700000000000006</v>
      </c>
      <c r="F177" s="66">
        <f>SUM(F175*'Data Links'!$B$13)</f>
        <v>0.56700000000000006</v>
      </c>
      <c r="G177" s="66">
        <f>SUM(G175*'Data Links'!$B$13)</f>
        <v>0.56700000000000006</v>
      </c>
      <c r="H177" s="66">
        <f>SUM(H175*'Data Links'!$B$13)</f>
        <v>0.56700000000000006</v>
      </c>
      <c r="I177" s="66">
        <f>SUM(I175*'Data Links'!$B$13)</f>
        <v>0.56700000000000006</v>
      </c>
      <c r="J177" s="66">
        <f>SUM(J175*'Data Links'!$B$13)</f>
        <v>0.56700000000000006</v>
      </c>
      <c r="K177" s="66">
        <f>SUM(K175*'Data Links'!$B$13)</f>
        <v>0.56700000000000006</v>
      </c>
      <c r="L177" s="66">
        <f>SUM(L175*'Data Links'!$B$13)</f>
        <v>0.56700000000000006</v>
      </c>
      <c r="M177" s="66">
        <f>SUM(M175*'Data Links'!$B$13)</f>
        <v>0.56700000000000006</v>
      </c>
      <c r="N177" s="66">
        <f>SUM(N175*'Data Links'!$B$13)</f>
        <v>0.56700000000000006</v>
      </c>
      <c r="O177" s="84"/>
    </row>
    <row r="178" spans="1:15" x14ac:dyDescent="0.25">
      <c r="A178" s="59" t="s">
        <v>190</v>
      </c>
      <c r="B178" s="60"/>
      <c r="C178" s="66">
        <f>SUM(C174*'Data Links'!$B$8)</f>
        <v>0.46710000000000002</v>
      </c>
      <c r="D178" s="66">
        <f>SUM(D174*'Data Links'!$B$8)</f>
        <v>0.46710000000000002</v>
      </c>
      <c r="E178" s="66">
        <f>SUM(E174*'Data Links'!$B$8)</f>
        <v>0.46710000000000002</v>
      </c>
      <c r="F178" s="66">
        <f>SUM(F174*'Data Links'!$B$8)</f>
        <v>0.46710000000000002</v>
      </c>
      <c r="G178" s="66">
        <f>SUM(G174*'Data Links'!$B$8)</f>
        <v>0.46710000000000002</v>
      </c>
      <c r="H178" s="66">
        <f>SUM(H174*'Data Links'!$B$8)</f>
        <v>0.46710000000000002</v>
      </c>
      <c r="I178" s="66">
        <f>SUM(I174*'Data Links'!$B$8)</f>
        <v>0.46710000000000002</v>
      </c>
      <c r="J178" s="66">
        <f>SUM(J174*'Data Links'!$B$8)</f>
        <v>0.46710000000000002</v>
      </c>
      <c r="K178" s="66">
        <f>SUM(K174*'Data Links'!$B$8)</f>
        <v>0.46710000000000002</v>
      </c>
      <c r="L178" s="66">
        <f>SUM(L174*'Data Links'!$B$8)</f>
        <v>0.46710000000000002</v>
      </c>
      <c r="M178" s="66">
        <f>SUM(M174*'Data Links'!$B$8)</f>
        <v>0.46710000000000002</v>
      </c>
      <c r="N178" s="66">
        <f>SUM(N174*'Data Links'!$B$8)</f>
        <v>0.46710000000000002</v>
      </c>
      <c r="O178" s="84"/>
    </row>
    <row r="179" spans="1:15" x14ac:dyDescent="0.25">
      <c r="A179" s="59" t="s">
        <v>191</v>
      </c>
      <c r="B179" s="60"/>
      <c r="C179" s="66">
        <f>SUM('All Employees'!$P$47)*C173</f>
        <v>13.676131034482758</v>
      </c>
      <c r="D179" s="66">
        <f>SUM('All Employees'!$P$47)*D173</f>
        <v>13.676131034482758</v>
      </c>
      <c r="E179" s="66">
        <f>SUM('All Employees'!$P$47)*E173</f>
        <v>13.676131034482758</v>
      </c>
      <c r="F179" s="66">
        <f>SUM('All Employees'!$P$47)*F173</f>
        <v>13.676131034482758</v>
      </c>
      <c r="G179" s="66">
        <f>SUM('All Employees'!$P$47)*G173</f>
        <v>13.676131034482758</v>
      </c>
      <c r="H179" s="66">
        <f>SUM('All Employees'!$P$47)*H173</f>
        <v>13.676131034482758</v>
      </c>
      <c r="I179" s="66">
        <f>SUM('All Employees'!$P$47)*I173</f>
        <v>13.676131034482758</v>
      </c>
      <c r="J179" s="66">
        <f>SUM('All Employees'!$P$47)*J173</f>
        <v>13.676131034482758</v>
      </c>
      <c r="K179" s="66">
        <f>SUM('All Employees'!$P$47)*K173</f>
        <v>13.676131034482758</v>
      </c>
      <c r="L179" s="66">
        <f>SUM('All Employees'!$P$47)*L173</f>
        <v>13.676131034482758</v>
      </c>
      <c r="M179" s="66">
        <f>SUM('All Employees'!$P$47)*M173</f>
        <v>13.676131034482758</v>
      </c>
      <c r="N179" s="66">
        <f>SUM('All Employees'!$P$47)*N173</f>
        <v>13.676131034482758</v>
      </c>
      <c r="O179" s="84"/>
    </row>
    <row r="180" spans="1:15" x14ac:dyDescent="0.25">
      <c r="A180" s="59" t="s">
        <v>192</v>
      </c>
      <c r="B180" s="60"/>
      <c r="C180" s="66"/>
      <c r="D180" s="66"/>
      <c r="E180" s="66"/>
      <c r="F180" s="66"/>
      <c r="G180" s="66"/>
      <c r="H180" s="66"/>
      <c r="I180" s="66"/>
      <c r="J180" s="66"/>
      <c r="K180" s="66"/>
      <c r="L180" s="66"/>
      <c r="M180" s="66"/>
      <c r="N180" s="66"/>
      <c r="O180" s="84"/>
    </row>
    <row r="181" spans="1:15" x14ac:dyDescent="0.25">
      <c r="A181" s="58" t="s">
        <v>144</v>
      </c>
      <c r="B181" s="60"/>
      <c r="C181" s="60">
        <f t="shared" ref="C181:N181" si="41">SUM(C175:C180)</f>
        <v>116.43948103448275</v>
      </c>
      <c r="D181" s="60">
        <f t="shared" si="41"/>
        <v>116.43948103448275</v>
      </c>
      <c r="E181" s="60">
        <f t="shared" si="41"/>
        <v>116.43948103448275</v>
      </c>
      <c r="F181" s="60">
        <f t="shared" si="41"/>
        <v>116.43948103448275</v>
      </c>
      <c r="G181" s="60">
        <f t="shared" si="41"/>
        <v>116.43948103448275</v>
      </c>
      <c r="H181" s="60">
        <f t="shared" si="41"/>
        <v>116.43948103448275</v>
      </c>
      <c r="I181" s="60">
        <f t="shared" si="41"/>
        <v>116.43948103448275</v>
      </c>
      <c r="J181" s="60">
        <f t="shared" si="41"/>
        <v>116.43948103448275</v>
      </c>
      <c r="K181" s="60">
        <f t="shared" si="41"/>
        <v>116.43948103448275</v>
      </c>
      <c r="L181" s="60">
        <f t="shared" si="41"/>
        <v>116.43948103448275</v>
      </c>
      <c r="M181" s="60">
        <f t="shared" si="41"/>
        <v>116.43948103448275</v>
      </c>
      <c r="N181" s="60">
        <f t="shared" si="41"/>
        <v>116.43948103448275</v>
      </c>
      <c r="O181" s="58"/>
    </row>
    <row r="182" spans="1:15" x14ac:dyDescent="0.25">
      <c r="A182" s="59"/>
      <c r="B182" s="60"/>
      <c r="C182" s="60"/>
      <c r="D182" s="66"/>
      <c r="E182" s="66"/>
      <c r="F182" s="66"/>
      <c r="G182" s="66"/>
      <c r="H182" s="66"/>
      <c r="I182" s="66"/>
      <c r="J182" s="66"/>
      <c r="K182" s="66"/>
      <c r="L182" s="66"/>
      <c r="M182" s="66"/>
      <c r="N182" s="66"/>
      <c r="O182" s="84"/>
    </row>
    <row r="183" spans="1:15" hidden="1" x14ac:dyDescent="0.25">
      <c r="A183" s="59"/>
      <c r="B183" s="60"/>
      <c r="C183" s="89" t="str">
        <f>C170</f>
        <v>January</v>
      </c>
      <c r="D183" s="89" t="str">
        <f t="shared" ref="D183:N183" si="42">D170</f>
        <v>February</v>
      </c>
      <c r="E183" s="89" t="str">
        <f t="shared" si="42"/>
        <v>March</v>
      </c>
      <c r="F183" s="89" t="str">
        <f t="shared" si="42"/>
        <v>April</v>
      </c>
      <c r="G183" s="89" t="str">
        <f t="shared" si="42"/>
        <v>May</v>
      </c>
      <c r="H183" s="89" t="str">
        <f t="shared" si="42"/>
        <v>June</v>
      </c>
      <c r="I183" s="89" t="str">
        <f t="shared" si="42"/>
        <v>July</v>
      </c>
      <c r="J183" s="89" t="str">
        <f t="shared" si="42"/>
        <v>August</v>
      </c>
      <c r="K183" s="89" t="str">
        <f t="shared" si="42"/>
        <v>September</v>
      </c>
      <c r="L183" s="89" t="str">
        <f t="shared" si="42"/>
        <v>October</v>
      </c>
      <c r="M183" s="89" t="str">
        <f t="shared" si="42"/>
        <v>November</v>
      </c>
      <c r="N183" s="89" t="str">
        <f t="shared" si="42"/>
        <v>December</v>
      </c>
      <c r="O183" s="84"/>
    </row>
    <row r="184" spans="1:15" hidden="1" x14ac:dyDescent="0.25">
      <c r="A184" s="59"/>
      <c r="B184" s="60"/>
      <c r="C184" s="89">
        <f t="shared" ref="C184:N185" si="43">C171</f>
        <v>30</v>
      </c>
      <c r="D184" s="89">
        <f t="shared" si="43"/>
        <v>31</v>
      </c>
      <c r="E184" s="89">
        <f t="shared" si="43"/>
        <v>30</v>
      </c>
      <c r="F184" s="89">
        <f t="shared" si="43"/>
        <v>31</v>
      </c>
      <c r="G184" s="89">
        <f t="shared" si="43"/>
        <v>31</v>
      </c>
      <c r="H184" s="89">
        <f t="shared" si="43"/>
        <v>30</v>
      </c>
      <c r="I184" s="89">
        <f t="shared" si="43"/>
        <v>31</v>
      </c>
      <c r="J184" s="89">
        <f t="shared" si="43"/>
        <v>30</v>
      </c>
      <c r="K184" s="89">
        <f t="shared" si="43"/>
        <v>31</v>
      </c>
      <c r="L184" s="89">
        <f t="shared" si="43"/>
        <v>31</v>
      </c>
      <c r="M184" s="89">
        <f t="shared" si="43"/>
        <v>28</v>
      </c>
      <c r="N184" s="89">
        <f t="shared" si="43"/>
        <v>31</v>
      </c>
      <c r="O184" s="84"/>
    </row>
    <row r="185" spans="1:15" hidden="1" x14ac:dyDescent="0.25">
      <c r="A185" s="59"/>
      <c r="B185" s="78" t="s">
        <v>185</v>
      </c>
      <c r="C185" s="78">
        <f t="shared" si="43"/>
        <v>0</v>
      </c>
      <c r="D185" s="78">
        <f t="shared" si="43"/>
        <v>1</v>
      </c>
      <c r="E185" s="78">
        <f t="shared" si="43"/>
        <v>0</v>
      </c>
      <c r="F185" s="78">
        <f t="shared" si="43"/>
        <v>1</v>
      </c>
      <c r="G185" s="78">
        <f t="shared" si="43"/>
        <v>0</v>
      </c>
      <c r="H185" s="78">
        <f t="shared" si="43"/>
        <v>1</v>
      </c>
      <c r="I185" s="78">
        <f t="shared" si="43"/>
        <v>1</v>
      </c>
      <c r="J185" s="78">
        <f t="shared" si="43"/>
        <v>1</v>
      </c>
      <c r="K185" s="78">
        <f t="shared" si="43"/>
        <v>1</v>
      </c>
      <c r="L185" s="78">
        <f t="shared" si="43"/>
        <v>2</v>
      </c>
      <c r="M185" s="78">
        <f t="shared" si="43"/>
        <v>1</v>
      </c>
      <c r="N185" s="78">
        <f t="shared" si="43"/>
        <v>0</v>
      </c>
      <c r="O185" s="84"/>
    </row>
    <row r="186" spans="1:15" hidden="1" x14ac:dyDescent="0.25">
      <c r="A186" s="59"/>
      <c r="B186" s="78" t="s">
        <v>44</v>
      </c>
      <c r="C186" s="49"/>
      <c r="D186" s="49"/>
      <c r="E186" s="49"/>
      <c r="F186" s="49"/>
      <c r="G186" s="49"/>
      <c r="H186" s="49"/>
      <c r="I186" s="49"/>
      <c r="J186" s="49"/>
      <c r="K186" s="49"/>
      <c r="L186" s="49"/>
      <c r="M186" s="49"/>
      <c r="N186" s="49"/>
      <c r="O186" s="84"/>
    </row>
    <row r="187" spans="1:15" hidden="1" x14ac:dyDescent="0.25">
      <c r="A187" s="59"/>
      <c r="B187" s="78" t="s">
        <v>186</v>
      </c>
      <c r="C187" s="53">
        <f>SUM(174*C186)</f>
        <v>0</v>
      </c>
      <c r="D187" s="53">
        <f t="shared" ref="D187:N187" si="44">SUM(174*D186)</f>
        <v>0</v>
      </c>
      <c r="E187" s="53">
        <f t="shared" si="44"/>
        <v>0</v>
      </c>
      <c r="F187" s="53">
        <f t="shared" si="44"/>
        <v>0</v>
      </c>
      <c r="G187" s="53">
        <f t="shared" si="44"/>
        <v>0</v>
      </c>
      <c r="H187" s="53">
        <f t="shared" si="44"/>
        <v>0</v>
      </c>
      <c r="I187" s="53">
        <f t="shared" si="44"/>
        <v>0</v>
      </c>
      <c r="J187" s="53">
        <f t="shared" si="44"/>
        <v>0</v>
      </c>
      <c r="K187" s="53">
        <f t="shared" si="44"/>
        <v>0</v>
      </c>
      <c r="L187" s="53">
        <f t="shared" si="44"/>
        <v>0</v>
      </c>
      <c r="M187" s="53">
        <f t="shared" si="44"/>
        <v>0</v>
      </c>
      <c r="N187" s="53">
        <f t="shared" si="44"/>
        <v>0</v>
      </c>
      <c r="O187" s="84"/>
    </row>
    <row r="188" spans="1:15" hidden="1" x14ac:dyDescent="0.25">
      <c r="A188" s="59" t="s">
        <v>193</v>
      </c>
      <c r="B188" s="78" t="s">
        <v>187</v>
      </c>
      <c r="C188" s="66">
        <f>SUM(C187*$B$189)</f>
        <v>0</v>
      </c>
      <c r="D188" s="66">
        <f t="shared" ref="D188:N188" si="45">SUM(D187*$B$189)</f>
        <v>0</v>
      </c>
      <c r="E188" s="66">
        <f t="shared" si="45"/>
        <v>0</v>
      </c>
      <c r="F188" s="66">
        <f t="shared" si="45"/>
        <v>0</v>
      </c>
      <c r="G188" s="66">
        <f t="shared" si="45"/>
        <v>0</v>
      </c>
      <c r="H188" s="66">
        <f t="shared" si="45"/>
        <v>0</v>
      </c>
      <c r="I188" s="66">
        <f t="shared" si="45"/>
        <v>0</v>
      </c>
      <c r="J188" s="66">
        <f t="shared" si="45"/>
        <v>0</v>
      </c>
      <c r="K188" s="66">
        <f t="shared" si="45"/>
        <v>0</v>
      </c>
      <c r="L188" s="66">
        <f t="shared" si="45"/>
        <v>0</v>
      </c>
      <c r="M188" s="66">
        <f t="shared" si="45"/>
        <v>0</v>
      </c>
      <c r="N188" s="66">
        <f t="shared" si="45"/>
        <v>0</v>
      </c>
      <c r="O188" s="84"/>
    </row>
    <row r="189" spans="1:15" hidden="1" x14ac:dyDescent="0.25">
      <c r="A189" s="59" t="s">
        <v>188</v>
      </c>
      <c r="B189" s="74">
        <v>0</v>
      </c>
      <c r="C189" s="66">
        <f>SUM(C188)*'Data Links'!$B$15</f>
        <v>0</v>
      </c>
      <c r="D189" s="66">
        <f>SUM(D188)*'Data Links'!$B$15</f>
        <v>0</v>
      </c>
      <c r="E189" s="66">
        <f>SUM(E188)*'Data Links'!$B$15</f>
        <v>0</v>
      </c>
      <c r="F189" s="66">
        <f>SUM(F188)*'Data Links'!$B$15</f>
        <v>0</v>
      </c>
      <c r="G189" s="66">
        <f>SUM(G188)*'Data Links'!$B$15</f>
        <v>0</v>
      </c>
      <c r="H189" s="66">
        <f>SUM(H188)*'Data Links'!$B$15</f>
        <v>0</v>
      </c>
      <c r="I189" s="66">
        <f>SUM(I188)*'Data Links'!$B$15</f>
        <v>0</v>
      </c>
      <c r="J189" s="66">
        <f>SUM(J188)*'Data Links'!$B$15</f>
        <v>0</v>
      </c>
      <c r="K189" s="66">
        <f>SUM(K188)*'Data Links'!$B$15</f>
        <v>0</v>
      </c>
      <c r="L189" s="66">
        <f>SUM(L188)*'Data Links'!$B$15</f>
        <v>0</v>
      </c>
      <c r="M189" s="66">
        <f>SUM(M188)*'Data Links'!$B$15</f>
        <v>0</v>
      </c>
      <c r="N189" s="66">
        <f>SUM(N188)*'Data Links'!$B$15</f>
        <v>0</v>
      </c>
      <c r="O189" s="84"/>
    </row>
    <row r="190" spans="1:15" hidden="1" x14ac:dyDescent="0.25">
      <c r="A190" s="59" t="s">
        <v>189</v>
      </c>
      <c r="B190" s="60"/>
      <c r="C190" s="66">
        <f>SUM(C188*'Data Links'!$B$13)</f>
        <v>0</v>
      </c>
      <c r="D190" s="66">
        <f>SUM(D188*'Data Links'!$B$13)</f>
        <v>0</v>
      </c>
      <c r="E190" s="66">
        <f>SUM(E188*'Data Links'!$B$13)</f>
        <v>0</v>
      </c>
      <c r="F190" s="66">
        <f>SUM(F188*'Data Links'!$B$13)</f>
        <v>0</v>
      </c>
      <c r="G190" s="66">
        <f>SUM(G188*'Data Links'!$B$13)</f>
        <v>0</v>
      </c>
      <c r="H190" s="66">
        <f>SUM(H188*'Data Links'!$B$13)</f>
        <v>0</v>
      </c>
      <c r="I190" s="66">
        <f>SUM(I188*'Data Links'!$B$13)</f>
        <v>0</v>
      </c>
      <c r="J190" s="66">
        <f>SUM(J188*'Data Links'!$B$13)</f>
        <v>0</v>
      </c>
      <c r="K190" s="66">
        <f>SUM(K188*'Data Links'!$B$13)</f>
        <v>0</v>
      </c>
      <c r="L190" s="66">
        <f>SUM(L188*'Data Links'!$B$13)</f>
        <v>0</v>
      </c>
      <c r="M190" s="66">
        <f>SUM(M188*'Data Links'!$B$13)</f>
        <v>0</v>
      </c>
      <c r="N190" s="66">
        <f>SUM(N188*'Data Links'!$B$13)</f>
        <v>0</v>
      </c>
      <c r="O190" s="84"/>
    </row>
    <row r="191" spans="1:15" hidden="1" x14ac:dyDescent="0.25">
      <c r="A191" s="59" t="s">
        <v>190</v>
      </c>
      <c r="B191" s="60"/>
      <c r="C191" s="66">
        <f>SUM(C187*'Data Links'!$B$8)</f>
        <v>0</v>
      </c>
      <c r="D191" s="66">
        <f>SUM(D187*'Data Links'!$B$8)</f>
        <v>0</v>
      </c>
      <c r="E191" s="66">
        <f>SUM(E187*'Data Links'!$B$8)</f>
        <v>0</v>
      </c>
      <c r="F191" s="66">
        <f>SUM(F187*'Data Links'!$B$8)</f>
        <v>0</v>
      </c>
      <c r="G191" s="66">
        <f>SUM(G187*'Data Links'!$B$8)</f>
        <v>0</v>
      </c>
      <c r="H191" s="66">
        <f>SUM(H187*'Data Links'!$B$8)</f>
        <v>0</v>
      </c>
      <c r="I191" s="66">
        <f>SUM(I187*'Data Links'!$B$8)</f>
        <v>0</v>
      </c>
      <c r="J191" s="66">
        <f>SUM(J187*'Data Links'!$B$8)</f>
        <v>0</v>
      </c>
      <c r="K191" s="66">
        <f>SUM(K187*'Data Links'!$B$8)</f>
        <v>0</v>
      </c>
      <c r="L191" s="66">
        <f>SUM(L187*'Data Links'!$B$8)</f>
        <v>0</v>
      </c>
      <c r="M191" s="66">
        <f>SUM(M187*'Data Links'!$B$8)</f>
        <v>0</v>
      </c>
      <c r="N191" s="66">
        <f>SUM(N187*'Data Links'!$B$8)</f>
        <v>0</v>
      </c>
      <c r="O191" s="84"/>
    </row>
    <row r="192" spans="1:15" hidden="1" x14ac:dyDescent="0.25">
      <c r="A192" s="59" t="s">
        <v>191</v>
      </c>
      <c r="B192" s="60"/>
      <c r="C192" s="66">
        <f>SUM(C186*'Data Links'!$B$26)</f>
        <v>0</v>
      </c>
      <c r="D192" s="66">
        <f>SUM(D186*'Data Links'!$B$26)</f>
        <v>0</v>
      </c>
      <c r="E192" s="66">
        <f>SUM(E186*'Data Links'!$B$26)</f>
        <v>0</v>
      </c>
      <c r="F192" s="66">
        <f>SUM(F186*'Data Links'!$B$26)</f>
        <v>0</v>
      </c>
      <c r="G192" s="66">
        <f>SUM(G186*'Data Links'!$B$26)</f>
        <v>0</v>
      </c>
      <c r="H192" s="66">
        <f>SUM(H186*'Data Links'!$B$26)</f>
        <v>0</v>
      </c>
      <c r="I192" s="66">
        <f>SUM(I186*'Data Links'!$B$26)</f>
        <v>0</v>
      </c>
      <c r="J192" s="66">
        <f>SUM(J186*'Data Links'!$B$26)</f>
        <v>0</v>
      </c>
      <c r="K192" s="66">
        <f>SUM(K186*'Data Links'!$B$26)</f>
        <v>0</v>
      </c>
      <c r="L192" s="66">
        <f>SUM(L186*'Data Links'!$B$26)</f>
        <v>0</v>
      </c>
      <c r="M192" s="66">
        <f>SUM(M186*'Data Links'!$B$26)</f>
        <v>0</v>
      </c>
      <c r="N192" s="66">
        <f>SUM(N186*'Data Links'!$B$26)</f>
        <v>0</v>
      </c>
      <c r="O192" s="84"/>
    </row>
    <row r="193" spans="1:15" hidden="1" x14ac:dyDescent="0.25">
      <c r="A193" s="59" t="s">
        <v>192</v>
      </c>
      <c r="B193" s="60"/>
      <c r="C193" s="66">
        <f>SUM(C188*'Data Links'!$B$17)</f>
        <v>0</v>
      </c>
      <c r="D193" s="66">
        <f>SUM(D188*'Data Links'!$B$17)</f>
        <v>0</v>
      </c>
      <c r="E193" s="66">
        <f>SUM(E188*'Data Links'!$B$17)</f>
        <v>0</v>
      </c>
      <c r="F193" s="66">
        <f>SUM(F188*'Data Links'!$B$17)</f>
        <v>0</v>
      </c>
      <c r="G193" s="66">
        <f>SUM(G188*'Data Links'!$B$17)</f>
        <v>0</v>
      </c>
      <c r="H193" s="66">
        <f>SUM(H188*'Data Links'!$B$17)</f>
        <v>0</v>
      </c>
      <c r="I193" s="66">
        <f>SUM(I188*'Data Links'!$B$17)</f>
        <v>0</v>
      </c>
      <c r="J193" s="66">
        <f>SUM(J188*'Data Links'!$B$17)</f>
        <v>0</v>
      </c>
      <c r="K193" s="66">
        <f>SUM(K188*'Data Links'!$B$17)</f>
        <v>0</v>
      </c>
      <c r="L193" s="66">
        <f>SUM(L188*'Data Links'!$B$17)</f>
        <v>0</v>
      </c>
      <c r="M193" s="66">
        <f>SUM(M188*'Data Links'!$B$17)</f>
        <v>0</v>
      </c>
      <c r="N193" s="66">
        <f>SUM(N188*'Data Links'!$B$17)</f>
        <v>0</v>
      </c>
      <c r="O193" s="84"/>
    </row>
    <row r="194" spans="1:15" hidden="1" x14ac:dyDescent="0.25">
      <c r="A194" s="58" t="s">
        <v>144</v>
      </c>
      <c r="B194" s="60"/>
      <c r="C194" s="60">
        <f t="shared" ref="C194:N194" si="46">SUM(C188:C193)</f>
        <v>0</v>
      </c>
      <c r="D194" s="60">
        <f t="shared" si="46"/>
        <v>0</v>
      </c>
      <c r="E194" s="60">
        <f t="shared" si="46"/>
        <v>0</v>
      </c>
      <c r="F194" s="60">
        <f t="shared" si="46"/>
        <v>0</v>
      </c>
      <c r="G194" s="60">
        <f t="shared" si="46"/>
        <v>0</v>
      </c>
      <c r="H194" s="60">
        <f t="shared" si="46"/>
        <v>0</v>
      </c>
      <c r="I194" s="60">
        <f t="shared" si="46"/>
        <v>0</v>
      </c>
      <c r="J194" s="60">
        <f t="shared" si="46"/>
        <v>0</v>
      </c>
      <c r="K194" s="60">
        <f t="shared" si="46"/>
        <v>0</v>
      </c>
      <c r="L194" s="60">
        <f t="shared" si="46"/>
        <v>0</v>
      </c>
      <c r="M194" s="60">
        <f t="shared" si="46"/>
        <v>0</v>
      </c>
      <c r="N194" s="60">
        <f t="shared" si="46"/>
        <v>0</v>
      </c>
      <c r="O194" s="60">
        <f>SUM(C194:N194)</f>
        <v>0</v>
      </c>
    </row>
    <row r="195" spans="1:15" x14ac:dyDescent="0.25">
      <c r="A195" s="59"/>
      <c r="B195" s="60"/>
      <c r="C195" s="60"/>
      <c r="D195" s="66"/>
      <c r="E195" s="66"/>
      <c r="F195" s="66"/>
      <c r="G195" s="66"/>
      <c r="H195" s="66"/>
      <c r="I195" s="66"/>
      <c r="J195" s="66"/>
      <c r="K195" s="66"/>
      <c r="L195" s="66"/>
      <c r="M195" s="66"/>
      <c r="N195" s="66"/>
      <c r="O195" s="84"/>
    </row>
    <row r="196" spans="1:15" hidden="1" x14ac:dyDescent="0.25">
      <c r="A196" s="59"/>
      <c r="B196" s="60"/>
      <c r="C196" s="89" t="str">
        <f>C183</f>
        <v>January</v>
      </c>
      <c r="D196" s="89" t="str">
        <f t="shared" ref="D196:M196" si="47">D183</f>
        <v>February</v>
      </c>
      <c r="E196" s="89" t="str">
        <f t="shared" si="47"/>
        <v>March</v>
      </c>
      <c r="F196" s="89" t="str">
        <f t="shared" si="47"/>
        <v>April</v>
      </c>
      <c r="G196" s="89" t="str">
        <f t="shared" si="47"/>
        <v>May</v>
      </c>
      <c r="H196" s="89" t="str">
        <f t="shared" si="47"/>
        <v>June</v>
      </c>
      <c r="I196" s="89" t="str">
        <f t="shared" si="47"/>
        <v>July</v>
      </c>
      <c r="J196" s="89" t="str">
        <f t="shared" si="47"/>
        <v>August</v>
      </c>
      <c r="K196" s="89" t="str">
        <f t="shared" si="47"/>
        <v>September</v>
      </c>
      <c r="L196" s="89" t="str">
        <f t="shared" si="47"/>
        <v>October</v>
      </c>
      <c r="M196" s="89" t="str">
        <f t="shared" si="47"/>
        <v>November</v>
      </c>
      <c r="N196" s="89" t="str">
        <f>N183</f>
        <v>December</v>
      </c>
      <c r="O196" s="84"/>
    </row>
    <row r="197" spans="1:15" hidden="1" x14ac:dyDescent="0.25">
      <c r="A197" s="59"/>
      <c r="B197" s="60"/>
      <c r="C197" s="89">
        <f t="shared" ref="C197:N198" si="48">C184</f>
        <v>30</v>
      </c>
      <c r="D197" s="89">
        <f t="shared" si="48"/>
        <v>31</v>
      </c>
      <c r="E197" s="89">
        <f t="shared" si="48"/>
        <v>30</v>
      </c>
      <c r="F197" s="89">
        <f t="shared" si="48"/>
        <v>31</v>
      </c>
      <c r="G197" s="89">
        <f t="shared" si="48"/>
        <v>31</v>
      </c>
      <c r="H197" s="89">
        <f t="shared" si="48"/>
        <v>30</v>
      </c>
      <c r="I197" s="89">
        <f t="shared" si="48"/>
        <v>31</v>
      </c>
      <c r="J197" s="89">
        <f t="shared" si="48"/>
        <v>30</v>
      </c>
      <c r="K197" s="89">
        <f t="shared" si="48"/>
        <v>31</v>
      </c>
      <c r="L197" s="89">
        <f t="shared" si="48"/>
        <v>31</v>
      </c>
      <c r="M197" s="89">
        <f t="shared" si="48"/>
        <v>28</v>
      </c>
      <c r="N197" s="89">
        <f t="shared" si="48"/>
        <v>31</v>
      </c>
      <c r="O197" s="84"/>
    </row>
    <row r="198" spans="1:15" hidden="1" x14ac:dyDescent="0.25">
      <c r="A198" s="59"/>
      <c r="B198" s="89" t="s">
        <v>185</v>
      </c>
      <c r="C198" s="78">
        <f t="shared" si="48"/>
        <v>0</v>
      </c>
      <c r="D198" s="78">
        <f t="shared" si="48"/>
        <v>1</v>
      </c>
      <c r="E198" s="78">
        <f t="shared" si="48"/>
        <v>0</v>
      </c>
      <c r="F198" s="78">
        <f t="shared" si="48"/>
        <v>1</v>
      </c>
      <c r="G198" s="78">
        <f t="shared" si="48"/>
        <v>0</v>
      </c>
      <c r="H198" s="78">
        <f t="shared" si="48"/>
        <v>1</v>
      </c>
      <c r="I198" s="78">
        <f t="shared" si="48"/>
        <v>1</v>
      </c>
      <c r="J198" s="78">
        <f t="shared" si="48"/>
        <v>1</v>
      </c>
      <c r="K198" s="78">
        <f t="shared" si="48"/>
        <v>1</v>
      </c>
      <c r="L198" s="78">
        <f t="shared" si="48"/>
        <v>2</v>
      </c>
      <c r="M198" s="78">
        <f t="shared" si="48"/>
        <v>1</v>
      </c>
      <c r="N198" s="78">
        <f t="shared" si="48"/>
        <v>0</v>
      </c>
      <c r="O198" s="84"/>
    </row>
    <row r="199" spans="1:15" hidden="1" x14ac:dyDescent="0.25">
      <c r="A199" s="59"/>
      <c r="B199" s="89" t="s">
        <v>44</v>
      </c>
      <c r="C199" s="49"/>
      <c r="D199" s="49"/>
      <c r="E199" s="49"/>
      <c r="F199" s="49"/>
      <c r="G199" s="49"/>
      <c r="H199" s="49"/>
      <c r="I199" s="49"/>
      <c r="J199" s="49"/>
      <c r="K199" s="49"/>
      <c r="L199" s="49"/>
      <c r="M199" s="49"/>
      <c r="N199" s="49"/>
      <c r="O199" s="84"/>
    </row>
    <row r="200" spans="1:15" hidden="1" x14ac:dyDescent="0.25">
      <c r="A200" s="59"/>
      <c r="B200" s="89" t="s">
        <v>186</v>
      </c>
      <c r="C200" s="53">
        <f>SUM(174*C199)</f>
        <v>0</v>
      </c>
      <c r="D200" s="53">
        <f t="shared" ref="D200:N200" si="49">SUM(174*D199)</f>
        <v>0</v>
      </c>
      <c r="E200" s="53">
        <f t="shared" si="49"/>
        <v>0</v>
      </c>
      <c r="F200" s="53">
        <f t="shared" si="49"/>
        <v>0</v>
      </c>
      <c r="G200" s="53">
        <f t="shared" si="49"/>
        <v>0</v>
      </c>
      <c r="H200" s="53">
        <f t="shared" si="49"/>
        <v>0</v>
      </c>
      <c r="I200" s="53">
        <f t="shared" si="49"/>
        <v>0</v>
      </c>
      <c r="J200" s="53">
        <f t="shared" si="49"/>
        <v>0</v>
      </c>
      <c r="K200" s="53">
        <f t="shared" si="49"/>
        <v>0</v>
      </c>
      <c r="L200" s="53">
        <f t="shared" si="49"/>
        <v>0</v>
      </c>
      <c r="M200" s="53">
        <f t="shared" si="49"/>
        <v>0</v>
      </c>
      <c r="N200" s="53">
        <f t="shared" si="49"/>
        <v>0</v>
      </c>
      <c r="O200" s="84"/>
    </row>
    <row r="201" spans="1:15" hidden="1" x14ac:dyDescent="0.25">
      <c r="A201" s="59" t="s">
        <v>193</v>
      </c>
      <c r="B201" s="78" t="s">
        <v>187</v>
      </c>
      <c r="C201" s="66">
        <f>SUM(C200*$B$202)</f>
        <v>0</v>
      </c>
      <c r="D201" s="66">
        <f t="shared" ref="D201:N201" si="50">SUM(D200*$B$202)</f>
        <v>0</v>
      </c>
      <c r="E201" s="66">
        <f t="shared" si="50"/>
        <v>0</v>
      </c>
      <c r="F201" s="66">
        <f t="shared" si="50"/>
        <v>0</v>
      </c>
      <c r="G201" s="66">
        <f t="shared" si="50"/>
        <v>0</v>
      </c>
      <c r="H201" s="66">
        <f t="shared" si="50"/>
        <v>0</v>
      </c>
      <c r="I201" s="66">
        <f t="shared" si="50"/>
        <v>0</v>
      </c>
      <c r="J201" s="66">
        <f t="shared" si="50"/>
        <v>0</v>
      </c>
      <c r="K201" s="66">
        <f t="shared" si="50"/>
        <v>0</v>
      </c>
      <c r="L201" s="66">
        <f t="shared" si="50"/>
        <v>0</v>
      </c>
      <c r="M201" s="66">
        <f t="shared" si="50"/>
        <v>0</v>
      </c>
      <c r="N201" s="66">
        <f t="shared" si="50"/>
        <v>0</v>
      </c>
      <c r="O201" s="84"/>
    </row>
    <row r="202" spans="1:15" hidden="1" x14ac:dyDescent="0.25">
      <c r="A202" s="59" t="s">
        <v>188</v>
      </c>
      <c r="B202" s="74">
        <v>0</v>
      </c>
      <c r="C202" s="66">
        <f>SUM(C201)*'Data Links'!$B$15</f>
        <v>0</v>
      </c>
      <c r="D202" s="66">
        <f>SUM(D201)*'Data Links'!$B$15</f>
        <v>0</v>
      </c>
      <c r="E202" s="66">
        <f>SUM(E201)*'Data Links'!$B$15</f>
        <v>0</v>
      </c>
      <c r="F202" s="66">
        <f>SUM(F201)*'Data Links'!$B$15</f>
        <v>0</v>
      </c>
      <c r="G202" s="66">
        <f>SUM(G201)*'Data Links'!$B$15</f>
        <v>0</v>
      </c>
      <c r="H202" s="66">
        <f>SUM(H201)*'Data Links'!$B$15</f>
        <v>0</v>
      </c>
      <c r="I202" s="66">
        <f>SUM(I201)*'Data Links'!$B$15</f>
        <v>0</v>
      </c>
      <c r="J202" s="66">
        <f>SUM(J201)*'Data Links'!$B$15</f>
        <v>0</v>
      </c>
      <c r="K202" s="66">
        <f>SUM(K201)*'Data Links'!$B$15</f>
        <v>0</v>
      </c>
      <c r="L202" s="66">
        <f>SUM(L201)*'Data Links'!$B$15</f>
        <v>0</v>
      </c>
      <c r="M202" s="66">
        <f>SUM(M201)*'Data Links'!$B$15</f>
        <v>0</v>
      </c>
      <c r="N202" s="66">
        <f>SUM(N201)*'Data Links'!$B$15</f>
        <v>0</v>
      </c>
      <c r="O202" s="84"/>
    </row>
    <row r="203" spans="1:15" hidden="1" x14ac:dyDescent="0.25">
      <c r="A203" s="59" t="s">
        <v>189</v>
      </c>
      <c r="B203" s="60"/>
      <c r="C203" s="66">
        <f>SUM(C201*'Data Links'!$B$13)</f>
        <v>0</v>
      </c>
      <c r="D203" s="66">
        <f>SUM(D201*'Data Links'!$B$13)</f>
        <v>0</v>
      </c>
      <c r="E203" s="66">
        <f>SUM(E201*'Data Links'!$B$13)</f>
        <v>0</v>
      </c>
      <c r="F203" s="66">
        <f>SUM(F201*'Data Links'!$B$13)</f>
        <v>0</v>
      </c>
      <c r="G203" s="66">
        <f>SUM(G201*'Data Links'!$B$13)</f>
        <v>0</v>
      </c>
      <c r="H203" s="66">
        <f>SUM(H201*'Data Links'!$B$13)</f>
        <v>0</v>
      </c>
      <c r="I203" s="66">
        <f>SUM(I201*'Data Links'!$B$13)</f>
        <v>0</v>
      </c>
      <c r="J203" s="66">
        <f>SUM(J201*'Data Links'!$B$13)</f>
        <v>0</v>
      </c>
      <c r="K203" s="66">
        <f>SUM(K201*'Data Links'!$B$13)</f>
        <v>0</v>
      </c>
      <c r="L203" s="66">
        <f>SUM(L201*'Data Links'!$B$13)</f>
        <v>0</v>
      </c>
      <c r="M203" s="66">
        <f>SUM(M201*'Data Links'!$B$13)</f>
        <v>0</v>
      </c>
      <c r="N203" s="66">
        <f>SUM(N201*'Data Links'!$B$13)</f>
        <v>0</v>
      </c>
      <c r="O203" s="84"/>
    </row>
    <row r="204" spans="1:15" hidden="1" x14ac:dyDescent="0.25">
      <c r="A204" s="59" t="s">
        <v>190</v>
      </c>
      <c r="B204" s="60"/>
      <c r="C204" s="66">
        <f>SUM(C200*'Data Links'!$B$8)</f>
        <v>0</v>
      </c>
      <c r="D204" s="66">
        <f>SUM(D200*'Data Links'!$B$8)</f>
        <v>0</v>
      </c>
      <c r="E204" s="66">
        <f>SUM(E200*'Data Links'!$B$8)</f>
        <v>0</v>
      </c>
      <c r="F204" s="66">
        <f>SUM(F200*'Data Links'!$B$8)</f>
        <v>0</v>
      </c>
      <c r="G204" s="66">
        <f>SUM(G200*'Data Links'!$B$8)</f>
        <v>0</v>
      </c>
      <c r="H204" s="66">
        <f>SUM(H200*'Data Links'!$B$8)</f>
        <v>0</v>
      </c>
      <c r="I204" s="66">
        <f>SUM(I200*'Data Links'!$B$8)</f>
        <v>0</v>
      </c>
      <c r="J204" s="66">
        <f>SUM(J200*'Data Links'!$B$8)</f>
        <v>0</v>
      </c>
      <c r="K204" s="66">
        <f>SUM(K200*'Data Links'!$B$8)</f>
        <v>0</v>
      </c>
      <c r="L204" s="66">
        <f>SUM(L200*'Data Links'!$B$8)</f>
        <v>0</v>
      </c>
      <c r="M204" s="66">
        <f>SUM(M200*'Data Links'!$B$8)</f>
        <v>0</v>
      </c>
      <c r="N204" s="66">
        <f>SUM(N200*'Data Links'!$B$8)</f>
        <v>0</v>
      </c>
      <c r="O204" s="84"/>
    </row>
    <row r="205" spans="1:15" hidden="1" x14ac:dyDescent="0.25">
      <c r="A205" s="59" t="s">
        <v>191</v>
      </c>
      <c r="B205" s="60"/>
      <c r="C205" s="66">
        <f>SUM(C199*'Data Links'!$B$26)</f>
        <v>0</v>
      </c>
      <c r="D205" s="66">
        <f>SUM(D199*'Data Links'!$B$26)</f>
        <v>0</v>
      </c>
      <c r="E205" s="66">
        <f>SUM(E199*'Data Links'!$B$26)</f>
        <v>0</v>
      </c>
      <c r="F205" s="66">
        <f>SUM(F199*'Data Links'!$B$26)</f>
        <v>0</v>
      </c>
      <c r="G205" s="66">
        <f>SUM(G199*'Data Links'!$B$26)</f>
        <v>0</v>
      </c>
      <c r="H205" s="66">
        <f>SUM(H199*'Data Links'!$B$26)</f>
        <v>0</v>
      </c>
      <c r="I205" s="66">
        <f>SUM(I199*'Data Links'!$B$26)</f>
        <v>0</v>
      </c>
      <c r="J205" s="66">
        <f>SUM(J199*'Data Links'!$B$26)</f>
        <v>0</v>
      </c>
      <c r="K205" s="66">
        <f>SUM(K199*'Data Links'!$B$26)</f>
        <v>0</v>
      </c>
      <c r="L205" s="66">
        <f>SUM(L199*'Data Links'!$B$26)</f>
        <v>0</v>
      </c>
      <c r="M205" s="66">
        <f>SUM(M199*'Data Links'!$B$26)</f>
        <v>0</v>
      </c>
      <c r="N205" s="66">
        <f>SUM(N199*'Data Links'!$B$26)</f>
        <v>0</v>
      </c>
      <c r="O205" s="84"/>
    </row>
    <row r="206" spans="1:15" hidden="1" x14ac:dyDescent="0.25">
      <c r="A206" s="59" t="s">
        <v>192</v>
      </c>
      <c r="B206" s="60"/>
      <c r="C206" s="66">
        <f>SUM(C201*'Data Links'!$B$17)</f>
        <v>0</v>
      </c>
      <c r="D206" s="66">
        <f>SUM(D201*'Data Links'!$B$17)</f>
        <v>0</v>
      </c>
      <c r="E206" s="66">
        <f>SUM(E201*'Data Links'!$B$17)</f>
        <v>0</v>
      </c>
      <c r="F206" s="66">
        <f>SUM(F201*'Data Links'!$B$17)</f>
        <v>0</v>
      </c>
      <c r="G206" s="66">
        <f>SUM(G201*'Data Links'!$B$17)</f>
        <v>0</v>
      </c>
      <c r="H206" s="66">
        <f>SUM(H201*'Data Links'!$B$17)</f>
        <v>0</v>
      </c>
      <c r="I206" s="66">
        <f>SUM(I201*'Data Links'!$B$17)</f>
        <v>0</v>
      </c>
      <c r="J206" s="66">
        <f>SUM(J201*'Data Links'!$B$17)</f>
        <v>0</v>
      </c>
      <c r="K206" s="66">
        <f>SUM(K201*'Data Links'!$B$17)</f>
        <v>0</v>
      </c>
      <c r="L206" s="66">
        <f>SUM(L201*'Data Links'!$B$17)</f>
        <v>0</v>
      </c>
      <c r="M206" s="66">
        <f>SUM(M201*'Data Links'!$B$17)</f>
        <v>0</v>
      </c>
      <c r="N206" s="66">
        <f>SUM(N201*'Data Links'!$B$17)</f>
        <v>0</v>
      </c>
      <c r="O206" s="84"/>
    </row>
    <row r="207" spans="1:15" hidden="1" x14ac:dyDescent="0.25">
      <c r="A207" s="58" t="s">
        <v>144</v>
      </c>
      <c r="B207" s="60"/>
      <c r="C207" s="60">
        <f t="shared" ref="C207:N207" si="51">SUM(C201:C206)</f>
        <v>0</v>
      </c>
      <c r="D207" s="60">
        <f t="shared" si="51"/>
        <v>0</v>
      </c>
      <c r="E207" s="60">
        <f t="shared" si="51"/>
        <v>0</v>
      </c>
      <c r="F207" s="60">
        <f t="shared" si="51"/>
        <v>0</v>
      </c>
      <c r="G207" s="60">
        <f t="shared" si="51"/>
        <v>0</v>
      </c>
      <c r="H207" s="60">
        <f t="shared" si="51"/>
        <v>0</v>
      </c>
      <c r="I207" s="60">
        <f t="shared" si="51"/>
        <v>0</v>
      </c>
      <c r="J207" s="60">
        <f t="shared" si="51"/>
        <v>0</v>
      </c>
      <c r="K207" s="60">
        <f t="shared" si="51"/>
        <v>0</v>
      </c>
      <c r="L207" s="60">
        <f t="shared" si="51"/>
        <v>0</v>
      </c>
      <c r="M207" s="60">
        <f t="shared" si="51"/>
        <v>0</v>
      </c>
      <c r="N207" s="60">
        <f t="shared" si="51"/>
        <v>0</v>
      </c>
      <c r="O207" s="58"/>
    </row>
    <row r="208" spans="1:15" x14ac:dyDescent="0.25">
      <c r="A208" s="59"/>
      <c r="B208" s="60"/>
      <c r="C208" s="60"/>
      <c r="D208" s="66"/>
      <c r="E208" s="66"/>
      <c r="F208" s="66"/>
      <c r="G208" s="66"/>
      <c r="H208" s="66"/>
      <c r="I208" s="66"/>
      <c r="J208" s="66"/>
      <c r="K208" s="66"/>
      <c r="L208" s="66"/>
      <c r="M208" s="66"/>
      <c r="N208" s="66"/>
      <c r="O208" s="84"/>
    </row>
    <row r="209" spans="1:15" x14ac:dyDescent="0.25">
      <c r="A209" s="59"/>
      <c r="B209" s="60"/>
      <c r="C209" s="89" t="str">
        <f>C196</f>
        <v>January</v>
      </c>
      <c r="D209" s="89" t="str">
        <f t="shared" ref="D209:M209" si="52">D196</f>
        <v>February</v>
      </c>
      <c r="E209" s="89" t="str">
        <f t="shared" si="52"/>
        <v>March</v>
      </c>
      <c r="F209" s="89" t="str">
        <f t="shared" si="52"/>
        <v>April</v>
      </c>
      <c r="G209" s="89" t="str">
        <f t="shared" si="52"/>
        <v>May</v>
      </c>
      <c r="H209" s="89" t="str">
        <f t="shared" si="52"/>
        <v>June</v>
      </c>
      <c r="I209" s="89" t="str">
        <f t="shared" si="52"/>
        <v>July</v>
      </c>
      <c r="J209" s="89" t="str">
        <f t="shared" si="52"/>
        <v>August</v>
      </c>
      <c r="K209" s="89" t="str">
        <f t="shared" si="52"/>
        <v>September</v>
      </c>
      <c r="L209" s="89" t="str">
        <f t="shared" si="52"/>
        <v>October</v>
      </c>
      <c r="M209" s="89" t="str">
        <f t="shared" si="52"/>
        <v>November</v>
      </c>
      <c r="N209" s="89" t="str">
        <f>N196</f>
        <v>December</v>
      </c>
      <c r="O209" s="84"/>
    </row>
    <row r="210" spans="1:15" x14ac:dyDescent="0.25">
      <c r="A210" s="59"/>
      <c r="B210" s="60"/>
      <c r="C210" s="89">
        <f t="shared" ref="C210:N211" si="53">C197</f>
        <v>30</v>
      </c>
      <c r="D210" s="89">
        <f t="shared" si="53"/>
        <v>31</v>
      </c>
      <c r="E210" s="89">
        <f t="shared" si="53"/>
        <v>30</v>
      </c>
      <c r="F210" s="89">
        <f t="shared" si="53"/>
        <v>31</v>
      </c>
      <c r="G210" s="89">
        <f t="shared" si="53"/>
        <v>31</v>
      </c>
      <c r="H210" s="89">
        <f t="shared" si="53"/>
        <v>30</v>
      </c>
      <c r="I210" s="89">
        <f t="shared" si="53"/>
        <v>31</v>
      </c>
      <c r="J210" s="89">
        <f t="shared" si="53"/>
        <v>30</v>
      </c>
      <c r="K210" s="89">
        <f t="shared" si="53"/>
        <v>31</v>
      </c>
      <c r="L210" s="89">
        <f t="shared" si="53"/>
        <v>31</v>
      </c>
      <c r="M210" s="89">
        <f t="shared" si="53"/>
        <v>28</v>
      </c>
      <c r="N210" s="89">
        <f t="shared" si="53"/>
        <v>31</v>
      </c>
      <c r="O210" s="84"/>
    </row>
    <row r="211" spans="1:15" x14ac:dyDescent="0.25">
      <c r="A211" s="59"/>
      <c r="B211" s="89" t="s">
        <v>185</v>
      </c>
      <c r="C211" s="78">
        <f t="shared" si="53"/>
        <v>0</v>
      </c>
      <c r="D211" s="78">
        <f t="shared" si="53"/>
        <v>1</v>
      </c>
      <c r="E211" s="78">
        <f t="shared" si="53"/>
        <v>0</v>
      </c>
      <c r="F211" s="78">
        <f t="shared" si="53"/>
        <v>1</v>
      </c>
      <c r="G211" s="78">
        <f t="shared" si="53"/>
        <v>0</v>
      </c>
      <c r="H211" s="78">
        <f t="shared" si="53"/>
        <v>1</v>
      </c>
      <c r="I211" s="78">
        <f t="shared" si="53"/>
        <v>1</v>
      </c>
      <c r="J211" s="78">
        <f t="shared" si="53"/>
        <v>1</v>
      </c>
      <c r="K211" s="78">
        <f t="shared" si="53"/>
        <v>1</v>
      </c>
      <c r="L211" s="78">
        <f t="shared" si="53"/>
        <v>2</v>
      </c>
      <c r="M211" s="78">
        <f t="shared" si="53"/>
        <v>1</v>
      </c>
      <c r="N211" s="78">
        <f t="shared" si="53"/>
        <v>0</v>
      </c>
      <c r="O211" s="84"/>
    </row>
    <row r="212" spans="1:15" x14ac:dyDescent="0.25">
      <c r="A212" s="59"/>
      <c r="B212" s="89" t="s">
        <v>44</v>
      </c>
      <c r="C212" s="49">
        <f>C173</f>
        <v>3.4482758620689655E-2</v>
      </c>
      <c r="D212" s="49">
        <f t="shared" ref="D212:N212" si="54">D173</f>
        <v>3.4482758620689655E-2</v>
      </c>
      <c r="E212" s="49">
        <f t="shared" si="54"/>
        <v>3.4482758620689655E-2</v>
      </c>
      <c r="F212" s="49">
        <f t="shared" si="54"/>
        <v>3.4482758620689655E-2</v>
      </c>
      <c r="G212" s="49">
        <f t="shared" si="54"/>
        <v>3.4482758620689655E-2</v>
      </c>
      <c r="H212" s="49">
        <f t="shared" si="54"/>
        <v>3.4482758620689655E-2</v>
      </c>
      <c r="I212" s="49">
        <f t="shared" si="54"/>
        <v>3.4482758620689655E-2</v>
      </c>
      <c r="J212" s="49">
        <f t="shared" si="54"/>
        <v>3.4482758620689655E-2</v>
      </c>
      <c r="K212" s="49">
        <f t="shared" si="54"/>
        <v>3.4482758620689655E-2</v>
      </c>
      <c r="L212" s="49">
        <f t="shared" si="54"/>
        <v>3.4482758620689655E-2</v>
      </c>
      <c r="M212" s="49">
        <f t="shared" si="54"/>
        <v>3.4482758620689655E-2</v>
      </c>
      <c r="N212" s="49">
        <f t="shared" si="54"/>
        <v>3.4482758620689655E-2</v>
      </c>
      <c r="O212" s="84"/>
    </row>
    <row r="213" spans="1:15" x14ac:dyDescent="0.25">
      <c r="A213" s="59"/>
      <c r="B213" s="89" t="s">
        <v>186</v>
      </c>
      <c r="C213" s="53">
        <f>SUM(174*C212)</f>
        <v>6</v>
      </c>
      <c r="D213" s="53">
        <f t="shared" ref="D213:N213" si="55">SUM(174*D212)</f>
        <v>6</v>
      </c>
      <c r="E213" s="53">
        <f t="shared" si="55"/>
        <v>6</v>
      </c>
      <c r="F213" s="53">
        <f t="shared" si="55"/>
        <v>6</v>
      </c>
      <c r="G213" s="53">
        <f t="shared" si="55"/>
        <v>6</v>
      </c>
      <c r="H213" s="53">
        <f t="shared" si="55"/>
        <v>6</v>
      </c>
      <c r="I213" s="53">
        <f t="shared" si="55"/>
        <v>6</v>
      </c>
      <c r="J213" s="53">
        <f t="shared" si="55"/>
        <v>6</v>
      </c>
      <c r="K213" s="53">
        <f t="shared" si="55"/>
        <v>6</v>
      </c>
      <c r="L213" s="53">
        <f t="shared" si="55"/>
        <v>6</v>
      </c>
      <c r="M213" s="53">
        <f t="shared" si="55"/>
        <v>6</v>
      </c>
      <c r="N213" s="53">
        <f t="shared" si="55"/>
        <v>6</v>
      </c>
      <c r="O213" s="84"/>
    </row>
    <row r="214" spans="1:15" x14ac:dyDescent="0.25">
      <c r="A214" s="59" t="s">
        <v>557</v>
      </c>
      <c r="B214" s="78" t="s">
        <v>187</v>
      </c>
      <c r="C214" s="66">
        <f>SUM(C213*$B$215)</f>
        <v>110.16</v>
      </c>
      <c r="D214" s="66">
        <f t="shared" ref="D214:N214" si="56">SUM(D213*$B$215)</f>
        <v>110.16</v>
      </c>
      <c r="E214" s="66">
        <f t="shared" si="56"/>
        <v>110.16</v>
      </c>
      <c r="F214" s="66">
        <f t="shared" si="56"/>
        <v>110.16</v>
      </c>
      <c r="G214" s="66">
        <f t="shared" si="56"/>
        <v>110.16</v>
      </c>
      <c r="H214" s="66">
        <f t="shared" si="56"/>
        <v>110.16</v>
      </c>
      <c r="I214" s="66">
        <f t="shared" si="56"/>
        <v>110.16</v>
      </c>
      <c r="J214" s="66">
        <f t="shared" si="56"/>
        <v>110.16</v>
      </c>
      <c r="K214" s="66">
        <f t="shared" si="56"/>
        <v>110.16</v>
      </c>
      <c r="L214" s="66">
        <f t="shared" si="56"/>
        <v>110.16</v>
      </c>
      <c r="M214" s="66">
        <f t="shared" si="56"/>
        <v>110.16</v>
      </c>
      <c r="N214" s="66">
        <f t="shared" si="56"/>
        <v>110.16</v>
      </c>
      <c r="O214" s="84"/>
    </row>
    <row r="215" spans="1:15" x14ac:dyDescent="0.25">
      <c r="A215" s="59" t="s">
        <v>188</v>
      </c>
      <c r="B215" s="74">
        <v>18.36</v>
      </c>
      <c r="C215" s="66">
        <f>SUM(C214)*'Data Links'!$B$15</f>
        <v>8.4272399999999994</v>
      </c>
      <c r="D215" s="66">
        <f>SUM(D214)*'Data Links'!$B$15</f>
        <v>8.4272399999999994</v>
      </c>
      <c r="E215" s="66">
        <f>SUM(E214)*'Data Links'!$B$15</f>
        <v>8.4272399999999994</v>
      </c>
      <c r="F215" s="66">
        <f>SUM(F214)*'Data Links'!$B$15</f>
        <v>8.4272399999999994</v>
      </c>
      <c r="G215" s="66">
        <f>SUM(G214)*'Data Links'!$B$15</f>
        <v>8.4272399999999994</v>
      </c>
      <c r="H215" s="66">
        <f>SUM(H214)*'Data Links'!$B$15</f>
        <v>8.4272399999999994</v>
      </c>
      <c r="I215" s="66">
        <f>SUM(I214)*'Data Links'!$B$15</f>
        <v>8.4272399999999994</v>
      </c>
      <c r="J215" s="66">
        <f>SUM(J214)*'Data Links'!$B$15</f>
        <v>8.4272399999999994</v>
      </c>
      <c r="K215" s="66">
        <f>SUM(K214)*'Data Links'!$B$15</f>
        <v>8.4272399999999994</v>
      </c>
      <c r="L215" s="66">
        <f>SUM(L214)*'Data Links'!$B$15</f>
        <v>8.4272399999999994</v>
      </c>
      <c r="M215" s="66">
        <f>SUM(M214)*'Data Links'!$B$15</f>
        <v>8.4272399999999994</v>
      </c>
      <c r="N215" s="66">
        <f>SUM(N214)*'Data Links'!$B$15</f>
        <v>8.4272399999999994</v>
      </c>
      <c r="O215" s="84"/>
    </row>
    <row r="216" spans="1:15" x14ac:dyDescent="0.25">
      <c r="A216" s="59" t="s">
        <v>189</v>
      </c>
      <c r="B216" s="60"/>
      <c r="C216" s="66">
        <f>SUM(C214*'Data Links'!$B$13)</f>
        <v>0.66095999999999999</v>
      </c>
      <c r="D216" s="66">
        <f>SUM(D214*'Data Links'!$B$13)</f>
        <v>0.66095999999999999</v>
      </c>
      <c r="E216" s="66">
        <f>SUM(E214*'Data Links'!$B$13)</f>
        <v>0.66095999999999999</v>
      </c>
      <c r="F216" s="66">
        <f>SUM(F214*'Data Links'!$B$13)</f>
        <v>0.66095999999999999</v>
      </c>
      <c r="G216" s="66">
        <f>SUM(G214*'Data Links'!$B$13)</f>
        <v>0.66095999999999999</v>
      </c>
      <c r="H216" s="66">
        <f>SUM(H214*'Data Links'!$B$13)</f>
        <v>0.66095999999999999</v>
      </c>
      <c r="I216" s="66">
        <f>SUM(I214*'Data Links'!$B$13)</f>
        <v>0.66095999999999999</v>
      </c>
      <c r="J216" s="66">
        <f>SUM(J214*'Data Links'!$B$13)</f>
        <v>0.66095999999999999</v>
      </c>
      <c r="K216" s="66">
        <f>SUM(K214*'Data Links'!$B$13)</f>
        <v>0.66095999999999999</v>
      </c>
      <c r="L216" s="66">
        <f>SUM(L214*'Data Links'!$B$13)</f>
        <v>0.66095999999999999</v>
      </c>
      <c r="M216" s="66">
        <f>SUM(M214*'Data Links'!$B$13)</f>
        <v>0.66095999999999999</v>
      </c>
      <c r="N216" s="66">
        <f>SUM(N214*'Data Links'!$B$13)</f>
        <v>0.66095999999999999</v>
      </c>
      <c r="O216" s="84"/>
    </row>
    <row r="217" spans="1:15" x14ac:dyDescent="0.25">
      <c r="A217" s="59" t="s">
        <v>190</v>
      </c>
      <c r="B217" s="60"/>
      <c r="C217" s="66">
        <f>SUM(C213*'Data Links'!$B$8)</f>
        <v>0.46710000000000002</v>
      </c>
      <c r="D217" s="66">
        <f>SUM(D213*'Data Links'!$B$8)</f>
        <v>0.46710000000000002</v>
      </c>
      <c r="E217" s="66">
        <f>SUM(E213*'Data Links'!$B$8)</f>
        <v>0.46710000000000002</v>
      </c>
      <c r="F217" s="66">
        <f>SUM(F213*'Data Links'!$B$8)</f>
        <v>0.46710000000000002</v>
      </c>
      <c r="G217" s="66">
        <f>SUM(G213*'Data Links'!$B$8)</f>
        <v>0.46710000000000002</v>
      </c>
      <c r="H217" s="66">
        <f>SUM(H213*'Data Links'!$B$8)</f>
        <v>0.46710000000000002</v>
      </c>
      <c r="I217" s="66">
        <f>SUM(I213*'Data Links'!$B$8)</f>
        <v>0.46710000000000002</v>
      </c>
      <c r="J217" s="66">
        <f>SUM(J213*'Data Links'!$B$8)</f>
        <v>0.46710000000000002</v>
      </c>
      <c r="K217" s="66">
        <f>SUM(K213*'Data Links'!$B$8)</f>
        <v>0.46710000000000002</v>
      </c>
      <c r="L217" s="66">
        <f>SUM(L213*'Data Links'!$B$8)</f>
        <v>0.46710000000000002</v>
      </c>
      <c r="M217" s="66">
        <f>SUM(M213*'Data Links'!$B$8)</f>
        <v>0.46710000000000002</v>
      </c>
      <c r="N217" s="66">
        <f>SUM(N213*'Data Links'!$B$8)</f>
        <v>0.46710000000000002</v>
      </c>
      <c r="O217" s="84"/>
    </row>
    <row r="218" spans="1:15" x14ac:dyDescent="0.25">
      <c r="A218" s="59" t="s">
        <v>191</v>
      </c>
      <c r="B218" s="60"/>
      <c r="C218" s="66">
        <f>SUM('All Employees'!$P$50)*C212</f>
        <v>14.689655172413794</v>
      </c>
      <c r="D218" s="66">
        <f>SUM('All Employees'!$P$50)*D212</f>
        <v>14.689655172413794</v>
      </c>
      <c r="E218" s="66">
        <f>SUM('All Employees'!$P$50)*E212</f>
        <v>14.689655172413794</v>
      </c>
      <c r="F218" s="66">
        <f>SUM('All Employees'!$P$50)*F212</f>
        <v>14.689655172413794</v>
      </c>
      <c r="G218" s="66">
        <f>SUM('All Employees'!$P$50)*G212</f>
        <v>14.689655172413794</v>
      </c>
      <c r="H218" s="66">
        <f>SUM('All Employees'!$P$50)*H212</f>
        <v>14.689655172413794</v>
      </c>
      <c r="I218" s="66">
        <f>SUM('All Employees'!$P$50)*I212</f>
        <v>14.689655172413794</v>
      </c>
      <c r="J218" s="66">
        <f>SUM('All Employees'!$P$50)*J212</f>
        <v>14.689655172413794</v>
      </c>
      <c r="K218" s="66">
        <f>SUM('All Employees'!$P$50)*K212</f>
        <v>14.689655172413794</v>
      </c>
      <c r="L218" s="66">
        <f>SUM('All Employees'!$P$50)*L212</f>
        <v>14.689655172413794</v>
      </c>
      <c r="M218" s="66">
        <f>SUM('All Employees'!$P$50)*M212</f>
        <v>14.689655172413794</v>
      </c>
      <c r="N218" s="66">
        <f>SUM('All Employees'!$P$50)*N212</f>
        <v>14.689655172413794</v>
      </c>
      <c r="O218" s="84"/>
    </row>
    <row r="219" spans="1:15" x14ac:dyDescent="0.25">
      <c r="A219" s="59" t="s">
        <v>192</v>
      </c>
      <c r="B219" s="60"/>
      <c r="C219" s="66"/>
      <c r="D219" s="66"/>
      <c r="E219" s="66"/>
      <c r="F219" s="66"/>
      <c r="G219" s="66"/>
      <c r="H219" s="66"/>
      <c r="I219" s="66"/>
      <c r="J219" s="66"/>
      <c r="K219" s="66"/>
      <c r="L219" s="66"/>
      <c r="M219" s="66"/>
      <c r="N219" s="66"/>
      <c r="O219" s="84"/>
    </row>
    <row r="220" spans="1:15" x14ac:dyDescent="0.25">
      <c r="A220" s="58" t="s">
        <v>144</v>
      </c>
      <c r="B220" s="60"/>
      <c r="C220" s="60">
        <f t="shared" ref="C220:N220" si="57">SUM(C214:C219)</f>
        <v>134.40495517241379</v>
      </c>
      <c r="D220" s="60">
        <f t="shared" si="57"/>
        <v>134.40495517241379</v>
      </c>
      <c r="E220" s="60">
        <f t="shared" si="57"/>
        <v>134.40495517241379</v>
      </c>
      <c r="F220" s="60">
        <f t="shared" si="57"/>
        <v>134.40495517241379</v>
      </c>
      <c r="G220" s="60">
        <f t="shared" si="57"/>
        <v>134.40495517241379</v>
      </c>
      <c r="H220" s="60">
        <f t="shared" si="57"/>
        <v>134.40495517241379</v>
      </c>
      <c r="I220" s="60">
        <f t="shared" si="57"/>
        <v>134.40495517241379</v>
      </c>
      <c r="J220" s="60">
        <f t="shared" si="57"/>
        <v>134.40495517241379</v>
      </c>
      <c r="K220" s="60">
        <f t="shared" si="57"/>
        <v>134.40495517241379</v>
      </c>
      <c r="L220" s="60">
        <f t="shared" si="57"/>
        <v>134.40495517241379</v>
      </c>
      <c r="M220" s="60">
        <f t="shared" si="57"/>
        <v>134.40495517241379</v>
      </c>
      <c r="N220" s="60">
        <f t="shared" si="57"/>
        <v>134.40495517241379</v>
      </c>
      <c r="O220" s="58"/>
    </row>
    <row r="221" spans="1:15" x14ac:dyDescent="0.25">
      <c r="A221" s="59"/>
      <c r="B221" s="60"/>
      <c r="C221" s="60"/>
      <c r="D221" s="66"/>
      <c r="E221" s="66"/>
      <c r="F221" s="66"/>
      <c r="G221" s="66"/>
      <c r="H221" s="66"/>
      <c r="I221" s="66"/>
      <c r="J221" s="66"/>
      <c r="K221" s="66"/>
      <c r="L221" s="66"/>
      <c r="M221" s="66"/>
      <c r="N221" s="66"/>
      <c r="O221" s="84"/>
    </row>
    <row r="222" spans="1:15" x14ac:dyDescent="0.25">
      <c r="A222" s="59"/>
      <c r="B222" s="60"/>
      <c r="C222" s="60"/>
      <c r="D222" s="66"/>
      <c r="E222" s="66"/>
      <c r="F222" s="66"/>
      <c r="G222" s="66"/>
      <c r="H222" s="66"/>
      <c r="I222" s="66"/>
      <c r="J222" s="66"/>
      <c r="K222" s="66"/>
      <c r="L222" s="66"/>
      <c r="M222" s="66"/>
      <c r="N222" s="66"/>
      <c r="O222" s="84"/>
    </row>
    <row r="223" spans="1:15" x14ac:dyDescent="0.25">
      <c r="A223" s="59"/>
      <c r="B223" s="60"/>
      <c r="C223" s="60"/>
      <c r="D223" s="66"/>
      <c r="E223" s="66"/>
      <c r="F223" s="66"/>
      <c r="G223" s="66"/>
      <c r="H223" s="66"/>
      <c r="I223" s="66"/>
      <c r="J223" s="66"/>
      <c r="K223" s="66"/>
      <c r="L223" s="66"/>
      <c r="M223" s="66"/>
      <c r="N223" s="66"/>
      <c r="O223" s="84"/>
    </row>
    <row r="224" spans="1:15" x14ac:dyDescent="0.25">
      <c r="A224" s="59"/>
      <c r="B224" s="60"/>
      <c r="C224" s="60"/>
      <c r="D224" s="66"/>
      <c r="E224" s="66"/>
      <c r="F224" s="66"/>
      <c r="G224" s="66"/>
      <c r="H224" s="66"/>
      <c r="I224" s="66"/>
      <c r="J224" s="66"/>
      <c r="K224" s="66"/>
      <c r="L224" s="66"/>
      <c r="M224" s="66"/>
      <c r="N224" s="66"/>
      <c r="O224" s="84"/>
    </row>
    <row r="225" spans="1:15" x14ac:dyDescent="0.25">
      <c r="A225" s="59"/>
      <c r="B225" s="60"/>
      <c r="C225" s="60"/>
      <c r="D225" s="66"/>
      <c r="E225" s="66"/>
      <c r="F225" s="66"/>
      <c r="G225" s="66"/>
      <c r="H225" s="66"/>
      <c r="I225" s="66"/>
      <c r="J225" s="66"/>
      <c r="K225" s="66"/>
      <c r="L225" s="66"/>
      <c r="M225" s="66"/>
      <c r="N225" s="66"/>
      <c r="O225" s="84"/>
    </row>
    <row r="226" spans="1:15" x14ac:dyDescent="0.25">
      <c r="A226" s="59"/>
      <c r="B226" s="60"/>
      <c r="C226" s="60"/>
      <c r="D226" s="66"/>
      <c r="E226" s="66"/>
      <c r="F226" s="66"/>
      <c r="G226" s="66"/>
      <c r="H226" s="66"/>
      <c r="I226" s="66"/>
      <c r="J226" s="66"/>
      <c r="K226" s="66"/>
      <c r="L226" s="66"/>
      <c r="M226" s="66"/>
      <c r="N226" s="66"/>
      <c r="O226" s="84"/>
    </row>
    <row r="227" spans="1:15" x14ac:dyDescent="0.25">
      <c r="A227" s="58" t="s">
        <v>194</v>
      </c>
      <c r="B227" s="60"/>
      <c r="C227" s="60"/>
      <c r="D227" s="66"/>
      <c r="E227" s="66"/>
      <c r="F227" s="66"/>
      <c r="G227" s="66"/>
      <c r="H227" s="66"/>
      <c r="I227" s="66"/>
      <c r="J227" s="66"/>
      <c r="K227" s="66"/>
      <c r="L227" s="66"/>
      <c r="M227" s="66"/>
      <c r="N227" s="66"/>
      <c r="O227" s="84"/>
    </row>
    <row r="228" spans="1:15" x14ac:dyDescent="0.25">
      <c r="A228" s="59" t="s">
        <v>195</v>
      </c>
      <c r="B228" s="60"/>
      <c r="C228" s="66">
        <f>SUM(C110+C123+C136+C149+C162+C175+C188+C201+C214)</f>
        <v>1771.9116000000001</v>
      </c>
      <c r="D228" s="66">
        <f t="shared" ref="D228:N228" si="58">SUM(D110+D123+D136+D149+D162+D175+D188+D201+D214)</f>
        <v>1771.9116000000001</v>
      </c>
      <c r="E228" s="66">
        <f t="shared" si="58"/>
        <v>1771.9116000000001</v>
      </c>
      <c r="F228" s="66">
        <f t="shared" si="58"/>
        <v>1771.9116000000001</v>
      </c>
      <c r="G228" s="66">
        <f t="shared" si="58"/>
        <v>1771.9116000000001</v>
      </c>
      <c r="H228" s="66">
        <f t="shared" si="58"/>
        <v>1771.9116000000001</v>
      </c>
      <c r="I228" s="66">
        <f t="shared" si="58"/>
        <v>1771.9116000000001</v>
      </c>
      <c r="J228" s="66">
        <f t="shared" si="58"/>
        <v>1771.9116000000001</v>
      </c>
      <c r="K228" s="66">
        <f t="shared" si="58"/>
        <v>1771.9116000000001</v>
      </c>
      <c r="L228" s="66">
        <f t="shared" si="58"/>
        <v>1771.9116000000001</v>
      </c>
      <c r="M228" s="66">
        <f t="shared" si="58"/>
        <v>1771.9116000000001</v>
      </c>
      <c r="N228" s="66">
        <f t="shared" si="58"/>
        <v>1771.9116000000001</v>
      </c>
      <c r="O228" s="84"/>
    </row>
    <row r="229" spans="1:15" x14ac:dyDescent="0.25">
      <c r="A229" s="59" t="s">
        <v>22</v>
      </c>
      <c r="B229" s="60"/>
      <c r="C229" s="66">
        <f>SUM(C111+C112+C113+C124+C125+C126+C137+C138+C139+C150+C151+C152+C163+C164+C165+C176+C177+C178+C189+C190+C191+C202+C203+C204+C215+C216+C217)</f>
        <v>154.62787499999999</v>
      </c>
      <c r="D229" s="66">
        <f t="shared" ref="D229:N229" si="59">SUM(D111+D112+D113+D124+D125+D126+D137+D138+D139+D150+D151+D152+D163+D164+D165+D176+D177+D178+D189+D190+D191+D202+D203+D204+D215+D216+D217)</f>
        <v>154.62787499999999</v>
      </c>
      <c r="E229" s="66">
        <f t="shared" si="59"/>
        <v>154.62787499999999</v>
      </c>
      <c r="F229" s="66">
        <f t="shared" si="59"/>
        <v>154.62787499999999</v>
      </c>
      <c r="G229" s="66">
        <f t="shared" si="59"/>
        <v>154.62787499999999</v>
      </c>
      <c r="H229" s="66">
        <f t="shared" si="59"/>
        <v>154.62787499999999</v>
      </c>
      <c r="I229" s="66">
        <f t="shared" si="59"/>
        <v>154.62787499999999</v>
      </c>
      <c r="J229" s="66">
        <f t="shared" si="59"/>
        <v>154.62787499999999</v>
      </c>
      <c r="K229" s="66">
        <f t="shared" si="59"/>
        <v>154.62787499999999</v>
      </c>
      <c r="L229" s="66">
        <f t="shared" si="59"/>
        <v>154.62787499999999</v>
      </c>
      <c r="M229" s="66">
        <f t="shared" si="59"/>
        <v>154.62787499999999</v>
      </c>
      <c r="N229" s="66">
        <f t="shared" si="59"/>
        <v>154.62787499999999</v>
      </c>
      <c r="O229" s="84"/>
    </row>
    <row r="230" spans="1:15" x14ac:dyDescent="0.25">
      <c r="A230" s="59" t="s">
        <v>23</v>
      </c>
      <c r="B230" s="60"/>
      <c r="C230" s="66">
        <f>SUM(C114+C115+C127+C128+C140+C141+C153+C154+C167+C166+C179+C180+C192+C193+C205+C206+C218+C219)</f>
        <v>98.602189379310332</v>
      </c>
      <c r="D230" s="66">
        <f t="shared" ref="D230:N230" si="60">SUM(D114+D115+D127+D128+D140+D141+D153+D154+D167+D166+D179+D180+D192+D193+D205+D206+D218+D219)</f>
        <v>98.602189379310332</v>
      </c>
      <c r="E230" s="66">
        <f t="shared" si="60"/>
        <v>98.602189379310332</v>
      </c>
      <c r="F230" s="66">
        <f t="shared" si="60"/>
        <v>98.602189379310332</v>
      </c>
      <c r="G230" s="66">
        <f t="shared" si="60"/>
        <v>98.602189379310332</v>
      </c>
      <c r="H230" s="66">
        <f t="shared" si="60"/>
        <v>98.602189379310332</v>
      </c>
      <c r="I230" s="66">
        <f t="shared" si="60"/>
        <v>98.602189379310332</v>
      </c>
      <c r="J230" s="66">
        <f t="shared" si="60"/>
        <v>98.602189379310332</v>
      </c>
      <c r="K230" s="66">
        <f t="shared" si="60"/>
        <v>98.602189379310332</v>
      </c>
      <c r="L230" s="66">
        <f t="shared" si="60"/>
        <v>98.602189379310332</v>
      </c>
      <c r="M230" s="66">
        <f t="shared" si="60"/>
        <v>98.602189379310332</v>
      </c>
      <c r="N230" s="66">
        <f t="shared" si="60"/>
        <v>98.602189379310332</v>
      </c>
      <c r="O230" s="84"/>
    </row>
    <row r="231" spans="1:15" x14ac:dyDescent="0.25">
      <c r="A231" s="58" t="s">
        <v>196</v>
      </c>
      <c r="B231" s="60"/>
      <c r="C231" s="60">
        <f>SUM(C228:C230)</f>
        <v>2025.1416643793104</v>
      </c>
      <c r="D231" s="60">
        <f t="shared" ref="D231:N231" si="61">SUM(D228:D230)</f>
        <v>2025.1416643793104</v>
      </c>
      <c r="E231" s="60">
        <f t="shared" si="61"/>
        <v>2025.1416643793104</v>
      </c>
      <c r="F231" s="60">
        <f t="shared" si="61"/>
        <v>2025.1416643793104</v>
      </c>
      <c r="G231" s="60">
        <f t="shared" si="61"/>
        <v>2025.1416643793104</v>
      </c>
      <c r="H231" s="60">
        <f t="shared" si="61"/>
        <v>2025.1416643793104</v>
      </c>
      <c r="I231" s="60">
        <f t="shared" si="61"/>
        <v>2025.1416643793104</v>
      </c>
      <c r="J231" s="60">
        <f t="shared" si="61"/>
        <v>2025.1416643793104</v>
      </c>
      <c r="K231" s="60">
        <f t="shared" si="61"/>
        <v>2025.1416643793104</v>
      </c>
      <c r="L231" s="60">
        <f t="shared" si="61"/>
        <v>2025.1416643793104</v>
      </c>
      <c r="M231" s="60">
        <f t="shared" si="61"/>
        <v>2025.1416643793104</v>
      </c>
      <c r="N231" s="60">
        <f t="shared" si="61"/>
        <v>2025.1416643793104</v>
      </c>
      <c r="O231" s="58"/>
    </row>
    <row r="232" spans="1:15" x14ac:dyDescent="0.25">
      <c r="A232" s="59"/>
      <c r="B232" s="60"/>
      <c r="C232" s="60"/>
      <c r="D232" s="66"/>
      <c r="E232" s="66"/>
      <c r="F232" s="66"/>
      <c r="G232" s="66"/>
      <c r="H232" s="66"/>
      <c r="I232" s="66"/>
      <c r="J232" s="66"/>
      <c r="K232" s="66"/>
      <c r="L232" s="66"/>
      <c r="M232" s="66"/>
      <c r="N232" s="66"/>
      <c r="O232" s="84"/>
    </row>
    <row r="233" spans="1:15" x14ac:dyDescent="0.25">
      <c r="A233" s="59"/>
      <c r="B233" s="60"/>
      <c r="C233" s="60"/>
      <c r="D233" s="66"/>
      <c r="E233" s="66"/>
      <c r="F233" s="66"/>
      <c r="G233" s="66"/>
      <c r="H233" s="66"/>
      <c r="I233" s="66"/>
      <c r="J233" s="66"/>
      <c r="K233" s="66"/>
      <c r="L233" s="66"/>
      <c r="M233" s="66"/>
      <c r="N233" s="66"/>
      <c r="O233" s="84"/>
    </row>
    <row r="234" spans="1:15" x14ac:dyDescent="0.25">
      <c r="A234" s="59"/>
      <c r="B234" s="60"/>
      <c r="C234" s="60"/>
      <c r="D234" s="66"/>
      <c r="E234" s="66"/>
      <c r="F234" s="66"/>
      <c r="G234" s="66"/>
      <c r="H234" s="66"/>
      <c r="I234" s="66"/>
      <c r="J234" s="66"/>
      <c r="K234" s="66"/>
      <c r="L234" s="66"/>
      <c r="M234" s="66"/>
      <c r="N234" s="66"/>
      <c r="O234" s="84"/>
    </row>
    <row r="235" spans="1:15" x14ac:dyDescent="0.25">
      <c r="A235" s="59"/>
      <c r="B235" s="60"/>
      <c r="C235" s="60"/>
      <c r="D235" s="66"/>
      <c r="E235" s="66"/>
      <c r="F235" s="66"/>
      <c r="G235" s="66"/>
      <c r="H235" s="66"/>
      <c r="I235" s="66"/>
      <c r="J235" s="66"/>
      <c r="K235" s="66"/>
      <c r="L235" s="66"/>
      <c r="M235" s="66"/>
      <c r="N235" s="66"/>
      <c r="O235" s="84"/>
    </row>
    <row r="236" spans="1:15" x14ac:dyDescent="0.25">
      <c r="A236" s="84"/>
      <c r="B236" s="84"/>
      <c r="C236" s="60"/>
      <c r="D236" s="66"/>
      <c r="E236" s="66"/>
      <c r="F236" s="66"/>
      <c r="G236" s="66"/>
      <c r="H236" s="66"/>
      <c r="I236" s="66"/>
      <c r="J236" s="66"/>
      <c r="K236" s="66"/>
      <c r="L236" s="66"/>
      <c r="M236" s="66"/>
      <c r="N236" s="66"/>
      <c r="O236" s="84"/>
    </row>
    <row r="237" spans="1:15" x14ac:dyDescent="0.25">
      <c r="A237" s="84"/>
      <c r="B237" s="84"/>
      <c r="C237" s="60"/>
      <c r="D237" s="66"/>
      <c r="E237" s="66"/>
      <c r="F237" s="66"/>
      <c r="G237" s="66"/>
      <c r="H237" s="66"/>
      <c r="I237" s="66"/>
      <c r="J237" s="66"/>
      <c r="K237" s="66"/>
      <c r="L237" s="66"/>
      <c r="M237" s="66"/>
      <c r="N237" s="66"/>
      <c r="O237" s="84"/>
    </row>
    <row r="238" spans="1:15" x14ac:dyDescent="0.25">
      <c r="A238" s="84"/>
      <c r="B238" s="84"/>
      <c r="C238" s="60"/>
      <c r="D238" s="66"/>
      <c r="E238" s="66"/>
      <c r="F238" s="66"/>
      <c r="G238" s="66"/>
      <c r="H238" s="66"/>
      <c r="I238" s="66"/>
      <c r="J238" s="66"/>
      <c r="K238" s="66"/>
      <c r="L238" s="66"/>
      <c r="M238" s="66"/>
      <c r="N238" s="66"/>
      <c r="O238" s="84"/>
    </row>
    <row r="239" spans="1:15" x14ac:dyDescent="0.25">
      <c r="A239" s="84"/>
      <c r="B239" s="84"/>
      <c r="C239" s="60"/>
      <c r="D239" s="66"/>
      <c r="E239" s="66"/>
      <c r="F239" s="66"/>
      <c r="G239" s="66"/>
      <c r="H239" s="66"/>
      <c r="I239" s="66"/>
      <c r="J239" s="66"/>
      <c r="K239" s="66"/>
      <c r="L239" s="66"/>
      <c r="M239" s="66"/>
      <c r="N239" s="66"/>
      <c r="O239" s="84"/>
    </row>
    <row r="240" spans="1:15" x14ac:dyDescent="0.25">
      <c r="A240" s="84"/>
      <c r="B240" s="84"/>
      <c r="C240" s="60"/>
      <c r="D240" s="66"/>
      <c r="E240" s="66"/>
      <c r="F240" s="66"/>
      <c r="G240" s="66"/>
      <c r="H240" s="66"/>
      <c r="I240" s="66"/>
      <c r="J240" s="66"/>
      <c r="K240" s="66"/>
      <c r="L240" s="66"/>
      <c r="M240" s="66"/>
      <c r="N240" s="66"/>
      <c r="O240" s="84"/>
    </row>
    <row r="241" spans="1:15" x14ac:dyDescent="0.25">
      <c r="A241" s="84"/>
      <c r="B241" s="84"/>
      <c r="C241" s="60"/>
      <c r="D241" s="66"/>
      <c r="E241" s="66"/>
      <c r="F241" s="66"/>
      <c r="G241" s="66"/>
      <c r="H241" s="66"/>
      <c r="I241" s="66"/>
      <c r="J241" s="66"/>
      <c r="K241" s="66"/>
      <c r="L241" s="66"/>
      <c r="M241" s="66"/>
      <c r="N241" s="66"/>
      <c r="O241" s="84"/>
    </row>
    <row r="242" spans="1:15" x14ac:dyDescent="0.25">
      <c r="A242" s="84"/>
      <c r="B242" s="84"/>
      <c r="C242" s="60"/>
      <c r="D242" s="66"/>
      <c r="E242" s="66"/>
      <c r="F242" s="66"/>
      <c r="G242" s="66"/>
      <c r="H242" s="66"/>
      <c r="I242" s="66"/>
      <c r="J242" s="66"/>
      <c r="K242" s="66"/>
      <c r="L242" s="66"/>
      <c r="M242" s="66"/>
      <c r="N242" s="66"/>
      <c r="O242" s="84"/>
    </row>
    <row r="243" spans="1:15" x14ac:dyDescent="0.25">
      <c r="A243" s="84"/>
      <c r="B243" s="84"/>
      <c r="C243" s="60"/>
      <c r="D243" s="66"/>
      <c r="E243" s="66"/>
      <c r="F243" s="66"/>
      <c r="G243" s="66"/>
      <c r="H243" s="66"/>
      <c r="I243" s="66"/>
      <c r="J243" s="66"/>
      <c r="K243" s="66"/>
      <c r="L243" s="66"/>
      <c r="M243" s="66"/>
      <c r="N243" s="66"/>
      <c r="O243" s="84"/>
    </row>
    <row r="244" spans="1:15" x14ac:dyDescent="0.25">
      <c r="A244" s="84"/>
      <c r="B244" s="84"/>
      <c r="C244" s="60"/>
      <c r="D244" s="66"/>
      <c r="E244" s="66"/>
      <c r="F244" s="66"/>
      <c r="G244" s="66"/>
      <c r="H244" s="66"/>
      <c r="I244" s="66"/>
      <c r="J244" s="66"/>
      <c r="K244" s="66"/>
      <c r="L244" s="66"/>
      <c r="M244" s="66"/>
      <c r="N244" s="66"/>
      <c r="O244" s="84"/>
    </row>
    <row r="245" spans="1:15" x14ac:dyDescent="0.25">
      <c r="A245" s="84"/>
      <c r="B245" s="84"/>
      <c r="C245" s="60"/>
      <c r="D245" s="66"/>
      <c r="E245" s="66"/>
      <c r="F245" s="66"/>
      <c r="G245" s="66"/>
      <c r="H245" s="66"/>
      <c r="I245" s="66"/>
      <c r="J245" s="66"/>
      <c r="K245" s="66"/>
      <c r="L245" s="66"/>
      <c r="M245" s="66"/>
      <c r="N245" s="66"/>
      <c r="O245" s="84"/>
    </row>
    <row r="246" spans="1:15" x14ac:dyDescent="0.25">
      <c r="A246" s="84"/>
      <c r="B246" s="84"/>
      <c r="C246" s="60"/>
      <c r="D246" s="66"/>
      <c r="E246" s="66"/>
      <c r="F246" s="66"/>
      <c r="G246" s="66"/>
      <c r="H246" s="66"/>
      <c r="I246" s="66"/>
      <c r="J246" s="66"/>
      <c r="K246" s="66"/>
      <c r="L246" s="66"/>
      <c r="M246" s="66"/>
      <c r="N246" s="66"/>
      <c r="O246" s="84"/>
    </row>
    <row r="247" spans="1:15" x14ac:dyDescent="0.25">
      <c r="A247" s="84"/>
      <c r="B247" s="84"/>
      <c r="C247" s="60"/>
      <c r="D247" s="66"/>
      <c r="E247" s="66"/>
      <c r="F247" s="66"/>
      <c r="G247" s="66"/>
      <c r="H247" s="66"/>
      <c r="I247" s="66"/>
      <c r="J247" s="66"/>
      <c r="K247" s="66"/>
      <c r="L247" s="66"/>
      <c r="M247" s="66"/>
      <c r="N247" s="66"/>
      <c r="O247" s="84"/>
    </row>
    <row r="248" spans="1:15" x14ac:dyDescent="0.25">
      <c r="A248" s="84"/>
      <c r="B248" s="84"/>
      <c r="C248" s="60"/>
      <c r="D248" s="66"/>
      <c r="E248" s="66"/>
      <c r="F248" s="66"/>
      <c r="G248" s="66"/>
      <c r="H248" s="66"/>
      <c r="I248" s="66"/>
      <c r="J248" s="66"/>
      <c r="K248" s="66"/>
      <c r="L248" s="66"/>
      <c r="M248" s="66"/>
      <c r="N248" s="66"/>
      <c r="O248" s="84"/>
    </row>
    <row r="249" spans="1:15" x14ac:dyDescent="0.25">
      <c r="A249" s="84"/>
      <c r="B249" s="84"/>
      <c r="C249" s="60"/>
      <c r="D249" s="66"/>
      <c r="E249" s="66"/>
      <c r="F249" s="66"/>
      <c r="G249" s="66"/>
      <c r="H249" s="66"/>
      <c r="I249" s="66"/>
      <c r="J249" s="66"/>
      <c r="K249" s="66"/>
      <c r="L249" s="66"/>
      <c r="M249" s="66"/>
      <c r="N249" s="66"/>
      <c r="O249" s="84"/>
    </row>
    <row r="250" spans="1:15" x14ac:dyDescent="0.25">
      <c r="A250" s="84"/>
      <c r="B250" s="84"/>
      <c r="C250" s="60"/>
      <c r="D250" s="66"/>
      <c r="E250" s="66"/>
      <c r="F250" s="66"/>
      <c r="G250" s="66"/>
      <c r="H250" s="66"/>
      <c r="I250" s="66"/>
      <c r="J250" s="66"/>
      <c r="K250" s="66"/>
      <c r="L250" s="66"/>
      <c r="M250" s="66"/>
      <c r="N250" s="66"/>
      <c r="O250" s="84"/>
    </row>
    <row r="251" spans="1:15" x14ac:dyDescent="0.25">
      <c r="A251" s="84"/>
      <c r="B251" s="84"/>
      <c r="C251" s="60"/>
      <c r="D251" s="66"/>
      <c r="E251" s="66"/>
      <c r="F251" s="66"/>
      <c r="G251" s="66"/>
      <c r="H251" s="66"/>
      <c r="I251" s="66"/>
      <c r="J251" s="66"/>
      <c r="K251" s="66"/>
      <c r="L251" s="66"/>
      <c r="M251" s="66"/>
      <c r="N251" s="66"/>
      <c r="O251" s="84"/>
    </row>
    <row r="252" spans="1:15" x14ac:dyDescent="0.25">
      <c r="A252" s="84"/>
      <c r="B252" s="84"/>
      <c r="C252" s="60"/>
      <c r="D252" s="66"/>
      <c r="E252" s="66"/>
      <c r="F252" s="66"/>
      <c r="G252" s="66"/>
      <c r="H252" s="66"/>
      <c r="I252" s="66"/>
      <c r="J252" s="66"/>
      <c r="K252" s="66"/>
      <c r="L252" s="66"/>
      <c r="M252" s="66"/>
      <c r="N252" s="66"/>
      <c r="O252" s="84"/>
    </row>
    <row r="253" spans="1:15" x14ac:dyDescent="0.25">
      <c r="A253" s="84"/>
      <c r="B253" s="84"/>
      <c r="C253" s="60"/>
      <c r="D253" s="66"/>
      <c r="E253" s="66"/>
      <c r="F253" s="66"/>
      <c r="G253" s="66"/>
      <c r="H253" s="66"/>
      <c r="I253" s="66"/>
      <c r="J253" s="66"/>
      <c r="K253" s="66"/>
      <c r="L253" s="66"/>
      <c r="M253" s="66"/>
      <c r="N253" s="66"/>
      <c r="O253" s="84"/>
    </row>
    <row r="254" spans="1:15" x14ac:dyDescent="0.25">
      <c r="A254" s="84"/>
      <c r="B254" s="84"/>
      <c r="C254" s="60"/>
      <c r="D254" s="66"/>
      <c r="E254" s="66"/>
      <c r="F254" s="66"/>
      <c r="G254" s="66"/>
      <c r="H254" s="66"/>
      <c r="I254" s="66"/>
      <c r="J254" s="66"/>
      <c r="K254" s="66"/>
      <c r="L254" s="66"/>
      <c r="M254" s="66"/>
      <c r="N254" s="66"/>
      <c r="O254" s="84"/>
    </row>
    <row r="255" spans="1:15" x14ac:dyDescent="0.25">
      <c r="A255" s="84"/>
      <c r="B255" s="84"/>
      <c r="C255" s="60"/>
      <c r="D255" s="66"/>
      <c r="E255" s="66"/>
      <c r="F255" s="66"/>
      <c r="G255" s="66"/>
      <c r="H255" s="66"/>
      <c r="I255" s="66"/>
      <c r="J255" s="66"/>
      <c r="K255" s="66"/>
      <c r="L255" s="66"/>
      <c r="M255" s="66"/>
      <c r="N255" s="66"/>
      <c r="O255" s="84"/>
    </row>
    <row r="256" spans="1:15" x14ac:dyDescent="0.25">
      <c r="A256" s="84"/>
      <c r="B256" s="84"/>
      <c r="C256" s="60"/>
      <c r="D256" s="66"/>
      <c r="E256" s="66"/>
      <c r="F256" s="66"/>
      <c r="G256" s="66"/>
      <c r="H256" s="66"/>
      <c r="I256" s="66"/>
      <c r="J256" s="66"/>
      <c r="K256" s="66"/>
      <c r="L256" s="66"/>
      <c r="M256" s="66"/>
      <c r="N256" s="66"/>
      <c r="O256" s="84"/>
    </row>
    <row r="257" spans="1:15" x14ac:dyDescent="0.25">
      <c r="A257" s="84"/>
      <c r="B257" s="84"/>
      <c r="C257" s="60"/>
      <c r="D257" s="66"/>
      <c r="E257" s="66"/>
      <c r="F257" s="66"/>
      <c r="G257" s="66"/>
      <c r="H257" s="66"/>
      <c r="I257" s="66"/>
      <c r="J257" s="66"/>
      <c r="K257" s="66"/>
      <c r="L257" s="66"/>
      <c r="M257" s="66"/>
      <c r="N257" s="66"/>
      <c r="O257" s="84"/>
    </row>
    <row r="258" spans="1:15" x14ac:dyDescent="0.25">
      <c r="A258" s="84"/>
      <c r="B258" s="84"/>
      <c r="C258" s="60"/>
      <c r="D258" s="66"/>
      <c r="E258" s="66"/>
      <c r="F258" s="66"/>
      <c r="G258" s="66"/>
      <c r="H258" s="66"/>
      <c r="I258" s="66"/>
      <c r="J258" s="66"/>
      <c r="K258" s="66"/>
      <c r="L258" s="66"/>
      <c r="M258" s="66"/>
      <c r="N258" s="66"/>
      <c r="O258" s="84"/>
    </row>
    <row r="259" spans="1:15" x14ac:dyDescent="0.25">
      <c r="A259" s="84"/>
      <c r="B259" s="84"/>
      <c r="C259" s="60"/>
      <c r="D259" s="66"/>
      <c r="E259" s="66"/>
      <c r="F259" s="66"/>
      <c r="G259" s="66"/>
      <c r="H259" s="66"/>
      <c r="I259" s="66"/>
      <c r="J259" s="66"/>
      <c r="K259" s="66"/>
      <c r="L259" s="66"/>
      <c r="M259" s="66"/>
      <c r="N259" s="66"/>
      <c r="O259" s="84"/>
    </row>
    <row r="260" spans="1:15" x14ac:dyDescent="0.25">
      <c r="A260" s="84"/>
      <c r="B260" s="84"/>
      <c r="C260" s="60"/>
      <c r="D260" s="66"/>
      <c r="E260" s="66"/>
      <c r="F260" s="66"/>
      <c r="G260" s="66"/>
      <c r="H260" s="66"/>
      <c r="I260" s="66"/>
      <c r="J260" s="66"/>
      <c r="K260" s="66"/>
      <c r="L260" s="66"/>
      <c r="M260" s="66"/>
      <c r="N260" s="66"/>
      <c r="O260" s="84"/>
    </row>
    <row r="261" spans="1:15" x14ac:dyDescent="0.25">
      <c r="A261" s="84"/>
      <c r="B261" s="84"/>
      <c r="C261" s="60"/>
      <c r="D261" s="66"/>
      <c r="E261" s="66"/>
      <c r="F261" s="66"/>
      <c r="G261" s="66"/>
      <c r="H261" s="66"/>
      <c r="I261" s="66"/>
      <c r="J261" s="66"/>
      <c r="K261" s="66"/>
      <c r="L261" s="66"/>
      <c r="M261" s="66"/>
      <c r="N261" s="66"/>
      <c r="O261" s="84"/>
    </row>
    <row r="262" spans="1:15" x14ac:dyDescent="0.25">
      <c r="A262" s="84"/>
      <c r="B262" s="84"/>
      <c r="C262" s="60"/>
      <c r="D262" s="66"/>
      <c r="E262" s="66"/>
      <c r="F262" s="66"/>
      <c r="G262" s="66"/>
      <c r="H262" s="66"/>
      <c r="I262" s="66"/>
      <c r="J262" s="66"/>
      <c r="K262" s="66"/>
      <c r="L262" s="66"/>
      <c r="M262" s="66"/>
      <c r="N262" s="66"/>
      <c r="O262" s="84"/>
    </row>
    <row r="263" spans="1:15" x14ac:dyDescent="0.25">
      <c r="A263" s="84"/>
      <c r="B263" s="84"/>
      <c r="C263" s="60"/>
      <c r="D263" s="66"/>
      <c r="E263" s="66"/>
      <c r="F263" s="66"/>
      <c r="G263" s="66"/>
      <c r="H263" s="66"/>
      <c r="I263" s="66"/>
      <c r="J263" s="66"/>
      <c r="K263" s="66"/>
      <c r="L263" s="66"/>
      <c r="M263" s="66"/>
      <c r="N263" s="66"/>
      <c r="O263" s="84"/>
    </row>
    <row r="264" spans="1:15" x14ac:dyDescent="0.25">
      <c r="A264" s="84"/>
      <c r="B264" s="84"/>
      <c r="C264" s="60"/>
      <c r="D264" s="66"/>
      <c r="E264" s="66"/>
      <c r="F264" s="66"/>
      <c r="G264" s="66"/>
      <c r="H264" s="66"/>
      <c r="I264" s="66"/>
      <c r="J264" s="66"/>
      <c r="K264" s="66"/>
      <c r="L264" s="66"/>
      <c r="M264" s="66"/>
      <c r="N264" s="66"/>
      <c r="O264" s="84"/>
    </row>
    <row r="265" spans="1:15" x14ac:dyDescent="0.25">
      <c r="A265" s="84"/>
      <c r="B265" s="84"/>
      <c r="C265" s="60"/>
      <c r="D265" s="66"/>
      <c r="E265" s="66"/>
      <c r="F265" s="66"/>
      <c r="G265" s="66"/>
      <c r="H265" s="66"/>
      <c r="I265" s="66"/>
      <c r="J265" s="66"/>
      <c r="K265" s="66"/>
      <c r="L265" s="66"/>
      <c r="M265" s="66"/>
      <c r="N265" s="66"/>
      <c r="O265" s="84"/>
    </row>
    <row r="266" spans="1:15" x14ac:dyDescent="0.25">
      <c r="A266" s="84"/>
      <c r="B266" s="84"/>
      <c r="C266" s="60"/>
      <c r="D266" s="66"/>
      <c r="E266" s="66"/>
      <c r="F266" s="66"/>
      <c r="G266" s="66"/>
      <c r="H266" s="66"/>
      <c r="I266" s="66"/>
      <c r="J266" s="66"/>
      <c r="K266" s="66"/>
      <c r="L266" s="66"/>
      <c r="M266" s="66"/>
      <c r="N266" s="66"/>
      <c r="O266" s="84"/>
    </row>
    <row r="267" spans="1:15" x14ac:dyDescent="0.25">
      <c r="A267" s="84"/>
      <c r="B267" s="84"/>
      <c r="C267" s="60"/>
      <c r="D267" s="66"/>
      <c r="E267" s="66"/>
      <c r="F267" s="66"/>
      <c r="G267" s="66"/>
      <c r="H267" s="66"/>
      <c r="I267" s="66"/>
      <c r="J267" s="66"/>
      <c r="K267" s="66"/>
      <c r="L267" s="66"/>
      <c r="M267" s="66"/>
      <c r="N267" s="66"/>
      <c r="O267" s="84"/>
    </row>
    <row r="268" spans="1:15" x14ac:dyDescent="0.25">
      <c r="A268" s="84"/>
      <c r="B268" s="84"/>
      <c r="C268" s="60"/>
      <c r="D268" s="66"/>
      <c r="E268" s="66"/>
      <c r="F268" s="66"/>
      <c r="G268" s="66"/>
      <c r="H268" s="66"/>
      <c r="I268" s="66"/>
      <c r="J268" s="66"/>
      <c r="K268" s="66"/>
      <c r="L268" s="66"/>
      <c r="M268" s="66"/>
      <c r="N268" s="66"/>
      <c r="O268" s="84"/>
    </row>
    <row r="269" spans="1:15" x14ac:dyDescent="0.25">
      <c r="A269" s="84"/>
      <c r="B269" s="84"/>
      <c r="C269" s="60"/>
      <c r="D269" s="66"/>
      <c r="E269" s="66"/>
      <c r="F269" s="66"/>
      <c r="G269" s="66"/>
      <c r="H269" s="66"/>
      <c r="I269" s="66"/>
      <c r="J269" s="66"/>
      <c r="K269" s="66"/>
      <c r="L269" s="66"/>
      <c r="M269" s="66"/>
      <c r="N269" s="66"/>
      <c r="O269" s="84"/>
    </row>
    <row r="270" spans="1:15" x14ac:dyDescent="0.25">
      <c r="A270" s="84"/>
      <c r="B270" s="84"/>
      <c r="C270" s="60"/>
      <c r="D270" s="66"/>
      <c r="E270" s="66"/>
      <c r="F270" s="66"/>
      <c r="G270" s="66"/>
      <c r="H270" s="66"/>
      <c r="I270" s="66"/>
      <c r="J270" s="66"/>
      <c r="K270" s="66"/>
      <c r="L270" s="66"/>
      <c r="M270" s="66"/>
      <c r="N270" s="66"/>
      <c r="O270" s="84"/>
    </row>
    <row r="271" spans="1:15" x14ac:dyDescent="0.25">
      <c r="A271" s="84"/>
      <c r="B271" s="84"/>
      <c r="C271" s="60"/>
      <c r="D271" s="66"/>
      <c r="E271" s="66"/>
      <c r="F271" s="66"/>
      <c r="G271" s="66"/>
      <c r="H271" s="66"/>
      <c r="I271" s="66"/>
      <c r="J271" s="66"/>
      <c r="K271" s="66"/>
      <c r="L271" s="66"/>
      <c r="M271" s="66"/>
      <c r="N271" s="66"/>
      <c r="O271" s="84"/>
    </row>
    <row r="272" spans="1:15" x14ac:dyDescent="0.25">
      <c r="A272" s="84"/>
      <c r="B272" s="84"/>
      <c r="C272" s="60"/>
      <c r="D272" s="66"/>
      <c r="E272" s="66"/>
      <c r="F272" s="66"/>
      <c r="G272" s="66"/>
      <c r="H272" s="66"/>
      <c r="I272" s="66"/>
      <c r="J272" s="66"/>
      <c r="K272" s="66"/>
      <c r="L272" s="66"/>
      <c r="M272" s="66"/>
      <c r="N272" s="66"/>
      <c r="O272" s="84"/>
    </row>
    <row r="273" spans="1:15" x14ac:dyDescent="0.25">
      <c r="A273" s="84"/>
      <c r="B273" s="84"/>
      <c r="C273" s="60"/>
      <c r="D273" s="66"/>
      <c r="E273" s="66"/>
      <c r="F273" s="66"/>
      <c r="G273" s="66"/>
      <c r="H273" s="66"/>
      <c r="I273" s="66"/>
      <c r="J273" s="66"/>
      <c r="K273" s="66"/>
      <c r="L273" s="66"/>
      <c r="M273" s="66"/>
      <c r="N273" s="66"/>
      <c r="O273" s="84"/>
    </row>
    <row r="274" spans="1:15" x14ac:dyDescent="0.25">
      <c r="A274" s="84"/>
      <c r="B274" s="84"/>
      <c r="C274" s="60"/>
      <c r="D274" s="66"/>
      <c r="E274" s="66"/>
      <c r="F274" s="66"/>
      <c r="G274" s="66"/>
      <c r="H274" s="66"/>
      <c r="I274" s="66"/>
      <c r="J274" s="66"/>
      <c r="K274" s="66"/>
      <c r="L274" s="66"/>
      <c r="M274" s="66"/>
      <c r="N274" s="66"/>
      <c r="O274" s="84"/>
    </row>
    <row r="275" spans="1:15" x14ac:dyDescent="0.25">
      <c r="A275" s="84"/>
      <c r="B275" s="84"/>
      <c r="C275" s="60"/>
      <c r="D275" s="66"/>
      <c r="E275" s="66"/>
      <c r="F275" s="66"/>
      <c r="G275" s="66"/>
      <c r="H275" s="66"/>
      <c r="I275" s="66"/>
      <c r="J275" s="66"/>
      <c r="K275" s="66"/>
      <c r="L275" s="66"/>
      <c r="M275" s="66"/>
      <c r="N275" s="66"/>
      <c r="O275" s="84"/>
    </row>
    <row r="276" spans="1:15" x14ac:dyDescent="0.25">
      <c r="A276" s="84"/>
      <c r="B276" s="84"/>
      <c r="C276" s="60"/>
      <c r="D276" s="66"/>
      <c r="E276" s="66"/>
      <c r="F276" s="66"/>
      <c r="G276" s="66"/>
      <c r="H276" s="66"/>
      <c r="I276" s="66"/>
      <c r="J276" s="66"/>
      <c r="K276" s="66"/>
      <c r="L276" s="66"/>
      <c r="M276" s="66"/>
      <c r="N276" s="66"/>
      <c r="O276" s="84"/>
    </row>
    <row r="277" spans="1:15" x14ac:dyDescent="0.25">
      <c r="A277" s="84"/>
      <c r="B277" s="84"/>
      <c r="C277" s="60"/>
      <c r="D277" s="66"/>
      <c r="E277" s="66"/>
      <c r="F277" s="66"/>
      <c r="G277" s="66"/>
      <c r="H277" s="66"/>
      <c r="I277" s="66"/>
      <c r="J277" s="66"/>
      <c r="K277" s="66"/>
      <c r="L277" s="66"/>
      <c r="M277" s="66"/>
      <c r="N277" s="66"/>
      <c r="O277" s="84"/>
    </row>
    <row r="278" spans="1:15" x14ac:dyDescent="0.25">
      <c r="A278" s="84"/>
      <c r="B278" s="84"/>
      <c r="C278" s="60"/>
      <c r="D278" s="66"/>
      <c r="E278" s="66"/>
      <c r="F278" s="66"/>
      <c r="G278" s="66"/>
      <c r="H278" s="66"/>
      <c r="I278" s="66"/>
      <c r="J278" s="66"/>
      <c r="K278" s="66"/>
      <c r="L278" s="66"/>
      <c r="M278" s="66"/>
      <c r="N278" s="66"/>
      <c r="O278" s="84"/>
    </row>
    <row r="279" spans="1:15" x14ac:dyDescent="0.25">
      <c r="A279" s="84"/>
      <c r="B279" s="84"/>
      <c r="C279" s="60"/>
      <c r="D279" s="66"/>
      <c r="E279" s="66"/>
      <c r="F279" s="66"/>
      <c r="G279" s="66"/>
      <c r="H279" s="66"/>
      <c r="I279" s="66"/>
      <c r="J279" s="66"/>
      <c r="K279" s="66"/>
      <c r="L279" s="66"/>
      <c r="M279" s="66"/>
      <c r="N279" s="66"/>
      <c r="O279" s="84"/>
    </row>
    <row r="280" spans="1:15" x14ac:dyDescent="0.25">
      <c r="A280" s="84"/>
      <c r="B280" s="84"/>
      <c r="C280" s="60"/>
      <c r="D280" s="66"/>
      <c r="E280" s="66"/>
      <c r="F280" s="66"/>
      <c r="G280" s="66"/>
      <c r="H280" s="66"/>
      <c r="I280" s="66"/>
      <c r="J280" s="66"/>
      <c r="K280" s="66"/>
      <c r="L280" s="66"/>
      <c r="M280" s="66"/>
      <c r="N280" s="66"/>
      <c r="O280" s="84"/>
    </row>
    <row r="281" spans="1:15" x14ac:dyDescent="0.25">
      <c r="A281" s="84"/>
      <c r="B281" s="84"/>
      <c r="C281" s="60"/>
      <c r="D281" s="66"/>
      <c r="E281" s="66"/>
      <c r="F281" s="66"/>
      <c r="G281" s="66"/>
      <c r="H281" s="66"/>
      <c r="I281" s="66"/>
      <c r="J281" s="66"/>
      <c r="K281" s="66"/>
      <c r="L281" s="66"/>
      <c r="M281" s="66"/>
      <c r="N281" s="66"/>
      <c r="O281" s="84"/>
    </row>
    <row r="282" spans="1:15" x14ac:dyDescent="0.25">
      <c r="A282" s="84"/>
      <c r="B282" s="84"/>
      <c r="C282" s="60"/>
      <c r="D282" s="66"/>
      <c r="E282" s="66"/>
      <c r="F282" s="66"/>
      <c r="G282" s="66"/>
      <c r="H282" s="66"/>
      <c r="I282" s="66"/>
      <c r="J282" s="66"/>
      <c r="K282" s="66"/>
      <c r="L282" s="66"/>
      <c r="M282" s="66"/>
      <c r="N282" s="66"/>
      <c r="O282" s="84"/>
    </row>
    <row r="283" spans="1:15" x14ac:dyDescent="0.25">
      <c r="A283" s="84"/>
      <c r="B283" s="84"/>
      <c r="C283" s="60"/>
      <c r="D283" s="66"/>
      <c r="E283" s="66"/>
      <c r="F283" s="66"/>
      <c r="G283" s="66"/>
      <c r="H283" s="66"/>
      <c r="I283" s="66"/>
      <c r="J283" s="66"/>
      <c r="K283" s="66"/>
      <c r="L283" s="66"/>
      <c r="M283" s="66"/>
      <c r="N283" s="66"/>
      <c r="O283" s="84"/>
    </row>
    <row r="284" spans="1:15" x14ac:dyDescent="0.25">
      <c r="A284" s="84"/>
      <c r="B284" s="84"/>
      <c r="C284" s="60"/>
      <c r="D284" s="66"/>
      <c r="E284" s="66"/>
      <c r="F284" s="66"/>
      <c r="G284" s="66"/>
      <c r="H284" s="66"/>
      <c r="I284" s="66"/>
      <c r="J284" s="66"/>
      <c r="K284" s="66"/>
      <c r="L284" s="66"/>
      <c r="M284" s="66"/>
      <c r="N284" s="66"/>
      <c r="O284" s="84"/>
    </row>
    <row r="285" spans="1:15" x14ac:dyDescent="0.25">
      <c r="A285" s="84"/>
      <c r="B285" s="84"/>
      <c r="C285" s="60"/>
      <c r="D285" s="66"/>
      <c r="E285" s="66"/>
      <c r="F285" s="66"/>
      <c r="G285" s="66"/>
      <c r="H285" s="66"/>
      <c r="I285" s="66"/>
      <c r="J285" s="66"/>
      <c r="K285" s="66"/>
      <c r="L285" s="66"/>
      <c r="M285" s="66"/>
      <c r="N285" s="66"/>
      <c r="O285" s="84"/>
    </row>
    <row r="286" spans="1:15" x14ac:dyDescent="0.25">
      <c r="A286" s="84"/>
      <c r="B286" s="84"/>
      <c r="C286" s="60"/>
      <c r="D286" s="66"/>
      <c r="E286" s="66"/>
      <c r="F286" s="66"/>
      <c r="G286" s="66"/>
      <c r="H286" s="66"/>
      <c r="I286" s="66"/>
      <c r="J286" s="66"/>
      <c r="K286" s="66"/>
      <c r="L286" s="66"/>
      <c r="M286" s="66"/>
      <c r="N286" s="66"/>
      <c r="O286" s="84"/>
    </row>
    <row r="287" spans="1:15" x14ac:dyDescent="0.25">
      <c r="A287" s="84"/>
      <c r="B287" s="84"/>
      <c r="C287" s="60"/>
      <c r="D287" s="66"/>
      <c r="E287" s="66"/>
      <c r="F287" s="66"/>
      <c r="G287" s="66"/>
      <c r="H287" s="66"/>
      <c r="I287" s="66"/>
      <c r="J287" s="66"/>
      <c r="K287" s="66"/>
      <c r="L287" s="66"/>
      <c r="M287" s="66"/>
      <c r="N287" s="66"/>
      <c r="O287" s="84"/>
    </row>
    <row r="288" spans="1:15" x14ac:dyDescent="0.25">
      <c r="A288" s="84"/>
      <c r="B288" s="84"/>
      <c r="C288" s="60"/>
      <c r="D288" s="66"/>
      <c r="E288" s="66"/>
      <c r="F288" s="66"/>
      <c r="G288" s="66"/>
      <c r="H288" s="66"/>
      <c r="I288" s="66"/>
      <c r="J288" s="66"/>
      <c r="K288" s="66"/>
      <c r="L288" s="66"/>
      <c r="M288" s="66"/>
      <c r="N288" s="66"/>
      <c r="O288" s="84"/>
    </row>
    <row r="289" spans="1:15" x14ac:dyDescent="0.25">
      <c r="A289" s="84"/>
      <c r="B289" s="84"/>
      <c r="C289" s="60"/>
      <c r="D289" s="66"/>
      <c r="E289" s="66"/>
      <c r="F289" s="66"/>
      <c r="G289" s="66"/>
      <c r="H289" s="66"/>
      <c r="I289" s="66"/>
      <c r="J289" s="66"/>
      <c r="K289" s="66"/>
      <c r="L289" s="66"/>
      <c r="M289" s="66"/>
      <c r="N289" s="66"/>
      <c r="O289" s="84"/>
    </row>
    <row r="290" spans="1:15" x14ac:dyDescent="0.25">
      <c r="A290" s="84"/>
      <c r="B290" s="84"/>
      <c r="C290" s="60"/>
      <c r="D290" s="66"/>
      <c r="E290" s="66"/>
      <c r="F290" s="66"/>
      <c r="G290" s="66"/>
      <c r="H290" s="66"/>
      <c r="I290" s="66"/>
      <c r="J290" s="66"/>
      <c r="K290" s="66"/>
      <c r="L290" s="66"/>
      <c r="M290" s="66"/>
      <c r="N290" s="66"/>
      <c r="O290" s="84"/>
    </row>
    <row r="291" spans="1:15" x14ac:dyDescent="0.25">
      <c r="A291" s="84"/>
      <c r="B291" s="84"/>
      <c r="C291" s="60"/>
      <c r="D291" s="66"/>
      <c r="E291" s="66"/>
      <c r="F291" s="66"/>
      <c r="G291" s="66"/>
      <c r="H291" s="66"/>
      <c r="I291" s="66"/>
      <c r="J291" s="66"/>
      <c r="K291" s="66"/>
      <c r="L291" s="66"/>
      <c r="M291" s="66"/>
      <c r="N291" s="66"/>
      <c r="O291" s="84"/>
    </row>
    <row r="292" spans="1:15" x14ac:dyDescent="0.25">
      <c r="A292" s="84"/>
      <c r="B292" s="84"/>
      <c r="C292" s="60"/>
      <c r="D292" s="66"/>
      <c r="E292" s="66"/>
      <c r="F292" s="66"/>
      <c r="G292" s="66"/>
      <c r="H292" s="66"/>
      <c r="I292" s="66"/>
      <c r="J292" s="66"/>
      <c r="K292" s="66"/>
      <c r="L292" s="66"/>
      <c r="M292" s="66"/>
      <c r="N292" s="66"/>
      <c r="O292" s="84"/>
    </row>
    <row r="293" spans="1:15" x14ac:dyDescent="0.25">
      <c r="A293" s="84"/>
      <c r="B293" s="84"/>
      <c r="C293" s="60"/>
      <c r="D293" s="66"/>
      <c r="E293" s="66"/>
      <c r="F293" s="66"/>
      <c r="G293" s="66"/>
      <c r="H293" s="66"/>
      <c r="I293" s="66"/>
      <c r="J293" s="66"/>
      <c r="K293" s="66"/>
      <c r="L293" s="66"/>
      <c r="M293" s="66"/>
      <c r="N293" s="66"/>
      <c r="O293" s="84"/>
    </row>
    <row r="294" spans="1:15" x14ac:dyDescent="0.25">
      <c r="A294" s="84"/>
      <c r="B294" s="84"/>
      <c r="C294" s="60"/>
      <c r="D294" s="66"/>
      <c r="E294" s="66"/>
      <c r="F294" s="66"/>
      <c r="G294" s="66"/>
      <c r="H294" s="66"/>
      <c r="I294" s="66"/>
      <c r="J294" s="66"/>
      <c r="K294" s="66"/>
      <c r="L294" s="66"/>
      <c r="M294" s="66"/>
      <c r="N294" s="66"/>
      <c r="O294" s="84"/>
    </row>
    <row r="295" spans="1:15" x14ac:dyDescent="0.25">
      <c r="A295" s="84"/>
      <c r="B295" s="84"/>
      <c r="C295" s="60"/>
      <c r="D295" s="66"/>
      <c r="E295" s="66"/>
      <c r="F295" s="66"/>
      <c r="G295" s="66"/>
      <c r="H295" s="66"/>
      <c r="I295" s="66"/>
      <c r="J295" s="66"/>
      <c r="K295" s="66"/>
      <c r="L295" s="66"/>
      <c r="M295" s="66"/>
      <c r="N295" s="66"/>
      <c r="O295" s="84"/>
    </row>
    <row r="296" spans="1:15" x14ac:dyDescent="0.25">
      <c r="A296" s="84"/>
      <c r="B296" s="84"/>
      <c r="C296" s="60"/>
      <c r="D296" s="66"/>
      <c r="E296" s="66"/>
      <c r="F296" s="66"/>
      <c r="G296" s="66"/>
      <c r="H296" s="66"/>
      <c r="I296" s="66"/>
      <c r="J296" s="66"/>
      <c r="K296" s="66"/>
      <c r="L296" s="66"/>
      <c r="M296" s="66"/>
      <c r="N296" s="66"/>
      <c r="O296" s="84"/>
    </row>
    <row r="297" spans="1:15" x14ac:dyDescent="0.25">
      <c r="A297" s="84"/>
      <c r="B297" s="84"/>
      <c r="C297" s="60"/>
      <c r="D297" s="66"/>
      <c r="E297" s="66"/>
      <c r="F297" s="66"/>
      <c r="G297" s="66"/>
      <c r="H297" s="66"/>
      <c r="I297" s="66"/>
      <c r="J297" s="66"/>
      <c r="K297" s="66"/>
      <c r="L297" s="66"/>
      <c r="M297" s="66"/>
      <c r="N297" s="66"/>
      <c r="O297" s="84"/>
    </row>
    <row r="298" spans="1:15" x14ac:dyDescent="0.25">
      <c r="A298" s="84"/>
      <c r="B298" s="84"/>
      <c r="C298" s="60"/>
      <c r="D298" s="66"/>
      <c r="E298" s="66"/>
      <c r="F298" s="66"/>
      <c r="G298" s="66"/>
      <c r="H298" s="66"/>
      <c r="I298" s="66"/>
      <c r="J298" s="66"/>
      <c r="K298" s="66"/>
      <c r="L298" s="66"/>
      <c r="M298" s="66"/>
      <c r="N298" s="66"/>
      <c r="O298" s="84"/>
    </row>
    <row r="299" spans="1:15" x14ac:dyDescent="0.25">
      <c r="A299" s="84"/>
      <c r="B299" s="84"/>
      <c r="C299" s="60"/>
      <c r="D299" s="66"/>
      <c r="E299" s="66"/>
      <c r="F299" s="66"/>
      <c r="G299" s="66"/>
      <c r="H299" s="66"/>
      <c r="I299" s="66"/>
      <c r="J299" s="66"/>
      <c r="K299" s="66"/>
      <c r="L299" s="66"/>
      <c r="M299" s="66"/>
      <c r="N299" s="66"/>
      <c r="O299" s="84"/>
    </row>
    <row r="300" spans="1:15" x14ac:dyDescent="0.25">
      <c r="A300" s="84"/>
      <c r="B300" s="84"/>
      <c r="C300" s="60"/>
      <c r="D300" s="66"/>
      <c r="E300" s="66"/>
      <c r="F300" s="66"/>
      <c r="G300" s="66"/>
      <c r="H300" s="66"/>
      <c r="I300" s="66"/>
      <c r="J300" s="66"/>
      <c r="K300" s="66"/>
      <c r="L300" s="66"/>
      <c r="M300" s="66"/>
      <c r="N300" s="66"/>
      <c r="O300" s="84"/>
    </row>
    <row r="301" spans="1:15" x14ac:dyDescent="0.25">
      <c r="A301" s="84"/>
      <c r="B301" s="84"/>
      <c r="C301" s="60"/>
      <c r="D301" s="66"/>
      <c r="E301" s="66"/>
      <c r="F301" s="66"/>
      <c r="G301" s="66"/>
      <c r="H301" s="66"/>
      <c r="I301" s="66"/>
      <c r="J301" s="66"/>
      <c r="K301" s="66"/>
      <c r="L301" s="66"/>
      <c r="M301" s="66"/>
      <c r="N301" s="66"/>
      <c r="O301" s="84"/>
    </row>
    <row r="302" spans="1:15" x14ac:dyDescent="0.25">
      <c r="A302" s="84"/>
      <c r="B302" s="84"/>
      <c r="C302" s="60"/>
      <c r="D302" s="66"/>
      <c r="E302" s="66"/>
      <c r="F302" s="66"/>
      <c r="G302" s="66"/>
      <c r="H302" s="66"/>
      <c r="I302" s="66"/>
      <c r="J302" s="66"/>
      <c r="K302" s="66"/>
      <c r="L302" s="66"/>
      <c r="M302" s="66"/>
      <c r="N302" s="66"/>
      <c r="O302" s="84"/>
    </row>
    <row r="303" spans="1:15" x14ac:dyDescent="0.25">
      <c r="A303" s="84"/>
      <c r="B303" s="84"/>
      <c r="C303" s="60"/>
      <c r="D303" s="66"/>
      <c r="E303" s="66"/>
      <c r="F303" s="66"/>
      <c r="G303" s="66"/>
      <c r="H303" s="66"/>
      <c r="I303" s="66"/>
      <c r="J303" s="66"/>
      <c r="K303" s="66"/>
      <c r="L303" s="66"/>
      <c r="M303" s="66"/>
      <c r="N303" s="66"/>
      <c r="O303" s="84"/>
    </row>
    <row r="304" spans="1:15" x14ac:dyDescent="0.25">
      <c r="A304" s="84"/>
      <c r="B304" s="84"/>
      <c r="C304" s="60"/>
      <c r="D304" s="66"/>
      <c r="E304" s="66"/>
      <c r="F304" s="66"/>
      <c r="G304" s="66"/>
      <c r="H304" s="66"/>
      <c r="I304" s="66"/>
      <c r="J304" s="66"/>
      <c r="K304" s="66"/>
      <c r="L304" s="66"/>
      <c r="M304" s="66"/>
      <c r="N304" s="66"/>
      <c r="O304" s="84"/>
    </row>
    <row r="305" spans="1:15" x14ac:dyDescent="0.25">
      <c r="A305" s="84"/>
      <c r="B305" s="84"/>
      <c r="C305" s="60"/>
      <c r="D305" s="66"/>
      <c r="E305" s="66"/>
      <c r="F305" s="66"/>
      <c r="G305" s="66"/>
      <c r="H305" s="66"/>
      <c r="I305" s="66"/>
      <c r="J305" s="66"/>
      <c r="K305" s="66"/>
      <c r="L305" s="66"/>
      <c r="M305" s="66"/>
      <c r="N305" s="66"/>
      <c r="O305" s="84"/>
    </row>
    <row r="306" spans="1:15" x14ac:dyDescent="0.25">
      <c r="A306" s="84"/>
      <c r="B306" s="84"/>
      <c r="C306" s="60"/>
      <c r="D306" s="66"/>
      <c r="E306" s="66"/>
      <c r="F306" s="66"/>
      <c r="G306" s="66"/>
      <c r="H306" s="66"/>
      <c r="I306" s="66"/>
      <c r="J306" s="66"/>
      <c r="K306" s="66"/>
      <c r="L306" s="66"/>
      <c r="M306" s="66"/>
      <c r="N306" s="66"/>
      <c r="O306" s="84"/>
    </row>
    <row r="307" spans="1:15" x14ac:dyDescent="0.25">
      <c r="A307" s="84"/>
      <c r="B307" s="84"/>
      <c r="C307" s="60"/>
      <c r="D307" s="66"/>
      <c r="E307" s="66"/>
      <c r="F307" s="66"/>
      <c r="G307" s="66"/>
      <c r="H307" s="66"/>
      <c r="I307" s="66"/>
      <c r="J307" s="66"/>
      <c r="K307" s="66"/>
      <c r="L307" s="66"/>
      <c r="M307" s="66"/>
      <c r="N307" s="66"/>
      <c r="O307" s="84"/>
    </row>
    <row r="308" spans="1:15" x14ac:dyDescent="0.25">
      <c r="A308" s="84"/>
      <c r="B308" s="84"/>
      <c r="C308" s="60"/>
      <c r="D308" s="66"/>
      <c r="E308" s="66"/>
      <c r="F308" s="66"/>
      <c r="G308" s="66"/>
      <c r="H308" s="66"/>
      <c r="I308" s="66"/>
      <c r="J308" s="66"/>
      <c r="K308" s="66"/>
      <c r="L308" s="66"/>
      <c r="M308" s="66"/>
      <c r="N308" s="66"/>
      <c r="O308" s="84"/>
    </row>
    <row r="309" spans="1:15" x14ac:dyDescent="0.25">
      <c r="A309" s="84"/>
      <c r="B309" s="84"/>
      <c r="C309" s="60"/>
      <c r="D309" s="66"/>
      <c r="E309" s="66"/>
      <c r="F309" s="66"/>
      <c r="G309" s="66"/>
      <c r="H309" s="66"/>
      <c r="I309" s="66"/>
      <c r="J309" s="66"/>
      <c r="K309" s="66"/>
      <c r="L309" s="66"/>
      <c r="M309" s="66"/>
      <c r="N309" s="66"/>
      <c r="O309" s="84"/>
    </row>
    <row r="310" spans="1:15" x14ac:dyDescent="0.25">
      <c r="A310" s="84"/>
      <c r="B310" s="84"/>
      <c r="C310" s="60"/>
      <c r="D310" s="66"/>
      <c r="E310" s="66"/>
      <c r="F310" s="66"/>
      <c r="G310" s="66"/>
      <c r="H310" s="66"/>
      <c r="I310" s="66"/>
      <c r="J310" s="66"/>
      <c r="K310" s="66"/>
      <c r="L310" s="66"/>
      <c r="M310" s="66"/>
      <c r="N310" s="66"/>
      <c r="O310" s="84"/>
    </row>
    <row r="311" spans="1:15" x14ac:dyDescent="0.25">
      <c r="A311" s="84"/>
      <c r="B311" s="84"/>
      <c r="C311" s="60"/>
      <c r="D311" s="66"/>
      <c r="E311" s="66"/>
      <c r="F311" s="66"/>
      <c r="G311" s="66"/>
      <c r="H311" s="66"/>
      <c r="I311" s="66"/>
      <c r="J311" s="66"/>
      <c r="K311" s="66"/>
      <c r="L311" s="66"/>
      <c r="M311" s="66"/>
      <c r="N311" s="66"/>
      <c r="O311" s="84"/>
    </row>
    <row r="312" spans="1:15" x14ac:dyDescent="0.25">
      <c r="A312" s="84"/>
      <c r="B312" s="84"/>
      <c r="C312" s="60"/>
      <c r="D312" s="66"/>
      <c r="E312" s="66"/>
      <c r="F312" s="66"/>
      <c r="G312" s="66"/>
      <c r="H312" s="66"/>
      <c r="I312" s="66"/>
      <c r="J312" s="66"/>
      <c r="K312" s="66"/>
      <c r="L312" s="66"/>
      <c r="M312" s="66"/>
      <c r="N312" s="66"/>
      <c r="O312" s="84"/>
    </row>
    <row r="313" spans="1:15" x14ac:dyDescent="0.25">
      <c r="A313" s="84"/>
      <c r="B313" s="84"/>
      <c r="C313" s="60"/>
      <c r="D313" s="66"/>
      <c r="E313" s="66"/>
      <c r="F313" s="66"/>
      <c r="G313" s="66"/>
      <c r="H313" s="66"/>
      <c r="I313" s="66"/>
      <c r="J313" s="66"/>
      <c r="K313" s="66"/>
      <c r="L313" s="66"/>
      <c r="M313" s="66"/>
      <c r="N313" s="66"/>
      <c r="O313" s="84"/>
    </row>
    <row r="314" spans="1:15" x14ac:dyDescent="0.25">
      <c r="A314" s="84"/>
      <c r="B314" s="84"/>
      <c r="C314" s="60"/>
      <c r="D314" s="66"/>
      <c r="E314" s="66"/>
      <c r="F314" s="66"/>
      <c r="G314" s="66"/>
      <c r="H314" s="66"/>
      <c r="I314" s="66"/>
      <c r="J314" s="66"/>
      <c r="K314" s="66"/>
      <c r="L314" s="66"/>
      <c r="M314" s="66"/>
      <c r="N314" s="66"/>
      <c r="O314" s="84"/>
    </row>
    <row r="315" spans="1:15" x14ac:dyDescent="0.25">
      <c r="A315" s="84"/>
      <c r="B315" s="84"/>
      <c r="C315" s="60"/>
      <c r="D315" s="66"/>
      <c r="E315" s="66"/>
      <c r="F315" s="66"/>
      <c r="G315" s="66"/>
      <c r="H315" s="66"/>
      <c r="I315" s="66"/>
      <c r="J315" s="66"/>
      <c r="K315" s="66"/>
      <c r="L315" s="66"/>
      <c r="M315" s="66"/>
      <c r="N315" s="66"/>
      <c r="O315" s="84"/>
    </row>
    <row r="316" spans="1:15" x14ac:dyDescent="0.25">
      <c r="A316" s="84"/>
      <c r="B316" s="84"/>
      <c r="C316" s="60"/>
      <c r="D316" s="66"/>
      <c r="E316" s="66"/>
      <c r="F316" s="66"/>
      <c r="G316" s="66"/>
      <c r="H316" s="66"/>
      <c r="I316" s="66"/>
      <c r="J316" s="66"/>
      <c r="K316" s="66"/>
      <c r="L316" s="66"/>
      <c r="M316" s="66"/>
      <c r="N316" s="66"/>
      <c r="O316" s="84"/>
    </row>
    <row r="317" spans="1:15" x14ac:dyDescent="0.25">
      <c r="A317" s="84"/>
      <c r="B317" s="84"/>
      <c r="C317" s="60"/>
      <c r="D317" s="66"/>
      <c r="E317" s="66"/>
      <c r="F317" s="66"/>
      <c r="G317" s="66"/>
      <c r="H317" s="66"/>
      <c r="I317" s="66"/>
      <c r="J317" s="66"/>
      <c r="K317" s="66"/>
      <c r="L317" s="66"/>
      <c r="M317" s="66"/>
      <c r="N317" s="66"/>
      <c r="O317" s="84"/>
    </row>
    <row r="318" spans="1:15" x14ac:dyDescent="0.25">
      <c r="A318" s="84"/>
      <c r="B318" s="84"/>
      <c r="C318" s="60"/>
      <c r="D318" s="66"/>
      <c r="E318" s="66"/>
      <c r="F318" s="66"/>
      <c r="G318" s="66"/>
      <c r="H318" s="66"/>
      <c r="I318" s="66"/>
      <c r="J318" s="66"/>
      <c r="K318" s="66"/>
      <c r="L318" s="66"/>
      <c r="M318" s="66"/>
      <c r="N318" s="66"/>
      <c r="O318" s="84"/>
    </row>
    <row r="319" spans="1:15" x14ac:dyDescent="0.25">
      <c r="A319" s="84"/>
      <c r="B319" s="84"/>
      <c r="C319" s="60"/>
      <c r="D319" s="66"/>
      <c r="E319" s="66"/>
      <c r="F319" s="66"/>
      <c r="G319" s="66"/>
      <c r="H319" s="66"/>
      <c r="I319" s="66"/>
      <c r="J319" s="66"/>
      <c r="K319" s="66"/>
      <c r="L319" s="66"/>
      <c r="M319" s="66"/>
      <c r="N319" s="66"/>
      <c r="O319" s="84"/>
    </row>
    <row r="320" spans="1:15" x14ac:dyDescent="0.25">
      <c r="A320" s="84"/>
      <c r="B320" s="84"/>
      <c r="C320" s="60"/>
      <c r="D320" s="66"/>
      <c r="E320" s="66"/>
      <c r="F320" s="66"/>
      <c r="G320" s="66"/>
      <c r="H320" s="66"/>
      <c r="I320" s="66"/>
      <c r="J320" s="66"/>
      <c r="K320" s="66"/>
      <c r="L320" s="66"/>
      <c r="M320" s="66"/>
      <c r="N320" s="66"/>
      <c r="O320" s="84"/>
    </row>
    <row r="321" spans="1:15" x14ac:dyDescent="0.25">
      <c r="A321" s="84"/>
      <c r="B321" s="84"/>
      <c r="C321" s="60"/>
      <c r="D321" s="66"/>
      <c r="E321" s="66"/>
      <c r="F321" s="66"/>
      <c r="G321" s="66"/>
      <c r="H321" s="66"/>
      <c r="I321" s="66"/>
      <c r="J321" s="66"/>
      <c r="K321" s="66"/>
      <c r="L321" s="66"/>
      <c r="M321" s="66"/>
      <c r="N321" s="66"/>
      <c r="O321" s="84"/>
    </row>
    <row r="322" spans="1:15" x14ac:dyDescent="0.25">
      <c r="A322" s="84"/>
      <c r="B322" s="84"/>
      <c r="C322" s="60"/>
      <c r="D322" s="66"/>
      <c r="E322" s="66"/>
      <c r="F322" s="66"/>
      <c r="G322" s="66"/>
      <c r="H322" s="66"/>
      <c r="I322" s="66"/>
      <c r="J322" s="66"/>
      <c r="K322" s="66"/>
      <c r="L322" s="66"/>
      <c r="M322" s="66"/>
      <c r="N322" s="66"/>
      <c r="O322" s="84"/>
    </row>
    <row r="323" spans="1:15" x14ac:dyDescent="0.25">
      <c r="A323" s="84"/>
      <c r="B323" s="84"/>
      <c r="C323" s="60"/>
      <c r="D323" s="66"/>
      <c r="E323" s="66"/>
      <c r="F323" s="66"/>
      <c r="G323" s="66"/>
      <c r="H323" s="66"/>
      <c r="I323" s="66"/>
      <c r="J323" s="66"/>
      <c r="K323" s="66"/>
      <c r="L323" s="66"/>
      <c r="M323" s="66"/>
      <c r="N323" s="66"/>
      <c r="O323" s="84"/>
    </row>
    <row r="324" spans="1:15" x14ac:dyDescent="0.25">
      <c r="A324" s="84"/>
      <c r="B324" s="84"/>
      <c r="C324" s="60"/>
      <c r="D324" s="66"/>
      <c r="E324" s="66"/>
      <c r="F324" s="66"/>
      <c r="G324" s="66"/>
      <c r="H324" s="66"/>
      <c r="I324" s="66"/>
      <c r="J324" s="66"/>
      <c r="K324" s="66"/>
      <c r="L324" s="66"/>
      <c r="M324" s="66"/>
      <c r="N324" s="66"/>
      <c r="O324" s="84"/>
    </row>
    <row r="325" spans="1:15" x14ac:dyDescent="0.25">
      <c r="A325" s="84"/>
      <c r="B325" s="84"/>
      <c r="C325" s="60"/>
      <c r="D325" s="66"/>
      <c r="E325" s="66"/>
      <c r="F325" s="66"/>
      <c r="G325" s="66"/>
      <c r="H325" s="66"/>
      <c r="I325" s="66"/>
      <c r="J325" s="66"/>
      <c r="K325" s="66"/>
      <c r="L325" s="66"/>
      <c r="M325" s="66"/>
      <c r="N325" s="66"/>
      <c r="O325" s="84"/>
    </row>
    <row r="326" spans="1:15" x14ac:dyDescent="0.25">
      <c r="A326" s="84"/>
      <c r="B326" s="84"/>
      <c r="C326" s="60"/>
      <c r="D326" s="66"/>
      <c r="E326" s="66"/>
      <c r="F326" s="66"/>
      <c r="G326" s="66"/>
      <c r="H326" s="66"/>
      <c r="I326" s="66"/>
      <c r="J326" s="66"/>
      <c r="K326" s="66"/>
      <c r="L326" s="66"/>
      <c r="M326" s="66"/>
      <c r="N326" s="66"/>
      <c r="O326" s="84"/>
    </row>
    <row r="327" spans="1:15" x14ac:dyDescent="0.25">
      <c r="A327" s="84"/>
      <c r="B327" s="84"/>
      <c r="C327" s="60"/>
      <c r="D327" s="66"/>
      <c r="E327" s="66"/>
      <c r="F327" s="66"/>
      <c r="G327" s="66"/>
      <c r="H327" s="66"/>
      <c r="I327" s="66"/>
      <c r="J327" s="66"/>
      <c r="K327" s="66"/>
      <c r="L327" s="66"/>
      <c r="M327" s="66"/>
      <c r="N327" s="66"/>
      <c r="O327" s="84"/>
    </row>
    <row r="328" spans="1:15" x14ac:dyDescent="0.25">
      <c r="A328" s="84"/>
      <c r="B328" s="84"/>
      <c r="C328" s="60"/>
      <c r="D328" s="66"/>
      <c r="E328" s="66"/>
      <c r="F328" s="66"/>
      <c r="G328" s="66"/>
      <c r="H328" s="66"/>
      <c r="I328" s="66"/>
      <c r="J328" s="66"/>
      <c r="K328" s="66"/>
      <c r="L328" s="66"/>
      <c r="M328" s="66"/>
      <c r="N328" s="66"/>
      <c r="O328" s="84"/>
    </row>
    <row r="329" spans="1:15" x14ac:dyDescent="0.25">
      <c r="A329" s="84"/>
      <c r="B329" s="84"/>
      <c r="C329" s="60"/>
      <c r="D329" s="66"/>
      <c r="E329" s="66"/>
      <c r="F329" s="66"/>
      <c r="G329" s="66"/>
      <c r="H329" s="66"/>
      <c r="I329" s="66"/>
      <c r="J329" s="66"/>
      <c r="K329" s="66"/>
      <c r="L329" s="66"/>
      <c r="M329" s="66"/>
      <c r="N329" s="66"/>
      <c r="O329" s="84"/>
    </row>
    <row r="330" spans="1:15" x14ac:dyDescent="0.25">
      <c r="A330" s="84"/>
      <c r="B330" s="84"/>
      <c r="C330" s="60"/>
      <c r="D330" s="66"/>
      <c r="E330" s="66"/>
      <c r="F330" s="66"/>
      <c r="G330" s="66"/>
      <c r="H330" s="66"/>
      <c r="I330" s="66"/>
      <c r="J330" s="66"/>
      <c r="K330" s="66"/>
      <c r="L330" s="66"/>
      <c r="M330" s="66"/>
      <c r="N330" s="66"/>
      <c r="O330" s="84"/>
    </row>
    <row r="331" spans="1:15" x14ac:dyDescent="0.25">
      <c r="A331" s="84"/>
      <c r="B331" s="84"/>
      <c r="C331" s="60"/>
      <c r="D331" s="66"/>
      <c r="E331" s="66"/>
      <c r="F331" s="66"/>
      <c r="G331" s="66"/>
      <c r="H331" s="66"/>
      <c r="I331" s="66"/>
      <c r="J331" s="66"/>
      <c r="K331" s="66"/>
      <c r="L331" s="66"/>
      <c r="M331" s="66"/>
      <c r="N331" s="66"/>
      <c r="O331" s="84"/>
    </row>
    <row r="332" spans="1:15" x14ac:dyDescent="0.25">
      <c r="A332" s="84"/>
      <c r="B332" s="84"/>
      <c r="C332" s="60"/>
      <c r="D332" s="66"/>
      <c r="E332" s="66"/>
      <c r="F332" s="66"/>
      <c r="G332" s="66"/>
      <c r="H332" s="66"/>
      <c r="I332" s="66"/>
      <c r="J332" s="66"/>
      <c r="K332" s="66"/>
      <c r="L332" s="66"/>
      <c r="M332" s="66"/>
      <c r="N332" s="66"/>
      <c r="O332" s="84"/>
    </row>
    <row r="333" spans="1:15" x14ac:dyDescent="0.25">
      <c r="A333" s="84"/>
      <c r="B333" s="84"/>
      <c r="C333" s="60"/>
      <c r="D333" s="66"/>
      <c r="E333" s="66"/>
      <c r="F333" s="66"/>
      <c r="G333" s="66"/>
      <c r="H333" s="66"/>
      <c r="I333" s="66"/>
      <c r="J333" s="66"/>
      <c r="K333" s="66"/>
      <c r="L333" s="66"/>
      <c r="M333" s="66"/>
      <c r="N333" s="66"/>
      <c r="O333" s="84"/>
    </row>
    <row r="334" spans="1:15" x14ac:dyDescent="0.25">
      <c r="A334" s="84"/>
      <c r="B334" s="84"/>
      <c r="C334" s="60"/>
      <c r="D334" s="66"/>
      <c r="E334" s="66"/>
      <c r="F334" s="66"/>
      <c r="G334" s="66"/>
      <c r="H334" s="66"/>
      <c r="I334" s="66"/>
      <c r="J334" s="66"/>
      <c r="K334" s="66"/>
      <c r="L334" s="66"/>
      <c r="M334" s="66"/>
      <c r="N334" s="66"/>
      <c r="O334" s="84"/>
    </row>
    <row r="335" spans="1:15" x14ac:dyDescent="0.25">
      <c r="A335" s="84"/>
      <c r="B335" s="84"/>
      <c r="C335" s="60"/>
      <c r="D335" s="66"/>
      <c r="E335" s="66"/>
      <c r="F335" s="66"/>
      <c r="G335" s="66"/>
      <c r="H335" s="66"/>
      <c r="I335" s="66"/>
      <c r="J335" s="66"/>
      <c r="K335" s="66"/>
      <c r="L335" s="66"/>
      <c r="M335" s="66"/>
      <c r="N335" s="66"/>
      <c r="O335" s="84"/>
    </row>
    <row r="336" spans="1:15" x14ac:dyDescent="0.25">
      <c r="A336" s="84"/>
      <c r="B336" s="84"/>
      <c r="C336" s="60"/>
      <c r="D336" s="66"/>
      <c r="E336" s="66"/>
      <c r="F336" s="66"/>
      <c r="G336" s="66"/>
      <c r="H336" s="66"/>
      <c r="I336" s="66"/>
      <c r="J336" s="66"/>
      <c r="K336" s="66"/>
      <c r="L336" s="66"/>
      <c r="M336" s="66"/>
      <c r="N336" s="66"/>
      <c r="O336" s="84"/>
    </row>
    <row r="337" spans="1:15" x14ac:dyDescent="0.25">
      <c r="A337" s="84"/>
      <c r="B337" s="84"/>
      <c r="C337" s="60"/>
      <c r="D337" s="66"/>
      <c r="E337" s="66"/>
      <c r="F337" s="66"/>
      <c r="G337" s="66"/>
      <c r="H337" s="66"/>
      <c r="I337" s="66"/>
      <c r="J337" s="66"/>
      <c r="K337" s="66"/>
      <c r="L337" s="66"/>
      <c r="M337" s="66"/>
      <c r="N337" s="66"/>
      <c r="O337" s="84"/>
    </row>
    <row r="338" spans="1:15" x14ac:dyDescent="0.25">
      <c r="A338" s="84"/>
      <c r="B338" s="84"/>
      <c r="C338" s="60"/>
      <c r="D338" s="66"/>
      <c r="E338" s="66"/>
      <c r="F338" s="66"/>
      <c r="G338" s="66"/>
      <c r="H338" s="66"/>
      <c r="I338" s="66"/>
      <c r="J338" s="66"/>
      <c r="K338" s="66"/>
      <c r="L338" s="66"/>
      <c r="M338" s="66"/>
      <c r="N338" s="66"/>
      <c r="O338" s="84"/>
    </row>
    <row r="339" spans="1:15" x14ac:dyDescent="0.25">
      <c r="A339" s="84"/>
      <c r="B339" s="84"/>
      <c r="C339" s="60"/>
      <c r="D339" s="66"/>
      <c r="E339" s="66"/>
      <c r="F339" s="66"/>
      <c r="G339" s="66"/>
      <c r="H339" s="66"/>
      <c r="I339" s="66"/>
      <c r="J339" s="66"/>
      <c r="K339" s="66"/>
      <c r="L339" s="66"/>
      <c r="M339" s="66"/>
      <c r="N339" s="66"/>
      <c r="O339" s="84"/>
    </row>
    <row r="340" spans="1:15" x14ac:dyDescent="0.25">
      <c r="A340" s="84"/>
      <c r="B340" s="84"/>
      <c r="C340" s="60"/>
      <c r="D340" s="66"/>
      <c r="E340" s="66"/>
      <c r="F340" s="66"/>
      <c r="G340" s="66"/>
      <c r="H340" s="66"/>
      <c r="I340" s="66"/>
      <c r="J340" s="66"/>
      <c r="K340" s="66"/>
      <c r="L340" s="66"/>
      <c r="M340" s="66"/>
      <c r="N340" s="66"/>
      <c r="O340" s="84"/>
    </row>
    <row r="341" spans="1:15" x14ac:dyDescent="0.25">
      <c r="A341" s="84"/>
      <c r="B341" s="84"/>
      <c r="C341" s="60"/>
      <c r="D341" s="66"/>
      <c r="E341" s="66"/>
      <c r="F341" s="66"/>
      <c r="G341" s="66"/>
      <c r="H341" s="66"/>
      <c r="I341" s="66"/>
      <c r="J341" s="66"/>
      <c r="K341" s="66"/>
      <c r="L341" s="66"/>
      <c r="M341" s="66"/>
      <c r="N341" s="66"/>
      <c r="O341" s="84"/>
    </row>
    <row r="342" spans="1:15" x14ac:dyDescent="0.25">
      <c r="A342" s="84"/>
      <c r="B342" s="84"/>
      <c r="C342" s="60"/>
      <c r="D342" s="66"/>
      <c r="E342" s="66"/>
      <c r="F342" s="66"/>
      <c r="G342" s="66"/>
      <c r="H342" s="66"/>
      <c r="I342" s="66"/>
      <c r="J342" s="66"/>
      <c r="K342" s="66"/>
      <c r="L342" s="66"/>
      <c r="M342" s="66"/>
      <c r="N342" s="66"/>
      <c r="O342" s="84"/>
    </row>
    <row r="343" spans="1:15" x14ac:dyDescent="0.25">
      <c r="A343" s="84"/>
      <c r="B343" s="84"/>
      <c r="C343" s="60"/>
      <c r="D343" s="66"/>
      <c r="E343" s="66"/>
      <c r="F343" s="66"/>
      <c r="G343" s="66"/>
      <c r="H343" s="66"/>
      <c r="I343" s="66"/>
      <c r="J343" s="66"/>
      <c r="K343" s="66"/>
      <c r="L343" s="66"/>
      <c r="M343" s="66"/>
      <c r="N343" s="66"/>
      <c r="O343" s="84"/>
    </row>
    <row r="344" spans="1:15" x14ac:dyDescent="0.25">
      <c r="A344" s="84"/>
      <c r="B344" s="84"/>
      <c r="C344" s="60"/>
      <c r="D344" s="66"/>
      <c r="E344" s="66"/>
      <c r="F344" s="66"/>
      <c r="G344" s="66"/>
      <c r="H344" s="66"/>
      <c r="I344" s="66"/>
      <c r="J344" s="66"/>
      <c r="K344" s="66"/>
      <c r="L344" s="66"/>
      <c r="M344" s="66"/>
      <c r="N344" s="66"/>
      <c r="O344" s="84"/>
    </row>
    <row r="345" spans="1:15" x14ac:dyDescent="0.25">
      <c r="A345" s="84"/>
      <c r="B345" s="84"/>
      <c r="C345" s="60"/>
      <c r="D345" s="66"/>
      <c r="E345" s="66"/>
      <c r="F345" s="66"/>
      <c r="G345" s="66"/>
      <c r="H345" s="66"/>
      <c r="I345" s="66"/>
      <c r="J345" s="66"/>
      <c r="K345" s="66"/>
      <c r="L345" s="66"/>
      <c r="M345" s="66"/>
      <c r="N345" s="66"/>
      <c r="O345" s="84"/>
    </row>
    <row r="346" spans="1:15" x14ac:dyDescent="0.25">
      <c r="A346" s="84"/>
      <c r="B346" s="84"/>
      <c r="C346" s="60"/>
      <c r="D346" s="66"/>
      <c r="E346" s="66"/>
      <c r="F346" s="66"/>
      <c r="G346" s="66"/>
      <c r="H346" s="66"/>
      <c r="I346" s="66"/>
      <c r="J346" s="66"/>
      <c r="K346" s="66"/>
      <c r="L346" s="66"/>
      <c r="M346" s="66"/>
      <c r="N346" s="66"/>
      <c r="O346" s="84"/>
    </row>
    <row r="347" spans="1:15" x14ac:dyDescent="0.25">
      <c r="A347" s="84"/>
      <c r="B347" s="84"/>
      <c r="C347" s="60"/>
      <c r="D347" s="66"/>
      <c r="E347" s="66"/>
      <c r="F347" s="66"/>
      <c r="G347" s="66"/>
      <c r="H347" s="66"/>
      <c r="I347" s="66"/>
      <c r="J347" s="66"/>
      <c r="K347" s="66"/>
      <c r="L347" s="66"/>
      <c r="M347" s="66"/>
      <c r="N347" s="66"/>
      <c r="O347" s="84"/>
    </row>
    <row r="348" spans="1:15" x14ac:dyDescent="0.25">
      <c r="A348" s="84"/>
      <c r="B348" s="84"/>
      <c r="C348" s="60"/>
      <c r="D348" s="66"/>
      <c r="E348" s="66"/>
      <c r="F348" s="66"/>
      <c r="G348" s="66"/>
      <c r="H348" s="66"/>
      <c r="I348" s="66"/>
      <c r="J348" s="66"/>
      <c r="K348" s="66"/>
      <c r="L348" s="66"/>
      <c r="M348" s="66"/>
      <c r="N348" s="66"/>
      <c r="O348" s="84"/>
    </row>
    <row r="349" spans="1:15" x14ac:dyDescent="0.25">
      <c r="A349" s="84"/>
      <c r="B349" s="84"/>
      <c r="C349" s="60"/>
      <c r="D349" s="66"/>
      <c r="E349" s="66"/>
      <c r="F349" s="66"/>
      <c r="G349" s="66"/>
      <c r="H349" s="66"/>
      <c r="I349" s="66"/>
      <c r="J349" s="66"/>
      <c r="K349" s="66"/>
      <c r="L349" s="66"/>
      <c r="M349" s="66"/>
      <c r="N349" s="66"/>
      <c r="O349" s="84"/>
    </row>
    <row r="350" spans="1:15" x14ac:dyDescent="0.25">
      <c r="A350" s="84"/>
      <c r="B350" s="84"/>
      <c r="C350" s="60"/>
      <c r="D350" s="66"/>
      <c r="E350" s="66"/>
      <c r="F350" s="66"/>
      <c r="G350" s="66"/>
      <c r="H350" s="66"/>
      <c r="I350" s="66"/>
      <c r="J350" s="66"/>
      <c r="K350" s="66"/>
      <c r="L350" s="66"/>
      <c r="M350" s="66"/>
      <c r="N350" s="66"/>
      <c r="O350" s="84"/>
    </row>
    <row r="351" spans="1:15" x14ac:dyDescent="0.25">
      <c r="A351" s="84"/>
      <c r="B351" s="84"/>
      <c r="C351" s="60"/>
      <c r="D351" s="66"/>
      <c r="E351" s="66"/>
      <c r="F351" s="66"/>
      <c r="G351" s="66"/>
      <c r="H351" s="66"/>
      <c r="I351" s="66"/>
      <c r="J351" s="66"/>
      <c r="K351" s="66"/>
      <c r="L351" s="66"/>
      <c r="M351" s="66"/>
      <c r="N351" s="66"/>
      <c r="O351" s="84"/>
    </row>
    <row r="352" spans="1:15" x14ac:dyDescent="0.25">
      <c r="A352" s="84"/>
      <c r="B352" s="84"/>
      <c r="C352" s="60"/>
      <c r="D352" s="66"/>
      <c r="E352" s="66"/>
      <c r="F352" s="66"/>
      <c r="G352" s="66"/>
      <c r="H352" s="66"/>
      <c r="I352" s="66"/>
      <c r="J352" s="66"/>
      <c r="K352" s="66"/>
      <c r="L352" s="66"/>
      <c r="M352" s="66"/>
      <c r="N352" s="66"/>
      <c r="O352" s="84"/>
    </row>
    <row r="353" spans="1:15" x14ac:dyDescent="0.25">
      <c r="A353" s="84"/>
      <c r="B353" s="84"/>
      <c r="C353" s="60"/>
      <c r="D353" s="66"/>
      <c r="E353" s="66"/>
      <c r="F353" s="66"/>
      <c r="G353" s="66"/>
      <c r="H353" s="66"/>
      <c r="I353" s="66"/>
      <c r="J353" s="66"/>
      <c r="K353" s="66"/>
      <c r="L353" s="66"/>
      <c r="M353" s="66"/>
      <c r="N353" s="66"/>
      <c r="O353" s="84"/>
    </row>
    <row r="354" spans="1:15" x14ac:dyDescent="0.25">
      <c r="A354" s="84"/>
      <c r="B354" s="84"/>
      <c r="C354" s="60"/>
      <c r="D354" s="66"/>
      <c r="E354" s="66"/>
      <c r="F354" s="66"/>
      <c r="G354" s="66"/>
      <c r="H354" s="66"/>
      <c r="I354" s="66"/>
      <c r="J354" s="66"/>
      <c r="K354" s="66"/>
      <c r="L354" s="66"/>
      <c r="M354" s="66"/>
      <c r="N354" s="66"/>
      <c r="O354" s="84"/>
    </row>
    <row r="355" spans="1:15" x14ac:dyDescent="0.25">
      <c r="A355" s="84"/>
      <c r="B355" s="84"/>
      <c r="C355" s="60"/>
      <c r="D355" s="66"/>
      <c r="E355" s="66"/>
      <c r="F355" s="66"/>
      <c r="G355" s="66"/>
      <c r="H355" s="66"/>
      <c r="I355" s="66"/>
      <c r="J355" s="66"/>
      <c r="K355" s="66"/>
      <c r="L355" s="66"/>
      <c r="M355" s="66"/>
      <c r="N355" s="66"/>
      <c r="O355" s="84"/>
    </row>
    <row r="356" spans="1:15" x14ac:dyDescent="0.25">
      <c r="A356" s="84"/>
      <c r="B356" s="84"/>
      <c r="C356" s="60"/>
      <c r="D356" s="66"/>
      <c r="E356" s="66"/>
      <c r="F356" s="66"/>
      <c r="G356" s="66"/>
      <c r="H356" s="66"/>
      <c r="I356" s="66"/>
      <c r="J356" s="66"/>
      <c r="K356" s="66"/>
      <c r="L356" s="66"/>
      <c r="M356" s="66"/>
      <c r="N356" s="66"/>
      <c r="O356" s="84"/>
    </row>
    <row r="357" spans="1:15" x14ac:dyDescent="0.25">
      <c r="A357" s="84"/>
      <c r="B357" s="84"/>
      <c r="C357" s="60"/>
      <c r="D357" s="66"/>
      <c r="E357" s="66"/>
      <c r="F357" s="66"/>
      <c r="G357" s="66"/>
      <c r="H357" s="66"/>
      <c r="I357" s="66"/>
      <c r="J357" s="66"/>
      <c r="K357" s="66"/>
      <c r="L357" s="66"/>
      <c r="M357" s="66"/>
      <c r="N357" s="66"/>
      <c r="O357" s="84"/>
    </row>
    <row r="358" spans="1:15" x14ac:dyDescent="0.25">
      <c r="A358" s="84"/>
      <c r="B358" s="84"/>
      <c r="C358" s="60"/>
      <c r="D358" s="66"/>
      <c r="E358" s="66"/>
      <c r="F358" s="66"/>
      <c r="G358" s="66"/>
      <c r="H358" s="66"/>
      <c r="I358" s="66"/>
      <c r="J358" s="66"/>
      <c r="K358" s="66"/>
      <c r="L358" s="66"/>
      <c r="M358" s="66"/>
      <c r="N358" s="66"/>
      <c r="O358" s="84"/>
    </row>
    <row r="359" spans="1:15" x14ac:dyDescent="0.25">
      <c r="A359" s="84"/>
      <c r="B359" s="84"/>
      <c r="C359" s="60"/>
      <c r="D359" s="66"/>
      <c r="E359" s="66"/>
      <c r="F359" s="66"/>
      <c r="G359" s="66"/>
      <c r="H359" s="66"/>
      <c r="I359" s="66"/>
      <c r="J359" s="66"/>
      <c r="K359" s="66"/>
      <c r="L359" s="66"/>
      <c r="M359" s="66"/>
      <c r="N359" s="66"/>
      <c r="O359" s="84"/>
    </row>
    <row r="360" spans="1:15" x14ac:dyDescent="0.25">
      <c r="A360" s="84"/>
      <c r="B360" s="84"/>
      <c r="C360" s="60"/>
      <c r="D360" s="66"/>
      <c r="E360" s="66"/>
      <c r="F360" s="66"/>
      <c r="G360" s="66"/>
      <c r="H360" s="66"/>
      <c r="I360" s="66"/>
      <c r="J360" s="66"/>
      <c r="K360" s="66"/>
      <c r="L360" s="66"/>
      <c r="M360" s="66"/>
      <c r="N360" s="66"/>
      <c r="O360" s="84"/>
    </row>
    <row r="361" spans="1:15" x14ac:dyDescent="0.25">
      <c r="A361" s="84"/>
      <c r="B361" s="84"/>
      <c r="C361" s="60"/>
      <c r="D361" s="66"/>
      <c r="E361" s="66"/>
      <c r="F361" s="66"/>
      <c r="G361" s="66"/>
      <c r="H361" s="66"/>
      <c r="I361" s="66"/>
      <c r="J361" s="66"/>
      <c r="K361" s="66"/>
      <c r="L361" s="66"/>
      <c r="M361" s="66"/>
      <c r="N361" s="66"/>
      <c r="O361" s="84"/>
    </row>
    <row r="362" spans="1:15" x14ac:dyDescent="0.25">
      <c r="A362" s="84"/>
      <c r="B362" s="84"/>
      <c r="C362" s="60"/>
      <c r="D362" s="66"/>
      <c r="E362" s="66"/>
      <c r="F362" s="66"/>
      <c r="G362" s="66"/>
      <c r="H362" s="66"/>
      <c r="I362" s="66"/>
      <c r="J362" s="66"/>
      <c r="K362" s="66"/>
      <c r="L362" s="66"/>
      <c r="M362" s="66"/>
      <c r="N362" s="66"/>
      <c r="O362" s="84"/>
    </row>
    <row r="363" spans="1:15" x14ac:dyDescent="0.25">
      <c r="A363" s="84"/>
      <c r="B363" s="84"/>
      <c r="C363" s="60"/>
      <c r="D363" s="66"/>
      <c r="E363" s="66"/>
      <c r="F363" s="66"/>
      <c r="G363" s="66"/>
      <c r="H363" s="66"/>
      <c r="I363" s="66"/>
      <c r="J363" s="66"/>
      <c r="K363" s="66"/>
      <c r="L363" s="66"/>
      <c r="M363" s="66"/>
      <c r="N363" s="66"/>
      <c r="O363" s="84"/>
    </row>
    <row r="364" spans="1:15" x14ac:dyDescent="0.25">
      <c r="A364" s="84"/>
      <c r="B364" s="84"/>
      <c r="C364" s="60"/>
      <c r="D364" s="66"/>
      <c r="E364" s="66"/>
      <c r="F364" s="66"/>
      <c r="G364" s="66"/>
      <c r="H364" s="66"/>
      <c r="I364" s="66"/>
      <c r="J364" s="66"/>
      <c r="K364" s="66"/>
      <c r="L364" s="66"/>
      <c r="M364" s="66"/>
      <c r="N364" s="66"/>
      <c r="O364" s="84"/>
    </row>
    <row r="365" spans="1:15" x14ac:dyDescent="0.25">
      <c r="A365" s="84"/>
      <c r="B365" s="84"/>
      <c r="C365" s="60"/>
      <c r="D365" s="66"/>
      <c r="E365" s="66"/>
      <c r="F365" s="66"/>
      <c r="G365" s="66"/>
      <c r="H365" s="66"/>
      <c r="I365" s="66"/>
      <c r="J365" s="66"/>
      <c r="K365" s="66"/>
      <c r="L365" s="66"/>
      <c r="M365" s="66"/>
      <c r="N365" s="66"/>
      <c r="O365" s="84"/>
    </row>
    <row r="366" spans="1:15" x14ac:dyDescent="0.25">
      <c r="A366" s="84"/>
      <c r="B366" s="84"/>
      <c r="C366" s="60"/>
      <c r="D366" s="66"/>
      <c r="E366" s="66"/>
      <c r="F366" s="66"/>
      <c r="G366" s="66"/>
      <c r="H366" s="66"/>
      <c r="I366" s="66"/>
      <c r="J366" s="66"/>
      <c r="K366" s="66"/>
      <c r="L366" s="66"/>
      <c r="M366" s="66"/>
      <c r="N366" s="66"/>
      <c r="O366" s="84"/>
    </row>
    <row r="367" spans="1:15" x14ac:dyDescent="0.25">
      <c r="A367" s="84"/>
      <c r="B367" s="84"/>
      <c r="C367" s="60"/>
      <c r="D367" s="66"/>
      <c r="E367" s="66"/>
      <c r="F367" s="66"/>
      <c r="G367" s="66"/>
      <c r="H367" s="66"/>
      <c r="I367" s="66"/>
      <c r="J367" s="66"/>
      <c r="K367" s="66"/>
      <c r="L367" s="66"/>
      <c r="M367" s="66"/>
      <c r="N367" s="66"/>
      <c r="O367" s="84"/>
    </row>
    <row r="368" spans="1:15" x14ac:dyDescent="0.25">
      <c r="A368" s="84"/>
      <c r="B368" s="84"/>
      <c r="C368" s="60"/>
      <c r="D368" s="66"/>
      <c r="E368" s="66"/>
      <c r="F368" s="66"/>
      <c r="G368" s="66"/>
      <c r="H368" s="66"/>
      <c r="I368" s="66"/>
      <c r="J368" s="66"/>
      <c r="K368" s="66"/>
      <c r="L368" s="66"/>
      <c r="M368" s="66"/>
      <c r="N368" s="66"/>
      <c r="O368" s="84"/>
    </row>
    <row r="369" spans="1:15" x14ac:dyDescent="0.25">
      <c r="A369" s="84"/>
      <c r="B369" s="84"/>
      <c r="C369" s="60"/>
      <c r="D369" s="66"/>
      <c r="E369" s="66"/>
      <c r="F369" s="66"/>
      <c r="G369" s="66"/>
      <c r="H369" s="66"/>
      <c r="I369" s="66"/>
      <c r="J369" s="66"/>
      <c r="K369" s="66"/>
      <c r="L369" s="66"/>
      <c r="M369" s="66"/>
      <c r="N369" s="66"/>
      <c r="O369" s="84"/>
    </row>
    <row r="370" spans="1:15" x14ac:dyDescent="0.25">
      <c r="A370" s="84"/>
      <c r="B370" s="84"/>
      <c r="C370" s="60"/>
      <c r="D370" s="66"/>
      <c r="E370" s="66"/>
      <c r="F370" s="66"/>
      <c r="G370" s="66"/>
      <c r="H370" s="66"/>
      <c r="I370" s="66"/>
      <c r="J370" s="66"/>
      <c r="K370" s="66"/>
      <c r="L370" s="66"/>
      <c r="M370" s="66"/>
      <c r="N370" s="66"/>
      <c r="O370" s="84"/>
    </row>
    <row r="371" spans="1:15" x14ac:dyDescent="0.25">
      <c r="A371" s="84"/>
      <c r="B371" s="84"/>
      <c r="C371" s="60"/>
      <c r="D371" s="66"/>
      <c r="E371" s="66"/>
      <c r="F371" s="66"/>
      <c r="G371" s="66"/>
      <c r="H371" s="66"/>
      <c r="I371" s="66"/>
      <c r="J371" s="66"/>
      <c r="K371" s="66"/>
      <c r="L371" s="66"/>
      <c r="M371" s="66"/>
      <c r="N371" s="66"/>
      <c r="O371" s="84"/>
    </row>
    <row r="372" spans="1:15" x14ac:dyDescent="0.25">
      <c r="A372" s="84"/>
      <c r="B372" s="84"/>
      <c r="C372" s="60"/>
      <c r="D372" s="66"/>
      <c r="E372" s="66"/>
      <c r="F372" s="66"/>
      <c r="G372" s="66"/>
      <c r="H372" s="66"/>
      <c r="I372" s="66"/>
      <c r="J372" s="66"/>
      <c r="K372" s="66"/>
      <c r="L372" s="66"/>
      <c r="M372" s="66"/>
      <c r="N372" s="66"/>
      <c r="O372" s="84"/>
    </row>
    <row r="373" spans="1:15" x14ac:dyDescent="0.25">
      <c r="A373" s="84"/>
      <c r="B373" s="84"/>
      <c r="C373" s="60"/>
      <c r="D373" s="66"/>
      <c r="E373" s="66"/>
      <c r="F373" s="66"/>
      <c r="G373" s="66"/>
      <c r="H373" s="66"/>
      <c r="I373" s="66"/>
      <c r="J373" s="66"/>
      <c r="K373" s="66"/>
      <c r="L373" s="66"/>
      <c r="M373" s="66"/>
      <c r="N373" s="66"/>
      <c r="O373" s="84"/>
    </row>
    <row r="374" spans="1:15" x14ac:dyDescent="0.25">
      <c r="A374" s="84"/>
      <c r="B374" s="84"/>
      <c r="C374" s="60"/>
      <c r="D374" s="66"/>
      <c r="E374" s="66"/>
      <c r="F374" s="66"/>
      <c r="G374" s="66"/>
      <c r="H374" s="66"/>
      <c r="I374" s="66"/>
      <c r="J374" s="66"/>
      <c r="K374" s="66"/>
      <c r="L374" s="66"/>
      <c r="M374" s="66"/>
      <c r="N374" s="66"/>
      <c r="O374" s="84"/>
    </row>
    <row r="375" spans="1:15" x14ac:dyDescent="0.25">
      <c r="A375" s="84"/>
      <c r="B375" s="84"/>
      <c r="C375" s="60"/>
      <c r="D375" s="66"/>
      <c r="E375" s="66"/>
      <c r="F375" s="66"/>
      <c r="G375" s="66"/>
      <c r="H375" s="66"/>
      <c r="I375" s="66"/>
      <c r="J375" s="66"/>
      <c r="K375" s="66"/>
      <c r="L375" s="66"/>
      <c r="M375" s="66"/>
      <c r="N375" s="66"/>
      <c r="O375" s="84"/>
    </row>
    <row r="376" spans="1:15" x14ac:dyDescent="0.25">
      <c r="A376" s="84"/>
      <c r="B376" s="84"/>
      <c r="C376" s="60"/>
      <c r="D376" s="66"/>
      <c r="E376" s="66"/>
      <c r="F376" s="66"/>
      <c r="G376" s="66"/>
      <c r="H376" s="66"/>
      <c r="I376" s="66"/>
      <c r="J376" s="66"/>
      <c r="K376" s="66"/>
      <c r="L376" s="66"/>
      <c r="M376" s="66"/>
      <c r="N376" s="66"/>
      <c r="O376" s="84"/>
    </row>
    <row r="377" spans="1:15" x14ac:dyDescent="0.25">
      <c r="A377" s="84"/>
      <c r="B377" s="84"/>
      <c r="C377" s="60"/>
      <c r="D377" s="66"/>
      <c r="E377" s="66"/>
      <c r="F377" s="66"/>
      <c r="G377" s="66"/>
      <c r="H377" s="66"/>
      <c r="I377" s="66"/>
      <c r="J377" s="66"/>
      <c r="K377" s="66"/>
      <c r="L377" s="66"/>
      <c r="M377" s="66"/>
      <c r="N377" s="66"/>
      <c r="O377" s="84"/>
    </row>
    <row r="378" spans="1:15" x14ac:dyDescent="0.25">
      <c r="A378" s="84"/>
      <c r="B378" s="84"/>
      <c r="C378" s="60"/>
      <c r="D378" s="66"/>
      <c r="E378" s="66"/>
      <c r="F378" s="66"/>
      <c r="G378" s="66"/>
      <c r="H378" s="66"/>
      <c r="I378" s="66"/>
      <c r="J378" s="66"/>
      <c r="K378" s="66"/>
      <c r="L378" s="66"/>
      <c r="M378" s="66"/>
      <c r="N378" s="66"/>
      <c r="O378" s="84"/>
    </row>
    <row r="379" spans="1:15" x14ac:dyDescent="0.25">
      <c r="A379" s="84"/>
      <c r="B379" s="84"/>
      <c r="C379" s="60"/>
      <c r="D379" s="66"/>
      <c r="E379" s="66"/>
      <c r="F379" s="66"/>
      <c r="G379" s="66"/>
      <c r="H379" s="66"/>
      <c r="I379" s="66"/>
      <c r="J379" s="66"/>
      <c r="K379" s="66"/>
      <c r="L379" s="66"/>
      <c r="M379" s="66"/>
      <c r="N379" s="66"/>
      <c r="O379" s="84"/>
    </row>
    <row r="380" spans="1:15" x14ac:dyDescent="0.25">
      <c r="A380" s="84"/>
      <c r="B380" s="84"/>
      <c r="C380" s="60"/>
      <c r="D380" s="66"/>
      <c r="E380" s="66"/>
      <c r="F380" s="66"/>
      <c r="G380" s="66"/>
      <c r="H380" s="66"/>
      <c r="I380" s="66"/>
      <c r="J380" s="66"/>
      <c r="K380" s="66"/>
      <c r="L380" s="66"/>
      <c r="M380" s="66"/>
      <c r="N380" s="66"/>
      <c r="O380" s="84"/>
    </row>
    <row r="381" spans="1:15" x14ac:dyDescent="0.25">
      <c r="A381" s="84"/>
      <c r="B381" s="84"/>
      <c r="C381" s="60"/>
      <c r="D381" s="66"/>
      <c r="E381" s="66"/>
      <c r="F381" s="66"/>
      <c r="G381" s="66"/>
      <c r="H381" s="66"/>
      <c r="I381" s="66"/>
      <c r="J381" s="66"/>
      <c r="K381" s="66"/>
      <c r="L381" s="66"/>
      <c r="M381" s="66"/>
      <c r="N381" s="66"/>
      <c r="O381" s="84"/>
    </row>
    <row r="382" spans="1:15" x14ac:dyDescent="0.25">
      <c r="A382" s="84"/>
      <c r="B382" s="84"/>
      <c r="C382" s="60"/>
      <c r="D382" s="66"/>
      <c r="E382" s="66"/>
      <c r="F382" s="66"/>
      <c r="G382" s="66"/>
      <c r="H382" s="66"/>
      <c r="I382" s="66"/>
      <c r="J382" s="66"/>
      <c r="K382" s="66"/>
      <c r="L382" s="66"/>
      <c r="M382" s="66"/>
      <c r="N382" s="66"/>
      <c r="O382" s="84"/>
    </row>
    <row r="383" spans="1:15" x14ac:dyDescent="0.25">
      <c r="A383" s="84"/>
      <c r="B383" s="84"/>
      <c r="C383" s="60"/>
      <c r="D383" s="66"/>
      <c r="E383" s="66"/>
      <c r="F383" s="66"/>
      <c r="G383" s="66"/>
      <c r="H383" s="66"/>
      <c r="I383" s="66"/>
      <c r="J383" s="66"/>
      <c r="K383" s="66"/>
      <c r="L383" s="66"/>
      <c r="M383" s="66"/>
      <c r="N383" s="66"/>
      <c r="O383" s="84"/>
    </row>
    <row r="384" spans="1:15" x14ac:dyDescent="0.25">
      <c r="A384" s="84"/>
      <c r="B384" s="84"/>
      <c r="C384" s="60"/>
      <c r="D384" s="66"/>
      <c r="E384" s="66"/>
      <c r="F384" s="66"/>
      <c r="G384" s="66"/>
      <c r="H384" s="66"/>
      <c r="I384" s="66"/>
      <c r="J384" s="66"/>
      <c r="K384" s="66"/>
      <c r="L384" s="66"/>
      <c r="M384" s="66"/>
      <c r="N384" s="66"/>
      <c r="O384" s="84"/>
    </row>
    <row r="385" spans="1:15" x14ac:dyDescent="0.25">
      <c r="A385" s="84"/>
      <c r="B385" s="84"/>
      <c r="C385" s="60"/>
      <c r="D385" s="66"/>
      <c r="E385" s="66"/>
      <c r="F385" s="66"/>
      <c r="G385" s="66"/>
      <c r="H385" s="66"/>
      <c r="I385" s="66"/>
      <c r="J385" s="66"/>
      <c r="K385" s="66"/>
      <c r="L385" s="66"/>
      <c r="M385" s="66"/>
      <c r="N385" s="66"/>
      <c r="O385" s="84"/>
    </row>
    <row r="386" spans="1:15" x14ac:dyDescent="0.25">
      <c r="A386" s="84"/>
      <c r="B386" s="84"/>
      <c r="C386" s="60"/>
      <c r="D386" s="66"/>
      <c r="E386" s="66"/>
      <c r="F386" s="66"/>
      <c r="G386" s="66"/>
      <c r="H386" s="66"/>
      <c r="I386" s="66"/>
      <c r="J386" s="66"/>
      <c r="K386" s="66"/>
      <c r="L386" s="66"/>
      <c r="M386" s="66"/>
      <c r="N386" s="66"/>
      <c r="O386" s="84"/>
    </row>
  </sheetData>
  <pageMargins left="0.25" right="0.25" top="0.75" bottom="0.75" header="0.3" footer="0.3"/>
  <pageSetup scale="80"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1225"/>
  <sheetViews>
    <sheetView topLeftCell="A201" workbookViewId="0">
      <selection sqref="A1:N231"/>
    </sheetView>
  </sheetViews>
  <sheetFormatPr defaultColWidth="9" defaultRowHeight="12.75" x14ac:dyDescent="0.2"/>
  <cols>
    <col min="1" max="1" width="27.25" style="59" customWidth="1"/>
    <col min="2" max="2" width="9.5" style="60" customWidth="1"/>
    <col min="3" max="14" width="9" style="84" customWidth="1"/>
    <col min="15" max="16384" width="9" style="84"/>
  </cols>
  <sheetData>
    <row r="1" spans="1:15" s="58" customFormat="1" ht="13.5" thickBot="1" x14ac:dyDescent="0.25">
      <c r="A1" s="67" t="str">
        <f>CMS!A1</f>
        <v>Northwest Youth Services Budget - 2018 - APPROVED BY BOARD NOV 30, 2017</v>
      </c>
      <c r="B1" s="79"/>
      <c r="C1" s="67"/>
      <c r="D1" s="67"/>
      <c r="E1" s="67"/>
      <c r="F1" s="67"/>
      <c r="G1" s="67"/>
      <c r="H1" s="67"/>
      <c r="I1" s="67"/>
      <c r="J1" s="67"/>
      <c r="K1" s="67"/>
      <c r="L1" s="67"/>
      <c r="M1" s="67"/>
      <c r="N1" s="67"/>
    </row>
    <row r="2" spans="1:15" s="58" customFormat="1" x14ac:dyDescent="0.2">
      <c r="A2" s="80"/>
      <c r="B2" s="81"/>
    </row>
    <row r="3" spans="1:15" s="58" customFormat="1" x14ac:dyDescent="0.2">
      <c r="A3" s="81" t="s">
        <v>561</v>
      </c>
      <c r="B3" s="81"/>
    </row>
    <row r="5" spans="1:15" s="70" customFormat="1" ht="13.5" thickBot="1" x14ac:dyDescent="0.25">
      <c r="A5" s="82" t="s">
        <v>143</v>
      </c>
      <c r="B5" s="83" t="s">
        <v>144</v>
      </c>
      <c r="C5" s="83" t="str">
        <f>CMS!C5</f>
        <v>January</v>
      </c>
      <c r="D5" s="83" t="str">
        <f>CMS!D5</f>
        <v>February</v>
      </c>
      <c r="E5" s="83" t="str">
        <f>CMS!E5</f>
        <v>March</v>
      </c>
      <c r="F5" s="83" t="str">
        <f>CMS!F5</f>
        <v>April</v>
      </c>
      <c r="G5" s="83" t="str">
        <f>CMS!G5</f>
        <v>May</v>
      </c>
      <c r="H5" s="83" t="str">
        <f>CMS!H5</f>
        <v>June</v>
      </c>
      <c r="I5" s="83" t="str">
        <f>CMS!I5</f>
        <v>July</v>
      </c>
      <c r="J5" s="83" t="str">
        <f>CMS!J5</f>
        <v>August</v>
      </c>
      <c r="K5" s="83" t="str">
        <f>CMS!K5</f>
        <v>September</v>
      </c>
      <c r="L5" s="83" t="str">
        <f>CMS!L5</f>
        <v>October</v>
      </c>
      <c r="M5" s="83" t="str">
        <f>CMS!M5</f>
        <v>November</v>
      </c>
      <c r="N5" s="83" t="str">
        <f>CMS!N5</f>
        <v>December</v>
      </c>
    </row>
    <row r="6" spans="1:15" s="70" customFormat="1" x14ac:dyDescent="0.2">
      <c r="A6" s="28"/>
      <c r="B6" s="86"/>
      <c r="C6" s="86"/>
      <c r="D6" s="26"/>
      <c r="E6" s="26"/>
      <c r="F6" s="26"/>
      <c r="G6" s="26"/>
      <c r="H6" s="26"/>
      <c r="I6" s="26"/>
      <c r="J6" s="26"/>
      <c r="K6" s="26"/>
      <c r="L6" s="26"/>
      <c r="M6" s="26"/>
      <c r="N6" s="26"/>
    </row>
    <row r="7" spans="1:15" s="70" customFormat="1" x14ac:dyDescent="0.2">
      <c r="A7" s="58" t="s">
        <v>14</v>
      </c>
      <c r="B7" s="60"/>
      <c r="C7" s="60"/>
      <c r="D7" s="94"/>
      <c r="E7" s="94"/>
      <c r="F7" s="94"/>
      <c r="G7" s="94"/>
      <c r="H7" s="94"/>
      <c r="I7" s="94"/>
      <c r="J7" s="94"/>
      <c r="K7" s="94"/>
      <c r="L7" s="94"/>
      <c r="M7" s="94"/>
      <c r="N7" s="94"/>
    </row>
    <row r="8" spans="1:15" x14ac:dyDescent="0.2">
      <c r="A8" s="61" t="s">
        <v>400</v>
      </c>
      <c r="B8" s="63">
        <f>SUM(C8:N8)</f>
        <v>49413</v>
      </c>
      <c r="C8" s="62">
        <f>SUM(49413/12)</f>
        <v>4117.75</v>
      </c>
      <c r="D8" s="62">
        <f t="shared" ref="D8:N8" si="0">SUM(49413/12)</f>
        <v>4117.75</v>
      </c>
      <c r="E8" s="62">
        <f t="shared" si="0"/>
        <v>4117.75</v>
      </c>
      <c r="F8" s="62">
        <f t="shared" si="0"/>
        <v>4117.75</v>
      </c>
      <c r="G8" s="62">
        <f t="shared" si="0"/>
        <v>4117.75</v>
      </c>
      <c r="H8" s="62">
        <f t="shared" si="0"/>
        <v>4117.75</v>
      </c>
      <c r="I8" s="62">
        <f t="shared" si="0"/>
        <v>4117.75</v>
      </c>
      <c r="J8" s="62">
        <f t="shared" si="0"/>
        <v>4117.75</v>
      </c>
      <c r="K8" s="62">
        <f t="shared" si="0"/>
        <v>4117.75</v>
      </c>
      <c r="L8" s="62">
        <f t="shared" si="0"/>
        <v>4117.75</v>
      </c>
      <c r="M8" s="62">
        <f t="shared" si="0"/>
        <v>4117.75</v>
      </c>
      <c r="N8" s="62">
        <f t="shared" si="0"/>
        <v>4117.75</v>
      </c>
      <c r="O8" s="140">
        <f>SUM(B8:B9)</f>
        <v>311180</v>
      </c>
    </row>
    <row r="9" spans="1:15" x14ac:dyDescent="0.2">
      <c r="A9" s="61" t="s">
        <v>401</v>
      </c>
      <c r="B9" s="63">
        <f>SUM(C9:N9)</f>
        <v>261766.99999999997</v>
      </c>
      <c r="C9" s="62">
        <f>SUM(261767/12)</f>
        <v>21813.916666666668</v>
      </c>
      <c r="D9" s="62">
        <f t="shared" ref="D9:N9" si="1">SUM(261767/12)</f>
        <v>21813.916666666668</v>
      </c>
      <c r="E9" s="62">
        <f t="shared" si="1"/>
        <v>21813.916666666668</v>
      </c>
      <c r="F9" s="62">
        <f t="shared" si="1"/>
        <v>21813.916666666668</v>
      </c>
      <c r="G9" s="62">
        <f t="shared" si="1"/>
        <v>21813.916666666668</v>
      </c>
      <c r="H9" s="62">
        <f t="shared" si="1"/>
        <v>21813.916666666668</v>
      </c>
      <c r="I9" s="62">
        <f t="shared" si="1"/>
        <v>21813.916666666668</v>
      </c>
      <c r="J9" s="62">
        <f t="shared" si="1"/>
        <v>21813.916666666668</v>
      </c>
      <c r="K9" s="62">
        <f t="shared" si="1"/>
        <v>21813.916666666668</v>
      </c>
      <c r="L9" s="62">
        <f t="shared" si="1"/>
        <v>21813.916666666668</v>
      </c>
      <c r="M9" s="62">
        <f t="shared" si="1"/>
        <v>21813.916666666668</v>
      </c>
      <c r="N9" s="62">
        <f t="shared" si="1"/>
        <v>21813.916666666668</v>
      </c>
    </row>
    <row r="10" spans="1:15" hidden="1" x14ac:dyDescent="0.2">
      <c r="A10" s="61" t="s">
        <v>145</v>
      </c>
      <c r="B10" s="63">
        <f t="shared" ref="B10:B44" si="2">SUM(C10:N10)</f>
        <v>0</v>
      </c>
      <c r="C10" s="62"/>
      <c r="D10" s="62"/>
      <c r="E10" s="62"/>
      <c r="F10" s="62"/>
      <c r="G10" s="62"/>
      <c r="H10" s="62"/>
      <c r="I10" s="62"/>
      <c r="J10" s="62"/>
      <c r="K10" s="62"/>
      <c r="L10" s="62"/>
      <c r="M10" s="62"/>
      <c r="N10" s="62"/>
    </row>
    <row r="11" spans="1:15" hidden="1" x14ac:dyDescent="0.2">
      <c r="A11" s="61" t="s">
        <v>145</v>
      </c>
      <c r="B11" s="63">
        <f t="shared" si="2"/>
        <v>0</v>
      </c>
      <c r="C11" s="62"/>
      <c r="D11" s="62"/>
      <c r="E11" s="62"/>
      <c r="F11" s="62"/>
      <c r="G11" s="62"/>
      <c r="H11" s="62"/>
      <c r="I11" s="62"/>
      <c r="J11" s="93"/>
      <c r="K11" s="93"/>
      <c r="L11" s="93"/>
      <c r="M11" s="93"/>
      <c r="N11" s="93"/>
    </row>
    <row r="12" spans="1:15" hidden="1" x14ac:dyDescent="0.2">
      <c r="A12" s="61" t="s">
        <v>145</v>
      </c>
      <c r="B12" s="63">
        <f t="shared" si="2"/>
        <v>0</v>
      </c>
      <c r="C12" s="62"/>
      <c r="D12" s="62"/>
      <c r="E12" s="62"/>
      <c r="F12" s="62"/>
      <c r="G12" s="62"/>
      <c r="H12" s="62"/>
      <c r="I12" s="62"/>
      <c r="J12" s="93"/>
      <c r="K12" s="93"/>
      <c r="L12" s="93"/>
      <c r="M12" s="93"/>
      <c r="N12" s="93"/>
    </row>
    <row r="13" spans="1:15" hidden="1" x14ac:dyDescent="0.2">
      <c r="A13" s="61" t="s">
        <v>145</v>
      </c>
      <c r="B13" s="63">
        <f t="shared" si="2"/>
        <v>0</v>
      </c>
      <c r="C13" s="62"/>
      <c r="D13" s="62"/>
      <c r="E13" s="62"/>
      <c r="F13" s="62"/>
      <c r="G13" s="62"/>
      <c r="H13" s="62"/>
      <c r="I13" s="62"/>
      <c r="J13" s="62"/>
      <c r="K13" s="62"/>
      <c r="L13" s="62"/>
      <c r="M13" s="62"/>
      <c r="N13" s="62"/>
    </row>
    <row r="14" spans="1:15" hidden="1" x14ac:dyDescent="0.2">
      <c r="A14" s="61" t="s">
        <v>145</v>
      </c>
      <c r="B14" s="63">
        <f t="shared" si="2"/>
        <v>0</v>
      </c>
      <c r="C14" s="62"/>
      <c r="D14" s="62"/>
      <c r="E14" s="62"/>
      <c r="F14" s="62"/>
      <c r="G14" s="62"/>
      <c r="H14" s="62"/>
      <c r="I14" s="62"/>
      <c r="J14" s="62"/>
      <c r="K14" s="62"/>
      <c r="L14" s="62"/>
      <c r="M14" s="62"/>
      <c r="N14" s="62"/>
    </row>
    <row r="15" spans="1:15" hidden="1" x14ac:dyDescent="0.2">
      <c r="A15" s="61" t="s">
        <v>145</v>
      </c>
      <c r="B15" s="63">
        <f t="shared" si="2"/>
        <v>0</v>
      </c>
      <c r="C15" s="62"/>
      <c r="D15" s="62"/>
      <c r="E15" s="62"/>
      <c r="F15" s="62"/>
      <c r="G15" s="62"/>
      <c r="H15" s="62"/>
      <c r="I15" s="62"/>
      <c r="J15" s="62"/>
      <c r="K15" s="62"/>
      <c r="L15" s="62"/>
      <c r="M15" s="62"/>
      <c r="N15" s="62"/>
    </row>
    <row r="16" spans="1:15" hidden="1" x14ac:dyDescent="0.2">
      <c r="A16" s="61" t="s">
        <v>145</v>
      </c>
      <c r="B16" s="63">
        <f t="shared" si="2"/>
        <v>0</v>
      </c>
      <c r="C16" s="62"/>
      <c r="D16" s="62"/>
      <c r="E16" s="62"/>
      <c r="F16" s="62"/>
      <c r="G16" s="62"/>
      <c r="H16" s="62"/>
      <c r="I16" s="62"/>
      <c r="J16" s="62"/>
      <c r="K16" s="62"/>
      <c r="L16" s="62"/>
      <c r="M16" s="62"/>
      <c r="N16" s="62"/>
    </row>
    <row r="17" spans="1:14" hidden="1" x14ac:dyDescent="0.2">
      <c r="A17" s="61" t="s">
        <v>145</v>
      </c>
      <c r="B17" s="63">
        <f t="shared" si="2"/>
        <v>0</v>
      </c>
      <c r="C17" s="62"/>
      <c r="D17" s="62"/>
      <c r="E17" s="62"/>
      <c r="F17" s="62"/>
      <c r="G17" s="62"/>
      <c r="H17" s="62"/>
      <c r="I17" s="62"/>
      <c r="J17" s="62"/>
      <c r="K17" s="62"/>
      <c r="L17" s="62"/>
      <c r="M17" s="62"/>
      <c r="N17" s="62"/>
    </row>
    <row r="18" spans="1:14" hidden="1" x14ac:dyDescent="0.2">
      <c r="A18" s="61" t="s">
        <v>145</v>
      </c>
      <c r="B18" s="63">
        <f t="shared" si="2"/>
        <v>0</v>
      </c>
      <c r="C18" s="62"/>
      <c r="D18" s="62"/>
      <c r="E18" s="62"/>
      <c r="F18" s="62"/>
      <c r="G18" s="62"/>
      <c r="H18" s="62"/>
      <c r="I18" s="62"/>
      <c r="J18" s="62"/>
      <c r="K18" s="62"/>
      <c r="L18" s="62"/>
      <c r="M18" s="62"/>
      <c r="N18" s="62"/>
    </row>
    <row r="19" spans="1:14" hidden="1" x14ac:dyDescent="0.2">
      <c r="A19" s="61" t="s">
        <v>145</v>
      </c>
      <c r="B19" s="63">
        <f t="shared" si="2"/>
        <v>0</v>
      </c>
      <c r="C19" s="62"/>
      <c r="D19" s="62"/>
      <c r="E19" s="62"/>
      <c r="F19" s="62"/>
      <c r="G19" s="62"/>
      <c r="H19" s="62"/>
      <c r="I19" s="62"/>
      <c r="J19" s="62"/>
      <c r="K19" s="62"/>
      <c r="L19" s="62"/>
      <c r="M19" s="62"/>
      <c r="N19" s="62"/>
    </row>
    <row r="20" spans="1:14" hidden="1" x14ac:dyDescent="0.2">
      <c r="A20" s="61" t="s">
        <v>145</v>
      </c>
      <c r="B20" s="63">
        <f t="shared" si="2"/>
        <v>0</v>
      </c>
      <c r="C20" s="62"/>
      <c r="D20" s="62"/>
      <c r="E20" s="62"/>
      <c r="F20" s="62"/>
      <c r="G20" s="62"/>
      <c r="H20" s="62"/>
      <c r="I20" s="62"/>
      <c r="J20" s="62"/>
      <c r="K20" s="62"/>
      <c r="L20" s="62"/>
      <c r="M20" s="62"/>
      <c r="N20" s="62"/>
    </row>
    <row r="21" spans="1:14" hidden="1" x14ac:dyDescent="0.2">
      <c r="A21" s="61" t="s">
        <v>145</v>
      </c>
      <c r="B21" s="63">
        <f t="shared" si="2"/>
        <v>0</v>
      </c>
      <c r="C21" s="62"/>
      <c r="D21" s="62"/>
      <c r="E21" s="62"/>
      <c r="F21" s="62"/>
      <c r="G21" s="62"/>
      <c r="H21" s="62"/>
      <c r="I21" s="62"/>
      <c r="J21" s="62"/>
      <c r="K21" s="62"/>
      <c r="L21" s="62"/>
      <c r="M21" s="62"/>
      <c r="N21" s="62"/>
    </row>
    <row r="22" spans="1:14" hidden="1" x14ac:dyDescent="0.2">
      <c r="A22" s="61" t="s">
        <v>145</v>
      </c>
      <c r="B22" s="63">
        <f t="shared" si="2"/>
        <v>0</v>
      </c>
      <c r="C22" s="62"/>
      <c r="D22" s="62"/>
      <c r="E22" s="62"/>
      <c r="F22" s="62"/>
      <c r="G22" s="62"/>
      <c r="H22" s="62"/>
      <c r="I22" s="62"/>
      <c r="J22" s="62"/>
      <c r="K22" s="62"/>
      <c r="L22" s="62"/>
      <c r="M22" s="62"/>
      <c r="N22" s="62"/>
    </row>
    <row r="23" spans="1:14" x14ac:dyDescent="0.2">
      <c r="A23" s="61" t="s">
        <v>339</v>
      </c>
      <c r="B23" s="63">
        <f t="shared" si="2"/>
        <v>10000</v>
      </c>
      <c r="C23" s="62">
        <f>SUM(10000/12)</f>
        <v>833.33333333333337</v>
      </c>
      <c r="D23" s="62">
        <f t="shared" ref="D23:N23" si="3">SUM(10000/12)</f>
        <v>833.33333333333337</v>
      </c>
      <c r="E23" s="62">
        <f t="shared" si="3"/>
        <v>833.33333333333337</v>
      </c>
      <c r="F23" s="62">
        <f t="shared" si="3"/>
        <v>833.33333333333337</v>
      </c>
      <c r="G23" s="62">
        <f t="shared" si="3"/>
        <v>833.33333333333337</v>
      </c>
      <c r="H23" s="62">
        <f t="shared" si="3"/>
        <v>833.33333333333337</v>
      </c>
      <c r="I23" s="62">
        <f t="shared" si="3"/>
        <v>833.33333333333337</v>
      </c>
      <c r="J23" s="62">
        <f t="shared" si="3"/>
        <v>833.33333333333337</v>
      </c>
      <c r="K23" s="62">
        <f t="shared" si="3"/>
        <v>833.33333333333337</v>
      </c>
      <c r="L23" s="62">
        <f t="shared" si="3"/>
        <v>833.33333333333337</v>
      </c>
      <c r="M23" s="62">
        <f t="shared" si="3"/>
        <v>833.33333333333337</v>
      </c>
      <c r="N23" s="62">
        <f t="shared" si="3"/>
        <v>833.33333333333337</v>
      </c>
    </row>
    <row r="24" spans="1:14" x14ac:dyDescent="0.2">
      <c r="A24" s="61" t="s">
        <v>398</v>
      </c>
      <c r="B24" s="63">
        <f t="shared" si="2"/>
        <v>0</v>
      </c>
      <c r="C24" s="62"/>
      <c r="D24" s="62"/>
      <c r="E24" s="62"/>
      <c r="F24" s="62"/>
      <c r="G24" s="62"/>
      <c r="H24" s="62"/>
      <c r="I24" s="62"/>
      <c r="J24" s="62"/>
      <c r="K24" s="62"/>
      <c r="L24" s="62"/>
      <c r="M24" s="62"/>
      <c r="N24" s="62"/>
    </row>
    <row r="25" spans="1:14" x14ac:dyDescent="0.2">
      <c r="A25" s="61" t="s">
        <v>334</v>
      </c>
      <c r="B25" s="63">
        <f t="shared" si="2"/>
        <v>0</v>
      </c>
      <c r="C25" s="62"/>
      <c r="D25" s="62"/>
      <c r="E25" s="62"/>
      <c r="F25" s="62"/>
      <c r="G25" s="62"/>
      <c r="H25" s="62"/>
      <c r="I25" s="62"/>
      <c r="J25" s="62"/>
      <c r="K25" s="62"/>
      <c r="L25" s="62"/>
      <c r="M25" s="62"/>
      <c r="N25" s="62"/>
    </row>
    <row r="26" spans="1:14" x14ac:dyDescent="0.2">
      <c r="A26" s="61" t="s">
        <v>399</v>
      </c>
      <c r="B26" s="63">
        <f t="shared" si="2"/>
        <v>0</v>
      </c>
      <c r="C26" s="62"/>
      <c r="D26" s="62"/>
      <c r="E26" s="62"/>
      <c r="F26" s="62"/>
      <c r="G26" s="62"/>
      <c r="H26" s="62"/>
      <c r="I26" s="62"/>
      <c r="J26" s="62"/>
      <c r="K26" s="62"/>
      <c r="L26" s="62"/>
      <c r="M26" s="62"/>
      <c r="N26" s="62"/>
    </row>
    <row r="27" spans="1:14" hidden="1" x14ac:dyDescent="0.2">
      <c r="A27" s="61" t="s">
        <v>146</v>
      </c>
      <c r="B27" s="63">
        <f t="shared" si="2"/>
        <v>0</v>
      </c>
      <c r="C27" s="62"/>
      <c r="D27" s="62"/>
      <c r="E27" s="62"/>
      <c r="F27" s="62"/>
      <c r="G27" s="62"/>
      <c r="H27" s="62"/>
      <c r="I27" s="62"/>
      <c r="J27" s="62"/>
      <c r="K27" s="62"/>
      <c r="L27" s="62"/>
      <c r="M27" s="62"/>
      <c r="N27" s="62"/>
    </row>
    <row r="28" spans="1:14" hidden="1" x14ac:dyDescent="0.2">
      <c r="A28" s="61" t="s">
        <v>146</v>
      </c>
      <c r="B28" s="63">
        <f t="shared" si="2"/>
        <v>0</v>
      </c>
      <c r="C28" s="62"/>
      <c r="D28" s="62"/>
      <c r="E28" s="62"/>
      <c r="F28" s="62"/>
      <c r="G28" s="62"/>
      <c r="H28" s="62"/>
      <c r="I28" s="62"/>
      <c r="J28" s="62"/>
      <c r="K28" s="62"/>
      <c r="L28" s="62"/>
      <c r="M28" s="62"/>
      <c r="N28" s="62"/>
    </row>
    <row r="29" spans="1:14" hidden="1" x14ac:dyDescent="0.2">
      <c r="A29" s="61" t="s">
        <v>146</v>
      </c>
      <c r="B29" s="63">
        <f t="shared" si="2"/>
        <v>0</v>
      </c>
      <c r="C29" s="62"/>
      <c r="D29" s="62"/>
      <c r="E29" s="62"/>
      <c r="F29" s="62"/>
      <c r="G29" s="62"/>
      <c r="H29" s="62"/>
      <c r="I29" s="62"/>
      <c r="J29" s="62"/>
      <c r="K29" s="62"/>
      <c r="L29" s="62"/>
      <c r="M29" s="62"/>
      <c r="N29" s="62"/>
    </row>
    <row r="30" spans="1:14" hidden="1" x14ac:dyDescent="0.2">
      <c r="A30" s="61" t="s">
        <v>146</v>
      </c>
      <c r="B30" s="63">
        <f t="shared" si="2"/>
        <v>0</v>
      </c>
      <c r="C30" s="62"/>
      <c r="D30" s="62"/>
      <c r="E30" s="62"/>
      <c r="F30" s="62"/>
      <c r="G30" s="62"/>
      <c r="H30" s="62"/>
      <c r="I30" s="62"/>
      <c r="J30" s="62"/>
      <c r="K30" s="62"/>
      <c r="L30" s="62"/>
      <c r="M30" s="62"/>
      <c r="N30" s="62"/>
    </row>
    <row r="31" spans="1:14" hidden="1" x14ac:dyDescent="0.2">
      <c r="A31" s="61" t="s">
        <v>146</v>
      </c>
      <c r="B31" s="63">
        <f t="shared" si="2"/>
        <v>0</v>
      </c>
      <c r="C31" s="62"/>
      <c r="D31" s="62"/>
      <c r="E31" s="62"/>
      <c r="F31" s="62"/>
      <c r="G31" s="62"/>
      <c r="H31" s="62"/>
      <c r="I31" s="62"/>
      <c r="J31" s="62"/>
      <c r="K31" s="62"/>
      <c r="L31" s="62"/>
      <c r="M31" s="62"/>
      <c r="N31" s="62"/>
    </row>
    <row r="32" spans="1:14" hidden="1" x14ac:dyDescent="0.2">
      <c r="A32" s="61" t="s">
        <v>146</v>
      </c>
      <c r="B32" s="63">
        <f t="shared" si="2"/>
        <v>0</v>
      </c>
      <c r="C32" s="62"/>
      <c r="D32" s="62"/>
      <c r="E32" s="62"/>
      <c r="F32" s="62"/>
      <c r="G32" s="62"/>
      <c r="H32" s="62"/>
      <c r="I32" s="62"/>
      <c r="J32" s="62"/>
      <c r="K32" s="62"/>
      <c r="L32" s="62"/>
      <c r="M32" s="62"/>
      <c r="N32" s="62"/>
    </row>
    <row r="33" spans="1:14" hidden="1" x14ac:dyDescent="0.2">
      <c r="A33" s="61" t="s">
        <v>146</v>
      </c>
      <c r="B33" s="63">
        <f t="shared" si="2"/>
        <v>0</v>
      </c>
      <c r="C33" s="62"/>
      <c r="D33" s="62"/>
      <c r="E33" s="62"/>
      <c r="F33" s="62"/>
      <c r="G33" s="62"/>
      <c r="H33" s="62"/>
      <c r="I33" s="62"/>
      <c r="J33" s="62"/>
      <c r="K33" s="62"/>
      <c r="L33" s="62"/>
      <c r="M33" s="62"/>
      <c r="N33" s="62"/>
    </row>
    <row r="34" spans="1:14" hidden="1" x14ac:dyDescent="0.2">
      <c r="A34" s="61" t="s">
        <v>146</v>
      </c>
      <c r="B34" s="63">
        <f t="shared" si="2"/>
        <v>0</v>
      </c>
      <c r="C34" s="62"/>
      <c r="D34" s="62"/>
      <c r="E34" s="62"/>
      <c r="F34" s="62"/>
      <c r="G34" s="62"/>
      <c r="H34" s="62"/>
      <c r="I34" s="62"/>
      <c r="J34" s="62"/>
      <c r="K34" s="62"/>
      <c r="L34" s="62"/>
      <c r="M34" s="62"/>
      <c r="N34" s="62"/>
    </row>
    <row r="35" spans="1:14" hidden="1" x14ac:dyDescent="0.2">
      <c r="A35" s="61" t="s">
        <v>146</v>
      </c>
      <c r="B35" s="63">
        <f t="shared" si="2"/>
        <v>0</v>
      </c>
      <c r="C35" s="62"/>
      <c r="D35" s="62"/>
      <c r="E35" s="62"/>
      <c r="F35" s="62"/>
      <c r="G35" s="62"/>
      <c r="H35" s="62"/>
      <c r="I35" s="62"/>
      <c r="J35" s="62"/>
      <c r="K35" s="62"/>
      <c r="L35" s="62"/>
      <c r="M35" s="62"/>
      <c r="N35" s="62"/>
    </row>
    <row r="36" spans="1:14" hidden="1" x14ac:dyDescent="0.2">
      <c r="A36" s="61" t="s">
        <v>146</v>
      </c>
      <c r="B36" s="63">
        <f t="shared" si="2"/>
        <v>0</v>
      </c>
      <c r="C36" s="62"/>
      <c r="D36" s="62"/>
      <c r="E36" s="62"/>
      <c r="F36" s="62"/>
      <c r="G36" s="62"/>
      <c r="H36" s="62"/>
      <c r="I36" s="62"/>
      <c r="J36" s="62"/>
      <c r="K36" s="62"/>
      <c r="L36" s="62"/>
      <c r="M36" s="62"/>
      <c r="N36" s="62"/>
    </row>
    <row r="37" spans="1:14" hidden="1" x14ac:dyDescent="0.2">
      <c r="A37" s="61" t="s">
        <v>146</v>
      </c>
      <c r="B37" s="63">
        <f t="shared" si="2"/>
        <v>0</v>
      </c>
      <c r="C37" s="62"/>
      <c r="D37" s="62"/>
      <c r="E37" s="62"/>
      <c r="F37" s="62"/>
      <c r="G37" s="62"/>
      <c r="H37" s="62"/>
      <c r="I37" s="62"/>
      <c r="J37" s="62"/>
      <c r="K37" s="62"/>
      <c r="L37" s="62"/>
      <c r="M37" s="62"/>
      <c r="N37" s="62"/>
    </row>
    <row r="38" spans="1:14" hidden="1" x14ac:dyDescent="0.2">
      <c r="A38" s="61" t="s">
        <v>146</v>
      </c>
      <c r="B38" s="63">
        <f t="shared" si="2"/>
        <v>0</v>
      </c>
      <c r="C38" s="62"/>
      <c r="D38" s="62"/>
      <c r="E38" s="62"/>
      <c r="F38" s="62"/>
      <c r="G38" s="62"/>
      <c r="H38" s="62"/>
      <c r="I38" s="62"/>
      <c r="J38" s="62"/>
      <c r="K38" s="62"/>
      <c r="L38" s="62"/>
      <c r="M38" s="62"/>
      <c r="N38" s="62"/>
    </row>
    <row r="39" spans="1:14" x14ac:dyDescent="0.2">
      <c r="A39" s="61" t="s">
        <v>16</v>
      </c>
      <c r="B39" s="63">
        <f t="shared" si="2"/>
        <v>0</v>
      </c>
      <c r="C39" s="62"/>
      <c r="D39" s="62"/>
      <c r="E39" s="62"/>
      <c r="F39" s="62"/>
      <c r="G39" s="62"/>
      <c r="H39" s="62"/>
      <c r="I39" s="62"/>
      <c r="J39" s="62"/>
      <c r="K39" s="62"/>
      <c r="L39" s="62"/>
      <c r="M39" s="62"/>
      <c r="N39" s="62"/>
    </row>
    <row r="40" spans="1:14" x14ac:dyDescent="0.2">
      <c r="A40" s="61" t="s">
        <v>17</v>
      </c>
      <c r="B40" s="63">
        <f t="shared" si="2"/>
        <v>0</v>
      </c>
      <c r="C40" s="62"/>
      <c r="D40" s="62"/>
      <c r="E40" s="62"/>
      <c r="F40" s="62"/>
      <c r="G40" s="62"/>
      <c r="H40" s="62"/>
      <c r="I40" s="62"/>
      <c r="J40" s="62"/>
      <c r="K40" s="62"/>
      <c r="L40" s="62"/>
      <c r="M40" s="62"/>
      <c r="N40" s="62"/>
    </row>
    <row r="41" spans="1:14" x14ac:dyDescent="0.2">
      <c r="A41" s="61" t="s">
        <v>147</v>
      </c>
      <c r="B41" s="63">
        <f t="shared" si="2"/>
        <v>208.00000000000003</v>
      </c>
      <c r="C41" s="62">
        <f>SUM(260/15)</f>
        <v>17.333333333333332</v>
      </c>
      <c r="D41" s="62">
        <f t="shared" ref="D41:N41" si="4">SUM(260/15)</f>
        <v>17.333333333333332</v>
      </c>
      <c r="E41" s="62">
        <f t="shared" si="4"/>
        <v>17.333333333333332</v>
      </c>
      <c r="F41" s="62">
        <f t="shared" si="4"/>
        <v>17.333333333333332</v>
      </c>
      <c r="G41" s="62">
        <f t="shared" si="4"/>
        <v>17.333333333333332</v>
      </c>
      <c r="H41" s="62">
        <f t="shared" si="4"/>
        <v>17.333333333333332</v>
      </c>
      <c r="I41" s="62">
        <f t="shared" si="4"/>
        <v>17.333333333333332</v>
      </c>
      <c r="J41" s="62">
        <f t="shared" si="4"/>
        <v>17.333333333333332</v>
      </c>
      <c r="K41" s="62">
        <f t="shared" si="4"/>
        <v>17.333333333333332</v>
      </c>
      <c r="L41" s="62">
        <f t="shared" si="4"/>
        <v>17.333333333333332</v>
      </c>
      <c r="M41" s="62">
        <f t="shared" si="4"/>
        <v>17.333333333333332</v>
      </c>
      <c r="N41" s="62">
        <f t="shared" si="4"/>
        <v>17.333333333333332</v>
      </c>
    </row>
    <row r="42" spans="1:14" x14ac:dyDescent="0.2">
      <c r="A42" s="61" t="s">
        <v>148</v>
      </c>
      <c r="B42" s="63">
        <f t="shared" si="2"/>
        <v>750</v>
      </c>
      <c r="C42" s="62"/>
      <c r="D42" s="62"/>
      <c r="E42" s="62">
        <v>750</v>
      </c>
      <c r="F42" s="62"/>
      <c r="G42" s="62"/>
      <c r="H42" s="62"/>
      <c r="I42" s="62"/>
      <c r="J42" s="62"/>
      <c r="K42" s="62"/>
      <c r="L42" s="62"/>
      <c r="M42" s="62"/>
      <c r="N42" s="62"/>
    </row>
    <row r="43" spans="1:14" x14ac:dyDescent="0.2">
      <c r="A43" s="61" t="s">
        <v>149</v>
      </c>
      <c r="B43" s="63">
        <f t="shared" si="2"/>
        <v>0</v>
      </c>
      <c r="C43" s="62"/>
      <c r="D43" s="62"/>
      <c r="E43" s="62"/>
      <c r="F43" s="62"/>
      <c r="G43" s="62"/>
      <c r="H43" s="62"/>
      <c r="I43" s="62"/>
      <c r="J43" s="62"/>
      <c r="K43" s="62"/>
      <c r="L43" s="62"/>
      <c r="M43" s="62"/>
      <c r="N43" s="62"/>
    </row>
    <row r="44" spans="1:14" x14ac:dyDescent="0.2">
      <c r="A44" s="61" t="s">
        <v>150</v>
      </c>
      <c r="B44" s="63">
        <f t="shared" si="2"/>
        <v>0</v>
      </c>
      <c r="C44" s="62"/>
      <c r="D44" s="62"/>
      <c r="E44" s="62"/>
      <c r="F44" s="62"/>
      <c r="G44" s="62"/>
      <c r="H44" s="62"/>
      <c r="I44" s="62"/>
      <c r="J44" s="62"/>
      <c r="K44" s="62"/>
      <c r="L44" s="62"/>
      <c r="M44" s="62"/>
      <c r="N44" s="62"/>
    </row>
    <row r="45" spans="1:14" ht="13.5" thickBot="1" x14ac:dyDescent="0.25">
      <c r="A45" s="61" t="s">
        <v>18</v>
      </c>
      <c r="B45" s="63">
        <f>SUM(C45:N45)</f>
        <v>0</v>
      </c>
      <c r="C45" s="62"/>
      <c r="D45" s="62"/>
      <c r="E45" s="62"/>
      <c r="F45" s="62"/>
      <c r="G45" s="62"/>
      <c r="H45" s="62"/>
      <c r="I45" s="62"/>
      <c r="J45" s="62"/>
      <c r="K45" s="62"/>
      <c r="L45" s="62"/>
      <c r="M45" s="62"/>
      <c r="N45" s="62"/>
    </row>
    <row r="46" spans="1:14" x14ac:dyDescent="0.2">
      <c r="A46" s="64" t="s">
        <v>151</v>
      </c>
      <c r="B46" s="65">
        <f t="shared" ref="B46:N46" si="5">SUM(B8:B45)</f>
        <v>322138</v>
      </c>
      <c r="C46" s="65">
        <f t="shared" si="5"/>
        <v>26782.333333333332</v>
      </c>
      <c r="D46" s="65">
        <f t="shared" si="5"/>
        <v>26782.333333333332</v>
      </c>
      <c r="E46" s="65">
        <f t="shared" si="5"/>
        <v>27532.333333333332</v>
      </c>
      <c r="F46" s="65">
        <f t="shared" si="5"/>
        <v>26782.333333333332</v>
      </c>
      <c r="G46" s="65">
        <f t="shared" si="5"/>
        <v>26782.333333333332</v>
      </c>
      <c r="H46" s="65">
        <f t="shared" si="5"/>
        <v>26782.333333333332</v>
      </c>
      <c r="I46" s="65">
        <f t="shared" si="5"/>
        <v>26782.333333333332</v>
      </c>
      <c r="J46" s="65">
        <f t="shared" si="5"/>
        <v>26782.333333333332</v>
      </c>
      <c r="K46" s="65">
        <f t="shared" si="5"/>
        <v>26782.333333333332</v>
      </c>
      <c r="L46" s="65">
        <f t="shared" si="5"/>
        <v>26782.333333333332</v>
      </c>
      <c r="M46" s="65">
        <f t="shared" si="5"/>
        <v>26782.333333333332</v>
      </c>
      <c r="N46" s="65">
        <f t="shared" si="5"/>
        <v>26782.333333333332</v>
      </c>
    </row>
    <row r="47" spans="1:14" x14ac:dyDescent="0.2">
      <c r="C47" s="60"/>
      <c r="D47" s="66"/>
      <c r="E47" s="66"/>
      <c r="F47" s="66"/>
      <c r="G47" s="66"/>
      <c r="H47" s="66"/>
      <c r="I47" s="66"/>
      <c r="J47" s="66"/>
      <c r="K47" s="66"/>
      <c r="L47" s="66"/>
      <c r="M47" s="66"/>
      <c r="N47" s="66"/>
    </row>
    <row r="48" spans="1:14" x14ac:dyDescent="0.2">
      <c r="A48" s="58"/>
      <c r="C48" s="60"/>
      <c r="D48" s="100"/>
      <c r="E48" s="100"/>
      <c r="F48" s="100"/>
      <c r="G48" s="100"/>
      <c r="H48" s="100"/>
      <c r="I48" s="100"/>
      <c r="J48" s="100"/>
      <c r="K48" s="100"/>
      <c r="L48" s="100"/>
      <c r="M48" s="100"/>
      <c r="N48" s="100"/>
    </row>
    <row r="49" spans="1:15" x14ac:dyDescent="0.2">
      <c r="A49" s="58" t="s">
        <v>152</v>
      </c>
      <c r="B49" s="85"/>
      <c r="C49" s="85"/>
      <c r="D49" s="85"/>
      <c r="E49" s="85"/>
      <c r="F49" s="85"/>
      <c r="G49" s="85"/>
      <c r="H49" s="85"/>
      <c r="I49" s="85"/>
      <c r="J49" s="85"/>
      <c r="K49" s="85"/>
      <c r="L49" s="85"/>
      <c r="M49" s="85"/>
      <c r="N49" s="85"/>
    </row>
    <row r="50" spans="1:15" x14ac:dyDescent="0.2">
      <c r="A50" s="61" t="s">
        <v>153</v>
      </c>
      <c r="B50" s="63">
        <f>SUM(C50:N50)</f>
        <v>134355.7824</v>
      </c>
      <c r="C50" s="62">
        <f>SUM(C228)</f>
        <v>11196.315199999999</v>
      </c>
      <c r="D50" s="62">
        <f t="shared" ref="D50:N52" si="6">SUM(D228)</f>
        <v>11196.315199999999</v>
      </c>
      <c r="E50" s="62">
        <f t="shared" si="6"/>
        <v>11196.315199999999</v>
      </c>
      <c r="F50" s="62">
        <f t="shared" si="6"/>
        <v>11196.315199999999</v>
      </c>
      <c r="G50" s="62">
        <f t="shared" si="6"/>
        <v>11196.315199999999</v>
      </c>
      <c r="H50" s="62">
        <f t="shared" si="6"/>
        <v>11196.315199999999</v>
      </c>
      <c r="I50" s="62">
        <f t="shared" si="6"/>
        <v>11196.315199999999</v>
      </c>
      <c r="J50" s="62">
        <f t="shared" si="6"/>
        <v>11196.315199999999</v>
      </c>
      <c r="K50" s="62">
        <f t="shared" si="6"/>
        <v>11196.315199999999</v>
      </c>
      <c r="L50" s="62">
        <f t="shared" si="6"/>
        <v>11196.315199999999</v>
      </c>
      <c r="M50" s="62">
        <f t="shared" si="6"/>
        <v>11196.315199999999</v>
      </c>
      <c r="N50" s="62">
        <f t="shared" si="6"/>
        <v>11196.315199999999</v>
      </c>
    </row>
    <row r="51" spans="1:15" x14ac:dyDescent="0.2">
      <c r="A51" s="61" t="s">
        <v>22</v>
      </c>
      <c r="B51" s="63">
        <f>SUM(C51:N51)</f>
        <v>11608.774559999998</v>
      </c>
      <c r="C51" s="62">
        <f>SUM(C229)</f>
        <v>967.39787999999965</v>
      </c>
      <c r="D51" s="62">
        <f t="shared" si="6"/>
        <v>967.39787999999965</v>
      </c>
      <c r="E51" s="62">
        <f t="shared" si="6"/>
        <v>967.39787999999965</v>
      </c>
      <c r="F51" s="62">
        <f t="shared" si="6"/>
        <v>967.39787999999965</v>
      </c>
      <c r="G51" s="62">
        <f t="shared" si="6"/>
        <v>967.39787999999965</v>
      </c>
      <c r="H51" s="62">
        <f t="shared" si="6"/>
        <v>967.39787999999965</v>
      </c>
      <c r="I51" s="62">
        <f t="shared" si="6"/>
        <v>967.39787999999965</v>
      </c>
      <c r="J51" s="62">
        <f t="shared" si="6"/>
        <v>967.39787999999965</v>
      </c>
      <c r="K51" s="62">
        <f t="shared" si="6"/>
        <v>967.39787999999965</v>
      </c>
      <c r="L51" s="62">
        <f t="shared" si="6"/>
        <v>967.39787999999965</v>
      </c>
      <c r="M51" s="62">
        <f t="shared" si="6"/>
        <v>967.39787999999965</v>
      </c>
      <c r="N51" s="62">
        <f t="shared" si="6"/>
        <v>967.39787999999965</v>
      </c>
    </row>
    <row r="52" spans="1:15" s="101" customFormat="1" ht="13.5" thickBot="1" x14ac:dyDescent="0.25">
      <c r="A52" s="90" t="s">
        <v>23</v>
      </c>
      <c r="B52" s="63">
        <f>SUM(C52:N52)</f>
        <v>17192.597069793108</v>
      </c>
      <c r="C52" s="62">
        <f>SUM(C230)</f>
        <v>1432.7164224827588</v>
      </c>
      <c r="D52" s="62">
        <f t="shared" si="6"/>
        <v>1432.7164224827588</v>
      </c>
      <c r="E52" s="62">
        <f t="shared" si="6"/>
        <v>1432.7164224827588</v>
      </c>
      <c r="F52" s="62">
        <f t="shared" si="6"/>
        <v>1432.7164224827588</v>
      </c>
      <c r="G52" s="62">
        <f t="shared" si="6"/>
        <v>1432.7164224827588</v>
      </c>
      <c r="H52" s="62">
        <f t="shared" si="6"/>
        <v>1432.7164224827588</v>
      </c>
      <c r="I52" s="62">
        <f t="shared" si="6"/>
        <v>1432.7164224827588</v>
      </c>
      <c r="J52" s="62">
        <f t="shared" si="6"/>
        <v>1432.7164224827588</v>
      </c>
      <c r="K52" s="62">
        <f t="shared" si="6"/>
        <v>1432.7164224827588</v>
      </c>
      <c r="L52" s="62">
        <f t="shared" si="6"/>
        <v>1432.7164224827588</v>
      </c>
      <c r="M52" s="62">
        <f t="shared" si="6"/>
        <v>1432.7164224827588</v>
      </c>
      <c r="N52" s="62">
        <f t="shared" si="6"/>
        <v>1432.7164224827588</v>
      </c>
    </row>
    <row r="53" spans="1:15" x14ac:dyDescent="0.2">
      <c r="A53" s="64" t="s">
        <v>154</v>
      </c>
      <c r="B53" s="65">
        <f>SUM(B50:B52)</f>
        <v>163157.15402979311</v>
      </c>
      <c r="C53" s="65">
        <f t="shared" ref="C53:N53" si="7">SUM(C50:C52)</f>
        <v>13596.429502482759</v>
      </c>
      <c r="D53" s="65">
        <f t="shared" si="7"/>
        <v>13596.429502482759</v>
      </c>
      <c r="E53" s="65">
        <f t="shared" si="7"/>
        <v>13596.429502482759</v>
      </c>
      <c r="F53" s="65">
        <f t="shared" si="7"/>
        <v>13596.429502482759</v>
      </c>
      <c r="G53" s="65">
        <f t="shared" si="7"/>
        <v>13596.429502482759</v>
      </c>
      <c r="H53" s="65">
        <f t="shared" si="7"/>
        <v>13596.429502482759</v>
      </c>
      <c r="I53" s="65">
        <f t="shared" si="7"/>
        <v>13596.429502482759</v>
      </c>
      <c r="J53" s="65">
        <f t="shared" si="7"/>
        <v>13596.429502482759</v>
      </c>
      <c r="K53" s="65">
        <f t="shared" si="7"/>
        <v>13596.429502482759</v>
      </c>
      <c r="L53" s="65">
        <f t="shared" si="7"/>
        <v>13596.429502482759</v>
      </c>
      <c r="M53" s="65">
        <f t="shared" si="7"/>
        <v>13596.429502482759</v>
      </c>
      <c r="N53" s="65">
        <f t="shared" si="7"/>
        <v>13596.429502482759</v>
      </c>
      <c r="O53" s="140">
        <f>SUM(C231:N231)</f>
        <v>163157.15402979311</v>
      </c>
    </row>
    <row r="54" spans="1:15" x14ac:dyDescent="0.2">
      <c r="C54" s="60"/>
      <c r="D54" s="66"/>
      <c r="E54" s="66"/>
      <c r="F54" s="66"/>
      <c r="G54" s="66"/>
      <c r="H54" s="66"/>
      <c r="I54" s="66"/>
      <c r="J54" s="66"/>
      <c r="K54" s="66"/>
      <c r="L54" s="66"/>
      <c r="M54" s="66"/>
      <c r="N54" s="66"/>
    </row>
    <row r="55" spans="1:15" x14ac:dyDescent="0.2">
      <c r="C55" s="60"/>
      <c r="D55" s="66"/>
      <c r="E55" s="66"/>
      <c r="F55" s="66"/>
      <c r="G55" s="66"/>
      <c r="H55" s="66"/>
      <c r="I55" s="66"/>
      <c r="J55" s="66"/>
      <c r="K55" s="66"/>
      <c r="L55" s="66"/>
      <c r="M55" s="66"/>
      <c r="N55" s="66"/>
    </row>
    <row r="56" spans="1:15" x14ac:dyDescent="0.2">
      <c r="A56" s="58" t="s">
        <v>155</v>
      </c>
      <c r="C56" s="60"/>
      <c r="D56" s="66"/>
      <c r="E56" s="66"/>
      <c r="F56" s="66"/>
      <c r="G56" s="66"/>
      <c r="H56" s="66"/>
      <c r="I56" s="66"/>
      <c r="J56" s="66"/>
      <c r="K56" s="66"/>
      <c r="L56" s="66"/>
      <c r="M56" s="66"/>
      <c r="N56" s="66"/>
    </row>
    <row r="57" spans="1:15" x14ac:dyDescent="0.2">
      <c r="A57" s="61" t="str">
        <f>CMS!A57</f>
        <v>Training</v>
      </c>
      <c r="B57" s="63">
        <f>SUM(C57:N57)</f>
        <v>1920</v>
      </c>
      <c r="C57" s="62">
        <v>160</v>
      </c>
      <c r="D57" s="62">
        <v>160</v>
      </c>
      <c r="E57" s="62">
        <v>160</v>
      </c>
      <c r="F57" s="62">
        <v>160</v>
      </c>
      <c r="G57" s="62">
        <v>160</v>
      </c>
      <c r="H57" s="62">
        <v>160</v>
      </c>
      <c r="I57" s="62">
        <v>160</v>
      </c>
      <c r="J57" s="62">
        <v>160</v>
      </c>
      <c r="K57" s="62">
        <v>160</v>
      </c>
      <c r="L57" s="62">
        <v>160</v>
      </c>
      <c r="M57" s="62">
        <v>160</v>
      </c>
      <c r="N57" s="62">
        <v>160</v>
      </c>
    </row>
    <row r="58" spans="1:15" x14ac:dyDescent="0.2">
      <c r="A58" s="61" t="str">
        <f>CMS!A58</f>
        <v>Travel</v>
      </c>
      <c r="B58" s="248">
        <f>SUM(C58:N58)</f>
        <v>0</v>
      </c>
      <c r="C58" s="62">
        <f>SUM(225*'Data Links'!$B$20)</f>
        <v>0</v>
      </c>
      <c r="D58" s="62">
        <f>SUM(225*'Data Links'!$B$20)</f>
        <v>0</v>
      </c>
      <c r="E58" s="62">
        <f>SUM(225*'Data Links'!$B$20)</f>
        <v>0</v>
      </c>
      <c r="F58" s="62">
        <f>SUM(225*'Data Links'!$B$20)</f>
        <v>0</v>
      </c>
      <c r="G58" s="62">
        <f>SUM(225*'Data Links'!$B$20)</f>
        <v>0</v>
      </c>
      <c r="H58" s="62">
        <f>SUM(225*'Data Links'!$B$20)</f>
        <v>0</v>
      </c>
      <c r="I58" s="62">
        <f>SUM(225*'Data Links'!$B$20)</f>
        <v>0</v>
      </c>
      <c r="J58" s="62">
        <f>SUM(225*'Data Links'!$B$20)</f>
        <v>0</v>
      </c>
      <c r="K58" s="62">
        <f>SUM(225*'Data Links'!$B$20)</f>
        <v>0</v>
      </c>
      <c r="L58" s="62">
        <f>SUM(225*'Data Links'!$B$20)</f>
        <v>0</v>
      </c>
      <c r="M58" s="62">
        <f>SUM(225*'Data Links'!$B$20)</f>
        <v>0</v>
      </c>
      <c r="N58" s="62">
        <f>SUM(225*'Data Links'!$B$20)</f>
        <v>0</v>
      </c>
    </row>
    <row r="59" spans="1:15" x14ac:dyDescent="0.2">
      <c r="A59" s="61" t="str">
        <f>CMS!A59</f>
        <v>Recognition</v>
      </c>
      <c r="B59" s="63">
        <f>SUM(C59:N59)</f>
        <v>0</v>
      </c>
      <c r="C59" s="62"/>
      <c r="D59" s="62"/>
      <c r="E59" s="62"/>
      <c r="F59" s="62"/>
      <c r="G59" s="62"/>
      <c r="H59" s="62"/>
      <c r="I59" s="62"/>
      <c r="J59" s="62"/>
      <c r="K59" s="62"/>
      <c r="L59" s="62"/>
      <c r="M59" s="62"/>
      <c r="N59" s="62"/>
    </row>
    <row r="60" spans="1:15" x14ac:dyDescent="0.2">
      <c r="A60" s="61" t="str">
        <f>CMS!A60</f>
        <v>Communications</v>
      </c>
      <c r="B60" s="63">
        <f t="shared" ref="B60:B82" si="8">SUM(C60:N60)</f>
        <v>4200</v>
      </c>
      <c r="C60" s="62">
        <v>350</v>
      </c>
      <c r="D60" s="62">
        <v>350</v>
      </c>
      <c r="E60" s="62">
        <v>350</v>
      </c>
      <c r="F60" s="62">
        <v>350</v>
      </c>
      <c r="G60" s="62">
        <v>350</v>
      </c>
      <c r="H60" s="62">
        <v>350</v>
      </c>
      <c r="I60" s="62">
        <v>350</v>
      </c>
      <c r="J60" s="62">
        <v>350</v>
      </c>
      <c r="K60" s="62">
        <v>350</v>
      </c>
      <c r="L60" s="62">
        <v>350</v>
      </c>
      <c r="M60" s="62">
        <v>350</v>
      </c>
      <c r="N60" s="62">
        <v>350</v>
      </c>
    </row>
    <row r="61" spans="1:15" x14ac:dyDescent="0.2">
      <c r="A61" s="61" t="str">
        <f>CMS!A61</f>
        <v>Dues &amp; Subscriptions</v>
      </c>
      <c r="B61" s="63">
        <f t="shared" si="8"/>
        <v>0</v>
      </c>
      <c r="C61" s="62"/>
      <c r="D61" s="62"/>
      <c r="E61" s="62"/>
      <c r="F61" s="62"/>
      <c r="G61" s="62"/>
      <c r="H61" s="62"/>
      <c r="I61" s="62"/>
      <c r="J61" s="62"/>
      <c r="K61" s="62"/>
      <c r="L61" s="62"/>
      <c r="M61" s="62"/>
      <c r="N61" s="62"/>
    </row>
    <row r="62" spans="1:15" x14ac:dyDescent="0.2">
      <c r="A62" s="61" t="str">
        <f>CMS!A62</f>
        <v>Liability Insurance</v>
      </c>
      <c r="B62" s="63">
        <f t="shared" si="8"/>
        <v>2419.8316607560555</v>
      </c>
      <c r="C62" s="62">
        <f>SUM('Data Links'!$B$5/'All Employees'!$I$65)/12*C102</f>
        <v>201.65263839633795</v>
      </c>
      <c r="D62" s="62">
        <f>SUM('Data Links'!$B$5/'All Employees'!$I$65)/12*D102</f>
        <v>201.65263839633795</v>
      </c>
      <c r="E62" s="62">
        <f>SUM('Data Links'!$B$5/'All Employees'!$I$65)/12*E102</f>
        <v>201.65263839633795</v>
      </c>
      <c r="F62" s="62">
        <f>SUM('Data Links'!$B$5/'All Employees'!$I$65)/12*F102</f>
        <v>201.65263839633795</v>
      </c>
      <c r="G62" s="62">
        <f>SUM('Data Links'!$B$5/'All Employees'!$I$65)/12*G102</f>
        <v>201.65263839633795</v>
      </c>
      <c r="H62" s="62">
        <f>SUM('Data Links'!$B$5/'All Employees'!$I$65)/12*H102</f>
        <v>201.65263839633795</v>
      </c>
      <c r="I62" s="62">
        <f>SUM('Data Links'!$B$5/'All Employees'!$I$65)/12*I102</f>
        <v>201.65263839633795</v>
      </c>
      <c r="J62" s="62">
        <f>SUM('Data Links'!$B$5/'All Employees'!$I$65)/12*J102</f>
        <v>201.65263839633795</v>
      </c>
      <c r="K62" s="62">
        <f>SUM('Data Links'!$B$5/'All Employees'!$I$65)/12*K102</f>
        <v>201.65263839633795</v>
      </c>
      <c r="L62" s="62">
        <f>SUM('Data Links'!$B$5/'All Employees'!$I$65)/12*L102</f>
        <v>201.65263839633795</v>
      </c>
      <c r="M62" s="62">
        <f>SUM('Data Links'!$B$5/'All Employees'!$I$65)/12*M102</f>
        <v>201.65263839633795</v>
      </c>
      <c r="N62" s="62">
        <f>SUM('Data Links'!$B$5/'All Employees'!$I$65)/12*N102</f>
        <v>201.65263839633795</v>
      </c>
    </row>
    <row r="63" spans="1:15" x14ac:dyDescent="0.2">
      <c r="A63" s="61" t="str">
        <f>CMS!A63</f>
        <v>Professional Services</v>
      </c>
      <c r="B63" s="63">
        <f t="shared" si="8"/>
        <v>240</v>
      </c>
      <c r="C63" s="62">
        <v>20</v>
      </c>
      <c r="D63" s="62">
        <v>20</v>
      </c>
      <c r="E63" s="62">
        <v>20</v>
      </c>
      <c r="F63" s="62">
        <v>20</v>
      </c>
      <c r="G63" s="62">
        <v>20</v>
      </c>
      <c r="H63" s="62">
        <v>20</v>
      </c>
      <c r="I63" s="62">
        <v>20</v>
      </c>
      <c r="J63" s="62">
        <v>20</v>
      </c>
      <c r="K63" s="62">
        <v>20</v>
      </c>
      <c r="L63" s="62">
        <v>20</v>
      </c>
      <c r="M63" s="62">
        <v>20</v>
      </c>
      <c r="N63" s="62">
        <v>20</v>
      </c>
    </row>
    <row r="64" spans="1:15" x14ac:dyDescent="0.2">
      <c r="A64" s="61" t="str">
        <f>CMS!A64</f>
        <v>Legal Fees</v>
      </c>
      <c r="B64" s="63">
        <f t="shared" si="8"/>
        <v>0</v>
      </c>
      <c r="C64" s="62"/>
      <c r="D64" s="62"/>
      <c r="E64" s="62"/>
      <c r="F64" s="62"/>
      <c r="G64" s="62"/>
      <c r="H64" s="62"/>
      <c r="I64" s="62"/>
      <c r="J64" s="62"/>
      <c r="K64" s="62"/>
      <c r="L64" s="62"/>
      <c r="M64" s="62"/>
      <c r="N64" s="62"/>
    </row>
    <row r="65" spans="1:14" x14ac:dyDescent="0.2">
      <c r="A65" s="61" t="str">
        <f>CMS!A65</f>
        <v>Technical Services</v>
      </c>
      <c r="B65" s="63">
        <f t="shared" si="8"/>
        <v>0</v>
      </c>
      <c r="C65" s="62"/>
      <c r="D65" s="62"/>
      <c r="E65" s="62"/>
      <c r="F65" s="62"/>
      <c r="G65" s="62"/>
      <c r="H65" s="62"/>
      <c r="I65" s="62"/>
      <c r="J65" s="62"/>
      <c r="K65" s="62"/>
      <c r="L65" s="62"/>
      <c r="M65" s="62"/>
      <c r="N65" s="62"/>
    </row>
    <row r="66" spans="1:14" x14ac:dyDescent="0.2">
      <c r="A66" s="61" t="str">
        <f>CMS!A66</f>
        <v>Taxes/Licenses &amp; Permits</v>
      </c>
      <c r="B66" s="63">
        <f t="shared" si="8"/>
        <v>64</v>
      </c>
      <c r="C66" s="62"/>
      <c r="D66" s="62"/>
      <c r="E66" s="62"/>
      <c r="F66" s="62"/>
      <c r="G66" s="62"/>
      <c r="H66" s="62"/>
      <c r="I66" s="62">
        <v>64</v>
      </c>
      <c r="J66" s="62"/>
      <c r="K66" s="62"/>
      <c r="L66" s="62"/>
      <c r="M66" s="62"/>
      <c r="N66" s="62"/>
    </row>
    <row r="67" spans="1:14" x14ac:dyDescent="0.2">
      <c r="A67" s="61" t="str">
        <f>CMS!A67</f>
        <v>Small Tools &amp; Equip</v>
      </c>
      <c r="B67" s="63">
        <f t="shared" si="8"/>
        <v>1752</v>
      </c>
      <c r="C67" s="62">
        <v>146</v>
      </c>
      <c r="D67" s="62">
        <v>146</v>
      </c>
      <c r="E67" s="62">
        <v>146</v>
      </c>
      <c r="F67" s="62">
        <v>146</v>
      </c>
      <c r="G67" s="62">
        <v>146</v>
      </c>
      <c r="H67" s="62">
        <v>146</v>
      </c>
      <c r="I67" s="62">
        <v>146</v>
      </c>
      <c r="J67" s="62">
        <v>146</v>
      </c>
      <c r="K67" s="62">
        <v>146</v>
      </c>
      <c r="L67" s="62">
        <v>146</v>
      </c>
      <c r="M67" s="62">
        <v>146</v>
      </c>
      <c r="N67" s="62">
        <v>146</v>
      </c>
    </row>
    <row r="68" spans="1:14" x14ac:dyDescent="0.2">
      <c r="A68" s="61" t="str">
        <f>CMS!A68</f>
        <v>Office Supplies</v>
      </c>
      <c r="B68" s="63">
        <f t="shared" si="8"/>
        <v>3300</v>
      </c>
      <c r="C68" s="62">
        <v>275</v>
      </c>
      <c r="D68" s="62">
        <v>275</v>
      </c>
      <c r="E68" s="62">
        <v>275</v>
      </c>
      <c r="F68" s="62">
        <v>275</v>
      </c>
      <c r="G68" s="62">
        <v>275</v>
      </c>
      <c r="H68" s="62">
        <v>275</v>
      </c>
      <c r="I68" s="62">
        <v>275</v>
      </c>
      <c r="J68" s="62">
        <v>275</v>
      </c>
      <c r="K68" s="62">
        <v>275</v>
      </c>
      <c r="L68" s="62">
        <v>275</v>
      </c>
      <c r="M68" s="62">
        <v>275</v>
      </c>
      <c r="N68" s="62">
        <v>275</v>
      </c>
    </row>
    <row r="69" spans="1:14" x14ac:dyDescent="0.2">
      <c r="A69" s="61" t="str">
        <f>CMS!A69</f>
        <v>Program Supplies</v>
      </c>
      <c r="B69" s="63">
        <f t="shared" si="8"/>
        <v>120</v>
      </c>
      <c r="C69" s="62">
        <v>10</v>
      </c>
      <c r="D69" s="62">
        <v>10</v>
      </c>
      <c r="E69" s="62">
        <v>10</v>
      </c>
      <c r="F69" s="62">
        <v>10</v>
      </c>
      <c r="G69" s="62">
        <v>10</v>
      </c>
      <c r="H69" s="62">
        <v>10</v>
      </c>
      <c r="I69" s="62">
        <v>10</v>
      </c>
      <c r="J69" s="62">
        <v>10</v>
      </c>
      <c r="K69" s="62">
        <v>10</v>
      </c>
      <c r="L69" s="62">
        <v>10</v>
      </c>
      <c r="M69" s="62">
        <v>10</v>
      </c>
      <c r="N69" s="62">
        <v>10</v>
      </c>
    </row>
    <row r="70" spans="1:14" x14ac:dyDescent="0.2">
      <c r="A70" s="61" t="str">
        <f>CMS!A70</f>
        <v>Advertising</v>
      </c>
      <c r="B70" s="63">
        <f t="shared" si="8"/>
        <v>0</v>
      </c>
      <c r="C70" s="62"/>
      <c r="D70" s="62"/>
      <c r="E70" s="62"/>
      <c r="F70" s="62"/>
      <c r="G70" s="62"/>
      <c r="H70" s="62"/>
      <c r="I70" s="62"/>
      <c r="J70" s="62"/>
      <c r="K70" s="62"/>
      <c r="L70" s="62"/>
      <c r="M70" s="62"/>
      <c r="N70" s="62"/>
    </row>
    <row r="71" spans="1:14" x14ac:dyDescent="0.2">
      <c r="A71" s="61" t="str">
        <f>CMS!A71</f>
        <v>Repairs &amp; Maintenance</v>
      </c>
      <c r="B71" s="63">
        <f t="shared" si="8"/>
        <v>1380</v>
      </c>
      <c r="C71" s="62">
        <v>115</v>
      </c>
      <c r="D71" s="62">
        <v>115</v>
      </c>
      <c r="E71" s="62">
        <v>115</v>
      </c>
      <c r="F71" s="62">
        <v>115</v>
      </c>
      <c r="G71" s="62">
        <v>115</v>
      </c>
      <c r="H71" s="62">
        <v>115</v>
      </c>
      <c r="I71" s="62">
        <v>115</v>
      </c>
      <c r="J71" s="62">
        <v>115</v>
      </c>
      <c r="K71" s="62">
        <v>115</v>
      </c>
      <c r="L71" s="62">
        <v>115</v>
      </c>
      <c r="M71" s="62">
        <v>115</v>
      </c>
      <c r="N71" s="62">
        <v>115</v>
      </c>
    </row>
    <row r="72" spans="1:14" x14ac:dyDescent="0.2">
      <c r="A72" s="61" t="str">
        <f>CMS!A72</f>
        <v>Client Expense</v>
      </c>
      <c r="B72" s="63">
        <f t="shared" si="8"/>
        <v>10000</v>
      </c>
      <c r="C72" s="62">
        <f>SUM(10000/12)</f>
        <v>833.33333333333337</v>
      </c>
      <c r="D72" s="62">
        <f t="shared" ref="D72:N72" si="9">SUM(10000/12)</f>
        <v>833.33333333333337</v>
      </c>
      <c r="E72" s="62">
        <f t="shared" si="9"/>
        <v>833.33333333333337</v>
      </c>
      <c r="F72" s="62">
        <f t="shared" si="9"/>
        <v>833.33333333333337</v>
      </c>
      <c r="G72" s="62">
        <f t="shared" si="9"/>
        <v>833.33333333333337</v>
      </c>
      <c r="H72" s="62">
        <f t="shared" si="9"/>
        <v>833.33333333333337</v>
      </c>
      <c r="I72" s="62">
        <f t="shared" si="9"/>
        <v>833.33333333333337</v>
      </c>
      <c r="J72" s="62">
        <f t="shared" si="9"/>
        <v>833.33333333333337</v>
      </c>
      <c r="K72" s="62">
        <f t="shared" si="9"/>
        <v>833.33333333333337</v>
      </c>
      <c r="L72" s="62">
        <f t="shared" si="9"/>
        <v>833.33333333333337</v>
      </c>
      <c r="M72" s="62">
        <f t="shared" si="9"/>
        <v>833.33333333333337</v>
      </c>
      <c r="N72" s="62">
        <f t="shared" si="9"/>
        <v>833.33333333333337</v>
      </c>
    </row>
    <row r="73" spans="1:14" x14ac:dyDescent="0.2">
      <c r="A73" s="61" t="str">
        <f>CMS!A73</f>
        <v>Printing</v>
      </c>
      <c r="B73" s="63">
        <f t="shared" si="8"/>
        <v>0</v>
      </c>
      <c r="C73" s="62"/>
      <c r="D73" s="62"/>
      <c r="E73" s="62"/>
      <c r="F73" s="62"/>
      <c r="G73" s="62"/>
      <c r="H73" s="62"/>
      <c r="I73" s="62"/>
      <c r="J73" s="62"/>
      <c r="K73" s="62"/>
      <c r="L73" s="62"/>
      <c r="M73" s="62"/>
      <c r="N73" s="62"/>
    </row>
    <row r="74" spans="1:14" x14ac:dyDescent="0.2">
      <c r="A74" s="61" t="str">
        <f>CMS!A74</f>
        <v>Postage</v>
      </c>
      <c r="B74" s="63">
        <f t="shared" si="8"/>
        <v>180</v>
      </c>
      <c r="C74" s="62">
        <v>15</v>
      </c>
      <c r="D74" s="62">
        <v>15</v>
      </c>
      <c r="E74" s="62">
        <v>15</v>
      </c>
      <c r="F74" s="62">
        <v>15</v>
      </c>
      <c r="G74" s="62">
        <v>15</v>
      </c>
      <c r="H74" s="62">
        <v>15</v>
      </c>
      <c r="I74" s="62">
        <v>15</v>
      </c>
      <c r="J74" s="62">
        <v>15</v>
      </c>
      <c r="K74" s="62">
        <v>15</v>
      </c>
      <c r="L74" s="62">
        <v>15</v>
      </c>
      <c r="M74" s="62">
        <v>15</v>
      </c>
      <c r="N74" s="62">
        <v>15</v>
      </c>
    </row>
    <row r="75" spans="1:14" ht="15.75" customHeight="1" x14ac:dyDescent="0.2">
      <c r="A75" s="61" t="str">
        <f>CMS!A75</f>
        <v>Rent/Lease Expense</v>
      </c>
      <c r="B75" s="63">
        <f t="shared" si="8"/>
        <v>122000.00000000001</v>
      </c>
      <c r="C75" s="62">
        <f>122000/12</f>
        <v>10166.666666666666</v>
      </c>
      <c r="D75" s="62">
        <f t="shared" ref="D75:N75" si="10">122000/12</f>
        <v>10166.666666666666</v>
      </c>
      <c r="E75" s="62">
        <f t="shared" si="10"/>
        <v>10166.666666666666</v>
      </c>
      <c r="F75" s="62">
        <f t="shared" si="10"/>
        <v>10166.666666666666</v>
      </c>
      <c r="G75" s="62">
        <f t="shared" si="10"/>
        <v>10166.666666666666</v>
      </c>
      <c r="H75" s="62">
        <f t="shared" si="10"/>
        <v>10166.666666666666</v>
      </c>
      <c r="I75" s="62">
        <f t="shared" si="10"/>
        <v>10166.666666666666</v>
      </c>
      <c r="J75" s="62">
        <f t="shared" si="10"/>
        <v>10166.666666666666</v>
      </c>
      <c r="K75" s="62">
        <f t="shared" si="10"/>
        <v>10166.666666666666</v>
      </c>
      <c r="L75" s="62">
        <f t="shared" si="10"/>
        <v>10166.666666666666</v>
      </c>
      <c r="M75" s="62">
        <f t="shared" si="10"/>
        <v>10166.666666666666</v>
      </c>
      <c r="N75" s="62">
        <f t="shared" si="10"/>
        <v>10166.666666666666</v>
      </c>
    </row>
    <row r="76" spans="1:14" x14ac:dyDescent="0.2">
      <c r="A76" s="61" t="str">
        <f>CMS!A76</f>
        <v>Utilities</v>
      </c>
      <c r="B76" s="63">
        <f t="shared" si="8"/>
        <v>0</v>
      </c>
      <c r="C76" s="62"/>
      <c r="D76" s="62"/>
      <c r="E76" s="62"/>
      <c r="F76" s="62"/>
      <c r="G76" s="62"/>
      <c r="H76" s="62"/>
      <c r="I76" s="62"/>
      <c r="J76" s="62"/>
      <c r="K76" s="62"/>
      <c r="L76" s="62"/>
      <c r="M76" s="62"/>
      <c r="N76" s="62"/>
    </row>
    <row r="77" spans="1:14" x14ac:dyDescent="0.2">
      <c r="A77" s="61" t="str">
        <f>CMS!A77</f>
        <v>Bank Fees/Late Fees</v>
      </c>
      <c r="B77" s="63">
        <f t="shared" si="8"/>
        <v>0</v>
      </c>
      <c r="C77" s="62"/>
      <c r="D77" s="62"/>
      <c r="E77" s="62"/>
      <c r="F77" s="62"/>
      <c r="G77" s="62"/>
      <c r="H77" s="62"/>
      <c r="I77" s="62"/>
      <c r="J77" s="62"/>
      <c r="K77" s="62"/>
      <c r="L77" s="62"/>
      <c r="M77" s="62"/>
      <c r="N77" s="62"/>
    </row>
    <row r="78" spans="1:14" x14ac:dyDescent="0.2">
      <c r="A78" s="61" t="str">
        <f>CMS!A78</f>
        <v>Bad Debt Expense</v>
      </c>
      <c r="B78" s="63">
        <f t="shared" si="8"/>
        <v>0</v>
      </c>
      <c r="C78" s="62"/>
      <c r="D78" s="62"/>
      <c r="E78" s="62"/>
      <c r="F78" s="62"/>
      <c r="G78" s="62"/>
      <c r="H78" s="62"/>
      <c r="I78" s="62"/>
      <c r="J78" s="62"/>
      <c r="K78" s="62"/>
      <c r="L78" s="62"/>
      <c r="M78" s="62"/>
      <c r="N78" s="62"/>
    </row>
    <row r="79" spans="1:14" x14ac:dyDescent="0.2">
      <c r="A79" s="61" t="str">
        <f>CMS!A79</f>
        <v>Interest Expense</v>
      </c>
      <c r="B79" s="63">
        <f t="shared" si="8"/>
        <v>0</v>
      </c>
      <c r="C79" s="62"/>
      <c r="D79" s="62"/>
      <c r="E79" s="62"/>
      <c r="F79" s="62"/>
      <c r="G79" s="62"/>
      <c r="H79" s="62"/>
      <c r="I79" s="62"/>
      <c r="J79" s="62"/>
      <c r="K79" s="62"/>
      <c r="L79" s="62"/>
      <c r="M79" s="62"/>
      <c r="N79" s="62"/>
    </row>
    <row r="80" spans="1:14" x14ac:dyDescent="0.2">
      <c r="A80" s="61" t="str">
        <f>CMS!A80</f>
        <v>Meeting Expense</v>
      </c>
      <c r="B80" s="63">
        <f t="shared" si="8"/>
        <v>0</v>
      </c>
      <c r="C80" s="62"/>
      <c r="D80" s="62"/>
      <c r="E80" s="62"/>
      <c r="F80" s="62"/>
      <c r="G80" s="62"/>
      <c r="H80" s="62"/>
      <c r="I80" s="62"/>
      <c r="J80" s="62"/>
      <c r="K80" s="62"/>
      <c r="L80" s="62"/>
      <c r="M80" s="62"/>
      <c r="N80" s="62"/>
    </row>
    <row r="81" spans="1:14" x14ac:dyDescent="0.2">
      <c r="A81" s="61" t="s">
        <v>272</v>
      </c>
      <c r="B81" s="63">
        <f t="shared" si="8"/>
        <v>208.00000000000003</v>
      </c>
      <c r="C81" s="62">
        <f>SUM(C41)</f>
        <v>17.333333333333332</v>
      </c>
      <c r="D81" s="62">
        <f t="shared" ref="D81:N81" si="11">SUM(D41)</f>
        <v>17.333333333333332</v>
      </c>
      <c r="E81" s="62">
        <f t="shared" si="11"/>
        <v>17.333333333333332</v>
      </c>
      <c r="F81" s="62">
        <f t="shared" si="11"/>
        <v>17.333333333333332</v>
      </c>
      <c r="G81" s="62">
        <f t="shared" si="11"/>
        <v>17.333333333333332</v>
      </c>
      <c r="H81" s="62">
        <f t="shared" si="11"/>
        <v>17.333333333333332</v>
      </c>
      <c r="I81" s="62">
        <f t="shared" si="11"/>
        <v>17.333333333333332</v>
      </c>
      <c r="J81" s="62">
        <f t="shared" si="11"/>
        <v>17.333333333333332</v>
      </c>
      <c r="K81" s="62">
        <f t="shared" si="11"/>
        <v>17.333333333333332</v>
      </c>
      <c r="L81" s="62">
        <f t="shared" si="11"/>
        <v>17.333333333333332</v>
      </c>
      <c r="M81" s="62">
        <f t="shared" si="11"/>
        <v>17.333333333333332</v>
      </c>
      <c r="N81" s="62">
        <f t="shared" si="11"/>
        <v>17.333333333333332</v>
      </c>
    </row>
    <row r="82" spans="1:14" s="101" customFormat="1" ht="13.5" thickBot="1" x14ac:dyDescent="0.25">
      <c r="A82" s="61" t="str">
        <f>CMS!A82</f>
        <v>Misc Expense</v>
      </c>
      <c r="B82" s="63">
        <f t="shared" si="8"/>
        <v>0</v>
      </c>
      <c r="C82" s="62"/>
      <c r="D82" s="93"/>
      <c r="E82" s="93"/>
      <c r="F82" s="93"/>
      <c r="G82" s="93"/>
      <c r="H82" s="93"/>
      <c r="I82" s="93"/>
      <c r="J82" s="93"/>
      <c r="K82" s="93"/>
      <c r="L82" s="93"/>
      <c r="M82" s="93"/>
      <c r="N82" s="93"/>
    </row>
    <row r="83" spans="1:14" x14ac:dyDescent="0.2">
      <c r="A83" s="64" t="s">
        <v>24</v>
      </c>
      <c r="B83" s="65">
        <f>SUM(B57:B82)</f>
        <v>147783.83166075608</v>
      </c>
      <c r="C83" s="65">
        <f t="shared" ref="C83:N83" si="12">SUM(C57:C82)</f>
        <v>12309.985971729671</v>
      </c>
      <c r="D83" s="65">
        <f t="shared" si="12"/>
        <v>12309.985971729671</v>
      </c>
      <c r="E83" s="65">
        <f t="shared" si="12"/>
        <v>12309.985971729671</v>
      </c>
      <c r="F83" s="65">
        <f t="shared" si="12"/>
        <v>12309.985971729671</v>
      </c>
      <c r="G83" s="65">
        <f t="shared" si="12"/>
        <v>12309.985971729671</v>
      </c>
      <c r="H83" s="65">
        <f t="shared" si="12"/>
        <v>12309.985971729671</v>
      </c>
      <c r="I83" s="65">
        <f t="shared" si="12"/>
        <v>12373.985971729671</v>
      </c>
      <c r="J83" s="65">
        <f t="shared" si="12"/>
        <v>12309.985971729671</v>
      </c>
      <c r="K83" s="65">
        <f t="shared" si="12"/>
        <v>12309.985971729671</v>
      </c>
      <c r="L83" s="65">
        <f t="shared" si="12"/>
        <v>12309.985971729671</v>
      </c>
      <c r="M83" s="65">
        <f t="shared" si="12"/>
        <v>12309.985971729671</v>
      </c>
      <c r="N83" s="65">
        <f t="shared" si="12"/>
        <v>12309.985971729671</v>
      </c>
    </row>
    <row r="84" spans="1:14" x14ac:dyDescent="0.2">
      <c r="C84" s="60"/>
      <c r="D84" s="66"/>
      <c r="E84" s="66"/>
      <c r="F84" s="66"/>
      <c r="G84" s="66"/>
      <c r="H84" s="66"/>
      <c r="I84" s="66"/>
      <c r="J84" s="66"/>
      <c r="K84" s="66"/>
      <c r="L84" s="66"/>
      <c r="M84" s="66"/>
      <c r="N84" s="66"/>
    </row>
    <row r="85" spans="1:14" x14ac:dyDescent="0.2">
      <c r="A85" s="28"/>
      <c r="B85" s="86"/>
      <c r="C85" s="86"/>
      <c r="D85" s="86"/>
      <c r="E85" s="86"/>
      <c r="F85" s="86"/>
      <c r="G85" s="86"/>
      <c r="H85" s="86"/>
      <c r="I85" s="86"/>
      <c r="J85" s="86"/>
      <c r="K85" s="86"/>
      <c r="L85" s="86"/>
      <c r="M85" s="86"/>
      <c r="N85" s="86"/>
    </row>
    <row r="86" spans="1:14" x14ac:dyDescent="0.2">
      <c r="A86" s="58" t="s">
        <v>25</v>
      </c>
      <c r="C86" s="60"/>
      <c r="D86" s="66"/>
      <c r="E86" s="66"/>
      <c r="F86" s="66"/>
      <c r="G86" s="66"/>
      <c r="H86" s="66"/>
      <c r="I86" s="66"/>
      <c r="J86" s="66"/>
      <c r="K86" s="66"/>
      <c r="L86" s="66"/>
      <c r="M86" s="66"/>
      <c r="N86" s="66"/>
    </row>
    <row r="87" spans="1:14" x14ac:dyDescent="0.2">
      <c r="A87" s="61" t="s">
        <v>329</v>
      </c>
      <c r="B87" s="63">
        <f>SUM(C87:N87)</f>
        <v>-13246.991237097456</v>
      </c>
      <c r="C87" s="62">
        <f>SUM('CMS &amp; Fundraising Allocations'!B61)</f>
        <v>-1870.868095183944</v>
      </c>
      <c r="D87" s="62">
        <f>SUM('CMS &amp; Fundraising Allocations'!C61)</f>
        <v>-3225.1047592670898</v>
      </c>
      <c r="E87" s="62">
        <f>SUM('CMS &amp; Fundraising Allocations'!D61)</f>
        <v>-4832.096966258945</v>
      </c>
      <c r="F87" s="62">
        <f>SUM('CMS &amp; Fundraising Allocations'!E61)</f>
        <v>-3228.6348646149768</v>
      </c>
      <c r="G87" s="62">
        <f>SUM('CMS &amp; Fundraising Allocations'!F61)</f>
        <v>-3066.1617659784783</v>
      </c>
      <c r="H87" s="62">
        <f>SUM('CMS &amp; Fundraising Allocations'!G61)</f>
        <v>-3666.3679277529636</v>
      </c>
      <c r="I87" s="62">
        <f>SUM('CMS &amp; Fundraising Allocations'!H61)</f>
        <v>-842.28364944337216</v>
      </c>
      <c r="J87" s="62">
        <f>SUM('CMS &amp; Fundraising Allocations'!I61)</f>
        <v>-3092.7258087213277</v>
      </c>
      <c r="K87" s="62">
        <f>SUM('CMS &amp; Fundraising Allocations'!J61)</f>
        <v>-3164.5634525508281</v>
      </c>
      <c r="L87" s="62">
        <f>SUM('CMS &amp; Fundraising Allocations'!K61)</f>
        <v>-2791.7843278139621</v>
      </c>
      <c r="M87" s="62">
        <f>SUM('CMS &amp; Fundraising Allocations'!L61)</f>
        <v>2706.972519955903</v>
      </c>
      <c r="N87" s="62">
        <f>SUM('CMS &amp; Fundraising Allocations'!M61)</f>
        <v>13826.627860532528</v>
      </c>
    </row>
    <row r="88" spans="1:14" x14ac:dyDescent="0.2">
      <c r="A88" s="61" t="s">
        <v>330</v>
      </c>
      <c r="B88" s="63">
        <f>SUM(C88:N88)</f>
        <v>0</v>
      </c>
      <c r="C88" s="63"/>
      <c r="D88" s="62"/>
      <c r="E88" s="62"/>
      <c r="F88" s="62"/>
      <c r="G88" s="62"/>
      <c r="H88" s="62"/>
      <c r="I88" s="62"/>
      <c r="J88" s="62"/>
      <c r="K88" s="62"/>
      <c r="L88" s="62"/>
      <c r="M88" s="62"/>
      <c r="N88" s="62"/>
    </row>
    <row r="89" spans="1:14" ht="13.5" thickBot="1" x14ac:dyDescent="0.25">
      <c r="A89" s="61"/>
      <c r="B89" s="63">
        <f>SUM(C89:N89)</f>
        <v>0</v>
      </c>
      <c r="C89" s="63"/>
      <c r="D89" s="62"/>
      <c r="E89" s="62"/>
      <c r="F89" s="62"/>
      <c r="G89" s="62"/>
      <c r="H89" s="62"/>
      <c r="I89" s="62"/>
      <c r="J89" s="62"/>
      <c r="K89" s="62"/>
      <c r="L89" s="62"/>
      <c r="M89" s="62"/>
      <c r="N89" s="62"/>
    </row>
    <row r="90" spans="1:14" x14ac:dyDescent="0.2">
      <c r="A90" s="64" t="s">
        <v>26</v>
      </c>
      <c r="B90" s="65">
        <f t="shared" ref="B90:N90" si="13">SUM(B87:B89)</f>
        <v>-13246.991237097456</v>
      </c>
      <c r="C90" s="65">
        <f t="shared" si="13"/>
        <v>-1870.868095183944</v>
      </c>
      <c r="D90" s="65">
        <f t="shared" si="13"/>
        <v>-3225.1047592670898</v>
      </c>
      <c r="E90" s="65">
        <f t="shared" si="13"/>
        <v>-4832.096966258945</v>
      </c>
      <c r="F90" s="65">
        <f t="shared" si="13"/>
        <v>-3228.6348646149768</v>
      </c>
      <c r="G90" s="65">
        <f t="shared" si="13"/>
        <v>-3066.1617659784783</v>
      </c>
      <c r="H90" s="65">
        <f t="shared" si="13"/>
        <v>-3666.3679277529636</v>
      </c>
      <c r="I90" s="65">
        <f t="shared" si="13"/>
        <v>-842.28364944337216</v>
      </c>
      <c r="J90" s="65">
        <f t="shared" si="13"/>
        <v>-3092.7258087213277</v>
      </c>
      <c r="K90" s="65">
        <f t="shared" si="13"/>
        <v>-3164.5634525508281</v>
      </c>
      <c r="L90" s="65">
        <f t="shared" si="13"/>
        <v>-2791.7843278139621</v>
      </c>
      <c r="M90" s="65">
        <f t="shared" si="13"/>
        <v>2706.972519955903</v>
      </c>
      <c r="N90" s="65">
        <f t="shared" si="13"/>
        <v>13826.627860532528</v>
      </c>
    </row>
    <row r="91" spans="1:14" x14ac:dyDescent="0.2">
      <c r="C91" s="60"/>
      <c r="D91" s="66"/>
      <c r="E91" s="66"/>
      <c r="F91" s="66"/>
      <c r="G91" s="66"/>
      <c r="H91" s="66"/>
      <c r="I91" s="66"/>
      <c r="J91" s="66"/>
      <c r="K91" s="66"/>
      <c r="L91" s="66"/>
      <c r="M91" s="66"/>
      <c r="N91" s="66"/>
    </row>
    <row r="92" spans="1:14" x14ac:dyDescent="0.2">
      <c r="A92" s="265" t="s">
        <v>405</v>
      </c>
      <c r="B92" s="266"/>
      <c r="C92" s="266">
        <f>SUM(C46-C53-C83-C90)</f>
        <v>2746.7859543048462</v>
      </c>
      <c r="D92" s="266">
        <f t="shared" ref="D92:N92" si="14">SUM(D46-D53-D83-D90)</f>
        <v>4101.0226183879913</v>
      </c>
      <c r="E92" s="266">
        <f t="shared" si="14"/>
        <v>6458.014825379847</v>
      </c>
      <c r="F92" s="266">
        <f t="shared" si="14"/>
        <v>4104.5527237358783</v>
      </c>
      <c r="G92" s="266">
        <f t="shared" si="14"/>
        <v>3942.0796250993803</v>
      </c>
      <c r="H92" s="266">
        <f t="shared" si="14"/>
        <v>4542.2857868738656</v>
      </c>
      <c r="I92" s="266">
        <f t="shared" si="14"/>
        <v>1654.2015085642743</v>
      </c>
      <c r="J92" s="266">
        <f t="shared" si="14"/>
        <v>3968.6436678422297</v>
      </c>
      <c r="K92" s="266">
        <f t="shared" si="14"/>
        <v>4040.4813116717301</v>
      </c>
      <c r="L92" s="266">
        <f t="shared" si="14"/>
        <v>3667.7021869348641</v>
      </c>
      <c r="M92" s="266">
        <f t="shared" si="14"/>
        <v>-1831.054660835001</v>
      </c>
      <c r="N92" s="267">
        <f t="shared" si="14"/>
        <v>-12950.710001411626</v>
      </c>
    </row>
    <row r="93" spans="1:14" x14ac:dyDescent="0.2">
      <c r="C93" s="60"/>
      <c r="D93" s="66"/>
      <c r="E93" s="66"/>
      <c r="F93" s="66"/>
      <c r="G93" s="66"/>
      <c r="H93" s="66"/>
      <c r="I93" s="66"/>
      <c r="J93" s="66"/>
      <c r="K93" s="66"/>
      <c r="L93" s="66"/>
      <c r="M93" s="66"/>
      <c r="N93" s="66"/>
    </row>
    <row r="94" spans="1:14" x14ac:dyDescent="0.2">
      <c r="B94" s="86" t="str">
        <f>B5</f>
        <v>Total</v>
      </c>
      <c r="C94" s="86"/>
      <c r="D94" s="66"/>
      <c r="E94" s="66"/>
      <c r="F94" s="66"/>
      <c r="G94" s="66"/>
      <c r="H94" s="66"/>
      <c r="I94" s="66"/>
      <c r="J94" s="66"/>
      <c r="K94" s="66"/>
      <c r="L94" s="66"/>
      <c r="M94" s="66"/>
      <c r="N94" s="66"/>
    </row>
    <row r="95" spans="1:14" x14ac:dyDescent="0.2">
      <c r="A95" s="58" t="s">
        <v>31</v>
      </c>
      <c r="B95" s="60">
        <f>SUM(B46)</f>
        <v>322138</v>
      </c>
      <c r="C95" s="81"/>
      <c r="D95" s="66"/>
      <c r="E95" s="66"/>
      <c r="F95" s="66"/>
      <c r="G95" s="66"/>
      <c r="H95" s="66"/>
      <c r="I95" s="66"/>
      <c r="J95" s="66"/>
      <c r="K95" s="66"/>
      <c r="L95" s="66"/>
      <c r="M95" s="66"/>
      <c r="N95" s="66"/>
    </row>
    <row r="96" spans="1:14" x14ac:dyDescent="0.2">
      <c r="A96" s="58" t="s">
        <v>32</v>
      </c>
      <c r="B96" s="60">
        <f>-B53</f>
        <v>-163157.15402979311</v>
      </c>
      <c r="C96" s="81"/>
      <c r="D96" s="66"/>
      <c r="E96" s="66"/>
      <c r="F96" s="66"/>
      <c r="G96" s="66"/>
      <c r="H96" s="66"/>
      <c r="I96" s="66"/>
      <c r="J96" s="66"/>
      <c r="K96" s="66"/>
      <c r="L96" s="66"/>
      <c r="M96" s="66"/>
      <c r="N96" s="66"/>
    </row>
    <row r="97" spans="1:15" x14ac:dyDescent="0.2">
      <c r="A97" s="58" t="s">
        <v>33</v>
      </c>
      <c r="B97" s="60">
        <f>SUM(-B83)</f>
        <v>-147783.83166075608</v>
      </c>
      <c r="C97" s="81"/>
      <c r="D97" s="66"/>
      <c r="E97" s="66"/>
      <c r="F97" s="66"/>
      <c r="G97" s="66"/>
      <c r="H97" s="66"/>
      <c r="I97" s="66"/>
      <c r="J97" s="66"/>
      <c r="K97" s="66"/>
      <c r="L97" s="66"/>
      <c r="M97" s="66"/>
      <c r="N97" s="66"/>
    </row>
    <row r="98" spans="1:15" x14ac:dyDescent="0.2">
      <c r="A98" s="58" t="s">
        <v>182</v>
      </c>
      <c r="B98" s="60">
        <f>SUM(B90)</f>
        <v>-13246.991237097456</v>
      </c>
      <c r="C98" s="81"/>
      <c r="D98" s="66"/>
      <c r="E98" s="66"/>
      <c r="F98" s="66"/>
      <c r="G98" s="66"/>
      <c r="H98" s="66"/>
      <c r="I98" s="66"/>
      <c r="J98" s="66"/>
      <c r="K98" s="66"/>
      <c r="L98" s="66"/>
      <c r="M98" s="66"/>
      <c r="N98" s="66"/>
    </row>
    <row r="99" spans="1:15" x14ac:dyDescent="0.2">
      <c r="A99" s="87" t="s">
        <v>35</v>
      </c>
      <c r="B99" s="88">
        <f>SUM(B95:B98)</f>
        <v>-2049.9769276466468</v>
      </c>
      <c r="C99" s="81"/>
      <c r="D99" s="66"/>
      <c r="E99" s="73"/>
      <c r="F99" s="66"/>
      <c r="G99" s="81"/>
      <c r="H99" s="81"/>
      <c r="I99" s="66"/>
      <c r="J99" s="66"/>
      <c r="K99" s="66"/>
      <c r="L99" s="66"/>
      <c r="M99" s="66"/>
      <c r="N99" s="66"/>
    </row>
    <row r="100" spans="1:15" x14ac:dyDescent="0.2">
      <c r="C100" s="81"/>
      <c r="D100" s="66"/>
      <c r="E100" s="66"/>
      <c r="F100" s="66"/>
      <c r="G100" s="66"/>
      <c r="H100" s="66"/>
      <c r="I100" s="66"/>
      <c r="J100" s="66"/>
      <c r="K100" s="66"/>
      <c r="L100" s="66"/>
      <c r="M100" s="66"/>
      <c r="N100" s="66"/>
    </row>
    <row r="101" spans="1:15" x14ac:dyDescent="0.2">
      <c r="C101" s="60"/>
      <c r="D101" s="66"/>
      <c r="E101" s="66"/>
      <c r="F101" s="66"/>
      <c r="G101" s="66"/>
      <c r="H101" s="66"/>
      <c r="I101" s="66"/>
      <c r="J101" s="66"/>
      <c r="K101" s="66"/>
      <c r="L101" s="66"/>
      <c r="M101" s="66"/>
      <c r="N101" s="66"/>
    </row>
    <row r="102" spans="1:15" x14ac:dyDescent="0.2">
      <c r="A102" s="58"/>
      <c r="B102" s="60" t="s">
        <v>183</v>
      </c>
      <c r="C102" s="75">
        <f>SUM(C108+C121+C134+C147+C160+C173+C186+C199+C212)</f>
        <v>3.2262068965517243</v>
      </c>
      <c r="D102" s="75">
        <f t="shared" ref="D102:N102" si="15">SUM(D108+D121+D134+D147+D160+D173+D186+D199+D212)</f>
        <v>3.2262068965517243</v>
      </c>
      <c r="E102" s="75">
        <f t="shared" si="15"/>
        <v>3.2262068965517243</v>
      </c>
      <c r="F102" s="75">
        <f t="shared" si="15"/>
        <v>3.2262068965517243</v>
      </c>
      <c r="G102" s="75">
        <f t="shared" si="15"/>
        <v>3.2262068965517243</v>
      </c>
      <c r="H102" s="75">
        <f t="shared" si="15"/>
        <v>3.2262068965517243</v>
      </c>
      <c r="I102" s="75">
        <f t="shared" si="15"/>
        <v>3.2262068965517243</v>
      </c>
      <c r="J102" s="75">
        <f t="shared" si="15"/>
        <v>3.2262068965517243</v>
      </c>
      <c r="K102" s="75">
        <f t="shared" si="15"/>
        <v>3.2262068965517243</v>
      </c>
      <c r="L102" s="75">
        <f t="shared" si="15"/>
        <v>3.2262068965517243</v>
      </c>
      <c r="M102" s="75">
        <f t="shared" si="15"/>
        <v>3.2262068965517243</v>
      </c>
      <c r="N102" s="75">
        <f t="shared" si="15"/>
        <v>3.2262068965517243</v>
      </c>
    </row>
    <row r="103" spans="1:15" x14ac:dyDescent="0.2">
      <c r="A103" s="58"/>
      <c r="C103" s="73"/>
      <c r="D103" s="66"/>
      <c r="E103" s="66"/>
      <c r="F103" s="66"/>
      <c r="G103" s="66"/>
      <c r="H103" s="66"/>
      <c r="I103" s="66"/>
      <c r="J103" s="66"/>
      <c r="K103" s="66"/>
      <c r="L103" s="66"/>
      <c r="M103" s="66"/>
    </row>
    <row r="104" spans="1:15" x14ac:dyDescent="0.2">
      <c r="A104" s="116" t="s">
        <v>184</v>
      </c>
      <c r="B104" s="92"/>
      <c r="C104" s="25"/>
      <c r="D104" s="91"/>
      <c r="E104" s="91"/>
      <c r="F104" s="91"/>
      <c r="G104" s="91"/>
      <c r="H104" s="91"/>
      <c r="I104" s="91"/>
      <c r="J104" s="91"/>
      <c r="K104" s="91"/>
      <c r="L104" s="91"/>
      <c r="M104" s="91"/>
      <c r="N104" s="27"/>
    </row>
    <row r="105" spans="1:15" x14ac:dyDescent="0.2">
      <c r="C105" s="89" t="str">
        <f t="shared" ref="C105:N105" si="16">C5</f>
        <v>January</v>
      </c>
      <c r="D105" s="89" t="str">
        <f t="shared" si="16"/>
        <v>February</v>
      </c>
      <c r="E105" s="89" t="str">
        <f t="shared" si="16"/>
        <v>March</v>
      </c>
      <c r="F105" s="89" t="str">
        <f t="shared" si="16"/>
        <v>April</v>
      </c>
      <c r="G105" s="89" t="str">
        <f t="shared" si="16"/>
        <v>May</v>
      </c>
      <c r="H105" s="89" t="str">
        <f t="shared" si="16"/>
        <v>June</v>
      </c>
      <c r="I105" s="89" t="str">
        <f t="shared" si="16"/>
        <v>July</v>
      </c>
      <c r="J105" s="89" t="str">
        <f t="shared" si="16"/>
        <v>August</v>
      </c>
      <c r="K105" s="89" t="str">
        <f t="shared" si="16"/>
        <v>September</v>
      </c>
      <c r="L105" s="89" t="str">
        <f t="shared" si="16"/>
        <v>October</v>
      </c>
      <c r="M105" s="89" t="str">
        <f t="shared" si="16"/>
        <v>November</v>
      </c>
      <c r="N105" s="89" t="str">
        <f t="shared" si="16"/>
        <v>December</v>
      </c>
    </row>
    <row r="106" spans="1:15" x14ac:dyDescent="0.2">
      <c r="C106" s="72">
        <v>30</v>
      </c>
      <c r="D106" s="72">
        <v>31</v>
      </c>
      <c r="E106" s="72">
        <v>30</v>
      </c>
      <c r="F106" s="72">
        <v>31</v>
      </c>
      <c r="G106" s="72">
        <v>31</v>
      </c>
      <c r="H106" s="72">
        <v>30</v>
      </c>
      <c r="I106" s="72">
        <v>31</v>
      </c>
      <c r="J106" s="72">
        <v>30</v>
      </c>
      <c r="K106" s="72">
        <v>31</v>
      </c>
      <c r="L106" s="72">
        <v>31</v>
      </c>
      <c r="M106" s="72">
        <v>28</v>
      </c>
      <c r="N106" s="71">
        <v>31</v>
      </c>
    </row>
    <row r="107" spans="1:15" x14ac:dyDescent="0.2">
      <c r="B107" s="89" t="s">
        <v>185</v>
      </c>
      <c r="C107" s="78">
        <f>C94</f>
        <v>0</v>
      </c>
      <c r="D107" s="53">
        <v>1</v>
      </c>
      <c r="E107" s="53"/>
      <c r="F107" s="53">
        <v>1</v>
      </c>
      <c r="G107" s="53"/>
      <c r="H107" s="53">
        <v>1</v>
      </c>
      <c r="I107" s="53">
        <v>1</v>
      </c>
      <c r="J107" s="53">
        <v>1</v>
      </c>
      <c r="K107" s="53">
        <v>1</v>
      </c>
      <c r="L107" s="53">
        <v>2</v>
      </c>
      <c r="M107" s="53">
        <v>1</v>
      </c>
      <c r="N107" s="59"/>
    </row>
    <row r="108" spans="1:15" x14ac:dyDescent="0.2">
      <c r="B108" s="89" t="s">
        <v>44</v>
      </c>
      <c r="C108" s="49">
        <f>SUM('Program Support Allocations'!$C$38)</f>
        <v>2.8735632183908046E-2</v>
      </c>
      <c r="D108" s="49">
        <f>SUM('Program Support Allocations'!$C$38)</f>
        <v>2.8735632183908046E-2</v>
      </c>
      <c r="E108" s="49">
        <f>SUM('Program Support Allocations'!$C$38)</f>
        <v>2.8735632183908046E-2</v>
      </c>
      <c r="F108" s="49">
        <f>SUM('Program Support Allocations'!$C$38)</f>
        <v>2.8735632183908046E-2</v>
      </c>
      <c r="G108" s="49">
        <f>SUM('Program Support Allocations'!$C$38)</f>
        <v>2.8735632183908046E-2</v>
      </c>
      <c r="H108" s="49">
        <f>SUM('Program Support Allocations'!$C$38)</f>
        <v>2.8735632183908046E-2</v>
      </c>
      <c r="I108" s="49">
        <f>SUM('Program Support Allocations'!$C$38)</f>
        <v>2.8735632183908046E-2</v>
      </c>
      <c r="J108" s="49">
        <f>SUM('Program Support Allocations'!$C$38)</f>
        <v>2.8735632183908046E-2</v>
      </c>
      <c r="K108" s="49">
        <f>SUM('Program Support Allocations'!$C$38)</f>
        <v>2.8735632183908046E-2</v>
      </c>
      <c r="L108" s="49">
        <f>SUM('Program Support Allocations'!$C$38)</f>
        <v>2.8735632183908046E-2</v>
      </c>
      <c r="M108" s="49">
        <f>SUM('Program Support Allocations'!$C$38)</f>
        <v>2.8735632183908046E-2</v>
      </c>
      <c r="N108" s="49">
        <f>SUM('Program Support Allocations'!$C$38)</f>
        <v>2.8735632183908046E-2</v>
      </c>
    </row>
    <row r="109" spans="1:15" x14ac:dyDescent="0.2">
      <c r="B109" s="89" t="s">
        <v>186</v>
      </c>
      <c r="C109" s="53">
        <f>SUM(174*C108)</f>
        <v>5</v>
      </c>
      <c r="D109" s="53">
        <f t="shared" ref="D109:N109" si="17">SUM(174*D108)</f>
        <v>5</v>
      </c>
      <c r="E109" s="53">
        <f t="shared" si="17"/>
        <v>5</v>
      </c>
      <c r="F109" s="53">
        <f t="shared" si="17"/>
        <v>5</v>
      </c>
      <c r="G109" s="53">
        <f t="shared" si="17"/>
        <v>5</v>
      </c>
      <c r="H109" s="53">
        <f t="shared" si="17"/>
        <v>5</v>
      </c>
      <c r="I109" s="53">
        <f t="shared" si="17"/>
        <v>5</v>
      </c>
      <c r="J109" s="53">
        <f t="shared" si="17"/>
        <v>5</v>
      </c>
      <c r="K109" s="53">
        <f t="shared" si="17"/>
        <v>5</v>
      </c>
      <c r="L109" s="53">
        <f t="shared" si="17"/>
        <v>5</v>
      </c>
      <c r="M109" s="53">
        <f t="shared" si="17"/>
        <v>5</v>
      </c>
      <c r="N109" s="53">
        <f t="shared" si="17"/>
        <v>5</v>
      </c>
    </row>
    <row r="110" spans="1:15" x14ac:dyDescent="0.2">
      <c r="A110" s="59" t="s">
        <v>623</v>
      </c>
      <c r="B110" s="78" t="s">
        <v>187</v>
      </c>
      <c r="C110" s="66">
        <f>SUM(C109*$B$111)</f>
        <v>142.65</v>
      </c>
      <c r="D110" s="66">
        <f t="shared" ref="D110:N110" si="18">SUM(D109*$B$111)</f>
        <v>142.65</v>
      </c>
      <c r="E110" s="66">
        <f t="shared" si="18"/>
        <v>142.65</v>
      </c>
      <c r="F110" s="66">
        <f t="shared" si="18"/>
        <v>142.65</v>
      </c>
      <c r="G110" s="66">
        <f t="shared" si="18"/>
        <v>142.65</v>
      </c>
      <c r="H110" s="66">
        <f t="shared" si="18"/>
        <v>142.65</v>
      </c>
      <c r="I110" s="66">
        <f t="shared" si="18"/>
        <v>142.65</v>
      </c>
      <c r="J110" s="66">
        <f t="shared" si="18"/>
        <v>142.65</v>
      </c>
      <c r="K110" s="66">
        <f t="shared" si="18"/>
        <v>142.65</v>
      </c>
      <c r="L110" s="66">
        <f t="shared" si="18"/>
        <v>142.65</v>
      </c>
      <c r="M110" s="66">
        <f t="shared" si="18"/>
        <v>142.65</v>
      </c>
      <c r="N110" s="66">
        <f t="shared" si="18"/>
        <v>142.65</v>
      </c>
      <c r="O110" s="140">
        <f>SUM(C110:N110)</f>
        <v>1711.8000000000004</v>
      </c>
    </row>
    <row r="111" spans="1:15" x14ac:dyDescent="0.2">
      <c r="A111" s="59" t="s">
        <v>188</v>
      </c>
      <c r="B111" s="74">
        <v>28.53</v>
      </c>
      <c r="C111" s="66">
        <f>SUM(C110)*'Data Links'!$B$15</f>
        <v>10.912725</v>
      </c>
      <c r="D111" s="66">
        <f>SUM(D110)*'Data Links'!$B$15</f>
        <v>10.912725</v>
      </c>
      <c r="E111" s="66">
        <f>SUM(E110)*'Data Links'!$B$15</f>
        <v>10.912725</v>
      </c>
      <c r="F111" s="66">
        <f>SUM(F110)*'Data Links'!$B$15</f>
        <v>10.912725</v>
      </c>
      <c r="G111" s="66">
        <f>SUM(G110)*'Data Links'!$B$15</f>
        <v>10.912725</v>
      </c>
      <c r="H111" s="66">
        <f>SUM(H110)*'Data Links'!$B$15</f>
        <v>10.912725</v>
      </c>
      <c r="I111" s="66">
        <f>SUM(I110)*'Data Links'!$B$15</f>
        <v>10.912725</v>
      </c>
      <c r="J111" s="66">
        <f>SUM(J110)*'Data Links'!$B$15</f>
        <v>10.912725</v>
      </c>
      <c r="K111" s="66">
        <f>SUM(K110)*'Data Links'!$B$15</f>
        <v>10.912725</v>
      </c>
      <c r="L111" s="66">
        <f>SUM(L110)*'Data Links'!$B$15</f>
        <v>10.912725</v>
      </c>
      <c r="M111" s="66">
        <f>SUM(M110)*'Data Links'!$B$15</f>
        <v>10.912725</v>
      </c>
      <c r="N111" s="66">
        <f>SUM(N110)*'Data Links'!$B$15</f>
        <v>10.912725</v>
      </c>
    </row>
    <row r="112" spans="1:15" x14ac:dyDescent="0.2">
      <c r="A112" s="59" t="s">
        <v>189</v>
      </c>
      <c r="C112" s="66">
        <f>SUM(C110*'Data Links'!$B$13)</f>
        <v>0.85590000000000011</v>
      </c>
      <c r="D112" s="66">
        <f>SUM(D110*'Data Links'!$B$13)</f>
        <v>0.85590000000000011</v>
      </c>
      <c r="E112" s="66">
        <f>SUM(E110*'Data Links'!$B$13)</f>
        <v>0.85590000000000011</v>
      </c>
      <c r="F112" s="66">
        <f>SUM(F110*'Data Links'!$B$13)</f>
        <v>0.85590000000000011</v>
      </c>
      <c r="G112" s="66">
        <f>SUM(G110*'Data Links'!$B$13)</f>
        <v>0.85590000000000011</v>
      </c>
      <c r="H112" s="66">
        <f>SUM(H110*'Data Links'!$B$13)</f>
        <v>0.85590000000000011</v>
      </c>
      <c r="I112" s="66">
        <f>SUM(I110*'Data Links'!$B$13)</f>
        <v>0.85590000000000011</v>
      </c>
      <c r="J112" s="66">
        <f>SUM(J110*'Data Links'!$B$13)</f>
        <v>0.85590000000000011</v>
      </c>
      <c r="K112" s="66">
        <f>SUM(K110*'Data Links'!$B$13)</f>
        <v>0.85590000000000011</v>
      </c>
      <c r="L112" s="66">
        <f>SUM(L110*'Data Links'!$B$13)</f>
        <v>0.85590000000000011</v>
      </c>
      <c r="M112" s="66">
        <f>SUM(M110*'Data Links'!$B$13)</f>
        <v>0.85590000000000011</v>
      </c>
      <c r="N112" s="66">
        <f>SUM(N110*'Data Links'!$B$13)</f>
        <v>0.85590000000000011</v>
      </c>
    </row>
    <row r="113" spans="1:15" x14ac:dyDescent="0.2">
      <c r="A113" s="59" t="s">
        <v>190</v>
      </c>
      <c r="C113" s="66">
        <f>SUM(C109*'Data Links'!$B$8)</f>
        <v>0.38924999999999998</v>
      </c>
      <c r="D113" s="66">
        <f>SUM(D109*'Data Links'!$B$8)</f>
        <v>0.38924999999999998</v>
      </c>
      <c r="E113" s="66">
        <f>SUM(E109*'Data Links'!$B$8)</f>
        <v>0.38924999999999998</v>
      </c>
      <c r="F113" s="66">
        <f>SUM(F109*'Data Links'!$B$8)</f>
        <v>0.38924999999999998</v>
      </c>
      <c r="G113" s="66">
        <f>SUM(G109*'Data Links'!$B$8)</f>
        <v>0.38924999999999998</v>
      </c>
      <c r="H113" s="66">
        <f>SUM(H109*'Data Links'!$B$8)</f>
        <v>0.38924999999999998</v>
      </c>
      <c r="I113" s="66">
        <f>SUM(I109*'Data Links'!$B$8)</f>
        <v>0.38924999999999998</v>
      </c>
      <c r="J113" s="66">
        <f>SUM(J109*'Data Links'!$B$8)</f>
        <v>0.38924999999999998</v>
      </c>
      <c r="K113" s="66">
        <f>SUM(K109*'Data Links'!$B$8)</f>
        <v>0.38924999999999998</v>
      </c>
      <c r="L113" s="66">
        <f>SUM(L109*'Data Links'!$B$8)</f>
        <v>0.38924999999999998</v>
      </c>
      <c r="M113" s="66">
        <f>SUM(M109*'Data Links'!$B$8)</f>
        <v>0.38924999999999998</v>
      </c>
      <c r="N113" s="66">
        <f>SUM(N109*'Data Links'!$B$8)</f>
        <v>0.38924999999999998</v>
      </c>
    </row>
    <row r="114" spans="1:15" x14ac:dyDescent="0.2">
      <c r="A114" s="59" t="s">
        <v>191</v>
      </c>
      <c r="C114" s="66">
        <f>SUM('All Employees'!$P$51)*'SK - TL'!C108</f>
        <v>12.241379310344827</v>
      </c>
      <c r="D114" s="66">
        <f>SUM('All Employees'!$P$51)*'SK - TL'!D108</f>
        <v>12.241379310344827</v>
      </c>
      <c r="E114" s="66">
        <f>SUM('All Employees'!$P$51)*'SK - TL'!E108</f>
        <v>12.241379310344827</v>
      </c>
      <c r="F114" s="66">
        <f>SUM('All Employees'!$P$51)*'SK - TL'!F108</f>
        <v>12.241379310344827</v>
      </c>
      <c r="G114" s="66">
        <f>SUM('All Employees'!$P$51)*'SK - TL'!G108</f>
        <v>12.241379310344827</v>
      </c>
      <c r="H114" s="66">
        <f>SUM('All Employees'!$P$51)*'SK - TL'!H108</f>
        <v>12.241379310344827</v>
      </c>
      <c r="I114" s="66">
        <f>SUM('All Employees'!$P$51)*'SK - TL'!I108</f>
        <v>12.241379310344827</v>
      </c>
      <c r="J114" s="66">
        <f>SUM('All Employees'!$P$51)*'SK - TL'!J108</f>
        <v>12.241379310344827</v>
      </c>
      <c r="K114" s="66">
        <f>SUM('All Employees'!$P$51)*'SK - TL'!K108</f>
        <v>12.241379310344827</v>
      </c>
      <c r="L114" s="66">
        <f>SUM('All Employees'!$P$51)*'SK - TL'!L108</f>
        <v>12.241379310344827</v>
      </c>
      <c r="M114" s="66">
        <f>SUM('All Employees'!$P$51)*'SK - TL'!M108</f>
        <v>12.241379310344827</v>
      </c>
      <c r="N114" s="66">
        <f>SUM('All Employees'!$P$51)*'SK - TL'!N108</f>
        <v>12.241379310344827</v>
      </c>
    </row>
    <row r="115" spans="1:15" x14ac:dyDescent="0.2">
      <c r="A115" s="59" t="s">
        <v>192</v>
      </c>
      <c r="C115" s="66">
        <f>SUM(C110*'Data Links'!$B$17)</f>
        <v>4.2794999999999996</v>
      </c>
      <c r="D115" s="66">
        <f>SUM(D110*'Data Links'!$B$17)</f>
        <v>4.2794999999999996</v>
      </c>
      <c r="E115" s="66">
        <f>SUM(E110*'Data Links'!$B$17)</f>
        <v>4.2794999999999996</v>
      </c>
      <c r="F115" s="66">
        <f>SUM(F110*'Data Links'!$B$17)</f>
        <v>4.2794999999999996</v>
      </c>
      <c r="G115" s="66">
        <f>SUM(G110*'Data Links'!$B$17)</f>
        <v>4.2794999999999996</v>
      </c>
      <c r="H115" s="66">
        <f>SUM(H110*'Data Links'!$B$17)</f>
        <v>4.2794999999999996</v>
      </c>
      <c r="I115" s="66">
        <f>SUM(I110*'Data Links'!$B$17)</f>
        <v>4.2794999999999996</v>
      </c>
      <c r="J115" s="66">
        <f>SUM(J110*'Data Links'!$B$17)</f>
        <v>4.2794999999999996</v>
      </c>
      <c r="K115" s="66">
        <f>SUM(K110*'Data Links'!$B$17)</f>
        <v>4.2794999999999996</v>
      </c>
      <c r="L115" s="66">
        <f>SUM(L110*'Data Links'!$B$17)</f>
        <v>4.2794999999999996</v>
      </c>
      <c r="M115" s="66">
        <f>SUM(M110*'Data Links'!$B$17)</f>
        <v>4.2794999999999996</v>
      </c>
      <c r="N115" s="66">
        <f>SUM(N110*'Data Links'!$B$17)</f>
        <v>4.2794999999999996</v>
      </c>
      <c r="O115" s="140">
        <f>SUM(C111:N115)</f>
        <v>344.14505172413766</v>
      </c>
    </row>
    <row r="116" spans="1:15" s="58" customFormat="1" x14ac:dyDescent="0.2">
      <c r="A116" s="58" t="s">
        <v>144</v>
      </c>
      <c r="B116" s="60"/>
      <c r="C116" s="60">
        <f t="shared" ref="C116:N116" si="19">SUM(C110:C115)</f>
        <v>171.32875431034483</v>
      </c>
      <c r="D116" s="60">
        <f t="shared" si="19"/>
        <v>171.32875431034483</v>
      </c>
      <c r="E116" s="60">
        <f t="shared" si="19"/>
        <v>171.32875431034483</v>
      </c>
      <c r="F116" s="60">
        <f t="shared" si="19"/>
        <v>171.32875431034483</v>
      </c>
      <c r="G116" s="60">
        <f t="shared" si="19"/>
        <v>171.32875431034483</v>
      </c>
      <c r="H116" s="60">
        <f t="shared" si="19"/>
        <v>171.32875431034483</v>
      </c>
      <c r="I116" s="60">
        <f t="shared" si="19"/>
        <v>171.32875431034483</v>
      </c>
      <c r="J116" s="60">
        <f t="shared" si="19"/>
        <v>171.32875431034483</v>
      </c>
      <c r="K116" s="60">
        <f t="shared" si="19"/>
        <v>171.32875431034483</v>
      </c>
      <c r="L116" s="60">
        <f t="shared" si="19"/>
        <v>171.32875431034483</v>
      </c>
      <c r="M116" s="60">
        <f t="shared" si="19"/>
        <v>171.32875431034483</v>
      </c>
      <c r="N116" s="60">
        <f t="shared" si="19"/>
        <v>171.32875431034483</v>
      </c>
    </row>
    <row r="117" spans="1:15" x14ac:dyDescent="0.2">
      <c r="C117" s="60"/>
      <c r="D117" s="66"/>
      <c r="E117" s="66"/>
      <c r="F117" s="66"/>
      <c r="G117" s="66"/>
      <c r="H117" s="66"/>
      <c r="I117" s="66"/>
      <c r="J117" s="66"/>
      <c r="K117" s="66"/>
      <c r="L117" s="66"/>
      <c r="M117" s="66"/>
      <c r="N117" s="66"/>
    </row>
    <row r="118" spans="1:15" hidden="1" x14ac:dyDescent="0.2">
      <c r="C118" s="89" t="str">
        <f>C105</f>
        <v>January</v>
      </c>
      <c r="D118" s="89" t="str">
        <f t="shared" ref="D118:N120" si="20">D105</f>
        <v>February</v>
      </c>
      <c r="E118" s="89" t="str">
        <f t="shared" si="20"/>
        <v>March</v>
      </c>
      <c r="F118" s="89" t="str">
        <f t="shared" si="20"/>
        <v>April</v>
      </c>
      <c r="G118" s="89" t="str">
        <f t="shared" si="20"/>
        <v>May</v>
      </c>
      <c r="H118" s="89" t="str">
        <f t="shared" si="20"/>
        <v>June</v>
      </c>
      <c r="I118" s="89" t="str">
        <f t="shared" si="20"/>
        <v>July</v>
      </c>
      <c r="J118" s="89" t="str">
        <f t="shared" si="20"/>
        <v>August</v>
      </c>
      <c r="K118" s="89" t="str">
        <f t="shared" si="20"/>
        <v>September</v>
      </c>
      <c r="L118" s="89" t="str">
        <f t="shared" si="20"/>
        <v>October</v>
      </c>
      <c r="M118" s="89" t="str">
        <f t="shared" si="20"/>
        <v>November</v>
      </c>
      <c r="N118" s="89" t="str">
        <f t="shared" si="20"/>
        <v>December</v>
      </c>
    </row>
    <row r="119" spans="1:15" hidden="1" x14ac:dyDescent="0.2">
      <c r="C119" s="72">
        <f>C106</f>
        <v>30</v>
      </c>
      <c r="D119" s="72">
        <f t="shared" si="20"/>
        <v>31</v>
      </c>
      <c r="E119" s="72">
        <f t="shared" si="20"/>
        <v>30</v>
      </c>
      <c r="F119" s="72">
        <f t="shared" si="20"/>
        <v>31</v>
      </c>
      <c r="G119" s="72">
        <f t="shared" si="20"/>
        <v>31</v>
      </c>
      <c r="H119" s="72">
        <f t="shared" si="20"/>
        <v>30</v>
      </c>
      <c r="I119" s="72">
        <f t="shared" si="20"/>
        <v>31</v>
      </c>
      <c r="J119" s="72">
        <f t="shared" si="20"/>
        <v>30</v>
      </c>
      <c r="K119" s="72">
        <f t="shared" si="20"/>
        <v>31</v>
      </c>
      <c r="L119" s="72">
        <f t="shared" si="20"/>
        <v>31</v>
      </c>
      <c r="M119" s="72">
        <f t="shared" si="20"/>
        <v>28</v>
      </c>
      <c r="N119" s="72">
        <f t="shared" si="20"/>
        <v>31</v>
      </c>
    </row>
    <row r="120" spans="1:15" hidden="1" x14ac:dyDescent="0.2">
      <c r="B120" s="89" t="s">
        <v>185</v>
      </c>
      <c r="C120" s="53">
        <f>C107</f>
        <v>0</v>
      </c>
      <c r="D120" s="53">
        <f t="shared" si="20"/>
        <v>1</v>
      </c>
      <c r="E120" s="53">
        <f t="shared" si="20"/>
        <v>0</v>
      </c>
      <c r="F120" s="53">
        <f t="shared" si="20"/>
        <v>1</v>
      </c>
      <c r="G120" s="53">
        <f t="shared" si="20"/>
        <v>0</v>
      </c>
      <c r="H120" s="53">
        <f t="shared" si="20"/>
        <v>1</v>
      </c>
      <c r="I120" s="53">
        <f t="shared" si="20"/>
        <v>1</v>
      </c>
      <c r="J120" s="53">
        <f t="shared" si="20"/>
        <v>1</v>
      </c>
      <c r="K120" s="53">
        <f t="shared" si="20"/>
        <v>1</v>
      </c>
      <c r="L120" s="53">
        <f t="shared" si="20"/>
        <v>2</v>
      </c>
      <c r="M120" s="53">
        <f t="shared" si="20"/>
        <v>1</v>
      </c>
      <c r="N120" s="53">
        <f t="shared" si="20"/>
        <v>0</v>
      </c>
    </row>
    <row r="121" spans="1:15" hidden="1" x14ac:dyDescent="0.2">
      <c r="B121" s="89" t="s">
        <v>44</v>
      </c>
      <c r="C121" s="49"/>
      <c r="D121" s="49"/>
      <c r="E121" s="49"/>
      <c r="F121" s="49"/>
      <c r="G121" s="49"/>
      <c r="H121" s="49"/>
      <c r="I121" s="49"/>
      <c r="J121" s="49"/>
      <c r="K121" s="49"/>
      <c r="L121" s="49"/>
      <c r="M121" s="49"/>
      <c r="N121" s="49"/>
    </row>
    <row r="122" spans="1:15" hidden="1" x14ac:dyDescent="0.2">
      <c r="B122" s="89" t="s">
        <v>186</v>
      </c>
      <c r="C122" s="53">
        <f>SUM(174*C121)</f>
        <v>0</v>
      </c>
      <c r="D122" s="53">
        <f t="shared" ref="D122:N122" si="21">SUM(174*D121)</f>
        <v>0</v>
      </c>
      <c r="E122" s="53">
        <f t="shared" si="21"/>
        <v>0</v>
      </c>
      <c r="F122" s="53">
        <f t="shared" si="21"/>
        <v>0</v>
      </c>
      <c r="G122" s="53">
        <f t="shared" si="21"/>
        <v>0</v>
      </c>
      <c r="H122" s="53">
        <f t="shared" si="21"/>
        <v>0</v>
      </c>
      <c r="I122" s="53">
        <f t="shared" si="21"/>
        <v>0</v>
      </c>
      <c r="J122" s="53">
        <f t="shared" si="21"/>
        <v>0</v>
      </c>
      <c r="K122" s="53">
        <f t="shared" si="21"/>
        <v>0</v>
      </c>
      <c r="L122" s="53">
        <f t="shared" si="21"/>
        <v>0</v>
      </c>
      <c r="M122" s="53">
        <f t="shared" si="21"/>
        <v>0</v>
      </c>
      <c r="N122" s="53">
        <f t="shared" si="21"/>
        <v>0</v>
      </c>
    </row>
    <row r="123" spans="1:15" hidden="1" x14ac:dyDescent="0.2">
      <c r="A123" s="59" t="s">
        <v>193</v>
      </c>
      <c r="B123" s="78" t="s">
        <v>187</v>
      </c>
      <c r="C123" s="66">
        <f>SUM(C122*$B$124)</f>
        <v>0</v>
      </c>
      <c r="D123" s="66">
        <f t="shared" ref="D123:N123" si="22">SUM(D122*$B$124)</f>
        <v>0</v>
      </c>
      <c r="E123" s="66">
        <f t="shared" si="22"/>
        <v>0</v>
      </c>
      <c r="F123" s="66">
        <f t="shared" si="22"/>
        <v>0</v>
      </c>
      <c r="G123" s="66">
        <f t="shared" si="22"/>
        <v>0</v>
      </c>
      <c r="H123" s="66">
        <f t="shared" si="22"/>
        <v>0</v>
      </c>
      <c r="I123" s="66">
        <f t="shared" si="22"/>
        <v>0</v>
      </c>
      <c r="J123" s="66">
        <f t="shared" si="22"/>
        <v>0</v>
      </c>
      <c r="K123" s="66">
        <f t="shared" si="22"/>
        <v>0</v>
      </c>
      <c r="L123" s="66">
        <f t="shared" si="22"/>
        <v>0</v>
      </c>
      <c r="M123" s="66">
        <f t="shared" si="22"/>
        <v>0</v>
      </c>
      <c r="N123" s="66">
        <f t="shared" si="22"/>
        <v>0</v>
      </c>
      <c r="O123" s="140">
        <f>SUM(C123:N123)</f>
        <v>0</v>
      </c>
    </row>
    <row r="124" spans="1:15" hidden="1" x14ac:dyDescent="0.2">
      <c r="A124" s="59" t="s">
        <v>188</v>
      </c>
      <c r="B124" s="74">
        <v>0</v>
      </c>
      <c r="C124" s="66">
        <f>SUM(C123)*'Data Links'!$B$15</f>
        <v>0</v>
      </c>
      <c r="D124" s="66">
        <f>SUM(D123)*'Data Links'!$B$15</f>
        <v>0</v>
      </c>
      <c r="E124" s="66">
        <f>SUM(E123)*'Data Links'!$B$15</f>
        <v>0</v>
      </c>
      <c r="F124" s="66">
        <f>SUM(F123)*'Data Links'!$B$15</f>
        <v>0</v>
      </c>
      <c r="G124" s="66">
        <f>SUM(G123)*'Data Links'!$B$15</f>
        <v>0</v>
      </c>
      <c r="H124" s="66">
        <f>SUM(H123)*'Data Links'!$B$15</f>
        <v>0</v>
      </c>
      <c r="I124" s="66">
        <f>SUM(I123)*'Data Links'!$B$15</f>
        <v>0</v>
      </c>
      <c r="J124" s="66">
        <f>SUM(J123)*'Data Links'!$B$15</f>
        <v>0</v>
      </c>
      <c r="K124" s="66">
        <f>SUM(K123)*'Data Links'!$B$15</f>
        <v>0</v>
      </c>
      <c r="L124" s="66">
        <f>SUM(L123)*'Data Links'!$B$15</f>
        <v>0</v>
      </c>
      <c r="M124" s="66">
        <f>SUM(M123)*'Data Links'!$B$15</f>
        <v>0</v>
      </c>
      <c r="N124" s="66">
        <f>SUM(N123)*'Data Links'!$B$15</f>
        <v>0</v>
      </c>
    </row>
    <row r="125" spans="1:15" hidden="1" x14ac:dyDescent="0.2">
      <c r="A125" s="59" t="s">
        <v>189</v>
      </c>
      <c r="C125" s="66">
        <f>SUM(C123*'Data Links'!$B$13)</f>
        <v>0</v>
      </c>
      <c r="D125" s="66">
        <f>SUM(D123*'Data Links'!$B$13)</f>
        <v>0</v>
      </c>
      <c r="E125" s="66">
        <f>SUM(E123*'Data Links'!$B$13)</f>
        <v>0</v>
      </c>
      <c r="F125" s="66">
        <f>SUM(F123*'Data Links'!$B$13)</f>
        <v>0</v>
      </c>
      <c r="G125" s="66">
        <f>SUM(G123*'Data Links'!$B$13)</f>
        <v>0</v>
      </c>
      <c r="H125" s="66">
        <f>SUM(H123*'Data Links'!$B$13)</f>
        <v>0</v>
      </c>
      <c r="I125" s="66">
        <f>SUM(I123*'Data Links'!$B$13)</f>
        <v>0</v>
      </c>
      <c r="J125" s="66">
        <f>SUM(J123*'Data Links'!$B$13)</f>
        <v>0</v>
      </c>
      <c r="K125" s="66">
        <f>SUM(K123*'Data Links'!$B$13)</f>
        <v>0</v>
      </c>
      <c r="L125" s="66">
        <f>SUM(L123*'Data Links'!$B$13)</f>
        <v>0</v>
      </c>
      <c r="M125" s="66">
        <f>SUM(M123*'Data Links'!$B$13)</f>
        <v>0</v>
      </c>
      <c r="N125" s="66">
        <f>SUM(N123*'Data Links'!$B$13)</f>
        <v>0</v>
      </c>
    </row>
    <row r="126" spans="1:15" hidden="1" x14ac:dyDescent="0.2">
      <c r="A126" s="59" t="s">
        <v>190</v>
      </c>
      <c r="C126" s="66">
        <f>SUM(C122*'Data Links'!$B$8)</f>
        <v>0</v>
      </c>
      <c r="D126" s="66">
        <f>SUM(D122*'Data Links'!$B$8)</f>
        <v>0</v>
      </c>
      <c r="E126" s="66">
        <f>SUM(E122*'Data Links'!$B$8)</f>
        <v>0</v>
      </c>
      <c r="F126" s="66">
        <f>SUM(F122*'Data Links'!$B$8)</f>
        <v>0</v>
      </c>
      <c r="G126" s="66">
        <f>SUM(G122*'Data Links'!$B$8)</f>
        <v>0</v>
      </c>
      <c r="H126" s="66">
        <f>SUM(H122*'Data Links'!$B$8)</f>
        <v>0</v>
      </c>
      <c r="I126" s="66">
        <f>SUM(I122*'Data Links'!$B$8)</f>
        <v>0</v>
      </c>
      <c r="J126" s="66">
        <f>SUM(J122*'Data Links'!$B$8)</f>
        <v>0</v>
      </c>
      <c r="K126" s="66">
        <f>SUM(K122*'Data Links'!$B$8)</f>
        <v>0</v>
      </c>
      <c r="L126" s="66">
        <f>SUM(L122*'Data Links'!$B$8)</f>
        <v>0</v>
      </c>
      <c r="M126" s="66">
        <f>SUM(M122*'Data Links'!$B$8)</f>
        <v>0</v>
      </c>
      <c r="N126" s="66">
        <f>SUM(N122*'Data Links'!$B$8)</f>
        <v>0</v>
      </c>
    </row>
    <row r="127" spans="1:15" hidden="1" x14ac:dyDescent="0.2">
      <c r="A127" s="59" t="s">
        <v>191</v>
      </c>
      <c r="C127" s="66">
        <f>SUM(C121*'Data Links'!$B$26)</f>
        <v>0</v>
      </c>
      <c r="D127" s="66">
        <f>SUM(D121*'Data Links'!$B$26)</f>
        <v>0</v>
      </c>
      <c r="E127" s="66">
        <f>SUM(E121*'Data Links'!$B$26)</f>
        <v>0</v>
      </c>
      <c r="F127" s="66">
        <f>SUM(F121*'Data Links'!$B$26)</f>
        <v>0</v>
      </c>
      <c r="G127" s="66">
        <f>SUM(G121*'Data Links'!$B$26)</f>
        <v>0</v>
      </c>
      <c r="H127" s="66">
        <f>SUM(H121*'Data Links'!$B$26)</f>
        <v>0</v>
      </c>
      <c r="I127" s="66">
        <f>SUM(I121*'Data Links'!$B$26)</f>
        <v>0</v>
      </c>
      <c r="J127" s="66">
        <f>SUM(J121*'Data Links'!$B$26)</f>
        <v>0</v>
      </c>
      <c r="K127" s="66">
        <f>SUM(K121*'Data Links'!$B$26)</f>
        <v>0</v>
      </c>
      <c r="L127" s="66">
        <f>SUM(L121*'Data Links'!$B$26)</f>
        <v>0</v>
      </c>
      <c r="M127" s="66">
        <f>SUM(M121*'Data Links'!$B$26)</f>
        <v>0</v>
      </c>
      <c r="N127" s="66">
        <f>SUM(N121*'Data Links'!$B$26)</f>
        <v>0</v>
      </c>
    </row>
    <row r="128" spans="1:15" hidden="1" x14ac:dyDescent="0.2">
      <c r="A128" s="59" t="s">
        <v>192</v>
      </c>
      <c r="C128" s="66"/>
      <c r="D128" s="66"/>
      <c r="E128" s="66"/>
      <c r="F128" s="66"/>
      <c r="G128" s="66"/>
      <c r="H128" s="66"/>
      <c r="I128" s="66"/>
      <c r="J128" s="66"/>
      <c r="K128" s="66">
        <f>SUM(K123*'Data Links'!$B$17)</f>
        <v>0</v>
      </c>
      <c r="L128" s="66">
        <f>SUM(L123*'Data Links'!$B$17)</f>
        <v>0</v>
      </c>
      <c r="M128" s="66">
        <f>SUM(M123*'Data Links'!$B$17)</f>
        <v>0</v>
      </c>
      <c r="N128" s="66">
        <f>SUM(N123*'Data Links'!$B$17)</f>
        <v>0</v>
      </c>
      <c r="O128" s="140">
        <f>SUM(C124:N128)</f>
        <v>0</v>
      </c>
    </row>
    <row r="129" spans="1:15" s="58" customFormat="1" hidden="1" x14ac:dyDescent="0.2">
      <c r="A129" s="58" t="s">
        <v>144</v>
      </c>
      <c r="B129" s="60"/>
      <c r="C129" s="60">
        <f t="shared" ref="C129:N129" si="23">SUM(C123:C128)</f>
        <v>0</v>
      </c>
      <c r="D129" s="60">
        <f t="shared" si="23"/>
        <v>0</v>
      </c>
      <c r="E129" s="60">
        <f t="shared" si="23"/>
        <v>0</v>
      </c>
      <c r="F129" s="60">
        <f t="shared" si="23"/>
        <v>0</v>
      </c>
      <c r="G129" s="60">
        <f t="shared" si="23"/>
        <v>0</v>
      </c>
      <c r="H129" s="60">
        <f t="shared" si="23"/>
        <v>0</v>
      </c>
      <c r="I129" s="60">
        <f t="shared" si="23"/>
        <v>0</v>
      </c>
      <c r="J129" s="60">
        <f t="shared" si="23"/>
        <v>0</v>
      </c>
      <c r="K129" s="60">
        <f t="shared" si="23"/>
        <v>0</v>
      </c>
      <c r="L129" s="60">
        <f t="shared" si="23"/>
        <v>0</v>
      </c>
      <c r="M129" s="60">
        <f t="shared" si="23"/>
        <v>0</v>
      </c>
      <c r="N129" s="60">
        <f t="shared" si="23"/>
        <v>0</v>
      </c>
    </row>
    <row r="130" spans="1:15" x14ac:dyDescent="0.2">
      <c r="C130" s="60"/>
      <c r="D130" s="66"/>
      <c r="E130" s="66"/>
      <c r="F130" s="66"/>
      <c r="G130" s="66"/>
      <c r="H130" s="66"/>
      <c r="I130" s="66"/>
      <c r="J130" s="66"/>
      <c r="K130" s="66"/>
      <c r="L130" s="66"/>
      <c r="M130" s="66"/>
      <c r="N130" s="66"/>
    </row>
    <row r="131" spans="1:15" x14ac:dyDescent="0.2">
      <c r="C131" s="89" t="str">
        <f>C118</f>
        <v>January</v>
      </c>
      <c r="D131" s="89" t="str">
        <f t="shared" ref="D131:N131" si="24">D118</f>
        <v>February</v>
      </c>
      <c r="E131" s="89" t="str">
        <f t="shared" si="24"/>
        <v>March</v>
      </c>
      <c r="F131" s="89" t="str">
        <f t="shared" si="24"/>
        <v>April</v>
      </c>
      <c r="G131" s="89" t="str">
        <f t="shared" si="24"/>
        <v>May</v>
      </c>
      <c r="H131" s="89" t="str">
        <f t="shared" si="24"/>
        <v>June</v>
      </c>
      <c r="I131" s="89" t="str">
        <f t="shared" si="24"/>
        <v>July</v>
      </c>
      <c r="J131" s="89" t="str">
        <f t="shared" si="24"/>
        <v>August</v>
      </c>
      <c r="K131" s="89" t="str">
        <f t="shared" si="24"/>
        <v>September</v>
      </c>
      <c r="L131" s="89" t="str">
        <f t="shared" si="24"/>
        <v>October</v>
      </c>
      <c r="M131" s="89" t="str">
        <f t="shared" si="24"/>
        <v>November</v>
      </c>
      <c r="N131" s="89" t="str">
        <f t="shared" si="24"/>
        <v>December</v>
      </c>
    </row>
    <row r="132" spans="1:15" x14ac:dyDescent="0.2">
      <c r="C132" s="89">
        <f t="shared" ref="C132:N133" si="25">C119</f>
        <v>30</v>
      </c>
      <c r="D132" s="89">
        <f t="shared" si="25"/>
        <v>31</v>
      </c>
      <c r="E132" s="89">
        <f t="shared" si="25"/>
        <v>30</v>
      </c>
      <c r="F132" s="89">
        <f t="shared" si="25"/>
        <v>31</v>
      </c>
      <c r="G132" s="89">
        <f t="shared" si="25"/>
        <v>31</v>
      </c>
      <c r="H132" s="89">
        <f t="shared" si="25"/>
        <v>30</v>
      </c>
      <c r="I132" s="89">
        <f t="shared" si="25"/>
        <v>31</v>
      </c>
      <c r="J132" s="89">
        <f t="shared" si="25"/>
        <v>30</v>
      </c>
      <c r="K132" s="89">
        <f t="shared" si="25"/>
        <v>31</v>
      </c>
      <c r="L132" s="89">
        <f t="shared" si="25"/>
        <v>31</v>
      </c>
      <c r="M132" s="89">
        <f t="shared" si="25"/>
        <v>28</v>
      </c>
      <c r="N132" s="89">
        <f t="shared" si="25"/>
        <v>31</v>
      </c>
    </row>
    <row r="133" spans="1:15" x14ac:dyDescent="0.2">
      <c r="B133" s="89" t="s">
        <v>185</v>
      </c>
      <c r="C133" s="53">
        <f>C120</f>
        <v>0</v>
      </c>
      <c r="D133" s="78">
        <f t="shared" si="25"/>
        <v>1</v>
      </c>
      <c r="E133" s="78">
        <f t="shared" si="25"/>
        <v>0</v>
      </c>
      <c r="F133" s="78">
        <f t="shared" si="25"/>
        <v>1</v>
      </c>
      <c r="G133" s="78">
        <f t="shared" si="25"/>
        <v>0</v>
      </c>
      <c r="H133" s="78">
        <f t="shared" si="25"/>
        <v>1</v>
      </c>
      <c r="I133" s="78">
        <f t="shared" si="25"/>
        <v>1</v>
      </c>
      <c r="J133" s="78">
        <f t="shared" si="25"/>
        <v>1</v>
      </c>
      <c r="K133" s="78">
        <f t="shared" si="25"/>
        <v>1</v>
      </c>
      <c r="L133" s="78">
        <f t="shared" si="25"/>
        <v>2</v>
      </c>
      <c r="M133" s="78">
        <f t="shared" si="25"/>
        <v>1</v>
      </c>
      <c r="N133" s="78">
        <f t="shared" si="25"/>
        <v>0</v>
      </c>
    </row>
    <row r="134" spans="1:15" x14ac:dyDescent="0.2">
      <c r="B134" s="89" t="s">
        <v>44</v>
      </c>
      <c r="C134" s="49">
        <v>0.94</v>
      </c>
      <c r="D134" s="49">
        <v>0.94</v>
      </c>
      <c r="E134" s="49">
        <v>0.94</v>
      </c>
      <c r="F134" s="49">
        <v>0.94</v>
      </c>
      <c r="G134" s="49">
        <v>0.94</v>
      </c>
      <c r="H134" s="49">
        <v>0.94</v>
      </c>
      <c r="I134" s="49">
        <v>0.94</v>
      </c>
      <c r="J134" s="49">
        <v>0.94</v>
      </c>
      <c r="K134" s="49">
        <v>0.94</v>
      </c>
      <c r="L134" s="49">
        <v>0.94</v>
      </c>
      <c r="M134" s="49">
        <v>0.94</v>
      </c>
      <c r="N134" s="49">
        <v>0.94</v>
      </c>
    </row>
    <row r="135" spans="1:15" x14ac:dyDescent="0.2">
      <c r="B135" s="89" t="s">
        <v>186</v>
      </c>
      <c r="C135" s="53">
        <f>SUM(174*C134)</f>
        <v>163.56</v>
      </c>
      <c r="D135" s="53">
        <f t="shared" ref="D135:N135" si="26">SUM(174*D134)</f>
        <v>163.56</v>
      </c>
      <c r="E135" s="53">
        <f t="shared" si="26"/>
        <v>163.56</v>
      </c>
      <c r="F135" s="53">
        <f t="shared" si="26"/>
        <v>163.56</v>
      </c>
      <c r="G135" s="53">
        <f t="shared" si="26"/>
        <v>163.56</v>
      </c>
      <c r="H135" s="53">
        <f t="shared" si="26"/>
        <v>163.56</v>
      </c>
      <c r="I135" s="53">
        <f t="shared" si="26"/>
        <v>163.56</v>
      </c>
      <c r="J135" s="53">
        <f t="shared" si="26"/>
        <v>163.56</v>
      </c>
      <c r="K135" s="53">
        <f t="shared" si="26"/>
        <v>163.56</v>
      </c>
      <c r="L135" s="53">
        <f t="shared" si="26"/>
        <v>163.56</v>
      </c>
      <c r="M135" s="53">
        <f t="shared" si="26"/>
        <v>163.56</v>
      </c>
      <c r="N135" s="53">
        <f t="shared" si="26"/>
        <v>163.56</v>
      </c>
    </row>
    <row r="136" spans="1:15" x14ac:dyDescent="0.2">
      <c r="A136" s="59" t="s">
        <v>390</v>
      </c>
      <c r="B136" s="78" t="s">
        <v>391</v>
      </c>
      <c r="C136" s="66">
        <f>SUM(C135*$B$137)</f>
        <v>3667.0152000000003</v>
      </c>
      <c r="D136" s="66">
        <f t="shared" ref="D136:N136" si="27">SUM(D135*$B$137)</f>
        <v>3667.0152000000003</v>
      </c>
      <c r="E136" s="66">
        <f t="shared" si="27"/>
        <v>3667.0152000000003</v>
      </c>
      <c r="F136" s="66">
        <f t="shared" si="27"/>
        <v>3667.0152000000003</v>
      </c>
      <c r="G136" s="66">
        <f t="shared" si="27"/>
        <v>3667.0152000000003</v>
      </c>
      <c r="H136" s="66">
        <f t="shared" si="27"/>
        <v>3667.0152000000003</v>
      </c>
      <c r="I136" s="66">
        <f t="shared" si="27"/>
        <v>3667.0152000000003</v>
      </c>
      <c r="J136" s="66">
        <f t="shared" si="27"/>
        <v>3667.0152000000003</v>
      </c>
      <c r="K136" s="66">
        <f t="shared" si="27"/>
        <v>3667.0152000000003</v>
      </c>
      <c r="L136" s="66">
        <f t="shared" si="27"/>
        <v>3667.0152000000003</v>
      </c>
      <c r="M136" s="66">
        <f t="shared" si="27"/>
        <v>3667.0152000000003</v>
      </c>
      <c r="N136" s="66">
        <f t="shared" si="27"/>
        <v>3667.0152000000003</v>
      </c>
      <c r="O136" s="140">
        <f>SUM(C136:N136)</f>
        <v>44004.182400000012</v>
      </c>
    </row>
    <row r="137" spans="1:15" x14ac:dyDescent="0.2">
      <c r="A137" s="59" t="s">
        <v>188</v>
      </c>
      <c r="B137" s="74">
        <v>22.42</v>
      </c>
      <c r="C137" s="66">
        <f>SUM(C136)*'Data Links'!$B$15</f>
        <v>280.5266628</v>
      </c>
      <c r="D137" s="66">
        <f>SUM(D136)*'Data Links'!$B$15</f>
        <v>280.5266628</v>
      </c>
      <c r="E137" s="66">
        <f>SUM(E136)*'Data Links'!$B$15</f>
        <v>280.5266628</v>
      </c>
      <c r="F137" s="66">
        <f>SUM(F136)*'Data Links'!$B$15</f>
        <v>280.5266628</v>
      </c>
      <c r="G137" s="66">
        <f>SUM(G136)*'Data Links'!$B$15</f>
        <v>280.5266628</v>
      </c>
      <c r="H137" s="66">
        <f>SUM(H136)*'Data Links'!$B$15</f>
        <v>280.5266628</v>
      </c>
      <c r="I137" s="66">
        <f>SUM(I136)*'Data Links'!$B$15</f>
        <v>280.5266628</v>
      </c>
      <c r="J137" s="66">
        <f>SUM(J136)*'Data Links'!$B$15</f>
        <v>280.5266628</v>
      </c>
      <c r="K137" s="66">
        <f>SUM(K136)*'Data Links'!$B$15</f>
        <v>280.5266628</v>
      </c>
      <c r="L137" s="66">
        <f>SUM(L136)*'Data Links'!$B$15</f>
        <v>280.5266628</v>
      </c>
      <c r="M137" s="66">
        <f>SUM(M136)*'Data Links'!$B$15</f>
        <v>280.5266628</v>
      </c>
      <c r="N137" s="66">
        <f>SUM(N136)*'Data Links'!$B$15</f>
        <v>280.5266628</v>
      </c>
    </row>
    <row r="138" spans="1:15" x14ac:dyDescent="0.2">
      <c r="A138" s="59" t="s">
        <v>189</v>
      </c>
      <c r="C138" s="66">
        <f>SUM(C136*'Data Links'!$B$13)</f>
        <v>22.002091200000002</v>
      </c>
      <c r="D138" s="66">
        <f>SUM(D136*'Data Links'!$B$13)</f>
        <v>22.002091200000002</v>
      </c>
      <c r="E138" s="66">
        <f>SUM(E136*'Data Links'!$B$13)</f>
        <v>22.002091200000002</v>
      </c>
      <c r="F138" s="66">
        <f>SUM(F136*'Data Links'!$B$13)</f>
        <v>22.002091200000002</v>
      </c>
      <c r="G138" s="66">
        <f>SUM(G136*'Data Links'!$B$13)</f>
        <v>22.002091200000002</v>
      </c>
      <c r="H138" s="66">
        <f>SUM(H136*'Data Links'!$B$13)</f>
        <v>22.002091200000002</v>
      </c>
      <c r="I138" s="66">
        <f>SUM(I136*'Data Links'!$B$13)</f>
        <v>22.002091200000002</v>
      </c>
      <c r="J138" s="66">
        <f>SUM(J136*'Data Links'!$B$13)</f>
        <v>22.002091200000002</v>
      </c>
      <c r="K138" s="66">
        <f>SUM(K136*'Data Links'!$B$13)</f>
        <v>22.002091200000002</v>
      </c>
      <c r="L138" s="66">
        <f>SUM(L136*'Data Links'!$B$13)</f>
        <v>22.002091200000002</v>
      </c>
      <c r="M138" s="66">
        <f>SUM(M136*'Data Links'!$B$13)</f>
        <v>22.002091200000002</v>
      </c>
      <c r="N138" s="66">
        <f>SUM(N136*'Data Links'!$B$13)</f>
        <v>22.002091200000002</v>
      </c>
    </row>
    <row r="139" spans="1:15" x14ac:dyDescent="0.2">
      <c r="A139" s="59" t="s">
        <v>190</v>
      </c>
      <c r="C139" s="66">
        <f>SUM(C135*'Data Links'!$B$8)</f>
        <v>12.733146000000001</v>
      </c>
      <c r="D139" s="66">
        <f>SUM(D135*'Data Links'!$B$8)</f>
        <v>12.733146000000001</v>
      </c>
      <c r="E139" s="66">
        <f>SUM(E135*'Data Links'!$B$8)</f>
        <v>12.733146000000001</v>
      </c>
      <c r="F139" s="66">
        <f>SUM(F135*'Data Links'!$B$8)</f>
        <v>12.733146000000001</v>
      </c>
      <c r="G139" s="66">
        <f>SUM(G135*'Data Links'!$B$8)</f>
        <v>12.733146000000001</v>
      </c>
      <c r="H139" s="66">
        <f>SUM(H135*'Data Links'!$B$8)</f>
        <v>12.733146000000001</v>
      </c>
      <c r="I139" s="66">
        <f>SUM(I135*'Data Links'!$B$8)</f>
        <v>12.733146000000001</v>
      </c>
      <c r="J139" s="66">
        <f>SUM(J135*'Data Links'!$B$8)</f>
        <v>12.733146000000001</v>
      </c>
      <c r="K139" s="66">
        <f>SUM(K135*'Data Links'!$B$8)</f>
        <v>12.733146000000001</v>
      </c>
      <c r="L139" s="66">
        <f>SUM(L135*'Data Links'!$B$8)</f>
        <v>12.733146000000001</v>
      </c>
      <c r="M139" s="66">
        <f>SUM(M135*'Data Links'!$B$8)</f>
        <v>12.733146000000001</v>
      </c>
      <c r="N139" s="66">
        <f>SUM(N135*'Data Links'!$B$8)</f>
        <v>12.733146000000001</v>
      </c>
    </row>
    <row r="140" spans="1:15" x14ac:dyDescent="0.2">
      <c r="A140" s="59" t="s">
        <v>191</v>
      </c>
      <c r="C140" s="66">
        <f>SUM('All Employees'!$P$45)*C134</f>
        <v>372.81133199999999</v>
      </c>
      <c r="D140" s="66">
        <f>SUM('All Employees'!$P$45)*D134</f>
        <v>372.81133199999999</v>
      </c>
      <c r="E140" s="66">
        <f>SUM('All Employees'!$P$45)*E134</f>
        <v>372.81133199999999</v>
      </c>
      <c r="F140" s="66">
        <f>SUM('All Employees'!$P$45)*F134</f>
        <v>372.81133199999999</v>
      </c>
      <c r="G140" s="66">
        <f>SUM('All Employees'!$P$45)*G134</f>
        <v>372.81133199999999</v>
      </c>
      <c r="H140" s="66">
        <f>SUM('All Employees'!$P$45)*H134</f>
        <v>372.81133199999999</v>
      </c>
      <c r="I140" s="66">
        <f>SUM('All Employees'!$P$45)*I134</f>
        <v>372.81133199999999</v>
      </c>
      <c r="J140" s="66">
        <f>SUM('All Employees'!$P$45)*J134</f>
        <v>372.81133199999999</v>
      </c>
      <c r="K140" s="66">
        <f>SUM('All Employees'!$P$45)*K134</f>
        <v>372.81133199999999</v>
      </c>
      <c r="L140" s="66">
        <f>SUM('All Employees'!$P$45)*L134</f>
        <v>372.81133199999999</v>
      </c>
      <c r="M140" s="66">
        <f>SUM('All Employees'!$P$45)*M134</f>
        <v>372.81133199999999</v>
      </c>
      <c r="N140" s="66">
        <f>SUM('All Employees'!$P$45)*N134</f>
        <v>372.81133199999999</v>
      </c>
    </row>
    <row r="141" spans="1:15" x14ac:dyDescent="0.2">
      <c r="A141" s="59" t="s">
        <v>192</v>
      </c>
      <c r="C141" s="66">
        <f>SUM(C136*'Data Links'!$B$17)</f>
        <v>110.010456</v>
      </c>
      <c r="D141" s="66">
        <f>SUM(D136*'Data Links'!$B$17)</f>
        <v>110.010456</v>
      </c>
      <c r="E141" s="66">
        <f>SUM(E136*'Data Links'!$B$17)</f>
        <v>110.010456</v>
      </c>
      <c r="F141" s="66">
        <f>SUM(F136*'Data Links'!$B$17)</f>
        <v>110.010456</v>
      </c>
      <c r="G141" s="66">
        <f>SUM(G136*'Data Links'!$B$17)</f>
        <v>110.010456</v>
      </c>
      <c r="H141" s="66">
        <f>SUM(H136*'Data Links'!$B$17)</f>
        <v>110.010456</v>
      </c>
      <c r="I141" s="66">
        <f>SUM(I136*'Data Links'!$B$17)</f>
        <v>110.010456</v>
      </c>
      <c r="J141" s="66">
        <f>SUM(J136*'Data Links'!$B$17)</f>
        <v>110.010456</v>
      </c>
      <c r="K141" s="66">
        <f>SUM(K136*'Data Links'!$B$17)</f>
        <v>110.010456</v>
      </c>
      <c r="L141" s="66">
        <f>SUM(L136*'Data Links'!$B$17)</f>
        <v>110.010456</v>
      </c>
      <c r="M141" s="66">
        <f>SUM(M136*'Data Links'!$B$17)</f>
        <v>110.010456</v>
      </c>
      <c r="N141" s="66">
        <f>SUM(N136*'Data Links'!$B$17)</f>
        <v>110.010456</v>
      </c>
      <c r="O141" s="140">
        <f>SUM(C137:N141)</f>
        <v>9577.004256000002</v>
      </c>
    </row>
    <row r="142" spans="1:15" s="58" customFormat="1" x14ac:dyDescent="0.2">
      <c r="A142" s="58" t="s">
        <v>144</v>
      </c>
      <c r="B142" s="60"/>
      <c r="C142" s="60">
        <f t="shared" ref="C142:N142" si="28">SUM(C136:C141)</f>
        <v>4465.0988880000004</v>
      </c>
      <c r="D142" s="60">
        <f t="shared" si="28"/>
        <v>4465.0988880000004</v>
      </c>
      <c r="E142" s="60">
        <f t="shared" si="28"/>
        <v>4465.0988880000004</v>
      </c>
      <c r="F142" s="60">
        <f t="shared" si="28"/>
        <v>4465.0988880000004</v>
      </c>
      <c r="G142" s="60">
        <f t="shared" si="28"/>
        <v>4465.0988880000004</v>
      </c>
      <c r="H142" s="60">
        <f t="shared" si="28"/>
        <v>4465.0988880000004</v>
      </c>
      <c r="I142" s="60">
        <f t="shared" si="28"/>
        <v>4465.0988880000004</v>
      </c>
      <c r="J142" s="60">
        <f t="shared" si="28"/>
        <v>4465.0988880000004</v>
      </c>
      <c r="K142" s="60">
        <f t="shared" si="28"/>
        <v>4465.0988880000004</v>
      </c>
      <c r="L142" s="60">
        <f t="shared" si="28"/>
        <v>4465.0988880000004</v>
      </c>
      <c r="M142" s="60">
        <f t="shared" si="28"/>
        <v>4465.0988880000004</v>
      </c>
      <c r="N142" s="60">
        <f t="shared" si="28"/>
        <v>4465.0988880000004</v>
      </c>
    </row>
    <row r="143" spans="1:15" x14ac:dyDescent="0.2">
      <c r="C143" s="60"/>
      <c r="D143" s="66"/>
      <c r="E143" s="66"/>
      <c r="F143" s="66"/>
      <c r="G143" s="66"/>
      <c r="H143" s="66"/>
      <c r="I143" s="66"/>
      <c r="J143" s="66"/>
      <c r="K143" s="66"/>
      <c r="L143" s="66"/>
      <c r="M143" s="66"/>
      <c r="N143" s="66"/>
    </row>
    <row r="144" spans="1:15" x14ac:dyDescent="0.2">
      <c r="C144" s="89" t="str">
        <f>C131</f>
        <v>January</v>
      </c>
      <c r="D144" s="89" t="str">
        <f t="shared" ref="D144:N144" si="29">D131</f>
        <v>February</v>
      </c>
      <c r="E144" s="89" t="str">
        <f t="shared" si="29"/>
        <v>March</v>
      </c>
      <c r="F144" s="89" t="str">
        <f t="shared" si="29"/>
        <v>April</v>
      </c>
      <c r="G144" s="89" t="str">
        <f t="shared" si="29"/>
        <v>May</v>
      </c>
      <c r="H144" s="89" t="str">
        <f t="shared" si="29"/>
        <v>June</v>
      </c>
      <c r="I144" s="89" t="str">
        <f t="shared" si="29"/>
        <v>July</v>
      </c>
      <c r="J144" s="89" t="str">
        <f t="shared" si="29"/>
        <v>August</v>
      </c>
      <c r="K144" s="89" t="str">
        <f t="shared" si="29"/>
        <v>September</v>
      </c>
      <c r="L144" s="89" t="str">
        <f t="shared" si="29"/>
        <v>October</v>
      </c>
      <c r="M144" s="89" t="str">
        <f t="shared" si="29"/>
        <v>November</v>
      </c>
      <c r="N144" s="89" t="str">
        <f t="shared" si="29"/>
        <v>December</v>
      </c>
    </row>
    <row r="145" spans="1:15" x14ac:dyDescent="0.2">
      <c r="C145" s="89">
        <f t="shared" ref="C145:N146" si="30">C132</f>
        <v>30</v>
      </c>
      <c r="D145" s="89">
        <f t="shared" si="30"/>
        <v>31</v>
      </c>
      <c r="E145" s="89">
        <f t="shared" si="30"/>
        <v>30</v>
      </c>
      <c r="F145" s="89">
        <f t="shared" si="30"/>
        <v>31</v>
      </c>
      <c r="G145" s="89">
        <f t="shared" si="30"/>
        <v>31</v>
      </c>
      <c r="H145" s="89">
        <f t="shared" si="30"/>
        <v>30</v>
      </c>
      <c r="I145" s="89">
        <f t="shared" si="30"/>
        <v>31</v>
      </c>
      <c r="J145" s="89">
        <f t="shared" si="30"/>
        <v>30</v>
      </c>
      <c r="K145" s="89">
        <f t="shared" si="30"/>
        <v>31</v>
      </c>
      <c r="L145" s="89">
        <f t="shared" si="30"/>
        <v>31</v>
      </c>
      <c r="M145" s="89">
        <f t="shared" si="30"/>
        <v>28</v>
      </c>
      <c r="N145" s="89">
        <f t="shared" si="30"/>
        <v>31</v>
      </c>
    </row>
    <row r="146" spans="1:15" x14ac:dyDescent="0.2">
      <c r="B146" s="89" t="s">
        <v>185</v>
      </c>
      <c r="C146" s="78">
        <f t="shared" si="30"/>
        <v>0</v>
      </c>
      <c r="D146" s="78">
        <f t="shared" si="30"/>
        <v>1</v>
      </c>
      <c r="E146" s="78">
        <f t="shared" si="30"/>
        <v>0</v>
      </c>
      <c r="F146" s="78">
        <f t="shared" si="30"/>
        <v>1</v>
      </c>
      <c r="G146" s="78">
        <f t="shared" si="30"/>
        <v>0</v>
      </c>
      <c r="H146" s="78">
        <f t="shared" si="30"/>
        <v>1</v>
      </c>
      <c r="I146" s="78">
        <f t="shared" si="30"/>
        <v>1</v>
      </c>
      <c r="J146" s="78">
        <f t="shared" si="30"/>
        <v>1</v>
      </c>
      <c r="K146" s="78">
        <f t="shared" si="30"/>
        <v>1</v>
      </c>
      <c r="L146" s="78">
        <f t="shared" si="30"/>
        <v>2</v>
      </c>
      <c r="M146" s="78">
        <f t="shared" si="30"/>
        <v>1</v>
      </c>
      <c r="N146" s="78">
        <f t="shared" si="30"/>
        <v>0</v>
      </c>
    </row>
    <row r="147" spans="1:15" x14ac:dyDescent="0.2">
      <c r="B147" s="89" t="s">
        <v>44</v>
      </c>
      <c r="C147" s="49">
        <v>0.1</v>
      </c>
      <c r="D147" s="49">
        <v>0.1</v>
      </c>
      <c r="E147" s="49">
        <v>0.1</v>
      </c>
      <c r="F147" s="49">
        <v>0.1</v>
      </c>
      <c r="G147" s="49">
        <v>0.1</v>
      </c>
      <c r="H147" s="49">
        <v>0.1</v>
      </c>
      <c r="I147" s="49">
        <v>0.1</v>
      </c>
      <c r="J147" s="49">
        <v>0.1</v>
      </c>
      <c r="K147" s="49">
        <v>0.1</v>
      </c>
      <c r="L147" s="49">
        <v>0.1</v>
      </c>
      <c r="M147" s="49">
        <v>0.1</v>
      </c>
      <c r="N147" s="49">
        <v>0.1</v>
      </c>
    </row>
    <row r="148" spans="1:15" x14ac:dyDescent="0.2">
      <c r="B148" s="78" t="s">
        <v>186</v>
      </c>
      <c r="C148" s="53">
        <f>SUM(174*C147)</f>
        <v>17.400000000000002</v>
      </c>
      <c r="D148" s="53">
        <f t="shared" ref="D148:N148" si="31">SUM(174*D147)</f>
        <v>17.400000000000002</v>
      </c>
      <c r="E148" s="53">
        <f t="shared" si="31"/>
        <v>17.400000000000002</v>
      </c>
      <c r="F148" s="53">
        <f t="shared" si="31"/>
        <v>17.400000000000002</v>
      </c>
      <c r="G148" s="53">
        <f t="shared" si="31"/>
        <v>17.400000000000002</v>
      </c>
      <c r="H148" s="53">
        <f t="shared" si="31"/>
        <v>17.400000000000002</v>
      </c>
      <c r="I148" s="53">
        <f t="shared" si="31"/>
        <v>17.400000000000002</v>
      </c>
      <c r="J148" s="53">
        <f t="shared" si="31"/>
        <v>17.400000000000002</v>
      </c>
      <c r="K148" s="53">
        <f t="shared" si="31"/>
        <v>17.400000000000002</v>
      </c>
      <c r="L148" s="53">
        <f t="shared" si="31"/>
        <v>17.400000000000002</v>
      </c>
      <c r="M148" s="53">
        <f t="shared" si="31"/>
        <v>17.400000000000002</v>
      </c>
      <c r="N148" s="53">
        <f t="shared" si="31"/>
        <v>17.400000000000002</v>
      </c>
    </row>
    <row r="149" spans="1:15" x14ac:dyDescent="0.2">
      <c r="A149" s="59" t="s">
        <v>392</v>
      </c>
      <c r="B149" s="78" t="s">
        <v>187</v>
      </c>
      <c r="C149" s="66">
        <v>1100</v>
      </c>
      <c r="D149" s="66">
        <v>1100</v>
      </c>
      <c r="E149" s="66">
        <v>1100</v>
      </c>
      <c r="F149" s="66">
        <v>1100</v>
      </c>
      <c r="G149" s="66">
        <v>1100</v>
      </c>
      <c r="H149" s="66">
        <v>1100</v>
      </c>
      <c r="I149" s="66">
        <v>1100</v>
      </c>
      <c r="J149" s="66">
        <v>1100</v>
      </c>
      <c r="K149" s="66">
        <v>1100</v>
      </c>
      <c r="L149" s="66">
        <v>1100</v>
      </c>
      <c r="M149" s="66">
        <v>1100</v>
      </c>
      <c r="N149" s="66">
        <v>1100</v>
      </c>
      <c r="O149" s="140">
        <f>SUM(C149:N149)</f>
        <v>13200</v>
      </c>
    </row>
    <row r="150" spans="1:15" x14ac:dyDescent="0.2">
      <c r="A150" s="59" t="s">
        <v>188</v>
      </c>
      <c r="B150" s="74" t="s">
        <v>370</v>
      </c>
      <c r="C150" s="66">
        <f>SUM(C149)*'Data Links'!$B$15</f>
        <v>84.149999999999991</v>
      </c>
      <c r="D150" s="66">
        <f>SUM(D149)*'Data Links'!$B$15</f>
        <v>84.149999999999991</v>
      </c>
      <c r="E150" s="66">
        <f>SUM(E149)*'Data Links'!$B$15</f>
        <v>84.149999999999991</v>
      </c>
      <c r="F150" s="66">
        <f>SUM(F149)*'Data Links'!$B$15</f>
        <v>84.149999999999991</v>
      </c>
      <c r="G150" s="66">
        <f>SUM(G149)*'Data Links'!$B$15</f>
        <v>84.149999999999991</v>
      </c>
      <c r="H150" s="66">
        <f>SUM(H149)*'Data Links'!$B$15</f>
        <v>84.149999999999991</v>
      </c>
      <c r="I150" s="66">
        <f>SUM(I149)*'Data Links'!$B$15</f>
        <v>84.149999999999991</v>
      </c>
      <c r="J150" s="66">
        <f>SUM(J149)*'Data Links'!$B$15</f>
        <v>84.149999999999991</v>
      </c>
      <c r="K150" s="66">
        <f>SUM(K149)*'Data Links'!$B$15</f>
        <v>84.149999999999991</v>
      </c>
      <c r="L150" s="66">
        <f>SUM(L149)*'Data Links'!$B$15</f>
        <v>84.149999999999991</v>
      </c>
      <c r="M150" s="66">
        <f>SUM(M149)*'Data Links'!$B$15</f>
        <v>84.149999999999991</v>
      </c>
      <c r="N150" s="66">
        <f>SUM(N149)*'Data Links'!$B$15</f>
        <v>84.149999999999991</v>
      </c>
    </row>
    <row r="151" spans="1:15" x14ac:dyDescent="0.2">
      <c r="A151" s="59" t="s">
        <v>189</v>
      </c>
      <c r="C151" s="66">
        <f>SUM(C149*'Data Links'!$B$13)</f>
        <v>6.6000000000000005</v>
      </c>
      <c r="D151" s="66">
        <f>SUM(D149*'Data Links'!$B$13)</f>
        <v>6.6000000000000005</v>
      </c>
      <c r="E151" s="66">
        <f>SUM(E149*'Data Links'!$B$13)</f>
        <v>6.6000000000000005</v>
      </c>
      <c r="F151" s="66">
        <f>SUM(F149*'Data Links'!$B$13)</f>
        <v>6.6000000000000005</v>
      </c>
      <c r="G151" s="66">
        <f>SUM(G149*'Data Links'!$B$13)</f>
        <v>6.6000000000000005</v>
      </c>
      <c r="H151" s="66">
        <f>SUM(H149*'Data Links'!$B$13)</f>
        <v>6.6000000000000005</v>
      </c>
      <c r="I151" s="66">
        <f>SUM(I149*'Data Links'!$B$13)</f>
        <v>6.6000000000000005</v>
      </c>
      <c r="J151" s="66">
        <f>SUM(J149*'Data Links'!$B$13)</f>
        <v>6.6000000000000005</v>
      </c>
      <c r="K151" s="66">
        <f>SUM(K149*'Data Links'!$B$13)</f>
        <v>6.6000000000000005</v>
      </c>
      <c r="L151" s="66">
        <f>SUM(L149*'Data Links'!$B$13)</f>
        <v>6.6000000000000005</v>
      </c>
      <c r="M151" s="66">
        <f>SUM(M149*'Data Links'!$B$13)</f>
        <v>6.6000000000000005</v>
      </c>
      <c r="N151" s="66">
        <f>SUM(N149*'Data Links'!$B$13)</f>
        <v>6.6000000000000005</v>
      </c>
    </row>
    <row r="152" spans="1:15" x14ac:dyDescent="0.2">
      <c r="A152" s="59" t="s">
        <v>190</v>
      </c>
      <c r="C152" s="66">
        <f>SUM(C148*'Data Links'!$B$8)</f>
        <v>1.3545900000000002</v>
      </c>
      <c r="D152" s="66">
        <f>SUM(D148*'Data Links'!$B$8)</f>
        <v>1.3545900000000002</v>
      </c>
      <c r="E152" s="66">
        <f>SUM(E148*'Data Links'!$B$8)</f>
        <v>1.3545900000000002</v>
      </c>
      <c r="F152" s="66">
        <f>SUM(F148*'Data Links'!$B$8)</f>
        <v>1.3545900000000002</v>
      </c>
      <c r="G152" s="66">
        <f>SUM(G148*'Data Links'!$B$8)</f>
        <v>1.3545900000000002</v>
      </c>
      <c r="H152" s="66">
        <f>SUM(H148*'Data Links'!$B$8)</f>
        <v>1.3545900000000002</v>
      </c>
      <c r="I152" s="66">
        <f>SUM(I148*'Data Links'!$B$8)</f>
        <v>1.3545900000000002</v>
      </c>
      <c r="J152" s="66">
        <f>SUM(J148*'Data Links'!$B$8)</f>
        <v>1.3545900000000002</v>
      </c>
      <c r="K152" s="66">
        <f>SUM(K148*'Data Links'!$B$8)</f>
        <v>1.3545900000000002</v>
      </c>
      <c r="L152" s="66">
        <f>SUM(L148*'Data Links'!$B$8)</f>
        <v>1.3545900000000002</v>
      </c>
      <c r="M152" s="66">
        <f>SUM(M148*'Data Links'!$B$8)</f>
        <v>1.3545900000000002</v>
      </c>
      <c r="N152" s="66">
        <f>SUM(N148*'Data Links'!$B$8)</f>
        <v>1.3545900000000002</v>
      </c>
    </row>
    <row r="153" spans="1:15" x14ac:dyDescent="0.2">
      <c r="A153" s="59" t="s">
        <v>191</v>
      </c>
      <c r="C153" s="66"/>
      <c r="D153" s="66"/>
      <c r="E153" s="66"/>
      <c r="F153" s="66"/>
      <c r="G153" s="66"/>
      <c r="H153" s="66"/>
      <c r="I153" s="66"/>
      <c r="J153" s="66"/>
      <c r="K153" s="66"/>
      <c r="L153" s="66"/>
      <c r="M153" s="66"/>
      <c r="N153" s="66"/>
    </row>
    <row r="154" spans="1:15" x14ac:dyDescent="0.2">
      <c r="A154" s="59" t="s">
        <v>192</v>
      </c>
      <c r="C154" s="66">
        <f>SUM(C149*'Data Links'!$B$17)</f>
        <v>33</v>
      </c>
      <c r="D154" s="66">
        <f>SUM(D149*'Data Links'!$B$17)</f>
        <v>33</v>
      </c>
      <c r="E154" s="66">
        <f>SUM(E149*'Data Links'!$B$17)</f>
        <v>33</v>
      </c>
      <c r="F154" s="66">
        <f>SUM(F149*'Data Links'!$B$17)</f>
        <v>33</v>
      </c>
      <c r="G154" s="66">
        <f>SUM(G149*'Data Links'!$B$17)</f>
        <v>33</v>
      </c>
      <c r="H154" s="66">
        <f>SUM(H149*'Data Links'!$B$17)</f>
        <v>33</v>
      </c>
      <c r="I154" s="66">
        <f>SUM(I149*'Data Links'!$B$17)</f>
        <v>33</v>
      </c>
      <c r="J154" s="66">
        <f>SUM(J149*'Data Links'!$B$17)</f>
        <v>33</v>
      </c>
      <c r="K154" s="66">
        <f>SUM(K149*'Data Links'!$B$17)</f>
        <v>33</v>
      </c>
      <c r="L154" s="66">
        <f>SUM(L149*'Data Links'!$B$17)</f>
        <v>33</v>
      </c>
      <c r="M154" s="66">
        <f>SUM(M149*'Data Links'!$B$17)</f>
        <v>33</v>
      </c>
      <c r="N154" s="66">
        <f>SUM(N149*'Data Links'!$B$17)</f>
        <v>33</v>
      </c>
      <c r="O154" s="140">
        <f>SUM(C150:N154)</f>
        <v>1501.2550799999981</v>
      </c>
    </row>
    <row r="155" spans="1:15" s="58" customFormat="1" x14ac:dyDescent="0.2">
      <c r="A155" s="58" t="s">
        <v>144</v>
      </c>
      <c r="B155" s="60"/>
      <c r="C155" s="60">
        <f t="shared" ref="C155:N155" si="32">SUM(C149:C154)</f>
        <v>1225.1045899999999</v>
      </c>
      <c r="D155" s="60">
        <f t="shared" si="32"/>
        <v>1225.1045899999999</v>
      </c>
      <c r="E155" s="60">
        <f t="shared" si="32"/>
        <v>1225.1045899999999</v>
      </c>
      <c r="F155" s="60">
        <f t="shared" si="32"/>
        <v>1225.1045899999999</v>
      </c>
      <c r="G155" s="60">
        <f t="shared" si="32"/>
        <v>1225.1045899999999</v>
      </c>
      <c r="H155" s="60">
        <f t="shared" si="32"/>
        <v>1225.1045899999999</v>
      </c>
      <c r="I155" s="60">
        <f t="shared" si="32"/>
        <v>1225.1045899999999</v>
      </c>
      <c r="J155" s="60">
        <f t="shared" si="32"/>
        <v>1225.1045899999999</v>
      </c>
      <c r="K155" s="60">
        <f t="shared" si="32"/>
        <v>1225.1045899999999</v>
      </c>
      <c r="L155" s="60">
        <f t="shared" si="32"/>
        <v>1225.1045899999999</v>
      </c>
      <c r="M155" s="60">
        <f t="shared" si="32"/>
        <v>1225.1045899999999</v>
      </c>
      <c r="N155" s="60">
        <f t="shared" si="32"/>
        <v>1225.1045899999999</v>
      </c>
    </row>
    <row r="156" spans="1:15" x14ac:dyDescent="0.2">
      <c r="C156" s="60"/>
      <c r="D156" s="66"/>
      <c r="E156" s="66"/>
      <c r="F156" s="66"/>
      <c r="G156" s="66"/>
      <c r="H156" s="66"/>
      <c r="I156" s="66"/>
      <c r="J156" s="66"/>
      <c r="K156" s="66"/>
      <c r="L156" s="66"/>
      <c r="M156" s="66"/>
      <c r="N156" s="66"/>
    </row>
    <row r="157" spans="1:15" x14ac:dyDescent="0.2">
      <c r="C157" s="89" t="str">
        <f>C144</f>
        <v>January</v>
      </c>
      <c r="D157" s="89" t="str">
        <f t="shared" ref="D157:N157" si="33">D144</f>
        <v>February</v>
      </c>
      <c r="E157" s="89" t="str">
        <f t="shared" si="33"/>
        <v>March</v>
      </c>
      <c r="F157" s="89" t="str">
        <f t="shared" si="33"/>
        <v>April</v>
      </c>
      <c r="G157" s="89" t="str">
        <f t="shared" si="33"/>
        <v>May</v>
      </c>
      <c r="H157" s="89" t="str">
        <f t="shared" si="33"/>
        <v>June</v>
      </c>
      <c r="I157" s="89" t="str">
        <f t="shared" si="33"/>
        <v>July</v>
      </c>
      <c r="J157" s="89" t="str">
        <f t="shared" si="33"/>
        <v>August</v>
      </c>
      <c r="K157" s="89" t="str">
        <f t="shared" si="33"/>
        <v>September</v>
      </c>
      <c r="L157" s="89" t="str">
        <f t="shared" si="33"/>
        <v>October</v>
      </c>
      <c r="M157" s="89" t="str">
        <f t="shared" si="33"/>
        <v>November</v>
      </c>
      <c r="N157" s="89" t="str">
        <f t="shared" si="33"/>
        <v>December</v>
      </c>
    </row>
    <row r="158" spans="1:15" x14ac:dyDescent="0.2">
      <c r="C158" s="89">
        <f t="shared" ref="C158:N159" si="34">C145</f>
        <v>30</v>
      </c>
      <c r="D158" s="89">
        <f t="shared" si="34"/>
        <v>31</v>
      </c>
      <c r="E158" s="89">
        <f t="shared" si="34"/>
        <v>30</v>
      </c>
      <c r="F158" s="89">
        <f t="shared" si="34"/>
        <v>31</v>
      </c>
      <c r="G158" s="89">
        <f t="shared" si="34"/>
        <v>31</v>
      </c>
      <c r="H158" s="89">
        <f t="shared" si="34"/>
        <v>30</v>
      </c>
      <c r="I158" s="89">
        <f t="shared" si="34"/>
        <v>31</v>
      </c>
      <c r="J158" s="89">
        <f t="shared" si="34"/>
        <v>30</v>
      </c>
      <c r="K158" s="89">
        <f t="shared" si="34"/>
        <v>31</v>
      </c>
      <c r="L158" s="89">
        <f t="shared" si="34"/>
        <v>31</v>
      </c>
      <c r="M158" s="89">
        <f t="shared" si="34"/>
        <v>28</v>
      </c>
      <c r="N158" s="89">
        <f t="shared" si="34"/>
        <v>31</v>
      </c>
    </row>
    <row r="159" spans="1:15" x14ac:dyDescent="0.2">
      <c r="B159" s="89" t="s">
        <v>185</v>
      </c>
      <c r="C159" s="78">
        <f t="shared" si="34"/>
        <v>0</v>
      </c>
      <c r="D159" s="78">
        <f t="shared" si="34"/>
        <v>1</v>
      </c>
      <c r="E159" s="78">
        <f t="shared" si="34"/>
        <v>0</v>
      </c>
      <c r="F159" s="78">
        <f t="shared" si="34"/>
        <v>1</v>
      </c>
      <c r="G159" s="78">
        <f t="shared" si="34"/>
        <v>0</v>
      </c>
      <c r="H159" s="78">
        <f t="shared" si="34"/>
        <v>1</v>
      </c>
      <c r="I159" s="78">
        <f t="shared" si="34"/>
        <v>1</v>
      </c>
      <c r="J159" s="78">
        <f t="shared" si="34"/>
        <v>1</v>
      </c>
      <c r="K159" s="78">
        <f t="shared" si="34"/>
        <v>1</v>
      </c>
      <c r="L159" s="78">
        <f t="shared" si="34"/>
        <v>2</v>
      </c>
      <c r="M159" s="78">
        <f t="shared" si="34"/>
        <v>1</v>
      </c>
      <c r="N159" s="78">
        <f t="shared" si="34"/>
        <v>0</v>
      </c>
    </row>
    <row r="160" spans="1:15" x14ac:dyDescent="0.2">
      <c r="B160" s="89" t="s">
        <v>44</v>
      </c>
      <c r="C160" s="49">
        <v>1</v>
      </c>
      <c r="D160" s="49">
        <v>1</v>
      </c>
      <c r="E160" s="49">
        <v>1</v>
      </c>
      <c r="F160" s="49">
        <v>1</v>
      </c>
      <c r="G160" s="49">
        <v>1</v>
      </c>
      <c r="H160" s="49">
        <v>1</v>
      </c>
      <c r="I160" s="49">
        <v>1</v>
      </c>
      <c r="J160" s="49">
        <v>1</v>
      </c>
      <c r="K160" s="49">
        <v>1</v>
      </c>
      <c r="L160" s="49">
        <v>1</v>
      </c>
      <c r="M160" s="49">
        <v>1</v>
      </c>
      <c r="N160" s="49">
        <v>1</v>
      </c>
    </row>
    <row r="161" spans="1:15" x14ac:dyDescent="0.2">
      <c r="B161" s="78" t="s">
        <v>186</v>
      </c>
      <c r="C161" s="53">
        <f>SUM(174*C160)</f>
        <v>174</v>
      </c>
      <c r="D161" s="53">
        <f t="shared" ref="D161:N161" si="35">SUM(174*D160)</f>
        <v>174</v>
      </c>
      <c r="E161" s="53">
        <f t="shared" si="35"/>
        <v>174</v>
      </c>
      <c r="F161" s="53">
        <f t="shared" si="35"/>
        <v>174</v>
      </c>
      <c r="G161" s="53">
        <f t="shared" si="35"/>
        <v>174</v>
      </c>
      <c r="H161" s="53">
        <f t="shared" si="35"/>
        <v>174</v>
      </c>
      <c r="I161" s="53">
        <f t="shared" si="35"/>
        <v>174</v>
      </c>
      <c r="J161" s="53">
        <f t="shared" si="35"/>
        <v>174</v>
      </c>
      <c r="K161" s="53">
        <f t="shared" si="35"/>
        <v>174</v>
      </c>
      <c r="L161" s="53">
        <f t="shared" si="35"/>
        <v>174</v>
      </c>
      <c r="M161" s="53">
        <f t="shared" si="35"/>
        <v>174</v>
      </c>
      <c r="N161" s="53">
        <f t="shared" si="35"/>
        <v>174</v>
      </c>
    </row>
    <row r="162" spans="1:15" x14ac:dyDescent="0.2">
      <c r="A162" s="59" t="s">
        <v>624</v>
      </c>
      <c r="B162" s="78" t="s">
        <v>187</v>
      </c>
      <c r="C162" s="66">
        <f>SUM(C161*$B$163)</f>
        <v>3132</v>
      </c>
      <c r="D162" s="66">
        <f t="shared" ref="D162:N162" si="36">SUM(D161*$B$163)</f>
        <v>3132</v>
      </c>
      <c r="E162" s="66">
        <f t="shared" si="36"/>
        <v>3132</v>
      </c>
      <c r="F162" s="66">
        <f t="shared" si="36"/>
        <v>3132</v>
      </c>
      <c r="G162" s="66">
        <f t="shared" si="36"/>
        <v>3132</v>
      </c>
      <c r="H162" s="66">
        <f t="shared" si="36"/>
        <v>3132</v>
      </c>
      <c r="I162" s="66">
        <f t="shared" si="36"/>
        <v>3132</v>
      </c>
      <c r="J162" s="66">
        <f t="shared" si="36"/>
        <v>3132</v>
      </c>
      <c r="K162" s="66">
        <f t="shared" si="36"/>
        <v>3132</v>
      </c>
      <c r="L162" s="66">
        <f t="shared" si="36"/>
        <v>3132</v>
      </c>
      <c r="M162" s="66">
        <f t="shared" si="36"/>
        <v>3132</v>
      </c>
      <c r="N162" s="66">
        <f t="shared" si="36"/>
        <v>3132</v>
      </c>
      <c r="O162" s="140"/>
    </row>
    <row r="163" spans="1:15" x14ac:dyDescent="0.2">
      <c r="A163" s="59" t="s">
        <v>188</v>
      </c>
      <c r="B163" s="74">
        <v>18</v>
      </c>
      <c r="C163" s="66">
        <f>SUM(C162)*'Data Links'!$B$15</f>
        <v>239.59799999999998</v>
      </c>
      <c r="D163" s="66">
        <f>SUM(D162)*'Data Links'!$B$15</f>
        <v>239.59799999999998</v>
      </c>
      <c r="E163" s="66">
        <f>SUM(E162)*'Data Links'!$B$15</f>
        <v>239.59799999999998</v>
      </c>
      <c r="F163" s="66">
        <f>SUM(F162)*'Data Links'!$B$15</f>
        <v>239.59799999999998</v>
      </c>
      <c r="G163" s="66">
        <f>SUM(G162)*'Data Links'!$B$15</f>
        <v>239.59799999999998</v>
      </c>
      <c r="H163" s="66">
        <f>SUM(H162)*'Data Links'!$B$15</f>
        <v>239.59799999999998</v>
      </c>
      <c r="I163" s="66">
        <f>SUM(I162)*'Data Links'!$B$15</f>
        <v>239.59799999999998</v>
      </c>
      <c r="J163" s="66">
        <f>SUM(J162)*'Data Links'!$B$15</f>
        <v>239.59799999999998</v>
      </c>
      <c r="K163" s="66">
        <f>SUM(K162)*'Data Links'!$B$15</f>
        <v>239.59799999999998</v>
      </c>
      <c r="L163" s="66">
        <f>SUM(L162)*'Data Links'!$B$15</f>
        <v>239.59799999999998</v>
      </c>
      <c r="M163" s="66">
        <f>SUM(M162)*'Data Links'!$B$15</f>
        <v>239.59799999999998</v>
      </c>
      <c r="N163" s="66">
        <f>SUM(N162)*'Data Links'!$B$15</f>
        <v>239.59799999999998</v>
      </c>
    </row>
    <row r="164" spans="1:15" x14ac:dyDescent="0.2">
      <c r="A164" s="59" t="s">
        <v>189</v>
      </c>
      <c r="B164" s="74">
        <v>16.84</v>
      </c>
      <c r="C164" s="66">
        <f>SUM(C162*'Data Links'!$B$13)</f>
        <v>18.792000000000002</v>
      </c>
      <c r="D164" s="66">
        <f>SUM(D162*'Data Links'!$B$13)</f>
        <v>18.792000000000002</v>
      </c>
      <c r="E164" s="66">
        <f>SUM(E162*'Data Links'!$B$13)</f>
        <v>18.792000000000002</v>
      </c>
      <c r="F164" s="66">
        <f>SUM(F162*'Data Links'!$B$13)</f>
        <v>18.792000000000002</v>
      </c>
      <c r="G164" s="66">
        <f>SUM(G162*'Data Links'!$B$13)</f>
        <v>18.792000000000002</v>
      </c>
      <c r="H164" s="66">
        <f>SUM(H162*'Data Links'!$B$13)</f>
        <v>18.792000000000002</v>
      </c>
      <c r="I164" s="66">
        <f>SUM(I162*'Data Links'!$B$13)</f>
        <v>18.792000000000002</v>
      </c>
      <c r="J164" s="66">
        <f>SUM(J162*'Data Links'!$B$13)</f>
        <v>18.792000000000002</v>
      </c>
      <c r="K164" s="66">
        <f>SUM(K162*'Data Links'!$B$13)</f>
        <v>18.792000000000002</v>
      </c>
      <c r="L164" s="66">
        <f>SUM(L162*'Data Links'!$B$13)</f>
        <v>18.792000000000002</v>
      </c>
      <c r="M164" s="66">
        <f>SUM(M162*'Data Links'!$B$13)</f>
        <v>18.792000000000002</v>
      </c>
      <c r="N164" s="66">
        <f>SUM(N162*'Data Links'!$B$13)</f>
        <v>18.792000000000002</v>
      </c>
    </row>
    <row r="165" spans="1:15" x14ac:dyDescent="0.2">
      <c r="A165" s="59" t="s">
        <v>190</v>
      </c>
      <c r="C165" s="66">
        <f>SUM(C161*'Data Links'!$B$8)</f>
        <v>13.5459</v>
      </c>
      <c r="D165" s="66">
        <f>SUM(D161*'Data Links'!$B$8)</f>
        <v>13.5459</v>
      </c>
      <c r="E165" s="66">
        <f>SUM(E161*'Data Links'!$B$8)</f>
        <v>13.5459</v>
      </c>
      <c r="F165" s="66">
        <f>SUM(F161*'Data Links'!$B$8)</f>
        <v>13.5459</v>
      </c>
      <c r="G165" s="66">
        <f>SUM(G161*'Data Links'!$B$8)</f>
        <v>13.5459</v>
      </c>
      <c r="H165" s="66">
        <f>SUM(H161*'Data Links'!$B$8)</f>
        <v>13.5459</v>
      </c>
      <c r="I165" s="66">
        <f>SUM(I161*'Data Links'!$B$8)</f>
        <v>13.5459</v>
      </c>
      <c r="J165" s="66">
        <f>SUM(J161*'Data Links'!$B$8)</f>
        <v>13.5459</v>
      </c>
      <c r="K165" s="66">
        <f>SUM(K161*'Data Links'!$B$8)</f>
        <v>13.5459</v>
      </c>
      <c r="L165" s="66">
        <f>SUM(L161*'Data Links'!$B$8)</f>
        <v>13.5459</v>
      </c>
      <c r="M165" s="66">
        <f>SUM(M161*'Data Links'!$B$8)</f>
        <v>13.5459</v>
      </c>
      <c r="N165" s="66">
        <f>SUM(N161*'Data Links'!$B$8)</f>
        <v>13.5459</v>
      </c>
    </row>
    <row r="166" spans="1:15" x14ac:dyDescent="0.2">
      <c r="A166" s="59" t="s">
        <v>191</v>
      </c>
      <c r="C166" s="66">
        <f>SUM('All Employees'!$P$43)</f>
        <v>396.6078</v>
      </c>
      <c r="D166" s="66">
        <f>SUM('All Employees'!$P$43)</f>
        <v>396.6078</v>
      </c>
      <c r="E166" s="66">
        <f>SUM('All Employees'!$P$43)</f>
        <v>396.6078</v>
      </c>
      <c r="F166" s="66">
        <f>SUM('All Employees'!$P$43)</f>
        <v>396.6078</v>
      </c>
      <c r="G166" s="66">
        <f>SUM('All Employees'!$P$43)</f>
        <v>396.6078</v>
      </c>
      <c r="H166" s="66">
        <f>SUM('All Employees'!$P$43)</f>
        <v>396.6078</v>
      </c>
      <c r="I166" s="66">
        <f>SUM('All Employees'!$P$43)</f>
        <v>396.6078</v>
      </c>
      <c r="J166" s="66">
        <f>SUM('All Employees'!$P$43)</f>
        <v>396.6078</v>
      </c>
      <c r="K166" s="66">
        <f>SUM('All Employees'!$P$43)</f>
        <v>396.6078</v>
      </c>
      <c r="L166" s="66">
        <f>SUM('All Employees'!$P$43)</f>
        <v>396.6078</v>
      </c>
      <c r="M166" s="66">
        <f>SUM('All Employees'!$P$43)</f>
        <v>396.6078</v>
      </c>
      <c r="N166" s="66">
        <f>SUM('All Employees'!$P$43)</f>
        <v>396.6078</v>
      </c>
    </row>
    <row r="167" spans="1:15" x14ac:dyDescent="0.2">
      <c r="A167" s="59" t="s">
        <v>192</v>
      </c>
      <c r="C167" s="66"/>
      <c r="D167" s="66"/>
      <c r="E167" s="66"/>
      <c r="F167" s="66"/>
      <c r="G167" s="66"/>
      <c r="H167" s="66"/>
      <c r="I167" s="66"/>
      <c r="J167" s="66"/>
      <c r="K167" s="66"/>
      <c r="L167" s="66"/>
      <c r="M167" s="66"/>
      <c r="N167" s="66"/>
      <c r="O167" s="140"/>
    </row>
    <row r="168" spans="1:15" s="58" customFormat="1" x14ac:dyDescent="0.2">
      <c r="A168" s="58" t="s">
        <v>144</v>
      </c>
      <c r="B168" s="60"/>
      <c r="C168" s="60">
        <f t="shared" ref="C168:N168" si="37">SUM(C162:C167)</f>
        <v>3800.5437000000002</v>
      </c>
      <c r="D168" s="60">
        <f t="shared" si="37"/>
        <v>3800.5437000000002</v>
      </c>
      <c r="E168" s="60">
        <f t="shared" si="37"/>
        <v>3800.5437000000002</v>
      </c>
      <c r="F168" s="60">
        <f t="shared" si="37"/>
        <v>3800.5437000000002</v>
      </c>
      <c r="G168" s="60">
        <f t="shared" si="37"/>
        <v>3800.5437000000002</v>
      </c>
      <c r="H168" s="60">
        <f t="shared" si="37"/>
        <v>3800.5437000000002</v>
      </c>
      <c r="I168" s="60">
        <f t="shared" si="37"/>
        <v>3800.5437000000002</v>
      </c>
      <c r="J168" s="60">
        <f t="shared" si="37"/>
        <v>3800.5437000000002</v>
      </c>
      <c r="K168" s="60">
        <f t="shared" si="37"/>
        <v>3800.5437000000002</v>
      </c>
      <c r="L168" s="60">
        <f t="shared" si="37"/>
        <v>3800.5437000000002</v>
      </c>
      <c r="M168" s="60">
        <f t="shared" si="37"/>
        <v>3800.5437000000002</v>
      </c>
      <c r="N168" s="60">
        <f t="shared" si="37"/>
        <v>3800.5437000000002</v>
      </c>
    </row>
    <row r="169" spans="1:15" x14ac:dyDescent="0.2">
      <c r="C169" s="60"/>
      <c r="D169" s="66"/>
      <c r="E169" s="66"/>
      <c r="F169" s="66"/>
      <c r="G169" s="66"/>
      <c r="H169" s="66"/>
      <c r="I169" s="66"/>
      <c r="J169" s="66"/>
      <c r="K169" s="66"/>
      <c r="L169" s="66"/>
      <c r="M169" s="66"/>
      <c r="N169" s="66"/>
    </row>
    <row r="170" spans="1:15" x14ac:dyDescent="0.2">
      <c r="C170" s="89" t="str">
        <f>C157</f>
        <v>January</v>
      </c>
      <c r="D170" s="89" t="str">
        <f t="shared" ref="D170:N170" si="38">D157</f>
        <v>February</v>
      </c>
      <c r="E170" s="89" t="str">
        <f t="shared" si="38"/>
        <v>March</v>
      </c>
      <c r="F170" s="89" t="str">
        <f t="shared" si="38"/>
        <v>April</v>
      </c>
      <c r="G170" s="89" t="str">
        <f t="shared" si="38"/>
        <v>May</v>
      </c>
      <c r="H170" s="89" t="str">
        <f t="shared" si="38"/>
        <v>June</v>
      </c>
      <c r="I170" s="89" t="str">
        <f t="shared" si="38"/>
        <v>July</v>
      </c>
      <c r="J170" s="89" t="str">
        <f t="shared" si="38"/>
        <v>August</v>
      </c>
      <c r="K170" s="89" t="str">
        <f t="shared" si="38"/>
        <v>September</v>
      </c>
      <c r="L170" s="89" t="str">
        <f t="shared" si="38"/>
        <v>October</v>
      </c>
      <c r="M170" s="89" t="str">
        <f t="shared" si="38"/>
        <v>November</v>
      </c>
      <c r="N170" s="89" t="str">
        <f t="shared" si="38"/>
        <v>December</v>
      </c>
    </row>
    <row r="171" spans="1:15" x14ac:dyDescent="0.2">
      <c r="C171" s="89">
        <f t="shared" ref="C171:N172" si="39">C158</f>
        <v>30</v>
      </c>
      <c r="D171" s="89">
        <f t="shared" si="39"/>
        <v>31</v>
      </c>
      <c r="E171" s="89">
        <f t="shared" si="39"/>
        <v>30</v>
      </c>
      <c r="F171" s="89">
        <f t="shared" si="39"/>
        <v>31</v>
      </c>
      <c r="G171" s="89">
        <f t="shared" si="39"/>
        <v>31</v>
      </c>
      <c r="H171" s="89">
        <f t="shared" si="39"/>
        <v>30</v>
      </c>
      <c r="I171" s="89">
        <f t="shared" si="39"/>
        <v>31</v>
      </c>
      <c r="J171" s="89">
        <f t="shared" si="39"/>
        <v>30</v>
      </c>
      <c r="K171" s="89">
        <f t="shared" si="39"/>
        <v>31</v>
      </c>
      <c r="L171" s="89">
        <f t="shared" si="39"/>
        <v>31</v>
      </c>
      <c r="M171" s="89">
        <f t="shared" si="39"/>
        <v>28</v>
      </c>
      <c r="N171" s="89">
        <f t="shared" si="39"/>
        <v>31</v>
      </c>
    </row>
    <row r="172" spans="1:15" x14ac:dyDescent="0.2">
      <c r="B172" s="89" t="s">
        <v>185</v>
      </c>
      <c r="C172" s="78">
        <f t="shared" si="39"/>
        <v>0</v>
      </c>
      <c r="D172" s="78">
        <f t="shared" si="39"/>
        <v>1</v>
      </c>
      <c r="E172" s="78">
        <f t="shared" si="39"/>
        <v>0</v>
      </c>
      <c r="F172" s="78">
        <f t="shared" si="39"/>
        <v>1</v>
      </c>
      <c r="G172" s="78">
        <f t="shared" si="39"/>
        <v>0</v>
      </c>
      <c r="H172" s="78">
        <f t="shared" si="39"/>
        <v>1</v>
      </c>
      <c r="I172" s="78">
        <f t="shared" si="39"/>
        <v>1</v>
      </c>
      <c r="J172" s="78">
        <f t="shared" si="39"/>
        <v>1</v>
      </c>
      <c r="K172" s="78">
        <f t="shared" si="39"/>
        <v>1</v>
      </c>
      <c r="L172" s="78">
        <f t="shared" si="39"/>
        <v>2</v>
      </c>
      <c r="M172" s="78">
        <f t="shared" si="39"/>
        <v>1</v>
      </c>
      <c r="N172" s="78">
        <f t="shared" si="39"/>
        <v>0</v>
      </c>
    </row>
    <row r="173" spans="1:15" x14ac:dyDescent="0.2">
      <c r="B173" s="89" t="s">
        <v>44</v>
      </c>
      <c r="C173" s="49">
        <v>1</v>
      </c>
      <c r="D173" s="49">
        <v>1</v>
      </c>
      <c r="E173" s="49">
        <v>1</v>
      </c>
      <c r="F173" s="49">
        <v>1</v>
      </c>
      <c r="G173" s="49">
        <v>1</v>
      </c>
      <c r="H173" s="49">
        <v>1</v>
      </c>
      <c r="I173" s="49">
        <v>1</v>
      </c>
      <c r="J173" s="49">
        <v>1</v>
      </c>
      <c r="K173" s="49">
        <v>1</v>
      </c>
      <c r="L173" s="49">
        <v>1</v>
      </c>
      <c r="M173" s="49">
        <v>1</v>
      </c>
      <c r="N173" s="49">
        <v>1</v>
      </c>
    </row>
    <row r="174" spans="1:15" x14ac:dyDescent="0.2">
      <c r="B174" s="89" t="s">
        <v>186</v>
      </c>
      <c r="C174" s="53">
        <f>SUM(174*C173)</f>
        <v>174</v>
      </c>
      <c r="D174" s="53">
        <f t="shared" ref="D174:N174" si="40">SUM(174*D173)</f>
        <v>174</v>
      </c>
      <c r="E174" s="53">
        <f t="shared" si="40"/>
        <v>174</v>
      </c>
      <c r="F174" s="53">
        <f t="shared" si="40"/>
        <v>174</v>
      </c>
      <c r="G174" s="53">
        <f t="shared" si="40"/>
        <v>174</v>
      </c>
      <c r="H174" s="53">
        <f t="shared" si="40"/>
        <v>174</v>
      </c>
      <c r="I174" s="53">
        <f t="shared" si="40"/>
        <v>174</v>
      </c>
      <c r="J174" s="53">
        <f t="shared" si="40"/>
        <v>174</v>
      </c>
      <c r="K174" s="53">
        <f t="shared" si="40"/>
        <v>174</v>
      </c>
      <c r="L174" s="53">
        <f t="shared" si="40"/>
        <v>174</v>
      </c>
      <c r="M174" s="53">
        <f t="shared" si="40"/>
        <v>174</v>
      </c>
      <c r="N174" s="53">
        <f t="shared" si="40"/>
        <v>174</v>
      </c>
    </row>
    <row r="175" spans="1:15" x14ac:dyDescent="0.2">
      <c r="A175" s="59" t="s">
        <v>393</v>
      </c>
      <c r="B175" s="78" t="s">
        <v>270</v>
      </c>
      <c r="C175" s="66">
        <f>SUM(C174*$B$176)</f>
        <v>2784</v>
      </c>
      <c r="D175" s="66">
        <f t="shared" ref="D175:N175" si="41">SUM(D174*$B$176)</f>
        <v>2784</v>
      </c>
      <c r="E175" s="66">
        <f t="shared" si="41"/>
        <v>2784</v>
      </c>
      <c r="F175" s="66">
        <f t="shared" si="41"/>
        <v>2784</v>
      </c>
      <c r="G175" s="66">
        <f t="shared" si="41"/>
        <v>2784</v>
      </c>
      <c r="H175" s="66">
        <f t="shared" si="41"/>
        <v>2784</v>
      </c>
      <c r="I175" s="66">
        <f t="shared" si="41"/>
        <v>2784</v>
      </c>
      <c r="J175" s="66">
        <f t="shared" si="41"/>
        <v>2784</v>
      </c>
      <c r="K175" s="66">
        <f t="shared" si="41"/>
        <v>2784</v>
      </c>
      <c r="L175" s="66">
        <f t="shared" si="41"/>
        <v>2784</v>
      </c>
      <c r="M175" s="66">
        <f t="shared" si="41"/>
        <v>2784</v>
      </c>
      <c r="N175" s="66">
        <f t="shared" si="41"/>
        <v>2784</v>
      </c>
      <c r="O175" s="140">
        <f>SUM(C175:N175)</f>
        <v>33408</v>
      </c>
    </row>
    <row r="176" spans="1:15" x14ac:dyDescent="0.2">
      <c r="A176" s="59" t="s">
        <v>188</v>
      </c>
      <c r="B176" s="74">
        <v>16</v>
      </c>
      <c r="C176" s="66">
        <f>SUM(C175)*'Data Links'!$B$15</f>
        <v>212.976</v>
      </c>
      <c r="D176" s="66">
        <f>SUM(D175)*'Data Links'!$B$15</f>
        <v>212.976</v>
      </c>
      <c r="E176" s="66">
        <f>SUM(E175)*'Data Links'!$B$15</f>
        <v>212.976</v>
      </c>
      <c r="F176" s="66">
        <f>SUM(F175)*'Data Links'!$B$15</f>
        <v>212.976</v>
      </c>
      <c r="G176" s="66">
        <f>SUM(G175)*'Data Links'!$B$15</f>
        <v>212.976</v>
      </c>
      <c r="H176" s="66">
        <f>SUM(H175)*'Data Links'!$B$15</f>
        <v>212.976</v>
      </c>
      <c r="I176" s="66">
        <f>SUM(I175)*'Data Links'!$B$15</f>
        <v>212.976</v>
      </c>
      <c r="J176" s="66">
        <f>SUM(J175)*'Data Links'!$B$15</f>
        <v>212.976</v>
      </c>
      <c r="K176" s="66">
        <f>SUM(K175)*'Data Links'!$B$15</f>
        <v>212.976</v>
      </c>
      <c r="L176" s="66">
        <f>SUM(L175)*'Data Links'!$B$15</f>
        <v>212.976</v>
      </c>
      <c r="M176" s="66">
        <f>SUM(M175)*'Data Links'!$B$15</f>
        <v>212.976</v>
      </c>
      <c r="N176" s="66">
        <f>SUM(N175)*'Data Links'!$B$15</f>
        <v>212.976</v>
      </c>
    </row>
    <row r="177" spans="1:15" x14ac:dyDescent="0.2">
      <c r="A177" s="59" t="s">
        <v>189</v>
      </c>
      <c r="B177" s="74">
        <v>15.07</v>
      </c>
      <c r="C177" s="66">
        <f>SUM(C175*'Data Links'!$B$13)</f>
        <v>16.704000000000001</v>
      </c>
      <c r="D177" s="66">
        <f>SUM(D175*'Data Links'!$B$13)</f>
        <v>16.704000000000001</v>
      </c>
      <c r="E177" s="66">
        <f>SUM(E175*'Data Links'!$B$13)</f>
        <v>16.704000000000001</v>
      </c>
      <c r="F177" s="66">
        <f>SUM(F175*'Data Links'!$B$13)</f>
        <v>16.704000000000001</v>
      </c>
      <c r="G177" s="66">
        <f>SUM(G175*'Data Links'!$B$13)</f>
        <v>16.704000000000001</v>
      </c>
      <c r="H177" s="66">
        <f>SUM(H175*'Data Links'!$B$13)</f>
        <v>16.704000000000001</v>
      </c>
      <c r="I177" s="66">
        <f>SUM(I175*'Data Links'!$B$13)</f>
        <v>16.704000000000001</v>
      </c>
      <c r="J177" s="66">
        <f>SUM(J175*'Data Links'!$B$13)</f>
        <v>16.704000000000001</v>
      </c>
      <c r="K177" s="66">
        <f>SUM(K175*'Data Links'!$B$13)</f>
        <v>16.704000000000001</v>
      </c>
      <c r="L177" s="66">
        <f>SUM(L175*'Data Links'!$B$13)</f>
        <v>16.704000000000001</v>
      </c>
      <c r="M177" s="66">
        <f>SUM(M175*'Data Links'!$B$13)</f>
        <v>16.704000000000001</v>
      </c>
      <c r="N177" s="66">
        <f>SUM(N175*'Data Links'!$B$13)</f>
        <v>16.704000000000001</v>
      </c>
    </row>
    <row r="178" spans="1:15" x14ac:dyDescent="0.2">
      <c r="A178" s="59" t="s">
        <v>190</v>
      </c>
      <c r="C178" s="66">
        <f>SUM(C174*'Data Links'!$B$8)</f>
        <v>13.5459</v>
      </c>
      <c r="D178" s="66">
        <f>SUM(D174*'Data Links'!$B$8)</f>
        <v>13.5459</v>
      </c>
      <c r="E178" s="66">
        <f>SUM(E174*'Data Links'!$B$8)</f>
        <v>13.5459</v>
      </c>
      <c r="F178" s="66">
        <f>SUM(F174*'Data Links'!$B$8)</f>
        <v>13.5459</v>
      </c>
      <c r="G178" s="66">
        <f>SUM(G174*'Data Links'!$B$8)</f>
        <v>13.5459</v>
      </c>
      <c r="H178" s="66">
        <f>SUM(H174*'Data Links'!$B$8)</f>
        <v>13.5459</v>
      </c>
      <c r="I178" s="66">
        <f>SUM(I174*'Data Links'!$B$8)</f>
        <v>13.5459</v>
      </c>
      <c r="J178" s="66">
        <f>SUM(J174*'Data Links'!$B$8)</f>
        <v>13.5459</v>
      </c>
      <c r="K178" s="66">
        <f>SUM(K174*'Data Links'!$B$8)</f>
        <v>13.5459</v>
      </c>
      <c r="L178" s="66">
        <f>SUM(L174*'Data Links'!$B$8)</f>
        <v>13.5459</v>
      </c>
      <c r="M178" s="66">
        <f>SUM(M174*'Data Links'!$B$8)</f>
        <v>13.5459</v>
      </c>
      <c r="N178" s="66">
        <f>SUM(N174*'Data Links'!$B$8)</f>
        <v>13.5459</v>
      </c>
    </row>
    <row r="179" spans="1:15" x14ac:dyDescent="0.2">
      <c r="A179" s="59" t="s">
        <v>191</v>
      </c>
      <c r="C179" s="66">
        <f>SUM('All Employees'!$P$44)</f>
        <v>396.6078</v>
      </c>
      <c r="D179" s="66">
        <f>SUM('All Employees'!$P$44)</f>
        <v>396.6078</v>
      </c>
      <c r="E179" s="66">
        <f>SUM('All Employees'!$P$44)</f>
        <v>396.6078</v>
      </c>
      <c r="F179" s="66">
        <f>SUM('All Employees'!$P$44)</f>
        <v>396.6078</v>
      </c>
      <c r="G179" s="66">
        <f>SUM('All Employees'!$P$44)</f>
        <v>396.6078</v>
      </c>
      <c r="H179" s="66">
        <f>SUM('All Employees'!$P$44)</f>
        <v>396.6078</v>
      </c>
      <c r="I179" s="66">
        <f>SUM('All Employees'!$P$44)</f>
        <v>396.6078</v>
      </c>
      <c r="J179" s="66">
        <f>SUM('All Employees'!$P$44)</f>
        <v>396.6078</v>
      </c>
      <c r="K179" s="66">
        <f>SUM('All Employees'!$P$44)</f>
        <v>396.6078</v>
      </c>
      <c r="L179" s="66">
        <f>SUM('All Employees'!$P$44)</f>
        <v>396.6078</v>
      </c>
      <c r="M179" s="66">
        <f>SUM('All Employees'!$P$44)</f>
        <v>396.6078</v>
      </c>
      <c r="N179" s="66">
        <f>SUM('All Employees'!$P$44)</f>
        <v>396.6078</v>
      </c>
    </row>
    <row r="180" spans="1:15" x14ac:dyDescent="0.2">
      <c r="A180" s="59" t="s">
        <v>192</v>
      </c>
      <c r="C180" s="66">
        <f>SUM(C175*'Data Links'!$B$17)</f>
        <v>83.52</v>
      </c>
      <c r="D180" s="66">
        <f>SUM(D175*'Data Links'!$B$17)</f>
        <v>83.52</v>
      </c>
      <c r="E180" s="66">
        <f>SUM(E175*'Data Links'!$B$17)</f>
        <v>83.52</v>
      </c>
      <c r="F180" s="66">
        <f>SUM(F175*'Data Links'!$B$17)</f>
        <v>83.52</v>
      </c>
      <c r="G180" s="66">
        <f>SUM(G175*'Data Links'!$B$17)</f>
        <v>83.52</v>
      </c>
      <c r="H180" s="66">
        <f>SUM(H175*'Data Links'!$B$17)</f>
        <v>83.52</v>
      </c>
      <c r="I180" s="66">
        <f>SUM(I175*'Data Links'!$B$17)</f>
        <v>83.52</v>
      </c>
      <c r="J180" s="66">
        <f>SUM(J175*'Data Links'!$B$17)</f>
        <v>83.52</v>
      </c>
      <c r="K180" s="66">
        <f>SUM(K175*'Data Links'!$B$17)</f>
        <v>83.52</v>
      </c>
      <c r="L180" s="66">
        <f>SUM(L175*'Data Links'!$B$17)</f>
        <v>83.52</v>
      </c>
      <c r="M180" s="66">
        <f>SUM(M175*'Data Links'!$B$17)</f>
        <v>83.52</v>
      </c>
      <c r="N180" s="66">
        <f>SUM(N175*'Data Links'!$B$17)</f>
        <v>83.52</v>
      </c>
      <c r="O180" s="140">
        <f>SUM(C176:N180)</f>
        <v>8680.2444000000069</v>
      </c>
    </row>
    <row r="181" spans="1:15" s="58" customFormat="1" x14ac:dyDescent="0.2">
      <c r="A181" s="58" t="s">
        <v>144</v>
      </c>
      <c r="B181" s="60"/>
      <c r="C181" s="60">
        <f t="shared" ref="C181:N181" si="42">SUM(C175:C180)</f>
        <v>3507.3537000000001</v>
      </c>
      <c r="D181" s="60">
        <f t="shared" si="42"/>
        <v>3507.3537000000001</v>
      </c>
      <c r="E181" s="60">
        <f t="shared" si="42"/>
        <v>3507.3537000000001</v>
      </c>
      <c r="F181" s="60">
        <f t="shared" si="42"/>
        <v>3507.3537000000001</v>
      </c>
      <c r="G181" s="60">
        <f t="shared" si="42"/>
        <v>3507.3537000000001</v>
      </c>
      <c r="H181" s="60">
        <f t="shared" si="42"/>
        <v>3507.3537000000001</v>
      </c>
      <c r="I181" s="60">
        <f t="shared" si="42"/>
        <v>3507.3537000000001</v>
      </c>
      <c r="J181" s="60">
        <f t="shared" si="42"/>
        <v>3507.3537000000001</v>
      </c>
      <c r="K181" s="60">
        <f t="shared" si="42"/>
        <v>3507.3537000000001</v>
      </c>
      <c r="L181" s="60">
        <f t="shared" si="42"/>
        <v>3507.3537000000001</v>
      </c>
      <c r="M181" s="60">
        <f t="shared" si="42"/>
        <v>3507.3537000000001</v>
      </c>
      <c r="N181" s="60">
        <f t="shared" si="42"/>
        <v>3507.3537000000001</v>
      </c>
    </row>
    <row r="182" spans="1:15" x14ac:dyDescent="0.2">
      <c r="C182" s="60"/>
      <c r="D182" s="66"/>
      <c r="E182" s="66"/>
      <c r="F182" s="66"/>
      <c r="G182" s="66"/>
      <c r="H182" s="66"/>
      <c r="I182" s="66"/>
      <c r="J182" s="66"/>
      <c r="K182" s="66"/>
      <c r="L182" s="66"/>
      <c r="M182" s="66"/>
      <c r="N182" s="66"/>
    </row>
    <row r="183" spans="1:15" x14ac:dyDescent="0.2">
      <c r="C183" s="89" t="str">
        <f>C170</f>
        <v>January</v>
      </c>
      <c r="D183" s="89" t="str">
        <f t="shared" ref="D183:N183" si="43">D170</f>
        <v>February</v>
      </c>
      <c r="E183" s="89" t="str">
        <f t="shared" si="43"/>
        <v>March</v>
      </c>
      <c r="F183" s="89" t="str">
        <f t="shared" si="43"/>
        <v>April</v>
      </c>
      <c r="G183" s="89" t="str">
        <f t="shared" si="43"/>
        <v>May</v>
      </c>
      <c r="H183" s="89" t="str">
        <f t="shared" si="43"/>
        <v>June</v>
      </c>
      <c r="I183" s="89" t="str">
        <f t="shared" si="43"/>
        <v>July</v>
      </c>
      <c r="J183" s="89" t="str">
        <f t="shared" si="43"/>
        <v>August</v>
      </c>
      <c r="K183" s="89" t="str">
        <f t="shared" si="43"/>
        <v>September</v>
      </c>
      <c r="L183" s="89" t="str">
        <f t="shared" si="43"/>
        <v>October</v>
      </c>
      <c r="M183" s="89" t="str">
        <f t="shared" si="43"/>
        <v>November</v>
      </c>
      <c r="N183" s="89" t="str">
        <f t="shared" si="43"/>
        <v>December</v>
      </c>
    </row>
    <row r="184" spans="1:15" x14ac:dyDescent="0.2">
      <c r="C184" s="89">
        <f t="shared" ref="C184:N185" si="44">C171</f>
        <v>30</v>
      </c>
      <c r="D184" s="89">
        <f t="shared" si="44"/>
        <v>31</v>
      </c>
      <c r="E184" s="89">
        <f t="shared" si="44"/>
        <v>30</v>
      </c>
      <c r="F184" s="89">
        <f t="shared" si="44"/>
        <v>31</v>
      </c>
      <c r="G184" s="89">
        <f t="shared" si="44"/>
        <v>31</v>
      </c>
      <c r="H184" s="89">
        <f t="shared" si="44"/>
        <v>30</v>
      </c>
      <c r="I184" s="89">
        <f t="shared" si="44"/>
        <v>31</v>
      </c>
      <c r="J184" s="89">
        <f t="shared" si="44"/>
        <v>30</v>
      </c>
      <c r="K184" s="89">
        <f t="shared" si="44"/>
        <v>31</v>
      </c>
      <c r="L184" s="89">
        <f t="shared" si="44"/>
        <v>31</v>
      </c>
      <c r="M184" s="89">
        <f t="shared" si="44"/>
        <v>28</v>
      </c>
      <c r="N184" s="89">
        <f t="shared" si="44"/>
        <v>31</v>
      </c>
    </row>
    <row r="185" spans="1:15" x14ac:dyDescent="0.2">
      <c r="B185" s="78" t="s">
        <v>185</v>
      </c>
      <c r="C185" s="78">
        <f t="shared" si="44"/>
        <v>0</v>
      </c>
      <c r="D185" s="78">
        <f t="shared" si="44"/>
        <v>1</v>
      </c>
      <c r="E185" s="78">
        <f t="shared" si="44"/>
        <v>0</v>
      </c>
      <c r="F185" s="78">
        <f t="shared" si="44"/>
        <v>1</v>
      </c>
      <c r="G185" s="78">
        <f t="shared" si="44"/>
        <v>0</v>
      </c>
      <c r="H185" s="78">
        <f t="shared" si="44"/>
        <v>1</v>
      </c>
      <c r="I185" s="78">
        <f t="shared" si="44"/>
        <v>1</v>
      </c>
      <c r="J185" s="78">
        <f t="shared" si="44"/>
        <v>1</v>
      </c>
      <c r="K185" s="78">
        <f t="shared" si="44"/>
        <v>1</v>
      </c>
      <c r="L185" s="78">
        <f t="shared" si="44"/>
        <v>2</v>
      </c>
      <c r="M185" s="78">
        <f t="shared" si="44"/>
        <v>1</v>
      </c>
      <c r="N185" s="78">
        <f t="shared" si="44"/>
        <v>0</v>
      </c>
    </row>
    <row r="186" spans="1:15" x14ac:dyDescent="0.2">
      <c r="B186" s="78" t="s">
        <v>44</v>
      </c>
      <c r="C186" s="49">
        <v>0.1</v>
      </c>
      <c r="D186" s="49">
        <v>0.1</v>
      </c>
      <c r="E186" s="49">
        <v>0.1</v>
      </c>
      <c r="F186" s="49">
        <v>0.1</v>
      </c>
      <c r="G186" s="49">
        <v>0.1</v>
      </c>
      <c r="H186" s="49">
        <v>0.1</v>
      </c>
      <c r="I186" s="49">
        <v>0.1</v>
      </c>
      <c r="J186" s="49">
        <v>0.1</v>
      </c>
      <c r="K186" s="49">
        <v>0.1</v>
      </c>
      <c r="L186" s="49">
        <v>0.1</v>
      </c>
      <c r="M186" s="49">
        <v>0.1</v>
      </c>
      <c r="N186" s="49">
        <v>0.1</v>
      </c>
    </row>
    <row r="187" spans="1:15" x14ac:dyDescent="0.2">
      <c r="B187" s="78" t="s">
        <v>186</v>
      </c>
      <c r="C187" s="53">
        <f>SUM(174*C186)</f>
        <v>17.400000000000002</v>
      </c>
      <c r="D187" s="53">
        <f t="shared" ref="D187:N187" si="45">SUM(174*D186)</f>
        <v>17.400000000000002</v>
      </c>
      <c r="E187" s="53">
        <f t="shared" si="45"/>
        <v>17.400000000000002</v>
      </c>
      <c r="F187" s="53">
        <f t="shared" si="45"/>
        <v>17.400000000000002</v>
      </c>
      <c r="G187" s="53">
        <f t="shared" si="45"/>
        <v>17.400000000000002</v>
      </c>
      <c r="H187" s="53">
        <f t="shared" si="45"/>
        <v>17.400000000000002</v>
      </c>
      <c r="I187" s="53">
        <f t="shared" si="45"/>
        <v>17.400000000000002</v>
      </c>
      <c r="J187" s="53">
        <f t="shared" si="45"/>
        <v>17.400000000000002</v>
      </c>
      <c r="K187" s="53">
        <f t="shared" si="45"/>
        <v>17.400000000000002</v>
      </c>
      <c r="L187" s="53">
        <f t="shared" si="45"/>
        <v>17.400000000000002</v>
      </c>
      <c r="M187" s="53">
        <f t="shared" si="45"/>
        <v>17.400000000000002</v>
      </c>
      <c r="N187" s="53">
        <f t="shared" si="45"/>
        <v>17.400000000000002</v>
      </c>
    </row>
    <row r="188" spans="1:15" x14ac:dyDescent="0.2">
      <c r="A188" s="59" t="s">
        <v>394</v>
      </c>
      <c r="B188" s="78" t="s">
        <v>395</v>
      </c>
      <c r="C188" s="66">
        <f>SUM(C187*$B$189)</f>
        <v>200.10000000000002</v>
      </c>
      <c r="D188" s="66">
        <f t="shared" ref="D188:N188" si="46">SUM(D187*$B$189)</f>
        <v>200.10000000000002</v>
      </c>
      <c r="E188" s="66">
        <f t="shared" si="46"/>
        <v>200.10000000000002</v>
      </c>
      <c r="F188" s="66">
        <f t="shared" si="46"/>
        <v>200.10000000000002</v>
      </c>
      <c r="G188" s="66">
        <f t="shared" si="46"/>
        <v>200.10000000000002</v>
      </c>
      <c r="H188" s="66">
        <f t="shared" si="46"/>
        <v>200.10000000000002</v>
      </c>
      <c r="I188" s="66">
        <f t="shared" si="46"/>
        <v>200.10000000000002</v>
      </c>
      <c r="J188" s="66">
        <f t="shared" si="46"/>
        <v>200.10000000000002</v>
      </c>
      <c r="K188" s="66">
        <f t="shared" si="46"/>
        <v>200.10000000000002</v>
      </c>
      <c r="L188" s="66">
        <f t="shared" si="46"/>
        <v>200.10000000000002</v>
      </c>
      <c r="M188" s="66">
        <f t="shared" si="46"/>
        <v>200.10000000000002</v>
      </c>
      <c r="N188" s="66">
        <f t="shared" si="46"/>
        <v>200.10000000000002</v>
      </c>
      <c r="O188" s="140">
        <f>SUM(C188:N188)</f>
        <v>2401.1999999999998</v>
      </c>
    </row>
    <row r="189" spans="1:15" x14ac:dyDescent="0.2">
      <c r="A189" s="59" t="s">
        <v>188</v>
      </c>
      <c r="B189" s="74">
        <v>11.5</v>
      </c>
      <c r="C189" s="66">
        <f>SUM(C188)*'Data Links'!$B$15</f>
        <v>15.307650000000001</v>
      </c>
      <c r="D189" s="66">
        <f>SUM(D188)*'Data Links'!$B$15</f>
        <v>15.307650000000001</v>
      </c>
      <c r="E189" s="66">
        <f>SUM(E188)*'Data Links'!$B$15</f>
        <v>15.307650000000001</v>
      </c>
      <c r="F189" s="66">
        <f>SUM(F188)*'Data Links'!$B$15</f>
        <v>15.307650000000001</v>
      </c>
      <c r="G189" s="66">
        <f>SUM(G188)*'Data Links'!$B$15</f>
        <v>15.307650000000001</v>
      </c>
      <c r="H189" s="66">
        <f>SUM(H188)*'Data Links'!$B$15</f>
        <v>15.307650000000001</v>
      </c>
      <c r="I189" s="66">
        <f>SUM(I188)*'Data Links'!$B$15</f>
        <v>15.307650000000001</v>
      </c>
      <c r="J189" s="66">
        <f>SUM(J188)*'Data Links'!$B$15</f>
        <v>15.307650000000001</v>
      </c>
      <c r="K189" s="66">
        <f>SUM(K188)*'Data Links'!$B$15</f>
        <v>15.307650000000001</v>
      </c>
      <c r="L189" s="66">
        <f>SUM(L188)*'Data Links'!$B$15</f>
        <v>15.307650000000001</v>
      </c>
      <c r="M189" s="66">
        <f>SUM(M188)*'Data Links'!$B$15</f>
        <v>15.307650000000001</v>
      </c>
      <c r="N189" s="66">
        <f>SUM(N188)*'Data Links'!$B$15</f>
        <v>15.307650000000001</v>
      </c>
    </row>
    <row r="190" spans="1:15" x14ac:dyDescent="0.2">
      <c r="A190" s="59" t="s">
        <v>189</v>
      </c>
      <c r="C190" s="66">
        <f>SUM(C188*'Data Links'!$B$13)</f>
        <v>1.2006000000000001</v>
      </c>
      <c r="D190" s="66">
        <f>SUM(D188*'Data Links'!$B$13)</f>
        <v>1.2006000000000001</v>
      </c>
      <c r="E190" s="66">
        <f>SUM(E188*'Data Links'!$B$13)</f>
        <v>1.2006000000000001</v>
      </c>
      <c r="F190" s="66">
        <f>SUM(F188*'Data Links'!$B$13)</f>
        <v>1.2006000000000001</v>
      </c>
      <c r="G190" s="66">
        <f>SUM(G188*'Data Links'!$B$13)</f>
        <v>1.2006000000000001</v>
      </c>
      <c r="H190" s="66">
        <f>SUM(H188*'Data Links'!$B$13)</f>
        <v>1.2006000000000001</v>
      </c>
      <c r="I190" s="66">
        <f>SUM(I188*'Data Links'!$B$13)</f>
        <v>1.2006000000000001</v>
      </c>
      <c r="J190" s="66">
        <f>SUM(J188*'Data Links'!$B$13)</f>
        <v>1.2006000000000001</v>
      </c>
      <c r="K190" s="66">
        <f>SUM(K188*'Data Links'!$B$13)</f>
        <v>1.2006000000000001</v>
      </c>
      <c r="L190" s="66">
        <f>SUM(L188*'Data Links'!$B$13)</f>
        <v>1.2006000000000001</v>
      </c>
      <c r="M190" s="66">
        <f>SUM(M188*'Data Links'!$B$13)</f>
        <v>1.2006000000000001</v>
      </c>
      <c r="N190" s="66">
        <f>SUM(N188*'Data Links'!$B$13)</f>
        <v>1.2006000000000001</v>
      </c>
    </row>
    <row r="191" spans="1:15" x14ac:dyDescent="0.2">
      <c r="A191" s="59" t="s">
        <v>190</v>
      </c>
      <c r="C191" s="66">
        <f>SUM(C187*'Data Links'!$B$8)</f>
        <v>1.3545900000000002</v>
      </c>
      <c r="D191" s="66">
        <f>SUM(D187*'Data Links'!$B$8)</f>
        <v>1.3545900000000002</v>
      </c>
      <c r="E191" s="66">
        <f>SUM(E187*'Data Links'!$B$8)</f>
        <v>1.3545900000000002</v>
      </c>
      <c r="F191" s="66">
        <f>SUM(F187*'Data Links'!$B$8)</f>
        <v>1.3545900000000002</v>
      </c>
      <c r="G191" s="66">
        <f>SUM(G187*'Data Links'!$B$8)</f>
        <v>1.3545900000000002</v>
      </c>
      <c r="H191" s="66">
        <f>SUM(H187*'Data Links'!$B$8)</f>
        <v>1.3545900000000002</v>
      </c>
      <c r="I191" s="66">
        <f>SUM(I187*'Data Links'!$B$8)</f>
        <v>1.3545900000000002</v>
      </c>
      <c r="J191" s="66">
        <f>SUM(J187*'Data Links'!$B$8)</f>
        <v>1.3545900000000002</v>
      </c>
      <c r="K191" s="66">
        <f>SUM(K187*'Data Links'!$B$8)</f>
        <v>1.3545900000000002</v>
      </c>
      <c r="L191" s="66">
        <f>SUM(L187*'Data Links'!$B$8)</f>
        <v>1.3545900000000002</v>
      </c>
      <c r="M191" s="66">
        <f>SUM(M187*'Data Links'!$B$8)</f>
        <v>1.3545900000000002</v>
      </c>
      <c r="N191" s="66">
        <f>SUM(N187*'Data Links'!$B$8)</f>
        <v>1.3545900000000002</v>
      </c>
    </row>
    <row r="192" spans="1:15" x14ac:dyDescent="0.2">
      <c r="A192" s="59" t="s">
        <v>191</v>
      </c>
      <c r="C192" s="66"/>
      <c r="D192" s="66"/>
      <c r="E192" s="66"/>
      <c r="F192" s="66"/>
      <c r="G192" s="66"/>
      <c r="H192" s="66"/>
      <c r="I192" s="66"/>
      <c r="J192" s="66"/>
      <c r="K192" s="66"/>
      <c r="L192" s="66"/>
      <c r="M192" s="66"/>
      <c r="N192" s="66"/>
    </row>
    <row r="193" spans="1:15" x14ac:dyDescent="0.2">
      <c r="A193" s="59" t="s">
        <v>192</v>
      </c>
      <c r="C193" s="66"/>
      <c r="D193" s="66"/>
      <c r="E193" s="66"/>
      <c r="F193" s="66"/>
      <c r="G193" s="66"/>
      <c r="H193" s="66"/>
      <c r="I193" s="66"/>
      <c r="J193" s="66"/>
      <c r="K193" s="66"/>
      <c r="L193" s="66"/>
      <c r="M193" s="66"/>
      <c r="N193" s="66"/>
      <c r="O193" s="140">
        <f>SUM(C189:N193)</f>
        <v>214.3540800000001</v>
      </c>
    </row>
    <row r="194" spans="1:15" s="58" customFormat="1" x14ac:dyDescent="0.2">
      <c r="A194" s="58" t="s">
        <v>144</v>
      </c>
      <c r="B194" s="60"/>
      <c r="C194" s="60">
        <f t="shared" ref="C194:N194" si="47">SUM(C188:C193)</f>
        <v>217.96284000000003</v>
      </c>
      <c r="D194" s="60">
        <f t="shared" si="47"/>
        <v>217.96284000000003</v>
      </c>
      <c r="E194" s="60">
        <f t="shared" si="47"/>
        <v>217.96284000000003</v>
      </c>
      <c r="F194" s="60">
        <f t="shared" si="47"/>
        <v>217.96284000000003</v>
      </c>
      <c r="G194" s="60">
        <f t="shared" si="47"/>
        <v>217.96284000000003</v>
      </c>
      <c r="H194" s="60">
        <f t="shared" si="47"/>
        <v>217.96284000000003</v>
      </c>
      <c r="I194" s="60">
        <f t="shared" si="47"/>
        <v>217.96284000000003</v>
      </c>
      <c r="J194" s="60">
        <f t="shared" si="47"/>
        <v>217.96284000000003</v>
      </c>
      <c r="K194" s="60">
        <f t="shared" si="47"/>
        <v>217.96284000000003</v>
      </c>
      <c r="L194" s="60">
        <f t="shared" si="47"/>
        <v>217.96284000000003</v>
      </c>
      <c r="M194" s="60">
        <f t="shared" si="47"/>
        <v>217.96284000000003</v>
      </c>
      <c r="N194" s="60">
        <f t="shared" si="47"/>
        <v>217.96284000000003</v>
      </c>
    </row>
    <row r="195" spans="1:15" x14ac:dyDescent="0.2">
      <c r="C195" s="60"/>
      <c r="D195" s="66"/>
      <c r="E195" s="66"/>
      <c r="F195" s="66"/>
      <c r="G195" s="66"/>
      <c r="H195" s="66"/>
      <c r="I195" s="66"/>
      <c r="J195" s="66"/>
      <c r="K195" s="66"/>
      <c r="L195" s="66"/>
      <c r="M195" s="66"/>
      <c r="N195" s="66"/>
    </row>
    <row r="196" spans="1:15" x14ac:dyDescent="0.2">
      <c r="C196" s="89" t="str">
        <f>C183</f>
        <v>January</v>
      </c>
      <c r="D196" s="89" t="str">
        <f t="shared" ref="D196:M196" si="48">D183</f>
        <v>February</v>
      </c>
      <c r="E196" s="89" t="str">
        <f t="shared" si="48"/>
        <v>March</v>
      </c>
      <c r="F196" s="89" t="str">
        <f t="shared" si="48"/>
        <v>April</v>
      </c>
      <c r="G196" s="89" t="str">
        <f t="shared" si="48"/>
        <v>May</v>
      </c>
      <c r="H196" s="89" t="str">
        <f t="shared" si="48"/>
        <v>June</v>
      </c>
      <c r="I196" s="89" t="str">
        <f t="shared" si="48"/>
        <v>July</v>
      </c>
      <c r="J196" s="89" t="str">
        <f t="shared" si="48"/>
        <v>August</v>
      </c>
      <c r="K196" s="89" t="str">
        <f t="shared" si="48"/>
        <v>September</v>
      </c>
      <c r="L196" s="89" t="str">
        <f t="shared" si="48"/>
        <v>October</v>
      </c>
      <c r="M196" s="89" t="str">
        <f t="shared" si="48"/>
        <v>November</v>
      </c>
      <c r="N196" s="89" t="str">
        <f>N183</f>
        <v>December</v>
      </c>
    </row>
    <row r="197" spans="1:15" x14ac:dyDescent="0.2">
      <c r="C197" s="89">
        <f t="shared" ref="C197:N198" si="49">C184</f>
        <v>30</v>
      </c>
      <c r="D197" s="89">
        <f t="shared" si="49"/>
        <v>31</v>
      </c>
      <c r="E197" s="89">
        <f t="shared" si="49"/>
        <v>30</v>
      </c>
      <c r="F197" s="89">
        <f t="shared" si="49"/>
        <v>31</v>
      </c>
      <c r="G197" s="89">
        <f t="shared" si="49"/>
        <v>31</v>
      </c>
      <c r="H197" s="89">
        <f t="shared" si="49"/>
        <v>30</v>
      </c>
      <c r="I197" s="89">
        <f t="shared" si="49"/>
        <v>31</v>
      </c>
      <c r="J197" s="89">
        <f t="shared" si="49"/>
        <v>30</v>
      </c>
      <c r="K197" s="89">
        <f t="shared" si="49"/>
        <v>31</v>
      </c>
      <c r="L197" s="89">
        <f t="shared" si="49"/>
        <v>31</v>
      </c>
      <c r="M197" s="89">
        <f t="shared" si="49"/>
        <v>28</v>
      </c>
      <c r="N197" s="89">
        <f t="shared" si="49"/>
        <v>31</v>
      </c>
    </row>
    <row r="198" spans="1:15" x14ac:dyDescent="0.2">
      <c r="B198" s="89" t="s">
        <v>185</v>
      </c>
      <c r="C198" s="78">
        <f t="shared" si="49"/>
        <v>0</v>
      </c>
      <c r="D198" s="78">
        <f t="shared" si="49"/>
        <v>1</v>
      </c>
      <c r="E198" s="78">
        <f t="shared" si="49"/>
        <v>0</v>
      </c>
      <c r="F198" s="78">
        <f t="shared" si="49"/>
        <v>1</v>
      </c>
      <c r="G198" s="78">
        <f t="shared" si="49"/>
        <v>0</v>
      </c>
      <c r="H198" s="78">
        <f t="shared" si="49"/>
        <v>1</v>
      </c>
      <c r="I198" s="78">
        <f t="shared" si="49"/>
        <v>1</v>
      </c>
      <c r="J198" s="78">
        <f t="shared" si="49"/>
        <v>1</v>
      </c>
      <c r="K198" s="78">
        <f t="shared" si="49"/>
        <v>1</v>
      </c>
      <c r="L198" s="78">
        <f t="shared" si="49"/>
        <v>2</v>
      </c>
      <c r="M198" s="78">
        <f t="shared" si="49"/>
        <v>1</v>
      </c>
      <c r="N198" s="78">
        <f t="shared" si="49"/>
        <v>0</v>
      </c>
    </row>
    <row r="199" spans="1:15" x14ac:dyDescent="0.2">
      <c r="B199" s="89" t="s">
        <v>44</v>
      </c>
      <c r="C199" s="49">
        <f>SUM('Program Support Allocations'!$C$18)</f>
        <v>2.8735632183908046E-2</v>
      </c>
      <c r="D199" s="49">
        <f>SUM('Program Support Allocations'!$C$18)</f>
        <v>2.8735632183908046E-2</v>
      </c>
      <c r="E199" s="49">
        <f>SUM('Program Support Allocations'!$C$18)</f>
        <v>2.8735632183908046E-2</v>
      </c>
      <c r="F199" s="49">
        <f>SUM('Program Support Allocations'!$C$18)</f>
        <v>2.8735632183908046E-2</v>
      </c>
      <c r="G199" s="49">
        <f>SUM('Program Support Allocations'!$C$18)</f>
        <v>2.8735632183908046E-2</v>
      </c>
      <c r="H199" s="49">
        <f>SUM('Program Support Allocations'!$C$18)</f>
        <v>2.8735632183908046E-2</v>
      </c>
      <c r="I199" s="49">
        <f>SUM('Program Support Allocations'!$C$18)</f>
        <v>2.8735632183908046E-2</v>
      </c>
      <c r="J199" s="49">
        <f>SUM('Program Support Allocations'!$C$18)</f>
        <v>2.8735632183908046E-2</v>
      </c>
      <c r="K199" s="49">
        <f>SUM('Program Support Allocations'!$C$18)</f>
        <v>2.8735632183908046E-2</v>
      </c>
      <c r="L199" s="49">
        <f>SUM('Program Support Allocations'!$C$18)</f>
        <v>2.8735632183908046E-2</v>
      </c>
      <c r="M199" s="49">
        <f>SUM('Program Support Allocations'!$C$18)</f>
        <v>2.8735632183908046E-2</v>
      </c>
      <c r="N199" s="49">
        <f>SUM('Program Support Allocations'!$C$18)</f>
        <v>2.8735632183908046E-2</v>
      </c>
    </row>
    <row r="200" spans="1:15" x14ac:dyDescent="0.2">
      <c r="B200" s="89" t="s">
        <v>186</v>
      </c>
      <c r="C200" s="53">
        <f>SUM(174*C199)</f>
        <v>5</v>
      </c>
      <c r="D200" s="53">
        <f t="shared" ref="D200:N200" si="50">SUM(174*D199)</f>
        <v>5</v>
      </c>
      <c r="E200" s="53">
        <f t="shared" si="50"/>
        <v>5</v>
      </c>
      <c r="F200" s="53">
        <f t="shared" si="50"/>
        <v>5</v>
      </c>
      <c r="G200" s="53">
        <f t="shared" si="50"/>
        <v>5</v>
      </c>
      <c r="H200" s="53">
        <f t="shared" si="50"/>
        <v>5</v>
      </c>
      <c r="I200" s="53">
        <f t="shared" si="50"/>
        <v>5</v>
      </c>
      <c r="J200" s="53">
        <f t="shared" si="50"/>
        <v>5</v>
      </c>
      <c r="K200" s="53">
        <f t="shared" si="50"/>
        <v>5</v>
      </c>
      <c r="L200" s="53">
        <f t="shared" si="50"/>
        <v>5</v>
      </c>
      <c r="M200" s="53">
        <f t="shared" si="50"/>
        <v>5</v>
      </c>
      <c r="N200" s="53">
        <f t="shared" si="50"/>
        <v>5</v>
      </c>
    </row>
    <row r="201" spans="1:15" x14ac:dyDescent="0.2">
      <c r="A201" s="59" t="s">
        <v>349</v>
      </c>
      <c r="B201" s="78" t="s">
        <v>348</v>
      </c>
      <c r="C201" s="66">
        <f>SUM(C200*$B$202)</f>
        <v>78.75</v>
      </c>
      <c r="D201" s="66">
        <f t="shared" ref="D201:N201" si="51">SUM(D200*$B$202)</f>
        <v>78.75</v>
      </c>
      <c r="E201" s="66">
        <f t="shared" si="51"/>
        <v>78.75</v>
      </c>
      <c r="F201" s="66">
        <f t="shared" si="51"/>
        <v>78.75</v>
      </c>
      <c r="G201" s="66">
        <f t="shared" si="51"/>
        <v>78.75</v>
      </c>
      <c r="H201" s="66">
        <f t="shared" si="51"/>
        <v>78.75</v>
      </c>
      <c r="I201" s="66">
        <f t="shared" si="51"/>
        <v>78.75</v>
      </c>
      <c r="J201" s="66">
        <f t="shared" si="51"/>
        <v>78.75</v>
      </c>
      <c r="K201" s="66">
        <f t="shared" si="51"/>
        <v>78.75</v>
      </c>
      <c r="L201" s="66">
        <f t="shared" si="51"/>
        <v>78.75</v>
      </c>
      <c r="M201" s="66">
        <f t="shared" si="51"/>
        <v>78.75</v>
      </c>
      <c r="N201" s="66">
        <f t="shared" si="51"/>
        <v>78.75</v>
      </c>
      <c r="O201" s="140">
        <f>SUM(C201:N201)</f>
        <v>945</v>
      </c>
    </row>
    <row r="202" spans="1:15" x14ac:dyDescent="0.2">
      <c r="A202" s="59" t="s">
        <v>188</v>
      </c>
      <c r="B202" s="74">
        <v>15.75</v>
      </c>
      <c r="C202" s="66">
        <f>SUM(C201)*'Data Links'!$B$15</f>
        <v>6.024375</v>
      </c>
      <c r="D202" s="66">
        <f>SUM(D201)*'Data Links'!$B$15</f>
        <v>6.024375</v>
      </c>
      <c r="E202" s="66">
        <f>SUM(E201)*'Data Links'!$B$15</f>
        <v>6.024375</v>
      </c>
      <c r="F202" s="66">
        <f>SUM(F201)*'Data Links'!$B$15</f>
        <v>6.024375</v>
      </c>
      <c r="G202" s="66">
        <f>SUM(G201)*'Data Links'!$B$15</f>
        <v>6.024375</v>
      </c>
      <c r="H202" s="66">
        <f>SUM(H201)*'Data Links'!$B$15</f>
        <v>6.024375</v>
      </c>
      <c r="I202" s="66">
        <f>SUM(I201)*'Data Links'!$B$15</f>
        <v>6.024375</v>
      </c>
      <c r="J202" s="66">
        <f>SUM(J201)*'Data Links'!$B$15</f>
        <v>6.024375</v>
      </c>
      <c r="K202" s="66">
        <f>SUM(K201)*'Data Links'!$B$15</f>
        <v>6.024375</v>
      </c>
      <c r="L202" s="66">
        <f>SUM(L201)*'Data Links'!$B$15</f>
        <v>6.024375</v>
      </c>
      <c r="M202" s="66">
        <f>SUM(M201)*'Data Links'!$B$15</f>
        <v>6.024375</v>
      </c>
      <c r="N202" s="66">
        <f>SUM(N201)*'Data Links'!$B$15</f>
        <v>6.024375</v>
      </c>
    </row>
    <row r="203" spans="1:15" x14ac:dyDescent="0.2">
      <c r="A203" s="59" t="s">
        <v>189</v>
      </c>
      <c r="B203" s="74">
        <v>14.66</v>
      </c>
      <c r="C203" s="66">
        <f>SUM(C201*'Data Links'!$B$13)</f>
        <v>0.47250000000000003</v>
      </c>
      <c r="D203" s="66">
        <f>SUM(D201*'Data Links'!$B$13)</f>
        <v>0.47250000000000003</v>
      </c>
      <c r="E203" s="66">
        <f>SUM(E201*'Data Links'!$B$13)</f>
        <v>0.47250000000000003</v>
      </c>
      <c r="F203" s="66">
        <f>SUM(F201*'Data Links'!$B$13)</f>
        <v>0.47250000000000003</v>
      </c>
      <c r="G203" s="66">
        <f>SUM(G201*'Data Links'!$B$13)</f>
        <v>0.47250000000000003</v>
      </c>
      <c r="H203" s="66">
        <f>SUM(H201*'Data Links'!$B$13)</f>
        <v>0.47250000000000003</v>
      </c>
      <c r="I203" s="66">
        <f>SUM(I201*'Data Links'!$B$13)</f>
        <v>0.47250000000000003</v>
      </c>
      <c r="J203" s="66">
        <f>SUM(J201*'Data Links'!$B$13)</f>
        <v>0.47250000000000003</v>
      </c>
      <c r="K203" s="66">
        <f>SUM(K201*'Data Links'!$B$13)</f>
        <v>0.47250000000000003</v>
      </c>
      <c r="L203" s="66">
        <f>SUM(L201*'Data Links'!$B$13)</f>
        <v>0.47250000000000003</v>
      </c>
      <c r="M203" s="66">
        <f>SUM(M201*'Data Links'!$B$13)</f>
        <v>0.47250000000000003</v>
      </c>
      <c r="N203" s="66">
        <f>SUM(N201*'Data Links'!$B$13)</f>
        <v>0.47250000000000003</v>
      </c>
    </row>
    <row r="204" spans="1:15" x14ac:dyDescent="0.2">
      <c r="A204" s="59" t="s">
        <v>190</v>
      </c>
      <c r="C204" s="66">
        <f>SUM(C200*'Data Links'!$B$8)</f>
        <v>0.38924999999999998</v>
      </c>
      <c r="D204" s="66">
        <f>SUM(D200*'Data Links'!$B$8)</f>
        <v>0.38924999999999998</v>
      </c>
      <c r="E204" s="66">
        <f>SUM(E200*'Data Links'!$B$8)</f>
        <v>0.38924999999999998</v>
      </c>
      <c r="F204" s="66">
        <f>SUM(F200*'Data Links'!$B$8)</f>
        <v>0.38924999999999998</v>
      </c>
      <c r="G204" s="66">
        <f>SUM(G200*'Data Links'!$B$8)</f>
        <v>0.38924999999999998</v>
      </c>
      <c r="H204" s="66">
        <f>SUM(H200*'Data Links'!$B$8)</f>
        <v>0.38924999999999998</v>
      </c>
      <c r="I204" s="66">
        <f>SUM(I200*'Data Links'!$B$8)</f>
        <v>0.38924999999999998</v>
      </c>
      <c r="J204" s="66">
        <f>SUM(J200*'Data Links'!$B$8)</f>
        <v>0.38924999999999998</v>
      </c>
      <c r="K204" s="66">
        <f>SUM(K200*'Data Links'!$B$8)</f>
        <v>0.38924999999999998</v>
      </c>
      <c r="L204" s="66">
        <f>SUM(L200*'Data Links'!$B$8)</f>
        <v>0.38924999999999998</v>
      </c>
      <c r="M204" s="66">
        <f>SUM(M200*'Data Links'!$B$8)</f>
        <v>0.38924999999999998</v>
      </c>
      <c r="N204" s="66">
        <f>SUM(N200*'Data Links'!$B$8)</f>
        <v>0.38924999999999998</v>
      </c>
    </row>
    <row r="205" spans="1:15" x14ac:dyDescent="0.2">
      <c r="A205" s="59" t="s">
        <v>191</v>
      </c>
      <c r="C205" s="66">
        <f>SUM('All Employees'!$P$47)*C199</f>
        <v>11.396775862068965</v>
      </c>
      <c r="D205" s="66">
        <f>SUM('All Employees'!$P$47)*D199</f>
        <v>11.396775862068965</v>
      </c>
      <c r="E205" s="66">
        <f>SUM('All Employees'!$P$47)*E199</f>
        <v>11.396775862068965</v>
      </c>
      <c r="F205" s="66">
        <f>SUM('All Employees'!$P$47)*F199</f>
        <v>11.396775862068965</v>
      </c>
      <c r="G205" s="66">
        <f>SUM('All Employees'!$P$47)*G199</f>
        <v>11.396775862068965</v>
      </c>
      <c r="H205" s="66">
        <f>SUM('All Employees'!$P$47)*H199</f>
        <v>11.396775862068965</v>
      </c>
      <c r="I205" s="66">
        <f>SUM('All Employees'!$P$47)*I199</f>
        <v>11.396775862068965</v>
      </c>
      <c r="J205" s="66">
        <f>SUM('All Employees'!$P$47)*J199</f>
        <v>11.396775862068965</v>
      </c>
      <c r="K205" s="66">
        <f>SUM('All Employees'!$P$47)*K199</f>
        <v>11.396775862068965</v>
      </c>
      <c r="L205" s="66">
        <f>SUM('All Employees'!$P$47)*L199</f>
        <v>11.396775862068965</v>
      </c>
      <c r="M205" s="66">
        <f>SUM('All Employees'!$P$47)*M199</f>
        <v>11.396775862068965</v>
      </c>
      <c r="N205" s="66">
        <f>SUM('All Employees'!$P$47)*N199</f>
        <v>11.396775862068965</v>
      </c>
    </row>
    <row r="206" spans="1:15" x14ac:dyDescent="0.2">
      <c r="A206" s="59" t="s">
        <v>192</v>
      </c>
      <c r="C206" s="66"/>
      <c r="D206" s="66"/>
      <c r="E206" s="66"/>
      <c r="F206" s="66"/>
      <c r="G206" s="66"/>
      <c r="H206" s="66"/>
      <c r="I206" s="66"/>
      <c r="J206" s="66"/>
      <c r="K206" s="66"/>
      <c r="L206" s="66"/>
      <c r="M206" s="66"/>
      <c r="N206" s="66"/>
      <c r="O206" s="140">
        <f>SUM(C202:N206)</f>
        <v>219.3948103448277</v>
      </c>
    </row>
    <row r="207" spans="1:15" s="58" customFormat="1" x14ac:dyDescent="0.2">
      <c r="A207" s="58" t="s">
        <v>144</v>
      </c>
      <c r="B207" s="60"/>
      <c r="C207" s="60">
        <f t="shared" ref="C207:N207" si="52">SUM(C201:C206)</f>
        <v>97.032900862068971</v>
      </c>
      <c r="D207" s="60">
        <f t="shared" si="52"/>
        <v>97.032900862068971</v>
      </c>
      <c r="E207" s="60">
        <f t="shared" si="52"/>
        <v>97.032900862068971</v>
      </c>
      <c r="F207" s="60">
        <f t="shared" si="52"/>
        <v>97.032900862068971</v>
      </c>
      <c r="G207" s="60">
        <f t="shared" si="52"/>
        <v>97.032900862068971</v>
      </c>
      <c r="H207" s="60">
        <f t="shared" si="52"/>
        <v>97.032900862068971</v>
      </c>
      <c r="I207" s="60">
        <f t="shared" si="52"/>
        <v>97.032900862068971</v>
      </c>
      <c r="J207" s="60">
        <f t="shared" si="52"/>
        <v>97.032900862068971</v>
      </c>
      <c r="K207" s="60">
        <f t="shared" si="52"/>
        <v>97.032900862068971</v>
      </c>
      <c r="L207" s="60">
        <f t="shared" si="52"/>
        <v>97.032900862068971</v>
      </c>
      <c r="M207" s="60">
        <f t="shared" si="52"/>
        <v>97.032900862068971</v>
      </c>
      <c r="N207" s="60">
        <f t="shared" si="52"/>
        <v>97.032900862068971</v>
      </c>
    </row>
    <row r="208" spans="1:15" x14ac:dyDescent="0.2">
      <c r="C208" s="60"/>
      <c r="D208" s="66"/>
      <c r="E208" s="66"/>
      <c r="F208" s="66"/>
      <c r="G208" s="66"/>
      <c r="H208" s="66"/>
      <c r="I208" s="66"/>
      <c r="J208" s="66"/>
      <c r="K208" s="66"/>
      <c r="L208" s="66"/>
      <c r="M208" s="66"/>
      <c r="N208" s="66"/>
    </row>
    <row r="209" spans="1:14" x14ac:dyDescent="0.2">
      <c r="C209" s="89" t="str">
        <f>C196</f>
        <v>January</v>
      </c>
      <c r="D209" s="89" t="str">
        <f t="shared" ref="D209:M209" si="53">D196</f>
        <v>February</v>
      </c>
      <c r="E209" s="89" t="str">
        <f t="shared" si="53"/>
        <v>March</v>
      </c>
      <c r="F209" s="89" t="str">
        <f t="shared" si="53"/>
        <v>April</v>
      </c>
      <c r="G209" s="89" t="str">
        <f t="shared" si="53"/>
        <v>May</v>
      </c>
      <c r="H209" s="89" t="str">
        <f t="shared" si="53"/>
        <v>June</v>
      </c>
      <c r="I209" s="89" t="str">
        <f t="shared" si="53"/>
        <v>July</v>
      </c>
      <c r="J209" s="89" t="str">
        <f t="shared" si="53"/>
        <v>August</v>
      </c>
      <c r="K209" s="89" t="str">
        <f t="shared" si="53"/>
        <v>September</v>
      </c>
      <c r="L209" s="89" t="str">
        <f t="shared" si="53"/>
        <v>October</v>
      </c>
      <c r="M209" s="89" t="str">
        <f t="shared" si="53"/>
        <v>November</v>
      </c>
      <c r="N209" s="89" t="str">
        <f>N196</f>
        <v>December</v>
      </c>
    </row>
    <row r="210" spans="1:14" x14ac:dyDescent="0.2">
      <c r="C210" s="89">
        <f t="shared" ref="C210:N210" si="54">C197</f>
        <v>30</v>
      </c>
      <c r="D210" s="89">
        <f t="shared" si="54"/>
        <v>31</v>
      </c>
      <c r="E210" s="89">
        <f t="shared" si="54"/>
        <v>30</v>
      </c>
      <c r="F210" s="89">
        <f t="shared" si="54"/>
        <v>31</v>
      </c>
      <c r="G210" s="89">
        <f t="shared" si="54"/>
        <v>31</v>
      </c>
      <c r="H210" s="89">
        <f t="shared" si="54"/>
        <v>30</v>
      </c>
      <c r="I210" s="89">
        <f t="shared" si="54"/>
        <v>31</v>
      </c>
      <c r="J210" s="89">
        <f t="shared" si="54"/>
        <v>30</v>
      </c>
      <c r="K210" s="89">
        <f t="shared" si="54"/>
        <v>31</v>
      </c>
      <c r="L210" s="89">
        <f t="shared" si="54"/>
        <v>31</v>
      </c>
      <c r="M210" s="89">
        <f t="shared" si="54"/>
        <v>28</v>
      </c>
      <c r="N210" s="89">
        <f t="shared" si="54"/>
        <v>31</v>
      </c>
    </row>
    <row r="211" spans="1:14" x14ac:dyDescent="0.2">
      <c r="B211" s="89" t="s">
        <v>185</v>
      </c>
      <c r="C211" s="78">
        <f t="shared" ref="C211:N211" si="55">C198</f>
        <v>0</v>
      </c>
      <c r="D211" s="78">
        <f t="shared" si="55"/>
        <v>1</v>
      </c>
      <c r="E211" s="78">
        <f t="shared" si="55"/>
        <v>0</v>
      </c>
      <c r="F211" s="78">
        <f t="shared" si="55"/>
        <v>1</v>
      </c>
      <c r="G211" s="78">
        <f t="shared" si="55"/>
        <v>0</v>
      </c>
      <c r="H211" s="78">
        <f t="shared" si="55"/>
        <v>1</v>
      </c>
      <c r="I211" s="78">
        <f t="shared" si="55"/>
        <v>1</v>
      </c>
      <c r="J211" s="78">
        <f t="shared" si="55"/>
        <v>1</v>
      </c>
      <c r="K211" s="78">
        <f t="shared" si="55"/>
        <v>1</v>
      </c>
      <c r="L211" s="78">
        <f t="shared" si="55"/>
        <v>2</v>
      </c>
      <c r="M211" s="78">
        <f t="shared" si="55"/>
        <v>1</v>
      </c>
      <c r="N211" s="78">
        <f t="shared" si="55"/>
        <v>0</v>
      </c>
    </row>
    <row r="212" spans="1:14" x14ac:dyDescent="0.2">
      <c r="B212" s="89" t="s">
        <v>44</v>
      </c>
      <c r="C212" s="49">
        <f>C199</f>
        <v>2.8735632183908046E-2</v>
      </c>
      <c r="D212" s="49">
        <f t="shared" ref="D212:N212" si="56">D199</f>
        <v>2.8735632183908046E-2</v>
      </c>
      <c r="E212" s="49">
        <f t="shared" si="56"/>
        <v>2.8735632183908046E-2</v>
      </c>
      <c r="F212" s="49">
        <f t="shared" si="56"/>
        <v>2.8735632183908046E-2</v>
      </c>
      <c r="G212" s="49">
        <f t="shared" si="56"/>
        <v>2.8735632183908046E-2</v>
      </c>
      <c r="H212" s="49">
        <f t="shared" si="56"/>
        <v>2.8735632183908046E-2</v>
      </c>
      <c r="I212" s="49">
        <f t="shared" si="56"/>
        <v>2.8735632183908046E-2</v>
      </c>
      <c r="J212" s="49">
        <f t="shared" si="56"/>
        <v>2.8735632183908046E-2</v>
      </c>
      <c r="K212" s="49">
        <f t="shared" si="56"/>
        <v>2.8735632183908046E-2</v>
      </c>
      <c r="L212" s="49">
        <f t="shared" si="56"/>
        <v>2.8735632183908046E-2</v>
      </c>
      <c r="M212" s="49">
        <f t="shared" si="56"/>
        <v>2.8735632183908046E-2</v>
      </c>
      <c r="N212" s="49">
        <f t="shared" si="56"/>
        <v>2.8735632183908046E-2</v>
      </c>
    </row>
    <row r="213" spans="1:14" x14ac:dyDescent="0.2">
      <c r="B213" s="89" t="s">
        <v>186</v>
      </c>
      <c r="C213" s="53">
        <f t="shared" ref="C213:N213" si="57">SUM(174*C212)</f>
        <v>5</v>
      </c>
      <c r="D213" s="53">
        <f t="shared" si="57"/>
        <v>5</v>
      </c>
      <c r="E213" s="53">
        <f t="shared" si="57"/>
        <v>5</v>
      </c>
      <c r="F213" s="53">
        <f t="shared" si="57"/>
        <v>5</v>
      </c>
      <c r="G213" s="53">
        <f t="shared" si="57"/>
        <v>5</v>
      </c>
      <c r="H213" s="53">
        <f t="shared" si="57"/>
        <v>5</v>
      </c>
      <c r="I213" s="53">
        <f t="shared" si="57"/>
        <v>5</v>
      </c>
      <c r="J213" s="53">
        <f t="shared" si="57"/>
        <v>5</v>
      </c>
      <c r="K213" s="53">
        <f t="shared" si="57"/>
        <v>5</v>
      </c>
      <c r="L213" s="53">
        <f t="shared" si="57"/>
        <v>5</v>
      </c>
      <c r="M213" s="53">
        <f t="shared" si="57"/>
        <v>5</v>
      </c>
      <c r="N213" s="53">
        <f t="shared" si="57"/>
        <v>5</v>
      </c>
    </row>
    <row r="214" spans="1:14" x14ac:dyDescent="0.2">
      <c r="A214" s="59" t="s">
        <v>557</v>
      </c>
      <c r="B214" s="78" t="s">
        <v>187</v>
      </c>
      <c r="C214" s="66">
        <f>SUM(C213*$B$215)</f>
        <v>91.8</v>
      </c>
      <c r="D214" s="66">
        <f t="shared" ref="D214:N214" si="58">SUM(D213*$B$215)</f>
        <v>91.8</v>
      </c>
      <c r="E214" s="66">
        <f t="shared" si="58"/>
        <v>91.8</v>
      </c>
      <c r="F214" s="66">
        <f t="shared" si="58"/>
        <v>91.8</v>
      </c>
      <c r="G214" s="66">
        <f t="shared" si="58"/>
        <v>91.8</v>
      </c>
      <c r="H214" s="66">
        <f t="shared" si="58"/>
        <v>91.8</v>
      </c>
      <c r="I214" s="66">
        <f t="shared" si="58"/>
        <v>91.8</v>
      </c>
      <c r="J214" s="66">
        <f t="shared" si="58"/>
        <v>91.8</v>
      </c>
      <c r="K214" s="66">
        <f t="shared" si="58"/>
        <v>91.8</v>
      </c>
      <c r="L214" s="66">
        <f t="shared" si="58"/>
        <v>91.8</v>
      </c>
      <c r="M214" s="66">
        <f t="shared" si="58"/>
        <v>91.8</v>
      </c>
      <c r="N214" s="66">
        <f t="shared" si="58"/>
        <v>91.8</v>
      </c>
    </row>
    <row r="215" spans="1:14" x14ac:dyDescent="0.2">
      <c r="A215" s="59" t="s">
        <v>188</v>
      </c>
      <c r="B215" s="74">
        <v>18.36</v>
      </c>
      <c r="C215" s="66">
        <f>SUM(C214)*'Data Links'!$B$15</f>
        <v>7.0226999999999995</v>
      </c>
      <c r="D215" s="66">
        <f>SUM(D214)*'Data Links'!$B$15</f>
        <v>7.0226999999999995</v>
      </c>
      <c r="E215" s="66">
        <f>SUM(E214)*'Data Links'!$B$15</f>
        <v>7.0226999999999995</v>
      </c>
      <c r="F215" s="66">
        <f>SUM(F214)*'Data Links'!$B$15</f>
        <v>7.0226999999999995</v>
      </c>
      <c r="G215" s="66">
        <f>SUM(G214)*'Data Links'!$B$15</f>
        <v>7.0226999999999995</v>
      </c>
      <c r="H215" s="66">
        <f>SUM(H214)*'Data Links'!$B$15</f>
        <v>7.0226999999999995</v>
      </c>
      <c r="I215" s="66">
        <f>SUM(I214)*'Data Links'!$B$15</f>
        <v>7.0226999999999995</v>
      </c>
      <c r="J215" s="66">
        <f>SUM(J214)*'Data Links'!$B$15</f>
        <v>7.0226999999999995</v>
      </c>
      <c r="K215" s="66">
        <f>SUM(K214)*'Data Links'!$B$15</f>
        <v>7.0226999999999995</v>
      </c>
      <c r="L215" s="66">
        <f>SUM(L214)*'Data Links'!$B$15</f>
        <v>7.0226999999999995</v>
      </c>
      <c r="M215" s="66">
        <f>SUM(M214)*'Data Links'!$B$15</f>
        <v>7.0226999999999995</v>
      </c>
      <c r="N215" s="66">
        <f>SUM(N214)*'Data Links'!$B$15</f>
        <v>7.0226999999999995</v>
      </c>
    </row>
    <row r="216" spans="1:14" x14ac:dyDescent="0.2">
      <c r="A216" s="59" t="s">
        <v>189</v>
      </c>
      <c r="C216" s="66">
        <f>SUM(C214*'Data Links'!$B$13)</f>
        <v>0.55079999999999996</v>
      </c>
      <c r="D216" s="66">
        <f>SUM(D214*'Data Links'!$B$13)</f>
        <v>0.55079999999999996</v>
      </c>
      <c r="E216" s="66">
        <f>SUM(E214*'Data Links'!$B$13)</f>
        <v>0.55079999999999996</v>
      </c>
      <c r="F216" s="66">
        <f>SUM(F214*'Data Links'!$B$13)</f>
        <v>0.55079999999999996</v>
      </c>
      <c r="G216" s="66">
        <f>SUM(G214*'Data Links'!$B$13)</f>
        <v>0.55079999999999996</v>
      </c>
      <c r="H216" s="66">
        <f>SUM(H214*'Data Links'!$B$13)</f>
        <v>0.55079999999999996</v>
      </c>
      <c r="I216" s="66">
        <f>SUM(I214*'Data Links'!$B$13)</f>
        <v>0.55079999999999996</v>
      </c>
      <c r="J216" s="66">
        <f>SUM(J214*'Data Links'!$B$13)</f>
        <v>0.55079999999999996</v>
      </c>
      <c r="K216" s="66">
        <f>SUM(K214*'Data Links'!$B$13)</f>
        <v>0.55079999999999996</v>
      </c>
      <c r="L216" s="66">
        <f>SUM(L214*'Data Links'!$B$13)</f>
        <v>0.55079999999999996</v>
      </c>
      <c r="M216" s="66">
        <f>SUM(M214*'Data Links'!$B$13)</f>
        <v>0.55079999999999996</v>
      </c>
      <c r="N216" s="66">
        <f>SUM(N214*'Data Links'!$B$13)</f>
        <v>0.55079999999999996</v>
      </c>
    </row>
    <row r="217" spans="1:14" x14ac:dyDescent="0.2">
      <c r="A217" s="59" t="s">
        <v>190</v>
      </c>
      <c r="C217" s="66">
        <f>SUM(C213*'Data Links'!$B$8)</f>
        <v>0.38924999999999998</v>
      </c>
      <c r="D217" s="66">
        <f>SUM(D213*'Data Links'!$B$8)</f>
        <v>0.38924999999999998</v>
      </c>
      <c r="E217" s="66">
        <f>SUM(E213*'Data Links'!$B$8)</f>
        <v>0.38924999999999998</v>
      </c>
      <c r="F217" s="66">
        <f>SUM(F213*'Data Links'!$B$8)</f>
        <v>0.38924999999999998</v>
      </c>
      <c r="G217" s="66">
        <f>SUM(G213*'Data Links'!$B$8)</f>
        <v>0.38924999999999998</v>
      </c>
      <c r="H217" s="66">
        <f>SUM(H213*'Data Links'!$B$8)</f>
        <v>0.38924999999999998</v>
      </c>
      <c r="I217" s="66">
        <f>SUM(I213*'Data Links'!$B$8)</f>
        <v>0.38924999999999998</v>
      </c>
      <c r="J217" s="66">
        <f>SUM(J213*'Data Links'!$B$8)</f>
        <v>0.38924999999999998</v>
      </c>
      <c r="K217" s="66">
        <f>SUM(K213*'Data Links'!$B$8)</f>
        <v>0.38924999999999998</v>
      </c>
      <c r="L217" s="66">
        <f>SUM(L213*'Data Links'!$B$8)</f>
        <v>0.38924999999999998</v>
      </c>
      <c r="M217" s="66">
        <f>SUM(M213*'Data Links'!$B$8)</f>
        <v>0.38924999999999998</v>
      </c>
      <c r="N217" s="66">
        <f>SUM(N213*'Data Links'!$B$8)</f>
        <v>0.38924999999999998</v>
      </c>
    </row>
    <row r="218" spans="1:14" x14ac:dyDescent="0.2">
      <c r="A218" s="59" t="s">
        <v>191</v>
      </c>
      <c r="C218" s="66">
        <f>SUM('All Employees'!$P$51)*C212</f>
        <v>12.241379310344827</v>
      </c>
      <c r="D218" s="66">
        <f>SUM('All Employees'!$P$51)*D212</f>
        <v>12.241379310344827</v>
      </c>
      <c r="E218" s="66">
        <f>SUM('All Employees'!$P$51)*E212</f>
        <v>12.241379310344827</v>
      </c>
      <c r="F218" s="66">
        <f>SUM('All Employees'!$P$51)*F212</f>
        <v>12.241379310344827</v>
      </c>
      <c r="G218" s="66">
        <f>SUM('All Employees'!$P$51)*G212</f>
        <v>12.241379310344827</v>
      </c>
      <c r="H218" s="66">
        <f>SUM('All Employees'!$P$51)*H212</f>
        <v>12.241379310344827</v>
      </c>
      <c r="I218" s="66">
        <f>SUM('All Employees'!$P$51)*I212</f>
        <v>12.241379310344827</v>
      </c>
      <c r="J218" s="66">
        <f>SUM('All Employees'!$P$51)*J212</f>
        <v>12.241379310344827</v>
      </c>
      <c r="K218" s="66">
        <f>SUM('All Employees'!$P$51)*K212</f>
        <v>12.241379310344827</v>
      </c>
      <c r="L218" s="66">
        <f>SUM('All Employees'!$P$51)*L212</f>
        <v>12.241379310344827</v>
      </c>
      <c r="M218" s="66">
        <f>SUM('All Employees'!$P$51)*M212</f>
        <v>12.241379310344827</v>
      </c>
      <c r="N218" s="66">
        <f>SUM('All Employees'!$P$51)*N212</f>
        <v>12.241379310344827</v>
      </c>
    </row>
    <row r="219" spans="1:14" x14ac:dyDescent="0.2">
      <c r="A219" s="59" t="s">
        <v>192</v>
      </c>
      <c r="C219" s="66"/>
      <c r="D219" s="66"/>
      <c r="E219" s="66"/>
      <c r="F219" s="66"/>
      <c r="G219" s="66"/>
      <c r="H219" s="66"/>
      <c r="I219" s="66"/>
      <c r="J219" s="66"/>
      <c r="K219" s="66"/>
      <c r="L219" s="66"/>
      <c r="M219" s="66"/>
      <c r="N219" s="66"/>
    </row>
    <row r="220" spans="1:14" s="58" customFormat="1" x14ac:dyDescent="0.2">
      <c r="A220" s="58" t="s">
        <v>144</v>
      </c>
      <c r="B220" s="60"/>
      <c r="C220" s="60">
        <f t="shared" ref="C220:N220" si="59">SUM(C214:C219)</f>
        <v>112.00412931034482</v>
      </c>
      <c r="D220" s="60">
        <f t="shared" si="59"/>
        <v>112.00412931034482</v>
      </c>
      <c r="E220" s="60">
        <f t="shared" si="59"/>
        <v>112.00412931034482</v>
      </c>
      <c r="F220" s="60">
        <f t="shared" si="59"/>
        <v>112.00412931034482</v>
      </c>
      <c r="G220" s="60">
        <f t="shared" si="59"/>
        <v>112.00412931034482</v>
      </c>
      <c r="H220" s="60">
        <f t="shared" si="59"/>
        <v>112.00412931034482</v>
      </c>
      <c r="I220" s="60">
        <f t="shared" si="59"/>
        <v>112.00412931034482</v>
      </c>
      <c r="J220" s="60">
        <f t="shared" si="59"/>
        <v>112.00412931034482</v>
      </c>
      <c r="K220" s="60">
        <f t="shared" si="59"/>
        <v>112.00412931034482</v>
      </c>
      <c r="L220" s="60">
        <f t="shared" si="59"/>
        <v>112.00412931034482</v>
      </c>
      <c r="M220" s="60">
        <f t="shared" si="59"/>
        <v>112.00412931034482</v>
      </c>
      <c r="N220" s="60">
        <f t="shared" si="59"/>
        <v>112.00412931034482</v>
      </c>
    </row>
    <row r="221" spans="1:14" x14ac:dyDescent="0.2">
      <c r="C221" s="60"/>
      <c r="D221" s="66"/>
      <c r="E221" s="66"/>
      <c r="F221" s="66"/>
      <c r="G221" s="66"/>
      <c r="H221" s="66"/>
      <c r="I221" s="66"/>
      <c r="J221" s="66"/>
      <c r="K221" s="66"/>
      <c r="L221" s="66"/>
      <c r="M221" s="66"/>
      <c r="N221" s="66"/>
    </row>
    <row r="222" spans="1:14" x14ac:dyDescent="0.2">
      <c r="C222" s="60"/>
      <c r="D222" s="66"/>
      <c r="E222" s="66"/>
      <c r="F222" s="66"/>
      <c r="G222" s="66"/>
      <c r="H222" s="66"/>
      <c r="I222" s="66"/>
      <c r="J222" s="66"/>
      <c r="K222" s="66"/>
      <c r="L222" s="66"/>
      <c r="M222" s="66"/>
      <c r="N222" s="66"/>
    </row>
    <row r="223" spans="1:14" x14ac:dyDescent="0.2">
      <c r="C223" s="60"/>
      <c r="D223" s="66"/>
      <c r="E223" s="66"/>
      <c r="F223" s="66"/>
      <c r="G223" s="66"/>
      <c r="H223" s="66"/>
      <c r="I223" s="66"/>
      <c r="J223" s="66"/>
      <c r="K223" s="66"/>
      <c r="L223" s="66"/>
      <c r="M223" s="66"/>
      <c r="N223" s="66"/>
    </row>
    <row r="224" spans="1:14" x14ac:dyDescent="0.2">
      <c r="B224" s="89"/>
      <c r="C224" s="60"/>
      <c r="D224" s="66"/>
      <c r="E224" s="66"/>
      <c r="F224" s="66"/>
      <c r="G224" s="66"/>
      <c r="H224" s="66"/>
      <c r="I224" s="66"/>
      <c r="J224" s="66"/>
      <c r="K224" s="66"/>
      <c r="L224" s="66"/>
      <c r="M224" s="66"/>
      <c r="N224" s="66"/>
    </row>
    <row r="225" spans="1:14" x14ac:dyDescent="0.2">
      <c r="B225" s="89"/>
      <c r="C225" s="60"/>
      <c r="D225" s="66"/>
      <c r="E225" s="66"/>
      <c r="F225" s="66"/>
      <c r="G225" s="66"/>
      <c r="H225" s="66"/>
      <c r="I225" s="66"/>
      <c r="J225" s="66"/>
      <c r="K225" s="66"/>
      <c r="L225" s="66"/>
      <c r="M225" s="66"/>
      <c r="N225" s="66"/>
    </row>
    <row r="226" spans="1:14" x14ac:dyDescent="0.2">
      <c r="B226" s="89"/>
      <c r="C226" s="60"/>
      <c r="D226" s="66"/>
      <c r="E226" s="66"/>
      <c r="F226" s="66"/>
      <c r="G226" s="66"/>
      <c r="H226" s="66"/>
      <c r="I226" s="66"/>
      <c r="J226" s="66"/>
      <c r="K226" s="66"/>
      <c r="L226" s="66"/>
      <c r="M226" s="66"/>
      <c r="N226" s="66"/>
    </row>
    <row r="227" spans="1:14" x14ac:dyDescent="0.2">
      <c r="A227" s="58" t="s">
        <v>194</v>
      </c>
      <c r="C227" s="60"/>
      <c r="D227" s="66"/>
      <c r="E227" s="66"/>
      <c r="F227" s="66"/>
      <c r="G227" s="66"/>
      <c r="H227" s="66"/>
      <c r="I227" s="66"/>
      <c r="J227" s="66"/>
      <c r="K227" s="66"/>
      <c r="L227" s="66"/>
      <c r="M227" s="66"/>
      <c r="N227" s="66"/>
    </row>
    <row r="228" spans="1:14" x14ac:dyDescent="0.2">
      <c r="A228" s="59" t="s">
        <v>195</v>
      </c>
      <c r="C228" s="66">
        <f>SUM(C110+C123+C136+C149+C162+C175+C188+C201+C214)</f>
        <v>11196.315199999999</v>
      </c>
      <c r="D228" s="66">
        <f t="shared" ref="D228:N228" si="60">SUM(D110+D123+D136+D149+D162+D175+D188+D201+D214)</f>
        <v>11196.315199999999</v>
      </c>
      <c r="E228" s="66">
        <f t="shared" si="60"/>
        <v>11196.315199999999</v>
      </c>
      <c r="F228" s="66">
        <f t="shared" si="60"/>
        <v>11196.315199999999</v>
      </c>
      <c r="G228" s="66">
        <f t="shared" si="60"/>
        <v>11196.315199999999</v>
      </c>
      <c r="H228" s="66">
        <f t="shared" si="60"/>
        <v>11196.315199999999</v>
      </c>
      <c r="I228" s="66">
        <f t="shared" si="60"/>
        <v>11196.315199999999</v>
      </c>
      <c r="J228" s="66">
        <f t="shared" si="60"/>
        <v>11196.315199999999</v>
      </c>
      <c r="K228" s="66">
        <f t="shared" si="60"/>
        <v>11196.315199999999</v>
      </c>
      <c r="L228" s="66">
        <f t="shared" si="60"/>
        <v>11196.315199999999</v>
      </c>
      <c r="M228" s="66">
        <f t="shared" si="60"/>
        <v>11196.315199999999</v>
      </c>
      <c r="N228" s="66">
        <f t="shared" si="60"/>
        <v>11196.315199999999</v>
      </c>
    </row>
    <row r="229" spans="1:14" x14ac:dyDescent="0.2">
      <c r="A229" s="59" t="s">
        <v>22</v>
      </c>
      <c r="C229" s="66">
        <f>SUM(C111+C112+C113+C124+C125+C126+C137+C138+C139+C150+C151+C152+C163+C164+C165+C176+C177+C178+C189+C190+C191+C202+C203+C204+C215+C216+C217)</f>
        <v>967.39787999999965</v>
      </c>
      <c r="D229" s="66">
        <f t="shared" ref="D229:N229" si="61">SUM(D111+D112+D113+D124+D125+D126+D137+D138+D139+D150+D151+D152+D163+D164+D165+D176+D177+D178+D189+D190+D191+D202+D203+D204+D215+D216+D217)</f>
        <v>967.39787999999965</v>
      </c>
      <c r="E229" s="66">
        <f t="shared" si="61"/>
        <v>967.39787999999965</v>
      </c>
      <c r="F229" s="66">
        <f t="shared" si="61"/>
        <v>967.39787999999965</v>
      </c>
      <c r="G229" s="66">
        <f t="shared" si="61"/>
        <v>967.39787999999965</v>
      </c>
      <c r="H229" s="66">
        <f t="shared" si="61"/>
        <v>967.39787999999965</v>
      </c>
      <c r="I229" s="66">
        <f t="shared" si="61"/>
        <v>967.39787999999965</v>
      </c>
      <c r="J229" s="66">
        <f t="shared" si="61"/>
        <v>967.39787999999965</v>
      </c>
      <c r="K229" s="66">
        <f t="shared" si="61"/>
        <v>967.39787999999965</v>
      </c>
      <c r="L229" s="66">
        <f t="shared" si="61"/>
        <v>967.39787999999965</v>
      </c>
      <c r="M229" s="66">
        <f t="shared" si="61"/>
        <v>967.39787999999965</v>
      </c>
      <c r="N229" s="66">
        <f t="shared" si="61"/>
        <v>967.39787999999965</v>
      </c>
    </row>
    <row r="230" spans="1:14" x14ac:dyDescent="0.2">
      <c r="A230" s="59" t="s">
        <v>23</v>
      </c>
      <c r="C230" s="66">
        <f>SUM(C114+C115+C127+C128+C140+C141+C153+C154+C167+C166+C179+C180+C192+C193+C205+C206+C218+C219)</f>
        <v>1432.7164224827588</v>
      </c>
      <c r="D230" s="66">
        <f t="shared" ref="D230:N230" si="62">SUM(D114+D115+D127+D128+D140+D141+D153+D154+D167+D166+D179+D180+D192+D193+D205+D206+D218+D219)</f>
        <v>1432.7164224827588</v>
      </c>
      <c r="E230" s="66">
        <f t="shared" si="62"/>
        <v>1432.7164224827588</v>
      </c>
      <c r="F230" s="66">
        <f t="shared" si="62"/>
        <v>1432.7164224827588</v>
      </c>
      <c r="G230" s="66">
        <f t="shared" si="62"/>
        <v>1432.7164224827588</v>
      </c>
      <c r="H230" s="66">
        <f t="shared" si="62"/>
        <v>1432.7164224827588</v>
      </c>
      <c r="I230" s="66">
        <f t="shared" si="62"/>
        <v>1432.7164224827588</v>
      </c>
      <c r="J230" s="66">
        <f t="shared" si="62"/>
        <v>1432.7164224827588</v>
      </c>
      <c r="K230" s="66">
        <f t="shared" si="62"/>
        <v>1432.7164224827588</v>
      </c>
      <c r="L230" s="66">
        <f t="shared" si="62"/>
        <v>1432.7164224827588</v>
      </c>
      <c r="M230" s="66">
        <f t="shared" si="62"/>
        <v>1432.7164224827588</v>
      </c>
      <c r="N230" s="66">
        <f t="shared" si="62"/>
        <v>1432.7164224827588</v>
      </c>
    </row>
    <row r="231" spans="1:14" s="58" customFormat="1" x14ac:dyDescent="0.2">
      <c r="A231" s="58" t="s">
        <v>196</v>
      </c>
      <c r="B231" s="60"/>
      <c r="C231" s="60">
        <f>SUM(C228:C230)</f>
        <v>13596.429502482759</v>
      </c>
      <c r="D231" s="60">
        <f t="shared" ref="D231:N231" si="63">SUM(D228:D230)</f>
        <v>13596.429502482759</v>
      </c>
      <c r="E231" s="60">
        <f t="shared" si="63"/>
        <v>13596.429502482759</v>
      </c>
      <c r="F231" s="60">
        <f t="shared" si="63"/>
        <v>13596.429502482759</v>
      </c>
      <c r="G231" s="60">
        <f t="shared" si="63"/>
        <v>13596.429502482759</v>
      </c>
      <c r="H231" s="60">
        <f t="shared" si="63"/>
        <v>13596.429502482759</v>
      </c>
      <c r="I231" s="60">
        <f t="shared" si="63"/>
        <v>13596.429502482759</v>
      </c>
      <c r="J231" s="60">
        <f t="shared" si="63"/>
        <v>13596.429502482759</v>
      </c>
      <c r="K231" s="60">
        <f t="shared" si="63"/>
        <v>13596.429502482759</v>
      </c>
      <c r="L231" s="60">
        <f t="shared" si="63"/>
        <v>13596.429502482759</v>
      </c>
      <c r="M231" s="60">
        <f t="shared" si="63"/>
        <v>13596.429502482759</v>
      </c>
      <c r="N231" s="60">
        <f t="shared" si="63"/>
        <v>13596.429502482759</v>
      </c>
    </row>
    <row r="232" spans="1:14" x14ac:dyDescent="0.2">
      <c r="C232" s="60"/>
      <c r="D232" s="66"/>
      <c r="E232" s="66"/>
      <c r="F232" s="66"/>
      <c r="G232" s="66"/>
      <c r="H232" s="66"/>
      <c r="I232" s="66"/>
      <c r="J232" s="66"/>
      <c r="K232" s="66"/>
      <c r="L232" s="66"/>
      <c r="M232" s="66"/>
      <c r="N232" s="66"/>
    </row>
    <row r="233" spans="1:14" x14ac:dyDescent="0.2">
      <c r="A233" s="58"/>
      <c r="C233" s="60"/>
      <c r="D233" s="66"/>
      <c r="E233" s="66"/>
      <c r="F233" s="66"/>
      <c r="G233" s="66"/>
      <c r="H233" s="66"/>
      <c r="I233" s="66"/>
      <c r="J233" s="66"/>
      <c r="K233" s="66"/>
      <c r="L233" s="66"/>
      <c r="M233" s="66"/>
      <c r="N233" s="66"/>
    </row>
    <row r="234" spans="1:14" x14ac:dyDescent="0.2">
      <c r="C234" s="60"/>
      <c r="D234" s="66"/>
      <c r="E234" s="66"/>
      <c r="F234" s="66"/>
      <c r="G234" s="66"/>
      <c r="H234" s="66"/>
      <c r="I234" s="66"/>
      <c r="J234" s="66"/>
      <c r="K234" s="66"/>
      <c r="L234" s="66"/>
      <c r="M234" s="66"/>
      <c r="N234" s="66"/>
    </row>
    <row r="235" spans="1:14" x14ac:dyDescent="0.2">
      <c r="C235" s="60"/>
      <c r="D235" s="66"/>
      <c r="E235" s="66"/>
      <c r="F235" s="66"/>
      <c r="G235" s="66"/>
      <c r="H235" s="66"/>
      <c r="I235" s="66"/>
      <c r="J235" s="66"/>
      <c r="K235" s="66"/>
      <c r="L235" s="66"/>
      <c r="M235" s="66"/>
      <c r="N235" s="66"/>
    </row>
    <row r="236" spans="1:14" x14ac:dyDescent="0.2">
      <c r="C236" s="60"/>
      <c r="D236" s="66"/>
      <c r="E236" s="66"/>
      <c r="F236" s="66"/>
      <c r="G236" s="66"/>
      <c r="H236" s="66"/>
      <c r="I236" s="66"/>
      <c r="J236" s="66"/>
      <c r="K236" s="66"/>
      <c r="L236" s="66"/>
      <c r="M236" s="66"/>
      <c r="N236" s="66"/>
    </row>
    <row r="237" spans="1:14" x14ac:dyDescent="0.2">
      <c r="B237" s="89"/>
      <c r="C237" s="60"/>
      <c r="D237" s="66"/>
      <c r="E237" s="66"/>
      <c r="F237" s="66"/>
      <c r="G237" s="66"/>
      <c r="H237" s="66"/>
      <c r="I237" s="66"/>
      <c r="J237" s="66"/>
      <c r="K237" s="66"/>
      <c r="L237" s="66"/>
      <c r="M237" s="66"/>
      <c r="N237" s="66"/>
    </row>
    <row r="238" spans="1:14" x14ac:dyDescent="0.2">
      <c r="B238" s="89"/>
      <c r="C238" s="60"/>
      <c r="D238" s="66"/>
      <c r="E238" s="66"/>
      <c r="F238" s="66"/>
      <c r="G238" s="66"/>
      <c r="H238" s="66"/>
      <c r="I238" s="66"/>
      <c r="J238" s="66"/>
      <c r="K238" s="66"/>
      <c r="L238" s="66"/>
      <c r="M238" s="66"/>
      <c r="N238" s="66"/>
    </row>
    <row r="239" spans="1:14" x14ac:dyDescent="0.2">
      <c r="B239" s="89"/>
      <c r="C239" s="60"/>
      <c r="D239" s="66"/>
      <c r="E239" s="66"/>
      <c r="F239" s="66"/>
      <c r="G239" s="66"/>
      <c r="H239" s="66"/>
      <c r="I239" s="66"/>
      <c r="J239" s="66"/>
      <c r="K239" s="66"/>
      <c r="L239" s="66"/>
      <c r="M239" s="66"/>
      <c r="N239" s="66"/>
    </row>
    <row r="240" spans="1:14" x14ac:dyDescent="0.2">
      <c r="B240" s="78"/>
      <c r="C240" s="60"/>
      <c r="D240" s="66"/>
      <c r="E240" s="66"/>
      <c r="F240" s="66"/>
      <c r="G240" s="66"/>
      <c r="H240" s="66"/>
      <c r="I240" s="66"/>
      <c r="J240" s="66"/>
      <c r="K240" s="66"/>
      <c r="L240" s="66"/>
      <c r="M240" s="66"/>
      <c r="N240" s="66"/>
    </row>
    <row r="241" spans="1:14" x14ac:dyDescent="0.2">
      <c r="B241" s="74"/>
      <c r="C241" s="60"/>
      <c r="D241" s="66"/>
      <c r="E241" s="66"/>
      <c r="F241" s="66"/>
      <c r="G241" s="66"/>
      <c r="H241" s="66"/>
      <c r="I241" s="66"/>
      <c r="J241" s="66"/>
      <c r="K241" s="66"/>
      <c r="L241" s="66"/>
      <c r="M241" s="66"/>
      <c r="N241" s="66"/>
    </row>
    <row r="242" spans="1:14" x14ac:dyDescent="0.2">
      <c r="A242" s="84"/>
      <c r="B242" s="84"/>
      <c r="C242" s="60"/>
      <c r="D242" s="66"/>
      <c r="E242" s="66"/>
      <c r="F242" s="66"/>
      <c r="G242" s="66"/>
      <c r="H242" s="66"/>
      <c r="I242" s="66"/>
      <c r="J242" s="66"/>
      <c r="K242" s="66"/>
      <c r="L242" s="66"/>
      <c r="M242" s="66"/>
      <c r="N242" s="66"/>
    </row>
    <row r="243" spans="1:14" x14ac:dyDescent="0.2">
      <c r="A243" s="84"/>
      <c r="B243" s="84"/>
      <c r="C243" s="60"/>
      <c r="D243" s="66"/>
      <c r="E243" s="66"/>
      <c r="F243" s="66"/>
      <c r="G243" s="66"/>
      <c r="H243" s="66"/>
      <c r="I243" s="66"/>
      <c r="J243" s="66"/>
      <c r="K243" s="66"/>
      <c r="L243" s="66"/>
      <c r="M243" s="66"/>
      <c r="N243" s="66"/>
    </row>
    <row r="244" spans="1:14" x14ac:dyDescent="0.2">
      <c r="A244" s="84"/>
      <c r="B244" s="84"/>
      <c r="C244" s="60"/>
      <c r="D244" s="66"/>
      <c r="E244" s="66"/>
      <c r="F244" s="66"/>
      <c r="G244" s="66"/>
      <c r="H244" s="66"/>
      <c r="I244" s="66"/>
      <c r="J244" s="66"/>
      <c r="K244" s="66"/>
      <c r="L244" s="66"/>
      <c r="M244" s="66"/>
      <c r="N244" s="66"/>
    </row>
    <row r="245" spans="1:14" x14ac:dyDescent="0.2">
      <c r="A245" s="84"/>
      <c r="B245" s="84"/>
      <c r="C245" s="60"/>
      <c r="D245" s="66"/>
      <c r="E245" s="66"/>
      <c r="F245" s="66"/>
      <c r="G245" s="66"/>
      <c r="H245" s="66"/>
      <c r="I245" s="66"/>
      <c r="J245" s="66"/>
      <c r="K245" s="66"/>
      <c r="L245" s="66"/>
      <c r="M245" s="66"/>
      <c r="N245" s="66"/>
    </row>
    <row r="246" spans="1:14" x14ac:dyDescent="0.2">
      <c r="A246" s="84"/>
      <c r="B246" s="84"/>
      <c r="C246" s="60"/>
      <c r="D246" s="66"/>
      <c r="E246" s="66"/>
      <c r="F246" s="66"/>
      <c r="G246" s="66"/>
      <c r="H246" s="66"/>
      <c r="I246" s="66"/>
      <c r="J246" s="66"/>
      <c r="K246" s="66"/>
      <c r="L246" s="66"/>
      <c r="M246" s="66"/>
      <c r="N246" s="66"/>
    </row>
    <row r="247" spans="1:14" x14ac:dyDescent="0.2">
      <c r="A247" s="84"/>
      <c r="B247" s="84"/>
      <c r="C247" s="60"/>
      <c r="D247" s="66"/>
      <c r="E247" s="66"/>
      <c r="F247" s="66"/>
      <c r="G247" s="66"/>
      <c r="H247" s="66"/>
      <c r="I247" s="66"/>
      <c r="J247" s="66"/>
      <c r="K247" s="66"/>
      <c r="L247" s="66"/>
      <c r="M247" s="66"/>
      <c r="N247" s="66"/>
    </row>
    <row r="248" spans="1:14" x14ac:dyDescent="0.2">
      <c r="A248" s="84"/>
      <c r="B248" s="84"/>
      <c r="C248" s="60"/>
      <c r="D248" s="66"/>
      <c r="E248" s="66"/>
      <c r="F248" s="66"/>
      <c r="G248" s="66"/>
      <c r="H248" s="66"/>
      <c r="I248" s="66"/>
      <c r="J248" s="66"/>
      <c r="K248" s="66"/>
      <c r="L248" s="66"/>
      <c r="M248" s="66"/>
      <c r="N248" s="66"/>
    </row>
    <row r="249" spans="1:14" x14ac:dyDescent="0.2">
      <c r="A249" s="84"/>
      <c r="B249" s="84"/>
      <c r="C249" s="60"/>
      <c r="D249" s="66"/>
      <c r="E249" s="66"/>
      <c r="F249" s="66"/>
      <c r="G249" s="66"/>
      <c r="H249" s="66"/>
      <c r="I249" s="66"/>
      <c r="J249" s="66"/>
      <c r="K249" s="66"/>
      <c r="L249" s="66"/>
      <c r="M249" s="66"/>
      <c r="N249" s="66"/>
    </row>
    <row r="250" spans="1:14" x14ac:dyDescent="0.2">
      <c r="A250" s="84"/>
      <c r="B250" s="84"/>
      <c r="C250" s="60"/>
      <c r="D250" s="66"/>
      <c r="E250" s="66"/>
      <c r="F250" s="66"/>
      <c r="G250" s="66"/>
      <c r="H250" s="66"/>
      <c r="I250" s="66"/>
      <c r="J250" s="66"/>
      <c r="K250" s="66"/>
      <c r="L250" s="66"/>
      <c r="M250" s="66"/>
      <c r="N250" s="66"/>
    </row>
    <row r="251" spans="1:14" x14ac:dyDescent="0.2">
      <c r="A251" s="84"/>
      <c r="B251" s="84"/>
      <c r="C251" s="60"/>
      <c r="D251" s="66"/>
      <c r="E251" s="66"/>
      <c r="F251" s="66"/>
      <c r="G251" s="66"/>
      <c r="H251" s="66"/>
      <c r="I251" s="66"/>
      <c r="J251" s="66"/>
      <c r="K251" s="66"/>
      <c r="L251" s="66"/>
      <c r="M251" s="66"/>
      <c r="N251" s="66"/>
    </row>
    <row r="252" spans="1:14" x14ac:dyDescent="0.2">
      <c r="A252" s="84"/>
      <c r="B252" s="84"/>
      <c r="C252" s="60"/>
      <c r="D252" s="66"/>
      <c r="E252" s="66"/>
      <c r="F252" s="66"/>
      <c r="G252" s="66"/>
      <c r="H252" s="66"/>
      <c r="I252" s="66"/>
      <c r="J252" s="66"/>
      <c r="K252" s="66"/>
      <c r="L252" s="66"/>
      <c r="M252" s="66"/>
      <c r="N252" s="66"/>
    </row>
    <row r="253" spans="1:14" x14ac:dyDescent="0.2">
      <c r="A253" s="84"/>
      <c r="B253" s="84"/>
      <c r="C253" s="60"/>
      <c r="D253" s="66"/>
      <c r="E253" s="66"/>
      <c r="F253" s="66"/>
      <c r="G253" s="66"/>
      <c r="H253" s="66"/>
      <c r="I253" s="66"/>
      <c r="J253" s="66"/>
      <c r="K253" s="66"/>
      <c r="L253" s="66"/>
      <c r="M253" s="66"/>
      <c r="N253" s="66"/>
    </row>
    <row r="254" spans="1:14" x14ac:dyDescent="0.2">
      <c r="A254" s="84"/>
      <c r="B254" s="84"/>
      <c r="C254" s="60"/>
      <c r="D254" s="66"/>
      <c r="E254" s="66"/>
      <c r="F254" s="66"/>
      <c r="G254" s="66"/>
      <c r="H254" s="66"/>
      <c r="I254" s="66"/>
      <c r="J254" s="66"/>
      <c r="K254" s="66"/>
      <c r="L254" s="66"/>
      <c r="M254" s="66"/>
      <c r="N254" s="66"/>
    </row>
    <row r="255" spans="1:14" x14ac:dyDescent="0.2">
      <c r="A255" s="84"/>
      <c r="B255" s="84"/>
      <c r="C255" s="60"/>
      <c r="D255" s="66"/>
      <c r="E255" s="66"/>
      <c r="F255" s="66"/>
      <c r="G255" s="66"/>
      <c r="H255" s="66"/>
      <c r="I255" s="66"/>
      <c r="J255" s="66"/>
      <c r="K255" s="66"/>
      <c r="L255" s="66"/>
      <c r="M255" s="66"/>
      <c r="N255" s="66"/>
    </row>
    <row r="256" spans="1:14" x14ac:dyDescent="0.2">
      <c r="A256" s="84"/>
      <c r="B256" s="84"/>
      <c r="C256" s="60"/>
      <c r="D256" s="66"/>
      <c r="E256" s="66"/>
      <c r="F256" s="66"/>
      <c r="G256" s="66"/>
      <c r="H256" s="66"/>
      <c r="I256" s="66"/>
      <c r="J256" s="66"/>
      <c r="K256" s="66"/>
      <c r="L256" s="66"/>
      <c r="M256" s="66"/>
      <c r="N256" s="66"/>
    </row>
    <row r="257" spans="1:14" x14ac:dyDescent="0.2">
      <c r="A257" s="84"/>
      <c r="B257" s="84"/>
      <c r="C257" s="60"/>
      <c r="D257" s="66"/>
      <c r="E257" s="66"/>
      <c r="F257" s="66"/>
      <c r="G257" s="66"/>
      <c r="H257" s="66"/>
      <c r="I257" s="66"/>
      <c r="J257" s="66"/>
      <c r="K257" s="66"/>
      <c r="L257" s="66"/>
      <c r="M257" s="66"/>
      <c r="N257" s="66"/>
    </row>
    <row r="258" spans="1:14" x14ac:dyDescent="0.2">
      <c r="A258" s="84"/>
      <c r="B258" s="84"/>
      <c r="C258" s="60"/>
      <c r="D258" s="66"/>
      <c r="E258" s="66"/>
      <c r="F258" s="66"/>
      <c r="G258" s="66"/>
      <c r="H258" s="66"/>
      <c r="I258" s="66"/>
      <c r="J258" s="66"/>
      <c r="K258" s="66"/>
      <c r="L258" s="66"/>
      <c r="M258" s="66"/>
      <c r="N258" s="66"/>
    </row>
    <row r="259" spans="1:14" x14ac:dyDescent="0.2">
      <c r="A259" s="84"/>
      <c r="B259" s="84"/>
      <c r="C259" s="60"/>
      <c r="D259" s="66"/>
      <c r="E259" s="66"/>
      <c r="F259" s="66"/>
      <c r="G259" s="66"/>
      <c r="H259" s="66"/>
      <c r="I259" s="66"/>
      <c r="J259" s="66"/>
      <c r="K259" s="66"/>
      <c r="L259" s="66"/>
      <c r="M259" s="66"/>
      <c r="N259" s="66"/>
    </row>
    <row r="260" spans="1:14" x14ac:dyDescent="0.2">
      <c r="A260" s="84"/>
      <c r="B260" s="84"/>
      <c r="C260" s="60"/>
      <c r="D260" s="66"/>
      <c r="E260" s="66"/>
      <c r="F260" s="66"/>
      <c r="G260" s="66"/>
      <c r="H260" s="66"/>
      <c r="I260" s="66"/>
      <c r="J260" s="66"/>
      <c r="K260" s="66"/>
      <c r="L260" s="66"/>
      <c r="M260" s="66"/>
      <c r="N260" s="66"/>
    </row>
    <row r="261" spans="1:14" x14ac:dyDescent="0.2">
      <c r="A261" s="84"/>
      <c r="B261" s="84"/>
      <c r="C261" s="60"/>
      <c r="D261" s="66"/>
      <c r="E261" s="66"/>
      <c r="F261" s="66"/>
      <c r="G261" s="66"/>
      <c r="H261" s="66"/>
      <c r="I261" s="66"/>
      <c r="J261" s="66"/>
      <c r="K261" s="66"/>
      <c r="L261" s="66"/>
      <c r="M261" s="66"/>
      <c r="N261" s="66"/>
    </row>
    <row r="262" spans="1:14" x14ac:dyDescent="0.2">
      <c r="A262" s="84"/>
      <c r="B262" s="84"/>
      <c r="C262" s="60"/>
      <c r="D262" s="66"/>
      <c r="E262" s="66"/>
      <c r="F262" s="66"/>
      <c r="G262" s="66"/>
      <c r="H262" s="66"/>
      <c r="I262" s="66"/>
      <c r="J262" s="66"/>
      <c r="K262" s="66"/>
      <c r="L262" s="66"/>
      <c r="M262" s="66"/>
      <c r="N262" s="66"/>
    </row>
    <row r="263" spans="1:14" x14ac:dyDescent="0.2">
      <c r="A263" s="84"/>
      <c r="B263" s="84"/>
      <c r="C263" s="60"/>
      <c r="D263" s="66"/>
      <c r="E263" s="66"/>
      <c r="F263" s="66"/>
      <c r="G263" s="66"/>
      <c r="H263" s="66"/>
      <c r="I263" s="66"/>
      <c r="J263" s="66"/>
      <c r="K263" s="66"/>
      <c r="L263" s="66"/>
      <c r="M263" s="66"/>
      <c r="N263" s="66"/>
    </row>
    <row r="264" spans="1:14" x14ac:dyDescent="0.2">
      <c r="A264" s="84"/>
      <c r="B264" s="84"/>
      <c r="C264" s="60"/>
      <c r="D264" s="66"/>
      <c r="E264" s="66"/>
      <c r="F264" s="66"/>
      <c r="G264" s="66"/>
      <c r="H264" s="66"/>
      <c r="I264" s="66"/>
      <c r="J264" s="66"/>
      <c r="K264" s="66"/>
      <c r="L264" s="66"/>
      <c r="M264" s="66"/>
      <c r="N264" s="66"/>
    </row>
    <row r="265" spans="1:14" x14ac:dyDescent="0.2">
      <c r="A265" s="84"/>
      <c r="B265" s="84"/>
      <c r="C265" s="60"/>
      <c r="D265" s="66"/>
      <c r="E265" s="66"/>
      <c r="F265" s="66"/>
      <c r="G265" s="66"/>
      <c r="H265" s="66"/>
      <c r="I265" s="66"/>
      <c r="J265" s="66"/>
      <c r="K265" s="66"/>
      <c r="L265" s="66"/>
      <c r="M265" s="66"/>
      <c r="N265" s="66"/>
    </row>
    <row r="266" spans="1:14" x14ac:dyDescent="0.2">
      <c r="A266" s="84"/>
      <c r="B266" s="84"/>
      <c r="C266" s="60"/>
      <c r="D266" s="66"/>
      <c r="E266" s="66"/>
      <c r="F266" s="66"/>
      <c r="G266" s="66"/>
      <c r="H266" s="66"/>
      <c r="I266" s="66"/>
      <c r="J266" s="66"/>
      <c r="K266" s="66"/>
      <c r="L266" s="66"/>
      <c r="M266" s="66"/>
      <c r="N266" s="66"/>
    </row>
    <row r="267" spans="1:14" x14ac:dyDescent="0.2">
      <c r="A267" s="84"/>
      <c r="B267" s="84"/>
      <c r="C267" s="60"/>
      <c r="D267" s="66"/>
      <c r="E267" s="66"/>
      <c r="F267" s="66"/>
      <c r="G267" s="66"/>
      <c r="H267" s="66"/>
      <c r="I267" s="66"/>
      <c r="J267" s="66"/>
      <c r="K267" s="66"/>
      <c r="L267" s="66"/>
      <c r="M267" s="66"/>
      <c r="N267" s="66"/>
    </row>
    <row r="268" spans="1:14" x14ac:dyDescent="0.2">
      <c r="A268" s="84"/>
      <c r="B268" s="84"/>
      <c r="C268" s="60"/>
      <c r="D268" s="66"/>
      <c r="E268" s="66"/>
      <c r="F268" s="66"/>
      <c r="G268" s="66"/>
      <c r="H268" s="66"/>
      <c r="I268" s="66"/>
      <c r="J268" s="66"/>
      <c r="K268" s="66"/>
      <c r="L268" s="66"/>
      <c r="M268" s="66"/>
      <c r="N268" s="66"/>
    </row>
    <row r="269" spans="1:14" x14ac:dyDescent="0.2">
      <c r="A269" s="84"/>
      <c r="B269" s="84"/>
      <c r="C269" s="60"/>
      <c r="D269" s="66"/>
      <c r="E269" s="66"/>
      <c r="F269" s="66"/>
      <c r="G269" s="66"/>
      <c r="H269" s="66"/>
      <c r="I269" s="66"/>
      <c r="J269" s="66"/>
      <c r="K269" s="66"/>
      <c r="L269" s="66"/>
      <c r="M269" s="66"/>
      <c r="N269" s="66"/>
    </row>
    <row r="270" spans="1:14" x14ac:dyDescent="0.2">
      <c r="A270" s="84"/>
      <c r="B270" s="84"/>
      <c r="C270" s="60"/>
      <c r="D270" s="66"/>
      <c r="E270" s="66"/>
      <c r="F270" s="66"/>
      <c r="G270" s="66"/>
      <c r="H270" s="66"/>
      <c r="I270" s="66"/>
      <c r="J270" s="66"/>
      <c r="K270" s="66"/>
      <c r="L270" s="66"/>
      <c r="M270" s="66"/>
      <c r="N270" s="66"/>
    </row>
    <row r="271" spans="1:14" x14ac:dyDescent="0.2">
      <c r="A271" s="84"/>
      <c r="B271" s="84"/>
      <c r="C271" s="60"/>
      <c r="D271" s="66"/>
      <c r="E271" s="66"/>
      <c r="F271" s="66"/>
      <c r="G271" s="66"/>
      <c r="H271" s="66"/>
      <c r="I271" s="66"/>
      <c r="J271" s="66"/>
      <c r="K271" s="66"/>
      <c r="L271" s="66"/>
      <c r="M271" s="66"/>
      <c r="N271" s="66"/>
    </row>
    <row r="272" spans="1:14" x14ac:dyDescent="0.2">
      <c r="A272" s="84"/>
      <c r="B272" s="84"/>
      <c r="C272" s="60"/>
      <c r="D272" s="66"/>
      <c r="E272" s="66"/>
      <c r="F272" s="66"/>
      <c r="G272" s="66"/>
      <c r="H272" s="66"/>
      <c r="I272" s="66"/>
      <c r="J272" s="66"/>
      <c r="K272" s="66"/>
      <c r="L272" s="66"/>
      <c r="M272" s="66"/>
      <c r="N272" s="66"/>
    </row>
    <row r="273" spans="1:14" x14ac:dyDescent="0.2">
      <c r="A273" s="84"/>
      <c r="B273" s="84"/>
      <c r="C273" s="60"/>
      <c r="D273" s="66"/>
      <c r="E273" s="66"/>
      <c r="F273" s="66"/>
      <c r="G273" s="66"/>
      <c r="H273" s="66"/>
      <c r="I273" s="66"/>
      <c r="J273" s="66"/>
      <c r="K273" s="66"/>
      <c r="L273" s="66"/>
      <c r="M273" s="66"/>
      <c r="N273" s="66"/>
    </row>
    <row r="274" spans="1:14" x14ac:dyDescent="0.2">
      <c r="A274" s="84"/>
      <c r="B274" s="84"/>
      <c r="C274" s="60"/>
      <c r="D274" s="66"/>
      <c r="E274" s="66"/>
      <c r="F274" s="66"/>
      <c r="G274" s="66"/>
      <c r="H274" s="66"/>
      <c r="I274" s="66"/>
      <c r="J274" s="66"/>
      <c r="K274" s="66"/>
      <c r="L274" s="66"/>
      <c r="M274" s="66"/>
      <c r="N274" s="66"/>
    </row>
    <row r="275" spans="1:14" x14ac:dyDescent="0.2">
      <c r="A275" s="84"/>
      <c r="B275" s="84"/>
      <c r="C275" s="60"/>
      <c r="D275" s="66"/>
      <c r="E275" s="66"/>
      <c r="F275" s="66"/>
      <c r="G275" s="66"/>
      <c r="H275" s="66"/>
      <c r="I275" s="66"/>
      <c r="J275" s="66"/>
      <c r="K275" s="66"/>
      <c r="L275" s="66"/>
      <c r="M275" s="66"/>
      <c r="N275" s="66"/>
    </row>
    <row r="276" spans="1:14" x14ac:dyDescent="0.2">
      <c r="A276" s="84"/>
      <c r="B276" s="84"/>
      <c r="C276" s="60"/>
      <c r="D276" s="66"/>
      <c r="E276" s="66"/>
      <c r="F276" s="66"/>
      <c r="G276" s="66"/>
      <c r="H276" s="66"/>
      <c r="I276" s="66"/>
      <c r="J276" s="66"/>
      <c r="K276" s="66"/>
      <c r="L276" s="66"/>
      <c r="M276" s="66"/>
      <c r="N276" s="66"/>
    </row>
    <row r="277" spans="1:14" x14ac:dyDescent="0.2">
      <c r="A277" s="84"/>
      <c r="B277" s="84"/>
      <c r="C277" s="60"/>
      <c r="D277" s="66"/>
      <c r="E277" s="66"/>
      <c r="F277" s="66"/>
      <c r="G277" s="66"/>
      <c r="H277" s="66"/>
      <c r="I277" s="66"/>
      <c r="J277" s="66"/>
      <c r="K277" s="66"/>
      <c r="L277" s="66"/>
      <c r="M277" s="66"/>
      <c r="N277" s="66"/>
    </row>
    <row r="278" spans="1:14" x14ac:dyDescent="0.2">
      <c r="A278" s="84"/>
      <c r="B278" s="84"/>
      <c r="C278" s="60"/>
      <c r="D278" s="66"/>
      <c r="E278" s="66"/>
      <c r="F278" s="66"/>
      <c r="G278" s="66"/>
      <c r="H278" s="66"/>
      <c r="I278" s="66"/>
      <c r="J278" s="66"/>
      <c r="K278" s="66"/>
      <c r="L278" s="66"/>
      <c r="M278" s="66"/>
      <c r="N278" s="66"/>
    </row>
    <row r="279" spans="1:14" x14ac:dyDescent="0.2">
      <c r="A279" s="84"/>
      <c r="B279" s="84"/>
      <c r="C279" s="60"/>
      <c r="D279" s="66"/>
      <c r="E279" s="66"/>
      <c r="F279" s="66"/>
      <c r="G279" s="66"/>
      <c r="H279" s="66"/>
      <c r="I279" s="66"/>
      <c r="J279" s="66"/>
      <c r="K279" s="66"/>
      <c r="L279" s="66"/>
      <c r="M279" s="66"/>
      <c r="N279" s="66"/>
    </row>
    <row r="280" spans="1:14" x14ac:dyDescent="0.2">
      <c r="A280" s="84"/>
      <c r="B280" s="84"/>
      <c r="C280" s="60"/>
      <c r="D280" s="66"/>
      <c r="E280" s="66"/>
      <c r="F280" s="66"/>
      <c r="G280" s="66"/>
      <c r="H280" s="66"/>
      <c r="I280" s="66"/>
      <c r="J280" s="66"/>
      <c r="K280" s="66"/>
      <c r="L280" s="66"/>
      <c r="M280" s="66"/>
      <c r="N280" s="66"/>
    </row>
    <row r="281" spans="1:14" x14ac:dyDescent="0.2">
      <c r="A281" s="84"/>
      <c r="B281" s="84"/>
      <c r="C281" s="60"/>
      <c r="D281" s="66"/>
      <c r="E281" s="66"/>
      <c r="F281" s="66"/>
      <c r="G281" s="66"/>
      <c r="H281" s="66"/>
      <c r="I281" s="66"/>
      <c r="J281" s="66"/>
      <c r="K281" s="66"/>
      <c r="L281" s="66"/>
      <c r="M281" s="66"/>
      <c r="N281" s="66"/>
    </row>
    <row r="282" spans="1:14" x14ac:dyDescent="0.2">
      <c r="A282" s="84"/>
      <c r="B282" s="84"/>
      <c r="C282" s="60"/>
      <c r="D282" s="66"/>
      <c r="E282" s="66"/>
      <c r="F282" s="66"/>
      <c r="G282" s="66"/>
      <c r="H282" s="66"/>
      <c r="I282" s="66"/>
      <c r="J282" s="66"/>
      <c r="K282" s="66"/>
      <c r="L282" s="66"/>
      <c r="M282" s="66"/>
      <c r="N282" s="66"/>
    </row>
    <row r="283" spans="1:14" x14ac:dyDescent="0.2">
      <c r="A283" s="84"/>
      <c r="B283" s="84"/>
      <c r="C283" s="60"/>
      <c r="D283" s="66"/>
      <c r="E283" s="66"/>
      <c r="F283" s="66"/>
      <c r="G283" s="66"/>
      <c r="H283" s="66"/>
      <c r="I283" s="66"/>
      <c r="J283" s="66"/>
      <c r="K283" s="66"/>
      <c r="L283" s="66"/>
      <c r="M283" s="66"/>
      <c r="N283" s="66"/>
    </row>
    <row r="284" spans="1:14" x14ac:dyDescent="0.2">
      <c r="A284" s="84"/>
      <c r="B284" s="84"/>
      <c r="C284" s="60"/>
      <c r="D284" s="66"/>
      <c r="E284" s="66"/>
      <c r="F284" s="66"/>
      <c r="G284" s="66"/>
      <c r="H284" s="66"/>
      <c r="I284" s="66"/>
      <c r="J284" s="66"/>
      <c r="K284" s="66"/>
      <c r="L284" s="66"/>
      <c r="M284" s="66"/>
      <c r="N284" s="66"/>
    </row>
    <row r="285" spans="1:14" x14ac:dyDescent="0.2">
      <c r="A285" s="84"/>
      <c r="B285" s="84"/>
      <c r="C285" s="60"/>
      <c r="D285" s="66"/>
      <c r="E285" s="66"/>
      <c r="F285" s="66"/>
      <c r="G285" s="66"/>
      <c r="H285" s="66"/>
      <c r="I285" s="66"/>
      <c r="J285" s="66"/>
      <c r="K285" s="66"/>
      <c r="L285" s="66"/>
      <c r="M285" s="66"/>
      <c r="N285" s="66"/>
    </row>
    <row r="286" spans="1:14" x14ac:dyDescent="0.2">
      <c r="A286" s="84"/>
      <c r="B286" s="84"/>
      <c r="C286" s="60"/>
      <c r="D286" s="66"/>
      <c r="E286" s="66"/>
      <c r="F286" s="66"/>
      <c r="G286" s="66"/>
      <c r="H286" s="66"/>
      <c r="I286" s="66"/>
      <c r="J286" s="66"/>
      <c r="K286" s="66"/>
      <c r="L286" s="66"/>
      <c r="M286" s="66"/>
      <c r="N286" s="66"/>
    </row>
    <row r="287" spans="1:14" x14ac:dyDescent="0.2">
      <c r="A287" s="84"/>
      <c r="B287" s="84"/>
      <c r="C287" s="60"/>
      <c r="D287" s="66"/>
      <c r="E287" s="66"/>
      <c r="F287" s="66"/>
      <c r="G287" s="66"/>
      <c r="H287" s="66"/>
      <c r="I287" s="66"/>
      <c r="J287" s="66"/>
      <c r="K287" s="66"/>
      <c r="L287" s="66"/>
      <c r="M287" s="66"/>
      <c r="N287" s="66"/>
    </row>
    <row r="288" spans="1:14" x14ac:dyDescent="0.2">
      <c r="A288" s="84"/>
      <c r="B288" s="84"/>
      <c r="C288" s="60"/>
      <c r="D288" s="66"/>
      <c r="E288" s="66"/>
      <c r="F288" s="66"/>
      <c r="G288" s="66"/>
      <c r="H288" s="66"/>
      <c r="I288" s="66"/>
      <c r="J288" s="66"/>
      <c r="K288" s="66"/>
      <c r="L288" s="66"/>
      <c r="M288" s="66"/>
      <c r="N288" s="66"/>
    </row>
    <row r="289" spans="1:14" x14ac:dyDescent="0.2">
      <c r="A289" s="84"/>
      <c r="B289" s="84"/>
      <c r="C289" s="60"/>
      <c r="D289" s="66"/>
      <c r="E289" s="66"/>
      <c r="F289" s="66"/>
      <c r="G289" s="66"/>
      <c r="H289" s="66"/>
      <c r="I289" s="66"/>
      <c r="J289" s="66"/>
      <c r="K289" s="66"/>
      <c r="L289" s="66"/>
      <c r="M289" s="66"/>
      <c r="N289" s="66"/>
    </row>
    <row r="290" spans="1:14" x14ac:dyDescent="0.2">
      <c r="A290" s="84"/>
      <c r="B290" s="84"/>
      <c r="C290" s="60"/>
      <c r="D290" s="66"/>
      <c r="E290" s="66"/>
      <c r="F290" s="66"/>
      <c r="G290" s="66"/>
      <c r="H290" s="66"/>
      <c r="I290" s="66"/>
      <c r="J290" s="66"/>
      <c r="K290" s="66"/>
      <c r="L290" s="66"/>
      <c r="M290" s="66"/>
      <c r="N290" s="66"/>
    </row>
    <row r="291" spans="1:14" x14ac:dyDescent="0.2">
      <c r="A291" s="84"/>
      <c r="B291" s="84"/>
      <c r="C291" s="60"/>
      <c r="D291" s="66"/>
      <c r="E291" s="66"/>
      <c r="F291" s="66"/>
      <c r="G291" s="66"/>
      <c r="H291" s="66"/>
      <c r="I291" s="66"/>
      <c r="J291" s="66"/>
      <c r="K291" s="66"/>
      <c r="L291" s="66"/>
      <c r="M291" s="66"/>
      <c r="N291" s="66"/>
    </row>
    <row r="292" spans="1:14" x14ac:dyDescent="0.2">
      <c r="A292" s="84"/>
      <c r="B292" s="84"/>
      <c r="C292" s="60"/>
      <c r="D292" s="66"/>
      <c r="E292" s="66"/>
      <c r="F292" s="66"/>
      <c r="G292" s="66"/>
      <c r="H292" s="66"/>
      <c r="I292" s="66"/>
      <c r="J292" s="66"/>
      <c r="K292" s="66"/>
      <c r="L292" s="66"/>
      <c r="M292" s="66"/>
      <c r="N292" s="66"/>
    </row>
    <row r="293" spans="1:14" x14ac:dyDescent="0.2">
      <c r="A293" s="84"/>
      <c r="B293" s="84"/>
      <c r="C293" s="60"/>
      <c r="D293" s="66"/>
      <c r="E293" s="66"/>
      <c r="F293" s="66"/>
      <c r="G293" s="66"/>
      <c r="H293" s="66"/>
      <c r="I293" s="66"/>
      <c r="J293" s="66"/>
      <c r="K293" s="66"/>
      <c r="L293" s="66"/>
      <c r="M293" s="66"/>
      <c r="N293" s="66"/>
    </row>
    <row r="294" spans="1:14" x14ac:dyDescent="0.2">
      <c r="A294" s="84"/>
      <c r="B294" s="84"/>
      <c r="C294" s="60"/>
      <c r="D294" s="66"/>
      <c r="E294" s="66"/>
      <c r="F294" s="66"/>
      <c r="G294" s="66"/>
      <c r="H294" s="66"/>
      <c r="I294" s="66"/>
      <c r="J294" s="66"/>
      <c r="K294" s="66"/>
      <c r="L294" s="66"/>
      <c r="M294" s="66"/>
      <c r="N294" s="66"/>
    </row>
    <row r="295" spans="1:14" x14ac:dyDescent="0.2">
      <c r="A295" s="84"/>
      <c r="B295" s="84"/>
      <c r="C295" s="60"/>
      <c r="D295" s="66"/>
      <c r="E295" s="66"/>
      <c r="F295" s="66"/>
      <c r="G295" s="66"/>
      <c r="H295" s="66"/>
      <c r="I295" s="66"/>
      <c r="J295" s="66"/>
      <c r="K295" s="66"/>
      <c r="L295" s="66"/>
      <c r="M295" s="66"/>
      <c r="N295" s="66"/>
    </row>
    <row r="296" spans="1:14" x14ac:dyDescent="0.2">
      <c r="A296" s="84"/>
      <c r="B296" s="84"/>
      <c r="C296" s="60"/>
      <c r="D296" s="66"/>
      <c r="E296" s="66"/>
      <c r="F296" s="66"/>
      <c r="G296" s="66"/>
      <c r="H296" s="66"/>
      <c r="I296" s="66"/>
      <c r="J296" s="66"/>
      <c r="K296" s="66"/>
      <c r="L296" s="66"/>
      <c r="M296" s="66"/>
      <c r="N296" s="66"/>
    </row>
    <row r="297" spans="1:14" x14ac:dyDescent="0.2">
      <c r="A297" s="84"/>
      <c r="B297" s="84"/>
      <c r="C297" s="60"/>
      <c r="D297" s="66"/>
      <c r="E297" s="66"/>
      <c r="F297" s="66"/>
      <c r="G297" s="66"/>
      <c r="H297" s="66"/>
      <c r="I297" s="66"/>
      <c r="J297" s="66"/>
      <c r="K297" s="66"/>
      <c r="L297" s="66"/>
      <c r="M297" s="66"/>
      <c r="N297" s="66"/>
    </row>
    <row r="298" spans="1:14" x14ac:dyDescent="0.2">
      <c r="A298" s="84"/>
      <c r="B298" s="84"/>
      <c r="C298" s="60"/>
      <c r="D298" s="66"/>
      <c r="E298" s="66"/>
      <c r="F298" s="66"/>
      <c r="G298" s="66"/>
      <c r="H298" s="66"/>
      <c r="I298" s="66"/>
      <c r="J298" s="66"/>
      <c r="K298" s="66"/>
      <c r="L298" s="66"/>
      <c r="M298" s="66"/>
      <c r="N298" s="66"/>
    </row>
    <row r="299" spans="1:14" x14ac:dyDescent="0.2">
      <c r="A299" s="84"/>
      <c r="B299" s="84"/>
      <c r="C299" s="60"/>
      <c r="D299" s="66"/>
      <c r="E299" s="66"/>
      <c r="F299" s="66"/>
      <c r="G299" s="66"/>
      <c r="H299" s="66"/>
      <c r="I299" s="66"/>
      <c r="J299" s="66"/>
      <c r="K299" s="66"/>
      <c r="L299" s="66"/>
      <c r="M299" s="66"/>
      <c r="N299" s="66"/>
    </row>
    <row r="300" spans="1:14" x14ac:dyDescent="0.2">
      <c r="A300" s="84"/>
      <c r="B300" s="84"/>
      <c r="C300" s="60"/>
      <c r="D300" s="66"/>
      <c r="E300" s="66"/>
      <c r="F300" s="66"/>
      <c r="G300" s="66"/>
      <c r="H300" s="66"/>
      <c r="I300" s="66"/>
      <c r="J300" s="66"/>
      <c r="K300" s="66"/>
      <c r="L300" s="66"/>
      <c r="M300" s="66"/>
      <c r="N300" s="66"/>
    </row>
    <row r="301" spans="1:14" x14ac:dyDescent="0.2">
      <c r="A301" s="84"/>
      <c r="B301" s="84"/>
      <c r="C301" s="60"/>
      <c r="D301" s="66"/>
      <c r="E301" s="66"/>
      <c r="F301" s="66"/>
      <c r="G301" s="66"/>
      <c r="H301" s="66"/>
      <c r="I301" s="66"/>
      <c r="J301" s="66"/>
      <c r="K301" s="66"/>
      <c r="L301" s="66"/>
      <c r="M301" s="66"/>
      <c r="N301" s="66"/>
    </row>
    <row r="302" spans="1:14" x14ac:dyDescent="0.2">
      <c r="A302" s="84"/>
      <c r="B302" s="84"/>
      <c r="C302" s="60"/>
      <c r="D302" s="66"/>
      <c r="E302" s="66"/>
      <c r="F302" s="66"/>
      <c r="G302" s="66"/>
      <c r="H302" s="66"/>
      <c r="I302" s="66"/>
      <c r="J302" s="66"/>
      <c r="K302" s="66"/>
      <c r="L302" s="66"/>
      <c r="M302" s="66"/>
      <c r="N302" s="66"/>
    </row>
    <row r="303" spans="1:14" x14ac:dyDescent="0.2">
      <c r="A303" s="84"/>
      <c r="B303" s="84"/>
      <c r="C303" s="60"/>
      <c r="D303" s="66"/>
      <c r="E303" s="66"/>
      <c r="F303" s="66"/>
      <c r="G303" s="66"/>
      <c r="H303" s="66"/>
      <c r="I303" s="66"/>
      <c r="J303" s="66"/>
      <c r="K303" s="66"/>
      <c r="L303" s="66"/>
      <c r="M303" s="66"/>
      <c r="N303" s="66"/>
    </row>
    <row r="304" spans="1:14" x14ac:dyDescent="0.2">
      <c r="A304" s="84"/>
      <c r="B304" s="84"/>
      <c r="C304" s="60"/>
      <c r="D304" s="66"/>
      <c r="E304" s="66"/>
      <c r="F304" s="66"/>
      <c r="G304" s="66"/>
      <c r="H304" s="66"/>
      <c r="I304" s="66"/>
      <c r="J304" s="66"/>
      <c r="K304" s="66"/>
      <c r="L304" s="66"/>
      <c r="M304" s="66"/>
      <c r="N304" s="66"/>
    </row>
    <row r="305" spans="1:14" x14ac:dyDescent="0.2">
      <c r="A305" s="84"/>
      <c r="B305" s="84"/>
      <c r="C305" s="60"/>
      <c r="D305" s="66"/>
      <c r="E305" s="66"/>
      <c r="F305" s="66"/>
      <c r="G305" s="66"/>
      <c r="H305" s="66"/>
      <c r="I305" s="66"/>
      <c r="J305" s="66"/>
      <c r="K305" s="66"/>
      <c r="L305" s="66"/>
      <c r="M305" s="66"/>
      <c r="N305" s="66"/>
    </row>
    <row r="306" spans="1:14" x14ac:dyDescent="0.2">
      <c r="A306" s="84"/>
      <c r="B306" s="84"/>
      <c r="C306" s="60"/>
      <c r="D306" s="66"/>
      <c r="E306" s="66"/>
      <c r="F306" s="66"/>
      <c r="G306" s="66"/>
      <c r="H306" s="66"/>
      <c r="I306" s="66"/>
      <c r="J306" s="66"/>
      <c r="K306" s="66"/>
      <c r="L306" s="66"/>
      <c r="M306" s="66"/>
      <c r="N306" s="66"/>
    </row>
    <row r="307" spans="1:14" x14ac:dyDescent="0.2">
      <c r="A307" s="84"/>
      <c r="B307" s="84"/>
      <c r="C307" s="60"/>
      <c r="D307" s="66"/>
      <c r="E307" s="66"/>
      <c r="F307" s="66"/>
      <c r="G307" s="66"/>
      <c r="H307" s="66"/>
      <c r="I307" s="66"/>
      <c r="J307" s="66"/>
      <c r="K307" s="66"/>
      <c r="L307" s="66"/>
      <c r="M307" s="66"/>
      <c r="N307" s="66"/>
    </row>
    <row r="308" spans="1:14" x14ac:dyDescent="0.2">
      <c r="A308" s="84"/>
      <c r="B308" s="84"/>
      <c r="C308" s="60"/>
      <c r="D308" s="66"/>
      <c r="E308" s="66"/>
      <c r="F308" s="66"/>
      <c r="G308" s="66"/>
      <c r="H308" s="66"/>
      <c r="I308" s="66"/>
      <c r="J308" s="66"/>
      <c r="K308" s="66"/>
      <c r="L308" s="66"/>
      <c r="M308" s="66"/>
      <c r="N308" s="66"/>
    </row>
    <row r="309" spans="1:14" x14ac:dyDescent="0.2">
      <c r="A309" s="84"/>
      <c r="B309" s="84"/>
      <c r="C309" s="60"/>
      <c r="D309" s="66"/>
      <c r="E309" s="66"/>
      <c r="F309" s="66"/>
      <c r="G309" s="66"/>
      <c r="H309" s="66"/>
      <c r="I309" s="66"/>
      <c r="J309" s="66"/>
      <c r="K309" s="66"/>
      <c r="L309" s="66"/>
      <c r="M309" s="66"/>
      <c r="N309" s="66"/>
    </row>
    <row r="310" spans="1:14" x14ac:dyDescent="0.2">
      <c r="A310" s="84"/>
      <c r="B310" s="84"/>
      <c r="C310" s="60"/>
      <c r="D310" s="66"/>
      <c r="E310" s="66"/>
      <c r="F310" s="66"/>
      <c r="G310" s="66"/>
      <c r="H310" s="66"/>
      <c r="I310" s="66"/>
      <c r="J310" s="66"/>
      <c r="K310" s="66"/>
      <c r="L310" s="66"/>
      <c r="M310" s="66"/>
      <c r="N310" s="66"/>
    </row>
    <row r="311" spans="1:14" x14ac:dyDescent="0.2">
      <c r="A311" s="84"/>
      <c r="B311" s="84"/>
      <c r="C311" s="60"/>
      <c r="D311" s="66"/>
      <c r="E311" s="66"/>
      <c r="F311" s="66"/>
      <c r="G311" s="66"/>
      <c r="H311" s="66"/>
      <c r="I311" s="66"/>
      <c r="J311" s="66"/>
      <c r="K311" s="66"/>
      <c r="L311" s="66"/>
      <c r="M311" s="66"/>
      <c r="N311" s="66"/>
    </row>
    <row r="312" spans="1:14" x14ac:dyDescent="0.2">
      <c r="A312" s="84"/>
      <c r="B312" s="84"/>
      <c r="C312" s="60"/>
      <c r="D312" s="66"/>
      <c r="E312" s="66"/>
      <c r="F312" s="66"/>
      <c r="G312" s="66"/>
      <c r="H312" s="66"/>
      <c r="I312" s="66"/>
      <c r="J312" s="66"/>
      <c r="K312" s="66"/>
      <c r="L312" s="66"/>
      <c r="M312" s="66"/>
      <c r="N312" s="66"/>
    </row>
    <row r="313" spans="1:14" x14ac:dyDescent="0.2">
      <c r="A313" s="84"/>
      <c r="B313" s="84"/>
      <c r="C313" s="60"/>
      <c r="D313" s="66"/>
      <c r="E313" s="66"/>
      <c r="F313" s="66"/>
      <c r="G313" s="66"/>
      <c r="H313" s="66"/>
      <c r="I313" s="66"/>
      <c r="J313" s="66"/>
      <c r="K313" s="66"/>
      <c r="L313" s="66"/>
      <c r="M313" s="66"/>
      <c r="N313" s="66"/>
    </row>
    <row r="314" spans="1:14" x14ac:dyDescent="0.2">
      <c r="A314" s="84"/>
      <c r="B314" s="84"/>
      <c r="C314" s="60"/>
      <c r="D314" s="66"/>
      <c r="E314" s="66"/>
      <c r="F314" s="66"/>
      <c r="G314" s="66"/>
      <c r="H314" s="66"/>
      <c r="I314" s="66"/>
      <c r="J314" s="66"/>
      <c r="K314" s="66"/>
      <c r="L314" s="66"/>
      <c r="M314" s="66"/>
      <c r="N314" s="66"/>
    </row>
    <row r="315" spans="1:14" x14ac:dyDescent="0.2">
      <c r="A315" s="84"/>
      <c r="B315" s="84"/>
      <c r="C315" s="60"/>
      <c r="D315" s="66"/>
      <c r="E315" s="66"/>
      <c r="F315" s="66"/>
      <c r="G315" s="66"/>
      <c r="H315" s="66"/>
      <c r="I315" s="66"/>
      <c r="J315" s="66"/>
      <c r="K315" s="66"/>
      <c r="L315" s="66"/>
      <c r="M315" s="66"/>
      <c r="N315" s="66"/>
    </row>
    <row r="316" spans="1:14" x14ac:dyDescent="0.2">
      <c r="A316" s="84"/>
      <c r="B316" s="84"/>
      <c r="C316" s="60"/>
      <c r="D316" s="66"/>
      <c r="E316" s="66"/>
      <c r="F316" s="66"/>
      <c r="G316" s="66"/>
      <c r="H316" s="66"/>
      <c r="I316" s="66"/>
      <c r="J316" s="66"/>
      <c r="K316" s="66"/>
      <c r="L316" s="66"/>
      <c r="M316" s="66"/>
      <c r="N316" s="66"/>
    </row>
    <row r="317" spans="1:14" x14ac:dyDescent="0.2">
      <c r="A317" s="84"/>
      <c r="B317" s="84"/>
      <c r="C317" s="60"/>
      <c r="D317" s="66"/>
      <c r="E317" s="66"/>
      <c r="F317" s="66"/>
      <c r="G317" s="66"/>
      <c r="H317" s="66"/>
      <c r="I317" s="66"/>
      <c r="J317" s="66"/>
      <c r="K317" s="66"/>
      <c r="L317" s="66"/>
      <c r="M317" s="66"/>
      <c r="N317" s="66"/>
    </row>
    <row r="318" spans="1:14" x14ac:dyDescent="0.2">
      <c r="A318" s="84"/>
      <c r="B318" s="84"/>
      <c r="C318" s="60"/>
      <c r="D318" s="66"/>
      <c r="E318" s="66"/>
      <c r="F318" s="66"/>
      <c r="G318" s="66"/>
      <c r="H318" s="66"/>
      <c r="I318" s="66"/>
      <c r="J318" s="66"/>
      <c r="K318" s="66"/>
      <c r="L318" s="66"/>
      <c r="M318" s="66"/>
      <c r="N318" s="66"/>
    </row>
    <row r="319" spans="1:14" x14ac:dyDescent="0.2">
      <c r="A319" s="84"/>
      <c r="B319" s="84"/>
      <c r="C319" s="60"/>
      <c r="D319" s="66"/>
      <c r="E319" s="66"/>
      <c r="F319" s="66"/>
      <c r="G319" s="66"/>
      <c r="H319" s="66"/>
      <c r="I319" s="66"/>
      <c r="J319" s="66"/>
      <c r="K319" s="66"/>
      <c r="L319" s="66"/>
      <c r="M319" s="66"/>
      <c r="N319" s="66"/>
    </row>
    <row r="320" spans="1:14" x14ac:dyDescent="0.2">
      <c r="A320" s="84"/>
      <c r="B320" s="84"/>
      <c r="C320" s="60"/>
      <c r="D320" s="66"/>
      <c r="E320" s="66"/>
      <c r="F320" s="66"/>
      <c r="G320" s="66"/>
      <c r="H320" s="66"/>
      <c r="I320" s="66"/>
      <c r="J320" s="66"/>
      <c r="K320" s="66"/>
      <c r="L320" s="66"/>
      <c r="M320" s="66"/>
      <c r="N320" s="66"/>
    </row>
    <row r="321" spans="1:14" x14ac:dyDescent="0.2">
      <c r="A321" s="84"/>
      <c r="B321" s="84"/>
      <c r="C321" s="60"/>
      <c r="D321" s="66"/>
      <c r="E321" s="66"/>
      <c r="F321" s="66"/>
      <c r="G321" s="66"/>
      <c r="H321" s="66"/>
      <c r="I321" s="66"/>
      <c r="J321" s="66"/>
      <c r="K321" s="66"/>
      <c r="L321" s="66"/>
      <c r="M321" s="66"/>
      <c r="N321" s="66"/>
    </row>
    <row r="322" spans="1:14" x14ac:dyDescent="0.2">
      <c r="A322" s="84"/>
      <c r="B322" s="84"/>
      <c r="C322" s="60"/>
      <c r="D322" s="66"/>
      <c r="E322" s="66"/>
      <c r="F322" s="66"/>
      <c r="G322" s="66"/>
      <c r="H322" s="66"/>
      <c r="I322" s="66"/>
      <c r="J322" s="66"/>
      <c r="K322" s="66"/>
      <c r="L322" s="66"/>
      <c r="M322" s="66"/>
      <c r="N322" s="66"/>
    </row>
    <row r="323" spans="1:14" x14ac:dyDescent="0.2">
      <c r="A323" s="84"/>
      <c r="B323" s="84"/>
      <c r="C323" s="60"/>
      <c r="D323" s="66"/>
      <c r="E323" s="66"/>
      <c r="F323" s="66"/>
      <c r="G323" s="66"/>
      <c r="H323" s="66"/>
      <c r="I323" s="66"/>
      <c r="J323" s="66"/>
      <c r="K323" s="66"/>
      <c r="L323" s="66"/>
      <c r="M323" s="66"/>
      <c r="N323" s="66"/>
    </row>
    <row r="324" spans="1:14" x14ac:dyDescent="0.2">
      <c r="A324" s="84"/>
      <c r="B324" s="84"/>
      <c r="C324" s="60"/>
      <c r="D324" s="66"/>
      <c r="E324" s="66"/>
      <c r="F324" s="66"/>
      <c r="G324" s="66"/>
      <c r="H324" s="66"/>
      <c r="I324" s="66"/>
      <c r="J324" s="66"/>
      <c r="K324" s="66"/>
      <c r="L324" s="66"/>
      <c r="M324" s="66"/>
      <c r="N324" s="66"/>
    </row>
    <row r="325" spans="1:14" x14ac:dyDescent="0.2">
      <c r="A325" s="84"/>
      <c r="B325" s="84"/>
      <c r="C325" s="60"/>
      <c r="D325" s="66"/>
      <c r="E325" s="66"/>
      <c r="F325" s="66"/>
      <c r="G325" s="66"/>
      <c r="H325" s="66"/>
      <c r="I325" s="66"/>
      <c r="J325" s="66"/>
      <c r="K325" s="66"/>
      <c r="L325" s="66"/>
      <c r="M325" s="66"/>
      <c r="N325" s="66"/>
    </row>
    <row r="326" spans="1:14" x14ac:dyDescent="0.2">
      <c r="A326" s="84"/>
      <c r="B326" s="84"/>
      <c r="C326" s="60"/>
      <c r="D326" s="66"/>
      <c r="E326" s="66"/>
      <c r="F326" s="66"/>
      <c r="G326" s="66"/>
      <c r="H326" s="66"/>
      <c r="I326" s="66"/>
      <c r="J326" s="66"/>
      <c r="K326" s="66"/>
      <c r="L326" s="66"/>
      <c r="M326" s="66"/>
      <c r="N326" s="66"/>
    </row>
    <row r="327" spans="1:14" x14ac:dyDescent="0.2">
      <c r="A327" s="84"/>
      <c r="B327" s="84"/>
      <c r="C327" s="60"/>
      <c r="D327" s="66"/>
      <c r="E327" s="66"/>
      <c r="F327" s="66"/>
      <c r="G327" s="66"/>
      <c r="H327" s="66"/>
      <c r="I327" s="66"/>
      <c r="J327" s="66"/>
      <c r="K327" s="66"/>
      <c r="L327" s="66"/>
      <c r="M327" s="66"/>
      <c r="N327" s="66"/>
    </row>
    <row r="328" spans="1:14" x14ac:dyDescent="0.2">
      <c r="A328" s="84"/>
      <c r="B328" s="84"/>
      <c r="C328" s="60"/>
      <c r="D328" s="66"/>
      <c r="E328" s="66"/>
      <c r="F328" s="66"/>
      <c r="G328" s="66"/>
      <c r="H328" s="66"/>
      <c r="I328" s="66"/>
      <c r="J328" s="66"/>
      <c r="K328" s="66"/>
      <c r="L328" s="66"/>
      <c r="M328" s="66"/>
      <c r="N328" s="66"/>
    </row>
    <row r="329" spans="1:14" x14ac:dyDescent="0.2">
      <c r="A329" s="84"/>
      <c r="B329" s="84"/>
      <c r="C329" s="60"/>
      <c r="D329" s="66"/>
      <c r="E329" s="66"/>
      <c r="F329" s="66"/>
      <c r="G329" s="66"/>
      <c r="H329" s="66"/>
      <c r="I329" s="66"/>
      <c r="J329" s="66"/>
      <c r="K329" s="66"/>
      <c r="L329" s="66"/>
      <c r="M329" s="66"/>
      <c r="N329" s="66"/>
    </row>
    <row r="330" spans="1:14" x14ac:dyDescent="0.2">
      <c r="A330" s="84"/>
      <c r="B330" s="84"/>
      <c r="C330" s="60"/>
      <c r="D330" s="66"/>
      <c r="E330" s="66"/>
      <c r="F330" s="66"/>
      <c r="G330" s="66"/>
      <c r="H330" s="66"/>
      <c r="I330" s="66"/>
      <c r="J330" s="66"/>
      <c r="K330" s="66"/>
      <c r="L330" s="66"/>
      <c r="M330" s="66"/>
      <c r="N330" s="66"/>
    </row>
    <row r="331" spans="1:14" x14ac:dyDescent="0.2">
      <c r="A331" s="84"/>
      <c r="B331" s="84"/>
      <c r="C331" s="60"/>
      <c r="D331" s="66"/>
      <c r="E331" s="66"/>
      <c r="F331" s="66"/>
      <c r="G331" s="66"/>
      <c r="H331" s="66"/>
      <c r="I331" s="66"/>
      <c r="J331" s="66"/>
      <c r="K331" s="66"/>
      <c r="L331" s="66"/>
      <c r="M331" s="66"/>
      <c r="N331" s="66"/>
    </row>
    <row r="332" spans="1:14" x14ac:dyDescent="0.2">
      <c r="A332" s="84"/>
      <c r="B332" s="84"/>
      <c r="C332" s="60"/>
      <c r="D332" s="66"/>
      <c r="E332" s="66"/>
      <c r="F332" s="66"/>
      <c r="G332" s="66"/>
      <c r="H332" s="66"/>
      <c r="I332" s="66"/>
      <c r="J332" s="66"/>
      <c r="K332" s="66"/>
      <c r="L332" s="66"/>
      <c r="M332" s="66"/>
      <c r="N332" s="66"/>
    </row>
    <row r="333" spans="1:14" x14ac:dyDescent="0.2">
      <c r="A333" s="84"/>
      <c r="B333" s="84"/>
      <c r="C333" s="60"/>
      <c r="D333" s="66"/>
      <c r="E333" s="66"/>
      <c r="F333" s="66"/>
      <c r="G333" s="66"/>
      <c r="H333" s="66"/>
      <c r="I333" s="66"/>
      <c r="J333" s="66"/>
      <c r="K333" s="66"/>
      <c r="L333" s="66"/>
      <c r="M333" s="66"/>
      <c r="N333" s="66"/>
    </row>
    <row r="334" spans="1:14" x14ac:dyDescent="0.2">
      <c r="A334" s="84"/>
      <c r="B334" s="84"/>
      <c r="C334" s="60"/>
      <c r="D334" s="66"/>
      <c r="E334" s="66"/>
      <c r="F334" s="66"/>
      <c r="G334" s="66"/>
      <c r="H334" s="66"/>
      <c r="I334" s="66"/>
      <c r="J334" s="66"/>
      <c r="K334" s="66"/>
      <c r="L334" s="66"/>
      <c r="M334" s="66"/>
      <c r="N334" s="66"/>
    </row>
    <row r="335" spans="1:14" x14ac:dyDescent="0.2">
      <c r="A335" s="84"/>
      <c r="B335" s="84"/>
      <c r="C335" s="60"/>
      <c r="D335" s="66"/>
      <c r="E335" s="66"/>
      <c r="F335" s="66"/>
      <c r="G335" s="66"/>
      <c r="H335" s="66"/>
      <c r="I335" s="66"/>
      <c r="J335" s="66"/>
      <c r="K335" s="66"/>
      <c r="L335" s="66"/>
      <c r="M335" s="66"/>
      <c r="N335" s="66"/>
    </row>
    <row r="336" spans="1:14" x14ac:dyDescent="0.2">
      <c r="A336" s="84"/>
      <c r="B336" s="84"/>
      <c r="C336" s="60"/>
      <c r="D336" s="66"/>
      <c r="E336" s="66"/>
      <c r="F336" s="66"/>
      <c r="G336" s="66"/>
      <c r="H336" s="66"/>
      <c r="I336" s="66"/>
      <c r="J336" s="66"/>
      <c r="K336" s="66"/>
      <c r="L336" s="66"/>
      <c r="M336" s="66"/>
      <c r="N336" s="66"/>
    </row>
    <row r="337" spans="1:14" x14ac:dyDescent="0.2">
      <c r="A337" s="84"/>
      <c r="B337" s="84"/>
      <c r="C337" s="60"/>
      <c r="D337" s="66"/>
      <c r="E337" s="66"/>
      <c r="F337" s="66"/>
      <c r="G337" s="66"/>
      <c r="H337" s="66"/>
      <c r="I337" s="66"/>
      <c r="J337" s="66"/>
      <c r="K337" s="66"/>
      <c r="L337" s="66"/>
      <c r="M337" s="66"/>
      <c r="N337" s="66"/>
    </row>
    <row r="338" spans="1:14" x14ac:dyDescent="0.2">
      <c r="A338" s="84"/>
      <c r="B338" s="84"/>
      <c r="C338" s="60"/>
      <c r="D338" s="66"/>
      <c r="E338" s="66"/>
      <c r="F338" s="66"/>
      <c r="G338" s="66"/>
      <c r="H338" s="66"/>
      <c r="I338" s="66"/>
      <c r="J338" s="66"/>
      <c r="K338" s="66"/>
      <c r="L338" s="66"/>
      <c r="M338" s="66"/>
      <c r="N338" s="66"/>
    </row>
    <row r="339" spans="1:14" x14ac:dyDescent="0.2">
      <c r="A339" s="84"/>
      <c r="B339" s="84"/>
      <c r="C339" s="60"/>
      <c r="D339" s="66"/>
      <c r="E339" s="66"/>
      <c r="F339" s="66"/>
      <c r="G339" s="66"/>
      <c r="H339" s="66"/>
      <c r="I339" s="66"/>
      <c r="J339" s="66"/>
      <c r="K339" s="66"/>
      <c r="L339" s="66"/>
      <c r="M339" s="66"/>
      <c r="N339" s="66"/>
    </row>
    <row r="340" spans="1:14" x14ac:dyDescent="0.2">
      <c r="A340" s="84"/>
      <c r="B340" s="84"/>
      <c r="C340" s="60"/>
      <c r="D340" s="66"/>
      <c r="E340" s="66"/>
      <c r="F340" s="66"/>
      <c r="G340" s="66"/>
      <c r="H340" s="66"/>
      <c r="I340" s="66"/>
      <c r="J340" s="66"/>
      <c r="K340" s="66"/>
      <c r="L340" s="66"/>
      <c r="M340" s="66"/>
      <c r="N340" s="66"/>
    </row>
    <row r="341" spans="1:14" x14ac:dyDescent="0.2">
      <c r="A341" s="84"/>
      <c r="B341" s="84"/>
      <c r="C341" s="60"/>
      <c r="D341" s="66"/>
      <c r="E341" s="66"/>
      <c r="F341" s="66"/>
      <c r="G341" s="66"/>
      <c r="H341" s="66"/>
      <c r="I341" s="66"/>
      <c r="J341" s="66"/>
      <c r="K341" s="66"/>
      <c r="L341" s="66"/>
      <c r="M341" s="66"/>
      <c r="N341" s="66"/>
    </row>
    <row r="342" spans="1:14" x14ac:dyDescent="0.2">
      <c r="A342" s="84"/>
      <c r="B342" s="84"/>
      <c r="C342" s="60"/>
      <c r="D342" s="66"/>
      <c r="E342" s="66"/>
      <c r="F342" s="66"/>
      <c r="G342" s="66"/>
      <c r="H342" s="66"/>
      <c r="I342" s="66"/>
      <c r="J342" s="66"/>
      <c r="K342" s="66"/>
      <c r="L342" s="66"/>
      <c r="M342" s="66"/>
      <c r="N342" s="66"/>
    </row>
    <row r="343" spans="1:14" x14ac:dyDescent="0.2">
      <c r="A343" s="84"/>
      <c r="B343" s="84"/>
      <c r="C343" s="60"/>
      <c r="D343" s="66"/>
      <c r="E343" s="66"/>
      <c r="F343" s="66"/>
      <c r="G343" s="66"/>
      <c r="H343" s="66"/>
      <c r="I343" s="66"/>
      <c r="J343" s="66"/>
      <c r="K343" s="66"/>
      <c r="L343" s="66"/>
      <c r="M343" s="66"/>
      <c r="N343" s="66"/>
    </row>
    <row r="344" spans="1:14" x14ac:dyDescent="0.2">
      <c r="A344" s="84"/>
      <c r="B344" s="84"/>
      <c r="C344" s="60"/>
      <c r="D344" s="66"/>
      <c r="E344" s="66"/>
      <c r="F344" s="66"/>
      <c r="G344" s="66"/>
      <c r="H344" s="66"/>
      <c r="I344" s="66"/>
      <c r="J344" s="66"/>
      <c r="K344" s="66"/>
      <c r="L344" s="66"/>
      <c r="M344" s="66"/>
      <c r="N344" s="66"/>
    </row>
    <row r="345" spans="1:14" x14ac:dyDescent="0.2">
      <c r="A345" s="84"/>
      <c r="B345" s="84"/>
      <c r="C345" s="60"/>
      <c r="D345" s="66"/>
      <c r="E345" s="66"/>
      <c r="F345" s="66"/>
      <c r="G345" s="66"/>
      <c r="H345" s="66"/>
      <c r="I345" s="66"/>
      <c r="J345" s="66"/>
      <c r="K345" s="66"/>
      <c r="L345" s="66"/>
      <c r="M345" s="66"/>
      <c r="N345" s="66"/>
    </row>
    <row r="346" spans="1:14" x14ac:dyDescent="0.2">
      <c r="A346" s="84"/>
      <c r="B346" s="84"/>
      <c r="C346" s="60"/>
      <c r="D346" s="66"/>
      <c r="E346" s="66"/>
      <c r="F346" s="66"/>
      <c r="G346" s="66"/>
      <c r="H346" s="66"/>
      <c r="I346" s="66"/>
      <c r="J346" s="66"/>
      <c r="K346" s="66"/>
      <c r="L346" s="66"/>
      <c r="M346" s="66"/>
      <c r="N346" s="66"/>
    </row>
    <row r="347" spans="1:14" x14ac:dyDescent="0.2">
      <c r="A347" s="84"/>
      <c r="B347" s="84"/>
      <c r="C347" s="60"/>
      <c r="D347" s="66"/>
      <c r="E347" s="66"/>
      <c r="F347" s="66"/>
      <c r="G347" s="66"/>
      <c r="H347" s="66"/>
      <c r="I347" s="66"/>
      <c r="J347" s="66"/>
      <c r="K347" s="66"/>
      <c r="L347" s="66"/>
      <c r="M347" s="66"/>
      <c r="N347" s="66"/>
    </row>
    <row r="348" spans="1:14" x14ac:dyDescent="0.2">
      <c r="A348" s="84"/>
      <c r="B348" s="84"/>
      <c r="C348" s="60"/>
      <c r="D348" s="66"/>
      <c r="E348" s="66"/>
      <c r="F348" s="66"/>
      <c r="G348" s="66"/>
      <c r="H348" s="66"/>
      <c r="I348" s="66"/>
      <c r="J348" s="66"/>
      <c r="K348" s="66"/>
      <c r="L348" s="66"/>
      <c r="M348" s="66"/>
      <c r="N348" s="66"/>
    </row>
    <row r="349" spans="1:14" x14ac:dyDescent="0.2">
      <c r="A349" s="84"/>
      <c r="B349" s="84"/>
      <c r="C349" s="60"/>
      <c r="D349" s="66"/>
      <c r="E349" s="66"/>
      <c r="F349" s="66"/>
      <c r="G349" s="66"/>
      <c r="H349" s="66"/>
      <c r="I349" s="66"/>
      <c r="J349" s="66"/>
      <c r="K349" s="66"/>
      <c r="L349" s="66"/>
      <c r="M349" s="66"/>
      <c r="N349" s="66"/>
    </row>
    <row r="350" spans="1:14" x14ac:dyDescent="0.2">
      <c r="A350" s="84"/>
      <c r="B350" s="84"/>
      <c r="C350" s="60"/>
      <c r="D350" s="66"/>
      <c r="E350" s="66"/>
      <c r="F350" s="66"/>
      <c r="G350" s="66"/>
      <c r="H350" s="66"/>
      <c r="I350" s="66"/>
      <c r="J350" s="66"/>
      <c r="K350" s="66"/>
      <c r="L350" s="66"/>
      <c r="M350" s="66"/>
      <c r="N350" s="66"/>
    </row>
    <row r="351" spans="1:14" x14ac:dyDescent="0.2">
      <c r="A351" s="84"/>
      <c r="B351" s="84"/>
      <c r="C351" s="60"/>
      <c r="D351" s="66"/>
      <c r="E351" s="66"/>
      <c r="F351" s="66"/>
      <c r="G351" s="66"/>
      <c r="H351" s="66"/>
      <c r="I351" s="66"/>
      <c r="J351" s="66"/>
      <c r="K351" s="66"/>
      <c r="L351" s="66"/>
      <c r="M351" s="66"/>
      <c r="N351" s="66"/>
    </row>
    <row r="352" spans="1:14" x14ac:dyDescent="0.2">
      <c r="A352" s="84"/>
      <c r="B352" s="84"/>
      <c r="C352" s="60"/>
      <c r="D352" s="66"/>
      <c r="E352" s="66"/>
      <c r="F352" s="66"/>
      <c r="G352" s="66"/>
      <c r="H352" s="66"/>
      <c r="I352" s="66"/>
      <c r="J352" s="66"/>
      <c r="K352" s="66"/>
      <c r="L352" s="66"/>
      <c r="M352" s="66"/>
      <c r="N352" s="66"/>
    </row>
    <row r="353" spans="1:14" x14ac:dyDescent="0.2">
      <c r="A353" s="84"/>
      <c r="B353" s="84"/>
      <c r="C353" s="60"/>
      <c r="D353" s="66"/>
      <c r="E353" s="66"/>
      <c r="F353" s="66"/>
      <c r="G353" s="66"/>
      <c r="H353" s="66"/>
      <c r="I353" s="66"/>
      <c r="J353" s="66"/>
      <c r="K353" s="66"/>
      <c r="L353" s="66"/>
      <c r="M353" s="66"/>
      <c r="N353" s="66"/>
    </row>
    <row r="354" spans="1:14" x14ac:dyDescent="0.2">
      <c r="A354" s="84"/>
      <c r="B354" s="84"/>
      <c r="C354" s="60"/>
      <c r="D354" s="66"/>
      <c r="E354" s="66"/>
      <c r="F354" s="66"/>
      <c r="G354" s="66"/>
      <c r="H354" s="66"/>
      <c r="I354" s="66"/>
      <c r="J354" s="66"/>
      <c r="K354" s="66"/>
      <c r="L354" s="66"/>
      <c r="M354" s="66"/>
      <c r="N354" s="66"/>
    </row>
    <row r="355" spans="1:14" x14ac:dyDescent="0.2">
      <c r="A355" s="84"/>
      <c r="B355" s="84"/>
      <c r="C355" s="60"/>
      <c r="D355" s="66"/>
      <c r="E355" s="66"/>
      <c r="F355" s="66"/>
      <c r="G355" s="66"/>
      <c r="H355" s="66"/>
      <c r="I355" s="66"/>
      <c r="J355" s="66"/>
      <c r="K355" s="66"/>
      <c r="L355" s="66"/>
      <c r="M355" s="66"/>
      <c r="N355" s="66"/>
    </row>
    <row r="356" spans="1:14" x14ac:dyDescent="0.2">
      <c r="A356" s="84"/>
      <c r="B356" s="84"/>
      <c r="C356" s="60"/>
      <c r="D356" s="66"/>
      <c r="E356" s="66"/>
      <c r="F356" s="66"/>
      <c r="G356" s="66"/>
      <c r="H356" s="66"/>
      <c r="I356" s="66"/>
      <c r="J356" s="66"/>
      <c r="K356" s="66"/>
      <c r="L356" s="66"/>
      <c r="M356" s="66"/>
      <c r="N356" s="66"/>
    </row>
    <row r="357" spans="1:14" x14ac:dyDescent="0.2">
      <c r="A357" s="84"/>
      <c r="B357" s="84"/>
      <c r="C357" s="60"/>
      <c r="D357" s="66"/>
      <c r="E357" s="66"/>
      <c r="F357" s="66"/>
      <c r="G357" s="66"/>
      <c r="H357" s="66"/>
      <c r="I357" s="66"/>
      <c r="J357" s="66"/>
      <c r="K357" s="66"/>
      <c r="L357" s="66"/>
      <c r="M357" s="66"/>
      <c r="N357" s="66"/>
    </row>
    <row r="358" spans="1:14" x14ac:dyDescent="0.2">
      <c r="A358" s="84"/>
      <c r="B358" s="84"/>
      <c r="C358" s="60"/>
      <c r="D358" s="66"/>
      <c r="E358" s="66"/>
      <c r="F358" s="66"/>
      <c r="G358" s="66"/>
      <c r="H358" s="66"/>
      <c r="I358" s="66"/>
      <c r="J358" s="66"/>
      <c r="K358" s="66"/>
      <c r="L358" s="66"/>
      <c r="M358" s="66"/>
      <c r="N358" s="66"/>
    </row>
    <row r="359" spans="1:14" x14ac:dyDescent="0.2">
      <c r="A359" s="84"/>
      <c r="B359" s="84"/>
      <c r="C359" s="60"/>
      <c r="D359" s="66"/>
      <c r="E359" s="66"/>
      <c r="F359" s="66"/>
      <c r="G359" s="66"/>
      <c r="H359" s="66"/>
      <c r="I359" s="66"/>
      <c r="J359" s="66"/>
      <c r="K359" s="66"/>
      <c r="L359" s="66"/>
      <c r="M359" s="66"/>
      <c r="N359" s="66"/>
    </row>
    <row r="360" spans="1:14" x14ac:dyDescent="0.2">
      <c r="A360" s="84"/>
      <c r="B360" s="84"/>
      <c r="C360" s="60"/>
      <c r="D360" s="66"/>
      <c r="E360" s="66"/>
      <c r="F360" s="66"/>
      <c r="G360" s="66"/>
      <c r="H360" s="66"/>
      <c r="I360" s="66"/>
      <c r="J360" s="66"/>
      <c r="K360" s="66"/>
      <c r="L360" s="66"/>
      <c r="M360" s="66"/>
      <c r="N360" s="66"/>
    </row>
    <row r="361" spans="1:14" x14ac:dyDescent="0.2">
      <c r="A361" s="84"/>
      <c r="B361" s="84"/>
      <c r="C361" s="60"/>
      <c r="D361" s="66"/>
      <c r="E361" s="66"/>
      <c r="F361" s="66"/>
      <c r="G361" s="66"/>
      <c r="H361" s="66"/>
      <c r="I361" s="66"/>
      <c r="J361" s="66"/>
      <c r="K361" s="66"/>
      <c r="L361" s="66"/>
      <c r="M361" s="66"/>
      <c r="N361" s="66"/>
    </row>
    <row r="362" spans="1:14" x14ac:dyDescent="0.2">
      <c r="A362" s="84"/>
      <c r="B362" s="84"/>
      <c r="C362" s="60"/>
      <c r="D362" s="66"/>
      <c r="E362" s="66"/>
      <c r="F362" s="66"/>
      <c r="G362" s="66"/>
      <c r="H362" s="66"/>
      <c r="I362" s="66"/>
      <c r="J362" s="66"/>
      <c r="K362" s="66"/>
      <c r="L362" s="66"/>
      <c r="M362" s="66"/>
      <c r="N362" s="66"/>
    </row>
    <row r="363" spans="1:14" x14ac:dyDescent="0.2">
      <c r="A363" s="84"/>
      <c r="B363" s="84"/>
      <c r="C363" s="60"/>
      <c r="D363" s="66"/>
      <c r="E363" s="66"/>
      <c r="F363" s="66"/>
      <c r="G363" s="66"/>
      <c r="H363" s="66"/>
      <c r="I363" s="66"/>
      <c r="J363" s="66"/>
      <c r="K363" s="66"/>
      <c r="L363" s="66"/>
      <c r="M363" s="66"/>
      <c r="N363" s="66"/>
    </row>
    <row r="364" spans="1:14" x14ac:dyDescent="0.2">
      <c r="A364" s="84"/>
      <c r="B364" s="84"/>
      <c r="C364" s="60"/>
      <c r="D364" s="66"/>
      <c r="E364" s="66"/>
      <c r="F364" s="66"/>
      <c r="G364" s="66"/>
      <c r="H364" s="66"/>
      <c r="I364" s="66"/>
      <c r="J364" s="66"/>
      <c r="K364" s="66"/>
      <c r="L364" s="66"/>
      <c r="M364" s="66"/>
      <c r="N364" s="66"/>
    </row>
    <row r="365" spans="1:14" x14ac:dyDescent="0.2">
      <c r="A365" s="84"/>
      <c r="B365" s="84"/>
      <c r="C365" s="60"/>
      <c r="D365" s="66"/>
      <c r="E365" s="66"/>
      <c r="F365" s="66"/>
      <c r="G365" s="66"/>
      <c r="H365" s="66"/>
      <c r="I365" s="66"/>
      <c r="J365" s="66"/>
      <c r="K365" s="66"/>
      <c r="L365" s="66"/>
      <c r="M365" s="66"/>
      <c r="N365" s="66"/>
    </row>
    <row r="366" spans="1:14" x14ac:dyDescent="0.2">
      <c r="A366" s="84"/>
      <c r="B366" s="84"/>
      <c r="C366" s="60"/>
      <c r="D366" s="66"/>
      <c r="E366" s="66"/>
      <c r="F366" s="66"/>
      <c r="G366" s="66"/>
      <c r="H366" s="66"/>
      <c r="I366" s="66"/>
      <c r="J366" s="66"/>
      <c r="K366" s="66"/>
      <c r="L366" s="66"/>
      <c r="M366" s="66"/>
      <c r="N366" s="66"/>
    </row>
    <row r="367" spans="1:14" x14ac:dyDescent="0.2">
      <c r="A367" s="84"/>
      <c r="B367" s="84"/>
      <c r="C367" s="60"/>
      <c r="D367" s="66"/>
      <c r="E367" s="66"/>
      <c r="F367" s="66"/>
      <c r="G367" s="66"/>
      <c r="H367" s="66"/>
      <c r="I367" s="66"/>
      <c r="J367" s="66"/>
      <c r="K367" s="66"/>
      <c r="L367" s="66"/>
      <c r="M367" s="66"/>
      <c r="N367" s="66"/>
    </row>
    <row r="368" spans="1:14" x14ac:dyDescent="0.2">
      <c r="A368" s="84"/>
      <c r="B368" s="84"/>
      <c r="C368" s="60"/>
      <c r="D368" s="66"/>
      <c r="E368" s="66"/>
      <c r="F368" s="66"/>
      <c r="G368" s="66"/>
      <c r="H368" s="66"/>
      <c r="I368" s="66"/>
      <c r="J368" s="66"/>
      <c r="K368" s="66"/>
      <c r="L368" s="66"/>
      <c r="M368" s="66"/>
      <c r="N368" s="66"/>
    </row>
    <row r="369" spans="1:14" x14ac:dyDescent="0.2">
      <c r="A369" s="84"/>
      <c r="B369" s="84"/>
      <c r="C369" s="60"/>
      <c r="D369" s="66"/>
      <c r="E369" s="66"/>
      <c r="F369" s="66"/>
      <c r="G369" s="66"/>
      <c r="H369" s="66"/>
      <c r="I369" s="66"/>
      <c r="J369" s="66"/>
      <c r="K369" s="66"/>
      <c r="L369" s="66"/>
      <c r="M369" s="66"/>
      <c r="N369" s="66"/>
    </row>
    <row r="370" spans="1:14" x14ac:dyDescent="0.2">
      <c r="A370" s="84"/>
      <c r="B370" s="84"/>
      <c r="C370" s="60"/>
      <c r="D370" s="66"/>
      <c r="E370" s="66"/>
      <c r="F370" s="66"/>
      <c r="G370" s="66"/>
      <c r="H370" s="66"/>
      <c r="I370" s="66"/>
      <c r="J370" s="66"/>
      <c r="K370" s="66"/>
      <c r="L370" s="66"/>
      <c r="M370" s="66"/>
      <c r="N370" s="66"/>
    </row>
    <row r="371" spans="1:14" x14ac:dyDescent="0.2">
      <c r="A371" s="84"/>
      <c r="B371" s="84"/>
      <c r="C371" s="60"/>
      <c r="D371" s="66"/>
      <c r="E371" s="66"/>
      <c r="F371" s="66"/>
      <c r="G371" s="66"/>
      <c r="H371" s="66"/>
      <c r="I371" s="66"/>
      <c r="J371" s="66"/>
      <c r="K371" s="66"/>
      <c r="L371" s="66"/>
      <c r="M371" s="66"/>
      <c r="N371" s="66"/>
    </row>
    <row r="372" spans="1:14" x14ac:dyDescent="0.2">
      <c r="A372" s="84"/>
      <c r="B372" s="84"/>
      <c r="C372" s="60"/>
      <c r="D372" s="66"/>
      <c r="E372" s="66"/>
      <c r="F372" s="66"/>
      <c r="G372" s="66"/>
      <c r="H372" s="66"/>
      <c r="I372" s="66"/>
      <c r="J372" s="66"/>
      <c r="K372" s="66"/>
      <c r="L372" s="66"/>
      <c r="M372" s="66"/>
      <c r="N372" s="66"/>
    </row>
    <row r="373" spans="1:14" x14ac:dyDescent="0.2">
      <c r="A373" s="84"/>
      <c r="B373" s="84"/>
      <c r="C373" s="60"/>
      <c r="D373" s="66"/>
      <c r="E373" s="66"/>
      <c r="F373" s="66"/>
      <c r="G373" s="66"/>
      <c r="H373" s="66"/>
      <c r="I373" s="66"/>
      <c r="J373" s="66"/>
      <c r="K373" s="66"/>
      <c r="L373" s="66"/>
      <c r="M373" s="66"/>
      <c r="N373" s="66"/>
    </row>
    <row r="374" spans="1:14" x14ac:dyDescent="0.2">
      <c r="A374" s="84"/>
      <c r="B374" s="84"/>
      <c r="C374" s="60"/>
      <c r="D374" s="66"/>
      <c r="E374" s="66"/>
      <c r="F374" s="66"/>
      <c r="G374" s="66"/>
      <c r="H374" s="66"/>
      <c r="I374" s="66"/>
      <c r="J374" s="66"/>
      <c r="K374" s="66"/>
      <c r="L374" s="66"/>
      <c r="M374" s="66"/>
      <c r="N374" s="66"/>
    </row>
    <row r="375" spans="1:14" x14ac:dyDescent="0.2">
      <c r="A375" s="84"/>
      <c r="B375" s="84"/>
      <c r="C375" s="60"/>
      <c r="D375" s="66"/>
      <c r="E375" s="66"/>
      <c r="F375" s="66"/>
      <c r="G375" s="66"/>
      <c r="H375" s="66"/>
      <c r="I375" s="66"/>
      <c r="J375" s="66"/>
      <c r="K375" s="66"/>
      <c r="L375" s="66"/>
      <c r="M375" s="66"/>
      <c r="N375" s="66"/>
    </row>
    <row r="376" spans="1:14" x14ac:dyDescent="0.2">
      <c r="A376" s="84"/>
      <c r="B376" s="84"/>
      <c r="C376" s="60"/>
      <c r="D376" s="66"/>
      <c r="E376" s="66"/>
      <c r="F376" s="66"/>
      <c r="G376" s="66"/>
      <c r="H376" s="66"/>
      <c r="I376" s="66"/>
      <c r="J376" s="66"/>
      <c r="K376" s="66"/>
      <c r="L376" s="66"/>
      <c r="M376" s="66"/>
      <c r="N376" s="66"/>
    </row>
    <row r="377" spans="1:14" x14ac:dyDescent="0.2">
      <c r="A377" s="84"/>
      <c r="B377" s="84"/>
      <c r="C377" s="60"/>
      <c r="D377" s="66"/>
      <c r="E377" s="66"/>
      <c r="F377" s="66"/>
      <c r="G377" s="66"/>
      <c r="H377" s="66"/>
      <c r="I377" s="66"/>
      <c r="J377" s="66"/>
      <c r="K377" s="66"/>
      <c r="L377" s="66"/>
      <c r="M377" s="66"/>
      <c r="N377" s="66"/>
    </row>
    <row r="378" spans="1:14" x14ac:dyDescent="0.2">
      <c r="A378" s="84"/>
      <c r="B378" s="84"/>
      <c r="C378" s="60"/>
      <c r="D378" s="66"/>
      <c r="E378" s="66"/>
      <c r="F378" s="66"/>
      <c r="G378" s="66"/>
      <c r="H378" s="66"/>
      <c r="I378" s="66"/>
      <c r="J378" s="66"/>
      <c r="K378" s="66"/>
      <c r="L378" s="66"/>
      <c r="M378" s="66"/>
      <c r="N378" s="66"/>
    </row>
    <row r="379" spans="1:14" x14ac:dyDescent="0.2">
      <c r="A379" s="84"/>
      <c r="B379" s="84"/>
      <c r="C379" s="60"/>
      <c r="D379" s="66"/>
      <c r="E379" s="66"/>
      <c r="F379" s="66"/>
      <c r="G379" s="66"/>
      <c r="H379" s="66"/>
      <c r="I379" s="66"/>
      <c r="J379" s="66"/>
      <c r="K379" s="66"/>
      <c r="L379" s="66"/>
      <c r="M379" s="66"/>
      <c r="N379" s="66"/>
    </row>
    <row r="380" spans="1:14" x14ac:dyDescent="0.2">
      <c r="A380" s="84"/>
      <c r="B380" s="84"/>
      <c r="C380" s="60"/>
      <c r="D380" s="66"/>
      <c r="E380" s="66"/>
      <c r="F380" s="66"/>
      <c r="G380" s="66"/>
      <c r="H380" s="66"/>
      <c r="I380" s="66"/>
      <c r="J380" s="66"/>
      <c r="K380" s="66"/>
      <c r="L380" s="66"/>
      <c r="M380" s="66"/>
      <c r="N380" s="66"/>
    </row>
    <row r="381" spans="1:14" x14ac:dyDescent="0.2">
      <c r="A381" s="84"/>
      <c r="B381" s="84"/>
      <c r="C381" s="60"/>
      <c r="D381" s="66"/>
      <c r="E381" s="66"/>
      <c r="F381" s="66"/>
      <c r="G381" s="66"/>
      <c r="H381" s="66"/>
      <c r="I381" s="66"/>
      <c r="J381" s="66"/>
      <c r="K381" s="66"/>
      <c r="L381" s="66"/>
      <c r="M381" s="66"/>
      <c r="N381" s="66"/>
    </row>
    <row r="382" spans="1:14" x14ac:dyDescent="0.2">
      <c r="A382" s="84"/>
      <c r="B382" s="84"/>
      <c r="C382" s="60"/>
      <c r="D382" s="66"/>
      <c r="E382" s="66"/>
      <c r="F382" s="66"/>
      <c r="G382" s="66"/>
      <c r="H382" s="66"/>
      <c r="I382" s="66"/>
      <c r="J382" s="66"/>
      <c r="K382" s="66"/>
      <c r="L382" s="66"/>
      <c r="M382" s="66"/>
      <c r="N382" s="66"/>
    </row>
    <row r="383" spans="1:14" x14ac:dyDescent="0.2">
      <c r="A383" s="84"/>
      <c r="B383" s="84"/>
      <c r="C383" s="60"/>
      <c r="D383" s="66"/>
      <c r="E383" s="66"/>
      <c r="F383" s="66"/>
      <c r="G383" s="66"/>
      <c r="H383" s="66"/>
      <c r="I383" s="66"/>
      <c r="J383" s="66"/>
      <c r="K383" s="66"/>
      <c r="L383" s="66"/>
      <c r="M383" s="66"/>
      <c r="N383" s="66"/>
    </row>
    <row r="384" spans="1:14" x14ac:dyDescent="0.2">
      <c r="A384" s="84"/>
      <c r="B384" s="84"/>
      <c r="C384" s="60"/>
      <c r="D384" s="66"/>
      <c r="E384" s="66"/>
      <c r="F384" s="66"/>
      <c r="G384" s="66"/>
      <c r="H384" s="66"/>
      <c r="I384" s="66"/>
      <c r="J384" s="66"/>
      <c r="K384" s="66"/>
      <c r="L384" s="66"/>
      <c r="M384" s="66"/>
      <c r="N384" s="66"/>
    </row>
    <row r="385" spans="1:14" x14ac:dyDescent="0.2">
      <c r="A385" s="84"/>
      <c r="B385" s="84"/>
      <c r="C385" s="60"/>
      <c r="D385" s="66"/>
      <c r="E385" s="66"/>
      <c r="F385" s="66"/>
      <c r="G385" s="66"/>
      <c r="H385" s="66"/>
      <c r="I385" s="66"/>
      <c r="J385" s="66"/>
      <c r="K385" s="66"/>
      <c r="L385" s="66"/>
      <c r="M385" s="66"/>
      <c r="N385" s="66"/>
    </row>
    <row r="386" spans="1:14" x14ac:dyDescent="0.2">
      <c r="A386" s="84"/>
      <c r="B386" s="84"/>
      <c r="C386" s="60"/>
      <c r="D386" s="66"/>
      <c r="E386" s="66"/>
      <c r="F386" s="66"/>
      <c r="G386" s="66"/>
      <c r="H386" s="66"/>
      <c r="I386" s="66"/>
      <c r="J386" s="66"/>
      <c r="K386" s="66"/>
      <c r="L386" s="66"/>
      <c r="M386" s="66"/>
      <c r="N386" s="66"/>
    </row>
    <row r="387" spans="1:14" x14ac:dyDescent="0.2">
      <c r="A387" s="84"/>
      <c r="B387" s="84"/>
      <c r="C387" s="60"/>
      <c r="D387" s="66"/>
      <c r="E387" s="66"/>
      <c r="F387" s="66"/>
      <c r="G387" s="66"/>
      <c r="H387" s="66"/>
      <c r="I387" s="66"/>
      <c r="J387" s="66"/>
      <c r="K387" s="66"/>
      <c r="L387" s="66"/>
      <c r="M387" s="66"/>
      <c r="N387" s="66"/>
    </row>
    <row r="388" spans="1:14" x14ac:dyDescent="0.2">
      <c r="A388" s="84"/>
      <c r="B388" s="84"/>
      <c r="C388" s="60"/>
      <c r="D388" s="66"/>
      <c r="E388" s="66"/>
      <c r="F388" s="66"/>
      <c r="G388" s="66"/>
      <c r="H388" s="66"/>
      <c r="I388" s="66"/>
      <c r="J388" s="66"/>
      <c r="K388" s="66"/>
      <c r="L388" s="66"/>
      <c r="M388" s="66"/>
      <c r="N388" s="66"/>
    </row>
    <row r="389" spans="1:14" x14ac:dyDescent="0.2">
      <c r="A389" s="84"/>
      <c r="B389" s="84"/>
      <c r="C389" s="60"/>
      <c r="D389" s="66"/>
      <c r="E389" s="66"/>
      <c r="F389" s="66"/>
      <c r="G389" s="66"/>
      <c r="H389" s="66"/>
      <c r="I389" s="66"/>
      <c r="J389" s="66"/>
      <c r="K389" s="66"/>
      <c r="L389" s="66"/>
      <c r="M389" s="66"/>
      <c r="N389" s="66"/>
    </row>
    <row r="390" spans="1:14" x14ac:dyDescent="0.2">
      <c r="A390" s="84"/>
      <c r="B390" s="84"/>
      <c r="C390" s="60"/>
      <c r="D390" s="66"/>
      <c r="E390" s="66"/>
      <c r="F390" s="66"/>
      <c r="G390" s="66"/>
      <c r="H390" s="66"/>
      <c r="I390" s="66"/>
      <c r="J390" s="66"/>
      <c r="K390" s="66"/>
      <c r="L390" s="66"/>
      <c r="M390" s="66"/>
      <c r="N390" s="66"/>
    </row>
    <row r="391" spans="1:14" x14ac:dyDescent="0.2">
      <c r="A391" s="84"/>
      <c r="B391" s="84"/>
      <c r="C391" s="60"/>
      <c r="D391" s="66"/>
      <c r="E391" s="66"/>
      <c r="F391" s="66"/>
      <c r="G391" s="66"/>
      <c r="H391" s="66"/>
      <c r="I391" s="66"/>
      <c r="J391" s="66"/>
      <c r="K391" s="66"/>
      <c r="L391" s="66"/>
      <c r="M391" s="66"/>
      <c r="N391" s="66"/>
    </row>
    <row r="392" spans="1:14" x14ac:dyDescent="0.2">
      <c r="A392" s="84"/>
      <c r="B392" s="84"/>
      <c r="C392" s="60"/>
      <c r="D392" s="66"/>
      <c r="E392" s="66"/>
      <c r="F392" s="66"/>
      <c r="G392" s="66"/>
      <c r="H392" s="66"/>
      <c r="I392" s="66"/>
      <c r="J392" s="66"/>
      <c r="K392" s="66"/>
      <c r="L392" s="66"/>
      <c r="M392" s="66"/>
      <c r="N392" s="66"/>
    </row>
    <row r="393" spans="1:14" x14ac:dyDescent="0.2">
      <c r="A393" s="84"/>
      <c r="B393" s="84"/>
      <c r="C393" s="60"/>
      <c r="D393" s="66"/>
      <c r="E393" s="66"/>
      <c r="F393" s="66"/>
      <c r="G393" s="66"/>
      <c r="H393" s="66"/>
      <c r="I393" s="66"/>
      <c r="J393" s="66"/>
      <c r="K393" s="66"/>
      <c r="L393" s="66"/>
      <c r="M393" s="66"/>
      <c r="N393" s="66"/>
    </row>
    <row r="394" spans="1:14" x14ac:dyDescent="0.2">
      <c r="A394" s="84"/>
      <c r="B394" s="84"/>
      <c r="C394" s="60"/>
      <c r="D394" s="66"/>
      <c r="E394" s="66"/>
      <c r="F394" s="66"/>
      <c r="G394" s="66"/>
      <c r="H394" s="66"/>
      <c r="I394" s="66"/>
      <c r="J394" s="66"/>
      <c r="K394" s="66"/>
      <c r="L394" s="66"/>
      <c r="M394" s="66"/>
      <c r="N394" s="66"/>
    </row>
    <row r="395" spans="1:14" x14ac:dyDescent="0.2">
      <c r="A395" s="84"/>
      <c r="B395" s="84"/>
      <c r="C395" s="60"/>
      <c r="D395" s="66"/>
      <c r="E395" s="66"/>
      <c r="F395" s="66"/>
      <c r="G395" s="66"/>
      <c r="H395" s="66"/>
      <c r="I395" s="66"/>
      <c r="J395" s="66"/>
      <c r="K395" s="66"/>
      <c r="L395" s="66"/>
      <c r="M395" s="66"/>
      <c r="N395" s="66"/>
    </row>
    <row r="396" spans="1:14" x14ac:dyDescent="0.2">
      <c r="A396" s="84"/>
      <c r="B396" s="84"/>
      <c r="C396" s="60"/>
      <c r="D396" s="66"/>
      <c r="E396" s="66"/>
      <c r="F396" s="66"/>
      <c r="G396" s="66"/>
      <c r="H396" s="66"/>
      <c r="I396" s="66"/>
      <c r="J396" s="66"/>
      <c r="K396" s="66"/>
      <c r="L396" s="66"/>
      <c r="M396" s="66"/>
      <c r="N396" s="66"/>
    </row>
    <row r="397" spans="1:14" x14ac:dyDescent="0.2">
      <c r="A397" s="84"/>
      <c r="B397" s="84"/>
      <c r="C397" s="60"/>
      <c r="D397" s="66"/>
      <c r="E397" s="66"/>
      <c r="F397" s="66"/>
      <c r="G397" s="66"/>
      <c r="H397" s="66"/>
      <c r="I397" s="66"/>
      <c r="J397" s="66"/>
      <c r="K397" s="66"/>
      <c r="L397" s="66"/>
      <c r="M397" s="66"/>
      <c r="N397" s="66"/>
    </row>
    <row r="398" spans="1:14" x14ac:dyDescent="0.2">
      <c r="A398" s="84"/>
      <c r="B398" s="84"/>
      <c r="C398" s="60"/>
      <c r="D398" s="66"/>
      <c r="E398" s="66"/>
      <c r="F398" s="66"/>
      <c r="G398" s="66"/>
      <c r="H398" s="66"/>
      <c r="I398" s="66"/>
      <c r="J398" s="66"/>
      <c r="K398" s="66"/>
      <c r="L398" s="66"/>
      <c r="M398" s="66"/>
      <c r="N398" s="66"/>
    </row>
    <row r="399" spans="1:14" x14ac:dyDescent="0.2">
      <c r="A399" s="84"/>
      <c r="B399" s="84"/>
      <c r="C399" s="60"/>
      <c r="D399" s="66"/>
      <c r="E399" s="66"/>
      <c r="F399" s="66"/>
      <c r="G399" s="66"/>
      <c r="H399" s="66"/>
      <c r="I399" s="66"/>
      <c r="J399" s="66"/>
      <c r="K399" s="66"/>
      <c r="L399" s="66"/>
      <c r="M399" s="66"/>
      <c r="N399" s="66"/>
    </row>
    <row r="400" spans="1:14" x14ac:dyDescent="0.2">
      <c r="A400" s="84"/>
      <c r="B400" s="84"/>
      <c r="C400" s="60"/>
      <c r="D400" s="66"/>
      <c r="E400" s="66"/>
      <c r="F400" s="66"/>
      <c r="G400" s="66"/>
      <c r="H400" s="66"/>
      <c r="I400" s="66"/>
      <c r="J400" s="66"/>
      <c r="K400" s="66"/>
      <c r="L400" s="66"/>
      <c r="M400" s="66"/>
      <c r="N400" s="66"/>
    </row>
    <row r="401" spans="1:14" x14ac:dyDescent="0.2">
      <c r="A401" s="84"/>
      <c r="B401" s="84"/>
      <c r="C401" s="60"/>
      <c r="D401" s="66"/>
      <c r="E401" s="66"/>
      <c r="F401" s="66"/>
      <c r="G401" s="66"/>
      <c r="H401" s="66"/>
      <c r="I401" s="66"/>
      <c r="J401" s="66"/>
      <c r="K401" s="66"/>
      <c r="L401" s="66"/>
      <c r="M401" s="66"/>
      <c r="N401" s="66"/>
    </row>
    <row r="402" spans="1:14" x14ac:dyDescent="0.2">
      <c r="A402" s="84"/>
      <c r="B402" s="84"/>
      <c r="C402" s="60"/>
      <c r="D402" s="66"/>
      <c r="E402" s="66"/>
      <c r="F402" s="66"/>
      <c r="G402" s="66"/>
      <c r="H402" s="66"/>
      <c r="I402" s="66"/>
      <c r="J402" s="66"/>
      <c r="K402" s="66"/>
      <c r="L402" s="66"/>
      <c r="M402" s="66"/>
      <c r="N402" s="66"/>
    </row>
    <row r="403" spans="1:14" x14ac:dyDescent="0.2">
      <c r="A403" s="84"/>
      <c r="B403" s="84"/>
      <c r="C403" s="60"/>
      <c r="D403" s="66"/>
      <c r="E403" s="66"/>
      <c r="F403" s="66"/>
      <c r="G403" s="66"/>
      <c r="H403" s="66"/>
      <c r="I403" s="66"/>
      <c r="J403" s="66"/>
      <c r="K403" s="66"/>
      <c r="L403" s="66"/>
      <c r="M403" s="66"/>
      <c r="N403" s="66"/>
    </row>
    <row r="404" spans="1:14" x14ac:dyDescent="0.2">
      <c r="A404" s="84"/>
      <c r="B404" s="84"/>
      <c r="C404" s="60"/>
      <c r="D404" s="66"/>
      <c r="E404" s="66"/>
      <c r="F404" s="66"/>
      <c r="G404" s="66"/>
      <c r="H404" s="66"/>
      <c r="I404" s="66"/>
      <c r="J404" s="66"/>
      <c r="K404" s="66"/>
      <c r="L404" s="66"/>
      <c r="M404" s="66"/>
      <c r="N404" s="66"/>
    </row>
    <row r="405" spans="1:14" x14ac:dyDescent="0.2">
      <c r="A405" s="84"/>
      <c r="B405" s="84"/>
      <c r="C405" s="60"/>
      <c r="D405" s="66"/>
      <c r="E405" s="66"/>
      <c r="F405" s="66"/>
      <c r="G405" s="66"/>
      <c r="H405" s="66"/>
      <c r="I405" s="66"/>
      <c r="J405" s="66"/>
      <c r="K405" s="66"/>
      <c r="L405" s="66"/>
      <c r="M405" s="66"/>
      <c r="N405" s="66"/>
    </row>
    <row r="406" spans="1:14" x14ac:dyDescent="0.2">
      <c r="A406" s="84"/>
      <c r="B406" s="84"/>
      <c r="C406" s="60"/>
      <c r="D406" s="66"/>
      <c r="E406" s="66"/>
      <c r="F406" s="66"/>
      <c r="G406" s="66"/>
      <c r="H406" s="66"/>
      <c r="I406" s="66"/>
      <c r="J406" s="66"/>
      <c r="K406" s="66"/>
      <c r="L406" s="66"/>
      <c r="M406" s="66"/>
      <c r="N406" s="66"/>
    </row>
    <row r="407" spans="1:14" x14ac:dyDescent="0.2">
      <c r="A407" s="84"/>
      <c r="B407" s="84"/>
      <c r="C407" s="60"/>
      <c r="D407" s="66"/>
      <c r="E407" s="66"/>
      <c r="F407" s="66"/>
      <c r="G407" s="66"/>
      <c r="H407" s="66"/>
      <c r="I407" s="66"/>
      <c r="J407" s="66"/>
      <c r="K407" s="66"/>
      <c r="L407" s="66"/>
      <c r="M407" s="66"/>
      <c r="N407" s="66"/>
    </row>
    <row r="408" spans="1:14" x14ac:dyDescent="0.2">
      <c r="A408" s="84"/>
      <c r="B408" s="84"/>
      <c r="C408" s="60"/>
      <c r="D408" s="66"/>
      <c r="E408" s="66"/>
      <c r="F408" s="66"/>
      <c r="G408" s="66"/>
      <c r="H408" s="66"/>
      <c r="I408" s="66"/>
      <c r="J408" s="66"/>
      <c r="K408" s="66"/>
      <c r="L408" s="66"/>
      <c r="M408" s="66"/>
      <c r="N408" s="66"/>
    </row>
    <row r="409" spans="1:14" x14ac:dyDescent="0.2">
      <c r="A409" s="84"/>
      <c r="B409" s="84"/>
      <c r="C409" s="60"/>
      <c r="D409" s="66"/>
      <c r="E409" s="66"/>
      <c r="F409" s="66"/>
      <c r="G409" s="66"/>
      <c r="H409" s="66"/>
      <c r="I409" s="66"/>
      <c r="J409" s="66"/>
      <c r="K409" s="66"/>
      <c r="L409" s="66"/>
      <c r="M409" s="66"/>
      <c r="N409" s="66"/>
    </row>
    <row r="410" spans="1:14" x14ac:dyDescent="0.2">
      <c r="A410" s="84"/>
      <c r="B410" s="84"/>
      <c r="C410" s="60"/>
      <c r="D410" s="66"/>
      <c r="E410" s="66"/>
      <c r="F410" s="66"/>
      <c r="G410" s="66"/>
      <c r="H410" s="66"/>
      <c r="I410" s="66"/>
      <c r="J410" s="66"/>
      <c r="K410" s="66"/>
      <c r="L410" s="66"/>
      <c r="M410" s="66"/>
      <c r="N410" s="66"/>
    </row>
    <row r="411" spans="1:14" x14ac:dyDescent="0.2">
      <c r="A411" s="84"/>
      <c r="B411" s="84"/>
      <c r="C411" s="60"/>
      <c r="D411" s="66"/>
      <c r="E411" s="66"/>
      <c r="F411" s="66"/>
      <c r="G411" s="66"/>
      <c r="H411" s="66"/>
      <c r="I411" s="66"/>
      <c r="J411" s="66"/>
      <c r="K411" s="66"/>
      <c r="L411" s="66"/>
      <c r="M411" s="66"/>
      <c r="N411" s="66"/>
    </row>
    <row r="412" spans="1:14" x14ac:dyDescent="0.2">
      <c r="A412" s="84"/>
      <c r="B412" s="84"/>
      <c r="C412" s="60"/>
      <c r="D412" s="66"/>
      <c r="E412" s="66"/>
      <c r="F412" s="66"/>
      <c r="G412" s="66"/>
      <c r="H412" s="66"/>
      <c r="I412" s="66"/>
      <c r="J412" s="66"/>
      <c r="K412" s="66"/>
      <c r="L412" s="66"/>
      <c r="M412" s="66"/>
      <c r="N412" s="66"/>
    </row>
    <row r="413" spans="1:14" x14ac:dyDescent="0.2">
      <c r="A413" s="84"/>
      <c r="B413" s="84"/>
      <c r="C413" s="60"/>
      <c r="D413" s="66"/>
      <c r="E413" s="66"/>
      <c r="F413" s="66"/>
      <c r="G413" s="66"/>
      <c r="H413" s="66"/>
      <c r="I413" s="66"/>
      <c r="J413" s="66"/>
      <c r="K413" s="66"/>
      <c r="L413" s="66"/>
      <c r="M413" s="66"/>
      <c r="N413" s="66"/>
    </row>
    <row r="414" spans="1:14" x14ac:dyDescent="0.2">
      <c r="A414" s="84"/>
      <c r="B414" s="84"/>
      <c r="C414" s="60"/>
      <c r="D414" s="66"/>
      <c r="E414" s="66"/>
      <c r="F414" s="66"/>
      <c r="G414" s="66"/>
      <c r="H414" s="66"/>
      <c r="I414" s="66"/>
      <c r="J414" s="66"/>
      <c r="K414" s="66"/>
      <c r="L414" s="66"/>
      <c r="M414" s="66"/>
      <c r="N414" s="66"/>
    </row>
    <row r="415" spans="1:14" x14ac:dyDescent="0.2">
      <c r="A415" s="84"/>
      <c r="B415" s="84"/>
      <c r="C415" s="60"/>
      <c r="D415" s="66"/>
      <c r="E415" s="66"/>
      <c r="F415" s="66"/>
      <c r="G415" s="66"/>
      <c r="H415" s="66"/>
      <c r="I415" s="66"/>
      <c r="J415" s="66"/>
      <c r="K415" s="66"/>
      <c r="L415" s="66"/>
      <c r="M415" s="66"/>
      <c r="N415" s="66"/>
    </row>
    <row r="416" spans="1:14" x14ac:dyDescent="0.2">
      <c r="A416" s="84"/>
      <c r="B416" s="84"/>
      <c r="C416" s="60"/>
      <c r="D416" s="66"/>
      <c r="E416" s="66"/>
      <c r="F416" s="66"/>
      <c r="G416" s="66"/>
      <c r="H416" s="66"/>
      <c r="I416" s="66"/>
      <c r="J416" s="66"/>
      <c r="K416" s="66"/>
      <c r="L416" s="66"/>
      <c r="M416" s="66"/>
      <c r="N416" s="66"/>
    </row>
    <row r="417" spans="1:14" x14ac:dyDescent="0.2">
      <c r="A417" s="84"/>
      <c r="B417" s="84"/>
      <c r="C417" s="60"/>
      <c r="D417" s="66"/>
      <c r="E417" s="66"/>
      <c r="F417" s="66"/>
      <c r="G417" s="66"/>
      <c r="H417" s="66"/>
      <c r="I417" s="66"/>
      <c r="J417" s="66"/>
      <c r="K417" s="66"/>
      <c r="L417" s="66"/>
      <c r="M417" s="66"/>
      <c r="N417" s="66"/>
    </row>
    <row r="418" spans="1:14" x14ac:dyDescent="0.2">
      <c r="A418" s="84"/>
      <c r="B418" s="84"/>
      <c r="C418" s="60"/>
      <c r="D418" s="66"/>
      <c r="E418" s="66"/>
      <c r="F418" s="66"/>
      <c r="G418" s="66"/>
      <c r="H418" s="66"/>
      <c r="I418" s="66"/>
      <c r="J418" s="66"/>
      <c r="K418" s="66"/>
      <c r="L418" s="66"/>
      <c r="M418" s="66"/>
      <c r="N418" s="66"/>
    </row>
    <row r="419" spans="1:14" x14ac:dyDescent="0.2">
      <c r="A419" s="84"/>
      <c r="B419" s="84"/>
      <c r="C419" s="60"/>
      <c r="D419" s="66"/>
      <c r="E419" s="66"/>
      <c r="F419" s="66"/>
      <c r="G419" s="66"/>
      <c r="H419" s="66"/>
      <c r="I419" s="66"/>
      <c r="J419" s="66"/>
      <c r="K419" s="66"/>
      <c r="L419" s="66"/>
      <c r="M419" s="66"/>
      <c r="N419" s="66"/>
    </row>
    <row r="420" spans="1:14" x14ac:dyDescent="0.2">
      <c r="A420" s="84"/>
      <c r="B420" s="84"/>
      <c r="C420" s="60"/>
      <c r="D420" s="66"/>
      <c r="E420" s="66"/>
      <c r="F420" s="66"/>
      <c r="G420" s="66"/>
      <c r="H420" s="66"/>
      <c r="I420" s="66"/>
      <c r="J420" s="66"/>
      <c r="K420" s="66"/>
      <c r="L420" s="66"/>
      <c r="M420" s="66"/>
      <c r="N420" s="66"/>
    </row>
    <row r="421" spans="1:14" x14ac:dyDescent="0.2">
      <c r="A421" s="84"/>
      <c r="B421" s="84"/>
      <c r="C421" s="60"/>
      <c r="D421" s="66"/>
      <c r="E421" s="66"/>
      <c r="F421" s="66"/>
      <c r="G421" s="66"/>
      <c r="H421" s="66"/>
      <c r="I421" s="66"/>
      <c r="J421" s="66"/>
      <c r="K421" s="66"/>
      <c r="L421" s="66"/>
      <c r="M421" s="66"/>
      <c r="N421" s="66"/>
    </row>
    <row r="422" spans="1:14" x14ac:dyDescent="0.2">
      <c r="A422" s="84"/>
      <c r="B422" s="84"/>
      <c r="C422" s="60"/>
      <c r="D422" s="66"/>
      <c r="E422" s="66"/>
      <c r="F422" s="66"/>
      <c r="G422" s="66"/>
      <c r="H422" s="66"/>
      <c r="I422" s="66"/>
      <c r="J422" s="66"/>
      <c r="K422" s="66"/>
      <c r="L422" s="66"/>
      <c r="M422" s="66"/>
      <c r="N422" s="66"/>
    </row>
    <row r="423" spans="1:14" x14ac:dyDescent="0.2">
      <c r="A423" s="84"/>
      <c r="B423" s="84"/>
      <c r="C423" s="60"/>
      <c r="D423" s="66"/>
      <c r="E423" s="66"/>
      <c r="F423" s="66"/>
      <c r="G423" s="66"/>
      <c r="H423" s="66"/>
      <c r="I423" s="66"/>
      <c r="J423" s="66"/>
      <c r="K423" s="66"/>
      <c r="L423" s="66"/>
      <c r="M423" s="66"/>
      <c r="N423" s="66"/>
    </row>
    <row r="424" spans="1:14" x14ac:dyDescent="0.2">
      <c r="A424" s="84"/>
      <c r="B424" s="84"/>
      <c r="C424" s="60"/>
      <c r="D424" s="66"/>
      <c r="E424" s="66"/>
      <c r="F424" s="66"/>
      <c r="G424" s="66"/>
      <c r="H424" s="66"/>
      <c r="I424" s="66"/>
      <c r="J424" s="66"/>
      <c r="K424" s="66"/>
      <c r="L424" s="66"/>
      <c r="M424" s="66"/>
      <c r="N424" s="66"/>
    </row>
    <row r="425" spans="1:14" x14ac:dyDescent="0.2">
      <c r="A425" s="84"/>
      <c r="B425" s="84"/>
      <c r="C425" s="60"/>
      <c r="D425" s="66"/>
      <c r="E425" s="66"/>
      <c r="F425" s="66"/>
      <c r="G425" s="66"/>
      <c r="H425" s="66"/>
      <c r="I425" s="66"/>
      <c r="J425" s="66"/>
      <c r="K425" s="66"/>
      <c r="L425" s="66"/>
      <c r="M425" s="66"/>
      <c r="N425" s="66"/>
    </row>
    <row r="426" spans="1:14" x14ac:dyDescent="0.2">
      <c r="A426" s="84"/>
      <c r="B426" s="84"/>
      <c r="C426" s="60"/>
      <c r="D426" s="66"/>
      <c r="E426" s="66"/>
      <c r="F426" s="66"/>
      <c r="G426" s="66"/>
      <c r="H426" s="66"/>
      <c r="I426" s="66"/>
      <c r="J426" s="66"/>
      <c r="K426" s="66"/>
      <c r="L426" s="66"/>
      <c r="M426" s="66"/>
      <c r="N426" s="66"/>
    </row>
    <row r="427" spans="1:14" x14ac:dyDescent="0.2">
      <c r="A427" s="84"/>
      <c r="B427" s="84"/>
      <c r="C427" s="60"/>
      <c r="D427" s="66"/>
      <c r="E427" s="66"/>
      <c r="F427" s="66"/>
      <c r="G427" s="66"/>
      <c r="H427" s="66"/>
      <c r="I427" s="66"/>
      <c r="J427" s="66"/>
      <c r="K427" s="66"/>
      <c r="L427" s="66"/>
      <c r="M427" s="66"/>
      <c r="N427" s="66"/>
    </row>
    <row r="428" spans="1:14" x14ac:dyDescent="0.2">
      <c r="A428" s="84"/>
      <c r="B428" s="84"/>
      <c r="C428" s="60"/>
      <c r="D428" s="66"/>
      <c r="E428" s="66"/>
      <c r="F428" s="66"/>
      <c r="G428" s="66"/>
      <c r="H428" s="66"/>
      <c r="I428" s="66"/>
      <c r="J428" s="66"/>
      <c r="K428" s="66"/>
      <c r="L428" s="66"/>
      <c r="M428" s="66"/>
      <c r="N428" s="66"/>
    </row>
    <row r="429" spans="1:14" x14ac:dyDescent="0.2">
      <c r="A429" s="84"/>
      <c r="B429" s="84"/>
      <c r="C429" s="60"/>
      <c r="D429" s="66"/>
      <c r="E429" s="66"/>
      <c r="F429" s="66"/>
      <c r="G429" s="66"/>
      <c r="H429" s="66"/>
      <c r="I429" s="66"/>
      <c r="J429" s="66"/>
      <c r="K429" s="66"/>
      <c r="L429" s="66"/>
      <c r="M429" s="66"/>
      <c r="N429" s="66"/>
    </row>
    <row r="430" spans="1:14" x14ac:dyDescent="0.2">
      <c r="A430" s="84"/>
      <c r="B430" s="84"/>
      <c r="C430" s="60"/>
      <c r="D430" s="66"/>
      <c r="E430" s="66"/>
      <c r="F430" s="66"/>
      <c r="G430" s="66"/>
      <c r="H430" s="66"/>
      <c r="I430" s="66"/>
      <c r="J430" s="66"/>
      <c r="K430" s="66"/>
      <c r="L430" s="66"/>
      <c r="M430" s="66"/>
      <c r="N430" s="66"/>
    </row>
    <row r="431" spans="1:14" x14ac:dyDescent="0.2">
      <c r="A431" s="84"/>
      <c r="B431" s="84"/>
      <c r="C431" s="60"/>
      <c r="D431" s="66"/>
      <c r="E431" s="66"/>
      <c r="F431" s="66"/>
      <c r="G431" s="66"/>
      <c r="H431" s="66"/>
      <c r="I431" s="66"/>
      <c r="J431" s="66"/>
      <c r="K431" s="66"/>
      <c r="L431" s="66"/>
      <c r="M431" s="66"/>
      <c r="N431" s="66"/>
    </row>
    <row r="432" spans="1:14" x14ac:dyDescent="0.2">
      <c r="A432" s="84"/>
      <c r="B432" s="84"/>
      <c r="C432" s="60"/>
      <c r="D432" s="66"/>
      <c r="E432" s="66"/>
      <c r="F432" s="66"/>
      <c r="G432" s="66"/>
      <c r="H432" s="66"/>
      <c r="I432" s="66"/>
      <c r="J432" s="66"/>
      <c r="K432" s="66"/>
      <c r="L432" s="66"/>
      <c r="M432" s="66"/>
      <c r="N432" s="66"/>
    </row>
    <row r="433" spans="1:14" x14ac:dyDescent="0.2">
      <c r="A433" s="84"/>
      <c r="B433" s="84"/>
      <c r="C433" s="60"/>
      <c r="D433" s="66"/>
      <c r="E433" s="66"/>
      <c r="F433" s="66"/>
      <c r="G433" s="66"/>
      <c r="H433" s="66"/>
      <c r="I433" s="66"/>
      <c r="J433" s="66"/>
      <c r="K433" s="66"/>
      <c r="L433" s="66"/>
      <c r="M433" s="66"/>
      <c r="N433" s="66"/>
    </row>
    <row r="434" spans="1:14" x14ac:dyDescent="0.2">
      <c r="A434" s="84"/>
      <c r="B434" s="84"/>
      <c r="C434" s="60"/>
      <c r="D434" s="66"/>
      <c r="E434" s="66"/>
      <c r="F434" s="66"/>
      <c r="G434" s="66"/>
      <c r="H434" s="66"/>
      <c r="I434" s="66"/>
      <c r="J434" s="66"/>
      <c r="K434" s="66"/>
      <c r="L434" s="66"/>
      <c r="M434" s="66"/>
      <c r="N434" s="66"/>
    </row>
    <row r="435" spans="1:14" x14ac:dyDescent="0.2">
      <c r="A435" s="84"/>
      <c r="B435" s="84"/>
      <c r="C435" s="60"/>
      <c r="D435" s="66"/>
      <c r="E435" s="66"/>
      <c r="F435" s="66"/>
      <c r="G435" s="66"/>
      <c r="H435" s="66"/>
      <c r="I435" s="66"/>
      <c r="J435" s="66"/>
      <c r="K435" s="66"/>
      <c r="L435" s="66"/>
      <c r="M435" s="66"/>
      <c r="N435" s="66"/>
    </row>
    <row r="436" spans="1:14" x14ac:dyDescent="0.2">
      <c r="A436" s="84"/>
      <c r="B436" s="84"/>
      <c r="C436" s="60"/>
      <c r="D436" s="66"/>
      <c r="E436" s="66"/>
      <c r="F436" s="66"/>
      <c r="G436" s="66"/>
      <c r="H436" s="66"/>
      <c r="I436" s="66"/>
      <c r="J436" s="66"/>
      <c r="K436" s="66"/>
      <c r="L436" s="66"/>
      <c r="M436" s="66"/>
      <c r="N436" s="66"/>
    </row>
    <row r="437" spans="1:14" x14ac:dyDescent="0.2">
      <c r="A437" s="84"/>
      <c r="B437" s="84"/>
      <c r="C437" s="60"/>
      <c r="D437" s="66"/>
      <c r="E437" s="66"/>
      <c r="F437" s="66"/>
      <c r="G437" s="66"/>
      <c r="H437" s="66"/>
      <c r="I437" s="66"/>
      <c r="J437" s="66"/>
      <c r="K437" s="66"/>
      <c r="L437" s="66"/>
      <c r="M437" s="66"/>
      <c r="N437" s="66"/>
    </row>
    <row r="438" spans="1:14" x14ac:dyDescent="0.2">
      <c r="A438" s="84"/>
      <c r="B438" s="84"/>
      <c r="C438" s="60"/>
      <c r="D438" s="66"/>
      <c r="E438" s="66"/>
      <c r="F438" s="66"/>
      <c r="G438" s="66"/>
      <c r="H438" s="66"/>
      <c r="I438" s="66"/>
      <c r="J438" s="66"/>
      <c r="K438" s="66"/>
      <c r="L438" s="66"/>
      <c r="M438" s="66"/>
      <c r="N438" s="66"/>
    </row>
    <row r="439" spans="1:14" x14ac:dyDescent="0.2">
      <c r="A439" s="84"/>
      <c r="B439" s="84"/>
      <c r="C439" s="60"/>
      <c r="D439" s="66"/>
      <c r="E439" s="66"/>
      <c r="F439" s="66"/>
      <c r="G439" s="66"/>
      <c r="H439" s="66"/>
      <c r="I439" s="66"/>
      <c r="J439" s="66"/>
      <c r="K439" s="66"/>
      <c r="L439" s="66"/>
      <c r="M439" s="66"/>
      <c r="N439" s="66"/>
    </row>
    <row r="440" spans="1:14" x14ac:dyDescent="0.2">
      <c r="A440" s="84"/>
      <c r="B440" s="84"/>
      <c r="C440" s="60"/>
      <c r="D440" s="66"/>
      <c r="E440" s="66"/>
      <c r="F440" s="66"/>
      <c r="G440" s="66"/>
      <c r="H440" s="66"/>
      <c r="I440" s="66"/>
      <c r="J440" s="66"/>
      <c r="K440" s="66"/>
      <c r="L440" s="66"/>
      <c r="M440" s="66"/>
      <c r="N440" s="66"/>
    </row>
    <row r="441" spans="1:14" x14ac:dyDescent="0.2">
      <c r="A441" s="84"/>
      <c r="B441" s="84"/>
      <c r="C441" s="60"/>
      <c r="D441" s="66"/>
      <c r="E441" s="66"/>
      <c r="F441" s="66"/>
      <c r="G441" s="66"/>
      <c r="H441" s="66"/>
      <c r="I441" s="66"/>
      <c r="J441" s="66"/>
      <c r="K441" s="66"/>
      <c r="L441" s="66"/>
      <c r="M441" s="66"/>
      <c r="N441" s="66"/>
    </row>
    <row r="442" spans="1:14" x14ac:dyDescent="0.2">
      <c r="A442" s="84"/>
      <c r="B442" s="84"/>
      <c r="C442" s="60"/>
      <c r="D442" s="66"/>
      <c r="E442" s="66"/>
      <c r="F442" s="66"/>
      <c r="G442" s="66"/>
      <c r="H442" s="66"/>
      <c r="I442" s="66"/>
      <c r="J442" s="66"/>
      <c r="K442" s="66"/>
      <c r="L442" s="66"/>
      <c r="M442" s="66"/>
      <c r="N442" s="66"/>
    </row>
    <row r="443" spans="1:14" x14ac:dyDescent="0.2">
      <c r="A443" s="84"/>
      <c r="B443" s="84"/>
      <c r="C443" s="60"/>
      <c r="D443" s="66"/>
      <c r="E443" s="66"/>
      <c r="F443" s="66"/>
      <c r="G443" s="66"/>
      <c r="H443" s="66"/>
      <c r="I443" s="66"/>
      <c r="J443" s="66"/>
      <c r="K443" s="66"/>
      <c r="L443" s="66"/>
      <c r="M443" s="66"/>
      <c r="N443" s="66"/>
    </row>
    <row r="444" spans="1:14" x14ac:dyDescent="0.2">
      <c r="A444" s="84"/>
      <c r="B444" s="84"/>
      <c r="C444" s="60"/>
      <c r="D444" s="66"/>
      <c r="E444" s="66"/>
      <c r="F444" s="66"/>
      <c r="G444" s="66"/>
      <c r="H444" s="66"/>
      <c r="I444" s="66"/>
      <c r="J444" s="66"/>
      <c r="K444" s="66"/>
      <c r="L444" s="66"/>
      <c r="M444" s="66"/>
      <c r="N444" s="66"/>
    </row>
    <row r="445" spans="1:14" x14ac:dyDescent="0.2">
      <c r="A445" s="84"/>
      <c r="B445" s="84"/>
      <c r="C445" s="60"/>
      <c r="D445" s="66"/>
      <c r="E445" s="66"/>
      <c r="F445" s="66"/>
      <c r="G445" s="66"/>
      <c r="H445" s="66"/>
      <c r="I445" s="66"/>
      <c r="J445" s="66"/>
      <c r="K445" s="66"/>
      <c r="L445" s="66"/>
      <c r="M445" s="66"/>
      <c r="N445" s="66"/>
    </row>
    <row r="446" spans="1:14" x14ac:dyDescent="0.2">
      <c r="A446" s="84"/>
      <c r="B446" s="84"/>
      <c r="C446" s="60"/>
      <c r="D446" s="66"/>
      <c r="E446" s="66"/>
      <c r="F446" s="66"/>
      <c r="G446" s="66"/>
      <c r="H446" s="66"/>
      <c r="I446" s="66"/>
      <c r="J446" s="66"/>
      <c r="K446" s="66"/>
      <c r="L446" s="66"/>
      <c r="M446" s="66"/>
      <c r="N446" s="66"/>
    </row>
    <row r="447" spans="1:14" x14ac:dyDescent="0.2">
      <c r="A447" s="84"/>
      <c r="B447" s="84"/>
      <c r="C447" s="60"/>
      <c r="D447" s="66"/>
      <c r="E447" s="66"/>
      <c r="F447" s="66"/>
      <c r="G447" s="66"/>
      <c r="H447" s="66"/>
      <c r="I447" s="66"/>
      <c r="J447" s="66"/>
      <c r="K447" s="66"/>
      <c r="L447" s="66"/>
      <c r="M447" s="66"/>
      <c r="N447" s="66"/>
    </row>
    <row r="448" spans="1:14" x14ac:dyDescent="0.2">
      <c r="A448" s="84"/>
      <c r="B448" s="84"/>
      <c r="C448" s="60"/>
      <c r="D448" s="66"/>
      <c r="E448" s="66"/>
      <c r="F448" s="66"/>
      <c r="G448" s="66"/>
      <c r="H448" s="66"/>
      <c r="I448" s="66"/>
      <c r="J448" s="66"/>
      <c r="K448" s="66"/>
      <c r="L448" s="66"/>
      <c r="M448" s="66"/>
      <c r="N448" s="66"/>
    </row>
    <row r="449" spans="1:14" x14ac:dyDescent="0.2">
      <c r="A449" s="84"/>
      <c r="B449" s="84"/>
      <c r="C449" s="60"/>
      <c r="D449" s="66"/>
      <c r="E449" s="66"/>
      <c r="F449" s="66"/>
      <c r="G449" s="66"/>
      <c r="H449" s="66"/>
      <c r="I449" s="66"/>
      <c r="J449" s="66"/>
      <c r="K449" s="66"/>
      <c r="L449" s="66"/>
      <c r="M449" s="66"/>
      <c r="N449" s="66"/>
    </row>
    <row r="450" spans="1:14" x14ac:dyDescent="0.2">
      <c r="A450" s="84"/>
      <c r="B450" s="84"/>
      <c r="C450" s="60"/>
      <c r="D450" s="66"/>
      <c r="E450" s="66"/>
      <c r="F450" s="66"/>
      <c r="G450" s="66"/>
      <c r="H450" s="66"/>
      <c r="I450" s="66"/>
      <c r="J450" s="66"/>
      <c r="K450" s="66"/>
      <c r="L450" s="66"/>
      <c r="M450" s="66"/>
      <c r="N450" s="66"/>
    </row>
    <row r="451" spans="1:14" x14ac:dyDescent="0.2">
      <c r="A451" s="84"/>
      <c r="B451" s="84"/>
      <c r="C451" s="60"/>
      <c r="D451" s="66"/>
      <c r="E451" s="66"/>
      <c r="F451" s="66"/>
      <c r="G451" s="66"/>
      <c r="H451" s="66"/>
      <c r="I451" s="66"/>
      <c r="J451" s="66"/>
      <c r="K451" s="66"/>
      <c r="L451" s="66"/>
      <c r="M451" s="66"/>
      <c r="N451" s="66"/>
    </row>
    <row r="452" spans="1:14" x14ac:dyDescent="0.2">
      <c r="A452" s="84"/>
      <c r="B452" s="84"/>
      <c r="C452" s="60"/>
      <c r="D452" s="66"/>
      <c r="E452" s="66"/>
      <c r="F452" s="66"/>
      <c r="G452" s="66"/>
      <c r="H452" s="66"/>
      <c r="I452" s="66"/>
      <c r="J452" s="66"/>
      <c r="K452" s="66"/>
      <c r="L452" s="66"/>
      <c r="M452" s="66"/>
      <c r="N452" s="66"/>
    </row>
    <row r="453" spans="1:14" x14ac:dyDescent="0.2">
      <c r="A453" s="84"/>
      <c r="B453" s="84"/>
      <c r="C453" s="60"/>
      <c r="D453" s="66"/>
      <c r="E453" s="66"/>
      <c r="F453" s="66"/>
      <c r="G453" s="66"/>
      <c r="H453" s="66"/>
      <c r="I453" s="66"/>
      <c r="J453" s="66"/>
      <c r="K453" s="66"/>
      <c r="L453" s="66"/>
      <c r="M453" s="66"/>
      <c r="N453" s="66"/>
    </row>
    <row r="454" spans="1:14" x14ac:dyDescent="0.2">
      <c r="A454" s="84"/>
      <c r="B454" s="84"/>
      <c r="C454" s="60"/>
      <c r="D454" s="66"/>
      <c r="E454" s="66"/>
      <c r="F454" s="66"/>
      <c r="G454" s="66"/>
      <c r="H454" s="66"/>
      <c r="I454" s="66"/>
      <c r="J454" s="66"/>
      <c r="K454" s="66"/>
      <c r="L454" s="66"/>
      <c r="M454" s="66"/>
      <c r="N454" s="66"/>
    </row>
    <row r="455" spans="1:14" x14ac:dyDescent="0.2">
      <c r="A455" s="84"/>
      <c r="B455" s="84"/>
      <c r="C455" s="60"/>
      <c r="D455" s="66"/>
      <c r="E455" s="66"/>
      <c r="F455" s="66"/>
      <c r="G455" s="66"/>
      <c r="H455" s="66"/>
      <c r="I455" s="66"/>
      <c r="J455" s="66"/>
      <c r="K455" s="66"/>
      <c r="L455" s="66"/>
      <c r="M455" s="66"/>
      <c r="N455" s="66"/>
    </row>
    <row r="456" spans="1:14" x14ac:dyDescent="0.2">
      <c r="A456" s="84"/>
      <c r="B456" s="84"/>
      <c r="C456" s="60"/>
      <c r="D456" s="66"/>
      <c r="E456" s="66"/>
      <c r="F456" s="66"/>
      <c r="G456" s="66"/>
      <c r="H456" s="66"/>
      <c r="I456" s="66"/>
      <c r="J456" s="66"/>
      <c r="K456" s="66"/>
      <c r="L456" s="66"/>
      <c r="M456" s="66"/>
      <c r="N456" s="66"/>
    </row>
    <row r="457" spans="1:14" x14ac:dyDescent="0.2">
      <c r="A457" s="84"/>
      <c r="B457" s="84"/>
      <c r="C457" s="60"/>
      <c r="D457" s="66"/>
      <c r="E457" s="66"/>
      <c r="F457" s="66"/>
      <c r="G457" s="66"/>
      <c r="H457" s="66"/>
      <c r="I457" s="66"/>
      <c r="J457" s="66"/>
      <c r="K457" s="66"/>
      <c r="L457" s="66"/>
      <c r="M457" s="66"/>
      <c r="N457" s="66"/>
    </row>
    <row r="458" spans="1:14" x14ac:dyDescent="0.2">
      <c r="A458" s="84"/>
      <c r="B458" s="84"/>
      <c r="C458" s="60"/>
      <c r="D458" s="66"/>
      <c r="E458" s="66"/>
      <c r="F458" s="66"/>
      <c r="G458" s="66"/>
      <c r="H458" s="66"/>
      <c r="I458" s="66"/>
      <c r="J458" s="66"/>
      <c r="K458" s="66"/>
      <c r="L458" s="66"/>
      <c r="M458" s="66"/>
      <c r="N458" s="66"/>
    </row>
    <row r="459" spans="1:14" x14ac:dyDescent="0.2">
      <c r="A459" s="84"/>
      <c r="B459" s="84"/>
      <c r="C459" s="60"/>
      <c r="D459" s="66"/>
      <c r="E459" s="66"/>
      <c r="F459" s="66"/>
      <c r="G459" s="66"/>
      <c r="H459" s="66"/>
      <c r="I459" s="66"/>
      <c r="J459" s="66"/>
      <c r="K459" s="66"/>
      <c r="L459" s="66"/>
      <c r="M459" s="66"/>
      <c r="N459" s="66"/>
    </row>
    <row r="460" spans="1:14" x14ac:dyDescent="0.2">
      <c r="A460" s="84"/>
      <c r="B460" s="84"/>
      <c r="C460" s="60"/>
      <c r="D460" s="66"/>
      <c r="E460" s="66"/>
      <c r="F460" s="66"/>
      <c r="G460" s="66"/>
      <c r="H460" s="66"/>
      <c r="I460" s="66"/>
      <c r="J460" s="66"/>
      <c r="K460" s="66"/>
      <c r="L460" s="66"/>
      <c r="M460" s="66"/>
      <c r="N460" s="66"/>
    </row>
    <row r="461" spans="1:14" x14ac:dyDescent="0.2">
      <c r="A461" s="84"/>
      <c r="B461" s="84"/>
      <c r="C461" s="60"/>
      <c r="D461" s="66"/>
      <c r="E461" s="66"/>
      <c r="F461" s="66"/>
      <c r="G461" s="66"/>
      <c r="H461" s="66"/>
      <c r="I461" s="66"/>
      <c r="J461" s="66"/>
      <c r="K461" s="66"/>
      <c r="L461" s="66"/>
      <c r="M461" s="66"/>
      <c r="N461" s="66"/>
    </row>
    <row r="462" spans="1:14" x14ac:dyDescent="0.2">
      <c r="A462" s="84"/>
      <c r="B462" s="84"/>
      <c r="C462" s="60"/>
      <c r="D462" s="66"/>
      <c r="E462" s="66"/>
      <c r="F462" s="66"/>
      <c r="G462" s="66"/>
      <c r="H462" s="66"/>
      <c r="I462" s="66"/>
      <c r="J462" s="66"/>
      <c r="K462" s="66"/>
      <c r="L462" s="66"/>
      <c r="M462" s="66"/>
      <c r="N462" s="66"/>
    </row>
    <row r="463" spans="1:14" x14ac:dyDescent="0.2">
      <c r="A463" s="84"/>
      <c r="B463" s="84"/>
      <c r="C463" s="60"/>
      <c r="D463" s="66"/>
      <c r="E463" s="66"/>
      <c r="F463" s="66"/>
      <c r="G463" s="66"/>
      <c r="H463" s="66"/>
      <c r="I463" s="66"/>
      <c r="J463" s="66"/>
      <c r="K463" s="66"/>
      <c r="L463" s="66"/>
      <c r="M463" s="66"/>
      <c r="N463" s="66"/>
    </row>
    <row r="464" spans="1:14" x14ac:dyDescent="0.2">
      <c r="A464" s="84"/>
      <c r="B464" s="84"/>
      <c r="C464" s="60"/>
      <c r="D464" s="66"/>
      <c r="E464" s="66"/>
      <c r="F464" s="66"/>
      <c r="G464" s="66"/>
      <c r="H464" s="66"/>
      <c r="I464" s="66"/>
      <c r="J464" s="66"/>
      <c r="K464" s="66"/>
      <c r="L464" s="66"/>
      <c r="M464" s="66"/>
      <c r="N464" s="66"/>
    </row>
    <row r="465" spans="1:14" x14ac:dyDescent="0.2">
      <c r="A465" s="84"/>
      <c r="B465" s="84"/>
      <c r="C465" s="60"/>
      <c r="D465" s="66"/>
      <c r="E465" s="66"/>
      <c r="F465" s="66"/>
      <c r="G465" s="66"/>
      <c r="H465" s="66"/>
      <c r="I465" s="66"/>
      <c r="J465" s="66"/>
      <c r="K465" s="66"/>
      <c r="L465" s="66"/>
      <c r="M465" s="66"/>
      <c r="N465" s="66"/>
    </row>
    <row r="466" spans="1:14" x14ac:dyDescent="0.2">
      <c r="A466" s="84"/>
      <c r="B466" s="84"/>
      <c r="C466" s="60"/>
      <c r="D466" s="66"/>
      <c r="E466" s="66"/>
      <c r="F466" s="66"/>
      <c r="G466" s="66"/>
      <c r="H466" s="66"/>
      <c r="I466" s="66"/>
      <c r="J466" s="66"/>
      <c r="K466" s="66"/>
      <c r="L466" s="66"/>
      <c r="M466" s="66"/>
      <c r="N466" s="66"/>
    </row>
    <row r="467" spans="1:14" x14ac:dyDescent="0.2">
      <c r="A467" s="84"/>
      <c r="B467" s="84"/>
      <c r="C467" s="60"/>
      <c r="D467" s="66"/>
      <c r="E467" s="66"/>
      <c r="F467" s="66"/>
      <c r="G467" s="66"/>
      <c r="H467" s="66"/>
      <c r="I467" s="66"/>
      <c r="J467" s="66"/>
      <c r="K467" s="66"/>
      <c r="L467" s="66"/>
      <c r="M467" s="66"/>
      <c r="N467" s="66"/>
    </row>
    <row r="468" spans="1:14" x14ac:dyDescent="0.2">
      <c r="A468" s="84"/>
      <c r="B468" s="84"/>
      <c r="C468" s="60"/>
      <c r="D468" s="66"/>
      <c r="E468" s="66"/>
      <c r="F468" s="66"/>
      <c r="G468" s="66"/>
      <c r="H468" s="66"/>
      <c r="I468" s="66"/>
      <c r="J468" s="66"/>
      <c r="K468" s="66"/>
      <c r="L468" s="66"/>
      <c r="M468" s="66"/>
      <c r="N468" s="66"/>
    </row>
    <row r="469" spans="1:14" x14ac:dyDescent="0.2">
      <c r="A469" s="84"/>
      <c r="B469" s="84"/>
      <c r="C469" s="60"/>
      <c r="D469" s="66"/>
      <c r="E469" s="66"/>
      <c r="F469" s="66"/>
      <c r="G469" s="66"/>
      <c r="H469" s="66"/>
      <c r="I469" s="66"/>
      <c r="J469" s="66"/>
      <c r="K469" s="66"/>
      <c r="L469" s="66"/>
      <c r="M469" s="66"/>
      <c r="N469" s="66"/>
    </row>
    <row r="470" spans="1:14" x14ac:dyDescent="0.2">
      <c r="A470" s="84"/>
      <c r="B470" s="84"/>
      <c r="C470" s="60"/>
      <c r="D470" s="66"/>
      <c r="E470" s="66"/>
      <c r="F470" s="66"/>
      <c r="G470" s="66"/>
      <c r="H470" s="66"/>
      <c r="I470" s="66"/>
      <c r="J470" s="66"/>
      <c r="K470" s="66"/>
      <c r="L470" s="66"/>
      <c r="M470" s="66"/>
      <c r="N470" s="66"/>
    </row>
    <row r="471" spans="1:14" x14ac:dyDescent="0.2">
      <c r="A471" s="84"/>
      <c r="B471" s="84"/>
      <c r="C471" s="60"/>
      <c r="D471" s="66"/>
      <c r="E471" s="66"/>
      <c r="F471" s="66"/>
      <c r="G471" s="66"/>
      <c r="H471" s="66"/>
      <c r="I471" s="66"/>
      <c r="J471" s="66"/>
      <c r="K471" s="66"/>
      <c r="L471" s="66"/>
      <c r="M471" s="66"/>
      <c r="N471" s="66"/>
    </row>
    <row r="472" spans="1:14" x14ac:dyDescent="0.2">
      <c r="A472" s="84"/>
      <c r="B472" s="84"/>
      <c r="C472" s="60"/>
      <c r="D472" s="66"/>
      <c r="E472" s="66"/>
      <c r="F472" s="66"/>
      <c r="G472" s="66"/>
      <c r="H472" s="66"/>
      <c r="I472" s="66"/>
      <c r="J472" s="66"/>
      <c r="K472" s="66"/>
      <c r="L472" s="66"/>
      <c r="M472" s="66"/>
      <c r="N472" s="66"/>
    </row>
    <row r="473" spans="1:14" x14ac:dyDescent="0.2">
      <c r="A473" s="84"/>
      <c r="B473" s="84"/>
      <c r="C473" s="60"/>
      <c r="D473" s="66"/>
      <c r="E473" s="66"/>
      <c r="F473" s="66"/>
      <c r="G473" s="66"/>
      <c r="H473" s="66"/>
      <c r="I473" s="66"/>
      <c r="J473" s="66"/>
      <c r="K473" s="66"/>
      <c r="L473" s="66"/>
      <c r="M473" s="66"/>
      <c r="N473" s="66"/>
    </row>
    <row r="474" spans="1:14" x14ac:dyDescent="0.2">
      <c r="A474" s="84"/>
      <c r="B474" s="84"/>
      <c r="C474" s="60"/>
      <c r="D474" s="66"/>
      <c r="E474" s="66"/>
      <c r="F474" s="66"/>
      <c r="G474" s="66"/>
      <c r="H474" s="66"/>
      <c r="I474" s="66"/>
      <c r="J474" s="66"/>
      <c r="K474" s="66"/>
      <c r="L474" s="66"/>
      <c r="M474" s="66"/>
      <c r="N474" s="66"/>
    </row>
    <row r="475" spans="1:14" x14ac:dyDescent="0.2">
      <c r="A475" s="84"/>
      <c r="B475" s="84"/>
      <c r="C475" s="60"/>
      <c r="D475" s="66"/>
      <c r="E475" s="66"/>
      <c r="F475" s="66"/>
      <c r="G475" s="66"/>
      <c r="H475" s="66"/>
      <c r="I475" s="66"/>
      <c r="J475" s="66"/>
      <c r="K475" s="66"/>
      <c r="L475" s="66"/>
      <c r="M475" s="66"/>
      <c r="N475" s="66"/>
    </row>
    <row r="476" spans="1:14" x14ac:dyDescent="0.2">
      <c r="A476" s="84"/>
      <c r="B476" s="84"/>
      <c r="C476" s="60"/>
      <c r="D476" s="66"/>
      <c r="E476" s="66"/>
      <c r="F476" s="66"/>
      <c r="G476" s="66"/>
      <c r="H476" s="66"/>
      <c r="I476" s="66"/>
      <c r="J476" s="66"/>
      <c r="K476" s="66"/>
      <c r="L476" s="66"/>
      <c r="M476" s="66"/>
      <c r="N476" s="66"/>
    </row>
    <row r="477" spans="1:14" x14ac:dyDescent="0.2">
      <c r="A477" s="84"/>
      <c r="B477" s="84"/>
      <c r="C477" s="60"/>
      <c r="D477" s="66"/>
      <c r="E477" s="66"/>
      <c r="F477" s="66"/>
      <c r="G477" s="66"/>
      <c r="H477" s="66"/>
      <c r="I477" s="66"/>
      <c r="J477" s="66"/>
      <c r="K477" s="66"/>
      <c r="L477" s="66"/>
      <c r="M477" s="66"/>
      <c r="N477" s="66"/>
    </row>
    <row r="478" spans="1:14" x14ac:dyDescent="0.2">
      <c r="A478" s="84"/>
      <c r="B478" s="84"/>
      <c r="C478" s="60"/>
      <c r="D478" s="66"/>
      <c r="E478" s="66"/>
      <c r="F478" s="66"/>
      <c r="G478" s="66"/>
      <c r="H478" s="66"/>
      <c r="I478" s="66"/>
      <c r="J478" s="66"/>
      <c r="K478" s="66"/>
      <c r="L478" s="66"/>
      <c r="M478" s="66"/>
      <c r="N478" s="66"/>
    </row>
    <row r="479" spans="1:14" x14ac:dyDescent="0.2">
      <c r="A479" s="84"/>
      <c r="B479" s="84"/>
      <c r="C479" s="60"/>
      <c r="D479" s="66"/>
      <c r="E479" s="66"/>
      <c r="F479" s="66"/>
      <c r="G479" s="66"/>
      <c r="H479" s="66"/>
      <c r="I479" s="66"/>
      <c r="J479" s="66"/>
      <c r="K479" s="66"/>
      <c r="L479" s="66"/>
      <c r="M479" s="66"/>
      <c r="N479" s="66"/>
    </row>
    <row r="480" spans="1:14" x14ac:dyDescent="0.2">
      <c r="A480" s="84"/>
      <c r="B480" s="84"/>
      <c r="C480" s="60"/>
      <c r="D480" s="66"/>
      <c r="E480" s="66"/>
      <c r="F480" s="66"/>
      <c r="G480" s="66"/>
      <c r="H480" s="66"/>
      <c r="I480" s="66"/>
      <c r="J480" s="66"/>
      <c r="K480" s="66"/>
      <c r="L480" s="66"/>
      <c r="M480" s="66"/>
      <c r="N480" s="66"/>
    </row>
    <row r="481" spans="1:14" x14ac:dyDescent="0.2">
      <c r="A481" s="84"/>
      <c r="B481" s="84"/>
      <c r="C481" s="60"/>
      <c r="D481" s="66"/>
      <c r="E481" s="66"/>
      <c r="F481" s="66"/>
      <c r="G481" s="66"/>
      <c r="H481" s="66"/>
      <c r="I481" s="66"/>
      <c r="J481" s="66"/>
      <c r="K481" s="66"/>
      <c r="L481" s="66"/>
      <c r="M481" s="66"/>
      <c r="N481" s="66"/>
    </row>
    <row r="482" spans="1:14" x14ac:dyDescent="0.2">
      <c r="A482" s="84"/>
      <c r="B482" s="84"/>
      <c r="C482" s="60"/>
      <c r="D482" s="66"/>
      <c r="E482" s="66"/>
      <c r="F482" s="66"/>
      <c r="G482" s="66"/>
      <c r="H482" s="66"/>
      <c r="I482" s="66"/>
      <c r="J482" s="66"/>
      <c r="K482" s="66"/>
      <c r="L482" s="66"/>
      <c r="M482" s="66"/>
      <c r="N482" s="66"/>
    </row>
    <row r="483" spans="1:14" x14ac:dyDescent="0.2">
      <c r="A483" s="84"/>
      <c r="B483" s="84"/>
      <c r="C483" s="60"/>
      <c r="D483" s="66"/>
      <c r="E483" s="66"/>
      <c r="F483" s="66"/>
      <c r="G483" s="66"/>
      <c r="H483" s="66"/>
      <c r="I483" s="66"/>
      <c r="J483" s="66"/>
      <c r="K483" s="66"/>
      <c r="L483" s="66"/>
      <c r="M483" s="66"/>
      <c r="N483" s="66"/>
    </row>
    <row r="484" spans="1:14" x14ac:dyDescent="0.2">
      <c r="A484" s="84"/>
      <c r="B484" s="84"/>
      <c r="C484" s="60"/>
      <c r="D484" s="66"/>
      <c r="E484" s="66"/>
      <c r="F484" s="66"/>
      <c r="G484" s="66"/>
      <c r="H484" s="66"/>
      <c r="I484" s="66"/>
      <c r="J484" s="66"/>
      <c r="K484" s="66"/>
      <c r="L484" s="66"/>
      <c r="M484" s="66"/>
      <c r="N484" s="66"/>
    </row>
    <row r="485" spans="1:14" x14ac:dyDescent="0.2">
      <c r="A485" s="84"/>
      <c r="B485" s="84"/>
      <c r="C485" s="60"/>
      <c r="D485" s="66"/>
      <c r="E485" s="66"/>
      <c r="F485" s="66"/>
      <c r="G485" s="66"/>
      <c r="H485" s="66"/>
      <c r="I485" s="66"/>
      <c r="J485" s="66"/>
      <c r="K485" s="66"/>
      <c r="L485" s="66"/>
      <c r="M485" s="66"/>
      <c r="N485" s="66"/>
    </row>
    <row r="486" spans="1:14" x14ac:dyDescent="0.2">
      <c r="A486" s="84"/>
      <c r="B486" s="84"/>
      <c r="C486" s="60"/>
      <c r="D486" s="66"/>
      <c r="E486" s="66"/>
      <c r="F486" s="66"/>
      <c r="G486" s="66"/>
      <c r="H486" s="66"/>
      <c r="I486" s="66"/>
      <c r="J486" s="66"/>
      <c r="K486" s="66"/>
      <c r="L486" s="66"/>
      <c r="M486" s="66"/>
      <c r="N486" s="66"/>
    </row>
    <row r="487" spans="1:14" x14ac:dyDescent="0.2">
      <c r="A487" s="84"/>
      <c r="B487" s="84"/>
      <c r="C487" s="60"/>
      <c r="D487" s="66"/>
      <c r="E487" s="66"/>
      <c r="F487" s="66"/>
      <c r="G487" s="66"/>
      <c r="H487" s="66"/>
      <c r="I487" s="66"/>
      <c r="J487" s="66"/>
      <c r="K487" s="66"/>
      <c r="L487" s="66"/>
      <c r="M487" s="66"/>
      <c r="N487" s="66"/>
    </row>
    <row r="488" spans="1:14" x14ac:dyDescent="0.2">
      <c r="A488" s="84"/>
      <c r="B488" s="84"/>
      <c r="C488" s="60"/>
      <c r="D488" s="66"/>
      <c r="E488" s="66"/>
      <c r="F488" s="66"/>
      <c r="G488" s="66"/>
      <c r="H488" s="66"/>
      <c r="I488" s="66"/>
      <c r="J488" s="66"/>
      <c r="K488" s="66"/>
      <c r="L488" s="66"/>
      <c r="M488" s="66"/>
      <c r="N488" s="66"/>
    </row>
    <row r="489" spans="1:14" x14ac:dyDescent="0.2">
      <c r="A489" s="84"/>
      <c r="B489" s="84"/>
      <c r="C489" s="60"/>
      <c r="D489" s="66"/>
      <c r="E489" s="66"/>
      <c r="F489" s="66"/>
      <c r="G489" s="66"/>
      <c r="H489" s="66"/>
      <c r="I489" s="66"/>
      <c r="J489" s="66"/>
      <c r="K489" s="66"/>
      <c r="L489" s="66"/>
      <c r="M489" s="66"/>
      <c r="N489" s="66"/>
    </row>
    <row r="490" spans="1:14" x14ac:dyDescent="0.2">
      <c r="A490" s="84"/>
      <c r="B490" s="84"/>
      <c r="C490" s="60"/>
      <c r="D490" s="66"/>
      <c r="E490" s="66"/>
      <c r="F490" s="66"/>
      <c r="G490" s="66"/>
      <c r="H490" s="66"/>
      <c r="I490" s="66"/>
      <c r="J490" s="66"/>
      <c r="K490" s="66"/>
      <c r="L490" s="66"/>
      <c r="M490" s="66"/>
      <c r="N490" s="66"/>
    </row>
    <row r="491" spans="1:14" x14ac:dyDescent="0.2">
      <c r="A491" s="84"/>
      <c r="B491" s="84"/>
      <c r="C491" s="60"/>
      <c r="D491" s="66"/>
      <c r="E491" s="66"/>
      <c r="F491" s="66"/>
      <c r="G491" s="66"/>
      <c r="H491" s="66"/>
      <c r="I491" s="66"/>
      <c r="J491" s="66"/>
      <c r="K491" s="66"/>
      <c r="L491" s="66"/>
      <c r="M491" s="66"/>
      <c r="N491" s="66"/>
    </row>
    <row r="492" spans="1:14" x14ac:dyDescent="0.2">
      <c r="A492" s="84"/>
      <c r="B492" s="84"/>
      <c r="C492" s="60"/>
      <c r="D492" s="66"/>
      <c r="E492" s="66"/>
      <c r="F492" s="66"/>
      <c r="G492" s="66"/>
      <c r="H492" s="66"/>
      <c r="I492" s="66"/>
      <c r="J492" s="66"/>
      <c r="K492" s="66"/>
      <c r="L492" s="66"/>
      <c r="M492" s="66"/>
      <c r="N492" s="66"/>
    </row>
    <row r="493" spans="1:14" x14ac:dyDescent="0.2">
      <c r="A493" s="84"/>
      <c r="B493" s="84"/>
      <c r="C493" s="60"/>
      <c r="D493" s="66"/>
      <c r="E493" s="66"/>
      <c r="F493" s="66"/>
      <c r="G493" s="66"/>
      <c r="H493" s="66"/>
      <c r="I493" s="66"/>
      <c r="J493" s="66"/>
      <c r="K493" s="66"/>
      <c r="L493" s="66"/>
      <c r="M493" s="66"/>
      <c r="N493" s="66"/>
    </row>
    <row r="494" spans="1:14" x14ac:dyDescent="0.2">
      <c r="A494" s="84"/>
      <c r="B494" s="84"/>
      <c r="C494" s="60"/>
      <c r="D494" s="66"/>
      <c r="E494" s="66"/>
      <c r="F494" s="66"/>
      <c r="G494" s="66"/>
      <c r="H494" s="66"/>
      <c r="I494" s="66"/>
      <c r="J494" s="66"/>
      <c r="K494" s="66"/>
      <c r="L494" s="66"/>
      <c r="M494" s="66"/>
      <c r="N494" s="66"/>
    </row>
    <row r="495" spans="1:14" x14ac:dyDescent="0.2">
      <c r="A495" s="84"/>
      <c r="B495" s="84"/>
      <c r="C495" s="60"/>
      <c r="D495" s="66"/>
      <c r="E495" s="66"/>
      <c r="F495" s="66"/>
      <c r="G495" s="66"/>
      <c r="H495" s="66"/>
      <c r="I495" s="66"/>
      <c r="J495" s="66"/>
      <c r="K495" s="66"/>
      <c r="L495" s="66"/>
      <c r="M495" s="66"/>
      <c r="N495" s="66"/>
    </row>
    <row r="496" spans="1:14" x14ac:dyDescent="0.2">
      <c r="A496" s="84"/>
      <c r="B496" s="84"/>
      <c r="C496" s="60"/>
      <c r="D496" s="66"/>
      <c r="E496" s="66"/>
      <c r="F496" s="66"/>
      <c r="G496" s="66"/>
      <c r="H496" s="66"/>
      <c r="I496" s="66"/>
      <c r="J496" s="66"/>
      <c r="K496" s="66"/>
      <c r="L496" s="66"/>
      <c r="M496" s="66"/>
      <c r="N496" s="66"/>
    </row>
    <row r="497" spans="1:14" x14ac:dyDescent="0.2">
      <c r="A497" s="84"/>
      <c r="B497" s="84"/>
      <c r="C497" s="60"/>
      <c r="D497" s="66"/>
      <c r="E497" s="66"/>
      <c r="F497" s="66"/>
      <c r="G497" s="66"/>
      <c r="H497" s="66"/>
      <c r="I497" s="66"/>
      <c r="J497" s="66"/>
      <c r="K497" s="66"/>
      <c r="L497" s="66"/>
      <c r="M497" s="66"/>
      <c r="N497" s="66"/>
    </row>
    <row r="498" spans="1:14" x14ac:dyDescent="0.2">
      <c r="A498" s="84"/>
      <c r="B498" s="84"/>
      <c r="C498" s="60"/>
      <c r="D498" s="66"/>
      <c r="E498" s="66"/>
      <c r="F498" s="66"/>
      <c r="G498" s="66"/>
      <c r="H498" s="66"/>
      <c r="I498" s="66"/>
      <c r="J498" s="66"/>
      <c r="K498" s="66"/>
      <c r="L498" s="66"/>
      <c r="M498" s="66"/>
      <c r="N498" s="66"/>
    </row>
    <row r="499" spans="1:14" x14ac:dyDescent="0.2">
      <c r="A499" s="84"/>
      <c r="B499" s="84"/>
      <c r="C499" s="60"/>
      <c r="D499" s="66"/>
      <c r="E499" s="66"/>
      <c r="F499" s="66"/>
      <c r="G499" s="66"/>
      <c r="H499" s="66"/>
      <c r="I499" s="66"/>
      <c r="J499" s="66"/>
      <c r="K499" s="66"/>
      <c r="L499" s="66"/>
      <c r="M499" s="66"/>
      <c r="N499" s="66"/>
    </row>
    <row r="500" spans="1:14" x14ac:dyDescent="0.2">
      <c r="A500" s="84"/>
      <c r="B500" s="84"/>
      <c r="C500" s="60"/>
      <c r="D500" s="66"/>
      <c r="E500" s="66"/>
      <c r="F500" s="66"/>
      <c r="G500" s="66"/>
      <c r="H500" s="66"/>
      <c r="I500" s="66"/>
      <c r="J500" s="66"/>
      <c r="K500" s="66"/>
      <c r="L500" s="66"/>
      <c r="M500" s="66"/>
      <c r="N500" s="66"/>
    </row>
    <row r="501" spans="1:14" x14ac:dyDescent="0.2">
      <c r="A501" s="84"/>
      <c r="B501" s="84"/>
      <c r="C501" s="60"/>
      <c r="D501" s="66"/>
      <c r="E501" s="66"/>
      <c r="F501" s="66"/>
      <c r="G501" s="66"/>
      <c r="H501" s="66"/>
      <c r="I501" s="66"/>
      <c r="J501" s="66"/>
      <c r="K501" s="66"/>
      <c r="L501" s="66"/>
      <c r="M501" s="66"/>
      <c r="N501" s="66"/>
    </row>
    <row r="502" spans="1:14" x14ac:dyDescent="0.2">
      <c r="A502" s="84"/>
      <c r="B502" s="84"/>
      <c r="C502" s="60"/>
      <c r="D502" s="66"/>
      <c r="E502" s="66"/>
      <c r="F502" s="66"/>
      <c r="G502" s="66"/>
      <c r="H502" s="66"/>
      <c r="I502" s="66"/>
      <c r="J502" s="66"/>
      <c r="K502" s="66"/>
      <c r="L502" s="66"/>
      <c r="M502" s="66"/>
      <c r="N502" s="66"/>
    </row>
    <row r="503" spans="1:14" x14ac:dyDescent="0.2">
      <c r="A503" s="84"/>
      <c r="B503" s="84"/>
      <c r="C503" s="60"/>
      <c r="D503" s="66"/>
      <c r="E503" s="66"/>
      <c r="F503" s="66"/>
      <c r="G503" s="66"/>
      <c r="H503" s="66"/>
      <c r="I503" s="66"/>
      <c r="J503" s="66"/>
      <c r="K503" s="66"/>
      <c r="L503" s="66"/>
      <c r="M503" s="66"/>
      <c r="N503" s="66"/>
    </row>
    <row r="504" spans="1:14" x14ac:dyDescent="0.2">
      <c r="A504" s="84"/>
      <c r="B504" s="84"/>
      <c r="C504" s="60"/>
      <c r="D504" s="66"/>
      <c r="E504" s="66"/>
      <c r="F504" s="66"/>
      <c r="G504" s="66"/>
      <c r="H504" s="66"/>
      <c r="I504" s="66"/>
      <c r="J504" s="66"/>
      <c r="K504" s="66"/>
      <c r="L504" s="66"/>
      <c r="M504" s="66"/>
      <c r="N504" s="66"/>
    </row>
    <row r="505" spans="1:14" x14ac:dyDescent="0.2">
      <c r="A505" s="84"/>
      <c r="B505" s="84"/>
      <c r="C505" s="60"/>
      <c r="D505" s="66"/>
      <c r="E505" s="66"/>
      <c r="F505" s="66"/>
      <c r="G505" s="66"/>
      <c r="H505" s="66"/>
      <c r="I505" s="66"/>
      <c r="J505" s="66"/>
      <c r="K505" s="66"/>
      <c r="L505" s="66"/>
      <c r="M505" s="66"/>
      <c r="N505" s="66"/>
    </row>
    <row r="506" spans="1:14" x14ac:dyDescent="0.2">
      <c r="A506" s="84"/>
      <c r="B506" s="84"/>
      <c r="C506" s="60"/>
      <c r="D506" s="66"/>
      <c r="E506" s="66"/>
      <c r="F506" s="66"/>
      <c r="G506" s="66"/>
      <c r="H506" s="66"/>
      <c r="I506" s="66"/>
      <c r="J506" s="66"/>
      <c r="K506" s="66"/>
      <c r="L506" s="66"/>
      <c r="M506" s="66"/>
      <c r="N506" s="66"/>
    </row>
    <row r="507" spans="1:14" x14ac:dyDescent="0.2">
      <c r="A507" s="84"/>
      <c r="B507" s="84"/>
      <c r="C507" s="60"/>
      <c r="D507" s="66"/>
      <c r="E507" s="66"/>
      <c r="F507" s="66"/>
      <c r="G507" s="66"/>
      <c r="H507" s="66"/>
      <c r="I507" s="66"/>
      <c r="J507" s="66"/>
      <c r="K507" s="66"/>
      <c r="L507" s="66"/>
      <c r="M507" s="66"/>
      <c r="N507" s="66"/>
    </row>
    <row r="508" spans="1:14" x14ac:dyDescent="0.2">
      <c r="A508" s="84"/>
      <c r="B508" s="84"/>
      <c r="C508" s="60"/>
      <c r="D508" s="66"/>
      <c r="E508" s="66"/>
      <c r="F508" s="66"/>
      <c r="G508" s="66"/>
      <c r="H508" s="66"/>
      <c r="I508" s="66"/>
      <c r="J508" s="66"/>
      <c r="K508" s="66"/>
      <c r="L508" s="66"/>
      <c r="M508" s="66"/>
      <c r="N508" s="66"/>
    </row>
    <row r="509" spans="1:14" x14ac:dyDescent="0.2">
      <c r="A509" s="84"/>
      <c r="B509" s="84"/>
      <c r="C509" s="60"/>
      <c r="D509" s="66"/>
      <c r="E509" s="66"/>
      <c r="F509" s="66"/>
      <c r="G509" s="66"/>
      <c r="H509" s="66"/>
      <c r="I509" s="66"/>
      <c r="J509" s="66"/>
      <c r="K509" s="66"/>
      <c r="L509" s="66"/>
      <c r="M509" s="66"/>
      <c r="N509" s="66"/>
    </row>
    <row r="510" spans="1:14" x14ac:dyDescent="0.2">
      <c r="A510" s="84"/>
      <c r="B510" s="84"/>
      <c r="C510" s="60"/>
      <c r="D510" s="66"/>
      <c r="E510" s="66"/>
      <c r="F510" s="66"/>
      <c r="G510" s="66"/>
      <c r="H510" s="66"/>
      <c r="I510" s="66"/>
      <c r="J510" s="66"/>
      <c r="K510" s="66"/>
      <c r="L510" s="66"/>
      <c r="M510" s="66"/>
      <c r="N510" s="66"/>
    </row>
    <row r="511" spans="1:14" x14ac:dyDescent="0.2">
      <c r="A511" s="84"/>
      <c r="B511" s="84"/>
      <c r="C511" s="60"/>
      <c r="D511" s="66"/>
      <c r="E511" s="66"/>
      <c r="F511" s="66"/>
      <c r="G511" s="66"/>
      <c r="H511" s="66"/>
      <c r="I511" s="66"/>
      <c r="J511" s="66"/>
      <c r="K511" s="66"/>
      <c r="L511" s="66"/>
      <c r="M511" s="66"/>
      <c r="N511" s="66"/>
    </row>
    <row r="512" spans="1:14" x14ac:dyDescent="0.2">
      <c r="A512" s="84"/>
      <c r="B512" s="84"/>
      <c r="C512" s="60"/>
      <c r="D512" s="66"/>
      <c r="E512" s="66"/>
      <c r="F512" s="66"/>
      <c r="G512" s="66"/>
      <c r="H512" s="66"/>
      <c r="I512" s="66"/>
      <c r="J512" s="66"/>
      <c r="K512" s="66"/>
      <c r="L512" s="66"/>
      <c r="M512" s="66"/>
      <c r="N512" s="66"/>
    </row>
    <row r="513" spans="1:14" x14ac:dyDescent="0.2">
      <c r="A513" s="84"/>
      <c r="B513" s="84"/>
      <c r="C513" s="60"/>
      <c r="D513" s="66"/>
      <c r="E513" s="66"/>
      <c r="F513" s="66"/>
      <c r="G513" s="66"/>
      <c r="H513" s="66"/>
      <c r="I513" s="66"/>
      <c r="J513" s="66"/>
      <c r="K513" s="66"/>
      <c r="L513" s="66"/>
      <c r="M513" s="66"/>
      <c r="N513" s="66"/>
    </row>
    <row r="514" spans="1:14" x14ac:dyDescent="0.2">
      <c r="A514" s="84"/>
      <c r="B514" s="84"/>
      <c r="C514" s="60"/>
      <c r="D514" s="66"/>
      <c r="E514" s="66"/>
      <c r="F514" s="66"/>
      <c r="G514" s="66"/>
      <c r="H514" s="66"/>
      <c r="I514" s="66"/>
      <c r="J514" s="66"/>
      <c r="K514" s="66"/>
      <c r="L514" s="66"/>
      <c r="M514" s="66"/>
      <c r="N514" s="66"/>
    </row>
    <row r="515" spans="1:14" x14ac:dyDescent="0.2">
      <c r="A515" s="84"/>
      <c r="B515" s="84"/>
      <c r="C515" s="60"/>
      <c r="D515" s="66"/>
      <c r="E515" s="66"/>
      <c r="F515" s="66"/>
      <c r="G515" s="66"/>
      <c r="H515" s="66"/>
      <c r="I515" s="66"/>
      <c r="J515" s="66"/>
      <c r="K515" s="66"/>
      <c r="L515" s="66"/>
      <c r="M515" s="66"/>
      <c r="N515" s="66"/>
    </row>
    <row r="516" spans="1:14" x14ac:dyDescent="0.2">
      <c r="A516" s="84"/>
      <c r="B516" s="84"/>
      <c r="C516" s="60"/>
      <c r="D516" s="66"/>
      <c r="E516" s="66"/>
      <c r="F516" s="66"/>
      <c r="G516" s="66"/>
      <c r="H516" s="66"/>
      <c r="I516" s="66"/>
      <c r="J516" s="66"/>
      <c r="K516" s="66"/>
      <c r="L516" s="66"/>
      <c r="M516" s="66"/>
      <c r="N516" s="66"/>
    </row>
    <row r="517" spans="1:14" x14ac:dyDescent="0.2">
      <c r="A517" s="84"/>
      <c r="B517" s="84"/>
      <c r="C517" s="60"/>
      <c r="D517" s="66"/>
      <c r="E517" s="66"/>
      <c r="F517" s="66"/>
      <c r="G517" s="66"/>
      <c r="H517" s="66"/>
      <c r="I517" s="66"/>
      <c r="J517" s="66"/>
      <c r="K517" s="66"/>
      <c r="L517" s="66"/>
      <c r="M517" s="66"/>
      <c r="N517" s="66"/>
    </row>
    <row r="518" spans="1:14" x14ac:dyDescent="0.2">
      <c r="A518" s="84"/>
      <c r="B518" s="84"/>
      <c r="C518" s="60"/>
      <c r="D518" s="66"/>
      <c r="E518" s="66"/>
      <c r="F518" s="66"/>
      <c r="G518" s="66"/>
      <c r="H518" s="66"/>
      <c r="I518" s="66"/>
      <c r="J518" s="66"/>
      <c r="K518" s="66"/>
      <c r="L518" s="66"/>
      <c r="M518" s="66"/>
      <c r="N518" s="66"/>
    </row>
    <row r="519" spans="1:14" x14ac:dyDescent="0.2">
      <c r="A519" s="84"/>
      <c r="B519" s="84"/>
      <c r="C519" s="60"/>
      <c r="D519" s="66"/>
      <c r="E519" s="66"/>
      <c r="F519" s="66"/>
      <c r="G519" s="66"/>
      <c r="H519" s="66"/>
      <c r="I519" s="66"/>
      <c r="J519" s="66"/>
      <c r="K519" s="66"/>
      <c r="L519" s="66"/>
      <c r="M519" s="66"/>
      <c r="N519" s="66"/>
    </row>
    <row r="520" spans="1:14" x14ac:dyDescent="0.2">
      <c r="A520" s="84"/>
      <c r="B520" s="84"/>
      <c r="C520" s="60"/>
      <c r="D520" s="66"/>
      <c r="E520" s="66"/>
      <c r="F520" s="66"/>
      <c r="G520" s="66"/>
      <c r="H520" s="66"/>
      <c r="I520" s="66"/>
      <c r="J520" s="66"/>
      <c r="K520" s="66"/>
      <c r="L520" s="66"/>
      <c r="M520" s="66"/>
      <c r="N520" s="66"/>
    </row>
    <row r="521" spans="1:14" x14ac:dyDescent="0.2">
      <c r="A521" s="84"/>
      <c r="B521" s="84"/>
      <c r="C521" s="60"/>
      <c r="D521" s="66"/>
      <c r="E521" s="66"/>
      <c r="F521" s="66"/>
      <c r="G521" s="66"/>
      <c r="H521" s="66"/>
      <c r="I521" s="66"/>
      <c r="J521" s="66"/>
      <c r="K521" s="66"/>
      <c r="L521" s="66"/>
      <c r="M521" s="66"/>
      <c r="N521" s="66"/>
    </row>
    <row r="522" spans="1:14" x14ac:dyDescent="0.2">
      <c r="A522" s="84"/>
      <c r="B522" s="84"/>
      <c r="C522" s="60"/>
      <c r="D522" s="66"/>
      <c r="E522" s="66"/>
      <c r="F522" s="66"/>
      <c r="G522" s="66"/>
      <c r="H522" s="66"/>
      <c r="I522" s="66"/>
      <c r="J522" s="66"/>
      <c r="K522" s="66"/>
      <c r="L522" s="66"/>
      <c r="M522" s="66"/>
      <c r="N522" s="66"/>
    </row>
    <row r="523" spans="1:14" x14ac:dyDescent="0.2">
      <c r="A523" s="84"/>
      <c r="B523" s="84"/>
      <c r="C523" s="60"/>
      <c r="D523" s="66"/>
      <c r="E523" s="66"/>
      <c r="F523" s="66"/>
      <c r="G523" s="66"/>
      <c r="H523" s="66"/>
      <c r="I523" s="66"/>
      <c r="J523" s="66"/>
      <c r="K523" s="66"/>
      <c r="L523" s="66"/>
      <c r="M523" s="66"/>
      <c r="N523" s="66"/>
    </row>
    <row r="524" spans="1:14" x14ac:dyDescent="0.2">
      <c r="A524" s="84"/>
      <c r="B524" s="84"/>
      <c r="C524" s="60"/>
      <c r="D524" s="66"/>
      <c r="E524" s="66"/>
      <c r="F524" s="66"/>
      <c r="G524" s="66"/>
      <c r="H524" s="66"/>
      <c r="I524" s="66"/>
      <c r="J524" s="66"/>
      <c r="K524" s="66"/>
      <c r="L524" s="66"/>
      <c r="M524" s="66"/>
      <c r="N524" s="66"/>
    </row>
    <row r="525" spans="1:14" x14ac:dyDescent="0.2">
      <c r="A525" s="84"/>
      <c r="B525" s="84"/>
      <c r="C525" s="60"/>
      <c r="D525" s="66"/>
      <c r="E525" s="66"/>
      <c r="F525" s="66"/>
      <c r="G525" s="66"/>
      <c r="H525" s="66"/>
      <c r="I525" s="66"/>
      <c r="J525" s="66"/>
      <c r="K525" s="66"/>
      <c r="L525" s="66"/>
      <c r="M525" s="66"/>
      <c r="N525" s="66"/>
    </row>
    <row r="526" spans="1:14" x14ac:dyDescent="0.2">
      <c r="A526" s="84"/>
      <c r="B526" s="84"/>
      <c r="C526" s="60"/>
      <c r="D526" s="66"/>
      <c r="E526" s="66"/>
      <c r="F526" s="66"/>
      <c r="G526" s="66"/>
      <c r="H526" s="66"/>
      <c r="I526" s="66"/>
      <c r="J526" s="66"/>
      <c r="K526" s="66"/>
      <c r="L526" s="66"/>
      <c r="M526" s="66"/>
      <c r="N526" s="66"/>
    </row>
    <row r="527" spans="1:14" x14ac:dyDescent="0.2">
      <c r="A527" s="84"/>
      <c r="B527" s="84"/>
      <c r="C527" s="60"/>
      <c r="D527" s="66"/>
      <c r="E527" s="66"/>
      <c r="F527" s="66"/>
      <c r="G527" s="66"/>
      <c r="H527" s="66"/>
      <c r="I527" s="66"/>
      <c r="J527" s="66"/>
      <c r="K527" s="66"/>
      <c r="L527" s="66"/>
      <c r="M527" s="66"/>
      <c r="N527" s="66"/>
    </row>
    <row r="528" spans="1:14" x14ac:dyDescent="0.2">
      <c r="A528" s="84"/>
      <c r="B528" s="84"/>
      <c r="C528" s="60"/>
      <c r="D528" s="66"/>
      <c r="E528" s="66"/>
      <c r="F528" s="66"/>
      <c r="G528" s="66"/>
      <c r="H528" s="66"/>
      <c r="I528" s="66"/>
      <c r="J528" s="66"/>
      <c r="K528" s="66"/>
      <c r="L528" s="66"/>
      <c r="M528" s="66"/>
      <c r="N528" s="66"/>
    </row>
    <row r="529" spans="1:14" x14ac:dyDescent="0.2">
      <c r="A529" s="84"/>
      <c r="B529" s="84"/>
      <c r="C529" s="60"/>
      <c r="D529" s="66"/>
      <c r="E529" s="66"/>
      <c r="F529" s="66"/>
      <c r="G529" s="66"/>
      <c r="H529" s="66"/>
      <c r="I529" s="66"/>
      <c r="J529" s="66"/>
      <c r="K529" s="66"/>
      <c r="L529" s="66"/>
      <c r="M529" s="66"/>
      <c r="N529" s="66"/>
    </row>
    <row r="530" spans="1:14" x14ac:dyDescent="0.2">
      <c r="A530" s="84"/>
      <c r="B530" s="84"/>
      <c r="C530" s="60"/>
      <c r="D530" s="66"/>
      <c r="E530" s="66"/>
      <c r="F530" s="66"/>
      <c r="G530" s="66"/>
      <c r="H530" s="66"/>
      <c r="I530" s="66"/>
      <c r="J530" s="66"/>
      <c r="K530" s="66"/>
      <c r="L530" s="66"/>
      <c r="M530" s="66"/>
      <c r="N530" s="66"/>
    </row>
    <row r="531" spans="1:14" x14ac:dyDescent="0.2">
      <c r="A531" s="84"/>
      <c r="B531" s="84"/>
      <c r="C531" s="60"/>
      <c r="D531" s="66"/>
      <c r="E531" s="66"/>
      <c r="F531" s="66"/>
      <c r="G531" s="66"/>
      <c r="H531" s="66"/>
      <c r="I531" s="66"/>
      <c r="J531" s="66"/>
      <c r="K531" s="66"/>
      <c r="L531" s="66"/>
      <c r="M531" s="66"/>
      <c r="N531" s="66"/>
    </row>
    <row r="532" spans="1:14" x14ac:dyDescent="0.2">
      <c r="A532" s="84"/>
      <c r="B532" s="84"/>
      <c r="C532" s="60"/>
      <c r="D532" s="66"/>
      <c r="E532" s="66"/>
      <c r="F532" s="66"/>
      <c r="G532" s="66"/>
      <c r="H532" s="66"/>
      <c r="I532" s="66"/>
      <c r="J532" s="66"/>
      <c r="K532" s="66"/>
      <c r="L532" s="66"/>
      <c r="M532" s="66"/>
      <c r="N532" s="66"/>
    </row>
    <row r="533" spans="1:14" x14ac:dyDescent="0.2">
      <c r="A533" s="84"/>
      <c r="B533" s="84"/>
      <c r="C533" s="60"/>
      <c r="D533" s="66"/>
      <c r="E533" s="66"/>
      <c r="F533" s="66"/>
      <c r="G533" s="66"/>
      <c r="H533" s="66"/>
      <c r="I533" s="66"/>
      <c r="J533" s="66"/>
      <c r="K533" s="66"/>
      <c r="L533" s="66"/>
      <c r="M533" s="66"/>
      <c r="N533" s="66"/>
    </row>
    <row r="534" spans="1:14" x14ac:dyDescent="0.2">
      <c r="A534" s="84"/>
      <c r="B534" s="84"/>
      <c r="C534" s="60"/>
      <c r="D534" s="66"/>
      <c r="E534" s="66"/>
      <c r="F534" s="66"/>
      <c r="G534" s="66"/>
      <c r="H534" s="66"/>
      <c r="I534" s="66"/>
      <c r="J534" s="66"/>
      <c r="K534" s="66"/>
      <c r="L534" s="66"/>
      <c r="M534" s="66"/>
      <c r="N534" s="66"/>
    </row>
    <row r="535" spans="1:14" x14ac:dyDescent="0.2">
      <c r="A535" s="84"/>
      <c r="B535" s="84"/>
      <c r="C535" s="60"/>
      <c r="D535" s="66"/>
      <c r="E535" s="66"/>
      <c r="F535" s="66"/>
      <c r="G535" s="66"/>
      <c r="H535" s="66"/>
      <c r="I535" s="66"/>
      <c r="J535" s="66"/>
      <c r="K535" s="66"/>
      <c r="L535" s="66"/>
      <c r="M535" s="66"/>
      <c r="N535" s="66"/>
    </row>
    <row r="536" spans="1:14" x14ac:dyDescent="0.2">
      <c r="A536" s="84"/>
      <c r="B536" s="84"/>
      <c r="C536" s="60"/>
      <c r="D536" s="66"/>
      <c r="E536" s="66"/>
      <c r="F536" s="66"/>
      <c r="G536" s="66"/>
      <c r="H536" s="66"/>
      <c r="I536" s="66"/>
      <c r="J536" s="66"/>
      <c r="K536" s="66"/>
      <c r="L536" s="66"/>
      <c r="M536" s="66"/>
      <c r="N536" s="66"/>
    </row>
    <row r="537" spans="1:14" x14ac:dyDescent="0.2">
      <c r="A537" s="84"/>
      <c r="B537" s="84"/>
      <c r="C537" s="60"/>
      <c r="D537" s="66"/>
      <c r="E537" s="66"/>
      <c r="F537" s="66"/>
      <c r="G537" s="66"/>
      <c r="H537" s="66"/>
      <c r="I537" s="66"/>
      <c r="J537" s="66"/>
      <c r="K537" s="66"/>
      <c r="L537" s="66"/>
      <c r="M537" s="66"/>
      <c r="N537" s="66"/>
    </row>
    <row r="538" spans="1:14" x14ac:dyDescent="0.2">
      <c r="A538" s="84"/>
      <c r="B538" s="84"/>
      <c r="C538" s="60"/>
      <c r="D538" s="66"/>
      <c r="E538" s="66"/>
      <c r="F538" s="66"/>
      <c r="G538" s="66"/>
      <c r="H538" s="66"/>
      <c r="I538" s="66"/>
      <c r="J538" s="66"/>
      <c r="K538" s="66"/>
      <c r="L538" s="66"/>
      <c r="M538" s="66"/>
      <c r="N538" s="66"/>
    </row>
    <row r="539" spans="1:14" x14ac:dyDescent="0.2">
      <c r="A539" s="84"/>
      <c r="B539" s="84"/>
      <c r="C539" s="60"/>
      <c r="D539" s="66"/>
      <c r="E539" s="66"/>
      <c r="F539" s="66"/>
      <c r="G539" s="66"/>
      <c r="H539" s="66"/>
      <c r="I539" s="66"/>
      <c r="J539" s="66"/>
      <c r="K539" s="66"/>
      <c r="L539" s="66"/>
      <c r="M539" s="66"/>
      <c r="N539" s="66"/>
    </row>
    <row r="540" spans="1:14" x14ac:dyDescent="0.2">
      <c r="A540" s="84"/>
      <c r="B540" s="84"/>
      <c r="C540" s="60"/>
      <c r="D540" s="66"/>
      <c r="E540" s="66"/>
      <c r="F540" s="66"/>
      <c r="G540" s="66"/>
      <c r="H540" s="66"/>
      <c r="I540" s="66"/>
      <c r="J540" s="66"/>
      <c r="K540" s="66"/>
      <c r="L540" s="66"/>
      <c r="M540" s="66"/>
      <c r="N540" s="66"/>
    </row>
    <row r="541" spans="1:14" x14ac:dyDescent="0.2">
      <c r="A541" s="84"/>
      <c r="B541" s="84"/>
      <c r="C541" s="60"/>
      <c r="D541" s="66"/>
      <c r="E541" s="66"/>
      <c r="F541" s="66"/>
      <c r="G541" s="66"/>
      <c r="H541" s="66"/>
      <c r="I541" s="66"/>
      <c r="J541" s="66"/>
      <c r="K541" s="66"/>
      <c r="L541" s="66"/>
      <c r="M541" s="66"/>
      <c r="N541" s="66"/>
    </row>
    <row r="542" spans="1:14" x14ac:dyDescent="0.2">
      <c r="A542" s="84"/>
      <c r="B542" s="84"/>
      <c r="C542" s="60"/>
      <c r="D542" s="66"/>
      <c r="E542" s="66"/>
      <c r="F542" s="66"/>
      <c r="G542" s="66"/>
      <c r="H542" s="66"/>
      <c r="I542" s="66"/>
      <c r="J542" s="66"/>
      <c r="K542" s="66"/>
      <c r="L542" s="66"/>
      <c r="M542" s="66"/>
      <c r="N542" s="66"/>
    </row>
    <row r="543" spans="1:14" x14ac:dyDescent="0.2">
      <c r="A543" s="84"/>
      <c r="B543" s="84"/>
      <c r="C543" s="60"/>
      <c r="D543" s="66"/>
      <c r="E543" s="66"/>
      <c r="F543" s="66"/>
      <c r="G543" s="66"/>
      <c r="H543" s="66"/>
      <c r="I543" s="66"/>
      <c r="J543" s="66"/>
      <c r="K543" s="66"/>
      <c r="L543" s="66"/>
      <c r="M543" s="66"/>
      <c r="N543" s="66"/>
    </row>
    <row r="544" spans="1:14" x14ac:dyDescent="0.2">
      <c r="A544" s="84"/>
      <c r="B544" s="84"/>
      <c r="C544" s="60"/>
      <c r="D544" s="66"/>
      <c r="E544" s="66"/>
      <c r="F544" s="66"/>
      <c r="G544" s="66"/>
      <c r="H544" s="66"/>
      <c r="I544" s="66"/>
      <c r="J544" s="66"/>
      <c r="K544" s="66"/>
      <c r="L544" s="66"/>
      <c r="M544" s="66"/>
      <c r="N544" s="66"/>
    </row>
    <row r="545" spans="1:14" x14ac:dyDescent="0.2">
      <c r="A545" s="84"/>
      <c r="B545" s="84"/>
      <c r="C545" s="60"/>
      <c r="D545" s="66"/>
      <c r="E545" s="66"/>
      <c r="F545" s="66"/>
      <c r="G545" s="66"/>
      <c r="H545" s="66"/>
      <c r="I545" s="66"/>
      <c r="J545" s="66"/>
      <c r="K545" s="66"/>
      <c r="L545" s="66"/>
      <c r="M545" s="66"/>
      <c r="N545" s="66"/>
    </row>
    <row r="546" spans="1:14" x14ac:dyDescent="0.2">
      <c r="A546" s="84"/>
      <c r="B546" s="84"/>
      <c r="C546" s="60"/>
      <c r="D546" s="66"/>
      <c r="E546" s="66"/>
      <c r="F546" s="66"/>
      <c r="G546" s="66"/>
      <c r="H546" s="66"/>
      <c r="I546" s="66"/>
      <c r="J546" s="66"/>
      <c r="K546" s="66"/>
      <c r="L546" s="66"/>
      <c r="M546" s="66"/>
      <c r="N546" s="66"/>
    </row>
    <row r="547" spans="1:14" x14ac:dyDescent="0.2">
      <c r="A547" s="84"/>
      <c r="B547" s="84"/>
      <c r="C547" s="60"/>
      <c r="D547" s="66"/>
      <c r="E547" s="66"/>
      <c r="F547" s="66"/>
      <c r="G547" s="66"/>
      <c r="H547" s="66"/>
      <c r="I547" s="66"/>
      <c r="J547" s="66"/>
      <c r="K547" s="66"/>
      <c r="L547" s="66"/>
      <c r="M547" s="66"/>
      <c r="N547" s="66"/>
    </row>
    <row r="548" spans="1:14" x14ac:dyDescent="0.2">
      <c r="A548" s="84"/>
      <c r="B548" s="84"/>
      <c r="C548" s="60"/>
      <c r="D548" s="66"/>
      <c r="E548" s="66"/>
      <c r="F548" s="66"/>
      <c r="G548" s="66"/>
      <c r="H548" s="66"/>
      <c r="I548" s="66"/>
      <c r="J548" s="66"/>
      <c r="K548" s="66"/>
      <c r="L548" s="66"/>
      <c r="M548" s="66"/>
      <c r="N548" s="66"/>
    </row>
    <row r="549" spans="1:14" x14ac:dyDescent="0.2">
      <c r="A549" s="84"/>
      <c r="B549" s="84"/>
      <c r="C549" s="60"/>
      <c r="D549" s="66"/>
      <c r="E549" s="66"/>
      <c r="F549" s="66"/>
      <c r="G549" s="66"/>
      <c r="H549" s="66"/>
      <c r="I549" s="66"/>
      <c r="J549" s="66"/>
      <c r="K549" s="66"/>
      <c r="L549" s="66"/>
      <c r="M549" s="66"/>
      <c r="N549" s="66"/>
    </row>
    <row r="550" spans="1:14" x14ac:dyDescent="0.2">
      <c r="A550" s="84"/>
      <c r="B550" s="84"/>
      <c r="C550" s="60"/>
      <c r="D550" s="66"/>
      <c r="E550" s="66"/>
      <c r="F550" s="66"/>
      <c r="G550" s="66"/>
      <c r="H550" s="66"/>
      <c r="I550" s="66"/>
      <c r="J550" s="66"/>
      <c r="K550" s="66"/>
      <c r="L550" s="66"/>
      <c r="M550" s="66"/>
      <c r="N550" s="66"/>
    </row>
    <row r="551" spans="1:14" x14ac:dyDescent="0.2">
      <c r="A551" s="84"/>
      <c r="B551" s="84"/>
      <c r="C551" s="60"/>
      <c r="D551" s="66"/>
      <c r="E551" s="66"/>
      <c r="F551" s="66"/>
      <c r="G551" s="66"/>
      <c r="H551" s="66"/>
      <c r="I551" s="66"/>
      <c r="J551" s="66"/>
      <c r="K551" s="66"/>
      <c r="L551" s="66"/>
      <c r="M551" s="66"/>
      <c r="N551" s="66"/>
    </row>
    <row r="552" spans="1:14" x14ac:dyDescent="0.2">
      <c r="A552" s="84"/>
      <c r="B552" s="84"/>
      <c r="C552" s="60"/>
      <c r="D552" s="66"/>
      <c r="E552" s="66"/>
      <c r="F552" s="66"/>
      <c r="G552" s="66"/>
      <c r="H552" s="66"/>
      <c r="I552" s="66"/>
      <c r="J552" s="66"/>
      <c r="K552" s="66"/>
      <c r="L552" s="66"/>
      <c r="M552" s="66"/>
      <c r="N552" s="66"/>
    </row>
    <row r="553" spans="1:14" x14ac:dyDescent="0.2">
      <c r="A553" s="84"/>
      <c r="B553" s="84"/>
      <c r="C553" s="60"/>
      <c r="D553" s="66"/>
      <c r="E553" s="66"/>
      <c r="F553" s="66"/>
      <c r="G553" s="66"/>
      <c r="H553" s="66"/>
      <c r="I553" s="66"/>
      <c r="J553" s="66"/>
      <c r="K553" s="66"/>
      <c r="L553" s="66"/>
      <c r="M553" s="66"/>
      <c r="N553" s="66"/>
    </row>
    <row r="554" spans="1:14" x14ac:dyDescent="0.2">
      <c r="A554" s="84"/>
      <c r="B554" s="84"/>
      <c r="C554" s="60"/>
      <c r="D554" s="66"/>
      <c r="E554" s="66"/>
      <c r="F554" s="66"/>
      <c r="G554" s="66"/>
      <c r="H554" s="66"/>
      <c r="I554" s="66"/>
      <c r="J554" s="66"/>
      <c r="K554" s="66"/>
      <c r="L554" s="66"/>
      <c r="M554" s="66"/>
      <c r="N554" s="66"/>
    </row>
    <row r="555" spans="1:14" x14ac:dyDescent="0.2">
      <c r="A555" s="84"/>
      <c r="B555" s="84"/>
      <c r="C555" s="60"/>
      <c r="D555" s="66"/>
      <c r="E555" s="66"/>
      <c r="F555" s="66"/>
      <c r="G555" s="66"/>
      <c r="H555" s="66"/>
      <c r="I555" s="66"/>
      <c r="J555" s="66"/>
      <c r="K555" s="66"/>
      <c r="L555" s="66"/>
      <c r="M555" s="66"/>
      <c r="N555" s="66"/>
    </row>
    <row r="556" spans="1:14" x14ac:dyDescent="0.2">
      <c r="A556" s="84"/>
      <c r="B556" s="84"/>
      <c r="C556" s="60"/>
      <c r="D556" s="66"/>
      <c r="E556" s="66"/>
      <c r="F556" s="66"/>
      <c r="G556" s="66"/>
      <c r="H556" s="66"/>
      <c r="I556" s="66"/>
      <c r="J556" s="66"/>
      <c r="K556" s="66"/>
      <c r="L556" s="66"/>
      <c r="M556" s="66"/>
      <c r="N556" s="66"/>
    </row>
    <row r="557" spans="1:14" x14ac:dyDescent="0.2">
      <c r="A557" s="84"/>
      <c r="B557" s="84"/>
      <c r="C557" s="60"/>
      <c r="D557" s="66"/>
      <c r="E557" s="66"/>
      <c r="F557" s="66"/>
      <c r="G557" s="66"/>
      <c r="H557" s="66"/>
      <c r="I557" s="66"/>
      <c r="J557" s="66"/>
      <c r="K557" s="66"/>
      <c r="L557" s="66"/>
      <c r="M557" s="66"/>
      <c r="N557" s="66"/>
    </row>
    <row r="558" spans="1:14" x14ac:dyDescent="0.2">
      <c r="A558" s="84"/>
      <c r="B558" s="84"/>
      <c r="C558" s="60"/>
      <c r="D558" s="66"/>
      <c r="E558" s="66"/>
      <c r="F558" s="66"/>
      <c r="G558" s="66"/>
      <c r="H558" s="66"/>
      <c r="I558" s="66"/>
      <c r="J558" s="66"/>
      <c r="K558" s="66"/>
      <c r="L558" s="66"/>
      <c r="M558" s="66"/>
      <c r="N558" s="66"/>
    </row>
    <row r="559" spans="1:14" x14ac:dyDescent="0.2">
      <c r="A559" s="84"/>
      <c r="B559" s="84"/>
      <c r="C559" s="60"/>
      <c r="D559" s="66"/>
      <c r="E559" s="66"/>
      <c r="F559" s="66"/>
      <c r="G559" s="66"/>
      <c r="H559" s="66"/>
      <c r="I559" s="66"/>
      <c r="J559" s="66"/>
      <c r="K559" s="66"/>
      <c r="L559" s="66"/>
      <c r="M559" s="66"/>
      <c r="N559" s="66"/>
    </row>
    <row r="560" spans="1:14" x14ac:dyDescent="0.2">
      <c r="A560" s="84"/>
      <c r="B560" s="84"/>
      <c r="C560" s="60"/>
      <c r="D560" s="66"/>
      <c r="E560" s="66"/>
      <c r="F560" s="66"/>
      <c r="G560" s="66"/>
      <c r="H560" s="66"/>
      <c r="I560" s="66"/>
      <c r="J560" s="66"/>
      <c r="K560" s="66"/>
      <c r="L560" s="66"/>
      <c r="M560" s="66"/>
      <c r="N560" s="66"/>
    </row>
    <row r="561" spans="1:14" x14ac:dyDescent="0.2">
      <c r="A561" s="84"/>
      <c r="B561" s="84"/>
      <c r="C561" s="60"/>
      <c r="D561" s="66"/>
      <c r="E561" s="66"/>
      <c r="F561" s="66"/>
      <c r="G561" s="66"/>
      <c r="H561" s="66"/>
      <c r="I561" s="66"/>
      <c r="J561" s="66"/>
      <c r="K561" s="66"/>
      <c r="L561" s="66"/>
      <c r="M561" s="66"/>
      <c r="N561" s="66"/>
    </row>
    <row r="562" spans="1:14" x14ac:dyDescent="0.2">
      <c r="A562" s="84"/>
      <c r="B562" s="84"/>
      <c r="C562" s="60"/>
      <c r="D562" s="66"/>
      <c r="E562" s="66"/>
      <c r="F562" s="66"/>
      <c r="G562" s="66"/>
      <c r="H562" s="66"/>
      <c r="I562" s="66"/>
      <c r="J562" s="66"/>
      <c r="K562" s="66"/>
      <c r="L562" s="66"/>
      <c r="M562" s="66"/>
      <c r="N562" s="66"/>
    </row>
    <row r="563" spans="1:14" x14ac:dyDescent="0.2">
      <c r="A563" s="84"/>
      <c r="B563" s="84"/>
      <c r="C563" s="60"/>
      <c r="D563" s="66"/>
      <c r="E563" s="66"/>
      <c r="F563" s="66"/>
      <c r="G563" s="66"/>
      <c r="H563" s="66"/>
      <c r="I563" s="66"/>
      <c r="J563" s="66"/>
      <c r="K563" s="66"/>
      <c r="L563" s="66"/>
      <c r="M563" s="66"/>
      <c r="N563" s="66"/>
    </row>
    <row r="564" spans="1:14" x14ac:dyDescent="0.2">
      <c r="A564" s="84"/>
      <c r="B564" s="84"/>
      <c r="C564" s="60"/>
      <c r="D564" s="66"/>
      <c r="E564" s="66"/>
      <c r="F564" s="66"/>
      <c r="G564" s="66"/>
      <c r="H564" s="66"/>
      <c r="I564" s="66"/>
      <c r="J564" s="66"/>
      <c r="K564" s="66"/>
      <c r="L564" s="66"/>
      <c r="M564" s="66"/>
      <c r="N564" s="66"/>
    </row>
    <row r="565" spans="1:14" x14ac:dyDescent="0.2">
      <c r="A565" s="84"/>
      <c r="B565" s="84"/>
      <c r="C565" s="60"/>
      <c r="D565" s="66"/>
      <c r="E565" s="66"/>
      <c r="F565" s="66"/>
      <c r="G565" s="66"/>
      <c r="H565" s="66"/>
      <c r="I565" s="66"/>
      <c r="J565" s="66"/>
      <c r="K565" s="66"/>
      <c r="L565" s="66"/>
      <c r="M565" s="66"/>
      <c r="N565" s="66"/>
    </row>
    <row r="566" spans="1:14" x14ac:dyDescent="0.2">
      <c r="A566" s="84"/>
      <c r="B566" s="84"/>
      <c r="C566" s="60"/>
      <c r="D566" s="66"/>
      <c r="E566" s="66"/>
      <c r="F566" s="66"/>
      <c r="G566" s="66"/>
      <c r="H566" s="66"/>
      <c r="I566" s="66"/>
      <c r="J566" s="66"/>
      <c r="K566" s="66"/>
      <c r="L566" s="66"/>
      <c r="M566" s="66"/>
      <c r="N566" s="66"/>
    </row>
    <row r="567" spans="1:14" x14ac:dyDescent="0.2">
      <c r="A567" s="84"/>
      <c r="B567" s="84"/>
      <c r="C567" s="60"/>
      <c r="D567" s="66"/>
      <c r="E567" s="66"/>
      <c r="F567" s="66"/>
      <c r="G567" s="66"/>
      <c r="H567" s="66"/>
      <c r="I567" s="66"/>
      <c r="J567" s="66"/>
      <c r="K567" s="66"/>
      <c r="L567" s="66"/>
      <c r="M567" s="66"/>
      <c r="N567" s="66"/>
    </row>
    <row r="568" spans="1:14" x14ac:dyDescent="0.2">
      <c r="A568" s="84"/>
      <c r="B568" s="84"/>
      <c r="C568" s="60"/>
      <c r="D568" s="66"/>
      <c r="E568" s="66"/>
      <c r="F568" s="66"/>
      <c r="G568" s="66"/>
      <c r="H568" s="66"/>
      <c r="I568" s="66"/>
      <c r="J568" s="66"/>
      <c r="K568" s="66"/>
      <c r="L568" s="66"/>
      <c r="M568" s="66"/>
      <c r="N568" s="66"/>
    </row>
    <row r="569" spans="1:14" x14ac:dyDescent="0.2">
      <c r="A569" s="84"/>
      <c r="B569" s="84"/>
      <c r="C569" s="60"/>
      <c r="D569" s="66"/>
      <c r="E569" s="66"/>
      <c r="F569" s="66"/>
      <c r="G569" s="66"/>
      <c r="H569" s="66"/>
      <c r="I569" s="66"/>
      <c r="J569" s="66"/>
      <c r="K569" s="66"/>
      <c r="L569" s="66"/>
      <c r="M569" s="66"/>
      <c r="N569" s="66"/>
    </row>
    <row r="570" spans="1:14" x14ac:dyDescent="0.2">
      <c r="A570" s="84"/>
      <c r="B570" s="84"/>
      <c r="C570" s="60"/>
      <c r="D570" s="66"/>
      <c r="E570" s="66"/>
      <c r="F570" s="66"/>
      <c r="G570" s="66"/>
      <c r="H570" s="66"/>
      <c r="I570" s="66"/>
      <c r="J570" s="66"/>
      <c r="K570" s="66"/>
      <c r="L570" s="66"/>
      <c r="M570" s="66"/>
      <c r="N570" s="66"/>
    </row>
    <row r="571" spans="1:14" x14ac:dyDescent="0.2">
      <c r="A571" s="84"/>
      <c r="B571" s="84"/>
      <c r="C571" s="60"/>
      <c r="D571" s="66"/>
      <c r="E571" s="66"/>
      <c r="F571" s="66"/>
      <c r="G571" s="66"/>
      <c r="H571" s="66"/>
      <c r="I571" s="66"/>
      <c r="J571" s="66"/>
      <c r="K571" s="66"/>
      <c r="L571" s="66"/>
      <c r="M571" s="66"/>
      <c r="N571" s="66"/>
    </row>
    <row r="572" spans="1:14" x14ac:dyDescent="0.2">
      <c r="A572" s="84"/>
      <c r="B572" s="84"/>
      <c r="C572" s="60"/>
      <c r="D572" s="66"/>
      <c r="E572" s="66"/>
      <c r="F572" s="66"/>
      <c r="G572" s="66"/>
      <c r="H572" s="66"/>
      <c r="I572" s="66"/>
      <c r="J572" s="66"/>
      <c r="K572" s="66"/>
      <c r="L572" s="66"/>
      <c r="M572" s="66"/>
      <c r="N572" s="66"/>
    </row>
    <row r="573" spans="1:14" x14ac:dyDescent="0.2">
      <c r="A573" s="84"/>
      <c r="B573" s="84"/>
      <c r="C573" s="60"/>
      <c r="D573" s="66"/>
      <c r="E573" s="66"/>
      <c r="F573" s="66"/>
      <c r="G573" s="66"/>
      <c r="H573" s="66"/>
      <c r="I573" s="66"/>
      <c r="J573" s="66"/>
      <c r="K573" s="66"/>
      <c r="L573" s="66"/>
      <c r="M573" s="66"/>
      <c r="N573" s="66"/>
    </row>
    <row r="574" spans="1:14" x14ac:dyDescent="0.2">
      <c r="A574" s="84"/>
      <c r="B574" s="84"/>
      <c r="C574" s="60"/>
      <c r="D574" s="66"/>
      <c r="E574" s="66"/>
      <c r="F574" s="66"/>
      <c r="G574" s="66"/>
      <c r="H574" s="66"/>
      <c r="I574" s="66"/>
      <c r="J574" s="66"/>
      <c r="K574" s="66"/>
      <c r="L574" s="66"/>
      <c r="M574" s="66"/>
      <c r="N574" s="66"/>
    </row>
    <row r="575" spans="1:14" x14ac:dyDescent="0.2">
      <c r="A575" s="84"/>
      <c r="B575" s="84"/>
      <c r="C575" s="60"/>
      <c r="D575" s="66"/>
      <c r="E575" s="66"/>
      <c r="F575" s="66"/>
      <c r="G575" s="66"/>
      <c r="H575" s="66"/>
      <c r="I575" s="66"/>
      <c r="J575" s="66"/>
      <c r="K575" s="66"/>
      <c r="L575" s="66"/>
      <c r="M575" s="66"/>
      <c r="N575" s="66"/>
    </row>
    <row r="576" spans="1:14" x14ac:dyDescent="0.2">
      <c r="A576" s="84"/>
      <c r="B576" s="84"/>
      <c r="C576" s="60"/>
      <c r="D576" s="66"/>
      <c r="E576" s="66"/>
      <c r="F576" s="66"/>
      <c r="G576" s="66"/>
      <c r="H576" s="66"/>
      <c r="I576" s="66"/>
      <c r="J576" s="66"/>
      <c r="K576" s="66"/>
      <c r="L576" s="66"/>
      <c r="M576" s="66"/>
      <c r="N576" s="66"/>
    </row>
    <row r="577" spans="1:14" x14ac:dyDescent="0.2">
      <c r="A577" s="84"/>
      <c r="B577" s="84"/>
      <c r="C577" s="60"/>
      <c r="D577" s="66"/>
      <c r="E577" s="66"/>
      <c r="F577" s="66"/>
      <c r="G577" s="66"/>
      <c r="H577" s="66"/>
      <c r="I577" s="66"/>
      <c r="J577" s="66"/>
      <c r="K577" s="66"/>
      <c r="L577" s="66"/>
      <c r="M577" s="66"/>
      <c r="N577" s="66"/>
    </row>
    <row r="578" spans="1:14" x14ac:dyDescent="0.2">
      <c r="A578" s="84"/>
      <c r="B578" s="84"/>
      <c r="C578" s="60"/>
      <c r="D578" s="66"/>
      <c r="E578" s="66"/>
      <c r="F578" s="66"/>
      <c r="G578" s="66"/>
      <c r="H578" s="66"/>
      <c r="I578" s="66"/>
      <c r="J578" s="66"/>
      <c r="K578" s="66"/>
      <c r="L578" s="66"/>
      <c r="M578" s="66"/>
      <c r="N578" s="66"/>
    </row>
    <row r="579" spans="1:14" x14ac:dyDescent="0.2">
      <c r="A579" s="84"/>
      <c r="B579" s="84"/>
      <c r="C579" s="60"/>
      <c r="D579" s="66"/>
      <c r="E579" s="66"/>
      <c r="F579" s="66"/>
      <c r="G579" s="66"/>
      <c r="H579" s="66"/>
      <c r="I579" s="66"/>
      <c r="J579" s="66"/>
      <c r="K579" s="66"/>
      <c r="L579" s="66"/>
      <c r="M579" s="66"/>
      <c r="N579" s="66"/>
    </row>
    <row r="580" spans="1:14" x14ac:dyDescent="0.2">
      <c r="A580" s="84"/>
      <c r="B580" s="84"/>
      <c r="C580" s="60"/>
      <c r="D580" s="66"/>
      <c r="E580" s="66"/>
      <c r="F580" s="66"/>
      <c r="G580" s="66"/>
      <c r="H580" s="66"/>
      <c r="I580" s="66"/>
      <c r="J580" s="66"/>
      <c r="K580" s="66"/>
      <c r="L580" s="66"/>
      <c r="M580" s="66"/>
      <c r="N580" s="66"/>
    </row>
    <row r="581" spans="1:14" x14ac:dyDescent="0.2">
      <c r="A581" s="84"/>
      <c r="B581" s="84"/>
      <c r="C581" s="60"/>
      <c r="D581" s="66"/>
      <c r="E581" s="66"/>
      <c r="F581" s="66"/>
      <c r="G581" s="66"/>
      <c r="H581" s="66"/>
      <c r="I581" s="66"/>
      <c r="J581" s="66"/>
      <c r="K581" s="66"/>
      <c r="L581" s="66"/>
      <c r="M581" s="66"/>
      <c r="N581" s="66"/>
    </row>
    <row r="582" spans="1:14" x14ac:dyDescent="0.2">
      <c r="A582" s="84"/>
      <c r="B582" s="84"/>
      <c r="C582" s="60"/>
      <c r="D582" s="66"/>
      <c r="E582" s="66"/>
      <c r="F582" s="66"/>
      <c r="G582" s="66"/>
      <c r="H582" s="66"/>
      <c r="I582" s="66"/>
      <c r="J582" s="66"/>
      <c r="K582" s="66"/>
      <c r="L582" s="66"/>
      <c r="M582" s="66"/>
      <c r="N582" s="66"/>
    </row>
    <row r="583" spans="1:14" x14ac:dyDescent="0.2">
      <c r="A583" s="84"/>
      <c r="B583" s="84"/>
      <c r="C583" s="60"/>
      <c r="D583" s="66"/>
      <c r="E583" s="66"/>
      <c r="F583" s="66"/>
      <c r="G583" s="66"/>
      <c r="H583" s="66"/>
      <c r="I583" s="66"/>
      <c r="J583" s="66"/>
      <c r="K583" s="66"/>
      <c r="L583" s="66"/>
      <c r="M583" s="66"/>
      <c r="N583" s="66"/>
    </row>
    <row r="584" spans="1:14" x14ac:dyDescent="0.2">
      <c r="A584" s="84"/>
      <c r="B584" s="84"/>
      <c r="C584" s="60"/>
      <c r="D584" s="66"/>
      <c r="E584" s="66"/>
      <c r="F584" s="66"/>
      <c r="G584" s="66"/>
      <c r="H584" s="66"/>
      <c r="I584" s="66"/>
      <c r="J584" s="66"/>
      <c r="K584" s="66"/>
      <c r="L584" s="66"/>
      <c r="M584" s="66"/>
      <c r="N584" s="66"/>
    </row>
    <row r="585" spans="1:14" x14ac:dyDescent="0.2">
      <c r="A585" s="84"/>
      <c r="B585" s="84"/>
      <c r="C585" s="60"/>
      <c r="D585" s="66"/>
      <c r="E585" s="66"/>
      <c r="F585" s="66"/>
      <c r="G585" s="66"/>
      <c r="H585" s="66"/>
      <c r="I585" s="66"/>
      <c r="J585" s="66"/>
      <c r="K585" s="66"/>
      <c r="L585" s="66"/>
      <c r="M585" s="66"/>
      <c r="N585" s="66"/>
    </row>
    <row r="586" spans="1:14" x14ac:dyDescent="0.2">
      <c r="A586" s="84"/>
      <c r="B586" s="84"/>
      <c r="C586" s="60"/>
      <c r="D586" s="66"/>
      <c r="E586" s="66"/>
      <c r="F586" s="66"/>
      <c r="G586" s="66"/>
      <c r="H586" s="66"/>
      <c r="I586" s="66"/>
      <c r="J586" s="66"/>
      <c r="K586" s="66"/>
      <c r="L586" s="66"/>
      <c r="M586" s="66"/>
      <c r="N586" s="66"/>
    </row>
    <row r="587" spans="1:14" x14ac:dyDescent="0.2">
      <c r="A587" s="84"/>
      <c r="B587" s="84"/>
      <c r="C587" s="60"/>
      <c r="D587" s="66"/>
      <c r="E587" s="66"/>
      <c r="F587" s="66"/>
      <c r="G587" s="66"/>
      <c r="H587" s="66"/>
      <c r="I587" s="66"/>
      <c r="J587" s="66"/>
      <c r="K587" s="66"/>
      <c r="L587" s="66"/>
      <c r="M587" s="66"/>
      <c r="N587" s="66"/>
    </row>
    <row r="588" spans="1:14" x14ac:dyDescent="0.2">
      <c r="A588" s="84"/>
      <c r="B588" s="84"/>
      <c r="C588" s="60"/>
      <c r="D588" s="66"/>
      <c r="E588" s="66"/>
      <c r="F588" s="66"/>
      <c r="G588" s="66"/>
      <c r="H588" s="66"/>
      <c r="I588" s="66"/>
      <c r="J588" s="66"/>
      <c r="K588" s="66"/>
      <c r="L588" s="66"/>
      <c r="M588" s="66"/>
      <c r="N588" s="66"/>
    </row>
    <row r="589" spans="1:14" x14ac:dyDescent="0.2">
      <c r="A589" s="84"/>
      <c r="B589" s="84"/>
      <c r="C589" s="60"/>
      <c r="D589" s="66"/>
      <c r="E589" s="66"/>
      <c r="F589" s="66"/>
      <c r="G589" s="66"/>
      <c r="H589" s="66"/>
      <c r="I589" s="66"/>
      <c r="J589" s="66"/>
      <c r="K589" s="66"/>
      <c r="L589" s="66"/>
      <c r="M589" s="66"/>
      <c r="N589" s="66"/>
    </row>
    <row r="590" spans="1:14" x14ac:dyDescent="0.2">
      <c r="A590" s="84"/>
      <c r="B590" s="84"/>
      <c r="C590" s="60"/>
      <c r="D590" s="66"/>
      <c r="E590" s="66"/>
      <c r="F590" s="66"/>
      <c r="G590" s="66"/>
      <c r="H590" s="66"/>
      <c r="I590" s="66"/>
      <c r="J590" s="66"/>
      <c r="K590" s="66"/>
      <c r="L590" s="66"/>
      <c r="M590" s="66"/>
      <c r="N590" s="66"/>
    </row>
    <row r="591" spans="1:14" x14ac:dyDescent="0.2">
      <c r="A591" s="84"/>
      <c r="B591" s="84"/>
      <c r="C591" s="60"/>
      <c r="D591" s="66"/>
      <c r="E591" s="66"/>
      <c r="F591" s="66"/>
      <c r="G591" s="66"/>
      <c r="H591" s="66"/>
      <c r="I591" s="66"/>
      <c r="J591" s="66"/>
      <c r="K591" s="66"/>
      <c r="L591" s="66"/>
      <c r="M591" s="66"/>
      <c r="N591" s="66"/>
    </row>
    <row r="592" spans="1:14" x14ac:dyDescent="0.2">
      <c r="A592" s="84"/>
      <c r="B592" s="84"/>
      <c r="C592" s="60"/>
      <c r="D592" s="66"/>
      <c r="E592" s="66"/>
      <c r="F592" s="66"/>
      <c r="G592" s="66"/>
      <c r="H592" s="66"/>
      <c r="I592" s="66"/>
      <c r="J592" s="66"/>
      <c r="K592" s="66"/>
      <c r="L592" s="66"/>
      <c r="M592" s="66"/>
      <c r="N592" s="66"/>
    </row>
    <row r="593" spans="1:14" x14ac:dyDescent="0.2">
      <c r="A593" s="84"/>
      <c r="B593" s="84"/>
      <c r="C593" s="60"/>
      <c r="D593" s="66"/>
      <c r="E593" s="66"/>
      <c r="F593" s="66"/>
      <c r="G593" s="66"/>
      <c r="H593" s="66"/>
      <c r="I593" s="66"/>
      <c r="J593" s="66"/>
      <c r="K593" s="66"/>
      <c r="L593" s="66"/>
      <c r="M593" s="66"/>
      <c r="N593" s="66"/>
    </row>
    <row r="594" spans="1:14" x14ac:dyDescent="0.2">
      <c r="A594" s="84"/>
      <c r="B594" s="84"/>
      <c r="C594" s="60"/>
      <c r="D594" s="66"/>
      <c r="E594" s="66"/>
      <c r="F594" s="66"/>
      <c r="G594" s="66"/>
      <c r="H594" s="66"/>
      <c r="I594" s="66"/>
      <c r="J594" s="66"/>
      <c r="K594" s="66"/>
      <c r="L594" s="66"/>
      <c r="M594" s="66"/>
      <c r="N594" s="66"/>
    </row>
    <row r="595" spans="1:14" x14ac:dyDescent="0.2">
      <c r="A595" s="84"/>
      <c r="B595" s="84"/>
      <c r="C595" s="60"/>
      <c r="D595" s="66"/>
      <c r="E595" s="66"/>
      <c r="F595" s="66"/>
      <c r="G595" s="66"/>
      <c r="H595" s="66"/>
      <c r="I595" s="66"/>
      <c r="J595" s="66"/>
      <c r="K595" s="66"/>
      <c r="L595" s="66"/>
      <c r="M595" s="66"/>
      <c r="N595" s="66"/>
    </row>
    <row r="596" spans="1:14" x14ac:dyDescent="0.2">
      <c r="A596" s="84"/>
      <c r="B596" s="84"/>
      <c r="C596" s="60"/>
      <c r="D596" s="66"/>
      <c r="E596" s="66"/>
      <c r="F596" s="66"/>
      <c r="G596" s="66"/>
      <c r="H596" s="66"/>
      <c r="I596" s="66"/>
      <c r="J596" s="66"/>
      <c r="K596" s="66"/>
      <c r="L596" s="66"/>
      <c r="M596" s="66"/>
      <c r="N596" s="66"/>
    </row>
    <row r="597" spans="1:14" x14ac:dyDescent="0.2">
      <c r="A597" s="84"/>
      <c r="B597" s="84"/>
      <c r="C597" s="60"/>
      <c r="D597" s="66"/>
      <c r="E597" s="66"/>
      <c r="F597" s="66"/>
      <c r="G597" s="66"/>
      <c r="H597" s="66"/>
      <c r="I597" s="66"/>
      <c r="J597" s="66"/>
      <c r="K597" s="66"/>
      <c r="L597" s="66"/>
      <c r="M597" s="66"/>
      <c r="N597" s="66"/>
    </row>
    <row r="598" spans="1:14" x14ac:dyDescent="0.2">
      <c r="A598" s="84"/>
      <c r="B598" s="84"/>
      <c r="C598" s="60"/>
      <c r="D598" s="66"/>
      <c r="E598" s="66"/>
      <c r="F598" s="66"/>
      <c r="G598" s="66"/>
      <c r="H598" s="66"/>
      <c r="I598" s="66"/>
      <c r="J598" s="66"/>
      <c r="K598" s="66"/>
      <c r="L598" s="66"/>
      <c r="M598" s="66"/>
      <c r="N598" s="66"/>
    </row>
    <row r="599" spans="1:14" x14ac:dyDescent="0.2">
      <c r="A599" s="84"/>
      <c r="B599" s="84"/>
      <c r="C599" s="60"/>
      <c r="D599" s="66"/>
      <c r="E599" s="66"/>
      <c r="F599" s="66"/>
      <c r="G599" s="66"/>
      <c r="H599" s="66"/>
      <c r="I599" s="66"/>
      <c r="J599" s="66"/>
      <c r="K599" s="66"/>
      <c r="L599" s="66"/>
      <c r="M599" s="66"/>
      <c r="N599" s="66"/>
    </row>
    <row r="600" spans="1:14" x14ac:dyDescent="0.2">
      <c r="A600" s="84"/>
      <c r="B600" s="84"/>
      <c r="C600" s="60"/>
      <c r="D600" s="66"/>
      <c r="E600" s="66"/>
      <c r="F600" s="66"/>
      <c r="G600" s="66"/>
      <c r="H600" s="66"/>
      <c r="I600" s="66"/>
      <c r="J600" s="66"/>
      <c r="K600" s="66"/>
      <c r="L600" s="66"/>
      <c r="M600" s="66"/>
      <c r="N600" s="66"/>
    </row>
    <row r="601" spans="1:14" x14ac:dyDescent="0.2">
      <c r="A601" s="84"/>
      <c r="B601" s="84"/>
      <c r="C601" s="60"/>
      <c r="D601" s="66"/>
      <c r="E601" s="66"/>
      <c r="F601" s="66"/>
      <c r="G601" s="66"/>
      <c r="H601" s="66"/>
      <c r="I601" s="66"/>
      <c r="J601" s="66"/>
      <c r="K601" s="66"/>
      <c r="L601" s="66"/>
      <c r="M601" s="66"/>
      <c r="N601" s="66"/>
    </row>
    <row r="602" spans="1:14" x14ac:dyDescent="0.2">
      <c r="A602" s="84"/>
      <c r="B602" s="84"/>
      <c r="C602" s="60"/>
      <c r="D602" s="66"/>
      <c r="E602" s="66"/>
      <c r="F602" s="66"/>
      <c r="G602" s="66"/>
      <c r="H602" s="66"/>
      <c r="I602" s="66"/>
      <c r="J602" s="66"/>
      <c r="K602" s="66"/>
      <c r="L602" s="66"/>
      <c r="M602" s="66"/>
      <c r="N602" s="66"/>
    </row>
    <row r="603" spans="1:14" x14ac:dyDescent="0.2">
      <c r="A603" s="84"/>
      <c r="B603" s="84"/>
      <c r="C603" s="60"/>
      <c r="D603" s="66"/>
      <c r="E603" s="66"/>
      <c r="F603" s="66"/>
      <c r="G603" s="66"/>
      <c r="H603" s="66"/>
      <c r="I603" s="66"/>
      <c r="J603" s="66"/>
      <c r="K603" s="66"/>
      <c r="L603" s="66"/>
      <c r="M603" s="66"/>
      <c r="N603" s="66"/>
    </row>
    <row r="604" spans="1:14" x14ac:dyDescent="0.2">
      <c r="A604" s="84"/>
      <c r="B604" s="84"/>
      <c r="C604" s="60"/>
      <c r="D604" s="66"/>
      <c r="E604" s="66"/>
      <c r="F604" s="66"/>
      <c r="G604" s="66"/>
      <c r="H604" s="66"/>
      <c r="I604" s="66"/>
      <c r="J604" s="66"/>
      <c r="K604" s="66"/>
      <c r="L604" s="66"/>
      <c r="M604" s="66"/>
      <c r="N604" s="66"/>
    </row>
    <row r="605" spans="1:14" x14ac:dyDescent="0.2">
      <c r="A605" s="84"/>
      <c r="B605" s="84"/>
      <c r="C605" s="60"/>
      <c r="D605" s="66"/>
      <c r="E605" s="66"/>
      <c r="F605" s="66"/>
      <c r="G605" s="66"/>
      <c r="H605" s="66"/>
      <c r="I605" s="66"/>
      <c r="J605" s="66"/>
      <c r="K605" s="66"/>
      <c r="L605" s="66"/>
      <c r="M605" s="66"/>
      <c r="N605" s="66"/>
    </row>
    <row r="606" spans="1:14" x14ac:dyDescent="0.2">
      <c r="A606" s="84"/>
      <c r="B606" s="84"/>
      <c r="C606" s="60"/>
      <c r="D606" s="66"/>
      <c r="E606" s="66"/>
      <c r="F606" s="66"/>
      <c r="G606" s="66"/>
      <c r="H606" s="66"/>
      <c r="I606" s="66"/>
      <c r="J606" s="66"/>
      <c r="K606" s="66"/>
      <c r="L606" s="66"/>
      <c r="M606" s="66"/>
      <c r="N606" s="66"/>
    </row>
    <row r="607" spans="1:14" x14ac:dyDescent="0.2">
      <c r="A607" s="84"/>
      <c r="B607" s="84"/>
      <c r="C607" s="60"/>
      <c r="D607" s="66"/>
      <c r="E607" s="66"/>
      <c r="F607" s="66"/>
      <c r="G607" s="66"/>
      <c r="H607" s="66"/>
      <c r="I607" s="66"/>
      <c r="J607" s="66"/>
      <c r="K607" s="66"/>
      <c r="L607" s="66"/>
      <c r="M607" s="66"/>
      <c r="N607" s="66"/>
    </row>
    <row r="608" spans="1:14" x14ac:dyDescent="0.2">
      <c r="A608" s="84"/>
      <c r="B608" s="84"/>
      <c r="C608" s="60"/>
      <c r="D608" s="66"/>
      <c r="E608" s="66"/>
      <c r="F608" s="66"/>
      <c r="G608" s="66"/>
      <c r="H608" s="66"/>
      <c r="I608" s="66"/>
      <c r="J608" s="66"/>
      <c r="K608" s="66"/>
      <c r="L608" s="66"/>
      <c r="M608" s="66"/>
      <c r="N608" s="66"/>
    </row>
    <row r="609" spans="1:14" x14ac:dyDescent="0.2">
      <c r="A609" s="84"/>
      <c r="B609" s="84"/>
      <c r="C609" s="60"/>
      <c r="D609" s="66"/>
      <c r="E609" s="66"/>
      <c r="F609" s="66"/>
      <c r="G609" s="66"/>
      <c r="H609" s="66"/>
      <c r="I609" s="66"/>
      <c r="J609" s="66"/>
      <c r="K609" s="66"/>
      <c r="L609" s="66"/>
      <c r="M609" s="66"/>
      <c r="N609" s="66"/>
    </row>
    <row r="610" spans="1:14" x14ac:dyDescent="0.2">
      <c r="A610" s="84"/>
      <c r="B610" s="84"/>
      <c r="C610" s="60"/>
      <c r="D610" s="66"/>
      <c r="E610" s="66"/>
      <c r="F610" s="66"/>
      <c r="G610" s="66"/>
      <c r="H610" s="66"/>
      <c r="I610" s="66"/>
      <c r="J610" s="66"/>
      <c r="K610" s="66"/>
      <c r="L610" s="66"/>
      <c r="M610" s="66"/>
      <c r="N610" s="66"/>
    </row>
    <row r="611" spans="1:14" x14ac:dyDescent="0.2">
      <c r="A611" s="84"/>
      <c r="B611" s="84"/>
      <c r="C611" s="60"/>
      <c r="D611" s="66"/>
      <c r="E611" s="66"/>
      <c r="F611" s="66"/>
      <c r="G611" s="66"/>
      <c r="H611" s="66"/>
      <c r="I611" s="66"/>
      <c r="J611" s="66"/>
      <c r="K611" s="66"/>
      <c r="L611" s="66"/>
      <c r="M611" s="66"/>
      <c r="N611" s="66"/>
    </row>
    <row r="612" spans="1:14" x14ac:dyDescent="0.2">
      <c r="A612" s="84"/>
      <c r="B612" s="84"/>
      <c r="C612" s="60"/>
      <c r="D612" s="66"/>
      <c r="E612" s="66"/>
      <c r="F612" s="66"/>
      <c r="G612" s="66"/>
      <c r="H612" s="66"/>
      <c r="I612" s="66"/>
      <c r="J612" s="66"/>
      <c r="K612" s="66"/>
      <c r="L612" s="66"/>
      <c r="M612" s="66"/>
      <c r="N612" s="66"/>
    </row>
    <row r="613" spans="1:14" x14ac:dyDescent="0.2">
      <c r="A613" s="84"/>
      <c r="B613" s="84"/>
      <c r="C613" s="60"/>
      <c r="D613" s="66"/>
      <c r="E613" s="66"/>
      <c r="F613" s="66"/>
      <c r="G613" s="66"/>
      <c r="H613" s="66"/>
      <c r="I613" s="66"/>
      <c r="J613" s="66"/>
      <c r="K613" s="66"/>
      <c r="L613" s="66"/>
      <c r="M613" s="66"/>
      <c r="N613" s="66"/>
    </row>
    <row r="614" spans="1:14" x14ac:dyDescent="0.2">
      <c r="A614" s="84"/>
      <c r="B614" s="84"/>
      <c r="C614" s="60"/>
      <c r="D614" s="66"/>
      <c r="E614" s="66"/>
      <c r="F614" s="66"/>
      <c r="G614" s="66"/>
      <c r="H614" s="66"/>
      <c r="I614" s="66"/>
      <c r="J614" s="66"/>
      <c r="K614" s="66"/>
      <c r="L614" s="66"/>
      <c r="M614" s="66"/>
      <c r="N614" s="66"/>
    </row>
    <row r="615" spans="1:14" x14ac:dyDescent="0.2">
      <c r="A615" s="84"/>
      <c r="B615" s="84"/>
      <c r="C615" s="60"/>
      <c r="D615" s="66"/>
      <c r="E615" s="66"/>
      <c r="F615" s="66"/>
      <c r="G615" s="66"/>
      <c r="H615" s="66"/>
      <c r="I615" s="66"/>
      <c r="J615" s="66"/>
      <c r="K615" s="66"/>
      <c r="L615" s="66"/>
      <c r="M615" s="66"/>
      <c r="N615" s="66"/>
    </row>
    <row r="616" spans="1:14" x14ac:dyDescent="0.2">
      <c r="A616" s="84"/>
      <c r="B616" s="84"/>
      <c r="C616" s="60"/>
      <c r="D616" s="66"/>
      <c r="E616" s="66"/>
      <c r="F616" s="66"/>
      <c r="G616" s="66"/>
      <c r="H616" s="66"/>
      <c r="I616" s="66"/>
      <c r="J616" s="66"/>
      <c r="K616" s="66"/>
      <c r="L616" s="66"/>
      <c r="M616" s="66"/>
      <c r="N616" s="66"/>
    </row>
    <row r="617" spans="1:14" x14ac:dyDescent="0.2">
      <c r="A617" s="84"/>
      <c r="B617" s="84"/>
      <c r="C617" s="60"/>
      <c r="D617" s="66"/>
      <c r="E617" s="66"/>
      <c r="F617" s="66"/>
      <c r="G617" s="66"/>
      <c r="H617" s="66"/>
      <c r="I617" s="66"/>
      <c r="J617" s="66"/>
      <c r="K617" s="66"/>
      <c r="L617" s="66"/>
      <c r="M617" s="66"/>
      <c r="N617" s="66"/>
    </row>
    <row r="618" spans="1:14" x14ac:dyDescent="0.2">
      <c r="A618" s="84"/>
      <c r="B618" s="84"/>
      <c r="C618" s="60"/>
      <c r="D618" s="66"/>
      <c r="E618" s="66"/>
      <c r="F618" s="66"/>
      <c r="G618" s="66"/>
      <c r="H618" s="66"/>
      <c r="I618" s="66"/>
      <c r="J618" s="66"/>
      <c r="K618" s="66"/>
      <c r="L618" s="66"/>
      <c r="M618" s="66"/>
      <c r="N618" s="66"/>
    </row>
    <row r="619" spans="1:14" x14ac:dyDescent="0.2">
      <c r="A619" s="84"/>
      <c r="B619" s="84"/>
      <c r="C619" s="60"/>
      <c r="D619" s="66"/>
      <c r="E619" s="66"/>
      <c r="F619" s="66"/>
      <c r="G619" s="66"/>
      <c r="H619" s="66"/>
      <c r="I619" s="66"/>
      <c r="J619" s="66"/>
      <c r="K619" s="66"/>
      <c r="L619" s="66"/>
      <c r="M619" s="66"/>
      <c r="N619" s="66"/>
    </row>
    <row r="620" spans="1:14" x14ac:dyDescent="0.2">
      <c r="A620" s="84"/>
      <c r="B620" s="84"/>
      <c r="C620" s="60"/>
      <c r="D620" s="66"/>
      <c r="E620" s="66"/>
      <c r="F620" s="66"/>
      <c r="G620" s="66"/>
      <c r="H620" s="66"/>
      <c r="I620" s="66"/>
      <c r="J620" s="66"/>
      <c r="K620" s="66"/>
      <c r="L620" s="66"/>
      <c r="M620" s="66"/>
      <c r="N620" s="66"/>
    </row>
    <row r="621" spans="1:14" x14ac:dyDescent="0.2">
      <c r="A621" s="84"/>
      <c r="B621" s="84"/>
      <c r="C621" s="60"/>
      <c r="D621" s="66"/>
      <c r="E621" s="66"/>
      <c r="F621" s="66"/>
      <c r="G621" s="66"/>
      <c r="H621" s="66"/>
      <c r="I621" s="66"/>
      <c r="J621" s="66"/>
      <c r="K621" s="66"/>
      <c r="L621" s="66"/>
      <c r="M621" s="66"/>
      <c r="N621" s="66"/>
    </row>
    <row r="622" spans="1:14" x14ac:dyDescent="0.2">
      <c r="A622" s="84"/>
      <c r="B622" s="84"/>
      <c r="C622" s="60"/>
      <c r="D622" s="66"/>
      <c r="E622" s="66"/>
      <c r="F622" s="66"/>
      <c r="G622" s="66"/>
      <c r="H622" s="66"/>
      <c r="I622" s="66"/>
      <c r="J622" s="66"/>
      <c r="K622" s="66"/>
      <c r="L622" s="66"/>
      <c r="M622" s="66"/>
      <c r="N622" s="66"/>
    </row>
    <row r="623" spans="1:14" x14ac:dyDescent="0.2">
      <c r="A623" s="84"/>
      <c r="B623" s="84"/>
      <c r="C623" s="60"/>
      <c r="D623" s="66"/>
      <c r="E623" s="66"/>
      <c r="F623" s="66"/>
      <c r="G623" s="66"/>
      <c r="H623" s="66"/>
      <c r="I623" s="66"/>
      <c r="J623" s="66"/>
      <c r="K623" s="66"/>
      <c r="L623" s="66"/>
      <c r="M623" s="66"/>
      <c r="N623" s="66"/>
    </row>
    <row r="624" spans="1:14" x14ac:dyDescent="0.2">
      <c r="A624" s="84"/>
      <c r="B624" s="84"/>
      <c r="C624" s="60"/>
      <c r="D624" s="66"/>
      <c r="E624" s="66"/>
      <c r="F624" s="66"/>
      <c r="G624" s="66"/>
      <c r="H624" s="66"/>
      <c r="I624" s="66"/>
      <c r="J624" s="66"/>
      <c r="K624" s="66"/>
      <c r="L624" s="66"/>
      <c r="M624" s="66"/>
      <c r="N624" s="66"/>
    </row>
    <row r="625" spans="1:14" x14ac:dyDescent="0.2">
      <c r="A625" s="84"/>
      <c r="B625" s="84"/>
      <c r="C625" s="60"/>
      <c r="D625" s="66"/>
      <c r="E625" s="66"/>
      <c r="F625" s="66"/>
      <c r="G625" s="66"/>
      <c r="H625" s="66"/>
      <c r="I625" s="66"/>
      <c r="J625" s="66"/>
      <c r="K625" s="66"/>
      <c r="L625" s="66"/>
      <c r="M625" s="66"/>
      <c r="N625" s="66"/>
    </row>
    <row r="626" spans="1:14" x14ac:dyDescent="0.2">
      <c r="A626" s="84"/>
      <c r="B626" s="84"/>
      <c r="C626" s="60"/>
      <c r="D626" s="66"/>
      <c r="E626" s="66"/>
      <c r="F626" s="66"/>
      <c r="G626" s="66"/>
      <c r="H626" s="66"/>
      <c r="I626" s="66"/>
      <c r="J626" s="66"/>
      <c r="K626" s="66"/>
      <c r="L626" s="66"/>
      <c r="M626" s="66"/>
      <c r="N626" s="66"/>
    </row>
    <row r="627" spans="1:14" x14ac:dyDescent="0.2">
      <c r="A627" s="84"/>
      <c r="B627" s="84"/>
      <c r="C627" s="60"/>
      <c r="D627" s="66"/>
      <c r="E627" s="66"/>
      <c r="F627" s="66"/>
      <c r="G627" s="66"/>
      <c r="H627" s="66"/>
      <c r="I627" s="66"/>
      <c r="J627" s="66"/>
      <c r="K627" s="66"/>
      <c r="L627" s="66"/>
      <c r="M627" s="66"/>
      <c r="N627" s="66"/>
    </row>
    <row r="628" spans="1:14" x14ac:dyDescent="0.2">
      <c r="A628" s="84"/>
      <c r="B628" s="84"/>
      <c r="C628" s="60"/>
      <c r="D628" s="66"/>
      <c r="E628" s="66"/>
      <c r="F628" s="66"/>
      <c r="G628" s="66"/>
      <c r="H628" s="66"/>
      <c r="I628" s="66"/>
      <c r="J628" s="66"/>
      <c r="K628" s="66"/>
      <c r="L628" s="66"/>
      <c r="M628" s="66"/>
      <c r="N628" s="66"/>
    </row>
    <row r="629" spans="1:14" x14ac:dyDescent="0.2">
      <c r="A629" s="84"/>
      <c r="B629" s="84"/>
      <c r="C629" s="60"/>
      <c r="D629" s="66"/>
      <c r="E629" s="66"/>
      <c r="F629" s="66"/>
      <c r="G629" s="66"/>
      <c r="H629" s="66"/>
      <c r="I629" s="66"/>
      <c r="J629" s="66"/>
      <c r="K629" s="66"/>
      <c r="L629" s="66"/>
      <c r="M629" s="66"/>
      <c r="N629" s="66"/>
    </row>
    <row r="630" spans="1:14" x14ac:dyDescent="0.2">
      <c r="A630" s="84"/>
      <c r="B630" s="84"/>
      <c r="C630" s="60"/>
      <c r="D630" s="66"/>
      <c r="E630" s="66"/>
      <c r="F630" s="66"/>
      <c r="G630" s="66"/>
      <c r="H630" s="66"/>
      <c r="I630" s="66"/>
      <c r="J630" s="66"/>
      <c r="K630" s="66"/>
      <c r="L630" s="66"/>
      <c r="M630" s="66"/>
      <c r="N630" s="66"/>
    </row>
    <row r="631" spans="1:14" x14ac:dyDescent="0.2">
      <c r="A631" s="84"/>
      <c r="B631" s="84"/>
      <c r="C631" s="60"/>
      <c r="D631" s="66"/>
      <c r="E631" s="66"/>
      <c r="F631" s="66"/>
      <c r="G631" s="66"/>
      <c r="H631" s="66"/>
      <c r="I631" s="66"/>
      <c r="J631" s="66"/>
      <c r="K631" s="66"/>
      <c r="L631" s="66"/>
      <c r="M631" s="66"/>
      <c r="N631" s="66"/>
    </row>
    <row r="632" spans="1:14" x14ac:dyDescent="0.2">
      <c r="A632" s="84"/>
      <c r="B632" s="84"/>
      <c r="C632" s="60"/>
      <c r="D632" s="66"/>
      <c r="E632" s="66"/>
      <c r="F632" s="66"/>
      <c r="G632" s="66"/>
      <c r="H632" s="66"/>
      <c r="I632" s="66"/>
      <c r="J632" s="66"/>
      <c r="K632" s="66"/>
      <c r="L632" s="66"/>
      <c r="M632" s="66"/>
      <c r="N632" s="66"/>
    </row>
    <row r="633" spans="1:14" x14ac:dyDescent="0.2">
      <c r="A633" s="84"/>
      <c r="B633" s="84"/>
      <c r="C633" s="60"/>
      <c r="D633" s="66"/>
      <c r="E633" s="66"/>
      <c r="F633" s="66"/>
      <c r="G633" s="66"/>
      <c r="H633" s="66"/>
      <c r="I633" s="66"/>
      <c r="J633" s="66"/>
      <c r="K633" s="66"/>
      <c r="L633" s="66"/>
      <c r="M633" s="66"/>
      <c r="N633" s="66"/>
    </row>
    <row r="634" spans="1:14" x14ac:dyDescent="0.2">
      <c r="A634" s="84"/>
      <c r="B634" s="84"/>
      <c r="C634" s="60"/>
      <c r="D634" s="66"/>
      <c r="E634" s="66"/>
      <c r="F634" s="66"/>
      <c r="G634" s="66"/>
      <c r="H634" s="66"/>
      <c r="I634" s="66"/>
      <c r="J634" s="66"/>
      <c r="K634" s="66"/>
      <c r="L634" s="66"/>
      <c r="M634" s="66"/>
      <c r="N634" s="66"/>
    </row>
    <row r="635" spans="1:14" x14ac:dyDescent="0.2">
      <c r="A635" s="84"/>
      <c r="B635" s="84"/>
      <c r="C635" s="60"/>
      <c r="D635" s="66"/>
      <c r="E635" s="66"/>
      <c r="F635" s="66"/>
      <c r="G635" s="66"/>
      <c r="H635" s="66"/>
      <c r="I635" s="66"/>
      <c r="J635" s="66"/>
      <c r="K635" s="66"/>
      <c r="L635" s="66"/>
      <c r="M635" s="66"/>
      <c r="N635" s="66"/>
    </row>
    <row r="636" spans="1:14" x14ac:dyDescent="0.2">
      <c r="A636" s="84"/>
      <c r="B636" s="84"/>
      <c r="C636" s="60"/>
      <c r="D636" s="66"/>
      <c r="E636" s="66"/>
      <c r="F636" s="66"/>
      <c r="G636" s="66"/>
      <c r="H636" s="66"/>
      <c r="I636" s="66"/>
      <c r="J636" s="66"/>
      <c r="K636" s="66"/>
      <c r="L636" s="66"/>
      <c r="M636" s="66"/>
      <c r="N636" s="66"/>
    </row>
    <row r="637" spans="1:14" x14ac:dyDescent="0.2">
      <c r="A637" s="84"/>
      <c r="B637" s="84"/>
      <c r="C637" s="60"/>
      <c r="D637" s="66"/>
      <c r="E637" s="66"/>
      <c r="F637" s="66"/>
      <c r="G637" s="66"/>
      <c r="H637" s="66"/>
      <c r="I637" s="66"/>
      <c r="J637" s="66"/>
      <c r="K637" s="66"/>
      <c r="L637" s="66"/>
      <c r="M637" s="66"/>
      <c r="N637" s="66"/>
    </row>
    <row r="638" spans="1:14" x14ac:dyDescent="0.2">
      <c r="A638" s="84"/>
      <c r="B638" s="84"/>
      <c r="C638" s="60"/>
      <c r="D638" s="66"/>
      <c r="E638" s="66"/>
      <c r="F638" s="66"/>
      <c r="G638" s="66"/>
      <c r="H638" s="66"/>
      <c r="I638" s="66"/>
      <c r="J638" s="66"/>
      <c r="K638" s="66"/>
      <c r="L638" s="66"/>
      <c r="M638" s="66"/>
      <c r="N638" s="66"/>
    </row>
    <row r="639" spans="1:14" x14ac:dyDescent="0.2">
      <c r="A639" s="84"/>
      <c r="B639" s="84"/>
      <c r="C639" s="60"/>
      <c r="D639" s="66"/>
      <c r="E639" s="66"/>
      <c r="F639" s="66"/>
      <c r="G639" s="66"/>
      <c r="H639" s="66"/>
      <c r="I639" s="66"/>
      <c r="J639" s="66"/>
      <c r="K639" s="66"/>
      <c r="L639" s="66"/>
      <c r="M639" s="66"/>
      <c r="N639" s="66"/>
    </row>
    <row r="640" spans="1:14" x14ac:dyDescent="0.2">
      <c r="A640" s="84"/>
      <c r="B640" s="84"/>
      <c r="C640" s="60"/>
      <c r="D640" s="66"/>
      <c r="E640" s="66"/>
      <c r="F640" s="66"/>
      <c r="G640" s="66"/>
      <c r="H640" s="66"/>
      <c r="I640" s="66"/>
      <c r="J640" s="66"/>
      <c r="K640" s="66"/>
      <c r="L640" s="66"/>
      <c r="M640" s="66"/>
      <c r="N640" s="66"/>
    </row>
    <row r="641" spans="1:14" x14ac:dyDescent="0.2">
      <c r="A641" s="84"/>
      <c r="B641" s="84"/>
      <c r="C641" s="60"/>
      <c r="D641" s="66"/>
      <c r="E641" s="66"/>
      <c r="F641" s="66"/>
      <c r="G641" s="66"/>
      <c r="H641" s="66"/>
      <c r="I641" s="66"/>
      <c r="J641" s="66"/>
      <c r="K641" s="66"/>
      <c r="L641" s="66"/>
      <c r="M641" s="66"/>
      <c r="N641" s="66"/>
    </row>
    <row r="642" spans="1:14" x14ac:dyDescent="0.2">
      <c r="A642" s="84"/>
      <c r="B642" s="84"/>
      <c r="C642" s="60"/>
      <c r="D642" s="66"/>
      <c r="E642" s="66"/>
      <c r="F642" s="66"/>
      <c r="G642" s="66"/>
      <c r="H642" s="66"/>
      <c r="I642" s="66"/>
      <c r="J642" s="66"/>
      <c r="K642" s="66"/>
      <c r="L642" s="66"/>
      <c r="M642" s="66"/>
      <c r="N642" s="66"/>
    </row>
    <row r="643" spans="1:14" x14ac:dyDescent="0.2">
      <c r="A643" s="84"/>
      <c r="B643" s="84"/>
      <c r="C643" s="60"/>
      <c r="D643" s="66"/>
      <c r="E643" s="66"/>
      <c r="F643" s="66"/>
      <c r="G643" s="66"/>
      <c r="H643" s="66"/>
      <c r="I643" s="66"/>
      <c r="J643" s="66"/>
      <c r="K643" s="66"/>
      <c r="L643" s="66"/>
      <c r="M643" s="66"/>
      <c r="N643" s="66"/>
    </row>
    <row r="644" spans="1:14" x14ac:dyDescent="0.2">
      <c r="A644" s="84"/>
      <c r="B644" s="84"/>
      <c r="C644" s="60"/>
      <c r="D644" s="66"/>
      <c r="E644" s="66"/>
      <c r="F644" s="66"/>
      <c r="G644" s="66"/>
      <c r="H644" s="66"/>
      <c r="I644" s="66"/>
      <c r="J644" s="66"/>
      <c r="K644" s="66"/>
      <c r="L644" s="66"/>
      <c r="M644" s="66"/>
      <c r="N644" s="66"/>
    </row>
    <row r="645" spans="1:14" x14ac:dyDescent="0.2">
      <c r="A645" s="84"/>
      <c r="B645" s="84"/>
      <c r="C645" s="60"/>
      <c r="D645" s="66"/>
      <c r="E645" s="66"/>
      <c r="F645" s="66"/>
      <c r="G645" s="66"/>
      <c r="H645" s="66"/>
      <c r="I645" s="66"/>
      <c r="J645" s="66"/>
      <c r="K645" s="66"/>
      <c r="L645" s="66"/>
      <c r="M645" s="66"/>
      <c r="N645" s="66"/>
    </row>
    <row r="646" spans="1:14" x14ac:dyDescent="0.2">
      <c r="A646" s="84"/>
      <c r="B646" s="84"/>
      <c r="C646" s="60"/>
      <c r="D646" s="66"/>
      <c r="E646" s="66"/>
      <c r="F646" s="66"/>
      <c r="G646" s="66"/>
      <c r="H646" s="66"/>
      <c r="I646" s="66"/>
      <c r="J646" s="66"/>
      <c r="K646" s="66"/>
      <c r="L646" s="66"/>
      <c r="M646" s="66"/>
      <c r="N646" s="66"/>
    </row>
    <row r="647" spans="1:14" x14ac:dyDescent="0.2">
      <c r="A647" s="84"/>
      <c r="B647" s="84"/>
      <c r="C647" s="60"/>
      <c r="D647" s="66"/>
      <c r="E647" s="66"/>
      <c r="F647" s="66"/>
      <c r="G647" s="66"/>
      <c r="H647" s="66"/>
      <c r="I647" s="66"/>
      <c r="J647" s="66"/>
      <c r="K647" s="66"/>
      <c r="L647" s="66"/>
      <c r="M647" s="66"/>
      <c r="N647" s="66"/>
    </row>
    <row r="648" spans="1:14" x14ac:dyDescent="0.2">
      <c r="A648" s="84"/>
      <c r="B648" s="84"/>
      <c r="C648" s="60"/>
      <c r="D648" s="66"/>
      <c r="E648" s="66"/>
      <c r="F648" s="66"/>
      <c r="G648" s="66"/>
      <c r="H648" s="66"/>
      <c r="I648" s="66"/>
      <c r="J648" s="66"/>
      <c r="K648" s="66"/>
      <c r="L648" s="66"/>
      <c r="M648" s="66"/>
      <c r="N648" s="66"/>
    </row>
    <row r="649" spans="1:14" x14ac:dyDescent="0.2">
      <c r="A649" s="84"/>
      <c r="B649" s="84"/>
      <c r="C649" s="60"/>
      <c r="D649" s="66"/>
      <c r="E649" s="66"/>
      <c r="F649" s="66"/>
      <c r="G649" s="66"/>
      <c r="H649" s="66"/>
      <c r="I649" s="66"/>
      <c r="J649" s="66"/>
      <c r="K649" s="66"/>
      <c r="L649" s="66"/>
      <c r="M649" s="66"/>
      <c r="N649" s="66"/>
    </row>
    <row r="650" spans="1:14" x14ac:dyDescent="0.2">
      <c r="A650" s="84"/>
      <c r="B650" s="84"/>
      <c r="C650" s="60"/>
      <c r="D650" s="66"/>
      <c r="E650" s="66"/>
      <c r="F650" s="66"/>
      <c r="G650" s="66"/>
      <c r="H650" s="66"/>
      <c r="I650" s="66"/>
      <c r="J650" s="66"/>
      <c r="K650" s="66"/>
      <c r="L650" s="66"/>
      <c r="M650" s="66"/>
      <c r="N650" s="66"/>
    </row>
    <row r="651" spans="1:14" x14ac:dyDescent="0.2">
      <c r="A651" s="84"/>
      <c r="B651" s="84"/>
      <c r="C651" s="60"/>
      <c r="D651" s="66"/>
      <c r="E651" s="66"/>
      <c r="F651" s="66"/>
      <c r="G651" s="66"/>
      <c r="H651" s="66"/>
      <c r="I651" s="66"/>
      <c r="J651" s="66"/>
      <c r="K651" s="66"/>
      <c r="L651" s="66"/>
      <c r="M651" s="66"/>
      <c r="N651" s="66"/>
    </row>
    <row r="652" spans="1:14" x14ac:dyDescent="0.2">
      <c r="A652" s="84"/>
      <c r="B652" s="84"/>
      <c r="C652" s="60"/>
      <c r="D652" s="66"/>
      <c r="E652" s="66"/>
      <c r="F652" s="66"/>
      <c r="G652" s="66"/>
      <c r="H652" s="66"/>
      <c r="I652" s="66"/>
      <c r="J652" s="66"/>
      <c r="K652" s="66"/>
      <c r="L652" s="66"/>
      <c r="M652" s="66"/>
      <c r="N652" s="66"/>
    </row>
    <row r="653" spans="1:14" x14ac:dyDescent="0.2">
      <c r="A653" s="84"/>
      <c r="B653" s="84"/>
      <c r="C653" s="60"/>
      <c r="D653" s="66"/>
      <c r="E653" s="66"/>
      <c r="F653" s="66"/>
      <c r="G653" s="66"/>
      <c r="H653" s="66"/>
      <c r="I653" s="66"/>
      <c r="J653" s="66"/>
      <c r="K653" s="66"/>
      <c r="L653" s="66"/>
      <c r="M653" s="66"/>
      <c r="N653" s="66"/>
    </row>
    <row r="654" spans="1:14" x14ac:dyDescent="0.2">
      <c r="A654" s="84"/>
      <c r="B654" s="84"/>
      <c r="C654" s="60"/>
      <c r="D654" s="66"/>
      <c r="E654" s="66"/>
      <c r="F654" s="66"/>
      <c r="G654" s="66"/>
      <c r="H654" s="66"/>
      <c r="I654" s="66"/>
      <c r="J654" s="66"/>
      <c r="K654" s="66"/>
      <c r="L654" s="66"/>
      <c r="M654" s="66"/>
      <c r="N654" s="66"/>
    </row>
    <row r="655" spans="1:14" x14ac:dyDescent="0.2">
      <c r="A655" s="84"/>
      <c r="B655" s="84"/>
      <c r="C655" s="60"/>
      <c r="D655" s="66"/>
      <c r="E655" s="66"/>
      <c r="F655" s="66"/>
      <c r="G655" s="66"/>
      <c r="H655" s="66"/>
      <c r="I655" s="66"/>
      <c r="J655" s="66"/>
      <c r="K655" s="66"/>
      <c r="L655" s="66"/>
      <c r="M655" s="66"/>
      <c r="N655" s="66"/>
    </row>
    <row r="656" spans="1:14" x14ac:dyDescent="0.2">
      <c r="A656" s="84"/>
      <c r="B656" s="84"/>
      <c r="C656" s="60"/>
      <c r="D656" s="66"/>
      <c r="E656" s="66"/>
      <c r="F656" s="66"/>
      <c r="G656" s="66"/>
      <c r="H656" s="66"/>
      <c r="I656" s="66"/>
      <c r="J656" s="66"/>
      <c r="K656" s="66"/>
      <c r="L656" s="66"/>
      <c r="M656" s="66"/>
      <c r="N656" s="66"/>
    </row>
    <row r="657" spans="1:14" x14ac:dyDescent="0.2">
      <c r="A657" s="84"/>
      <c r="B657" s="84"/>
      <c r="C657" s="60"/>
      <c r="D657" s="66"/>
      <c r="E657" s="66"/>
      <c r="F657" s="66"/>
      <c r="G657" s="66"/>
      <c r="H657" s="66"/>
      <c r="I657" s="66"/>
      <c r="J657" s="66"/>
      <c r="K657" s="66"/>
      <c r="L657" s="66"/>
      <c r="M657" s="66"/>
      <c r="N657" s="66"/>
    </row>
    <row r="658" spans="1:14" x14ac:dyDescent="0.2">
      <c r="A658" s="84"/>
      <c r="B658" s="84"/>
      <c r="C658" s="60"/>
      <c r="D658" s="66"/>
      <c r="E658" s="66"/>
      <c r="F658" s="66"/>
      <c r="G658" s="66"/>
      <c r="H658" s="66"/>
      <c r="I658" s="66"/>
      <c r="J658" s="66"/>
      <c r="K658" s="66"/>
      <c r="L658" s="66"/>
      <c r="M658" s="66"/>
      <c r="N658" s="66"/>
    </row>
    <row r="659" spans="1:14" x14ac:dyDescent="0.2">
      <c r="A659" s="84"/>
      <c r="B659" s="84"/>
      <c r="C659" s="60"/>
      <c r="D659" s="66"/>
      <c r="E659" s="66"/>
      <c r="F659" s="66"/>
      <c r="G659" s="66"/>
      <c r="H659" s="66"/>
      <c r="I659" s="66"/>
      <c r="J659" s="66"/>
      <c r="K659" s="66"/>
      <c r="L659" s="66"/>
      <c r="M659" s="66"/>
      <c r="N659" s="66"/>
    </row>
    <row r="660" spans="1:14" x14ac:dyDescent="0.2">
      <c r="A660" s="84"/>
      <c r="B660" s="84"/>
      <c r="C660" s="60"/>
      <c r="D660" s="66"/>
      <c r="E660" s="66"/>
      <c r="F660" s="66"/>
      <c r="G660" s="66"/>
      <c r="H660" s="66"/>
      <c r="I660" s="66"/>
      <c r="J660" s="66"/>
      <c r="K660" s="66"/>
      <c r="L660" s="66"/>
      <c r="M660" s="66"/>
      <c r="N660" s="66"/>
    </row>
    <row r="661" spans="1:14" x14ac:dyDescent="0.2">
      <c r="A661" s="84"/>
      <c r="B661" s="84"/>
      <c r="C661" s="60"/>
      <c r="D661" s="66"/>
      <c r="E661" s="66"/>
      <c r="F661" s="66"/>
      <c r="G661" s="66"/>
      <c r="H661" s="66"/>
      <c r="I661" s="66"/>
      <c r="J661" s="66"/>
      <c r="K661" s="66"/>
      <c r="L661" s="66"/>
      <c r="M661" s="66"/>
      <c r="N661" s="66"/>
    </row>
    <row r="662" spans="1:14" x14ac:dyDescent="0.2">
      <c r="A662" s="84"/>
      <c r="B662" s="84"/>
      <c r="C662" s="60"/>
      <c r="D662" s="66"/>
      <c r="E662" s="66"/>
      <c r="F662" s="66"/>
      <c r="G662" s="66"/>
      <c r="H662" s="66"/>
      <c r="I662" s="66"/>
      <c r="J662" s="66"/>
      <c r="K662" s="66"/>
      <c r="L662" s="66"/>
      <c r="M662" s="66"/>
      <c r="N662" s="66"/>
    </row>
    <row r="663" spans="1:14" x14ac:dyDescent="0.2">
      <c r="A663" s="84"/>
      <c r="B663" s="84"/>
      <c r="C663" s="60"/>
      <c r="D663" s="66"/>
      <c r="E663" s="66"/>
      <c r="F663" s="66"/>
      <c r="G663" s="66"/>
      <c r="H663" s="66"/>
      <c r="I663" s="66"/>
      <c r="J663" s="66"/>
      <c r="K663" s="66"/>
      <c r="L663" s="66"/>
      <c r="M663" s="66"/>
      <c r="N663" s="66"/>
    </row>
    <row r="664" spans="1:14" x14ac:dyDescent="0.2">
      <c r="A664" s="84"/>
      <c r="B664" s="84"/>
      <c r="C664" s="60"/>
      <c r="D664" s="66"/>
      <c r="E664" s="66"/>
      <c r="F664" s="66"/>
      <c r="G664" s="66"/>
      <c r="H664" s="66"/>
      <c r="I664" s="66"/>
      <c r="J664" s="66"/>
      <c r="K664" s="66"/>
      <c r="L664" s="66"/>
      <c r="M664" s="66"/>
      <c r="N664" s="66"/>
    </row>
    <row r="665" spans="1:14" x14ac:dyDescent="0.2">
      <c r="A665" s="84"/>
      <c r="B665" s="84"/>
      <c r="C665" s="60"/>
      <c r="D665" s="66"/>
      <c r="E665" s="66"/>
      <c r="F665" s="66"/>
      <c r="G665" s="66"/>
      <c r="H665" s="66"/>
      <c r="I665" s="66"/>
      <c r="J665" s="66"/>
      <c r="K665" s="66"/>
      <c r="L665" s="66"/>
      <c r="M665" s="66"/>
      <c r="N665" s="66"/>
    </row>
    <row r="666" spans="1:14" x14ac:dyDescent="0.2">
      <c r="A666" s="84"/>
      <c r="B666" s="84"/>
      <c r="C666" s="60"/>
      <c r="D666" s="66"/>
      <c r="E666" s="66"/>
      <c r="F666" s="66"/>
      <c r="G666" s="66"/>
      <c r="H666" s="66"/>
      <c r="I666" s="66"/>
      <c r="J666" s="66"/>
      <c r="K666" s="66"/>
      <c r="L666" s="66"/>
      <c r="M666" s="66"/>
      <c r="N666" s="66"/>
    </row>
    <row r="667" spans="1:14" x14ac:dyDescent="0.2">
      <c r="A667" s="84"/>
      <c r="B667" s="84"/>
      <c r="C667" s="60"/>
      <c r="D667" s="66"/>
      <c r="E667" s="66"/>
      <c r="F667" s="66"/>
      <c r="G667" s="66"/>
      <c r="H667" s="66"/>
      <c r="I667" s="66"/>
      <c r="J667" s="66"/>
      <c r="K667" s="66"/>
      <c r="L667" s="66"/>
      <c r="M667" s="66"/>
      <c r="N667" s="66"/>
    </row>
    <row r="668" spans="1:14" x14ac:dyDescent="0.2">
      <c r="A668" s="84"/>
      <c r="B668" s="84"/>
      <c r="C668" s="60"/>
      <c r="D668" s="66"/>
      <c r="E668" s="66"/>
      <c r="F668" s="66"/>
      <c r="G668" s="66"/>
      <c r="H668" s="66"/>
      <c r="I668" s="66"/>
      <c r="J668" s="66"/>
      <c r="K668" s="66"/>
      <c r="L668" s="66"/>
      <c r="M668" s="66"/>
      <c r="N668" s="66"/>
    </row>
    <row r="669" spans="1:14" x14ac:dyDescent="0.2">
      <c r="A669" s="84"/>
      <c r="B669" s="84"/>
      <c r="C669" s="60"/>
      <c r="D669" s="66"/>
      <c r="E669" s="66"/>
      <c r="F669" s="66"/>
      <c r="G669" s="66"/>
      <c r="H669" s="66"/>
      <c r="I669" s="66"/>
      <c r="J669" s="66"/>
      <c r="K669" s="66"/>
      <c r="L669" s="66"/>
      <c r="M669" s="66"/>
      <c r="N669" s="66"/>
    </row>
    <row r="670" spans="1:14" x14ac:dyDescent="0.2">
      <c r="A670" s="84"/>
      <c r="B670" s="84"/>
      <c r="C670" s="60"/>
      <c r="D670" s="66"/>
      <c r="E670" s="66"/>
      <c r="F670" s="66"/>
      <c r="G670" s="66"/>
      <c r="H670" s="66"/>
      <c r="I670" s="66"/>
      <c r="J670" s="66"/>
      <c r="K670" s="66"/>
      <c r="L670" s="66"/>
      <c r="M670" s="66"/>
      <c r="N670" s="66"/>
    </row>
    <row r="671" spans="1:14" x14ac:dyDescent="0.2">
      <c r="A671" s="84"/>
      <c r="B671" s="84"/>
      <c r="C671" s="60"/>
      <c r="D671" s="66"/>
      <c r="E671" s="66"/>
      <c r="F671" s="66"/>
      <c r="G671" s="66"/>
      <c r="H671" s="66"/>
      <c r="I671" s="66"/>
      <c r="J671" s="66"/>
      <c r="K671" s="66"/>
      <c r="L671" s="66"/>
      <c r="M671" s="66"/>
      <c r="N671" s="66"/>
    </row>
    <row r="672" spans="1:14" x14ac:dyDescent="0.2">
      <c r="A672" s="84"/>
      <c r="B672" s="84"/>
      <c r="C672" s="60"/>
      <c r="D672" s="66"/>
      <c r="E672" s="66"/>
      <c r="F672" s="66"/>
      <c r="G672" s="66"/>
      <c r="H672" s="66"/>
      <c r="I672" s="66"/>
      <c r="J672" s="66"/>
      <c r="K672" s="66"/>
      <c r="L672" s="66"/>
      <c r="M672" s="66"/>
      <c r="N672" s="66"/>
    </row>
    <row r="673" spans="1:14" x14ac:dyDescent="0.2">
      <c r="A673" s="84"/>
      <c r="B673" s="84"/>
      <c r="C673" s="60"/>
      <c r="D673" s="66"/>
      <c r="E673" s="66"/>
      <c r="F673" s="66"/>
      <c r="G673" s="66"/>
      <c r="H673" s="66"/>
      <c r="I673" s="66"/>
      <c r="J673" s="66"/>
      <c r="K673" s="66"/>
      <c r="L673" s="66"/>
      <c r="M673" s="66"/>
      <c r="N673" s="66"/>
    </row>
    <row r="674" spans="1:14" x14ac:dyDescent="0.2">
      <c r="A674" s="84"/>
      <c r="B674" s="84"/>
      <c r="C674" s="60"/>
      <c r="D674" s="66"/>
      <c r="E674" s="66"/>
      <c r="F674" s="66"/>
      <c r="G674" s="66"/>
      <c r="H674" s="66"/>
      <c r="I674" s="66"/>
      <c r="J674" s="66"/>
      <c r="K674" s="66"/>
      <c r="L674" s="66"/>
      <c r="M674" s="66"/>
      <c r="N674" s="66"/>
    </row>
    <row r="675" spans="1:14" x14ac:dyDescent="0.2">
      <c r="A675" s="84"/>
      <c r="B675" s="84"/>
      <c r="C675" s="60"/>
      <c r="D675" s="66"/>
      <c r="E675" s="66"/>
      <c r="F675" s="66"/>
      <c r="G675" s="66"/>
      <c r="H675" s="66"/>
      <c r="I675" s="66"/>
      <c r="J675" s="66"/>
      <c r="K675" s="66"/>
      <c r="L675" s="66"/>
      <c r="M675" s="66"/>
      <c r="N675" s="66"/>
    </row>
    <row r="676" spans="1:14" x14ac:dyDescent="0.2">
      <c r="A676" s="84"/>
      <c r="B676" s="84"/>
      <c r="C676" s="60"/>
      <c r="D676" s="66"/>
      <c r="E676" s="66"/>
      <c r="F676" s="66"/>
      <c r="G676" s="66"/>
      <c r="H676" s="66"/>
      <c r="I676" s="66"/>
      <c r="J676" s="66"/>
      <c r="K676" s="66"/>
      <c r="L676" s="66"/>
      <c r="M676" s="66"/>
      <c r="N676" s="66"/>
    </row>
    <row r="677" spans="1:14" x14ac:dyDescent="0.2">
      <c r="A677" s="84"/>
      <c r="B677" s="84"/>
      <c r="C677" s="60"/>
      <c r="D677" s="66"/>
      <c r="E677" s="66"/>
      <c r="F677" s="66"/>
      <c r="G677" s="66"/>
      <c r="H677" s="66"/>
      <c r="I677" s="66"/>
      <c r="J677" s="66"/>
      <c r="K677" s="66"/>
      <c r="L677" s="66"/>
      <c r="M677" s="66"/>
      <c r="N677" s="66"/>
    </row>
    <row r="678" spans="1:14" x14ac:dyDescent="0.2">
      <c r="A678" s="84"/>
      <c r="B678" s="84"/>
      <c r="C678" s="60"/>
      <c r="D678" s="66"/>
      <c r="E678" s="66"/>
      <c r="F678" s="66"/>
      <c r="G678" s="66"/>
      <c r="H678" s="66"/>
      <c r="I678" s="66"/>
      <c r="J678" s="66"/>
      <c r="K678" s="66"/>
      <c r="L678" s="66"/>
      <c r="M678" s="66"/>
      <c r="N678" s="66"/>
    </row>
    <row r="679" spans="1:14" x14ac:dyDescent="0.2">
      <c r="A679" s="84"/>
      <c r="B679" s="84"/>
      <c r="C679" s="60"/>
      <c r="D679" s="66"/>
      <c r="E679" s="66"/>
      <c r="F679" s="66"/>
      <c r="G679" s="66"/>
      <c r="H679" s="66"/>
      <c r="I679" s="66"/>
      <c r="J679" s="66"/>
      <c r="K679" s="66"/>
      <c r="L679" s="66"/>
      <c r="M679" s="66"/>
      <c r="N679" s="66"/>
    </row>
    <row r="680" spans="1:14" x14ac:dyDescent="0.2">
      <c r="A680" s="84"/>
      <c r="B680" s="84"/>
      <c r="C680" s="60"/>
      <c r="D680" s="66"/>
      <c r="E680" s="66"/>
      <c r="F680" s="66"/>
      <c r="G680" s="66"/>
      <c r="H680" s="66"/>
      <c r="I680" s="66"/>
      <c r="J680" s="66"/>
      <c r="K680" s="66"/>
      <c r="L680" s="66"/>
      <c r="M680" s="66"/>
      <c r="N680" s="66"/>
    </row>
    <row r="681" spans="1:14" x14ac:dyDescent="0.2">
      <c r="A681" s="84"/>
      <c r="B681" s="84"/>
      <c r="C681" s="60"/>
      <c r="D681" s="66"/>
      <c r="E681" s="66"/>
      <c r="F681" s="66"/>
      <c r="G681" s="66"/>
      <c r="H681" s="66"/>
      <c r="I681" s="66"/>
      <c r="J681" s="66"/>
      <c r="K681" s="66"/>
      <c r="L681" s="66"/>
      <c r="M681" s="66"/>
      <c r="N681" s="66"/>
    </row>
    <row r="682" spans="1:14" x14ac:dyDescent="0.2">
      <c r="A682" s="84"/>
      <c r="B682" s="84"/>
      <c r="C682" s="60"/>
      <c r="D682" s="66"/>
      <c r="E682" s="66"/>
      <c r="F682" s="66"/>
      <c r="G682" s="66"/>
      <c r="H682" s="66"/>
      <c r="I682" s="66"/>
      <c r="J682" s="66"/>
      <c r="K682" s="66"/>
      <c r="L682" s="66"/>
      <c r="M682" s="66"/>
      <c r="N682" s="66"/>
    </row>
    <row r="683" spans="1:14" x14ac:dyDescent="0.2">
      <c r="A683" s="84"/>
      <c r="B683" s="84"/>
      <c r="C683" s="60"/>
      <c r="D683" s="66"/>
      <c r="E683" s="66"/>
      <c r="F683" s="66"/>
      <c r="G683" s="66"/>
      <c r="H683" s="66"/>
      <c r="I683" s="66"/>
      <c r="J683" s="66"/>
      <c r="K683" s="66"/>
      <c r="L683" s="66"/>
      <c r="M683" s="66"/>
      <c r="N683" s="66"/>
    </row>
    <row r="684" spans="1:14" x14ac:dyDescent="0.2">
      <c r="A684" s="84"/>
      <c r="B684" s="84"/>
      <c r="C684" s="60"/>
      <c r="D684" s="66"/>
      <c r="E684" s="66"/>
      <c r="F684" s="66"/>
      <c r="G684" s="66"/>
      <c r="H684" s="66"/>
      <c r="I684" s="66"/>
      <c r="J684" s="66"/>
      <c r="K684" s="66"/>
      <c r="L684" s="66"/>
      <c r="M684" s="66"/>
      <c r="N684" s="66"/>
    </row>
    <row r="685" spans="1:14" x14ac:dyDescent="0.2">
      <c r="A685" s="84"/>
      <c r="B685" s="84"/>
      <c r="C685" s="60"/>
      <c r="D685" s="66"/>
      <c r="E685" s="66"/>
      <c r="F685" s="66"/>
      <c r="G685" s="66"/>
      <c r="H685" s="66"/>
      <c r="I685" s="66"/>
      <c r="J685" s="66"/>
      <c r="K685" s="66"/>
      <c r="L685" s="66"/>
      <c r="M685" s="66"/>
      <c r="N685" s="66"/>
    </row>
    <row r="686" spans="1:14" x14ac:dyDescent="0.2">
      <c r="A686" s="84"/>
      <c r="B686" s="84"/>
      <c r="C686" s="60"/>
      <c r="D686" s="66"/>
      <c r="E686" s="66"/>
      <c r="F686" s="66"/>
      <c r="G686" s="66"/>
      <c r="H686" s="66"/>
      <c r="I686" s="66"/>
      <c r="J686" s="66"/>
      <c r="K686" s="66"/>
      <c r="L686" s="66"/>
      <c r="M686" s="66"/>
      <c r="N686" s="66"/>
    </row>
    <row r="687" spans="1:14" x14ac:dyDescent="0.2">
      <c r="A687" s="84"/>
      <c r="B687" s="84"/>
      <c r="C687" s="60"/>
      <c r="D687" s="66"/>
      <c r="E687" s="66"/>
      <c r="F687" s="66"/>
      <c r="G687" s="66"/>
      <c r="H687" s="66"/>
      <c r="I687" s="66"/>
      <c r="J687" s="66"/>
      <c r="K687" s="66"/>
      <c r="L687" s="66"/>
      <c r="M687" s="66"/>
      <c r="N687" s="66"/>
    </row>
    <row r="688" spans="1:14" x14ac:dyDescent="0.2">
      <c r="A688" s="84"/>
      <c r="B688" s="84"/>
      <c r="C688" s="60"/>
      <c r="D688" s="66"/>
      <c r="E688" s="66"/>
      <c r="F688" s="66"/>
      <c r="G688" s="66"/>
      <c r="H688" s="66"/>
      <c r="I688" s="66"/>
      <c r="J688" s="66"/>
      <c r="K688" s="66"/>
      <c r="L688" s="66"/>
      <c r="M688" s="66"/>
      <c r="N688" s="66"/>
    </row>
    <row r="689" spans="1:14" x14ac:dyDescent="0.2">
      <c r="A689" s="84"/>
      <c r="B689" s="84"/>
      <c r="C689" s="60"/>
      <c r="D689" s="66"/>
      <c r="E689" s="66"/>
      <c r="F689" s="66"/>
      <c r="G689" s="66"/>
      <c r="H689" s="66"/>
      <c r="I689" s="66"/>
      <c r="J689" s="66"/>
      <c r="K689" s="66"/>
      <c r="L689" s="66"/>
      <c r="M689" s="66"/>
      <c r="N689" s="66"/>
    </row>
    <row r="690" spans="1:14" x14ac:dyDescent="0.2">
      <c r="A690" s="84"/>
      <c r="B690" s="84"/>
      <c r="C690" s="60"/>
      <c r="D690" s="66"/>
      <c r="E690" s="66"/>
      <c r="F690" s="66"/>
      <c r="G690" s="66"/>
      <c r="H690" s="66"/>
      <c r="I690" s="66"/>
      <c r="J690" s="66"/>
      <c r="K690" s="66"/>
      <c r="L690" s="66"/>
      <c r="M690" s="66"/>
      <c r="N690" s="66"/>
    </row>
    <row r="691" spans="1:14" x14ac:dyDescent="0.2">
      <c r="A691" s="84"/>
      <c r="B691" s="84"/>
      <c r="C691" s="60"/>
      <c r="D691" s="66"/>
      <c r="E691" s="66"/>
      <c r="F691" s="66"/>
      <c r="G691" s="66"/>
      <c r="H691" s="66"/>
      <c r="I691" s="66"/>
      <c r="J691" s="66"/>
      <c r="K691" s="66"/>
      <c r="L691" s="66"/>
      <c r="M691" s="66"/>
      <c r="N691" s="66"/>
    </row>
    <row r="692" spans="1:14" x14ac:dyDescent="0.2">
      <c r="A692" s="84"/>
      <c r="B692" s="84"/>
      <c r="C692" s="60"/>
      <c r="D692" s="66"/>
      <c r="E692" s="66"/>
      <c r="F692" s="66"/>
      <c r="G692" s="66"/>
      <c r="H692" s="66"/>
      <c r="I692" s="66"/>
      <c r="J692" s="66"/>
      <c r="K692" s="66"/>
      <c r="L692" s="66"/>
      <c r="M692" s="66"/>
      <c r="N692" s="66"/>
    </row>
    <row r="693" spans="1:14" x14ac:dyDescent="0.2">
      <c r="A693" s="84"/>
      <c r="B693" s="84"/>
      <c r="C693" s="60"/>
      <c r="D693" s="66"/>
      <c r="E693" s="66"/>
      <c r="F693" s="66"/>
      <c r="G693" s="66"/>
      <c r="H693" s="66"/>
      <c r="I693" s="66"/>
      <c r="J693" s="66"/>
      <c r="K693" s="66"/>
      <c r="L693" s="66"/>
      <c r="M693" s="66"/>
      <c r="N693" s="66"/>
    </row>
    <row r="694" spans="1:14" x14ac:dyDescent="0.2">
      <c r="A694" s="84"/>
      <c r="B694" s="84"/>
      <c r="C694" s="60"/>
      <c r="D694" s="66"/>
      <c r="E694" s="66"/>
      <c r="F694" s="66"/>
      <c r="G694" s="66"/>
      <c r="H694" s="66"/>
      <c r="I694" s="66"/>
      <c r="J694" s="66"/>
      <c r="K694" s="66"/>
      <c r="L694" s="66"/>
      <c r="M694" s="66"/>
      <c r="N694" s="66"/>
    </row>
    <row r="695" spans="1:14" x14ac:dyDescent="0.2">
      <c r="A695" s="84"/>
      <c r="B695" s="84"/>
      <c r="C695" s="60"/>
      <c r="D695" s="66"/>
      <c r="E695" s="66"/>
      <c r="F695" s="66"/>
      <c r="G695" s="66"/>
      <c r="H695" s="66"/>
      <c r="I695" s="66"/>
      <c r="J695" s="66"/>
      <c r="K695" s="66"/>
      <c r="L695" s="66"/>
      <c r="M695" s="66"/>
      <c r="N695" s="66"/>
    </row>
    <row r="696" spans="1:14" x14ac:dyDescent="0.2">
      <c r="A696" s="84"/>
      <c r="B696" s="84"/>
      <c r="C696" s="60"/>
      <c r="D696" s="66"/>
      <c r="E696" s="66"/>
      <c r="F696" s="66"/>
      <c r="G696" s="66"/>
      <c r="H696" s="66"/>
      <c r="I696" s="66"/>
      <c r="J696" s="66"/>
      <c r="K696" s="66"/>
      <c r="L696" s="66"/>
      <c r="M696" s="66"/>
      <c r="N696" s="66"/>
    </row>
    <row r="697" spans="1:14" x14ac:dyDescent="0.2">
      <c r="A697" s="84"/>
      <c r="B697" s="84"/>
      <c r="C697" s="60"/>
      <c r="D697" s="66"/>
      <c r="E697" s="66"/>
      <c r="F697" s="66"/>
      <c r="G697" s="66"/>
      <c r="H697" s="66"/>
      <c r="I697" s="66"/>
      <c r="J697" s="66"/>
      <c r="K697" s="66"/>
      <c r="L697" s="66"/>
      <c r="M697" s="66"/>
      <c r="N697" s="66"/>
    </row>
    <row r="698" spans="1:14" x14ac:dyDescent="0.2">
      <c r="A698" s="84"/>
      <c r="B698" s="84"/>
      <c r="C698" s="60"/>
      <c r="D698" s="66"/>
      <c r="E698" s="66"/>
      <c r="F698" s="66"/>
      <c r="G698" s="66"/>
      <c r="H698" s="66"/>
      <c r="I698" s="66"/>
      <c r="J698" s="66"/>
      <c r="K698" s="66"/>
      <c r="L698" s="66"/>
      <c r="M698" s="66"/>
      <c r="N698" s="66"/>
    </row>
    <row r="699" spans="1:14" x14ac:dyDescent="0.2">
      <c r="A699" s="84"/>
      <c r="B699" s="84"/>
      <c r="C699" s="60"/>
      <c r="D699" s="66"/>
      <c r="E699" s="66"/>
      <c r="F699" s="66"/>
      <c r="G699" s="66"/>
      <c r="H699" s="66"/>
      <c r="I699" s="66"/>
      <c r="J699" s="66"/>
      <c r="K699" s="66"/>
      <c r="L699" s="66"/>
      <c r="M699" s="66"/>
      <c r="N699" s="66"/>
    </row>
    <row r="700" spans="1:14" x14ac:dyDescent="0.2">
      <c r="A700" s="84"/>
      <c r="B700" s="84"/>
      <c r="C700" s="60"/>
      <c r="D700" s="66"/>
      <c r="E700" s="66"/>
      <c r="F700" s="66"/>
      <c r="G700" s="66"/>
      <c r="H700" s="66"/>
      <c r="I700" s="66"/>
      <c r="J700" s="66"/>
      <c r="K700" s="66"/>
      <c r="L700" s="66"/>
      <c r="M700" s="66"/>
      <c r="N700" s="66"/>
    </row>
    <row r="701" spans="1:14" x14ac:dyDescent="0.2">
      <c r="A701" s="84"/>
      <c r="B701" s="84"/>
      <c r="C701" s="60"/>
      <c r="D701" s="66"/>
      <c r="E701" s="66"/>
      <c r="F701" s="66"/>
      <c r="G701" s="66"/>
      <c r="H701" s="66"/>
      <c r="I701" s="66"/>
      <c r="J701" s="66"/>
      <c r="K701" s="66"/>
      <c r="L701" s="66"/>
      <c r="M701" s="66"/>
      <c r="N701" s="66"/>
    </row>
    <row r="702" spans="1:14" x14ac:dyDescent="0.2">
      <c r="A702" s="84"/>
      <c r="B702" s="84"/>
      <c r="C702" s="60"/>
      <c r="D702" s="66"/>
      <c r="E702" s="66"/>
      <c r="F702" s="66"/>
      <c r="G702" s="66"/>
      <c r="H702" s="66"/>
      <c r="I702" s="66"/>
      <c r="J702" s="66"/>
      <c r="K702" s="66"/>
      <c r="L702" s="66"/>
      <c r="M702" s="66"/>
      <c r="N702" s="66"/>
    </row>
    <row r="703" spans="1:14" x14ac:dyDescent="0.2">
      <c r="A703" s="84"/>
      <c r="B703" s="84"/>
      <c r="C703" s="60"/>
      <c r="D703" s="66"/>
      <c r="E703" s="66"/>
      <c r="F703" s="66"/>
      <c r="G703" s="66"/>
      <c r="H703" s="66"/>
      <c r="I703" s="66"/>
      <c r="J703" s="66"/>
      <c r="K703" s="66"/>
      <c r="L703" s="66"/>
      <c r="M703" s="66"/>
      <c r="N703" s="66"/>
    </row>
    <row r="704" spans="1:14" x14ac:dyDescent="0.2">
      <c r="A704" s="84"/>
      <c r="B704" s="84"/>
      <c r="C704" s="60"/>
      <c r="D704" s="66"/>
      <c r="E704" s="66"/>
      <c r="F704" s="66"/>
      <c r="G704" s="66"/>
      <c r="H704" s="66"/>
      <c r="I704" s="66"/>
      <c r="J704" s="66"/>
      <c r="K704" s="66"/>
      <c r="L704" s="66"/>
      <c r="M704" s="66"/>
      <c r="N704" s="66"/>
    </row>
    <row r="705" spans="1:14" x14ac:dyDescent="0.2">
      <c r="A705" s="84"/>
      <c r="B705" s="84"/>
      <c r="C705" s="60"/>
      <c r="D705" s="66"/>
      <c r="E705" s="66"/>
      <c r="F705" s="66"/>
      <c r="G705" s="66"/>
      <c r="H705" s="66"/>
      <c r="I705" s="66"/>
      <c r="J705" s="66"/>
      <c r="K705" s="66"/>
      <c r="L705" s="66"/>
      <c r="M705" s="66"/>
      <c r="N705" s="66"/>
    </row>
    <row r="706" spans="1:14" x14ac:dyDescent="0.2">
      <c r="A706" s="84"/>
      <c r="B706" s="84"/>
      <c r="C706" s="60"/>
      <c r="D706" s="66"/>
      <c r="E706" s="66"/>
      <c r="F706" s="66"/>
      <c r="G706" s="66"/>
      <c r="H706" s="66"/>
      <c r="I706" s="66"/>
      <c r="J706" s="66"/>
      <c r="K706" s="66"/>
      <c r="L706" s="66"/>
      <c r="M706" s="66"/>
      <c r="N706" s="66"/>
    </row>
    <row r="707" spans="1:14" x14ac:dyDescent="0.2">
      <c r="A707" s="84"/>
      <c r="B707" s="84"/>
      <c r="C707" s="60"/>
      <c r="D707" s="66"/>
      <c r="E707" s="66"/>
      <c r="F707" s="66"/>
      <c r="G707" s="66"/>
      <c r="H707" s="66"/>
      <c r="I707" s="66"/>
      <c r="J707" s="66"/>
      <c r="K707" s="66"/>
      <c r="L707" s="66"/>
      <c r="M707" s="66"/>
      <c r="N707" s="66"/>
    </row>
    <row r="708" spans="1:14" x14ac:dyDescent="0.2">
      <c r="A708" s="84"/>
      <c r="B708" s="84"/>
      <c r="C708" s="60"/>
      <c r="D708" s="66"/>
      <c r="E708" s="66"/>
      <c r="F708" s="66"/>
      <c r="G708" s="66"/>
      <c r="H708" s="66"/>
      <c r="I708" s="66"/>
      <c r="J708" s="66"/>
      <c r="K708" s="66"/>
      <c r="L708" s="66"/>
      <c r="M708" s="66"/>
      <c r="N708" s="66"/>
    </row>
    <row r="709" spans="1:14" x14ac:dyDescent="0.2">
      <c r="A709" s="84"/>
      <c r="B709" s="84"/>
      <c r="C709" s="60"/>
      <c r="D709" s="66"/>
      <c r="E709" s="66"/>
      <c r="F709" s="66"/>
      <c r="G709" s="66"/>
      <c r="H709" s="66"/>
      <c r="I709" s="66"/>
      <c r="J709" s="66"/>
      <c r="K709" s="66"/>
      <c r="L709" s="66"/>
      <c r="M709" s="66"/>
      <c r="N709" s="66"/>
    </row>
    <row r="710" spans="1:14" x14ac:dyDescent="0.2">
      <c r="A710" s="84"/>
      <c r="B710" s="84"/>
      <c r="C710" s="60"/>
      <c r="D710" s="66"/>
      <c r="E710" s="66"/>
      <c r="F710" s="66"/>
      <c r="G710" s="66"/>
      <c r="H710" s="66"/>
      <c r="I710" s="66"/>
      <c r="J710" s="66"/>
      <c r="K710" s="66"/>
      <c r="L710" s="66"/>
      <c r="M710" s="66"/>
      <c r="N710" s="66"/>
    </row>
    <row r="711" spans="1:14" x14ac:dyDescent="0.2">
      <c r="A711" s="84"/>
      <c r="B711" s="84"/>
      <c r="C711" s="60"/>
      <c r="D711" s="66"/>
      <c r="E711" s="66"/>
      <c r="F711" s="66"/>
      <c r="G711" s="66"/>
      <c r="H711" s="66"/>
      <c r="I711" s="66"/>
      <c r="J711" s="66"/>
      <c r="K711" s="66"/>
      <c r="L711" s="66"/>
      <c r="M711" s="66"/>
      <c r="N711" s="66"/>
    </row>
    <row r="712" spans="1:14" x14ac:dyDescent="0.2">
      <c r="A712" s="84"/>
      <c r="B712" s="84"/>
      <c r="C712" s="60"/>
      <c r="D712" s="66"/>
      <c r="E712" s="66"/>
      <c r="F712" s="66"/>
      <c r="G712" s="66"/>
      <c r="H712" s="66"/>
      <c r="I712" s="66"/>
      <c r="J712" s="66"/>
      <c r="K712" s="66"/>
      <c r="L712" s="66"/>
      <c r="M712" s="66"/>
      <c r="N712" s="66"/>
    </row>
    <row r="713" spans="1:14" x14ac:dyDescent="0.2">
      <c r="A713" s="84"/>
      <c r="B713" s="84"/>
      <c r="C713" s="60"/>
      <c r="D713" s="66"/>
      <c r="E713" s="66"/>
      <c r="F713" s="66"/>
      <c r="G713" s="66"/>
      <c r="H713" s="66"/>
      <c r="I713" s="66"/>
      <c r="J713" s="66"/>
      <c r="K713" s="66"/>
      <c r="L713" s="66"/>
      <c r="M713" s="66"/>
      <c r="N713" s="66"/>
    </row>
    <row r="714" spans="1:14" x14ac:dyDescent="0.2">
      <c r="A714" s="84"/>
      <c r="B714" s="84"/>
      <c r="C714" s="60"/>
      <c r="D714" s="66"/>
      <c r="E714" s="66"/>
      <c r="F714" s="66"/>
      <c r="G714" s="66"/>
      <c r="H714" s="66"/>
      <c r="I714" s="66"/>
      <c r="J714" s="66"/>
      <c r="K714" s="66"/>
      <c r="L714" s="66"/>
      <c r="M714" s="66"/>
      <c r="N714" s="66"/>
    </row>
    <row r="715" spans="1:14" x14ac:dyDescent="0.2">
      <c r="A715" s="84"/>
      <c r="B715" s="84"/>
      <c r="C715" s="60"/>
      <c r="D715" s="66"/>
      <c r="E715" s="66"/>
      <c r="F715" s="66"/>
      <c r="G715" s="66"/>
      <c r="H715" s="66"/>
      <c r="I715" s="66"/>
      <c r="J715" s="66"/>
      <c r="K715" s="66"/>
      <c r="L715" s="66"/>
      <c r="M715" s="66"/>
      <c r="N715" s="66"/>
    </row>
    <row r="716" spans="1:14" x14ac:dyDescent="0.2">
      <c r="A716" s="84"/>
      <c r="B716" s="84"/>
      <c r="C716" s="60"/>
      <c r="D716" s="66"/>
      <c r="E716" s="66"/>
      <c r="F716" s="66"/>
      <c r="G716" s="66"/>
      <c r="H716" s="66"/>
      <c r="I716" s="66"/>
      <c r="J716" s="66"/>
      <c r="K716" s="66"/>
      <c r="L716" s="66"/>
      <c r="M716" s="66"/>
      <c r="N716" s="66"/>
    </row>
    <row r="717" spans="1:14" x14ac:dyDescent="0.2">
      <c r="A717" s="84"/>
      <c r="B717" s="84"/>
      <c r="C717" s="60"/>
      <c r="D717" s="66"/>
      <c r="E717" s="66"/>
      <c r="F717" s="66"/>
      <c r="G717" s="66"/>
      <c r="H717" s="66"/>
      <c r="I717" s="66"/>
      <c r="J717" s="66"/>
      <c r="K717" s="66"/>
      <c r="L717" s="66"/>
      <c r="M717" s="66"/>
      <c r="N717" s="66"/>
    </row>
    <row r="718" spans="1:14" x14ac:dyDescent="0.2">
      <c r="A718" s="84"/>
      <c r="B718" s="84"/>
      <c r="C718" s="60"/>
      <c r="D718" s="66"/>
      <c r="E718" s="66"/>
      <c r="F718" s="66"/>
      <c r="G718" s="66"/>
      <c r="H718" s="66"/>
      <c r="I718" s="66"/>
      <c r="J718" s="66"/>
      <c r="K718" s="66"/>
      <c r="L718" s="66"/>
      <c r="M718" s="66"/>
      <c r="N718" s="66"/>
    </row>
    <row r="719" spans="1:14" x14ac:dyDescent="0.2">
      <c r="A719" s="84"/>
      <c r="B719" s="84"/>
      <c r="C719" s="60"/>
      <c r="D719" s="66"/>
      <c r="E719" s="66"/>
      <c r="F719" s="66"/>
      <c r="G719" s="66"/>
      <c r="H719" s="66"/>
      <c r="I719" s="66"/>
      <c r="J719" s="66"/>
      <c r="K719" s="66"/>
      <c r="L719" s="66"/>
      <c r="M719" s="66"/>
      <c r="N719" s="66"/>
    </row>
    <row r="720" spans="1:14" x14ac:dyDescent="0.2">
      <c r="A720" s="84"/>
      <c r="B720" s="84"/>
      <c r="C720" s="60"/>
      <c r="D720" s="66"/>
      <c r="E720" s="66"/>
      <c r="F720" s="66"/>
      <c r="G720" s="66"/>
      <c r="H720" s="66"/>
      <c r="I720" s="66"/>
      <c r="J720" s="66"/>
      <c r="K720" s="66"/>
      <c r="L720" s="66"/>
      <c r="M720" s="66"/>
      <c r="N720" s="66"/>
    </row>
    <row r="721" spans="1:14" x14ac:dyDescent="0.2">
      <c r="A721" s="84"/>
      <c r="B721" s="84"/>
      <c r="C721" s="60"/>
      <c r="D721" s="66"/>
      <c r="E721" s="66"/>
      <c r="F721" s="66"/>
      <c r="G721" s="66"/>
      <c r="H721" s="66"/>
      <c r="I721" s="66"/>
      <c r="J721" s="66"/>
      <c r="K721" s="66"/>
      <c r="L721" s="66"/>
      <c r="M721" s="66"/>
      <c r="N721" s="66"/>
    </row>
    <row r="722" spans="1:14" x14ac:dyDescent="0.2">
      <c r="A722" s="84"/>
      <c r="B722" s="84"/>
      <c r="C722" s="60"/>
      <c r="D722" s="66"/>
      <c r="E722" s="66"/>
      <c r="F722" s="66"/>
      <c r="G722" s="66"/>
      <c r="H722" s="66"/>
      <c r="I722" s="66"/>
      <c r="J722" s="66"/>
      <c r="K722" s="66"/>
      <c r="L722" s="66"/>
      <c r="M722" s="66"/>
      <c r="N722" s="66"/>
    </row>
    <row r="723" spans="1:14" x14ac:dyDescent="0.2">
      <c r="A723" s="84"/>
      <c r="B723" s="84"/>
      <c r="C723" s="60"/>
      <c r="D723" s="66"/>
      <c r="E723" s="66"/>
      <c r="F723" s="66"/>
      <c r="G723" s="66"/>
      <c r="H723" s="66"/>
      <c r="I723" s="66"/>
      <c r="J723" s="66"/>
      <c r="K723" s="66"/>
      <c r="L723" s="66"/>
      <c r="M723" s="66"/>
      <c r="N723" s="66"/>
    </row>
    <row r="724" spans="1:14" x14ac:dyDescent="0.2">
      <c r="A724" s="84"/>
      <c r="B724" s="84"/>
      <c r="C724" s="60"/>
      <c r="D724" s="66"/>
      <c r="E724" s="66"/>
      <c r="F724" s="66"/>
      <c r="G724" s="66"/>
      <c r="H724" s="66"/>
      <c r="I724" s="66"/>
      <c r="J724" s="66"/>
      <c r="K724" s="66"/>
      <c r="L724" s="66"/>
      <c r="M724" s="66"/>
      <c r="N724" s="66"/>
    </row>
    <row r="725" spans="1:14" x14ac:dyDescent="0.2">
      <c r="A725" s="84"/>
      <c r="B725" s="84"/>
      <c r="C725" s="60"/>
      <c r="D725" s="66"/>
      <c r="E725" s="66"/>
      <c r="F725" s="66"/>
      <c r="G725" s="66"/>
      <c r="H725" s="66"/>
      <c r="I725" s="66"/>
      <c r="J725" s="66"/>
      <c r="K725" s="66"/>
      <c r="L725" s="66"/>
      <c r="M725" s="66"/>
      <c r="N725" s="66"/>
    </row>
    <row r="726" spans="1:14" x14ac:dyDescent="0.2">
      <c r="A726" s="84"/>
      <c r="B726" s="84"/>
      <c r="C726" s="60"/>
      <c r="D726" s="66"/>
      <c r="E726" s="66"/>
      <c r="F726" s="66"/>
      <c r="G726" s="66"/>
      <c r="H726" s="66"/>
      <c r="I726" s="66"/>
      <c r="J726" s="66"/>
      <c r="K726" s="66"/>
      <c r="L726" s="66"/>
      <c r="M726" s="66"/>
      <c r="N726" s="66"/>
    </row>
    <row r="727" spans="1:14" x14ac:dyDescent="0.2">
      <c r="A727" s="84"/>
      <c r="B727" s="84"/>
      <c r="C727" s="60"/>
      <c r="D727" s="66"/>
      <c r="E727" s="66"/>
      <c r="F727" s="66"/>
      <c r="G727" s="66"/>
      <c r="H727" s="66"/>
      <c r="I727" s="66"/>
      <c r="J727" s="66"/>
      <c r="K727" s="66"/>
      <c r="L727" s="66"/>
      <c r="M727" s="66"/>
      <c r="N727" s="66"/>
    </row>
    <row r="728" spans="1:14" x14ac:dyDescent="0.2">
      <c r="A728" s="84"/>
      <c r="B728" s="84"/>
      <c r="C728" s="60"/>
      <c r="D728" s="66"/>
      <c r="E728" s="66"/>
      <c r="F728" s="66"/>
      <c r="G728" s="66"/>
      <c r="H728" s="66"/>
      <c r="I728" s="66"/>
      <c r="J728" s="66"/>
      <c r="K728" s="66"/>
      <c r="L728" s="66"/>
      <c r="M728" s="66"/>
      <c r="N728" s="66"/>
    </row>
    <row r="729" spans="1:14" x14ac:dyDescent="0.2">
      <c r="A729" s="84"/>
      <c r="B729" s="84"/>
      <c r="C729" s="60"/>
      <c r="D729" s="66"/>
      <c r="E729" s="66"/>
      <c r="F729" s="66"/>
      <c r="G729" s="66"/>
      <c r="H729" s="66"/>
      <c r="I729" s="66"/>
      <c r="J729" s="66"/>
      <c r="K729" s="66"/>
      <c r="L729" s="66"/>
      <c r="M729" s="66"/>
      <c r="N729" s="66"/>
    </row>
    <row r="730" spans="1:14" x14ac:dyDescent="0.2">
      <c r="A730" s="84"/>
      <c r="B730" s="84"/>
      <c r="C730" s="60"/>
      <c r="D730" s="66"/>
      <c r="E730" s="66"/>
      <c r="F730" s="66"/>
      <c r="G730" s="66"/>
      <c r="H730" s="66"/>
      <c r="I730" s="66"/>
      <c r="J730" s="66"/>
      <c r="K730" s="66"/>
      <c r="L730" s="66"/>
      <c r="M730" s="66"/>
      <c r="N730" s="66"/>
    </row>
    <row r="731" spans="1:14" x14ac:dyDescent="0.2">
      <c r="A731" s="84"/>
      <c r="B731" s="84"/>
      <c r="C731" s="60"/>
      <c r="D731" s="66"/>
      <c r="E731" s="66"/>
      <c r="F731" s="66"/>
      <c r="G731" s="66"/>
      <c r="H731" s="66"/>
      <c r="I731" s="66"/>
      <c r="J731" s="66"/>
      <c r="K731" s="66"/>
      <c r="L731" s="66"/>
      <c r="M731" s="66"/>
      <c r="N731" s="66"/>
    </row>
    <row r="732" spans="1:14" x14ac:dyDescent="0.2">
      <c r="A732" s="84"/>
      <c r="B732" s="84"/>
      <c r="C732" s="60"/>
      <c r="D732" s="66"/>
      <c r="E732" s="66"/>
      <c r="F732" s="66"/>
      <c r="G732" s="66"/>
      <c r="H732" s="66"/>
      <c r="I732" s="66"/>
      <c r="J732" s="66"/>
      <c r="K732" s="66"/>
      <c r="L732" s="66"/>
      <c r="M732" s="66"/>
      <c r="N732" s="66"/>
    </row>
    <row r="733" spans="1:14" x14ac:dyDescent="0.2">
      <c r="A733" s="84"/>
      <c r="B733" s="84"/>
      <c r="C733" s="60"/>
      <c r="D733" s="66"/>
      <c r="E733" s="66"/>
      <c r="F733" s="66"/>
      <c r="G733" s="66"/>
      <c r="H733" s="66"/>
      <c r="I733" s="66"/>
      <c r="J733" s="66"/>
      <c r="K733" s="66"/>
      <c r="L733" s="66"/>
      <c r="M733" s="66"/>
      <c r="N733" s="66"/>
    </row>
    <row r="734" spans="1:14" x14ac:dyDescent="0.2">
      <c r="A734" s="84"/>
      <c r="B734" s="84"/>
      <c r="C734" s="60"/>
      <c r="D734" s="66"/>
      <c r="E734" s="66"/>
      <c r="F734" s="66"/>
      <c r="G734" s="66"/>
      <c r="H734" s="66"/>
      <c r="I734" s="66"/>
      <c r="J734" s="66"/>
      <c r="K734" s="66"/>
      <c r="L734" s="66"/>
      <c r="M734" s="66"/>
      <c r="N734" s="66"/>
    </row>
    <row r="735" spans="1:14" x14ac:dyDescent="0.2">
      <c r="A735" s="84"/>
      <c r="B735" s="84"/>
      <c r="C735" s="60"/>
      <c r="D735" s="66"/>
      <c r="E735" s="66"/>
      <c r="F735" s="66"/>
      <c r="G735" s="66"/>
      <c r="H735" s="66"/>
      <c r="I735" s="66"/>
      <c r="J735" s="66"/>
      <c r="K735" s="66"/>
      <c r="L735" s="66"/>
      <c r="M735" s="66"/>
      <c r="N735" s="66"/>
    </row>
    <row r="736" spans="1:14" x14ac:dyDescent="0.2">
      <c r="A736" s="84"/>
      <c r="B736" s="84"/>
      <c r="C736" s="60"/>
      <c r="D736" s="66"/>
      <c r="E736" s="66"/>
      <c r="F736" s="66"/>
      <c r="G736" s="66"/>
      <c r="H736" s="66"/>
      <c r="I736" s="66"/>
      <c r="J736" s="66"/>
      <c r="K736" s="66"/>
      <c r="L736" s="66"/>
      <c r="M736" s="66"/>
      <c r="N736" s="66"/>
    </row>
    <row r="737" spans="1:14" x14ac:dyDescent="0.2">
      <c r="A737" s="84"/>
      <c r="B737" s="84"/>
      <c r="C737" s="60"/>
      <c r="D737" s="66"/>
      <c r="E737" s="66"/>
      <c r="F737" s="66"/>
      <c r="G737" s="66"/>
      <c r="H737" s="66"/>
      <c r="I737" s="66"/>
      <c r="J737" s="66"/>
      <c r="K737" s="66"/>
      <c r="L737" s="66"/>
      <c r="M737" s="66"/>
      <c r="N737" s="66"/>
    </row>
    <row r="738" spans="1:14" x14ac:dyDescent="0.2">
      <c r="A738" s="84"/>
      <c r="B738" s="84"/>
      <c r="C738" s="60"/>
      <c r="D738" s="66"/>
      <c r="E738" s="66"/>
      <c r="F738" s="66"/>
      <c r="G738" s="66"/>
      <c r="H738" s="66"/>
      <c r="I738" s="66"/>
      <c r="J738" s="66"/>
      <c r="K738" s="66"/>
      <c r="L738" s="66"/>
      <c r="M738" s="66"/>
      <c r="N738" s="66"/>
    </row>
    <row r="739" spans="1:14" x14ac:dyDescent="0.2">
      <c r="A739" s="84"/>
      <c r="B739" s="84"/>
      <c r="C739" s="60"/>
      <c r="D739" s="66"/>
      <c r="E739" s="66"/>
      <c r="F739" s="66"/>
      <c r="G739" s="66"/>
      <c r="H739" s="66"/>
      <c r="I739" s="66"/>
      <c r="J739" s="66"/>
      <c r="K739" s="66"/>
      <c r="L739" s="66"/>
      <c r="M739" s="66"/>
      <c r="N739" s="66"/>
    </row>
    <row r="740" spans="1:14" x14ac:dyDescent="0.2">
      <c r="A740" s="84"/>
      <c r="B740" s="84"/>
      <c r="C740" s="60"/>
      <c r="D740" s="66"/>
      <c r="E740" s="66"/>
      <c r="F740" s="66"/>
      <c r="G740" s="66"/>
      <c r="H740" s="66"/>
      <c r="I740" s="66"/>
      <c r="J740" s="66"/>
      <c r="K740" s="66"/>
      <c r="L740" s="66"/>
      <c r="M740" s="66"/>
      <c r="N740" s="66"/>
    </row>
    <row r="741" spans="1:14" x14ac:dyDescent="0.2">
      <c r="A741" s="84"/>
      <c r="B741" s="84"/>
      <c r="C741" s="60"/>
      <c r="D741" s="66"/>
      <c r="E741" s="66"/>
      <c r="F741" s="66"/>
      <c r="G741" s="66"/>
      <c r="H741" s="66"/>
      <c r="I741" s="66"/>
      <c r="J741" s="66"/>
      <c r="K741" s="66"/>
      <c r="L741" s="66"/>
      <c r="M741" s="66"/>
      <c r="N741" s="66"/>
    </row>
    <row r="742" spans="1:14" x14ac:dyDescent="0.2">
      <c r="A742" s="84"/>
      <c r="B742" s="84"/>
      <c r="C742" s="60"/>
      <c r="D742" s="66"/>
      <c r="E742" s="66"/>
      <c r="F742" s="66"/>
      <c r="G742" s="66"/>
      <c r="H742" s="66"/>
      <c r="I742" s="66"/>
      <c r="J742" s="66"/>
      <c r="K742" s="66"/>
      <c r="L742" s="66"/>
      <c r="M742" s="66"/>
      <c r="N742" s="66"/>
    </row>
    <row r="743" spans="1:14" x14ac:dyDescent="0.2">
      <c r="A743" s="84"/>
      <c r="B743" s="84"/>
      <c r="C743" s="60"/>
      <c r="D743" s="66"/>
      <c r="E743" s="66"/>
      <c r="F743" s="66"/>
      <c r="G743" s="66"/>
      <c r="H743" s="66"/>
      <c r="I743" s="66"/>
      <c r="J743" s="66"/>
      <c r="K743" s="66"/>
      <c r="L743" s="66"/>
      <c r="M743" s="66"/>
      <c r="N743" s="66"/>
    </row>
    <row r="744" spans="1:14" x14ac:dyDescent="0.2">
      <c r="A744" s="84"/>
      <c r="B744" s="84"/>
      <c r="C744" s="60"/>
      <c r="D744" s="66"/>
      <c r="E744" s="66"/>
      <c r="F744" s="66"/>
      <c r="G744" s="66"/>
      <c r="H744" s="66"/>
      <c r="I744" s="66"/>
      <c r="J744" s="66"/>
      <c r="K744" s="66"/>
      <c r="L744" s="66"/>
      <c r="M744" s="66"/>
      <c r="N744" s="66"/>
    </row>
    <row r="745" spans="1:14" x14ac:dyDescent="0.2">
      <c r="A745" s="84"/>
      <c r="B745" s="84"/>
      <c r="C745" s="60"/>
      <c r="D745" s="66"/>
      <c r="E745" s="66"/>
      <c r="F745" s="66"/>
      <c r="G745" s="66"/>
      <c r="H745" s="66"/>
      <c r="I745" s="66"/>
      <c r="J745" s="66"/>
      <c r="K745" s="66"/>
      <c r="L745" s="66"/>
      <c r="M745" s="66"/>
      <c r="N745" s="66"/>
    </row>
    <row r="746" spans="1:14" x14ac:dyDescent="0.2">
      <c r="A746" s="84"/>
      <c r="B746" s="84"/>
      <c r="C746" s="60"/>
      <c r="D746" s="66"/>
      <c r="E746" s="66"/>
      <c r="F746" s="66"/>
      <c r="G746" s="66"/>
      <c r="H746" s="66"/>
      <c r="I746" s="66"/>
      <c r="J746" s="66"/>
      <c r="K746" s="66"/>
      <c r="L746" s="66"/>
      <c r="M746" s="66"/>
      <c r="N746" s="66"/>
    </row>
    <row r="747" spans="1:14" x14ac:dyDescent="0.2">
      <c r="A747" s="84"/>
      <c r="B747" s="84"/>
      <c r="C747" s="60"/>
      <c r="D747" s="66"/>
      <c r="E747" s="66"/>
      <c r="F747" s="66"/>
      <c r="G747" s="66"/>
      <c r="H747" s="66"/>
      <c r="I747" s="66"/>
      <c r="J747" s="66"/>
      <c r="K747" s="66"/>
      <c r="L747" s="66"/>
      <c r="M747" s="66"/>
      <c r="N747" s="66"/>
    </row>
    <row r="748" spans="1:14" x14ac:dyDescent="0.2">
      <c r="A748" s="84"/>
      <c r="B748" s="84"/>
      <c r="C748" s="60"/>
      <c r="D748" s="66"/>
      <c r="E748" s="66"/>
      <c r="F748" s="66"/>
      <c r="G748" s="66"/>
      <c r="H748" s="66"/>
      <c r="I748" s="66"/>
      <c r="J748" s="66"/>
      <c r="K748" s="66"/>
      <c r="L748" s="66"/>
      <c r="M748" s="66"/>
      <c r="N748" s="66"/>
    </row>
    <row r="749" spans="1:14" x14ac:dyDescent="0.2">
      <c r="A749" s="84"/>
      <c r="B749" s="84"/>
      <c r="C749" s="60"/>
      <c r="D749" s="66"/>
      <c r="E749" s="66"/>
      <c r="F749" s="66"/>
      <c r="G749" s="66"/>
      <c r="H749" s="66"/>
      <c r="I749" s="66"/>
      <c r="J749" s="66"/>
      <c r="K749" s="66"/>
      <c r="L749" s="66"/>
      <c r="M749" s="66"/>
      <c r="N749" s="66"/>
    </row>
    <row r="750" spans="1:14" x14ac:dyDescent="0.2">
      <c r="A750" s="84"/>
      <c r="B750" s="84"/>
      <c r="C750" s="60"/>
      <c r="D750" s="66"/>
      <c r="E750" s="66"/>
      <c r="F750" s="66"/>
      <c r="G750" s="66"/>
      <c r="H750" s="66"/>
      <c r="I750" s="66"/>
      <c r="J750" s="66"/>
      <c r="K750" s="66"/>
      <c r="L750" s="66"/>
      <c r="M750" s="66"/>
      <c r="N750" s="66"/>
    </row>
    <row r="751" spans="1:14" x14ac:dyDescent="0.2">
      <c r="A751" s="84"/>
      <c r="B751" s="84"/>
      <c r="C751" s="60"/>
      <c r="D751" s="66"/>
      <c r="E751" s="66"/>
      <c r="F751" s="66"/>
      <c r="G751" s="66"/>
      <c r="H751" s="66"/>
      <c r="I751" s="66"/>
      <c r="J751" s="66"/>
      <c r="K751" s="66"/>
      <c r="L751" s="66"/>
      <c r="M751" s="66"/>
      <c r="N751" s="66"/>
    </row>
    <row r="752" spans="1:14" x14ac:dyDescent="0.2">
      <c r="A752" s="84"/>
      <c r="B752" s="84"/>
      <c r="C752" s="60"/>
      <c r="D752" s="66"/>
      <c r="E752" s="66"/>
      <c r="F752" s="66"/>
      <c r="G752" s="66"/>
      <c r="H752" s="66"/>
      <c r="I752" s="66"/>
      <c r="J752" s="66"/>
      <c r="K752" s="66"/>
      <c r="L752" s="66"/>
      <c r="M752" s="66"/>
      <c r="N752" s="66"/>
    </row>
    <row r="753" spans="1:14" x14ac:dyDescent="0.2">
      <c r="A753" s="84"/>
      <c r="B753" s="84"/>
      <c r="C753" s="60"/>
      <c r="D753" s="66"/>
      <c r="E753" s="66"/>
      <c r="F753" s="66"/>
      <c r="G753" s="66"/>
      <c r="H753" s="66"/>
      <c r="I753" s="66"/>
      <c r="J753" s="66"/>
      <c r="K753" s="66"/>
      <c r="L753" s="66"/>
      <c r="M753" s="66"/>
      <c r="N753" s="66"/>
    </row>
    <row r="754" spans="1:14" x14ac:dyDescent="0.2">
      <c r="A754" s="84"/>
      <c r="B754" s="84"/>
      <c r="C754" s="60"/>
      <c r="D754" s="66"/>
      <c r="E754" s="66"/>
      <c r="F754" s="66"/>
      <c r="G754" s="66"/>
      <c r="H754" s="66"/>
      <c r="I754" s="66"/>
      <c r="J754" s="66"/>
      <c r="K754" s="66"/>
      <c r="L754" s="66"/>
      <c r="M754" s="66"/>
      <c r="N754" s="66"/>
    </row>
    <row r="755" spans="1:14" x14ac:dyDescent="0.2">
      <c r="A755" s="84"/>
      <c r="B755" s="84"/>
      <c r="C755" s="60"/>
      <c r="D755" s="66"/>
      <c r="E755" s="66"/>
      <c r="F755" s="66"/>
      <c r="G755" s="66"/>
      <c r="H755" s="66"/>
      <c r="I755" s="66"/>
      <c r="J755" s="66"/>
      <c r="K755" s="66"/>
      <c r="L755" s="66"/>
      <c r="M755" s="66"/>
      <c r="N755" s="66"/>
    </row>
    <row r="756" spans="1:14" x14ac:dyDescent="0.2">
      <c r="A756" s="84"/>
      <c r="B756" s="84"/>
      <c r="C756" s="60"/>
      <c r="D756" s="66"/>
      <c r="E756" s="66"/>
      <c r="F756" s="66"/>
      <c r="G756" s="66"/>
      <c r="H756" s="66"/>
      <c r="I756" s="66"/>
      <c r="J756" s="66"/>
      <c r="K756" s="66"/>
      <c r="L756" s="66"/>
      <c r="M756" s="66"/>
      <c r="N756" s="66"/>
    </row>
    <row r="757" spans="1:14" x14ac:dyDescent="0.2">
      <c r="A757" s="84"/>
      <c r="B757" s="84"/>
      <c r="C757" s="60"/>
      <c r="D757" s="66"/>
      <c r="E757" s="66"/>
      <c r="F757" s="66"/>
      <c r="G757" s="66"/>
      <c r="H757" s="66"/>
      <c r="I757" s="66"/>
      <c r="J757" s="66"/>
      <c r="K757" s="66"/>
      <c r="L757" s="66"/>
      <c r="M757" s="66"/>
      <c r="N757" s="66"/>
    </row>
    <row r="758" spans="1:14" x14ac:dyDescent="0.2">
      <c r="A758" s="84"/>
      <c r="B758" s="84"/>
      <c r="C758" s="60"/>
      <c r="D758" s="66"/>
      <c r="E758" s="66"/>
      <c r="F758" s="66"/>
      <c r="G758" s="66"/>
      <c r="H758" s="66"/>
      <c r="I758" s="66"/>
      <c r="J758" s="66"/>
      <c r="K758" s="66"/>
      <c r="L758" s="66"/>
      <c r="M758" s="66"/>
      <c r="N758" s="66"/>
    </row>
    <row r="759" spans="1:14" x14ac:dyDescent="0.2">
      <c r="A759" s="84"/>
      <c r="B759" s="84"/>
      <c r="C759" s="60"/>
      <c r="D759" s="66"/>
      <c r="E759" s="66"/>
      <c r="F759" s="66"/>
      <c r="G759" s="66"/>
      <c r="H759" s="66"/>
      <c r="I759" s="66"/>
      <c r="J759" s="66"/>
      <c r="K759" s="66"/>
      <c r="L759" s="66"/>
      <c r="M759" s="66"/>
      <c r="N759" s="66"/>
    </row>
    <row r="760" spans="1:14" x14ac:dyDescent="0.2">
      <c r="A760" s="84"/>
      <c r="B760" s="84"/>
      <c r="C760" s="60"/>
      <c r="D760" s="66"/>
      <c r="E760" s="66"/>
      <c r="F760" s="66"/>
      <c r="G760" s="66"/>
      <c r="H760" s="66"/>
      <c r="I760" s="66"/>
      <c r="J760" s="66"/>
      <c r="K760" s="66"/>
      <c r="L760" s="66"/>
      <c r="M760" s="66"/>
      <c r="N760" s="66"/>
    </row>
    <row r="761" spans="1:14" x14ac:dyDescent="0.2">
      <c r="A761" s="84"/>
      <c r="B761" s="84"/>
      <c r="C761" s="60"/>
      <c r="D761" s="66"/>
      <c r="E761" s="66"/>
      <c r="F761" s="66"/>
      <c r="G761" s="66"/>
      <c r="H761" s="66"/>
      <c r="I761" s="66"/>
      <c r="J761" s="66"/>
      <c r="K761" s="66"/>
      <c r="L761" s="66"/>
      <c r="M761" s="66"/>
      <c r="N761" s="66"/>
    </row>
    <row r="762" spans="1:14" x14ac:dyDescent="0.2">
      <c r="A762" s="84"/>
      <c r="B762" s="84"/>
      <c r="C762" s="60"/>
      <c r="D762" s="66"/>
      <c r="E762" s="66"/>
      <c r="F762" s="66"/>
      <c r="G762" s="66"/>
      <c r="H762" s="66"/>
      <c r="I762" s="66"/>
      <c r="J762" s="66"/>
      <c r="K762" s="66"/>
      <c r="L762" s="66"/>
      <c r="M762" s="66"/>
      <c r="N762" s="66"/>
    </row>
    <row r="763" spans="1:14" x14ac:dyDescent="0.2">
      <c r="A763" s="84"/>
      <c r="B763" s="84"/>
      <c r="C763" s="60"/>
      <c r="D763" s="66"/>
      <c r="E763" s="66"/>
      <c r="F763" s="66"/>
      <c r="G763" s="66"/>
      <c r="H763" s="66"/>
      <c r="I763" s="66"/>
      <c r="J763" s="66"/>
      <c r="K763" s="66"/>
      <c r="L763" s="66"/>
      <c r="M763" s="66"/>
      <c r="N763" s="66"/>
    </row>
    <row r="764" spans="1:14" x14ac:dyDescent="0.2">
      <c r="A764" s="84"/>
      <c r="B764" s="84"/>
      <c r="C764" s="60"/>
      <c r="D764" s="66"/>
      <c r="E764" s="66"/>
      <c r="F764" s="66"/>
      <c r="G764" s="66"/>
      <c r="H764" s="66"/>
      <c r="I764" s="66"/>
      <c r="J764" s="66"/>
      <c r="K764" s="66"/>
      <c r="L764" s="66"/>
      <c r="M764" s="66"/>
      <c r="N764" s="66"/>
    </row>
    <row r="765" spans="1:14" x14ac:dyDescent="0.2">
      <c r="A765" s="84"/>
      <c r="B765" s="84"/>
      <c r="C765" s="60"/>
      <c r="D765" s="66"/>
      <c r="E765" s="66"/>
      <c r="F765" s="66"/>
      <c r="G765" s="66"/>
      <c r="H765" s="66"/>
      <c r="I765" s="66"/>
      <c r="J765" s="66"/>
      <c r="K765" s="66"/>
      <c r="L765" s="66"/>
      <c r="M765" s="66"/>
      <c r="N765" s="66"/>
    </row>
    <row r="766" spans="1:14" x14ac:dyDescent="0.2">
      <c r="A766" s="84"/>
      <c r="B766" s="84"/>
      <c r="C766" s="60"/>
      <c r="D766" s="66"/>
      <c r="E766" s="66"/>
      <c r="F766" s="66"/>
      <c r="G766" s="66"/>
      <c r="H766" s="66"/>
      <c r="I766" s="66"/>
      <c r="J766" s="66"/>
      <c r="K766" s="66"/>
      <c r="L766" s="66"/>
      <c r="M766" s="66"/>
      <c r="N766" s="66"/>
    </row>
    <row r="767" spans="1:14" x14ac:dyDescent="0.2">
      <c r="A767" s="84"/>
      <c r="B767" s="84"/>
      <c r="C767" s="60"/>
      <c r="D767" s="66"/>
      <c r="E767" s="66"/>
      <c r="F767" s="66"/>
      <c r="G767" s="66"/>
      <c r="H767" s="66"/>
      <c r="I767" s="66"/>
      <c r="J767" s="66"/>
      <c r="K767" s="66"/>
      <c r="L767" s="66"/>
      <c r="M767" s="66"/>
      <c r="N767" s="66"/>
    </row>
    <row r="768" spans="1:14" x14ac:dyDescent="0.2">
      <c r="A768" s="84"/>
      <c r="B768" s="84"/>
      <c r="C768" s="60"/>
      <c r="D768" s="66"/>
      <c r="E768" s="66"/>
      <c r="F768" s="66"/>
      <c r="G768" s="66"/>
      <c r="H768" s="66"/>
      <c r="I768" s="66"/>
      <c r="J768" s="66"/>
      <c r="K768" s="66"/>
      <c r="L768" s="66"/>
      <c r="M768" s="66"/>
      <c r="N768" s="66"/>
    </row>
    <row r="769" spans="1:14" x14ac:dyDescent="0.2">
      <c r="A769" s="84"/>
      <c r="B769" s="84"/>
      <c r="C769" s="60"/>
      <c r="D769" s="66"/>
      <c r="E769" s="66"/>
      <c r="F769" s="66"/>
      <c r="G769" s="66"/>
      <c r="H769" s="66"/>
      <c r="I769" s="66"/>
      <c r="J769" s="66"/>
      <c r="K769" s="66"/>
      <c r="L769" s="66"/>
      <c r="M769" s="66"/>
      <c r="N769" s="66"/>
    </row>
    <row r="770" spans="1:14" x14ac:dyDescent="0.2">
      <c r="A770" s="84"/>
      <c r="B770" s="84"/>
      <c r="C770" s="60"/>
      <c r="D770" s="66"/>
      <c r="E770" s="66"/>
      <c r="F770" s="66"/>
      <c r="G770" s="66"/>
      <c r="H770" s="66"/>
      <c r="I770" s="66"/>
      <c r="J770" s="66"/>
      <c r="K770" s="66"/>
      <c r="L770" s="66"/>
      <c r="M770" s="66"/>
      <c r="N770" s="66"/>
    </row>
    <row r="771" spans="1:14" x14ac:dyDescent="0.2">
      <c r="A771" s="84"/>
      <c r="B771" s="84"/>
      <c r="C771" s="60"/>
      <c r="D771" s="66"/>
      <c r="E771" s="66"/>
      <c r="F771" s="66"/>
      <c r="G771" s="66"/>
      <c r="H771" s="66"/>
      <c r="I771" s="66"/>
      <c r="J771" s="66"/>
      <c r="K771" s="66"/>
      <c r="L771" s="66"/>
      <c r="M771" s="66"/>
      <c r="N771" s="66"/>
    </row>
    <row r="772" spans="1:14" x14ac:dyDescent="0.2">
      <c r="A772" s="84"/>
      <c r="B772" s="84"/>
      <c r="C772" s="60"/>
      <c r="D772" s="66"/>
      <c r="E772" s="66"/>
      <c r="F772" s="66"/>
      <c r="G772" s="66"/>
      <c r="H772" s="66"/>
      <c r="I772" s="66"/>
      <c r="J772" s="66"/>
      <c r="K772" s="66"/>
      <c r="L772" s="66"/>
      <c r="M772" s="66"/>
      <c r="N772" s="66"/>
    </row>
    <row r="773" spans="1:14" x14ac:dyDescent="0.2">
      <c r="A773" s="84"/>
      <c r="B773" s="84"/>
      <c r="C773" s="60"/>
      <c r="D773" s="66"/>
      <c r="E773" s="66"/>
      <c r="F773" s="66"/>
      <c r="G773" s="66"/>
      <c r="H773" s="66"/>
      <c r="I773" s="66"/>
      <c r="J773" s="66"/>
      <c r="K773" s="66"/>
      <c r="L773" s="66"/>
      <c r="M773" s="66"/>
      <c r="N773" s="66"/>
    </row>
    <row r="774" spans="1:14" x14ac:dyDescent="0.2">
      <c r="A774" s="84"/>
      <c r="B774" s="84"/>
      <c r="C774" s="60"/>
      <c r="D774" s="66"/>
      <c r="E774" s="66"/>
      <c r="F774" s="66"/>
      <c r="G774" s="66"/>
      <c r="H774" s="66"/>
      <c r="I774" s="66"/>
      <c r="J774" s="66"/>
      <c r="K774" s="66"/>
      <c r="L774" s="66"/>
      <c r="M774" s="66"/>
      <c r="N774" s="66"/>
    </row>
    <row r="775" spans="1:14" x14ac:dyDescent="0.2">
      <c r="A775" s="84"/>
      <c r="B775" s="84"/>
      <c r="C775" s="60"/>
      <c r="D775" s="66"/>
      <c r="E775" s="66"/>
      <c r="F775" s="66"/>
      <c r="G775" s="66"/>
      <c r="H775" s="66"/>
      <c r="I775" s="66"/>
      <c r="J775" s="66"/>
      <c r="K775" s="66"/>
      <c r="L775" s="66"/>
      <c r="M775" s="66"/>
      <c r="N775" s="66"/>
    </row>
    <row r="776" spans="1:14" x14ac:dyDescent="0.2">
      <c r="A776" s="84"/>
      <c r="B776" s="84"/>
      <c r="C776" s="60"/>
      <c r="D776" s="66"/>
      <c r="E776" s="66"/>
      <c r="F776" s="66"/>
      <c r="G776" s="66"/>
      <c r="H776" s="66"/>
      <c r="I776" s="66"/>
      <c r="J776" s="66"/>
      <c r="K776" s="66"/>
      <c r="L776" s="66"/>
      <c r="M776" s="66"/>
      <c r="N776" s="66"/>
    </row>
    <row r="777" spans="1:14" x14ac:dyDescent="0.2">
      <c r="A777" s="84"/>
      <c r="B777" s="84"/>
      <c r="C777" s="60"/>
      <c r="D777" s="66"/>
      <c r="E777" s="66"/>
      <c r="F777" s="66"/>
      <c r="G777" s="66"/>
      <c r="H777" s="66"/>
      <c r="I777" s="66"/>
      <c r="J777" s="66"/>
      <c r="K777" s="66"/>
      <c r="L777" s="66"/>
      <c r="M777" s="66"/>
      <c r="N777" s="66"/>
    </row>
    <row r="778" spans="1:14" x14ac:dyDescent="0.2">
      <c r="A778" s="84"/>
      <c r="B778" s="84"/>
      <c r="C778" s="60"/>
      <c r="D778" s="66"/>
      <c r="E778" s="66"/>
      <c r="F778" s="66"/>
      <c r="G778" s="66"/>
      <c r="H778" s="66"/>
      <c r="I778" s="66"/>
      <c r="J778" s="66"/>
      <c r="K778" s="66"/>
      <c r="L778" s="66"/>
      <c r="M778" s="66"/>
      <c r="N778" s="66"/>
    </row>
    <row r="779" spans="1:14" x14ac:dyDescent="0.2">
      <c r="A779" s="84"/>
      <c r="B779" s="84"/>
      <c r="C779" s="60"/>
      <c r="D779" s="66"/>
      <c r="E779" s="66"/>
      <c r="F779" s="66"/>
      <c r="G779" s="66"/>
      <c r="H779" s="66"/>
      <c r="I779" s="66"/>
      <c r="J779" s="66"/>
      <c r="K779" s="66"/>
      <c r="L779" s="66"/>
      <c r="M779" s="66"/>
      <c r="N779" s="66"/>
    </row>
    <row r="780" spans="1:14" x14ac:dyDescent="0.2">
      <c r="A780" s="84"/>
      <c r="B780" s="84"/>
      <c r="C780" s="60"/>
      <c r="D780" s="66"/>
      <c r="E780" s="66"/>
      <c r="F780" s="66"/>
      <c r="G780" s="66"/>
      <c r="H780" s="66"/>
      <c r="I780" s="66"/>
      <c r="J780" s="66"/>
      <c r="K780" s="66"/>
      <c r="L780" s="66"/>
      <c r="M780" s="66"/>
      <c r="N780" s="66"/>
    </row>
    <row r="781" spans="1:14" x14ac:dyDescent="0.2">
      <c r="A781" s="84"/>
      <c r="B781" s="84"/>
      <c r="C781" s="60"/>
      <c r="D781" s="66"/>
      <c r="E781" s="66"/>
      <c r="F781" s="66"/>
      <c r="G781" s="66"/>
      <c r="H781" s="66"/>
      <c r="I781" s="66"/>
      <c r="J781" s="66"/>
      <c r="K781" s="66"/>
      <c r="L781" s="66"/>
      <c r="M781" s="66"/>
      <c r="N781" s="66"/>
    </row>
    <row r="782" spans="1:14" x14ac:dyDescent="0.2">
      <c r="A782" s="84"/>
      <c r="B782" s="84"/>
      <c r="C782" s="60"/>
      <c r="D782" s="66"/>
      <c r="E782" s="66"/>
      <c r="F782" s="66"/>
      <c r="G782" s="66"/>
      <c r="H782" s="66"/>
      <c r="I782" s="66"/>
      <c r="J782" s="66"/>
      <c r="K782" s="66"/>
      <c r="L782" s="66"/>
      <c r="M782" s="66"/>
      <c r="N782" s="66"/>
    </row>
    <row r="783" spans="1:14" x14ac:dyDescent="0.2">
      <c r="A783" s="84"/>
      <c r="B783" s="84"/>
      <c r="C783" s="60"/>
      <c r="D783" s="66"/>
      <c r="E783" s="66"/>
      <c r="F783" s="66"/>
      <c r="G783" s="66"/>
      <c r="H783" s="66"/>
      <c r="I783" s="66"/>
      <c r="J783" s="66"/>
      <c r="K783" s="66"/>
      <c r="L783" s="66"/>
      <c r="M783" s="66"/>
      <c r="N783" s="66"/>
    </row>
    <row r="784" spans="1:14" x14ac:dyDescent="0.2">
      <c r="A784" s="84"/>
      <c r="B784" s="84"/>
      <c r="C784" s="60"/>
      <c r="D784" s="66"/>
      <c r="E784" s="66"/>
      <c r="F784" s="66"/>
      <c r="G784" s="66"/>
      <c r="H784" s="66"/>
      <c r="I784" s="66"/>
      <c r="J784" s="66"/>
      <c r="K784" s="66"/>
      <c r="L784" s="66"/>
      <c r="M784" s="66"/>
      <c r="N784" s="66"/>
    </row>
    <row r="785" spans="1:14" x14ac:dyDescent="0.2">
      <c r="A785" s="84"/>
      <c r="B785" s="84"/>
      <c r="C785" s="60"/>
      <c r="D785" s="66"/>
      <c r="E785" s="66"/>
      <c r="F785" s="66"/>
      <c r="G785" s="66"/>
      <c r="H785" s="66"/>
      <c r="I785" s="66"/>
      <c r="J785" s="66"/>
      <c r="K785" s="66"/>
      <c r="L785" s="66"/>
      <c r="M785" s="66"/>
      <c r="N785" s="66"/>
    </row>
    <row r="786" spans="1:14" x14ac:dyDescent="0.2">
      <c r="A786" s="84"/>
      <c r="B786" s="84"/>
      <c r="C786" s="60"/>
      <c r="D786" s="66"/>
      <c r="E786" s="66"/>
      <c r="F786" s="66"/>
      <c r="G786" s="66"/>
      <c r="H786" s="66"/>
      <c r="I786" s="66"/>
      <c r="J786" s="66"/>
      <c r="K786" s="66"/>
      <c r="L786" s="66"/>
      <c r="M786" s="66"/>
      <c r="N786" s="66"/>
    </row>
    <row r="787" spans="1:14" x14ac:dyDescent="0.2">
      <c r="A787" s="84"/>
      <c r="B787" s="84"/>
      <c r="C787" s="60"/>
      <c r="D787" s="66"/>
      <c r="E787" s="66"/>
      <c r="F787" s="66"/>
      <c r="G787" s="66"/>
      <c r="H787" s="66"/>
      <c r="I787" s="66"/>
      <c r="J787" s="66"/>
      <c r="K787" s="66"/>
      <c r="L787" s="66"/>
      <c r="M787" s="66"/>
      <c r="N787" s="66"/>
    </row>
    <row r="788" spans="1:14" x14ac:dyDescent="0.2">
      <c r="A788" s="84"/>
      <c r="B788" s="84"/>
      <c r="C788" s="60"/>
      <c r="D788" s="66"/>
      <c r="E788" s="66"/>
      <c r="F788" s="66"/>
      <c r="G788" s="66"/>
      <c r="H788" s="66"/>
      <c r="I788" s="66"/>
      <c r="J788" s="66"/>
      <c r="K788" s="66"/>
      <c r="L788" s="66"/>
      <c r="M788" s="66"/>
      <c r="N788" s="66"/>
    </row>
    <row r="789" spans="1:14" x14ac:dyDescent="0.2">
      <c r="A789" s="84"/>
      <c r="B789" s="84"/>
      <c r="C789" s="60"/>
      <c r="D789" s="66"/>
      <c r="E789" s="66"/>
      <c r="F789" s="66"/>
      <c r="G789" s="66"/>
      <c r="H789" s="66"/>
      <c r="I789" s="66"/>
      <c r="J789" s="66"/>
      <c r="K789" s="66"/>
      <c r="L789" s="66"/>
      <c r="M789" s="66"/>
      <c r="N789" s="66"/>
    </row>
    <row r="790" spans="1:14" x14ac:dyDescent="0.2">
      <c r="A790" s="84"/>
      <c r="B790" s="84"/>
      <c r="C790" s="60"/>
      <c r="D790" s="66"/>
      <c r="E790" s="66"/>
      <c r="F790" s="66"/>
      <c r="G790" s="66"/>
      <c r="H790" s="66"/>
      <c r="I790" s="66"/>
      <c r="J790" s="66"/>
      <c r="K790" s="66"/>
      <c r="L790" s="66"/>
      <c r="M790" s="66"/>
      <c r="N790" s="66"/>
    </row>
    <row r="791" spans="1:14" x14ac:dyDescent="0.2">
      <c r="A791" s="84"/>
      <c r="B791" s="84"/>
      <c r="C791" s="60"/>
      <c r="D791" s="66"/>
      <c r="E791" s="66"/>
      <c r="F791" s="66"/>
      <c r="G791" s="66"/>
      <c r="H791" s="66"/>
      <c r="I791" s="66"/>
      <c r="J791" s="66"/>
      <c r="K791" s="66"/>
      <c r="L791" s="66"/>
      <c r="M791" s="66"/>
      <c r="N791" s="66"/>
    </row>
    <row r="792" spans="1:14" x14ac:dyDescent="0.2">
      <c r="A792" s="84"/>
      <c r="B792" s="84"/>
      <c r="C792" s="60"/>
      <c r="D792" s="66"/>
      <c r="E792" s="66"/>
      <c r="F792" s="66"/>
      <c r="G792" s="66"/>
      <c r="H792" s="66"/>
      <c r="I792" s="66"/>
      <c r="J792" s="66"/>
      <c r="K792" s="66"/>
      <c r="L792" s="66"/>
      <c r="M792" s="66"/>
      <c r="N792" s="66"/>
    </row>
    <row r="793" spans="1:14" x14ac:dyDescent="0.2">
      <c r="A793" s="84"/>
      <c r="B793" s="84"/>
      <c r="C793" s="60"/>
      <c r="D793" s="66"/>
      <c r="E793" s="66"/>
      <c r="F793" s="66"/>
      <c r="G793" s="66"/>
      <c r="H793" s="66"/>
      <c r="I793" s="66"/>
      <c r="J793" s="66"/>
      <c r="K793" s="66"/>
      <c r="L793" s="66"/>
      <c r="M793" s="66"/>
      <c r="N793" s="66"/>
    </row>
    <row r="794" spans="1:14" x14ac:dyDescent="0.2">
      <c r="A794" s="84"/>
      <c r="B794" s="84"/>
      <c r="C794" s="60"/>
      <c r="D794" s="66"/>
      <c r="E794" s="66"/>
      <c r="F794" s="66"/>
      <c r="G794" s="66"/>
      <c r="H794" s="66"/>
      <c r="I794" s="66"/>
      <c r="J794" s="66"/>
      <c r="K794" s="66"/>
      <c r="L794" s="66"/>
      <c r="M794" s="66"/>
      <c r="N794" s="66"/>
    </row>
    <row r="795" spans="1:14" x14ac:dyDescent="0.2">
      <c r="A795" s="84"/>
      <c r="B795" s="84"/>
      <c r="C795" s="60"/>
      <c r="D795" s="66"/>
      <c r="E795" s="66"/>
      <c r="F795" s="66"/>
      <c r="G795" s="66"/>
      <c r="H795" s="66"/>
      <c r="I795" s="66"/>
      <c r="J795" s="66"/>
      <c r="K795" s="66"/>
      <c r="L795" s="66"/>
      <c r="M795" s="66"/>
      <c r="N795" s="66"/>
    </row>
    <row r="796" spans="1:14" x14ac:dyDescent="0.2">
      <c r="A796" s="84"/>
      <c r="B796" s="84"/>
      <c r="C796" s="60"/>
      <c r="D796" s="66"/>
      <c r="E796" s="66"/>
      <c r="F796" s="66"/>
      <c r="G796" s="66"/>
      <c r="H796" s="66"/>
      <c r="I796" s="66"/>
      <c r="J796" s="66"/>
      <c r="K796" s="66"/>
      <c r="L796" s="66"/>
      <c r="M796" s="66"/>
      <c r="N796" s="66"/>
    </row>
    <row r="797" spans="1:14" x14ac:dyDescent="0.2">
      <c r="A797" s="84"/>
      <c r="B797" s="84"/>
      <c r="C797" s="60"/>
      <c r="D797" s="66"/>
      <c r="E797" s="66"/>
      <c r="F797" s="66"/>
      <c r="G797" s="66"/>
      <c r="H797" s="66"/>
      <c r="I797" s="66"/>
      <c r="J797" s="66"/>
      <c r="K797" s="66"/>
      <c r="L797" s="66"/>
      <c r="M797" s="66"/>
      <c r="N797" s="66"/>
    </row>
    <row r="798" spans="1:14" x14ac:dyDescent="0.2">
      <c r="A798" s="84"/>
      <c r="B798" s="84"/>
      <c r="C798" s="60"/>
      <c r="D798" s="66"/>
      <c r="E798" s="66"/>
      <c r="F798" s="66"/>
      <c r="G798" s="66"/>
      <c r="H798" s="66"/>
      <c r="I798" s="66"/>
      <c r="J798" s="66"/>
      <c r="K798" s="66"/>
      <c r="L798" s="66"/>
      <c r="M798" s="66"/>
      <c r="N798" s="66"/>
    </row>
    <row r="799" spans="1:14" x14ac:dyDescent="0.2">
      <c r="A799" s="84"/>
      <c r="B799" s="84"/>
      <c r="C799" s="60"/>
      <c r="D799" s="66"/>
      <c r="E799" s="66"/>
      <c r="F799" s="66"/>
      <c r="G799" s="66"/>
      <c r="H799" s="66"/>
      <c r="I799" s="66"/>
      <c r="J799" s="66"/>
      <c r="K799" s="66"/>
      <c r="L799" s="66"/>
      <c r="M799" s="66"/>
      <c r="N799" s="66"/>
    </row>
    <row r="800" spans="1:14" x14ac:dyDescent="0.2">
      <c r="A800" s="84"/>
      <c r="B800" s="84"/>
      <c r="C800" s="60"/>
      <c r="D800" s="66"/>
      <c r="E800" s="66"/>
      <c r="F800" s="66"/>
      <c r="G800" s="66"/>
      <c r="H800" s="66"/>
      <c r="I800" s="66"/>
      <c r="J800" s="66"/>
      <c r="K800" s="66"/>
      <c r="L800" s="66"/>
      <c r="M800" s="66"/>
      <c r="N800" s="66"/>
    </row>
    <row r="801" spans="1:14" x14ac:dyDescent="0.2">
      <c r="A801" s="84"/>
      <c r="B801" s="84"/>
      <c r="C801" s="60"/>
      <c r="D801" s="66"/>
      <c r="E801" s="66"/>
      <c r="F801" s="66"/>
      <c r="G801" s="66"/>
      <c r="H801" s="66"/>
      <c r="I801" s="66"/>
      <c r="J801" s="66"/>
      <c r="K801" s="66"/>
      <c r="L801" s="66"/>
      <c r="M801" s="66"/>
      <c r="N801" s="66"/>
    </row>
    <row r="802" spans="1:14" x14ac:dyDescent="0.2">
      <c r="A802" s="84"/>
      <c r="B802" s="84"/>
      <c r="C802" s="60"/>
      <c r="D802" s="66"/>
      <c r="E802" s="66"/>
      <c r="F802" s="66"/>
      <c r="G802" s="66"/>
      <c r="H802" s="66"/>
      <c r="I802" s="66"/>
      <c r="J802" s="66"/>
      <c r="K802" s="66"/>
      <c r="L802" s="66"/>
      <c r="M802" s="66"/>
      <c r="N802" s="66"/>
    </row>
    <row r="803" spans="1:14" x14ac:dyDescent="0.2">
      <c r="A803" s="84"/>
      <c r="B803" s="84"/>
      <c r="C803" s="60"/>
      <c r="D803" s="66"/>
      <c r="E803" s="66"/>
      <c r="F803" s="66"/>
      <c r="G803" s="66"/>
      <c r="H803" s="66"/>
      <c r="I803" s="66"/>
      <c r="J803" s="66"/>
      <c r="K803" s="66"/>
      <c r="L803" s="66"/>
      <c r="M803" s="66"/>
      <c r="N803" s="66"/>
    </row>
    <row r="804" spans="1:14" x14ac:dyDescent="0.2">
      <c r="A804" s="84"/>
      <c r="B804" s="84"/>
      <c r="C804" s="60"/>
      <c r="D804" s="66"/>
      <c r="E804" s="66"/>
      <c r="F804" s="66"/>
      <c r="G804" s="66"/>
      <c r="H804" s="66"/>
      <c r="I804" s="66"/>
      <c r="J804" s="66"/>
      <c r="K804" s="66"/>
      <c r="L804" s="66"/>
      <c r="M804" s="66"/>
      <c r="N804" s="66"/>
    </row>
    <row r="805" spans="1:14" x14ac:dyDescent="0.2">
      <c r="A805" s="84"/>
      <c r="B805" s="84"/>
      <c r="C805" s="60"/>
      <c r="D805" s="66"/>
      <c r="E805" s="66"/>
      <c r="F805" s="66"/>
      <c r="G805" s="66"/>
      <c r="H805" s="66"/>
      <c r="I805" s="66"/>
      <c r="J805" s="66"/>
      <c r="K805" s="66"/>
      <c r="L805" s="66"/>
      <c r="M805" s="66"/>
      <c r="N805" s="66"/>
    </row>
    <row r="806" spans="1:14" x14ac:dyDescent="0.2">
      <c r="A806" s="84"/>
      <c r="B806" s="84"/>
      <c r="C806" s="60"/>
      <c r="D806" s="66"/>
      <c r="E806" s="66"/>
      <c r="F806" s="66"/>
      <c r="G806" s="66"/>
      <c r="H806" s="66"/>
      <c r="I806" s="66"/>
      <c r="J806" s="66"/>
      <c r="K806" s="66"/>
      <c r="L806" s="66"/>
      <c r="M806" s="66"/>
      <c r="N806" s="66"/>
    </row>
    <row r="807" spans="1:14" x14ac:dyDescent="0.2">
      <c r="A807" s="84"/>
      <c r="B807" s="84"/>
      <c r="C807" s="60"/>
      <c r="D807" s="66"/>
      <c r="E807" s="66"/>
      <c r="F807" s="66"/>
      <c r="G807" s="66"/>
      <c r="H807" s="66"/>
      <c r="I807" s="66"/>
      <c r="J807" s="66"/>
      <c r="K807" s="66"/>
      <c r="L807" s="66"/>
      <c r="M807" s="66"/>
      <c r="N807" s="66"/>
    </row>
    <row r="808" spans="1:14" x14ac:dyDescent="0.2">
      <c r="A808" s="84"/>
      <c r="B808" s="84"/>
      <c r="C808" s="60"/>
      <c r="D808" s="66"/>
      <c r="E808" s="66"/>
      <c r="F808" s="66"/>
      <c r="G808" s="66"/>
      <c r="H808" s="66"/>
      <c r="I808" s="66"/>
      <c r="J808" s="66"/>
      <c r="K808" s="66"/>
      <c r="L808" s="66"/>
      <c r="M808" s="66"/>
      <c r="N808" s="66"/>
    </row>
    <row r="809" spans="1:14" x14ac:dyDescent="0.2">
      <c r="A809" s="84"/>
      <c r="B809" s="84"/>
      <c r="C809" s="60"/>
      <c r="D809" s="66"/>
      <c r="E809" s="66"/>
      <c r="F809" s="66"/>
      <c r="G809" s="66"/>
      <c r="H809" s="66"/>
      <c r="I809" s="66"/>
      <c r="J809" s="66"/>
      <c r="K809" s="66"/>
      <c r="L809" s="66"/>
      <c r="M809" s="66"/>
      <c r="N809" s="66"/>
    </row>
    <row r="810" spans="1:14" x14ac:dyDescent="0.2">
      <c r="A810" s="84"/>
      <c r="B810" s="84"/>
      <c r="C810" s="60"/>
      <c r="D810" s="66"/>
      <c r="E810" s="66"/>
      <c r="F810" s="66"/>
      <c r="G810" s="66"/>
      <c r="H810" s="66"/>
      <c r="I810" s="66"/>
      <c r="J810" s="66"/>
      <c r="K810" s="66"/>
      <c r="L810" s="66"/>
      <c r="M810" s="66"/>
      <c r="N810" s="66"/>
    </row>
    <row r="811" spans="1:14" x14ac:dyDescent="0.2">
      <c r="A811" s="84"/>
      <c r="B811" s="84"/>
      <c r="C811" s="60"/>
      <c r="D811" s="66"/>
      <c r="E811" s="66"/>
      <c r="F811" s="66"/>
      <c r="G811" s="66"/>
      <c r="H811" s="66"/>
      <c r="I811" s="66"/>
      <c r="J811" s="66"/>
      <c r="K811" s="66"/>
      <c r="L811" s="66"/>
      <c r="M811" s="66"/>
      <c r="N811" s="66"/>
    </row>
    <row r="812" spans="1:14" x14ac:dyDescent="0.2">
      <c r="A812" s="84"/>
      <c r="B812" s="84"/>
      <c r="C812" s="60"/>
      <c r="D812" s="66"/>
      <c r="E812" s="66"/>
      <c r="F812" s="66"/>
      <c r="G812" s="66"/>
      <c r="H812" s="66"/>
      <c r="I812" s="66"/>
      <c r="J812" s="66"/>
      <c r="K812" s="66"/>
      <c r="L812" s="66"/>
      <c r="M812" s="66"/>
      <c r="N812" s="66"/>
    </row>
    <row r="813" spans="1:14" x14ac:dyDescent="0.2">
      <c r="A813" s="84"/>
      <c r="B813" s="84"/>
      <c r="C813" s="60"/>
      <c r="D813" s="66"/>
      <c r="E813" s="66"/>
      <c r="F813" s="66"/>
      <c r="G813" s="66"/>
      <c r="H813" s="66"/>
      <c r="I813" s="66"/>
      <c r="J813" s="66"/>
      <c r="K813" s="66"/>
      <c r="L813" s="66"/>
      <c r="M813" s="66"/>
      <c r="N813" s="66"/>
    </row>
    <row r="814" spans="1:14" x14ac:dyDescent="0.2">
      <c r="A814" s="84"/>
      <c r="B814" s="84"/>
      <c r="C814" s="60"/>
      <c r="D814" s="66"/>
      <c r="E814" s="66"/>
      <c r="F814" s="66"/>
      <c r="G814" s="66"/>
      <c r="H814" s="66"/>
      <c r="I814" s="66"/>
      <c r="J814" s="66"/>
      <c r="K814" s="66"/>
      <c r="L814" s="66"/>
      <c r="M814" s="66"/>
      <c r="N814" s="66"/>
    </row>
    <row r="815" spans="1:14" x14ac:dyDescent="0.2">
      <c r="A815" s="84"/>
      <c r="B815" s="84"/>
      <c r="C815" s="60"/>
      <c r="D815" s="66"/>
      <c r="E815" s="66"/>
      <c r="F815" s="66"/>
      <c r="G815" s="66"/>
      <c r="H815" s="66"/>
      <c r="I815" s="66"/>
      <c r="J815" s="66"/>
      <c r="K815" s="66"/>
      <c r="L815" s="66"/>
      <c r="M815" s="66"/>
      <c r="N815" s="66"/>
    </row>
    <row r="816" spans="1:14" x14ac:dyDescent="0.2">
      <c r="A816" s="84"/>
      <c r="B816" s="84"/>
      <c r="C816" s="60"/>
      <c r="D816" s="66"/>
      <c r="E816" s="66"/>
      <c r="F816" s="66"/>
      <c r="G816" s="66"/>
      <c r="H816" s="66"/>
      <c r="I816" s="66"/>
      <c r="J816" s="66"/>
      <c r="K816" s="66"/>
      <c r="L816" s="66"/>
      <c r="M816" s="66"/>
      <c r="N816" s="66"/>
    </row>
    <row r="817" spans="1:14" x14ac:dyDescent="0.2">
      <c r="A817" s="84"/>
      <c r="B817" s="84"/>
      <c r="C817" s="60"/>
      <c r="D817" s="66"/>
      <c r="E817" s="66"/>
      <c r="F817" s="66"/>
      <c r="G817" s="66"/>
      <c r="H817" s="66"/>
      <c r="I817" s="66"/>
      <c r="J817" s="66"/>
      <c r="K817" s="66"/>
      <c r="L817" s="66"/>
      <c r="M817" s="66"/>
      <c r="N817" s="66"/>
    </row>
    <row r="818" spans="1:14" x14ac:dyDescent="0.2">
      <c r="A818" s="84"/>
      <c r="B818" s="84"/>
      <c r="C818" s="60"/>
      <c r="D818" s="66"/>
      <c r="E818" s="66"/>
      <c r="F818" s="66"/>
      <c r="G818" s="66"/>
      <c r="H818" s="66"/>
      <c r="I818" s="66"/>
      <c r="J818" s="66"/>
      <c r="K818" s="66"/>
      <c r="L818" s="66"/>
      <c r="M818" s="66"/>
      <c r="N818" s="66"/>
    </row>
    <row r="819" spans="1:14" x14ac:dyDescent="0.2">
      <c r="A819" s="84"/>
      <c r="B819" s="84"/>
      <c r="C819" s="60"/>
      <c r="D819" s="66"/>
      <c r="E819" s="66"/>
      <c r="F819" s="66"/>
      <c r="G819" s="66"/>
      <c r="H819" s="66"/>
      <c r="I819" s="66"/>
      <c r="J819" s="66"/>
      <c r="K819" s="66"/>
      <c r="L819" s="66"/>
      <c r="M819" s="66"/>
      <c r="N819" s="66"/>
    </row>
    <row r="820" spans="1:14" x14ac:dyDescent="0.2">
      <c r="A820" s="84"/>
      <c r="B820" s="84"/>
      <c r="C820" s="60"/>
      <c r="D820" s="66"/>
      <c r="E820" s="66"/>
      <c r="F820" s="66"/>
      <c r="G820" s="66"/>
      <c r="H820" s="66"/>
      <c r="I820" s="66"/>
      <c r="J820" s="66"/>
      <c r="K820" s="66"/>
      <c r="L820" s="66"/>
      <c r="M820" s="66"/>
      <c r="N820" s="66"/>
    </row>
    <row r="821" spans="1:14" x14ac:dyDescent="0.2">
      <c r="A821" s="84"/>
      <c r="B821" s="84"/>
      <c r="C821" s="60"/>
      <c r="D821" s="66"/>
      <c r="E821" s="66"/>
      <c r="F821" s="66"/>
      <c r="G821" s="66"/>
      <c r="H821" s="66"/>
      <c r="I821" s="66"/>
      <c r="J821" s="66"/>
      <c r="K821" s="66"/>
      <c r="L821" s="66"/>
      <c r="M821" s="66"/>
      <c r="N821" s="66"/>
    </row>
    <row r="822" spans="1:14" x14ac:dyDescent="0.2">
      <c r="A822" s="84"/>
      <c r="B822" s="84"/>
      <c r="C822" s="60"/>
      <c r="D822" s="66"/>
      <c r="E822" s="66"/>
      <c r="F822" s="66"/>
      <c r="G822" s="66"/>
      <c r="H822" s="66"/>
      <c r="I822" s="66"/>
      <c r="J822" s="66"/>
      <c r="K822" s="66"/>
      <c r="L822" s="66"/>
      <c r="M822" s="66"/>
      <c r="N822" s="66"/>
    </row>
    <row r="823" spans="1:14" x14ac:dyDescent="0.2">
      <c r="A823" s="84"/>
      <c r="B823" s="84"/>
      <c r="C823" s="60"/>
      <c r="D823" s="66"/>
      <c r="E823" s="66"/>
      <c r="F823" s="66"/>
      <c r="G823" s="66"/>
      <c r="H823" s="66"/>
      <c r="I823" s="66"/>
      <c r="J823" s="66"/>
      <c r="K823" s="66"/>
      <c r="L823" s="66"/>
      <c r="M823" s="66"/>
      <c r="N823" s="66"/>
    </row>
    <row r="824" spans="1:14" x14ac:dyDescent="0.2">
      <c r="A824" s="84"/>
      <c r="B824" s="84"/>
      <c r="C824" s="60"/>
      <c r="D824" s="66"/>
      <c r="E824" s="66"/>
      <c r="F824" s="66"/>
      <c r="G824" s="66"/>
      <c r="H824" s="66"/>
      <c r="I824" s="66"/>
      <c r="J824" s="66"/>
      <c r="K824" s="66"/>
      <c r="L824" s="66"/>
      <c r="M824" s="66"/>
      <c r="N824" s="66"/>
    </row>
    <row r="825" spans="1:14" x14ac:dyDescent="0.2">
      <c r="A825" s="84"/>
      <c r="B825" s="84"/>
      <c r="C825" s="60"/>
      <c r="D825" s="66"/>
      <c r="E825" s="66"/>
      <c r="F825" s="66"/>
      <c r="G825" s="66"/>
      <c r="H825" s="66"/>
      <c r="I825" s="66"/>
      <c r="J825" s="66"/>
      <c r="K825" s="66"/>
      <c r="L825" s="66"/>
      <c r="M825" s="66"/>
      <c r="N825" s="66"/>
    </row>
    <row r="826" spans="1:14" x14ac:dyDescent="0.2">
      <c r="A826" s="84"/>
      <c r="B826" s="84"/>
      <c r="C826" s="60"/>
      <c r="D826" s="66"/>
      <c r="E826" s="66"/>
      <c r="F826" s="66"/>
      <c r="G826" s="66"/>
      <c r="H826" s="66"/>
      <c r="I826" s="66"/>
      <c r="J826" s="66"/>
      <c r="K826" s="66"/>
      <c r="L826" s="66"/>
      <c r="M826" s="66"/>
      <c r="N826" s="66"/>
    </row>
    <row r="827" spans="1:14" x14ac:dyDescent="0.2">
      <c r="A827" s="84"/>
      <c r="B827" s="84"/>
      <c r="C827" s="60"/>
      <c r="D827" s="66"/>
      <c r="E827" s="66"/>
      <c r="F827" s="66"/>
      <c r="G827" s="66"/>
      <c r="H827" s="66"/>
      <c r="I827" s="66"/>
      <c r="J827" s="66"/>
      <c r="K827" s="66"/>
      <c r="L827" s="66"/>
      <c r="M827" s="66"/>
      <c r="N827" s="66"/>
    </row>
    <row r="828" spans="1:14" x14ac:dyDescent="0.2">
      <c r="A828" s="84"/>
      <c r="B828" s="84"/>
      <c r="C828" s="60"/>
      <c r="D828" s="66"/>
      <c r="E828" s="66"/>
      <c r="F828" s="66"/>
      <c r="G828" s="66"/>
      <c r="H828" s="66"/>
      <c r="I828" s="66"/>
      <c r="J828" s="66"/>
      <c r="K828" s="66"/>
      <c r="L828" s="66"/>
      <c r="M828" s="66"/>
      <c r="N828" s="66"/>
    </row>
    <row r="829" spans="1:14" x14ac:dyDescent="0.2">
      <c r="A829" s="84"/>
      <c r="B829" s="84"/>
      <c r="C829" s="60"/>
      <c r="D829" s="66"/>
      <c r="E829" s="66"/>
      <c r="F829" s="66"/>
      <c r="G829" s="66"/>
      <c r="H829" s="66"/>
      <c r="I829" s="66"/>
      <c r="J829" s="66"/>
      <c r="K829" s="66"/>
      <c r="L829" s="66"/>
      <c r="M829" s="66"/>
      <c r="N829" s="66"/>
    </row>
    <row r="830" spans="1:14" x14ac:dyDescent="0.2">
      <c r="A830" s="84"/>
      <c r="B830" s="84"/>
      <c r="C830" s="60"/>
      <c r="D830" s="66"/>
      <c r="E830" s="66"/>
      <c r="F830" s="66"/>
      <c r="G830" s="66"/>
      <c r="H830" s="66"/>
      <c r="I830" s="66"/>
      <c r="J830" s="66"/>
      <c r="K830" s="66"/>
      <c r="L830" s="66"/>
      <c r="M830" s="66"/>
      <c r="N830" s="66"/>
    </row>
    <row r="831" spans="1:14" x14ac:dyDescent="0.2">
      <c r="A831" s="84"/>
      <c r="B831" s="84"/>
      <c r="C831" s="60"/>
      <c r="D831" s="66"/>
      <c r="E831" s="66"/>
      <c r="F831" s="66"/>
      <c r="G831" s="66"/>
      <c r="H831" s="66"/>
      <c r="I831" s="66"/>
      <c r="J831" s="66"/>
      <c r="K831" s="66"/>
      <c r="L831" s="66"/>
      <c r="M831" s="66"/>
      <c r="N831" s="66"/>
    </row>
    <row r="832" spans="1:14" x14ac:dyDescent="0.2">
      <c r="A832" s="84"/>
      <c r="B832" s="84"/>
      <c r="C832" s="60"/>
      <c r="D832" s="66"/>
      <c r="E832" s="66"/>
      <c r="F832" s="66"/>
      <c r="G832" s="66"/>
      <c r="H832" s="66"/>
      <c r="I832" s="66"/>
      <c r="J832" s="66"/>
      <c r="K832" s="66"/>
      <c r="L832" s="66"/>
      <c r="M832" s="66"/>
      <c r="N832" s="66"/>
    </row>
    <row r="833" spans="1:14" x14ac:dyDescent="0.2">
      <c r="A833" s="84"/>
      <c r="B833" s="84"/>
      <c r="C833" s="60"/>
      <c r="D833" s="66"/>
      <c r="E833" s="66"/>
      <c r="F833" s="66"/>
      <c r="G833" s="66"/>
      <c r="H833" s="66"/>
      <c r="I833" s="66"/>
      <c r="J833" s="66"/>
      <c r="K833" s="66"/>
      <c r="L833" s="66"/>
      <c r="M833" s="66"/>
      <c r="N833" s="66"/>
    </row>
    <row r="834" spans="1:14" x14ac:dyDescent="0.2">
      <c r="A834" s="84"/>
      <c r="B834" s="84"/>
      <c r="C834" s="60"/>
      <c r="D834" s="66"/>
      <c r="E834" s="66"/>
      <c r="F834" s="66"/>
      <c r="G834" s="66"/>
      <c r="H834" s="66"/>
      <c r="I834" s="66"/>
      <c r="J834" s="66"/>
      <c r="K834" s="66"/>
      <c r="L834" s="66"/>
      <c r="M834" s="66"/>
      <c r="N834" s="66"/>
    </row>
    <row r="835" spans="1:14" x14ac:dyDescent="0.2">
      <c r="A835" s="84"/>
      <c r="B835" s="84"/>
      <c r="C835" s="60"/>
      <c r="D835" s="66"/>
      <c r="E835" s="66"/>
      <c r="F835" s="66"/>
      <c r="G835" s="66"/>
      <c r="H835" s="66"/>
      <c r="I835" s="66"/>
      <c r="J835" s="66"/>
      <c r="K835" s="66"/>
      <c r="L835" s="66"/>
      <c r="M835" s="66"/>
      <c r="N835" s="66"/>
    </row>
    <row r="836" spans="1:14" x14ac:dyDescent="0.2">
      <c r="A836" s="84"/>
      <c r="B836" s="84"/>
      <c r="C836" s="60"/>
      <c r="D836" s="66"/>
      <c r="E836" s="66"/>
      <c r="F836" s="66"/>
      <c r="G836" s="66"/>
      <c r="H836" s="66"/>
      <c r="I836" s="66"/>
      <c r="J836" s="66"/>
      <c r="K836" s="66"/>
      <c r="L836" s="66"/>
      <c r="M836" s="66"/>
      <c r="N836" s="66"/>
    </row>
    <row r="837" spans="1:14" x14ac:dyDescent="0.2">
      <c r="A837" s="84"/>
      <c r="B837" s="84"/>
      <c r="C837" s="60"/>
      <c r="D837" s="66"/>
      <c r="E837" s="66"/>
      <c r="F837" s="66"/>
      <c r="G837" s="66"/>
      <c r="H837" s="66"/>
      <c r="I837" s="66"/>
      <c r="J837" s="66"/>
      <c r="K837" s="66"/>
      <c r="L837" s="66"/>
      <c r="M837" s="66"/>
      <c r="N837" s="66"/>
    </row>
    <row r="838" spans="1:14" x14ac:dyDescent="0.2">
      <c r="A838" s="84"/>
      <c r="B838" s="84"/>
      <c r="C838" s="60"/>
      <c r="D838" s="66"/>
      <c r="E838" s="66"/>
      <c r="F838" s="66"/>
      <c r="G838" s="66"/>
      <c r="H838" s="66"/>
      <c r="I838" s="66"/>
      <c r="J838" s="66"/>
      <c r="K838" s="66"/>
      <c r="L838" s="66"/>
      <c r="M838" s="66"/>
      <c r="N838" s="66"/>
    </row>
    <row r="839" spans="1:14" x14ac:dyDescent="0.2">
      <c r="A839" s="84"/>
      <c r="B839" s="84"/>
      <c r="C839" s="60"/>
      <c r="D839" s="66"/>
      <c r="E839" s="66"/>
      <c r="F839" s="66"/>
      <c r="G839" s="66"/>
      <c r="H839" s="66"/>
      <c r="I839" s="66"/>
      <c r="J839" s="66"/>
      <c r="K839" s="66"/>
      <c r="L839" s="66"/>
      <c r="M839" s="66"/>
      <c r="N839" s="66"/>
    </row>
    <row r="840" spans="1:14" x14ac:dyDescent="0.2">
      <c r="A840" s="84"/>
      <c r="B840" s="84"/>
      <c r="C840" s="60"/>
      <c r="D840" s="66"/>
      <c r="E840" s="66"/>
      <c r="F840" s="66"/>
      <c r="G840" s="66"/>
      <c r="H840" s="66"/>
      <c r="I840" s="66"/>
      <c r="J840" s="66"/>
      <c r="K840" s="66"/>
      <c r="L840" s="66"/>
      <c r="M840" s="66"/>
      <c r="N840" s="66"/>
    </row>
    <row r="841" spans="1:14" x14ac:dyDescent="0.2">
      <c r="A841" s="84"/>
      <c r="B841" s="84"/>
      <c r="C841" s="60"/>
      <c r="D841" s="66"/>
      <c r="E841" s="66"/>
      <c r="F841" s="66"/>
      <c r="G841" s="66"/>
      <c r="H841" s="66"/>
      <c r="I841" s="66"/>
      <c r="J841" s="66"/>
      <c r="K841" s="66"/>
      <c r="L841" s="66"/>
      <c r="M841" s="66"/>
      <c r="N841" s="66"/>
    </row>
    <row r="842" spans="1:14" x14ac:dyDescent="0.2">
      <c r="A842" s="84"/>
      <c r="B842" s="84"/>
      <c r="C842" s="60"/>
      <c r="D842" s="66"/>
      <c r="E842" s="66"/>
      <c r="F842" s="66"/>
      <c r="G842" s="66"/>
      <c r="H842" s="66"/>
      <c r="I842" s="66"/>
      <c r="J842" s="66"/>
      <c r="K842" s="66"/>
      <c r="L842" s="66"/>
      <c r="M842" s="66"/>
      <c r="N842" s="66"/>
    </row>
    <row r="843" spans="1:14" x14ac:dyDescent="0.2">
      <c r="A843" s="84"/>
      <c r="B843" s="84"/>
      <c r="C843" s="60"/>
      <c r="D843" s="66"/>
      <c r="E843" s="66"/>
      <c r="F843" s="66"/>
      <c r="G843" s="66"/>
      <c r="H843" s="66"/>
      <c r="I843" s="66"/>
      <c r="J843" s="66"/>
      <c r="K843" s="66"/>
      <c r="L843" s="66"/>
      <c r="M843" s="66"/>
      <c r="N843" s="66"/>
    </row>
    <row r="844" spans="1:14" x14ac:dyDescent="0.2">
      <c r="A844" s="84"/>
      <c r="B844" s="84"/>
      <c r="C844" s="60"/>
      <c r="D844" s="66"/>
      <c r="E844" s="66"/>
      <c r="F844" s="66"/>
      <c r="G844" s="66"/>
      <c r="H844" s="66"/>
      <c r="I844" s="66"/>
      <c r="J844" s="66"/>
      <c r="K844" s="66"/>
      <c r="L844" s="66"/>
      <c r="M844" s="66"/>
      <c r="N844" s="66"/>
    </row>
    <row r="845" spans="1:14" x14ac:dyDescent="0.2">
      <c r="A845" s="84"/>
      <c r="B845" s="84"/>
      <c r="C845" s="60"/>
      <c r="D845" s="66"/>
      <c r="E845" s="66"/>
      <c r="F845" s="66"/>
      <c r="G845" s="66"/>
      <c r="H845" s="66"/>
      <c r="I845" s="66"/>
      <c r="J845" s="66"/>
      <c r="K845" s="66"/>
      <c r="L845" s="66"/>
      <c r="M845" s="66"/>
      <c r="N845" s="66"/>
    </row>
    <row r="846" spans="1:14" x14ac:dyDescent="0.2">
      <c r="A846" s="84"/>
      <c r="B846" s="84"/>
      <c r="C846" s="60"/>
      <c r="D846" s="66"/>
      <c r="E846" s="66"/>
      <c r="F846" s="66"/>
      <c r="G846" s="66"/>
      <c r="H846" s="66"/>
      <c r="I846" s="66"/>
      <c r="J846" s="66"/>
      <c r="K846" s="66"/>
      <c r="L846" s="66"/>
      <c r="M846" s="66"/>
      <c r="N846" s="66"/>
    </row>
    <row r="847" spans="1:14" x14ac:dyDescent="0.2">
      <c r="A847" s="84"/>
      <c r="B847" s="84"/>
      <c r="C847" s="60"/>
      <c r="D847" s="66"/>
      <c r="E847" s="66"/>
      <c r="F847" s="66"/>
      <c r="G847" s="66"/>
      <c r="H847" s="66"/>
      <c r="I847" s="66"/>
      <c r="J847" s="66"/>
      <c r="K847" s="66"/>
      <c r="L847" s="66"/>
      <c r="M847" s="66"/>
      <c r="N847" s="66"/>
    </row>
    <row r="848" spans="1:14" x14ac:dyDescent="0.2">
      <c r="A848" s="84"/>
      <c r="B848" s="84"/>
      <c r="C848" s="60"/>
      <c r="D848" s="66"/>
      <c r="E848" s="66"/>
      <c r="F848" s="66"/>
      <c r="G848" s="66"/>
      <c r="H848" s="66"/>
      <c r="I848" s="66"/>
      <c r="J848" s="66"/>
      <c r="K848" s="66"/>
      <c r="L848" s="66"/>
      <c r="M848" s="66"/>
      <c r="N848" s="66"/>
    </row>
    <row r="849" spans="1:14" x14ac:dyDescent="0.2">
      <c r="A849" s="84"/>
      <c r="B849" s="84"/>
      <c r="C849" s="60"/>
      <c r="D849" s="66"/>
      <c r="E849" s="66"/>
      <c r="F849" s="66"/>
      <c r="G849" s="66"/>
      <c r="H849" s="66"/>
      <c r="I849" s="66"/>
      <c r="J849" s="66"/>
      <c r="K849" s="66"/>
      <c r="L849" s="66"/>
      <c r="M849" s="66"/>
      <c r="N849" s="66"/>
    </row>
    <row r="850" spans="1:14" x14ac:dyDescent="0.2">
      <c r="A850" s="84"/>
      <c r="B850" s="84"/>
      <c r="C850" s="60"/>
      <c r="D850" s="66"/>
      <c r="E850" s="66"/>
      <c r="F850" s="66"/>
      <c r="G850" s="66"/>
      <c r="H850" s="66"/>
      <c r="I850" s="66"/>
      <c r="J850" s="66"/>
      <c r="K850" s="66"/>
      <c r="L850" s="66"/>
      <c r="M850" s="66"/>
      <c r="N850" s="66"/>
    </row>
    <row r="851" spans="1:14" x14ac:dyDescent="0.2">
      <c r="A851" s="84"/>
      <c r="B851" s="84"/>
      <c r="C851" s="60"/>
      <c r="D851" s="66"/>
      <c r="E851" s="66"/>
      <c r="F851" s="66"/>
      <c r="G851" s="66"/>
      <c r="H851" s="66"/>
      <c r="I851" s="66"/>
      <c r="J851" s="66"/>
      <c r="K851" s="66"/>
      <c r="L851" s="66"/>
      <c r="M851" s="66"/>
      <c r="N851" s="66"/>
    </row>
    <row r="852" spans="1:14" x14ac:dyDescent="0.2">
      <c r="A852" s="84"/>
      <c r="B852" s="84"/>
      <c r="C852" s="60"/>
      <c r="D852" s="66"/>
      <c r="E852" s="66"/>
      <c r="F852" s="66"/>
      <c r="G852" s="66"/>
      <c r="H852" s="66"/>
      <c r="I852" s="66"/>
      <c r="J852" s="66"/>
      <c r="K852" s="66"/>
      <c r="L852" s="66"/>
      <c r="M852" s="66"/>
      <c r="N852" s="66"/>
    </row>
    <row r="853" spans="1:14" x14ac:dyDescent="0.2">
      <c r="A853" s="84"/>
      <c r="B853" s="84"/>
      <c r="C853" s="60"/>
      <c r="D853" s="66"/>
      <c r="E853" s="66"/>
      <c r="F853" s="66"/>
      <c r="G853" s="66"/>
      <c r="H853" s="66"/>
      <c r="I853" s="66"/>
      <c r="J853" s="66"/>
      <c r="K853" s="66"/>
      <c r="L853" s="66"/>
      <c r="M853" s="66"/>
      <c r="N853" s="66"/>
    </row>
    <row r="854" spans="1:14" x14ac:dyDescent="0.2">
      <c r="A854" s="84"/>
      <c r="B854" s="84"/>
      <c r="C854" s="60"/>
      <c r="D854" s="66"/>
      <c r="E854" s="66"/>
      <c r="F854" s="66"/>
      <c r="G854" s="66"/>
      <c r="H854" s="66"/>
      <c r="I854" s="66"/>
      <c r="J854" s="66"/>
      <c r="K854" s="66"/>
      <c r="L854" s="66"/>
      <c r="M854" s="66"/>
      <c r="N854" s="66"/>
    </row>
    <row r="855" spans="1:14" x14ac:dyDescent="0.2">
      <c r="A855" s="84"/>
      <c r="B855" s="84"/>
      <c r="C855" s="60"/>
      <c r="D855" s="66"/>
      <c r="E855" s="66"/>
      <c r="F855" s="66"/>
      <c r="G855" s="66"/>
      <c r="H855" s="66"/>
      <c r="I855" s="66"/>
      <c r="J855" s="66"/>
      <c r="K855" s="66"/>
      <c r="L855" s="66"/>
      <c r="M855" s="66"/>
      <c r="N855" s="66"/>
    </row>
    <row r="856" spans="1:14" x14ac:dyDescent="0.2">
      <c r="A856" s="84"/>
      <c r="B856" s="84"/>
      <c r="C856" s="60"/>
      <c r="D856" s="66"/>
      <c r="E856" s="66"/>
      <c r="F856" s="66"/>
      <c r="G856" s="66"/>
      <c r="H856" s="66"/>
      <c r="I856" s="66"/>
      <c r="J856" s="66"/>
      <c r="K856" s="66"/>
      <c r="L856" s="66"/>
      <c r="M856" s="66"/>
      <c r="N856" s="66"/>
    </row>
    <row r="857" spans="1:14" x14ac:dyDescent="0.2">
      <c r="A857" s="84"/>
      <c r="B857" s="84"/>
      <c r="C857" s="60"/>
      <c r="D857" s="66"/>
      <c r="E857" s="66"/>
      <c r="F857" s="66"/>
      <c r="G857" s="66"/>
      <c r="H857" s="66"/>
      <c r="I857" s="66"/>
      <c r="J857" s="66"/>
      <c r="K857" s="66"/>
      <c r="L857" s="66"/>
      <c r="M857" s="66"/>
      <c r="N857" s="66"/>
    </row>
    <row r="858" spans="1:14" x14ac:dyDescent="0.2">
      <c r="A858" s="84"/>
      <c r="B858" s="84"/>
      <c r="C858" s="60"/>
      <c r="D858" s="66"/>
      <c r="E858" s="66"/>
      <c r="F858" s="66"/>
      <c r="G858" s="66"/>
      <c r="H858" s="66"/>
      <c r="I858" s="66"/>
      <c r="J858" s="66"/>
      <c r="K858" s="66"/>
      <c r="L858" s="66"/>
      <c r="M858" s="66"/>
      <c r="N858" s="66"/>
    </row>
    <row r="859" spans="1:14" x14ac:dyDescent="0.2">
      <c r="A859" s="84"/>
      <c r="B859" s="84"/>
      <c r="C859" s="60"/>
      <c r="D859" s="66"/>
      <c r="E859" s="66"/>
      <c r="F859" s="66"/>
      <c r="G859" s="66"/>
      <c r="H859" s="66"/>
      <c r="I859" s="66"/>
      <c r="J859" s="66"/>
      <c r="K859" s="66"/>
      <c r="L859" s="66"/>
      <c r="M859" s="66"/>
      <c r="N859" s="66"/>
    </row>
    <row r="860" spans="1:14" x14ac:dyDescent="0.2">
      <c r="A860" s="84"/>
      <c r="B860" s="84"/>
      <c r="C860" s="60"/>
      <c r="D860" s="66"/>
      <c r="E860" s="66"/>
      <c r="F860" s="66"/>
      <c r="G860" s="66"/>
      <c r="H860" s="66"/>
      <c r="I860" s="66"/>
      <c r="J860" s="66"/>
      <c r="K860" s="66"/>
      <c r="L860" s="66"/>
      <c r="M860" s="66"/>
      <c r="N860" s="66"/>
    </row>
    <row r="861" spans="1:14" x14ac:dyDescent="0.2">
      <c r="A861" s="84"/>
      <c r="B861" s="84"/>
      <c r="C861" s="60"/>
      <c r="D861" s="66"/>
      <c r="E861" s="66"/>
      <c r="F861" s="66"/>
      <c r="G861" s="66"/>
      <c r="H861" s="66"/>
      <c r="I861" s="66"/>
      <c r="J861" s="66"/>
      <c r="K861" s="66"/>
      <c r="L861" s="66"/>
      <c r="M861" s="66"/>
      <c r="N861" s="66"/>
    </row>
    <row r="862" spans="1:14" x14ac:dyDescent="0.2">
      <c r="A862" s="84"/>
      <c r="B862" s="84"/>
      <c r="C862" s="60"/>
      <c r="D862" s="66"/>
      <c r="E862" s="66"/>
      <c r="F862" s="66"/>
      <c r="G862" s="66"/>
      <c r="H862" s="66"/>
      <c r="I862" s="66"/>
      <c r="J862" s="66"/>
      <c r="K862" s="66"/>
      <c r="L862" s="66"/>
      <c r="M862" s="66"/>
      <c r="N862" s="66"/>
    </row>
    <row r="863" spans="1:14" x14ac:dyDescent="0.2">
      <c r="A863" s="84"/>
      <c r="B863" s="84"/>
      <c r="C863" s="60"/>
      <c r="D863" s="66"/>
      <c r="E863" s="66"/>
      <c r="F863" s="66"/>
      <c r="G863" s="66"/>
      <c r="H863" s="66"/>
      <c r="I863" s="66"/>
      <c r="J863" s="66"/>
      <c r="K863" s="66"/>
      <c r="L863" s="66"/>
      <c r="M863" s="66"/>
      <c r="N863" s="66"/>
    </row>
    <row r="864" spans="1:14" x14ac:dyDescent="0.2">
      <c r="A864" s="84"/>
      <c r="B864" s="84"/>
      <c r="C864" s="60"/>
      <c r="D864" s="66"/>
      <c r="E864" s="66"/>
      <c r="F864" s="66"/>
      <c r="G864" s="66"/>
      <c r="H864" s="66"/>
      <c r="I864" s="66"/>
      <c r="J864" s="66"/>
      <c r="K864" s="66"/>
      <c r="L864" s="66"/>
      <c r="M864" s="66"/>
      <c r="N864" s="66"/>
    </row>
    <row r="865" spans="1:14" x14ac:dyDescent="0.2">
      <c r="A865" s="84"/>
      <c r="B865" s="84"/>
      <c r="C865" s="60"/>
      <c r="D865" s="66"/>
      <c r="E865" s="66"/>
      <c r="F865" s="66"/>
      <c r="G865" s="66"/>
      <c r="H865" s="66"/>
      <c r="I865" s="66"/>
      <c r="J865" s="66"/>
      <c r="K865" s="66"/>
      <c r="L865" s="66"/>
      <c r="M865" s="66"/>
      <c r="N865" s="66"/>
    </row>
    <row r="866" spans="1:14" x14ac:dyDescent="0.2">
      <c r="A866" s="84"/>
      <c r="B866" s="84"/>
      <c r="C866" s="60"/>
      <c r="D866" s="66"/>
      <c r="E866" s="66"/>
      <c r="F866" s="66"/>
      <c r="G866" s="66"/>
      <c r="H866" s="66"/>
      <c r="I866" s="66"/>
      <c r="J866" s="66"/>
      <c r="K866" s="66"/>
      <c r="L866" s="66"/>
      <c r="M866" s="66"/>
      <c r="N866" s="66"/>
    </row>
    <row r="867" spans="1:14" x14ac:dyDescent="0.2">
      <c r="A867" s="84"/>
      <c r="B867" s="84"/>
      <c r="C867" s="60"/>
      <c r="D867" s="66"/>
      <c r="E867" s="66"/>
      <c r="F867" s="66"/>
      <c r="G867" s="66"/>
      <c r="H867" s="66"/>
      <c r="I867" s="66"/>
      <c r="J867" s="66"/>
      <c r="K867" s="66"/>
      <c r="L867" s="66"/>
      <c r="M867" s="66"/>
      <c r="N867" s="66"/>
    </row>
    <row r="868" spans="1:14" x14ac:dyDescent="0.2">
      <c r="A868" s="84"/>
      <c r="B868" s="84"/>
      <c r="C868" s="60"/>
      <c r="D868" s="66"/>
      <c r="E868" s="66"/>
      <c r="F868" s="66"/>
      <c r="G868" s="66"/>
      <c r="H868" s="66"/>
      <c r="I868" s="66"/>
      <c r="J868" s="66"/>
      <c r="K868" s="66"/>
      <c r="L868" s="66"/>
      <c r="M868" s="66"/>
      <c r="N868" s="66"/>
    </row>
    <row r="869" spans="1:14" x14ac:dyDescent="0.2">
      <c r="A869" s="84"/>
      <c r="B869" s="84"/>
      <c r="C869" s="60"/>
      <c r="D869" s="66"/>
      <c r="E869" s="66"/>
      <c r="F869" s="66"/>
      <c r="G869" s="66"/>
      <c r="H869" s="66"/>
      <c r="I869" s="66"/>
      <c r="J869" s="66"/>
      <c r="K869" s="66"/>
      <c r="L869" s="66"/>
      <c r="M869" s="66"/>
      <c r="N869" s="66"/>
    </row>
    <row r="870" spans="1:14" x14ac:dyDescent="0.2">
      <c r="A870" s="84"/>
      <c r="B870" s="84"/>
      <c r="C870" s="60"/>
      <c r="D870" s="66"/>
      <c r="E870" s="66"/>
      <c r="F870" s="66"/>
      <c r="G870" s="66"/>
      <c r="H870" s="66"/>
      <c r="I870" s="66"/>
      <c r="J870" s="66"/>
      <c r="K870" s="66"/>
      <c r="L870" s="66"/>
      <c r="M870" s="66"/>
      <c r="N870" s="66"/>
    </row>
    <row r="871" spans="1:14" x14ac:dyDescent="0.2">
      <c r="A871" s="84"/>
      <c r="B871" s="84"/>
      <c r="C871" s="60"/>
      <c r="D871" s="66"/>
      <c r="E871" s="66"/>
      <c r="F871" s="66"/>
      <c r="G871" s="66"/>
      <c r="H871" s="66"/>
      <c r="I871" s="66"/>
      <c r="J871" s="66"/>
      <c r="K871" s="66"/>
      <c r="L871" s="66"/>
      <c r="M871" s="66"/>
      <c r="N871" s="66"/>
    </row>
    <row r="872" spans="1:14" x14ac:dyDescent="0.2">
      <c r="A872" s="84"/>
      <c r="B872" s="84"/>
      <c r="C872" s="60"/>
      <c r="D872" s="66"/>
      <c r="E872" s="66"/>
      <c r="F872" s="66"/>
      <c r="G872" s="66"/>
      <c r="H872" s="66"/>
      <c r="I872" s="66"/>
      <c r="J872" s="66"/>
      <c r="K872" s="66"/>
      <c r="L872" s="66"/>
      <c r="M872" s="66"/>
      <c r="N872" s="66"/>
    </row>
    <row r="873" spans="1:14" x14ac:dyDescent="0.2">
      <c r="A873" s="84"/>
      <c r="B873" s="84"/>
      <c r="C873" s="60"/>
      <c r="D873" s="66"/>
      <c r="E873" s="66"/>
      <c r="F873" s="66"/>
      <c r="G873" s="66"/>
      <c r="H873" s="66"/>
      <c r="I873" s="66"/>
      <c r="J873" s="66"/>
      <c r="K873" s="66"/>
      <c r="L873" s="66"/>
      <c r="M873" s="66"/>
      <c r="N873" s="66"/>
    </row>
    <row r="874" spans="1:14" x14ac:dyDescent="0.2">
      <c r="A874" s="84"/>
      <c r="B874" s="84"/>
      <c r="C874" s="60"/>
      <c r="D874" s="66"/>
      <c r="E874" s="66"/>
      <c r="F874" s="66"/>
      <c r="G874" s="66"/>
      <c r="H874" s="66"/>
      <c r="I874" s="66"/>
      <c r="J874" s="66"/>
      <c r="K874" s="66"/>
      <c r="L874" s="66"/>
      <c r="M874" s="66"/>
      <c r="N874" s="66"/>
    </row>
    <row r="875" spans="1:14" x14ac:dyDescent="0.2">
      <c r="A875" s="84"/>
      <c r="B875" s="84"/>
      <c r="C875" s="60"/>
      <c r="D875" s="66"/>
      <c r="E875" s="66"/>
      <c r="F875" s="66"/>
      <c r="G875" s="66"/>
      <c r="H875" s="66"/>
      <c r="I875" s="66"/>
      <c r="J875" s="66"/>
      <c r="K875" s="66"/>
      <c r="L875" s="66"/>
      <c r="M875" s="66"/>
      <c r="N875" s="66"/>
    </row>
    <row r="876" spans="1:14" x14ac:dyDescent="0.2">
      <c r="A876" s="84"/>
      <c r="B876" s="84"/>
      <c r="C876" s="60"/>
      <c r="D876" s="66"/>
      <c r="E876" s="66"/>
      <c r="F876" s="66"/>
      <c r="G876" s="66"/>
      <c r="H876" s="66"/>
      <c r="I876" s="66"/>
      <c r="J876" s="66"/>
      <c r="K876" s="66"/>
      <c r="L876" s="66"/>
      <c r="M876" s="66"/>
      <c r="N876" s="66"/>
    </row>
    <row r="877" spans="1:14" x14ac:dyDescent="0.2">
      <c r="A877" s="84"/>
      <c r="B877" s="84"/>
      <c r="C877" s="60"/>
      <c r="D877" s="66"/>
      <c r="E877" s="66"/>
      <c r="F877" s="66"/>
      <c r="G877" s="66"/>
      <c r="H877" s="66"/>
      <c r="I877" s="66"/>
      <c r="J877" s="66"/>
      <c r="K877" s="66"/>
      <c r="L877" s="66"/>
      <c r="M877" s="66"/>
      <c r="N877" s="66"/>
    </row>
    <row r="878" spans="1:14" x14ac:dyDescent="0.2">
      <c r="A878" s="84"/>
      <c r="B878" s="84"/>
      <c r="C878" s="60"/>
      <c r="D878" s="66"/>
      <c r="E878" s="66"/>
      <c r="F878" s="66"/>
      <c r="G878" s="66"/>
      <c r="H878" s="66"/>
      <c r="I878" s="66"/>
      <c r="J878" s="66"/>
      <c r="K878" s="66"/>
      <c r="L878" s="66"/>
      <c r="M878" s="66"/>
      <c r="N878" s="66"/>
    </row>
    <row r="879" spans="1:14" x14ac:dyDescent="0.2">
      <c r="A879" s="84"/>
      <c r="B879" s="84"/>
      <c r="C879" s="60"/>
      <c r="D879" s="66"/>
      <c r="E879" s="66"/>
      <c r="F879" s="66"/>
      <c r="G879" s="66"/>
      <c r="H879" s="66"/>
      <c r="I879" s="66"/>
      <c r="J879" s="66"/>
      <c r="K879" s="66"/>
      <c r="L879" s="66"/>
      <c r="M879" s="66"/>
      <c r="N879" s="66"/>
    </row>
    <row r="880" spans="1:14" x14ac:dyDescent="0.2">
      <c r="A880" s="84"/>
      <c r="B880" s="84"/>
      <c r="C880" s="60"/>
      <c r="D880" s="66"/>
      <c r="E880" s="66"/>
      <c r="F880" s="66"/>
      <c r="G880" s="66"/>
      <c r="H880" s="66"/>
      <c r="I880" s="66"/>
      <c r="J880" s="66"/>
      <c r="K880" s="66"/>
      <c r="L880" s="66"/>
      <c r="M880" s="66"/>
      <c r="N880" s="66"/>
    </row>
    <row r="881" spans="1:14" x14ac:dyDescent="0.2">
      <c r="A881" s="84"/>
      <c r="B881" s="84"/>
      <c r="C881" s="60"/>
      <c r="D881" s="66"/>
      <c r="E881" s="66"/>
      <c r="F881" s="66"/>
      <c r="G881" s="66"/>
      <c r="H881" s="66"/>
      <c r="I881" s="66"/>
      <c r="J881" s="66"/>
      <c r="K881" s="66"/>
      <c r="L881" s="66"/>
      <c r="M881" s="66"/>
      <c r="N881" s="66"/>
    </row>
    <row r="882" spans="1:14" x14ac:dyDescent="0.2">
      <c r="A882" s="84"/>
      <c r="B882" s="84"/>
      <c r="C882" s="60"/>
      <c r="D882" s="66"/>
      <c r="E882" s="66"/>
      <c r="F882" s="66"/>
      <c r="G882" s="66"/>
      <c r="H882" s="66"/>
      <c r="I882" s="66"/>
      <c r="J882" s="66"/>
      <c r="K882" s="66"/>
      <c r="L882" s="66"/>
      <c r="M882" s="66"/>
      <c r="N882" s="66"/>
    </row>
    <row r="883" spans="1:14" x14ac:dyDescent="0.2">
      <c r="A883" s="84"/>
      <c r="B883" s="84"/>
      <c r="C883" s="60"/>
      <c r="D883" s="66"/>
      <c r="E883" s="66"/>
      <c r="F883" s="66"/>
      <c r="G883" s="66"/>
      <c r="H883" s="66"/>
      <c r="I883" s="66"/>
      <c r="J883" s="66"/>
      <c r="K883" s="66"/>
      <c r="L883" s="66"/>
      <c r="M883" s="66"/>
      <c r="N883" s="66"/>
    </row>
    <row r="884" spans="1:14" x14ac:dyDescent="0.2">
      <c r="A884" s="84"/>
      <c r="B884" s="84"/>
      <c r="C884" s="60"/>
      <c r="D884" s="66"/>
      <c r="E884" s="66"/>
      <c r="F884" s="66"/>
      <c r="G884" s="66"/>
      <c r="H884" s="66"/>
      <c r="I884" s="66"/>
      <c r="J884" s="66"/>
      <c r="K884" s="66"/>
      <c r="L884" s="66"/>
      <c r="M884" s="66"/>
      <c r="N884" s="66"/>
    </row>
    <row r="885" spans="1:14" x14ac:dyDescent="0.2">
      <c r="A885" s="84"/>
      <c r="B885" s="84"/>
      <c r="C885" s="60"/>
      <c r="D885" s="66"/>
      <c r="E885" s="66"/>
      <c r="F885" s="66"/>
      <c r="G885" s="66"/>
      <c r="H885" s="66"/>
      <c r="I885" s="66"/>
      <c r="J885" s="66"/>
      <c r="K885" s="66"/>
      <c r="L885" s="66"/>
      <c r="M885" s="66"/>
      <c r="N885" s="66"/>
    </row>
    <row r="886" spans="1:14" x14ac:dyDescent="0.2">
      <c r="A886" s="84"/>
      <c r="B886" s="84"/>
      <c r="C886" s="60"/>
      <c r="D886" s="66"/>
      <c r="E886" s="66"/>
      <c r="F886" s="66"/>
      <c r="G886" s="66"/>
      <c r="H886" s="66"/>
      <c r="I886" s="66"/>
      <c r="J886" s="66"/>
      <c r="K886" s="66"/>
      <c r="L886" s="66"/>
      <c r="M886" s="66"/>
      <c r="N886" s="66"/>
    </row>
    <row r="887" spans="1:14" x14ac:dyDescent="0.2">
      <c r="A887" s="84"/>
      <c r="B887" s="84"/>
      <c r="C887" s="60"/>
      <c r="D887" s="66"/>
      <c r="E887" s="66"/>
      <c r="F887" s="66"/>
      <c r="G887" s="66"/>
      <c r="H887" s="66"/>
      <c r="I887" s="66"/>
      <c r="J887" s="66"/>
      <c r="K887" s="66"/>
      <c r="L887" s="66"/>
      <c r="M887" s="66"/>
      <c r="N887" s="66"/>
    </row>
    <row r="888" spans="1:14" x14ac:dyDescent="0.2">
      <c r="A888" s="84"/>
      <c r="B888" s="84"/>
      <c r="C888" s="60"/>
      <c r="D888" s="66"/>
      <c r="E888" s="66"/>
      <c r="F888" s="66"/>
      <c r="G888" s="66"/>
      <c r="H888" s="66"/>
      <c r="I888" s="66"/>
      <c r="J888" s="66"/>
      <c r="K888" s="66"/>
      <c r="L888" s="66"/>
      <c r="M888" s="66"/>
      <c r="N888" s="66"/>
    </row>
    <row r="889" spans="1:14" x14ac:dyDescent="0.2">
      <c r="A889" s="84"/>
      <c r="B889" s="84"/>
      <c r="C889" s="60"/>
      <c r="D889" s="66"/>
      <c r="E889" s="66"/>
      <c r="F889" s="66"/>
      <c r="G889" s="66"/>
      <c r="H889" s="66"/>
      <c r="I889" s="66"/>
      <c r="J889" s="66"/>
      <c r="K889" s="66"/>
      <c r="L889" s="66"/>
      <c r="M889" s="66"/>
      <c r="N889" s="66"/>
    </row>
    <row r="890" spans="1:14" x14ac:dyDescent="0.2">
      <c r="A890" s="84"/>
      <c r="B890" s="84"/>
      <c r="C890" s="60"/>
      <c r="D890" s="66"/>
      <c r="E890" s="66"/>
      <c r="F890" s="66"/>
      <c r="G890" s="66"/>
      <c r="H890" s="66"/>
      <c r="I890" s="66"/>
      <c r="J890" s="66"/>
      <c r="K890" s="66"/>
      <c r="L890" s="66"/>
      <c r="M890" s="66"/>
      <c r="N890" s="66"/>
    </row>
    <row r="891" spans="1:14" x14ac:dyDescent="0.2">
      <c r="A891" s="84"/>
      <c r="B891" s="84"/>
      <c r="C891" s="60"/>
      <c r="D891" s="66"/>
      <c r="E891" s="66"/>
      <c r="F891" s="66"/>
      <c r="G891" s="66"/>
      <c r="H891" s="66"/>
      <c r="I891" s="66"/>
      <c r="J891" s="66"/>
      <c r="K891" s="66"/>
      <c r="L891" s="66"/>
      <c r="M891" s="66"/>
      <c r="N891" s="66"/>
    </row>
    <row r="892" spans="1:14" x14ac:dyDescent="0.2">
      <c r="A892" s="84"/>
      <c r="B892" s="84"/>
      <c r="C892" s="60"/>
      <c r="D892" s="66"/>
      <c r="E892" s="66"/>
      <c r="F892" s="66"/>
      <c r="G892" s="66"/>
      <c r="H892" s="66"/>
      <c r="I892" s="66"/>
      <c r="J892" s="66"/>
      <c r="K892" s="66"/>
      <c r="L892" s="66"/>
      <c r="M892" s="66"/>
      <c r="N892" s="66"/>
    </row>
    <row r="893" spans="1:14" x14ac:dyDescent="0.2">
      <c r="A893" s="84"/>
      <c r="B893" s="84"/>
      <c r="C893" s="60"/>
      <c r="D893" s="66"/>
      <c r="E893" s="66"/>
      <c r="F893" s="66"/>
      <c r="G893" s="66"/>
      <c r="H893" s="66"/>
      <c r="I893" s="66"/>
      <c r="J893" s="66"/>
      <c r="K893" s="66"/>
      <c r="L893" s="66"/>
      <c r="M893" s="66"/>
      <c r="N893" s="66"/>
    </row>
    <row r="894" spans="1:14" x14ac:dyDescent="0.2">
      <c r="A894" s="84"/>
      <c r="B894" s="84"/>
      <c r="C894" s="60"/>
      <c r="D894" s="66"/>
      <c r="E894" s="66"/>
      <c r="F894" s="66"/>
      <c r="G894" s="66"/>
      <c r="H894" s="66"/>
      <c r="I894" s="66"/>
      <c r="J894" s="66"/>
      <c r="K894" s="66"/>
      <c r="L894" s="66"/>
      <c r="M894" s="66"/>
      <c r="N894" s="66"/>
    </row>
    <row r="895" spans="1:14" x14ac:dyDescent="0.2">
      <c r="A895" s="84"/>
      <c r="B895" s="84"/>
      <c r="C895" s="60"/>
      <c r="D895" s="66"/>
      <c r="E895" s="66"/>
      <c r="F895" s="66"/>
      <c r="G895" s="66"/>
      <c r="H895" s="66"/>
      <c r="I895" s="66"/>
      <c r="J895" s="66"/>
      <c r="K895" s="66"/>
      <c r="L895" s="66"/>
      <c r="M895" s="66"/>
      <c r="N895" s="66"/>
    </row>
    <row r="896" spans="1:14" x14ac:dyDescent="0.2">
      <c r="A896" s="84"/>
      <c r="B896" s="84"/>
      <c r="C896" s="60"/>
      <c r="D896" s="66"/>
      <c r="E896" s="66"/>
      <c r="F896" s="66"/>
      <c r="G896" s="66"/>
      <c r="H896" s="66"/>
      <c r="I896" s="66"/>
      <c r="J896" s="66"/>
      <c r="K896" s="66"/>
      <c r="L896" s="66"/>
      <c r="M896" s="66"/>
      <c r="N896" s="66"/>
    </row>
    <row r="897" spans="1:14" x14ac:dyDescent="0.2">
      <c r="A897" s="84"/>
      <c r="B897" s="84"/>
      <c r="C897" s="60"/>
      <c r="D897" s="66"/>
      <c r="E897" s="66"/>
      <c r="F897" s="66"/>
      <c r="G897" s="66"/>
      <c r="H897" s="66"/>
      <c r="I897" s="66"/>
      <c r="J897" s="66"/>
      <c r="K897" s="66"/>
      <c r="L897" s="66"/>
      <c r="M897" s="66"/>
      <c r="N897" s="66"/>
    </row>
    <row r="898" spans="1:14" x14ac:dyDescent="0.2">
      <c r="A898" s="84"/>
      <c r="B898" s="84"/>
      <c r="C898" s="60"/>
      <c r="D898" s="66"/>
      <c r="E898" s="66"/>
      <c r="F898" s="66"/>
      <c r="G898" s="66"/>
      <c r="H898" s="66"/>
      <c r="I898" s="66"/>
      <c r="J898" s="66"/>
      <c r="K898" s="66"/>
      <c r="L898" s="66"/>
      <c r="M898" s="66"/>
      <c r="N898" s="66"/>
    </row>
    <row r="899" spans="1:14" x14ac:dyDescent="0.2">
      <c r="A899" s="84"/>
      <c r="B899" s="84"/>
      <c r="C899" s="60"/>
      <c r="D899" s="66"/>
      <c r="E899" s="66"/>
      <c r="F899" s="66"/>
      <c r="G899" s="66"/>
      <c r="H899" s="66"/>
      <c r="I899" s="66"/>
      <c r="J899" s="66"/>
      <c r="K899" s="66"/>
      <c r="L899" s="66"/>
      <c r="M899" s="66"/>
      <c r="N899" s="66"/>
    </row>
    <row r="900" spans="1:14" x14ac:dyDescent="0.2">
      <c r="A900" s="84"/>
      <c r="B900" s="84"/>
      <c r="C900" s="60"/>
      <c r="D900" s="66"/>
      <c r="E900" s="66"/>
      <c r="F900" s="66"/>
      <c r="G900" s="66"/>
      <c r="H900" s="66"/>
      <c r="I900" s="66"/>
      <c r="J900" s="66"/>
      <c r="K900" s="66"/>
      <c r="L900" s="66"/>
      <c r="M900" s="66"/>
      <c r="N900" s="66"/>
    </row>
    <row r="901" spans="1:14" x14ac:dyDescent="0.2">
      <c r="A901" s="84"/>
      <c r="B901" s="84"/>
      <c r="C901" s="60"/>
      <c r="D901" s="66"/>
      <c r="E901" s="66"/>
      <c r="F901" s="66"/>
      <c r="G901" s="66"/>
      <c r="H901" s="66"/>
      <c r="I901" s="66"/>
      <c r="J901" s="66"/>
      <c r="K901" s="66"/>
      <c r="L901" s="66"/>
      <c r="M901" s="66"/>
      <c r="N901" s="66"/>
    </row>
    <row r="902" spans="1:14" x14ac:dyDescent="0.2">
      <c r="A902" s="84"/>
      <c r="B902" s="84"/>
      <c r="C902" s="60"/>
      <c r="D902" s="66"/>
      <c r="E902" s="66"/>
      <c r="F902" s="66"/>
      <c r="G902" s="66"/>
      <c r="H902" s="66"/>
      <c r="I902" s="66"/>
      <c r="J902" s="66"/>
      <c r="K902" s="66"/>
      <c r="L902" s="66"/>
      <c r="M902" s="66"/>
      <c r="N902" s="66"/>
    </row>
    <row r="903" spans="1:14" x14ac:dyDescent="0.2">
      <c r="A903" s="84"/>
      <c r="B903" s="84"/>
      <c r="C903" s="60"/>
      <c r="D903" s="66"/>
      <c r="E903" s="66"/>
      <c r="F903" s="66"/>
      <c r="G903" s="66"/>
      <c r="H903" s="66"/>
      <c r="I903" s="66"/>
      <c r="J903" s="66"/>
      <c r="K903" s="66"/>
      <c r="L903" s="66"/>
      <c r="M903" s="66"/>
      <c r="N903" s="66"/>
    </row>
    <row r="904" spans="1:14" x14ac:dyDescent="0.2">
      <c r="A904" s="84"/>
      <c r="B904" s="84"/>
      <c r="C904" s="60"/>
      <c r="D904" s="66"/>
      <c r="E904" s="66"/>
      <c r="F904" s="66"/>
      <c r="G904" s="66"/>
      <c r="H904" s="66"/>
      <c r="I904" s="66"/>
      <c r="J904" s="66"/>
      <c r="K904" s="66"/>
      <c r="L904" s="66"/>
      <c r="M904" s="66"/>
      <c r="N904" s="66"/>
    </row>
    <row r="905" spans="1:14" x14ac:dyDescent="0.2">
      <c r="A905" s="84"/>
      <c r="B905" s="84"/>
      <c r="C905" s="60"/>
      <c r="D905" s="66"/>
      <c r="E905" s="66"/>
      <c r="F905" s="66"/>
      <c r="G905" s="66"/>
      <c r="H905" s="66"/>
      <c r="I905" s="66"/>
      <c r="J905" s="66"/>
      <c r="K905" s="66"/>
      <c r="L905" s="66"/>
      <c r="M905" s="66"/>
      <c r="N905" s="66"/>
    </row>
    <row r="906" spans="1:14" x14ac:dyDescent="0.2">
      <c r="A906" s="84"/>
      <c r="B906" s="84"/>
      <c r="C906" s="60"/>
      <c r="D906" s="66"/>
      <c r="E906" s="66"/>
      <c r="F906" s="66"/>
      <c r="G906" s="66"/>
      <c r="H906" s="66"/>
      <c r="I906" s="66"/>
      <c r="J906" s="66"/>
      <c r="K906" s="66"/>
      <c r="L906" s="66"/>
      <c r="M906" s="66"/>
      <c r="N906" s="66"/>
    </row>
    <row r="907" spans="1:14" x14ac:dyDescent="0.2">
      <c r="A907" s="84"/>
      <c r="B907" s="84"/>
      <c r="C907" s="60"/>
      <c r="D907" s="66"/>
      <c r="E907" s="66"/>
      <c r="F907" s="66"/>
      <c r="G907" s="66"/>
      <c r="H907" s="66"/>
      <c r="I907" s="66"/>
      <c r="J907" s="66"/>
      <c r="K907" s="66"/>
      <c r="L907" s="66"/>
      <c r="M907" s="66"/>
      <c r="N907" s="66"/>
    </row>
    <row r="908" spans="1:14" x14ac:dyDescent="0.2">
      <c r="A908" s="84"/>
      <c r="B908" s="84"/>
      <c r="C908" s="60"/>
      <c r="D908" s="66"/>
      <c r="E908" s="66"/>
      <c r="F908" s="66"/>
      <c r="G908" s="66"/>
      <c r="H908" s="66"/>
      <c r="I908" s="66"/>
      <c r="J908" s="66"/>
      <c r="K908" s="66"/>
      <c r="L908" s="66"/>
      <c r="M908" s="66"/>
      <c r="N908" s="66"/>
    </row>
    <row r="909" spans="1:14" x14ac:dyDescent="0.2">
      <c r="A909" s="84"/>
      <c r="B909" s="84"/>
      <c r="C909" s="60"/>
      <c r="D909" s="66"/>
      <c r="E909" s="66"/>
      <c r="F909" s="66"/>
      <c r="G909" s="66"/>
      <c r="H909" s="66"/>
      <c r="I909" s="66"/>
      <c r="J909" s="66"/>
      <c r="K909" s="66"/>
      <c r="L909" s="66"/>
      <c r="M909" s="66"/>
      <c r="N909" s="66"/>
    </row>
    <row r="910" spans="1:14" x14ac:dyDescent="0.2">
      <c r="A910" s="84"/>
      <c r="B910" s="84"/>
      <c r="C910" s="60"/>
      <c r="D910" s="66"/>
      <c r="E910" s="66"/>
      <c r="F910" s="66"/>
      <c r="G910" s="66"/>
      <c r="H910" s="66"/>
      <c r="I910" s="66"/>
      <c r="J910" s="66"/>
      <c r="K910" s="66"/>
      <c r="L910" s="66"/>
      <c r="M910" s="66"/>
      <c r="N910" s="66"/>
    </row>
    <row r="911" spans="1:14" x14ac:dyDescent="0.2">
      <c r="A911" s="84"/>
      <c r="B911" s="84"/>
      <c r="C911" s="60"/>
      <c r="D911" s="66"/>
      <c r="E911" s="66"/>
      <c r="F911" s="66"/>
      <c r="G911" s="66"/>
      <c r="H911" s="66"/>
      <c r="I911" s="66"/>
      <c r="J911" s="66"/>
      <c r="K911" s="66"/>
      <c r="L911" s="66"/>
      <c r="M911" s="66"/>
      <c r="N911" s="66"/>
    </row>
    <row r="912" spans="1:14" x14ac:dyDescent="0.2">
      <c r="A912" s="84"/>
      <c r="B912" s="84"/>
      <c r="C912" s="60"/>
      <c r="D912" s="66"/>
      <c r="E912" s="66"/>
      <c r="F912" s="66"/>
      <c r="G912" s="66"/>
      <c r="H912" s="66"/>
      <c r="I912" s="66"/>
      <c r="J912" s="66"/>
      <c r="K912" s="66"/>
      <c r="L912" s="66"/>
      <c r="M912" s="66"/>
      <c r="N912" s="66"/>
    </row>
    <row r="913" spans="1:14" x14ac:dyDescent="0.2">
      <c r="A913" s="84"/>
      <c r="B913" s="84"/>
      <c r="C913" s="60"/>
      <c r="D913" s="66"/>
      <c r="E913" s="66"/>
      <c r="F913" s="66"/>
      <c r="G913" s="66"/>
      <c r="H913" s="66"/>
      <c r="I913" s="66"/>
      <c r="J913" s="66"/>
      <c r="K913" s="66"/>
      <c r="L913" s="66"/>
      <c r="M913" s="66"/>
      <c r="N913" s="66"/>
    </row>
    <row r="914" spans="1:14" x14ac:dyDescent="0.2">
      <c r="A914" s="84"/>
      <c r="B914" s="84"/>
      <c r="C914" s="60"/>
      <c r="D914" s="66"/>
      <c r="E914" s="66"/>
      <c r="F914" s="66"/>
      <c r="G914" s="66"/>
      <c r="H914" s="66"/>
      <c r="I914" s="66"/>
      <c r="J914" s="66"/>
      <c r="K914" s="66"/>
      <c r="L914" s="66"/>
      <c r="M914" s="66"/>
      <c r="N914" s="66"/>
    </row>
    <row r="915" spans="1:14" x14ac:dyDescent="0.2">
      <c r="A915" s="84"/>
      <c r="B915" s="84"/>
      <c r="C915" s="60"/>
      <c r="D915" s="66"/>
      <c r="E915" s="66"/>
      <c r="F915" s="66"/>
      <c r="G915" s="66"/>
      <c r="H915" s="66"/>
      <c r="I915" s="66"/>
      <c r="J915" s="66"/>
      <c r="K915" s="66"/>
      <c r="L915" s="66"/>
      <c r="M915" s="66"/>
      <c r="N915" s="66"/>
    </row>
    <row r="916" spans="1:14" x14ac:dyDescent="0.2">
      <c r="A916" s="84"/>
      <c r="B916" s="84"/>
      <c r="C916" s="60"/>
      <c r="D916" s="66"/>
      <c r="E916" s="66"/>
      <c r="F916" s="66"/>
      <c r="G916" s="66"/>
      <c r="H916" s="66"/>
      <c r="I916" s="66"/>
      <c r="J916" s="66"/>
      <c r="K916" s="66"/>
      <c r="L916" s="66"/>
      <c r="M916" s="66"/>
      <c r="N916" s="66"/>
    </row>
    <row r="917" spans="1:14" x14ac:dyDescent="0.2">
      <c r="A917" s="84"/>
      <c r="B917" s="84"/>
      <c r="C917" s="60"/>
      <c r="D917" s="66"/>
      <c r="E917" s="66"/>
      <c r="F917" s="66"/>
      <c r="G917" s="66"/>
      <c r="H917" s="66"/>
      <c r="I917" s="66"/>
      <c r="J917" s="66"/>
      <c r="K917" s="66"/>
      <c r="L917" s="66"/>
      <c r="M917" s="66"/>
      <c r="N917" s="66"/>
    </row>
    <row r="918" spans="1:14" x14ac:dyDescent="0.2">
      <c r="A918" s="84"/>
      <c r="B918" s="84"/>
      <c r="C918" s="60"/>
      <c r="D918" s="66"/>
      <c r="E918" s="66"/>
      <c r="F918" s="66"/>
      <c r="G918" s="66"/>
      <c r="H918" s="66"/>
      <c r="I918" s="66"/>
      <c r="J918" s="66"/>
      <c r="K918" s="66"/>
      <c r="L918" s="66"/>
      <c r="M918" s="66"/>
      <c r="N918" s="66"/>
    </row>
    <row r="919" spans="1:14" x14ac:dyDescent="0.2">
      <c r="A919" s="84"/>
      <c r="B919" s="84"/>
      <c r="C919" s="60"/>
      <c r="D919" s="66"/>
      <c r="E919" s="66"/>
      <c r="F919" s="66"/>
      <c r="G919" s="66"/>
      <c r="H919" s="66"/>
      <c r="I919" s="66"/>
      <c r="J919" s="66"/>
      <c r="K919" s="66"/>
      <c r="L919" s="66"/>
      <c r="M919" s="66"/>
      <c r="N919" s="66"/>
    </row>
    <row r="920" spans="1:14" x14ac:dyDescent="0.2">
      <c r="A920" s="84"/>
      <c r="B920" s="84"/>
      <c r="C920" s="60"/>
      <c r="D920" s="66"/>
      <c r="E920" s="66"/>
      <c r="F920" s="66"/>
      <c r="G920" s="66"/>
      <c r="H920" s="66"/>
      <c r="I920" s="66"/>
      <c r="J920" s="66"/>
      <c r="K920" s="66"/>
      <c r="L920" s="66"/>
      <c r="M920" s="66"/>
      <c r="N920" s="66"/>
    </row>
    <row r="921" spans="1:14" x14ac:dyDescent="0.2">
      <c r="A921" s="84"/>
      <c r="B921" s="84"/>
      <c r="C921" s="60"/>
      <c r="D921" s="66"/>
      <c r="E921" s="66"/>
      <c r="F921" s="66"/>
      <c r="G921" s="66"/>
      <c r="H921" s="66"/>
      <c r="I921" s="66"/>
      <c r="J921" s="66"/>
      <c r="K921" s="66"/>
      <c r="L921" s="66"/>
      <c r="M921" s="66"/>
      <c r="N921" s="66"/>
    </row>
    <row r="922" spans="1:14" x14ac:dyDescent="0.2">
      <c r="A922" s="84"/>
      <c r="B922" s="84"/>
      <c r="C922" s="60"/>
      <c r="D922" s="66"/>
      <c r="E922" s="66"/>
      <c r="F922" s="66"/>
      <c r="G922" s="66"/>
      <c r="H922" s="66"/>
      <c r="I922" s="66"/>
      <c r="J922" s="66"/>
      <c r="K922" s="66"/>
      <c r="L922" s="66"/>
      <c r="M922" s="66"/>
      <c r="N922" s="66"/>
    </row>
    <row r="923" spans="1:14" x14ac:dyDescent="0.2">
      <c r="A923" s="84"/>
      <c r="B923" s="84"/>
      <c r="C923" s="60"/>
      <c r="D923" s="66"/>
      <c r="E923" s="66"/>
      <c r="F923" s="66"/>
      <c r="G923" s="66"/>
      <c r="H923" s="66"/>
      <c r="I923" s="66"/>
      <c r="J923" s="66"/>
      <c r="K923" s="66"/>
      <c r="L923" s="66"/>
      <c r="M923" s="66"/>
      <c r="N923" s="66"/>
    </row>
    <row r="924" spans="1:14" x14ac:dyDescent="0.2">
      <c r="A924" s="84"/>
      <c r="B924" s="84"/>
      <c r="C924" s="60"/>
      <c r="D924" s="66"/>
      <c r="E924" s="66"/>
      <c r="F924" s="66"/>
      <c r="G924" s="66"/>
      <c r="H924" s="66"/>
      <c r="I924" s="66"/>
      <c r="J924" s="66"/>
      <c r="K924" s="66"/>
      <c r="L924" s="66"/>
      <c r="M924" s="66"/>
      <c r="N924" s="66"/>
    </row>
    <row r="925" spans="1:14" x14ac:dyDescent="0.2">
      <c r="A925" s="84"/>
      <c r="B925" s="84"/>
      <c r="C925" s="60"/>
      <c r="D925" s="66"/>
      <c r="E925" s="66"/>
      <c r="F925" s="66"/>
      <c r="G925" s="66"/>
      <c r="H925" s="66"/>
      <c r="I925" s="66"/>
      <c r="J925" s="66"/>
      <c r="K925" s="66"/>
      <c r="L925" s="66"/>
      <c r="M925" s="66"/>
      <c r="N925" s="66"/>
    </row>
    <row r="926" spans="1:14" x14ac:dyDescent="0.2">
      <c r="A926" s="84"/>
      <c r="B926" s="84"/>
      <c r="C926" s="60"/>
      <c r="D926" s="66"/>
      <c r="E926" s="66"/>
      <c r="F926" s="66"/>
      <c r="G926" s="66"/>
      <c r="H926" s="66"/>
      <c r="I926" s="66"/>
      <c r="J926" s="66"/>
      <c r="K926" s="66"/>
      <c r="L926" s="66"/>
      <c r="M926" s="66"/>
      <c r="N926" s="66"/>
    </row>
    <row r="927" spans="1:14" x14ac:dyDescent="0.2">
      <c r="A927" s="84"/>
      <c r="B927" s="84"/>
      <c r="C927" s="60"/>
      <c r="D927" s="66"/>
      <c r="E927" s="66"/>
      <c r="F927" s="66"/>
      <c r="G927" s="66"/>
      <c r="H927" s="66"/>
      <c r="I927" s="66"/>
      <c r="J927" s="66"/>
      <c r="K927" s="66"/>
      <c r="L927" s="66"/>
      <c r="M927" s="66"/>
      <c r="N927" s="66"/>
    </row>
    <row r="928" spans="1:14" x14ac:dyDescent="0.2">
      <c r="A928" s="84"/>
      <c r="B928" s="84"/>
      <c r="C928" s="60"/>
      <c r="D928" s="66"/>
      <c r="E928" s="66"/>
      <c r="F928" s="66"/>
      <c r="G928" s="66"/>
      <c r="H928" s="66"/>
      <c r="I928" s="66"/>
      <c r="J928" s="66"/>
      <c r="K928" s="66"/>
      <c r="L928" s="66"/>
      <c r="M928" s="66"/>
      <c r="N928" s="66"/>
    </row>
    <row r="929" spans="1:14" x14ac:dyDescent="0.2">
      <c r="A929" s="84"/>
      <c r="B929" s="84"/>
      <c r="C929" s="60"/>
      <c r="D929" s="66"/>
      <c r="E929" s="66"/>
      <c r="F929" s="66"/>
      <c r="G929" s="66"/>
      <c r="H929" s="66"/>
      <c r="I929" s="66"/>
      <c r="J929" s="66"/>
      <c r="K929" s="66"/>
      <c r="L929" s="66"/>
      <c r="M929" s="66"/>
      <c r="N929" s="66"/>
    </row>
    <row r="930" spans="1:14" x14ac:dyDescent="0.2">
      <c r="A930" s="84"/>
      <c r="B930" s="84"/>
      <c r="C930" s="60"/>
      <c r="D930" s="66"/>
      <c r="E930" s="66"/>
      <c r="F930" s="66"/>
      <c r="G930" s="66"/>
      <c r="H930" s="66"/>
      <c r="I930" s="66"/>
      <c r="J930" s="66"/>
      <c r="K930" s="66"/>
      <c r="L930" s="66"/>
      <c r="M930" s="66"/>
      <c r="N930" s="66"/>
    </row>
    <row r="931" spans="1:14" x14ac:dyDescent="0.2">
      <c r="A931" s="84"/>
      <c r="B931" s="84"/>
      <c r="C931" s="60"/>
      <c r="D931" s="66"/>
      <c r="E931" s="66"/>
      <c r="F931" s="66"/>
      <c r="G931" s="66"/>
      <c r="H931" s="66"/>
      <c r="I931" s="66"/>
      <c r="J931" s="66"/>
      <c r="K931" s="66"/>
      <c r="L931" s="66"/>
      <c r="M931" s="66"/>
      <c r="N931" s="66"/>
    </row>
    <row r="932" spans="1:14" x14ac:dyDescent="0.2">
      <c r="A932" s="84"/>
      <c r="B932" s="84"/>
      <c r="C932" s="60"/>
      <c r="D932" s="66"/>
      <c r="E932" s="66"/>
      <c r="F932" s="66"/>
      <c r="G932" s="66"/>
      <c r="H932" s="66"/>
      <c r="I932" s="66"/>
      <c r="J932" s="66"/>
      <c r="K932" s="66"/>
      <c r="L932" s="66"/>
      <c r="M932" s="66"/>
      <c r="N932" s="66"/>
    </row>
    <row r="933" spans="1:14" x14ac:dyDescent="0.2">
      <c r="A933" s="84"/>
      <c r="B933" s="84"/>
      <c r="C933" s="60"/>
      <c r="D933" s="66"/>
      <c r="E933" s="66"/>
      <c r="F933" s="66"/>
      <c r="G933" s="66"/>
      <c r="H933" s="66"/>
      <c r="I933" s="66"/>
      <c r="J933" s="66"/>
      <c r="K933" s="66"/>
      <c r="L933" s="66"/>
      <c r="M933" s="66"/>
      <c r="N933" s="66"/>
    </row>
    <row r="934" spans="1:14" x14ac:dyDescent="0.2">
      <c r="A934" s="84"/>
      <c r="B934" s="84"/>
      <c r="C934" s="60"/>
      <c r="D934" s="66"/>
      <c r="E934" s="66"/>
      <c r="F934" s="66"/>
      <c r="G934" s="66"/>
      <c r="H934" s="66"/>
      <c r="I934" s="66"/>
      <c r="J934" s="66"/>
      <c r="K934" s="66"/>
      <c r="L934" s="66"/>
      <c r="M934" s="66"/>
      <c r="N934" s="66"/>
    </row>
    <row r="935" spans="1:14" x14ac:dyDescent="0.2">
      <c r="A935" s="84"/>
      <c r="B935" s="84"/>
      <c r="C935" s="60"/>
      <c r="D935" s="66"/>
      <c r="E935" s="66"/>
      <c r="F935" s="66"/>
      <c r="G935" s="66"/>
      <c r="H935" s="66"/>
      <c r="I935" s="66"/>
      <c r="J935" s="66"/>
      <c r="K935" s="66"/>
      <c r="L935" s="66"/>
      <c r="M935" s="66"/>
      <c r="N935" s="66"/>
    </row>
    <row r="936" spans="1:14" x14ac:dyDescent="0.2">
      <c r="A936" s="84"/>
      <c r="B936" s="84"/>
      <c r="C936" s="60"/>
      <c r="D936" s="66"/>
      <c r="E936" s="66"/>
      <c r="F936" s="66"/>
      <c r="G936" s="66"/>
      <c r="H936" s="66"/>
      <c r="I936" s="66"/>
      <c r="J936" s="66"/>
      <c r="K936" s="66"/>
      <c r="L936" s="66"/>
      <c r="M936" s="66"/>
      <c r="N936" s="66"/>
    </row>
    <row r="937" spans="1:14" x14ac:dyDescent="0.2">
      <c r="A937" s="84"/>
      <c r="B937" s="84"/>
      <c r="C937" s="60"/>
      <c r="D937" s="66"/>
      <c r="E937" s="66"/>
      <c r="F937" s="66"/>
      <c r="G937" s="66"/>
      <c r="H937" s="66"/>
      <c r="I937" s="66"/>
      <c r="J937" s="66"/>
      <c r="K937" s="66"/>
      <c r="L937" s="66"/>
      <c r="M937" s="66"/>
      <c r="N937" s="66"/>
    </row>
    <row r="938" spans="1:14" x14ac:dyDescent="0.2">
      <c r="A938" s="84"/>
      <c r="B938" s="84"/>
      <c r="C938" s="60"/>
      <c r="D938" s="66"/>
      <c r="E938" s="66"/>
      <c r="F938" s="66"/>
      <c r="G938" s="66"/>
      <c r="H938" s="66"/>
      <c r="I938" s="66"/>
      <c r="J938" s="66"/>
      <c r="K938" s="66"/>
      <c r="L938" s="66"/>
      <c r="M938" s="66"/>
      <c r="N938" s="66"/>
    </row>
    <row r="939" spans="1:14" x14ac:dyDescent="0.2">
      <c r="A939" s="84"/>
      <c r="B939" s="84"/>
      <c r="C939" s="60"/>
      <c r="D939" s="66"/>
      <c r="E939" s="66"/>
      <c r="F939" s="66"/>
      <c r="G939" s="66"/>
      <c r="H939" s="66"/>
      <c r="I939" s="66"/>
      <c r="J939" s="66"/>
      <c r="K939" s="66"/>
      <c r="L939" s="66"/>
      <c r="M939" s="66"/>
      <c r="N939" s="66"/>
    </row>
    <row r="940" spans="1:14" x14ac:dyDescent="0.2">
      <c r="A940" s="84"/>
      <c r="B940" s="84"/>
      <c r="C940" s="60"/>
      <c r="D940" s="66"/>
      <c r="E940" s="66"/>
      <c r="F940" s="66"/>
      <c r="G940" s="66"/>
      <c r="H940" s="66"/>
      <c r="I940" s="66"/>
      <c r="J940" s="66"/>
      <c r="K940" s="66"/>
      <c r="L940" s="66"/>
      <c r="M940" s="66"/>
      <c r="N940" s="66"/>
    </row>
    <row r="941" spans="1:14" x14ac:dyDescent="0.2">
      <c r="A941" s="84"/>
      <c r="B941" s="84"/>
      <c r="C941" s="60"/>
      <c r="D941" s="66"/>
      <c r="E941" s="66"/>
      <c r="F941" s="66"/>
      <c r="G941" s="66"/>
      <c r="H941" s="66"/>
      <c r="I941" s="66"/>
      <c r="J941" s="66"/>
      <c r="K941" s="66"/>
      <c r="L941" s="66"/>
      <c r="M941" s="66"/>
      <c r="N941" s="66"/>
    </row>
    <row r="942" spans="1:14" x14ac:dyDescent="0.2">
      <c r="A942" s="84"/>
      <c r="B942" s="84"/>
      <c r="C942" s="60"/>
      <c r="D942" s="66"/>
      <c r="E942" s="66"/>
      <c r="F942" s="66"/>
      <c r="G942" s="66"/>
      <c r="H942" s="66"/>
      <c r="I942" s="66"/>
      <c r="J942" s="66"/>
      <c r="K942" s="66"/>
      <c r="L942" s="66"/>
      <c r="M942" s="66"/>
      <c r="N942" s="66"/>
    </row>
    <row r="943" spans="1:14" x14ac:dyDescent="0.2">
      <c r="A943" s="84"/>
      <c r="B943" s="84"/>
      <c r="C943" s="60"/>
      <c r="D943" s="66"/>
      <c r="E943" s="66"/>
      <c r="F943" s="66"/>
      <c r="G943" s="66"/>
      <c r="H943" s="66"/>
      <c r="I943" s="66"/>
      <c r="J943" s="66"/>
      <c r="K943" s="66"/>
      <c r="L943" s="66"/>
      <c r="M943" s="66"/>
      <c r="N943" s="66"/>
    </row>
    <row r="944" spans="1:14" x14ac:dyDescent="0.2">
      <c r="A944" s="84"/>
      <c r="B944" s="84"/>
      <c r="C944" s="60"/>
      <c r="D944" s="66"/>
      <c r="E944" s="66"/>
      <c r="F944" s="66"/>
      <c r="G944" s="66"/>
      <c r="H944" s="66"/>
      <c r="I944" s="66"/>
      <c r="J944" s="66"/>
      <c r="K944" s="66"/>
      <c r="L944" s="66"/>
      <c r="M944" s="66"/>
      <c r="N944" s="66"/>
    </row>
    <row r="945" spans="1:14" x14ac:dyDescent="0.2">
      <c r="A945" s="84"/>
      <c r="B945" s="84"/>
      <c r="C945" s="60"/>
      <c r="D945" s="66"/>
      <c r="E945" s="66"/>
      <c r="F945" s="66"/>
      <c r="G945" s="66"/>
      <c r="H945" s="66"/>
      <c r="I945" s="66"/>
      <c r="J945" s="66"/>
      <c r="K945" s="66"/>
      <c r="L945" s="66"/>
      <c r="M945" s="66"/>
      <c r="N945" s="66"/>
    </row>
    <row r="946" spans="1:14" x14ac:dyDescent="0.2">
      <c r="A946" s="84"/>
      <c r="B946" s="84"/>
      <c r="C946" s="60"/>
      <c r="D946" s="66"/>
      <c r="E946" s="66"/>
      <c r="F946" s="66"/>
      <c r="G946" s="66"/>
      <c r="H946" s="66"/>
      <c r="I946" s="66"/>
      <c r="J946" s="66"/>
      <c r="K946" s="66"/>
      <c r="L946" s="66"/>
      <c r="M946" s="66"/>
      <c r="N946" s="66"/>
    </row>
    <row r="947" spans="1:14" x14ac:dyDescent="0.2">
      <c r="A947" s="84"/>
      <c r="B947" s="84"/>
      <c r="C947" s="60"/>
      <c r="D947" s="66"/>
      <c r="E947" s="66"/>
      <c r="F947" s="66"/>
      <c r="G947" s="66"/>
      <c r="H947" s="66"/>
      <c r="I947" s="66"/>
      <c r="J947" s="66"/>
      <c r="K947" s="66"/>
      <c r="L947" s="66"/>
      <c r="M947" s="66"/>
      <c r="N947" s="66"/>
    </row>
    <row r="948" spans="1:14" x14ac:dyDescent="0.2">
      <c r="A948" s="84"/>
      <c r="B948" s="84"/>
      <c r="C948" s="60"/>
      <c r="D948" s="66"/>
      <c r="E948" s="66"/>
      <c r="F948" s="66"/>
      <c r="G948" s="66"/>
      <c r="H948" s="66"/>
      <c r="I948" s="66"/>
      <c r="J948" s="66"/>
      <c r="K948" s="66"/>
      <c r="L948" s="66"/>
      <c r="M948" s="66"/>
      <c r="N948" s="66"/>
    </row>
    <row r="949" spans="1:14" x14ac:dyDescent="0.2">
      <c r="A949" s="84"/>
      <c r="B949" s="84"/>
      <c r="C949" s="60"/>
      <c r="D949" s="66"/>
      <c r="E949" s="66"/>
      <c r="F949" s="66"/>
      <c r="G949" s="66"/>
      <c r="H949" s="66"/>
      <c r="I949" s="66"/>
      <c r="J949" s="66"/>
      <c r="K949" s="66"/>
      <c r="L949" s="66"/>
      <c r="M949" s="66"/>
      <c r="N949" s="66"/>
    </row>
    <row r="950" spans="1:14" x14ac:dyDescent="0.2">
      <c r="A950" s="84"/>
      <c r="B950" s="84"/>
      <c r="C950" s="60"/>
      <c r="D950" s="66"/>
      <c r="E950" s="66"/>
      <c r="F950" s="66"/>
      <c r="G950" s="66"/>
      <c r="H950" s="66"/>
      <c r="I950" s="66"/>
      <c r="J950" s="66"/>
      <c r="K950" s="66"/>
      <c r="L950" s="66"/>
      <c r="M950" s="66"/>
      <c r="N950" s="66"/>
    </row>
    <row r="951" spans="1:14" x14ac:dyDescent="0.2">
      <c r="A951" s="84"/>
      <c r="B951" s="84"/>
      <c r="C951" s="60"/>
      <c r="D951" s="66"/>
      <c r="E951" s="66"/>
      <c r="F951" s="66"/>
      <c r="G951" s="66"/>
      <c r="H951" s="66"/>
      <c r="I951" s="66"/>
      <c r="J951" s="66"/>
      <c r="K951" s="66"/>
      <c r="L951" s="66"/>
      <c r="M951" s="66"/>
      <c r="N951" s="66"/>
    </row>
    <row r="952" spans="1:14" x14ac:dyDescent="0.2">
      <c r="A952" s="84"/>
      <c r="B952" s="84"/>
      <c r="C952" s="60"/>
      <c r="D952" s="66"/>
      <c r="E952" s="66"/>
      <c r="F952" s="66"/>
      <c r="G952" s="66"/>
      <c r="H952" s="66"/>
      <c r="I952" s="66"/>
      <c r="J952" s="66"/>
      <c r="K952" s="66"/>
      <c r="L952" s="66"/>
      <c r="M952" s="66"/>
      <c r="N952" s="66"/>
    </row>
    <row r="953" spans="1:14" x14ac:dyDescent="0.2">
      <c r="A953" s="84"/>
      <c r="B953" s="84"/>
      <c r="C953" s="60"/>
      <c r="D953" s="66"/>
      <c r="E953" s="66"/>
      <c r="F953" s="66"/>
      <c r="G953" s="66"/>
      <c r="H953" s="66"/>
      <c r="I953" s="66"/>
      <c r="J953" s="66"/>
      <c r="K953" s="66"/>
      <c r="L953" s="66"/>
      <c r="M953" s="66"/>
      <c r="N953" s="66"/>
    </row>
    <row r="954" spans="1:14" x14ac:dyDescent="0.2">
      <c r="A954" s="84"/>
      <c r="B954" s="84"/>
      <c r="C954" s="60"/>
      <c r="D954" s="66"/>
      <c r="E954" s="66"/>
      <c r="F954" s="66"/>
      <c r="G954" s="66"/>
      <c r="H954" s="66"/>
      <c r="I954" s="66"/>
      <c r="J954" s="66"/>
      <c r="K954" s="66"/>
      <c r="L954" s="66"/>
      <c r="M954" s="66"/>
      <c r="N954" s="66"/>
    </row>
    <row r="955" spans="1:14" x14ac:dyDescent="0.2">
      <c r="A955" s="84"/>
      <c r="B955" s="84"/>
      <c r="C955" s="60"/>
      <c r="D955" s="66"/>
      <c r="E955" s="66"/>
      <c r="F955" s="66"/>
      <c r="G955" s="66"/>
      <c r="H955" s="66"/>
      <c r="I955" s="66"/>
      <c r="J955" s="66"/>
      <c r="K955" s="66"/>
      <c r="L955" s="66"/>
      <c r="M955" s="66"/>
      <c r="N955" s="66"/>
    </row>
    <row r="956" spans="1:14" x14ac:dyDescent="0.2">
      <c r="A956" s="84"/>
      <c r="B956" s="84"/>
      <c r="C956" s="60"/>
      <c r="D956" s="66"/>
      <c r="E956" s="66"/>
      <c r="F956" s="66"/>
      <c r="G956" s="66"/>
      <c r="H956" s="66"/>
      <c r="I956" s="66"/>
      <c r="J956" s="66"/>
      <c r="K956" s="66"/>
      <c r="L956" s="66"/>
      <c r="M956" s="66"/>
      <c r="N956" s="66"/>
    </row>
    <row r="957" spans="1:14" x14ac:dyDescent="0.2">
      <c r="A957" s="84"/>
      <c r="B957" s="84"/>
      <c r="C957" s="60"/>
      <c r="D957" s="66"/>
      <c r="E957" s="66"/>
      <c r="F957" s="66"/>
      <c r="G957" s="66"/>
      <c r="H957" s="66"/>
      <c r="I957" s="66"/>
      <c r="J957" s="66"/>
      <c r="K957" s="66"/>
      <c r="L957" s="66"/>
      <c r="M957" s="66"/>
      <c r="N957" s="66"/>
    </row>
    <row r="958" spans="1:14" x14ac:dyDescent="0.2">
      <c r="A958" s="84"/>
      <c r="B958" s="84"/>
      <c r="C958" s="60"/>
      <c r="D958" s="66"/>
      <c r="E958" s="66"/>
      <c r="F958" s="66"/>
      <c r="G958" s="66"/>
      <c r="H958" s="66"/>
      <c r="I958" s="66"/>
      <c r="J958" s="66"/>
      <c r="K958" s="66"/>
      <c r="L958" s="66"/>
      <c r="M958" s="66"/>
      <c r="N958" s="66"/>
    </row>
    <row r="959" spans="1:14" x14ac:dyDescent="0.2">
      <c r="A959" s="84"/>
      <c r="B959" s="84"/>
      <c r="C959" s="60"/>
      <c r="D959" s="66"/>
      <c r="E959" s="66"/>
      <c r="F959" s="66"/>
      <c r="G959" s="66"/>
      <c r="H959" s="66"/>
      <c r="I959" s="66"/>
      <c r="J959" s="66"/>
      <c r="K959" s="66"/>
      <c r="L959" s="66"/>
      <c r="M959" s="66"/>
      <c r="N959" s="66"/>
    </row>
    <row r="960" spans="1:14" x14ac:dyDescent="0.2">
      <c r="A960" s="84"/>
      <c r="B960" s="84"/>
      <c r="C960" s="60"/>
      <c r="D960" s="66"/>
      <c r="E960" s="66"/>
      <c r="F960" s="66"/>
      <c r="G960" s="66"/>
      <c r="H960" s="66"/>
      <c r="I960" s="66"/>
      <c r="J960" s="66"/>
      <c r="K960" s="66"/>
      <c r="L960" s="66"/>
      <c r="M960" s="66"/>
      <c r="N960" s="66"/>
    </row>
    <row r="961" spans="1:14" x14ac:dyDescent="0.2">
      <c r="A961" s="84"/>
      <c r="B961" s="84"/>
      <c r="C961" s="60"/>
      <c r="D961" s="66"/>
      <c r="E961" s="66"/>
      <c r="F961" s="66"/>
      <c r="G961" s="66"/>
      <c r="H961" s="66"/>
      <c r="I961" s="66"/>
      <c r="J961" s="66"/>
      <c r="K961" s="66"/>
      <c r="L961" s="66"/>
      <c r="M961" s="66"/>
      <c r="N961" s="66"/>
    </row>
    <row r="962" spans="1:14" x14ac:dyDescent="0.2">
      <c r="A962" s="84"/>
      <c r="B962" s="84"/>
      <c r="C962" s="60"/>
      <c r="D962" s="66"/>
      <c r="E962" s="66"/>
      <c r="F962" s="66"/>
      <c r="G962" s="66"/>
      <c r="H962" s="66"/>
      <c r="I962" s="66"/>
      <c r="J962" s="66"/>
      <c r="K962" s="66"/>
      <c r="L962" s="66"/>
      <c r="M962" s="66"/>
      <c r="N962" s="66"/>
    </row>
    <row r="963" spans="1:14" x14ac:dyDescent="0.2">
      <c r="A963" s="84"/>
      <c r="B963" s="84"/>
      <c r="C963" s="60"/>
      <c r="D963" s="66"/>
      <c r="E963" s="66"/>
      <c r="F963" s="66"/>
      <c r="G963" s="66"/>
      <c r="H963" s="66"/>
      <c r="I963" s="66"/>
      <c r="J963" s="66"/>
      <c r="K963" s="66"/>
      <c r="L963" s="66"/>
      <c r="M963" s="66"/>
      <c r="N963" s="66"/>
    </row>
    <row r="964" spans="1:14" x14ac:dyDescent="0.2">
      <c r="A964" s="84"/>
      <c r="B964" s="84"/>
      <c r="C964" s="60"/>
      <c r="D964" s="66"/>
      <c r="E964" s="66"/>
      <c r="F964" s="66"/>
      <c r="G964" s="66"/>
      <c r="H964" s="66"/>
      <c r="I964" s="66"/>
      <c r="J964" s="66"/>
      <c r="K964" s="66"/>
      <c r="L964" s="66"/>
      <c r="M964" s="66"/>
      <c r="N964" s="66"/>
    </row>
    <row r="965" spans="1:14" x14ac:dyDescent="0.2">
      <c r="A965" s="84"/>
      <c r="B965" s="84"/>
      <c r="C965" s="60"/>
      <c r="D965" s="66"/>
      <c r="E965" s="66"/>
      <c r="F965" s="66"/>
      <c r="G965" s="66"/>
      <c r="H965" s="66"/>
      <c r="I965" s="66"/>
      <c r="J965" s="66"/>
      <c r="K965" s="66"/>
      <c r="L965" s="66"/>
      <c r="M965" s="66"/>
      <c r="N965" s="66"/>
    </row>
    <row r="966" spans="1:14" x14ac:dyDescent="0.2">
      <c r="A966" s="84"/>
      <c r="B966" s="84"/>
      <c r="C966" s="60"/>
      <c r="D966" s="66"/>
      <c r="E966" s="66"/>
      <c r="F966" s="66"/>
      <c r="G966" s="66"/>
      <c r="H966" s="66"/>
      <c r="I966" s="66"/>
      <c r="J966" s="66"/>
      <c r="K966" s="66"/>
      <c r="L966" s="66"/>
      <c r="M966" s="66"/>
      <c r="N966" s="66"/>
    </row>
    <row r="967" spans="1:14" x14ac:dyDescent="0.2">
      <c r="A967" s="84"/>
      <c r="B967" s="84"/>
      <c r="C967" s="60"/>
      <c r="D967" s="66"/>
      <c r="E967" s="66"/>
      <c r="F967" s="66"/>
      <c r="G967" s="66"/>
      <c r="H967" s="66"/>
      <c r="I967" s="66"/>
      <c r="J967" s="66"/>
      <c r="K967" s="66"/>
      <c r="L967" s="66"/>
      <c r="M967" s="66"/>
      <c r="N967" s="66"/>
    </row>
    <row r="968" spans="1:14" x14ac:dyDescent="0.2">
      <c r="A968" s="84"/>
      <c r="B968" s="84"/>
      <c r="C968" s="60"/>
      <c r="D968" s="66"/>
      <c r="E968" s="66"/>
      <c r="F968" s="66"/>
      <c r="G968" s="66"/>
      <c r="H968" s="66"/>
      <c r="I968" s="66"/>
      <c r="J968" s="66"/>
      <c r="K968" s="66"/>
      <c r="L968" s="66"/>
      <c r="M968" s="66"/>
      <c r="N968" s="66"/>
    </row>
    <row r="969" spans="1:14" x14ac:dyDescent="0.2">
      <c r="A969" s="84"/>
      <c r="B969" s="84"/>
      <c r="C969" s="60"/>
      <c r="D969" s="66"/>
      <c r="E969" s="66"/>
      <c r="F969" s="66"/>
      <c r="G969" s="66"/>
      <c r="H969" s="66"/>
      <c r="I969" s="66"/>
      <c r="J969" s="66"/>
      <c r="K969" s="66"/>
      <c r="L969" s="66"/>
      <c r="M969" s="66"/>
      <c r="N969" s="66"/>
    </row>
    <row r="970" spans="1:14" x14ac:dyDescent="0.2">
      <c r="A970" s="84"/>
      <c r="B970" s="84"/>
      <c r="C970" s="60"/>
      <c r="D970" s="66"/>
      <c r="E970" s="66"/>
      <c r="F970" s="66"/>
      <c r="G970" s="66"/>
      <c r="H970" s="66"/>
      <c r="I970" s="66"/>
      <c r="J970" s="66"/>
      <c r="K970" s="66"/>
      <c r="L970" s="66"/>
      <c r="M970" s="66"/>
      <c r="N970" s="66"/>
    </row>
    <row r="971" spans="1:14" x14ac:dyDescent="0.2">
      <c r="A971" s="84"/>
      <c r="B971" s="84"/>
      <c r="C971" s="60"/>
      <c r="D971" s="66"/>
      <c r="E971" s="66"/>
      <c r="F971" s="66"/>
      <c r="G971" s="66"/>
      <c r="H971" s="66"/>
      <c r="I971" s="66"/>
      <c r="J971" s="66"/>
      <c r="K971" s="66"/>
      <c r="L971" s="66"/>
      <c r="M971" s="66"/>
      <c r="N971" s="66"/>
    </row>
    <row r="972" spans="1:14" x14ac:dyDescent="0.2">
      <c r="A972" s="84"/>
      <c r="B972" s="84"/>
      <c r="C972" s="60"/>
      <c r="D972" s="66"/>
      <c r="E972" s="66"/>
      <c r="F972" s="66"/>
      <c r="G972" s="66"/>
      <c r="H972" s="66"/>
      <c r="I972" s="66"/>
      <c r="J972" s="66"/>
      <c r="K972" s="66"/>
      <c r="L972" s="66"/>
      <c r="M972" s="66"/>
      <c r="N972" s="66"/>
    </row>
    <row r="973" spans="1:14" x14ac:dyDescent="0.2">
      <c r="A973" s="84"/>
      <c r="B973" s="84"/>
      <c r="C973" s="60"/>
      <c r="D973" s="66"/>
      <c r="E973" s="66"/>
      <c r="F973" s="66"/>
      <c r="G973" s="66"/>
      <c r="H973" s="66"/>
      <c r="I973" s="66"/>
      <c r="J973" s="66"/>
      <c r="K973" s="66"/>
      <c r="L973" s="66"/>
      <c r="M973" s="66"/>
      <c r="N973" s="66"/>
    </row>
    <row r="974" spans="1:14" x14ac:dyDescent="0.2">
      <c r="A974" s="84"/>
      <c r="B974" s="84"/>
      <c r="C974" s="60"/>
      <c r="D974" s="66"/>
      <c r="E974" s="66"/>
      <c r="F974" s="66"/>
      <c r="G974" s="66"/>
      <c r="H974" s="66"/>
      <c r="I974" s="66"/>
      <c r="J974" s="66"/>
      <c r="K974" s="66"/>
      <c r="L974" s="66"/>
      <c r="M974" s="66"/>
      <c r="N974" s="66"/>
    </row>
    <row r="975" spans="1:14" x14ac:dyDescent="0.2">
      <c r="A975" s="84"/>
      <c r="B975" s="84"/>
      <c r="C975" s="60"/>
      <c r="D975" s="66"/>
      <c r="E975" s="66"/>
      <c r="F975" s="66"/>
      <c r="G975" s="66"/>
      <c r="H975" s="66"/>
      <c r="I975" s="66"/>
      <c r="J975" s="66"/>
      <c r="K975" s="66"/>
      <c r="L975" s="66"/>
      <c r="M975" s="66"/>
      <c r="N975" s="66"/>
    </row>
    <row r="976" spans="1:14" x14ac:dyDescent="0.2">
      <c r="A976" s="84"/>
      <c r="B976" s="84"/>
      <c r="C976" s="60"/>
      <c r="D976" s="66"/>
      <c r="E976" s="66"/>
      <c r="F976" s="66"/>
      <c r="G976" s="66"/>
      <c r="H976" s="66"/>
      <c r="I976" s="66"/>
      <c r="J976" s="66"/>
      <c r="K976" s="66"/>
      <c r="L976" s="66"/>
      <c r="M976" s="66"/>
      <c r="N976" s="66"/>
    </row>
    <row r="977" spans="1:14" x14ac:dyDescent="0.2">
      <c r="A977" s="84"/>
      <c r="B977" s="84"/>
      <c r="C977" s="60"/>
      <c r="D977" s="66"/>
      <c r="E977" s="66"/>
      <c r="F977" s="66"/>
      <c r="G977" s="66"/>
      <c r="H977" s="66"/>
      <c r="I977" s="66"/>
      <c r="J977" s="66"/>
      <c r="K977" s="66"/>
      <c r="L977" s="66"/>
      <c r="M977" s="66"/>
      <c r="N977" s="66"/>
    </row>
    <row r="978" spans="1:14" x14ac:dyDescent="0.2">
      <c r="A978" s="84"/>
      <c r="B978" s="84"/>
      <c r="C978" s="60"/>
      <c r="D978" s="66"/>
      <c r="E978" s="66"/>
      <c r="F978" s="66"/>
      <c r="G978" s="66"/>
      <c r="H978" s="66"/>
      <c r="I978" s="66"/>
      <c r="J978" s="66"/>
      <c r="K978" s="66"/>
      <c r="L978" s="66"/>
      <c r="M978" s="66"/>
      <c r="N978" s="66"/>
    </row>
    <row r="979" spans="1:14" x14ac:dyDescent="0.2">
      <c r="A979" s="84"/>
      <c r="B979" s="84"/>
      <c r="C979" s="60"/>
      <c r="D979" s="66"/>
      <c r="E979" s="66"/>
      <c r="F979" s="66"/>
      <c r="G979" s="66"/>
      <c r="H979" s="66"/>
      <c r="I979" s="66"/>
      <c r="J979" s="66"/>
      <c r="K979" s="66"/>
      <c r="L979" s="66"/>
      <c r="M979" s="66"/>
      <c r="N979" s="66"/>
    </row>
    <row r="980" spans="1:14" x14ac:dyDescent="0.2">
      <c r="A980" s="84"/>
      <c r="B980" s="84"/>
      <c r="C980" s="60"/>
      <c r="D980" s="66"/>
      <c r="E980" s="66"/>
      <c r="F980" s="66"/>
      <c r="G980" s="66"/>
      <c r="H980" s="66"/>
      <c r="I980" s="66"/>
      <c r="J980" s="66"/>
      <c r="K980" s="66"/>
      <c r="L980" s="66"/>
      <c r="M980" s="66"/>
      <c r="N980" s="66"/>
    </row>
    <row r="981" spans="1:14" x14ac:dyDescent="0.2">
      <c r="A981" s="84"/>
      <c r="B981" s="84"/>
      <c r="C981" s="60"/>
      <c r="D981" s="66"/>
      <c r="E981" s="66"/>
      <c r="F981" s="66"/>
      <c r="G981" s="66"/>
      <c r="H981" s="66"/>
      <c r="I981" s="66"/>
      <c r="J981" s="66"/>
      <c r="K981" s="66"/>
      <c r="L981" s="66"/>
      <c r="M981" s="66"/>
      <c r="N981" s="66"/>
    </row>
    <row r="982" spans="1:14" x14ac:dyDescent="0.2">
      <c r="A982" s="84"/>
      <c r="B982" s="84"/>
      <c r="C982" s="60"/>
      <c r="D982" s="66"/>
      <c r="E982" s="66"/>
      <c r="F982" s="66"/>
      <c r="G982" s="66"/>
      <c r="H982" s="66"/>
      <c r="I982" s="66"/>
      <c r="J982" s="66"/>
      <c r="K982" s="66"/>
      <c r="L982" s="66"/>
      <c r="M982" s="66"/>
      <c r="N982" s="66"/>
    </row>
    <row r="983" spans="1:14" x14ac:dyDescent="0.2">
      <c r="A983" s="84"/>
      <c r="B983" s="84"/>
      <c r="C983" s="60"/>
      <c r="D983" s="66"/>
      <c r="E983" s="66"/>
      <c r="F983" s="66"/>
      <c r="G983" s="66"/>
      <c r="H983" s="66"/>
      <c r="I983" s="66"/>
      <c r="J983" s="66"/>
      <c r="K983" s="66"/>
      <c r="L983" s="66"/>
      <c r="M983" s="66"/>
      <c r="N983" s="66"/>
    </row>
    <row r="984" spans="1:14" x14ac:dyDescent="0.2">
      <c r="A984" s="84"/>
      <c r="B984" s="84"/>
      <c r="C984" s="60"/>
      <c r="D984" s="66"/>
      <c r="E984" s="66"/>
      <c r="F984" s="66"/>
      <c r="G984" s="66"/>
      <c r="H984" s="66"/>
      <c r="I984" s="66"/>
      <c r="J984" s="66"/>
      <c r="K984" s="66"/>
      <c r="L984" s="66"/>
      <c r="M984" s="66"/>
      <c r="N984" s="66"/>
    </row>
    <row r="985" spans="1:14" x14ac:dyDescent="0.2">
      <c r="A985" s="84"/>
      <c r="B985" s="84"/>
      <c r="C985" s="60"/>
      <c r="D985" s="66"/>
      <c r="E985" s="66"/>
      <c r="F985" s="66"/>
      <c r="G985" s="66"/>
      <c r="H985" s="66"/>
      <c r="I985" s="66"/>
      <c r="J985" s="66"/>
      <c r="K985" s="66"/>
      <c r="L985" s="66"/>
      <c r="M985" s="66"/>
      <c r="N985" s="66"/>
    </row>
    <row r="986" spans="1:14" x14ac:dyDescent="0.2">
      <c r="A986" s="84"/>
      <c r="B986" s="84"/>
      <c r="C986" s="60"/>
      <c r="D986" s="66"/>
      <c r="E986" s="66"/>
      <c r="F986" s="66"/>
      <c r="G986" s="66"/>
      <c r="H986" s="66"/>
      <c r="I986" s="66"/>
      <c r="J986" s="66"/>
      <c r="K986" s="66"/>
      <c r="L986" s="66"/>
      <c r="M986" s="66"/>
      <c r="N986" s="66"/>
    </row>
    <row r="987" spans="1:14" x14ac:dyDescent="0.2">
      <c r="A987" s="84"/>
      <c r="B987" s="84"/>
      <c r="C987" s="60"/>
      <c r="D987" s="66"/>
      <c r="E987" s="66"/>
      <c r="F987" s="66"/>
      <c r="G987" s="66"/>
      <c r="H987" s="66"/>
      <c r="I987" s="66"/>
      <c r="J987" s="66"/>
      <c r="K987" s="66"/>
      <c r="L987" s="66"/>
      <c r="M987" s="66"/>
      <c r="N987" s="66"/>
    </row>
    <row r="988" spans="1:14" x14ac:dyDescent="0.2">
      <c r="A988" s="84"/>
      <c r="B988" s="84"/>
      <c r="C988" s="60"/>
      <c r="D988" s="66"/>
      <c r="E988" s="66"/>
      <c r="F988" s="66"/>
      <c r="G988" s="66"/>
      <c r="H988" s="66"/>
      <c r="I988" s="66"/>
      <c r="J988" s="66"/>
      <c r="K988" s="66"/>
      <c r="L988" s="66"/>
      <c r="M988" s="66"/>
      <c r="N988" s="66"/>
    </row>
    <row r="989" spans="1:14" x14ac:dyDescent="0.2">
      <c r="A989" s="84"/>
      <c r="B989" s="84"/>
      <c r="C989" s="60"/>
      <c r="D989" s="66"/>
      <c r="E989" s="66"/>
      <c r="F989" s="66"/>
      <c r="G989" s="66"/>
      <c r="H989" s="66"/>
      <c r="I989" s="66"/>
      <c r="J989" s="66"/>
      <c r="K989" s="66"/>
      <c r="L989" s="66"/>
      <c r="M989" s="66"/>
      <c r="N989" s="66"/>
    </row>
    <row r="990" spans="1:14" x14ac:dyDescent="0.2">
      <c r="A990" s="84"/>
      <c r="B990" s="84"/>
      <c r="C990" s="60"/>
      <c r="D990" s="66"/>
      <c r="E990" s="66"/>
      <c r="F990" s="66"/>
      <c r="G990" s="66"/>
      <c r="H990" s="66"/>
      <c r="I990" s="66"/>
      <c r="J990" s="66"/>
      <c r="K990" s="66"/>
      <c r="L990" s="66"/>
      <c r="M990" s="66"/>
      <c r="N990" s="66"/>
    </row>
    <row r="991" spans="1:14" x14ac:dyDescent="0.2">
      <c r="A991" s="84"/>
      <c r="B991" s="84"/>
      <c r="C991" s="60"/>
      <c r="D991" s="66"/>
      <c r="E991" s="66"/>
      <c r="F991" s="66"/>
      <c r="G991" s="66"/>
      <c r="H991" s="66"/>
      <c r="I991" s="66"/>
      <c r="J991" s="66"/>
      <c r="K991" s="66"/>
      <c r="L991" s="66"/>
      <c r="M991" s="66"/>
      <c r="N991" s="66"/>
    </row>
    <row r="992" spans="1:14" x14ac:dyDescent="0.2">
      <c r="A992" s="84"/>
      <c r="B992" s="84"/>
      <c r="C992" s="60"/>
      <c r="D992" s="66"/>
      <c r="E992" s="66"/>
      <c r="F992" s="66"/>
      <c r="G992" s="66"/>
      <c r="H992" s="66"/>
      <c r="I992" s="66"/>
      <c r="J992" s="66"/>
      <c r="K992" s="66"/>
      <c r="L992" s="66"/>
      <c r="M992" s="66"/>
      <c r="N992" s="66"/>
    </row>
    <row r="993" spans="1:14" x14ac:dyDescent="0.2">
      <c r="A993" s="84"/>
      <c r="B993" s="84"/>
      <c r="C993" s="60"/>
      <c r="D993" s="66"/>
      <c r="E993" s="66"/>
      <c r="F993" s="66"/>
      <c r="G993" s="66"/>
      <c r="H993" s="66"/>
      <c r="I993" s="66"/>
      <c r="J993" s="66"/>
      <c r="K993" s="66"/>
      <c r="L993" s="66"/>
      <c r="M993" s="66"/>
      <c r="N993" s="66"/>
    </row>
    <row r="994" spans="1:14" x14ac:dyDescent="0.2">
      <c r="A994" s="84"/>
      <c r="B994" s="84"/>
      <c r="C994" s="60"/>
      <c r="D994" s="66"/>
      <c r="E994" s="66"/>
      <c r="F994" s="66"/>
      <c r="G994" s="66"/>
      <c r="H994" s="66"/>
      <c r="I994" s="66"/>
      <c r="J994" s="66"/>
      <c r="K994" s="66"/>
      <c r="L994" s="66"/>
      <c r="M994" s="66"/>
      <c r="N994" s="66"/>
    </row>
    <row r="995" spans="1:14" x14ac:dyDescent="0.2">
      <c r="A995" s="84"/>
      <c r="B995" s="84"/>
      <c r="C995" s="60"/>
      <c r="D995" s="66"/>
      <c r="E995" s="66"/>
      <c r="F995" s="66"/>
      <c r="G995" s="66"/>
      <c r="H995" s="66"/>
      <c r="I995" s="66"/>
      <c r="J995" s="66"/>
      <c r="K995" s="66"/>
      <c r="L995" s="66"/>
      <c r="M995" s="66"/>
      <c r="N995" s="66"/>
    </row>
    <row r="996" spans="1:14" x14ac:dyDescent="0.2">
      <c r="A996" s="84"/>
      <c r="B996" s="84"/>
      <c r="C996" s="60"/>
      <c r="D996" s="66"/>
      <c r="E996" s="66"/>
      <c r="F996" s="66"/>
      <c r="G996" s="66"/>
      <c r="H996" s="66"/>
      <c r="I996" s="66"/>
      <c r="J996" s="66"/>
      <c r="K996" s="66"/>
      <c r="L996" s="66"/>
      <c r="M996" s="66"/>
      <c r="N996" s="66"/>
    </row>
    <row r="997" spans="1:14" x14ac:dyDescent="0.2">
      <c r="A997" s="84"/>
      <c r="B997" s="84"/>
      <c r="C997" s="60"/>
      <c r="D997" s="66"/>
      <c r="E997" s="66"/>
      <c r="F997" s="66"/>
      <c r="G997" s="66"/>
      <c r="H997" s="66"/>
      <c r="I997" s="66"/>
      <c r="J997" s="66"/>
      <c r="K997" s="66"/>
      <c r="L997" s="66"/>
      <c r="M997" s="66"/>
      <c r="N997" s="66"/>
    </row>
    <row r="998" spans="1:14" x14ac:dyDescent="0.2">
      <c r="A998" s="84"/>
      <c r="B998" s="84"/>
      <c r="C998" s="60"/>
      <c r="D998" s="66"/>
      <c r="E998" s="66"/>
      <c r="F998" s="66"/>
      <c r="G998" s="66"/>
      <c r="H998" s="66"/>
      <c r="I998" s="66"/>
      <c r="J998" s="66"/>
      <c r="K998" s="66"/>
      <c r="L998" s="66"/>
      <c r="M998" s="66"/>
      <c r="N998" s="66"/>
    </row>
    <row r="999" spans="1:14" x14ac:dyDescent="0.2">
      <c r="A999" s="84"/>
      <c r="B999" s="84"/>
      <c r="C999" s="60"/>
      <c r="D999" s="66"/>
      <c r="E999" s="66"/>
      <c r="F999" s="66"/>
      <c r="G999" s="66"/>
      <c r="H999" s="66"/>
      <c r="I999" s="66"/>
      <c r="J999" s="66"/>
      <c r="K999" s="66"/>
      <c r="L999" s="66"/>
      <c r="M999" s="66"/>
      <c r="N999" s="66"/>
    </row>
    <row r="1000" spans="1:14" x14ac:dyDescent="0.2">
      <c r="A1000" s="84"/>
      <c r="B1000" s="84"/>
      <c r="C1000" s="60"/>
      <c r="D1000" s="66"/>
      <c r="E1000" s="66"/>
      <c r="F1000" s="66"/>
      <c r="G1000" s="66"/>
      <c r="H1000" s="66"/>
      <c r="I1000" s="66"/>
      <c r="J1000" s="66"/>
      <c r="K1000" s="66"/>
      <c r="L1000" s="66"/>
      <c r="M1000" s="66"/>
      <c r="N1000" s="66"/>
    </row>
    <row r="1001" spans="1:14" x14ac:dyDescent="0.2">
      <c r="A1001" s="84"/>
      <c r="B1001" s="84"/>
      <c r="C1001" s="60"/>
      <c r="D1001" s="66"/>
      <c r="E1001" s="66"/>
      <c r="F1001" s="66"/>
      <c r="G1001" s="66"/>
      <c r="H1001" s="66"/>
      <c r="I1001" s="66"/>
      <c r="J1001" s="66"/>
      <c r="K1001" s="66"/>
      <c r="L1001" s="66"/>
      <c r="M1001" s="66"/>
      <c r="N1001" s="66"/>
    </row>
    <row r="1002" spans="1:14" x14ac:dyDescent="0.2">
      <c r="A1002" s="84"/>
      <c r="B1002" s="84"/>
      <c r="C1002" s="60"/>
      <c r="D1002" s="66"/>
      <c r="E1002" s="66"/>
      <c r="F1002" s="66"/>
      <c r="G1002" s="66"/>
      <c r="H1002" s="66"/>
      <c r="I1002" s="66"/>
      <c r="J1002" s="66"/>
      <c r="K1002" s="66"/>
      <c r="L1002" s="66"/>
      <c r="M1002" s="66"/>
      <c r="N1002" s="66"/>
    </row>
    <row r="1003" spans="1:14" x14ac:dyDescent="0.2">
      <c r="A1003" s="84"/>
      <c r="B1003" s="84"/>
      <c r="C1003" s="60"/>
      <c r="D1003" s="66"/>
      <c r="E1003" s="66"/>
      <c r="F1003" s="66"/>
      <c r="G1003" s="66"/>
      <c r="H1003" s="66"/>
      <c r="I1003" s="66"/>
      <c r="J1003" s="66"/>
      <c r="K1003" s="66"/>
      <c r="L1003" s="66"/>
      <c r="M1003" s="66"/>
      <c r="N1003" s="66"/>
    </row>
    <row r="1004" spans="1:14" x14ac:dyDescent="0.2">
      <c r="A1004" s="84"/>
      <c r="B1004" s="84"/>
      <c r="C1004" s="60"/>
      <c r="D1004" s="66"/>
      <c r="E1004" s="66"/>
      <c r="F1004" s="66"/>
      <c r="G1004" s="66"/>
      <c r="H1004" s="66"/>
      <c r="I1004" s="66"/>
      <c r="J1004" s="66"/>
      <c r="K1004" s="66"/>
      <c r="L1004" s="66"/>
      <c r="M1004" s="66"/>
      <c r="N1004" s="66"/>
    </row>
    <row r="1005" spans="1:14" x14ac:dyDescent="0.2">
      <c r="A1005" s="84"/>
      <c r="B1005" s="84"/>
      <c r="C1005" s="60"/>
      <c r="D1005" s="66"/>
      <c r="E1005" s="66"/>
      <c r="F1005" s="66"/>
      <c r="G1005" s="66"/>
      <c r="H1005" s="66"/>
      <c r="I1005" s="66"/>
      <c r="J1005" s="66"/>
      <c r="K1005" s="66"/>
      <c r="L1005" s="66"/>
      <c r="M1005" s="66"/>
      <c r="N1005" s="66"/>
    </row>
    <row r="1006" spans="1:14" x14ac:dyDescent="0.2">
      <c r="A1006" s="84"/>
      <c r="B1006" s="84"/>
      <c r="C1006" s="60"/>
      <c r="D1006" s="66"/>
      <c r="E1006" s="66"/>
      <c r="F1006" s="66"/>
      <c r="G1006" s="66"/>
      <c r="H1006" s="66"/>
      <c r="I1006" s="66"/>
      <c r="J1006" s="66"/>
      <c r="K1006" s="66"/>
      <c r="L1006" s="66"/>
      <c r="M1006" s="66"/>
      <c r="N1006" s="66"/>
    </row>
    <row r="1007" spans="1:14" x14ac:dyDescent="0.2">
      <c r="A1007" s="84"/>
      <c r="B1007" s="84"/>
      <c r="C1007" s="60"/>
      <c r="D1007" s="66"/>
      <c r="E1007" s="66"/>
      <c r="F1007" s="66"/>
      <c r="G1007" s="66"/>
      <c r="H1007" s="66"/>
      <c r="I1007" s="66"/>
      <c r="J1007" s="66"/>
      <c r="K1007" s="66"/>
      <c r="L1007" s="66"/>
      <c r="M1007" s="66"/>
      <c r="N1007" s="66"/>
    </row>
    <row r="1008" spans="1:14" x14ac:dyDescent="0.2">
      <c r="A1008" s="84"/>
      <c r="B1008" s="84"/>
      <c r="C1008" s="60"/>
      <c r="D1008" s="66"/>
      <c r="E1008" s="66"/>
      <c r="F1008" s="66"/>
      <c r="G1008" s="66"/>
      <c r="H1008" s="66"/>
      <c r="I1008" s="66"/>
      <c r="J1008" s="66"/>
      <c r="K1008" s="66"/>
      <c r="L1008" s="66"/>
      <c r="M1008" s="66"/>
      <c r="N1008" s="66"/>
    </row>
    <row r="1009" spans="1:14" x14ac:dyDescent="0.2">
      <c r="A1009" s="84"/>
      <c r="B1009" s="84"/>
      <c r="C1009" s="60"/>
      <c r="D1009" s="66"/>
      <c r="E1009" s="66"/>
      <c r="F1009" s="66"/>
      <c r="G1009" s="66"/>
      <c r="H1009" s="66"/>
      <c r="I1009" s="66"/>
      <c r="J1009" s="66"/>
      <c r="K1009" s="66"/>
      <c r="L1009" s="66"/>
      <c r="M1009" s="66"/>
      <c r="N1009" s="66"/>
    </row>
    <row r="1010" spans="1:14" x14ac:dyDescent="0.2">
      <c r="A1010" s="84"/>
      <c r="B1010" s="84"/>
      <c r="C1010" s="60"/>
      <c r="D1010" s="66"/>
      <c r="E1010" s="66"/>
      <c r="F1010" s="66"/>
      <c r="G1010" s="66"/>
      <c r="H1010" s="66"/>
      <c r="I1010" s="66"/>
      <c r="J1010" s="66"/>
      <c r="K1010" s="66"/>
      <c r="L1010" s="66"/>
      <c r="M1010" s="66"/>
      <c r="N1010" s="66"/>
    </row>
    <row r="1011" spans="1:14" x14ac:dyDescent="0.2">
      <c r="A1011" s="84"/>
      <c r="B1011" s="84"/>
      <c r="C1011" s="60"/>
      <c r="D1011" s="66"/>
      <c r="E1011" s="66"/>
      <c r="F1011" s="66"/>
      <c r="G1011" s="66"/>
      <c r="H1011" s="66"/>
      <c r="I1011" s="66"/>
      <c r="J1011" s="66"/>
      <c r="K1011" s="66"/>
      <c r="L1011" s="66"/>
      <c r="M1011" s="66"/>
      <c r="N1011" s="66"/>
    </row>
    <row r="1012" spans="1:14" x14ac:dyDescent="0.2">
      <c r="A1012" s="84"/>
      <c r="B1012" s="84"/>
      <c r="C1012" s="60"/>
      <c r="D1012" s="66"/>
      <c r="E1012" s="66"/>
      <c r="F1012" s="66"/>
      <c r="G1012" s="66"/>
      <c r="H1012" s="66"/>
      <c r="I1012" s="66"/>
      <c r="J1012" s="66"/>
      <c r="K1012" s="66"/>
      <c r="L1012" s="66"/>
      <c r="M1012" s="66"/>
      <c r="N1012" s="66"/>
    </row>
    <row r="1013" spans="1:14" x14ac:dyDescent="0.2">
      <c r="A1013" s="84"/>
      <c r="B1013" s="84"/>
      <c r="C1013" s="60"/>
      <c r="D1013" s="66"/>
      <c r="E1013" s="66"/>
      <c r="F1013" s="66"/>
      <c r="G1013" s="66"/>
      <c r="H1013" s="66"/>
      <c r="I1013" s="66"/>
      <c r="J1013" s="66"/>
      <c r="K1013" s="66"/>
      <c r="L1013" s="66"/>
      <c r="M1013" s="66"/>
      <c r="N1013" s="66"/>
    </row>
    <row r="1014" spans="1:14" x14ac:dyDescent="0.2">
      <c r="A1014" s="84"/>
      <c r="B1014" s="84"/>
      <c r="C1014" s="60"/>
      <c r="D1014" s="66"/>
      <c r="E1014" s="66"/>
      <c r="F1014" s="66"/>
      <c r="G1014" s="66"/>
      <c r="H1014" s="66"/>
      <c r="I1014" s="66"/>
      <c r="J1014" s="66"/>
      <c r="K1014" s="66"/>
      <c r="L1014" s="66"/>
      <c r="M1014" s="66"/>
      <c r="N1014" s="66"/>
    </row>
    <row r="1015" spans="1:14" x14ac:dyDescent="0.2">
      <c r="A1015" s="84"/>
      <c r="B1015" s="84"/>
      <c r="C1015" s="60"/>
      <c r="D1015" s="66"/>
      <c r="E1015" s="66"/>
      <c r="F1015" s="66"/>
      <c r="G1015" s="66"/>
      <c r="H1015" s="66"/>
      <c r="I1015" s="66"/>
      <c r="J1015" s="66"/>
      <c r="K1015" s="66"/>
      <c r="L1015" s="66"/>
      <c r="M1015" s="66"/>
      <c r="N1015" s="66"/>
    </row>
    <row r="1016" spans="1:14" x14ac:dyDescent="0.2">
      <c r="A1016" s="84"/>
      <c r="B1016" s="84"/>
      <c r="C1016" s="60"/>
      <c r="D1016" s="66"/>
      <c r="E1016" s="66"/>
      <c r="F1016" s="66"/>
      <c r="G1016" s="66"/>
      <c r="H1016" s="66"/>
      <c r="I1016" s="66"/>
      <c r="J1016" s="66"/>
      <c r="K1016" s="66"/>
      <c r="L1016" s="66"/>
      <c r="M1016" s="66"/>
      <c r="N1016" s="66"/>
    </row>
    <row r="1017" spans="1:14" x14ac:dyDescent="0.2">
      <c r="A1017" s="84"/>
      <c r="B1017" s="84"/>
      <c r="C1017" s="60"/>
      <c r="D1017" s="66"/>
      <c r="E1017" s="66"/>
      <c r="F1017" s="66"/>
      <c r="G1017" s="66"/>
      <c r="H1017" s="66"/>
      <c r="I1017" s="66"/>
      <c r="J1017" s="66"/>
      <c r="K1017" s="66"/>
      <c r="L1017" s="66"/>
      <c r="M1017" s="66"/>
      <c r="N1017" s="66"/>
    </row>
    <row r="1018" spans="1:14" x14ac:dyDescent="0.2">
      <c r="A1018" s="84"/>
      <c r="B1018" s="84"/>
      <c r="C1018" s="60"/>
      <c r="D1018" s="66"/>
      <c r="E1018" s="66"/>
      <c r="F1018" s="66"/>
      <c r="G1018" s="66"/>
      <c r="H1018" s="66"/>
      <c r="I1018" s="66"/>
      <c r="J1018" s="66"/>
      <c r="K1018" s="66"/>
      <c r="L1018" s="66"/>
      <c r="M1018" s="66"/>
      <c r="N1018" s="66"/>
    </row>
    <row r="1019" spans="1:14" x14ac:dyDescent="0.2">
      <c r="A1019" s="84"/>
      <c r="B1019" s="84"/>
      <c r="C1019" s="60"/>
      <c r="D1019" s="66"/>
      <c r="E1019" s="66"/>
      <c r="F1019" s="66"/>
      <c r="G1019" s="66"/>
      <c r="H1019" s="66"/>
      <c r="I1019" s="66"/>
      <c r="J1019" s="66"/>
      <c r="K1019" s="66"/>
      <c r="L1019" s="66"/>
      <c r="M1019" s="66"/>
      <c r="N1019" s="66"/>
    </row>
    <row r="1020" spans="1:14" x14ac:dyDescent="0.2">
      <c r="A1020" s="84"/>
      <c r="B1020" s="84"/>
      <c r="C1020" s="60"/>
      <c r="D1020" s="66"/>
      <c r="E1020" s="66"/>
      <c r="F1020" s="66"/>
      <c r="G1020" s="66"/>
      <c r="H1020" s="66"/>
      <c r="I1020" s="66"/>
      <c r="J1020" s="66"/>
      <c r="K1020" s="66"/>
      <c r="L1020" s="66"/>
      <c r="M1020" s="66"/>
      <c r="N1020" s="66"/>
    </row>
    <row r="1021" spans="1:14" x14ac:dyDescent="0.2">
      <c r="A1021" s="84"/>
      <c r="B1021" s="84"/>
      <c r="C1021" s="60"/>
      <c r="D1021" s="66"/>
      <c r="E1021" s="66"/>
      <c r="F1021" s="66"/>
      <c r="G1021" s="66"/>
      <c r="H1021" s="66"/>
      <c r="I1021" s="66"/>
      <c r="J1021" s="66"/>
      <c r="K1021" s="66"/>
      <c r="L1021" s="66"/>
      <c r="M1021" s="66"/>
      <c r="N1021" s="66"/>
    </row>
    <row r="1022" spans="1:14" x14ac:dyDescent="0.2">
      <c r="A1022" s="84"/>
      <c r="B1022" s="84"/>
      <c r="C1022" s="60"/>
      <c r="D1022" s="66"/>
      <c r="E1022" s="66"/>
      <c r="F1022" s="66"/>
      <c r="G1022" s="66"/>
      <c r="H1022" s="66"/>
      <c r="I1022" s="66"/>
      <c r="J1022" s="66"/>
      <c r="K1022" s="66"/>
      <c r="L1022" s="66"/>
      <c r="M1022" s="66"/>
      <c r="N1022" s="66"/>
    </row>
    <row r="1023" spans="1:14" x14ac:dyDescent="0.2">
      <c r="A1023" s="84"/>
      <c r="B1023" s="84"/>
      <c r="C1023" s="60"/>
      <c r="D1023" s="66"/>
      <c r="E1023" s="66"/>
      <c r="F1023" s="66"/>
      <c r="G1023" s="66"/>
      <c r="H1023" s="66"/>
      <c r="I1023" s="66"/>
      <c r="J1023" s="66"/>
      <c r="K1023" s="66"/>
      <c r="L1023" s="66"/>
      <c r="M1023" s="66"/>
      <c r="N1023" s="66"/>
    </row>
    <row r="1024" spans="1:14" x14ac:dyDescent="0.2">
      <c r="A1024" s="84"/>
      <c r="B1024" s="84"/>
      <c r="C1024" s="60"/>
      <c r="D1024" s="66"/>
      <c r="E1024" s="66"/>
      <c r="F1024" s="66"/>
      <c r="G1024" s="66"/>
      <c r="H1024" s="66"/>
      <c r="I1024" s="66"/>
      <c r="J1024" s="66"/>
      <c r="K1024" s="66"/>
      <c r="L1024" s="66"/>
      <c r="M1024" s="66"/>
      <c r="N1024" s="66"/>
    </row>
    <row r="1025" spans="1:14" x14ac:dyDescent="0.2">
      <c r="A1025" s="84"/>
      <c r="B1025" s="84"/>
      <c r="C1025" s="60"/>
      <c r="D1025" s="66"/>
      <c r="E1025" s="66"/>
      <c r="F1025" s="66"/>
      <c r="G1025" s="66"/>
      <c r="H1025" s="66"/>
      <c r="I1025" s="66"/>
      <c r="J1025" s="66"/>
      <c r="K1025" s="66"/>
      <c r="L1025" s="66"/>
      <c r="M1025" s="66"/>
      <c r="N1025" s="66"/>
    </row>
    <row r="1026" spans="1:14" x14ac:dyDescent="0.2">
      <c r="A1026" s="84"/>
      <c r="B1026" s="84"/>
      <c r="C1026" s="60"/>
      <c r="D1026" s="66"/>
      <c r="E1026" s="66"/>
      <c r="F1026" s="66"/>
      <c r="G1026" s="66"/>
      <c r="H1026" s="66"/>
      <c r="I1026" s="66"/>
      <c r="J1026" s="66"/>
      <c r="K1026" s="66"/>
      <c r="L1026" s="66"/>
      <c r="M1026" s="66"/>
      <c r="N1026" s="66"/>
    </row>
    <row r="1027" spans="1:14" x14ac:dyDescent="0.2">
      <c r="A1027" s="84"/>
      <c r="B1027" s="84"/>
      <c r="C1027" s="60"/>
      <c r="D1027" s="66"/>
      <c r="E1027" s="66"/>
      <c r="F1027" s="66"/>
      <c r="G1027" s="66"/>
      <c r="H1027" s="66"/>
      <c r="I1027" s="66"/>
      <c r="J1027" s="66"/>
      <c r="K1027" s="66"/>
      <c r="L1027" s="66"/>
      <c r="M1027" s="66"/>
      <c r="N1027" s="66"/>
    </row>
    <row r="1028" spans="1:14" x14ac:dyDescent="0.2">
      <c r="A1028" s="84"/>
      <c r="B1028" s="84"/>
      <c r="C1028" s="60"/>
      <c r="D1028" s="66"/>
      <c r="E1028" s="66"/>
      <c r="F1028" s="66"/>
      <c r="G1028" s="66"/>
      <c r="H1028" s="66"/>
      <c r="I1028" s="66"/>
      <c r="J1028" s="66"/>
      <c r="K1028" s="66"/>
      <c r="L1028" s="66"/>
      <c r="M1028" s="66"/>
      <c r="N1028" s="66"/>
    </row>
    <row r="1029" spans="1:14" x14ac:dyDescent="0.2">
      <c r="A1029" s="84"/>
      <c r="B1029" s="84"/>
      <c r="C1029" s="60"/>
      <c r="D1029" s="66"/>
      <c r="E1029" s="66"/>
      <c r="F1029" s="66"/>
      <c r="G1029" s="66"/>
      <c r="H1029" s="66"/>
      <c r="I1029" s="66"/>
      <c r="J1029" s="66"/>
      <c r="K1029" s="66"/>
      <c r="L1029" s="66"/>
      <c r="M1029" s="66"/>
      <c r="N1029" s="66"/>
    </row>
    <row r="1030" spans="1:14" x14ac:dyDescent="0.2">
      <c r="A1030" s="84"/>
      <c r="B1030" s="84"/>
      <c r="C1030" s="60"/>
      <c r="D1030" s="66"/>
      <c r="E1030" s="66"/>
      <c r="F1030" s="66"/>
      <c r="G1030" s="66"/>
      <c r="H1030" s="66"/>
      <c r="I1030" s="66"/>
      <c r="J1030" s="66"/>
      <c r="K1030" s="66"/>
      <c r="L1030" s="66"/>
      <c r="M1030" s="66"/>
      <c r="N1030" s="66"/>
    </row>
    <row r="1031" spans="1:14" x14ac:dyDescent="0.2">
      <c r="A1031" s="84"/>
      <c r="B1031" s="84"/>
      <c r="C1031" s="60"/>
      <c r="D1031" s="66"/>
      <c r="E1031" s="66"/>
      <c r="F1031" s="66"/>
      <c r="G1031" s="66"/>
      <c r="H1031" s="66"/>
      <c r="I1031" s="66"/>
      <c r="J1031" s="66"/>
      <c r="K1031" s="66"/>
      <c r="L1031" s="66"/>
      <c r="M1031" s="66"/>
      <c r="N1031" s="66"/>
    </row>
    <row r="1032" spans="1:14" x14ac:dyDescent="0.2">
      <c r="A1032" s="84"/>
      <c r="B1032" s="84"/>
      <c r="C1032" s="60"/>
      <c r="D1032" s="66"/>
      <c r="E1032" s="66"/>
      <c r="F1032" s="66"/>
      <c r="G1032" s="66"/>
      <c r="H1032" s="66"/>
      <c r="I1032" s="66"/>
      <c r="J1032" s="66"/>
      <c r="K1032" s="66"/>
      <c r="L1032" s="66"/>
      <c r="M1032" s="66"/>
      <c r="N1032" s="66"/>
    </row>
    <row r="1033" spans="1:14" x14ac:dyDescent="0.2">
      <c r="A1033" s="84"/>
      <c r="B1033" s="84"/>
      <c r="C1033" s="60"/>
      <c r="D1033" s="66"/>
      <c r="E1033" s="66"/>
      <c r="F1033" s="66"/>
      <c r="G1033" s="66"/>
      <c r="H1033" s="66"/>
      <c r="I1033" s="66"/>
      <c r="J1033" s="66"/>
      <c r="K1033" s="66"/>
      <c r="L1033" s="66"/>
      <c r="M1033" s="66"/>
      <c r="N1033" s="66"/>
    </row>
    <row r="1034" spans="1:14" x14ac:dyDescent="0.2">
      <c r="A1034" s="84"/>
      <c r="B1034" s="84"/>
      <c r="C1034" s="60"/>
      <c r="D1034" s="66"/>
      <c r="E1034" s="66"/>
      <c r="F1034" s="66"/>
      <c r="G1034" s="66"/>
      <c r="H1034" s="66"/>
      <c r="I1034" s="66"/>
      <c r="J1034" s="66"/>
      <c r="K1034" s="66"/>
      <c r="L1034" s="66"/>
      <c r="M1034" s="66"/>
      <c r="N1034" s="66"/>
    </row>
    <row r="1035" spans="1:14" x14ac:dyDescent="0.2">
      <c r="A1035" s="84"/>
      <c r="B1035" s="84"/>
      <c r="C1035" s="60"/>
      <c r="D1035" s="66"/>
      <c r="E1035" s="66"/>
      <c r="F1035" s="66"/>
      <c r="G1035" s="66"/>
      <c r="H1035" s="66"/>
      <c r="I1035" s="66"/>
      <c r="J1035" s="66"/>
      <c r="K1035" s="66"/>
      <c r="L1035" s="66"/>
      <c r="M1035" s="66"/>
      <c r="N1035" s="66"/>
    </row>
    <row r="1036" spans="1:14" x14ac:dyDescent="0.2">
      <c r="A1036" s="84"/>
      <c r="B1036" s="84"/>
      <c r="C1036" s="60"/>
      <c r="D1036" s="66"/>
      <c r="E1036" s="66"/>
      <c r="F1036" s="66"/>
      <c r="G1036" s="66"/>
      <c r="H1036" s="66"/>
      <c r="I1036" s="66"/>
      <c r="J1036" s="66"/>
      <c r="K1036" s="66"/>
      <c r="L1036" s="66"/>
      <c r="M1036" s="66"/>
      <c r="N1036" s="66"/>
    </row>
    <row r="1037" spans="1:14" x14ac:dyDescent="0.2">
      <c r="A1037" s="84"/>
      <c r="B1037" s="84"/>
      <c r="C1037" s="60"/>
      <c r="D1037" s="66"/>
      <c r="E1037" s="66"/>
      <c r="F1037" s="66"/>
      <c r="G1037" s="66"/>
      <c r="H1037" s="66"/>
      <c r="I1037" s="66"/>
      <c r="J1037" s="66"/>
      <c r="K1037" s="66"/>
      <c r="L1037" s="66"/>
      <c r="M1037" s="66"/>
      <c r="N1037" s="66"/>
    </row>
    <row r="1038" spans="1:14" x14ac:dyDescent="0.2">
      <c r="A1038" s="84"/>
      <c r="B1038" s="84"/>
      <c r="C1038" s="60"/>
      <c r="D1038" s="66"/>
      <c r="E1038" s="66"/>
      <c r="F1038" s="66"/>
      <c r="G1038" s="66"/>
      <c r="H1038" s="66"/>
      <c r="I1038" s="66"/>
      <c r="J1038" s="66"/>
      <c r="K1038" s="66"/>
      <c r="L1038" s="66"/>
      <c r="M1038" s="66"/>
      <c r="N1038" s="66"/>
    </row>
    <row r="1039" spans="1:14" x14ac:dyDescent="0.2">
      <c r="A1039" s="84"/>
      <c r="B1039" s="84"/>
      <c r="C1039" s="60"/>
      <c r="D1039" s="66"/>
      <c r="E1039" s="66"/>
      <c r="F1039" s="66"/>
      <c r="G1039" s="66"/>
      <c r="H1039" s="66"/>
      <c r="I1039" s="66"/>
      <c r="J1039" s="66"/>
      <c r="K1039" s="66"/>
      <c r="L1039" s="66"/>
      <c r="M1039" s="66"/>
      <c r="N1039" s="66"/>
    </row>
    <row r="1040" spans="1:14" x14ac:dyDescent="0.2">
      <c r="A1040" s="84"/>
      <c r="B1040" s="84"/>
      <c r="C1040" s="60"/>
      <c r="D1040" s="66"/>
      <c r="E1040" s="66"/>
      <c r="F1040" s="66"/>
      <c r="G1040" s="66"/>
      <c r="H1040" s="66"/>
      <c r="I1040" s="66"/>
      <c r="J1040" s="66"/>
      <c r="K1040" s="66"/>
      <c r="L1040" s="66"/>
      <c r="M1040" s="66"/>
      <c r="N1040" s="66"/>
    </row>
    <row r="1041" spans="1:14" x14ac:dyDescent="0.2">
      <c r="A1041" s="84"/>
      <c r="B1041" s="84"/>
      <c r="C1041" s="60"/>
      <c r="D1041" s="66"/>
      <c r="E1041" s="66"/>
      <c r="F1041" s="66"/>
      <c r="G1041" s="66"/>
      <c r="H1041" s="66"/>
      <c r="I1041" s="66"/>
      <c r="J1041" s="66"/>
      <c r="K1041" s="66"/>
      <c r="L1041" s="66"/>
      <c r="M1041" s="66"/>
      <c r="N1041" s="66"/>
    </row>
    <row r="1042" spans="1:14" x14ac:dyDescent="0.2">
      <c r="A1042" s="84"/>
      <c r="B1042" s="84"/>
      <c r="C1042" s="60"/>
      <c r="D1042" s="66"/>
      <c r="E1042" s="66"/>
      <c r="F1042" s="66"/>
      <c r="G1042" s="66"/>
      <c r="H1042" s="66"/>
      <c r="I1042" s="66"/>
      <c r="J1042" s="66"/>
      <c r="K1042" s="66"/>
      <c r="L1042" s="66"/>
      <c r="M1042" s="66"/>
      <c r="N1042" s="66"/>
    </row>
    <row r="1043" spans="1:14" x14ac:dyDescent="0.2">
      <c r="A1043" s="84"/>
      <c r="B1043" s="84"/>
      <c r="C1043" s="60"/>
      <c r="D1043" s="66"/>
      <c r="E1043" s="66"/>
      <c r="F1043" s="66"/>
      <c r="G1043" s="66"/>
      <c r="H1043" s="66"/>
      <c r="I1043" s="66"/>
      <c r="J1043" s="66"/>
      <c r="K1043" s="66"/>
      <c r="L1043" s="66"/>
      <c r="M1043" s="66"/>
      <c r="N1043" s="66"/>
    </row>
    <row r="1044" spans="1:14" x14ac:dyDescent="0.2">
      <c r="A1044" s="84"/>
      <c r="B1044" s="84"/>
      <c r="C1044" s="60"/>
      <c r="D1044" s="66"/>
      <c r="E1044" s="66"/>
      <c r="F1044" s="66"/>
      <c r="G1044" s="66"/>
      <c r="H1044" s="66"/>
      <c r="I1044" s="66"/>
      <c r="J1044" s="66"/>
      <c r="K1044" s="66"/>
      <c r="L1044" s="66"/>
      <c r="M1044" s="66"/>
      <c r="N1044" s="66"/>
    </row>
    <row r="1045" spans="1:14" x14ac:dyDescent="0.2">
      <c r="A1045" s="84"/>
      <c r="B1045" s="84"/>
      <c r="C1045" s="60"/>
      <c r="D1045" s="66"/>
      <c r="E1045" s="66"/>
      <c r="F1045" s="66"/>
      <c r="G1045" s="66"/>
      <c r="H1045" s="66"/>
      <c r="I1045" s="66"/>
      <c r="J1045" s="66"/>
      <c r="K1045" s="66"/>
      <c r="L1045" s="66"/>
      <c r="M1045" s="66"/>
      <c r="N1045" s="66"/>
    </row>
    <row r="1046" spans="1:14" x14ac:dyDescent="0.2">
      <c r="A1046" s="84"/>
      <c r="B1046" s="84"/>
      <c r="C1046" s="60"/>
      <c r="D1046" s="66"/>
      <c r="E1046" s="66"/>
      <c r="F1046" s="66"/>
      <c r="G1046" s="66"/>
      <c r="H1046" s="66"/>
      <c r="I1046" s="66"/>
      <c r="J1046" s="66"/>
      <c r="K1046" s="66"/>
      <c r="L1046" s="66"/>
      <c r="M1046" s="66"/>
      <c r="N1046" s="66"/>
    </row>
    <row r="1047" spans="1:14" x14ac:dyDescent="0.2">
      <c r="A1047" s="84"/>
      <c r="B1047" s="84"/>
      <c r="C1047" s="60"/>
      <c r="D1047" s="66"/>
      <c r="E1047" s="66"/>
      <c r="F1047" s="66"/>
      <c r="G1047" s="66"/>
      <c r="H1047" s="66"/>
      <c r="I1047" s="66"/>
      <c r="J1047" s="66"/>
      <c r="K1047" s="66"/>
      <c r="L1047" s="66"/>
      <c r="M1047" s="66"/>
      <c r="N1047" s="66"/>
    </row>
    <row r="1048" spans="1:14" x14ac:dyDescent="0.2">
      <c r="A1048" s="84"/>
      <c r="B1048" s="84"/>
      <c r="C1048" s="60"/>
      <c r="D1048" s="66"/>
      <c r="E1048" s="66"/>
      <c r="F1048" s="66"/>
      <c r="G1048" s="66"/>
      <c r="H1048" s="66"/>
      <c r="I1048" s="66"/>
      <c r="J1048" s="66"/>
      <c r="K1048" s="66"/>
      <c r="L1048" s="66"/>
      <c r="M1048" s="66"/>
      <c r="N1048" s="66"/>
    </row>
    <row r="1049" spans="1:14" x14ac:dyDescent="0.2">
      <c r="A1049" s="84"/>
      <c r="B1049" s="84"/>
      <c r="C1049" s="60"/>
      <c r="D1049" s="66"/>
      <c r="E1049" s="66"/>
      <c r="F1049" s="66"/>
      <c r="G1049" s="66"/>
      <c r="H1049" s="66"/>
      <c r="I1049" s="66"/>
      <c r="J1049" s="66"/>
      <c r="K1049" s="66"/>
      <c r="L1049" s="66"/>
      <c r="M1049" s="66"/>
      <c r="N1049" s="66"/>
    </row>
    <row r="1050" spans="1:14" x14ac:dyDescent="0.2">
      <c r="A1050" s="84"/>
      <c r="B1050" s="84"/>
      <c r="C1050" s="60"/>
      <c r="D1050" s="66"/>
      <c r="E1050" s="66"/>
      <c r="F1050" s="66"/>
      <c r="G1050" s="66"/>
      <c r="H1050" s="66"/>
      <c r="I1050" s="66"/>
      <c r="J1050" s="66"/>
      <c r="K1050" s="66"/>
      <c r="L1050" s="66"/>
      <c r="M1050" s="66"/>
      <c r="N1050" s="66"/>
    </row>
    <row r="1051" spans="1:14" x14ac:dyDescent="0.2">
      <c r="A1051" s="84"/>
      <c r="B1051" s="84"/>
      <c r="C1051" s="60"/>
      <c r="D1051" s="66"/>
      <c r="E1051" s="66"/>
      <c r="F1051" s="66"/>
      <c r="G1051" s="66"/>
      <c r="H1051" s="66"/>
      <c r="I1051" s="66"/>
      <c r="J1051" s="66"/>
      <c r="K1051" s="66"/>
      <c r="L1051" s="66"/>
      <c r="M1051" s="66"/>
      <c r="N1051" s="66"/>
    </row>
    <row r="1052" spans="1:14" x14ac:dyDescent="0.2">
      <c r="A1052" s="84"/>
      <c r="B1052" s="84"/>
      <c r="C1052" s="60"/>
      <c r="D1052" s="66"/>
      <c r="E1052" s="66"/>
      <c r="F1052" s="66"/>
      <c r="G1052" s="66"/>
      <c r="H1052" s="66"/>
      <c r="I1052" s="66"/>
      <c r="J1052" s="66"/>
      <c r="K1052" s="66"/>
      <c r="L1052" s="66"/>
      <c r="M1052" s="66"/>
      <c r="N1052" s="66"/>
    </row>
    <row r="1053" spans="1:14" x14ac:dyDescent="0.2">
      <c r="A1053" s="84"/>
      <c r="B1053" s="84"/>
      <c r="C1053" s="60"/>
      <c r="D1053" s="66"/>
      <c r="E1053" s="66"/>
      <c r="F1053" s="66"/>
      <c r="G1053" s="66"/>
      <c r="H1053" s="66"/>
      <c r="I1053" s="66"/>
      <c r="J1053" s="66"/>
      <c r="K1053" s="66"/>
      <c r="L1053" s="66"/>
      <c r="M1053" s="66"/>
      <c r="N1053" s="66"/>
    </row>
    <row r="1054" spans="1:14" x14ac:dyDescent="0.2">
      <c r="A1054" s="84"/>
      <c r="B1054" s="84"/>
      <c r="C1054" s="60"/>
      <c r="D1054" s="66"/>
      <c r="E1054" s="66"/>
      <c r="F1054" s="66"/>
      <c r="G1054" s="66"/>
      <c r="H1054" s="66"/>
      <c r="I1054" s="66"/>
      <c r="J1054" s="66"/>
      <c r="K1054" s="66"/>
      <c r="L1054" s="66"/>
      <c r="M1054" s="66"/>
      <c r="N1054" s="66"/>
    </row>
    <row r="1055" spans="1:14" x14ac:dyDescent="0.2">
      <c r="A1055" s="84"/>
      <c r="B1055" s="84"/>
      <c r="C1055" s="60"/>
      <c r="D1055" s="66"/>
      <c r="E1055" s="66"/>
      <c r="F1055" s="66"/>
      <c r="G1055" s="66"/>
      <c r="H1055" s="66"/>
      <c r="I1055" s="66"/>
      <c r="J1055" s="66"/>
      <c r="K1055" s="66"/>
      <c r="L1055" s="66"/>
      <c r="M1055" s="66"/>
      <c r="N1055" s="66"/>
    </row>
    <row r="1056" spans="1:14" x14ac:dyDescent="0.2">
      <c r="A1056" s="84"/>
      <c r="B1056" s="84"/>
      <c r="C1056" s="60"/>
      <c r="D1056" s="66"/>
      <c r="E1056" s="66"/>
      <c r="F1056" s="66"/>
      <c r="G1056" s="66"/>
      <c r="H1056" s="66"/>
      <c r="I1056" s="66"/>
      <c r="J1056" s="66"/>
      <c r="K1056" s="66"/>
      <c r="L1056" s="66"/>
      <c r="M1056" s="66"/>
      <c r="N1056" s="66"/>
    </row>
    <row r="1057" spans="1:14" x14ac:dyDescent="0.2">
      <c r="A1057" s="84"/>
      <c r="B1057" s="84"/>
      <c r="C1057" s="60"/>
      <c r="D1057" s="66"/>
      <c r="E1057" s="66"/>
      <c r="F1057" s="66"/>
      <c r="G1057" s="66"/>
      <c r="H1057" s="66"/>
      <c r="I1057" s="66"/>
      <c r="J1057" s="66"/>
      <c r="K1057" s="66"/>
      <c r="L1057" s="66"/>
      <c r="M1057" s="66"/>
      <c r="N1057" s="66"/>
    </row>
    <row r="1058" spans="1:14" x14ac:dyDescent="0.2">
      <c r="A1058" s="84"/>
      <c r="B1058" s="84"/>
      <c r="C1058" s="60"/>
      <c r="D1058" s="66"/>
      <c r="E1058" s="66"/>
      <c r="F1058" s="66"/>
      <c r="G1058" s="66"/>
      <c r="H1058" s="66"/>
      <c r="I1058" s="66"/>
      <c r="J1058" s="66"/>
      <c r="K1058" s="66"/>
      <c r="L1058" s="66"/>
      <c r="M1058" s="66"/>
      <c r="N1058" s="66"/>
    </row>
    <row r="1059" spans="1:14" x14ac:dyDescent="0.2">
      <c r="A1059" s="84"/>
      <c r="B1059" s="84"/>
      <c r="C1059" s="60"/>
      <c r="D1059" s="66"/>
      <c r="E1059" s="66"/>
      <c r="F1059" s="66"/>
      <c r="G1059" s="66"/>
      <c r="H1059" s="66"/>
      <c r="I1059" s="66"/>
      <c r="J1059" s="66"/>
      <c r="K1059" s="66"/>
      <c r="L1059" s="66"/>
      <c r="M1059" s="66"/>
      <c r="N1059" s="66"/>
    </row>
    <row r="1060" spans="1:14" x14ac:dyDescent="0.2">
      <c r="A1060" s="84"/>
      <c r="B1060" s="84"/>
      <c r="C1060" s="60"/>
      <c r="D1060" s="66"/>
      <c r="E1060" s="66"/>
      <c r="F1060" s="66"/>
      <c r="G1060" s="66"/>
      <c r="H1060" s="66"/>
      <c r="I1060" s="66"/>
      <c r="J1060" s="66"/>
      <c r="K1060" s="66"/>
      <c r="L1060" s="66"/>
      <c r="M1060" s="66"/>
      <c r="N1060" s="66"/>
    </row>
    <row r="1061" spans="1:14" x14ac:dyDescent="0.2">
      <c r="A1061" s="84"/>
      <c r="B1061" s="84"/>
      <c r="C1061" s="60"/>
      <c r="D1061" s="66"/>
      <c r="E1061" s="66"/>
      <c r="F1061" s="66"/>
      <c r="G1061" s="66"/>
      <c r="H1061" s="66"/>
      <c r="I1061" s="66"/>
      <c r="J1061" s="66"/>
      <c r="K1061" s="66"/>
      <c r="L1061" s="66"/>
      <c r="M1061" s="66"/>
      <c r="N1061" s="66"/>
    </row>
    <row r="1062" spans="1:14" x14ac:dyDescent="0.2">
      <c r="A1062" s="84"/>
      <c r="B1062" s="84"/>
      <c r="C1062" s="60"/>
      <c r="D1062" s="66"/>
      <c r="E1062" s="66"/>
      <c r="F1062" s="66"/>
      <c r="G1062" s="66"/>
      <c r="H1062" s="66"/>
      <c r="I1062" s="66"/>
      <c r="J1062" s="66"/>
      <c r="K1062" s="66"/>
      <c r="L1062" s="66"/>
      <c r="M1062" s="66"/>
      <c r="N1062" s="66"/>
    </row>
    <row r="1063" spans="1:14" x14ac:dyDescent="0.2">
      <c r="A1063" s="84"/>
      <c r="B1063" s="84"/>
      <c r="C1063" s="60"/>
      <c r="D1063" s="66"/>
      <c r="E1063" s="66"/>
      <c r="F1063" s="66"/>
      <c r="G1063" s="66"/>
      <c r="H1063" s="66"/>
      <c r="I1063" s="66"/>
      <c r="J1063" s="66"/>
      <c r="K1063" s="66"/>
      <c r="L1063" s="66"/>
      <c r="M1063" s="66"/>
      <c r="N1063" s="66"/>
    </row>
    <row r="1064" spans="1:14" x14ac:dyDescent="0.2">
      <c r="A1064" s="84"/>
      <c r="B1064" s="84"/>
      <c r="C1064" s="60"/>
      <c r="D1064" s="66"/>
      <c r="E1064" s="66"/>
      <c r="F1064" s="66"/>
      <c r="G1064" s="66"/>
      <c r="H1064" s="66"/>
      <c r="I1064" s="66"/>
      <c r="J1064" s="66"/>
      <c r="K1064" s="66"/>
      <c r="L1064" s="66"/>
      <c r="M1064" s="66"/>
      <c r="N1064" s="66"/>
    </row>
    <row r="1065" spans="1:14" x14ac:dyDescent="0.2">
      <c r="A1065" s="84"/>
      <c r="B1065" s="84"/>
      <c r="C1065" s="60"/>
      <c r="D1065" s="66"/>
      <c r="E1065" s="66"/>
      <c r="F1065" s="66"/>
      <c r="G1065" s="66"/>
      <c r="H1065" s="66"/>
      <c r="I1065" s="66"/>
      <c r="J1065" s="66"/>
      <c r="K1065" s="66"/>
      <c r="L1065" s="66"/>
      <c r="M1065" s="66"/>
      <c r="N1065" s="66"/>
    </row>
    <row r="1066" spans="1:14" x14ac:dyDescent="0.2">
      <c r="A1066" s="84"/>
      <c r="B1066" s="84"/>
      <c r="C1066" s="60"/>
      <c r="D1066" s="66"/>
      <c r="E1066" s="66"/>
      <c r="F1066" s="66"/>
      <c r="G1066" s="66"/>
      <c r="H1066" s="66"/>
      <c r="I1066" s="66"/>
      <c r="J1066" s="66"/>
      <c r="K1066" s="66"/>
      <c r="L1066" s="66"/>
      <c r="M1066" s="66"/>
      <c r="N1066" s="66"/>
    </row>
    <row r="1067" spans="1:14" x14ac:dyDescent="0.2">
      <c r="A1067" s="84"/>
      <c r="B1067" s="84"/>
      <c r="C1067" s="60"/>
      <c r="D1067" s="66"/>
      <c r="E1067" s="66"/>
      <c r="F1067" s="66"/>
      <c r="G1067" s="66"/>
      <c r="H1067" s="66"/>
      <c r="I1067" s="66"/>
      <c r="J1067" s="66"/>
      <c r="K1067" s="66"/>
      <c r="L1067" s="66"/>
      <c r="M1067" s="66"/>
      <c r="N1067" s="66"/>
    </row>
    <row r="1068" spans="1:14" x14ac:dyDescent="0.2">
      <c r="A1068" s="84"/>
      <c r="B1068" s="84"/>
      <c r="C1068" s="60"/>
      <c r="D1068" s="66"/>
      <c r="E1068" s="66"/>
      <c r="F1068" s="66"/>
      <c r="G1068" s="66"/>
      <c r="H1068" s="66"/>
      <c r="I1068" s="66"/>
      <c r="J1068" s="66"/>
      <c r="K1068" s="66"/>
      <c r="L1068" s="66"/>
      <c r="M1068" s="66"/>
      <c r="N1068" s="66"/>
    </row>
    <row r="1069" spans="1:14" x14ac:dyDescent="0.2">
      <c r="A1069" s="84"/>
      <c r="B1069" s="84"/>
      <c r="C1069" s="60"/>
      <c r="D1069" s="66"/>
      <c r="E1069" s="66"/>
      <c r="F1069" s="66"/>
      <c r="G1069" s="66"/>
      <c r="H1069" s="66"/>
      <c r="I1069" s="66"/>
      <c r="J1069" s="66"/>
      <c r="K1069" s="66"/>
      <c r="L1069" s="66"/>
      <c r="M1069" s="66"/>
      <c r="N1069" s="66"/>
    </row>
    <row r="1070" spans="1:14" x14ac:dyDescent="0.2">
      <c r="A1070" s="84"/>
      <c r="B1070" s="84"/>
      <c r="C1070" s="60"/>
      <c r="D1070" s="66"/>
      <c r="E1070" s="66"/>
      <c r="F1070" s="66"/>
      <c r="G1070" s="66"/>
      <c r="H1070" s="66"/>
      <c r="I1070" s="66"/>
      <c r="J1070" s="66"/>
      <c r="K1070" s="66"/>
      <c r="L1070" s="66"/>
      <c r="M1070" s="66"/>
      <c r="N1070" s="66"/>
    </row>
    <row r="1071" spans="1:14" x14ac:dyDescent="0.2">
      <c r="A1071" s="84"/>
      <c r="B1071" s="84"/>
      <c r="C1071" s="60"/>
      <c r="D1071" s="66"/>
      <c r="E1071" s="66"/>
      <c r="F1071" s="66"/>
      <c r="G1071" s="66"/>
      <c r="H1071" s="66"/>
      <c r="I1071" s="66"/>
      <c r="J1071" s="66"/>
      <c r="K1071" s="66"/>
      <c r="L1071" s="66"/>
      <c r="M1071" s="66"/>
      <c r="N1071" s="66"/>
    </row>
    <row r="1072" spans="1:14" x14ac:dyDescent="0.2">
      <c r="A1072" s="84"/>
      <c r="B1072" s="84"/>
      <c r="C1072" s="60"/>
      <c r="D1072" s="66"/>
      <c r="E1072" s="66"/>
      <c r="F1072" s="66"/>
      <c r="G1072" s="66"/>
      <c r="H1072" s="66"/>
      <c r="I1072" s="66"/>
      <c r="J1072" s="66"/>
      <c r="K1072" s="66"/>
      <c r="L1072" s="66"/>
      <c r="M1072" s="66"/>
      <c r="N1072" s="66"/>
    </row>
    <row r="1073" spans="1:14" x14ac:dyDescent="0.2">
      <c r="A1073" s="84"/>
      <c r="B1073" s="84"/>
      <c r="C1073" s="60"/>
      <c r="D1073" s="66"/>
      <c r="E1073" s="66"/>
      <c r="F1073" s="66"/>
      <c r="G1073" s="66"/>
      <c r="H1073" s="66"/>
      <c r="I1073" s="66"/>
      <c r="J1073" s="66"/>
      <c r="K1073" s="66"/>
      <c r="L1073" s="66"/>
      <c r="M1073" s="66"/>
      <c r="N1073" s="66"/>
    </row>
    <row r="1074" spans="1:14" x14ac:dyDescent="0.2">
      <c r="A1074" s="84"/>
      <c r="B1074" s="84"/>
      <c r="C1074" s="60"/>
      <c r="D1074" s="66"/>
      <c r="E1074" s="66"/>
      <c r="F1074" s="66"/>
      <c r="G1074" s="66"/>
      <c r="H1074" s="66"/>
      <c r="I1074" s="66"/>
      <c r="J1074" s="66"/>
      <c r="K1074" s="66"/>
      <c r="L1074" s="66"/>
      <c r="M1074" s="66"/>
      <c r="N1074" s="66"/>
    </row>
    <row r="1075" spans="1:14" x14ac:dyDescent="0.2">
      <c r="A1075" s="84"/>
      <c r="B1075" s="84"/>
      <c r="C1075" s="60"/>
      <c r="D1075" s="66"/>
      <c r="E1075" s="66"/>
      <c r="F1075" s="66"/>
      <c r="G1075" s="66"/>
      <c r="H1075" s="66"/>
      <c r="I1075" s="66"/>
      <c r="J1075" s="66"/>
      <c r="K1075" s="66"/>
      <c r="L1075" s="66"/>
      <c r="M1075" s="66"/>
      <c r="N1075" s="66"/>
    </row>
    <row r="1076" spans="1:14" x14ac:dyDescent="0.2">
      <c r="A1076" s="84"/>
      <c r="B1076" s="84"/>
      <c r="C1076" s="60"/>
      <c r="D1076" s="66"/>
      <c r="E1076" s="66"/>
      <c r="F1076" s="66"/>
      <c r="G1076" s="66"/>
      <c r="H1076" s="66"/>
      <c r="I1076" s="66"/>
      <c r="J1076" s="66"/>
      <c r="K1076" s="66"/>
      <c r="L1076" s="66"/>
      <c r="M1076" s="66"/>
      <c r="N1076" s="66"/>
    </row>
    <row r="1077" spans="1:14" x14ac:dyDescent="0.2">
      <c r="A1077" s="84"/>
      <c r="B1077" s="84"/>
      <c r="C1077" s="60"/>
      <c r="D1077" s="66"/>
      <c r="E1077" s="66"/>
      <c r="F1077" s="66"/>
      <c r="G1077" s="66"/>
      <c r="H1077" s="66"/>
      <c r="I1077" s="66"/>
      <c r="J1077" s="66"/>
      <c r="K1077" s="66"/>
      <c r="L1077" s="66"/>
      <c r="M1077" s="66"/>
      <c r="N1077" s="66"/>
    </row>
    <row r="1078" spans="1:14" x14ac:dyDescent="0.2">
      <c r="A1078" s="84"/>
      <c r="B1078" s="84"/>
      <c r="C1078" s="60"/>
      <c r="D1078" s="66"/>
      <c r="E1078" s="66"/>
      <c r="F1078" s="66"/>
      <c r="G1078" s="66"/>
      <c r="H1078" s="66"/>
      <c r="I1078" s="66"/>
      <c r="J1078" s="66"/>
      <c r="K1078" s="66"/>
      <c r="L1078" s="66"/>
      <c r="M1078" s="66"/>
      <c r="N1078" s="66"/>
    </row>
    <row r="1079" spans="1:14" x14ac:dyDescent="0.2">
      <c r="A1079" s="84"/>
      <c r="B1079" s="84"/>
      <c r="C1079" s="60"/>
      <c r="D1079" s="66"/>
      <c r="E1079" s="66"/>
      <c r="F1079" s="66"/>
      <c r="G1079" s="66"/>
      <c r="H1079" s="66"/>
      <c r="I1079" s="66"/>
      <c r="J1079" s="66"/>
      <c r="K1079" s="66"/>
      <c r="L1079" s="66"/>
      <c r="M1079" s="66"/>
      <c r="N1079" s="66"/>
    </row>
    <row r="1080" spans="1:14" x14ac:dyDescent="0.2">
      <c r="A1080" s="84"/>
      <c r="B1080" s="84"/>
      <c r="C1080" s="60"/>
      <c r="D1080" s="66"/>
      <c r="E1080" s="66"/>
      <c r="F1080" s="66"/>
      <c r="G1080" s="66"/>
      <c r="H1080" s="66"/>
      <c r="I1080" s="66"/>
      <c r="J1080" s="66"/>
      <c r="K1080" s="66"/>
      <c r="L1080" s="66"/>
      <c r="M1080" s="66"/>
      <c r="N1080" s="66"/>
    </row>
    <row r="1081" spans="1:14" x14ac:dyDescent="0.2">
      <c r="A1081" s="84"/>
      <c r="B1081" s="84"/>
      <c r="C1081" s="60"/>
      <c r="D1081" s="66"/>
      <c r="E1081" s="66"/>
      <c r="F1081" s="66"/>
      <c r="G1081" s="66"/>
      <c r="H1081" s="66"/>
      <c r="I1081" s="66"/>
      <c r="J1081" s="66"/>
      <c r="K1081" s="66"/>
      <c r="L1081" s="66"/>
      <c r="M1081" s="66"/>
      <c r="N1081" s="66"/>
    </row>
    <row r="1082" spans="1:14" x14ac:dyDescent="0.2">
      <c r="A1082" s="84"/>
      <c r="B1082" s="84"/>
      <c r="C1082" s="60"/>
      <c r="D1082" s="66"/>
      <c r="E1082" s="66"/>
      <c r="F1082" s="66"/>
      <c r="G1082" s="66"/>
      <c r="H1082" s="66"/>
      <c r="I1082" s="66"/>
      <c r="J1082" s="66"/>
      <c r="K1082" s="66"/>
      <c r="L1082" s="66"/>
      <c r="M1082" s="66"/>
      <c r="N1082" s="66"/>
    </row>
    <row r="1083" spans="1:14" x14ac:dyDescent="0.2">
      <c r="A1083" s="84"/>
      <c r="B1083" s="84"/>
      <c r="C1083" s="60"/>
      <c r="D1083" s="66"/>
      <c r="E1083" s="66"/>
      <c r="F1083" s="66"/>
      <c r="G1083" s="66"/>
      <c r="H1083" s="66"/>
      <c r="I1083" s="66"/>
      <c r="J1083" s="66"/>
      <c r="K1083" s="66"/>
      <c r="L1083" s="66"/>
      <c r="M1083" s="66"/>
      <c r="N1083" s="66"/>
    </row>
    <row r="1084" spans="1:14" x14ac:dyDescent="0.2">
      <c r="A1084" s="84"/>
      <c r="B1084" s="84"/>
      <c r="C1084" s="60"/>
      <c r="D1084" s="66"/>
      <c r="E1084" s="66"/>
      <c r="F1084" s="66"/>
      <c r="G1084" s="66"/>
      <c r="H1084" s="66"/>
      <c r="I1084" s="66"/>
      <c r="J1084" s="66"/>
      <c r="K1084" s="66"/>
      <c r="L1084" s="66"/>
      <c r="M1084" s="66"/>
      <c r="N1084" s="66"/>
    </row>
    <row r="1085" spans="1:14" x14ac:dyDescent="0.2">
      <c r="A1085" s="84"/>
      <c r="B1085" s="84"/>
      <c r="C1085" s="60"/>
      <c r="D1085" s="66"/>
      <c r="E1085" s="66"/>
      <c r="F1085" s="66"/>
      <c r="G1085" s="66"/>
      <c r="H1085" s="66"/>
      <c r="I1085" s="66"/>
      <c r="J1085" s="66"/>
      <c r="K1085" s="66"/>
      <c r="L1085" s="66"/>
      <c r="M1085" s="66"/>
      <c r="N1085" s="66"/>
    </row>
    <row r="1086" spans="1:14" x14ac:dyDescent="0.2">
      <c r="A1086" s="84"/>
      <c r="B1086" s="84"/>
      <c r="C1086" s="60"/>
      <c r="D1086" s="66"/>
      <c r="E1086" s="66"/>
      <c r="F1086" s="66"/>
      <c r="G1086" s="66"/>
      <c r="H1086" s="66"/>
      <c r="I1086" s="66"/>
      <c r="J1086" s="66"/>
      <c r="K1086" s="66"/>
      <c r="L1086" s="66"/>
      <c r="M1086" s="66"/>
      <c r="N1086" s="66"/>
    </row>
    <row r="1087" spans="1:14" x14ac:dyDescent="0.2">
      <c r="A1087" s="84"/>
      <c r="B1087" s="84"/>
      <c r="C1087" s="60"/>
      <c r="D1087" s="66"/>
      <c r="E1087" s="66"/>
      <c r="F1087" s="66"/>
      <c r="G1087" s="66"/>
      <c r="H1087" s="66"/>
      <c r="I1087" s="66"/>
      <c r="J1087" s="66"/>
      <c r="K1087" s="66"/>
      <c r="L1087" s="66"/>
      <c r="M1087" s="66"/>
      <c r="N1087" s="66"/>
    </row>
    <row r="1088" spans="1:14" x14ac:dyDescent="0.2">
      <c r="A1088" s="84"/>
      <c r="B1088" s="84"/>
      <c r="C1088" s="60"/>
      <c r="D1088" s="66"/>
      <c r="E1088" s="66"/>
      <c r="F1088" s="66"/>
      <c r="G1088" s="66"/>
      <c r="H1088" s="66"/>
      <c r="I1088" s="66"/>
      <c r="J1088" s="66"/>
      <c r="K1088" s="66"/>
      <c r="L1088" s="66"/>
      <c r="M1088" s="66"/>
      <c r="N1088" s="66"/>
    </row>
    <row r="1089" spans="1:14" x14ac:dyDescent="0.2">
      <c r="A1089" s="84"/>
      <c r="B1089" s="84"/>
      <c r="C1089" s="60"/>
      <c r="D1089" s="66"/>
      <c r="E1089" s="66"/>
      <c r="F1089" s="66"/>
      <c r="G1089" s="66"/>
      <c r="H1089" s="66"/>
      <c r="I1089" s="66"/>
      <c r="J1089" s="66"/>
      <c r="K1089" s="66"/>
      <c r="L1089" s="66"/>
      <c r="M1089" s="66"/>
      <c r="N1089" s="66"/>
    </row>
    <row r="1090" spans="1:14" x14ac:dyDescent="0.2">
      <c r="A1090" s="84"/>
      <c r="B1090" s="84"/>
      <c r="C1090" s="60"/>
      <c r="D1090" s="66"/>
      <c r="E1090" s="66"/>
      <c r="F1090" s="66"/>
      <c r="G1090" s="66"/>
      <c r="H1090" s="66"/>
      <c r="I1090" s="66"/>
      <c r="J1090" s="66"/>
      <c r="K1090" s="66"/>
      <c r="L1090" s="66"/>
      <c r="M1090" s="66"/>
      <c r="N1090" s="66"/>
    </row>
    <row r="1091" spans="1:14" x14ac:dyDescent="0.2">
      <c r="A1091" s="84"/>
      <c r="B1091" s="84"/>
      <c r="C1091" s="60"/>
      <c r="D1091" s="66"/>
      <c r="E1091" s="66"/>
      <c r="F1091" s="66"/>
      <c r="G1091" s="66"/>
      <c r="H1091" s="66"/>
      <c r="I1091" s="66"/>
      <c r="J1091" s="66"/>
      <c r="K1091" s="66"/>
      <c r="L1091" s="66"/>
      <c r="M1091" s="66"/>
      <c r="N1091" s="66"/>
    </row>
    <row r="1092" spans="1:14" x14ac:dyDescent="0.2">
      <c r="A1092" s="84"/>
      <c r="B1092" s="84"/>
      <c r="C1092" s="60"/>
      <c r="D1092" s="66"/>
      <c r="E1092" s="66"/>
      <c r="F1092" s="66"/>
      <c r="G1092" s="66"/>
      <c r="H1092" s="66"/>
      <c r="I1092" s="66"/>
      <c r="J1092" s="66"/>
      <c r="K1092" s="66"/>
      <c r="L1092" s="66"/>
      <c r="M1092" s="66"/>
      <c r="N1092" s="66"/>
    </row>
    <row r="1093" spans="1:14" x14ac:dyDescent="0.2">
      <c r="A1093" s="84"/>
      <c r="B1093" s="84"/>
      <c r="C1093" s="60"/>
      <c r="D1093" s="66"/>
      <c r="E1093" s="66"/>
      <c r="F1093" s="66"/>
      <c r="G1093" s="66"/>
      <c r="H1093" s="66"/>
      <c r="I1093" s="66"/>
      <c r="J1093" s="66"/>
      <c r="K1093" s="66"/>
      <c r="L1093" s="66"/>
      <c r="M1093" s="66"/>
      <c r="N1093" s="66"/>
    </row>
    <row r="1094" spans="1:14" x14ac:dyDescent="0.2">
      <c r="A1094" s="84"/>
      <c r="B1094" s="84"/>
      <c r="C1094" s="60"/>
      <c r="D1094" s="66"/>
      <c r="E1094" s="66"/>
      <c r="F1094" s="66"/>
      <c r="G1094" s="66"/>
      <c r="H1094" s="66"/>
      <c r="I1094" s="66"/>
      <c r="J1094" s="66"/>
      <c r="K1094" s="66"/>
      <c r="L1094" s="66"/>
      <c r="M1094" s="66"/>
      <c r="N1094" s="66"/>
    </row>
    <row r="1095" spans="1:14" x14ac:dyDescent="0.2">
      <c r="A1095" s="84"/>
      <c r="B1095" s="84"/>
      <c r="C1095" s="60"/>
      <c r="D1095" s="66"/>
      <c r="E1095" s="66"/>
      <c r="F1095" s="66"/>
      <c r="G1095" s="66"/>
      <c r="H1095" s="66"/>
      <c r="I1095" s="66"/>
      <c r="J1095" s="66"/>
      <c r="K1095" s="66"/>
      <c r="L1095" s="66"/>
      <c r="M1095" s="66"/>
      <c r="N1095" s="66"/>
    </row>
    <row r="1096" spans="1:14" x14ac:dyDescent="0.2">
      <c r="A1096" s="84"/>
      <c r="B1096" s="84"/>
      <c r="C1096" s="60"/>
      <c r="D1096" s="66"/>
      <c r="E1096" s="66"/>
      <c r="F1096" s="66"/>
      <c r="G1096" s="66"/>
      <c r="H1096" s="66"/>
      <c r="I1096" s="66"/>
      <c r="J1096" s="66"/>
      <c r="K1096" s="66"/>
      <c r="L1096" s="66"/>
      <c r="M1096" s="66"/>
      <c r="N1096" s="66"/>
    </row>
    <row r="1097" spans="1:14" x14ac:dyDescent="0.2">
      <c r="A1097" s="84"/>
      <c r="B1097" s="84"/>
      <c r="C1097" s="60"/>
      <c r="D1097" s="66"/>
      <c r="E1097" s="66"/>
      <c r="F1097" s="66"/>
      <c r="G1097" s="66"/>
      <c r="H1097" s="66"/>
      <c r="I1097" s="66"/>
      <c r="J1097" s="66"/>
      <c r="K1097" s="66"/>
      <c r="L1097" s="66"/>
      <c r="M1097" s="66"/>
      <c r="N1097" s="66"/>
    </row>
    <row r="1098" spans="1:14" x14ac:dyDescent="0.2">
      <c r="A1098" s="84"/>
      <c r="B1098" s="84"/>
      <c r="C1098" s="60"/>
      <c r="D1098" s="66"/>
      <c r="E1098" s="66"/>
      <c r="F1098" s="66"/>
      <c r="G1098" s="66"/>
      <c r="H1098" s="66"/>
      <c r="I1098" s="66"/>
      <c r="J1098" s="66"/>
      <c r="K1098" s="66"/>
      <c r="L1098" s="66"/>
      <c r="M1098" s="66"/>
      <c r="N1098" s="66"/>
    </row>
    <row r="1099" spans="1:14" x14ac:dyDescent="0.2">
      <c r="A1099" s="84"/>
      <c r="B1099" s="84"/>
      <c r="C1099" s="60"/>
      <c r="D1099" s="66"/>
      <c r="E1099" s="66"/>
      <c r="F1099" s="66"/>
      <c r="G1099" s="66"/>
      <c r="H1099" s="66"/>
      <c r="I1099" s="66"/>
      <c r="J1099" s="66"/>
      <c r="K1099" s="66"/>
      <c r="L1099" s="66"/>
      <c r="M1099" s="66"/>
      <c r="N1099" s="66"/>
    </row>
    <row r="1100" spans="1:14" x14ac:dyDescent="0.2">
      <c r="A1100" s="84"/>
      <c r="B1100" s="84"/>
      <c r="C1100" s="60"/>
      <c r="D1100" s="66"/>
      <c r="E1100" s="66"/>
      <c r="F1100" s="66"/>
      <c r="G1100" s="66"/>
      <c r="H1100" s="66"/>
      <c r="I1100" s="66"/>
      <c r="J1100" s="66"/>
      <c r="K1100" s="66"/>
      <c r="L1100" s="66"/>
      <c r="M1100" s="66"/>
      <c r="N1100" s="66"/>
    </row>
    <row r="1101" spans="1:14" x14ac:dyDescent="0.2">
      <c r="A1101" s="84"/>
      <c r="B1101" s="84"/>
      <c r="C1101" s="60"/>
      <c r="D1101" s="66"/>
      <c r="E1101" s="66"/>
      <c r="F1101" s="66"/>
      <c r="G1101" s="66"/>
      <c r="H1101" s="66"/>
      <c r="I1101" s="66"/>
      <c r="J1101" s="66"/>
      <c r="K1101" s="66"/>
      <c r="L1101" s="66"/>
      <c r="M1101" s="66"/>
      <c r="N1101" s="66"/>
    </row>
    <row r="1102" spans="1:14" x14ac:dyDescent="0.2">
      <c r="A1102" s="84"/>
      <c r="B1102" s="84"/>
      <c r="C1102" s="60"/>
      <c r="D1102" s="66"/>
      <c r="E1102" s="66"/>
      <c r="F1102" s="66"/>
      <c r="G1102" s="66"/>
      <c r="H1102" s="66"/>
      <c r="I1102" s="66"/>
      <c r="J1102" s="66"/>
      <c r="K1102" s="66"/>
      <c r="L1102" s="66"/>
      <c r="M1102" s="66"/>
      <c r="N1102" s="66"/>
    </row>
    <row r="1103" spans="1:14" x14ac:dyDescent="0.2">
      <c r="A1103" s="84"/>
      <c r="B1103" s="84"/>
      <c r="C1103" s="60"/>
      <c r="D1103" s="66"/>
      <c r="E1103" s="66"/>
      <c r="F1103" s="66"/>
      <c r="G1103" s="66"/>
      <c r="H1103" s="66"/>
      <c r="I1103" s="66"/>
      <c r="J1103" s="66"/>
      <c r="K1103" s="66"/>
      <c r="L1103" s="66"/>
      <c r="M1103" s="66"/>
      <c r="N1103" s="66"/>
    </row>
    <row r="1104" spans="1:14" x14ac:dyDescent="0.2">
      <c r="A1104" s="84"/>
      <c r="B1104" s="84"/>
      <c r="C1104" s="60"/>
      <c r="D1104" s="66"/>
      <c r="E1104" s="66"/>
      <c r="F1104" s="66"/>
      <c r="G1104" s="66"/>
      <c r="H1104" s="66"/>
      <c r="I1104" s="66"/>
      <c r="J1104" s="66"/>
      <c r="K1104" s="66"/>
      <c r="L1104" s="66"/>
      <c r="M1104" s="66"/>
      <c r="N1104" s="66"/>
    </row>
    <row r="1105" spans="1:14" x14ac:dyDescent="0.2">
      <c r="A1105" s="84"/>
      <c r="B1105" s="84"/>
      <c r="C1105" s="60"/>
      <c r="D1105" s="66"/>
      <c r="E1105" s="66"/>
      <c r="F1105" s="66"/>
      <c r="G1105" s="66"/>
      <c r="H1105" s="66"/>
      <c r="I1105" s="66"/>
      <c r="J1105" s="66"/>
      <c r="K1105" s="66"/>
      <c r="L1105" s="66"/>
      <c r="M1105" s="66"/>
      <c r="N1105" s="66"/>
    </row>
    <row r="1106" spans="1:14" x14ac:dyDescent="0.2">
      <c r="A1106" s="84"/>
      <c r="B1106" s="84"/>
      <c r="C1106" s="60"/>
      <c r="D1106" s="66"/>
      <c r="E1106" s="66"/>
      <c r="F1106" s="66"/>
      <c r="G1106" s="66"/>
      <c r="H1106" s="66"/>
      <c r="I1106" s="66"/>
      <c r="J1106" s="66"/>
      <c r="K1106" s="66"/>
      <c r="L1106" s="66"/>
      <c r="M1106" s="66"/>
      <c r="N1106" s="66"/>
    </row>
    <row r="1107" spans="1:14" x14ac:dyDescent="0.2">
      <c r="A1107" s="84"/>
      <c r="B1107" s="84"/>
      <c r="C1107" s="60"/>
      <c r="D1107" s="66"/>
      <c r="E1107" s="66"/>
      <c r="F1107" s="66"/>
      <c r="G1107" s="66"/>
      <c r="H1107" s="66"/>
      <c r="I1107" s="66"/>
      <c r="J1107" s="66"/>
      <c r="K1107" s="66"/>
      <c r="L1107" s="66"/>
      <c r="M1107" s="66"/>
      <c r="N1107" s="66"/>
    </row>
    <row r="1108" spans="1:14" x14ac:dyDescent="0.2">
      <c r="A1108" s="84"/>
      <c r="B1108" s="84"/>
      <c r="C1108" s="60"/>
      <c r="D1108" s="66"/>
      <c r="E1108" s="66"/>
      <c r="F1108" s="66"/>
      <c r="G1108" s="66"/>
      <c r="H1108" s="66"/>
      <c r="I1108" s="66"/>
      <c r="J1108" s="66"/>
      <c r="K1108" s="66"/>
      <c r="L1108" s="66"/>
      <c r="M1108" s="66"/>
      <c r="N1108" s="66"/>
    </row>
    <row r="1109" spans="1:14" x14ac:dyDescent="0.2">
      <c r="A1109" s="84"/>
      <c r="B1109" s="84"/>
      <c r="C1109" s="60"/>
      <c r="D1109" s="66"/>
      <c r="E1109" s="66"/>
      <c r="F1109" s="66"/>
      <c r="G1109" s="66"/>
      <c r="H1109" s="66"/>
      <c r="I1109" s="66"/>
      <c r="J1109" s="66"/>
      <c r="K1109" s="66"/>
      <c r="L1109" s="66"/>
      <c r="M1109" s="66"/>
      <c r="N1109" s="66"/>
    </row>
    <row r="1110" spans="1:14" x14ac:dyDescent="0.2">
      <c r="A1110" s="84"/>
      <c r="B1110" s="84"/>
      <c r="C1110" s="60"/>
      <c r="D1110" s="66"/>
      <c r="E1110" s="66"/>
      <c r="F1110" s="66"/>
      <c r="G1110" s="66"/>
      <c r="H1110" s="66"/>
      <c r="I1110" s="66"/>
      <c r="J1110" s="66"/>
      <c r="K1110" s="66"/>
      <c r="L1110" s="66"/>
      <c r="M1110" s="66"/>
      <c r="N1110" s="66"/>
    </row>
    <row r="1111" spans="1:14" x14ac:dyDescent="0.2">
      <c r="A1111" s="84"/>
      <c r="B1111" s="84"/>
      <c r="C1111" s="60"/>
      <c r="D1111" s="66"/>
      <c r="E1111" s="66"/>
      <c r="F1111" s="66"/>
      <c r="G1111" s="66"/>
      <c r="H1111" s="66"/>
      <c r="I1111" s="66"/>
      <c r="J1111" s="66"/>
      <c r="K1111" s="66"/>
      <c r="L1111" s="66"/>
      <c r="M1111" s="66"/>
      <c r="N1111" s="66"/>
    </row>
    <row r="1112" spans="1:14" x14ac:dyDescent="0.2">
      <c r="A1112" s="84"/>
      <c r="B1112" s="84"/>
      <c r="C1112" s="60"/>
      <c r="D1112" s="66"/>
      <c r="E1112" s="66"/>
      <c r="F1112" s="66"/>
      <c r="G1112" s="66"/>
      <c r="H1112" s="66"/>
      <c r="I1112" s="66"/>
      <c r="J1112" s="66"/>
      <c r="K1112" s="66"/>
      <c r="L1112" s="66"/>
      <c r="M1112" s="66"/>
      <c r="N1112" s="66"/>
    </row>
    <row r="1113" spans="1:14" x14ac:dyDescent="0.2">
      <c r="A1113" s="84"/>
      <c r="B1113" s="84"/>
      <c r="C1113" s="60"/>
      <c r="D1113" s="66"/>
      <c r="E1113" s="66"/>
      <c r="F1113" s="66"/>
      <c r="G1113" s="66"/>
      <c r="H1113" s="66"/>
      <c r="I1113" s="66"/>
      <c r="J1113" s="66"/>
      <c r="K1113" s="66"/>
      <c r="L1113" s="66"/>
      <c r="M1113" s="66"/>
      <c r="N1113" s="66"/>
    </row>
    <row r="1114" spans="1:14" x14ac:dyDescent="0.2">
      <c r="A1114" s="84"/>
      <c r="B1114" s="84"/>
      <c r="C1114" s="60"/>
      <c r="D1114" s="66"/>
      <c r="E1114" s="66"/>
      <c r="F1114" s="66"/>
      <c r="G1114" s="66"/>
      <c r="H1114" s="66"/>
      <c r="I1114" s="66"/>
      <c r="J1114" s="66"/>
      <c r="K1114" s="66"/>
      <c r="L1114" s="66"/>
      <c r="M1114" s="66"/>
      <c r="N1114" s="66"/>
    </row>
    <row r="1115" spans="1:14" x14ac:dyDescent="0.2">
      <c r="A1115" s="84"/>
      <c r="B1115" s="84"/>
      <c r="C1115" s="60"/>
      <c r="D1115" s="66"/>
      <c r="E1115" s="66"/>
      <c r="F1115" s="66"/>
      <c r="G1115" s="66"/>
      <c r="H1115" s="66"/>
      <c r="I1115" s="66"/>
      <c r="J1115" s="66"/>
      <c r="K1115" s="66"/>
      <c r="L1115" s="66"/>
      <c r="M1115" s="66"/>
      <c r="N1115" s="66"/>
    </row>
    <row r="1116" spans="1:14" x14ac:dyDescent="0.2">
      <c r="A1116" s="84"/>
      <c r="B1116" s="84"/>
      <c r="C1116" s="60"/>
      <c r="D1116" s="66"/>
      <c r="E1116" s="66"/>
      <c r="F1116" s="66"/>
      <c r="G1116" s="66"/>
      <c r="H1116" s="66"/>
      <c r="I1116" s="66"/>
      <c r="J1116" s="66"/>
      <c r="K1116" s="66"/>
      <c r="L1116" s="66"/>
      <c r="M1116" s="66"/>
      <c r="N1116" s="66"/>
    </row>
    <row r="1117" spans="1:14" x14ac:dyDescent="0.2">
      <c r="A1117" s="84"/>
      <c r="B1117" s="84"/>
      <c r="C1117" s="60"/>
      <c r="D1117" s="66"/>
      <c r="E1117" s="66"/>
      <c r="F1117" s="66"/>
      <c r="G1117" s="66"/>
      <c r="H1117" s="66"/>
      <c r="I1117" s="66"/>
      <c r="J1117" s="66"/>
      <c r="K1117" s="66"/>
      <c r="L1117" s="66"/>
      <c r="M1117" s="66"/>
      <c r="N1117" s="66"/>
    </row>
    <row r="1118" spans="1:14" x14ac:dyDescent="0.2">
      <c r="A1118" s="84"/>
      <c r="B1118" s="84"/>
      <c r="C1118" s="60"/>
      <c r="D1118" s="66"/>
      <c r="E1118" s="66"/>
      <c r="F1118" s="66"/>
      <c r="G1118" s="66"/>
      <c r="H1118" s="66"/>
      <c r="I1118" s="66"/>
      <c r="J1118" s="66"/>
      <c r="K1118" s="66"/>
      <c r="L1118" s="66"/>
      <c r="M1118" s="66"/>
      <c r="N1118" s="66"/>
    </row>
    <row r="1119" spans="1:14" x14ac:dyDescent="0.2">
      <c r="A1119" s="84"/>
      <c r="B1119" s="84"/>
      <c r="C1119" s="60"/>
      <c r="D1119" s="66"/>
      <c r="E1119" s="66"/>
      <c r="F1119" s="66"/>
      <c r="G1119" s="66"/>
      <c r="H1119" s="66"/>
      <c r="I1119" s="66"/>
      <c r="J1119" s="66"/>
      <c r="K1119" s="66"/>
      <c r="L1119" s="66"/>
      <c r="M1119" s="66"/>
      <c r="N1119" s="66"/>
    </row>
    <row r="1120" spans="1:14" x14ac:dyDescent="0.2">
      <c r="A1120" s="84"/>
      <c r="B1120" s="84"/>
      <c r="C1120" s="60"/>
      <c r="D1120" s="66"/>
      <c r="E1120" s="66"/>
      <c r="F1120" s="66"/>
      <c r="G1120" s="66"/>
      <c r="H1120" s="66"/>
      <c r="I1120" s="66"/>
      <c r="J1120" s="66"/>
      <c r="K1120" s="66"/>
      <c r="L1120" s="66"/>
      <c r="M1120" s="66"/>
      <c r="N1120" s="66"/>
    </row>
    <row r="1121" spans="1:14" x14ac:dyDescent="0.2">
      <c r="A1121" s="84"/>
      <c r="B1121" s="84"/>
      <c r="C1121" s="60"/>
      <c r="D1121" s="66"/>
      <c r="E1121" s="66"/>
      <c r="F1121" s="66"/>
      <c r="G1121" s="66"/>
      <c r="H1121" s="66"/>
      <c r="I1121" s="66"/>
      <c r="J1121" s="66"/>
      <c r="K1121" s="66"/>
      <c r="L1121" s="66"/>
      <c r="M1121" s="66"/>
      <c r="N1121" s="66"/>
    </row>
    <row r="1122" spans="1:14" x14ac:dyDescent="0.2">
      <c r="A1122" s="84"/>
      <c r="B1122" s="84"/>
      <c r="C1122" s="60"/>
      <c r="D1122" s="66"/>
      <c r="E1122" s="66"/>
      <c r="F1122" s="66"/>
      <c r="G1122" s="66"/>
      <c r="H1122" s="66"/>
      <c r="I1122" s="66"/>
      <c r="J1122" s="66"/>
      <c r="K1122" s="66"/>
      <c r="L1122" s="66"/>
      <c r="M1122" s="66"/>
      <c r="N1122" s="66"/>
    </row>
    <row r="1123" spans="1:14" x14ac:dyDescent="0.2">
      <c r="A1123" s="84"/>
      <c r="B1123" s="84"/>
      <c r="C1123" s="60"/>
      <c r="D1123" s="66"/>
      <c r="E1123" s="66"/>
      <c r="F1123" s="66"/>
      <c r="G1123" s="66"/>
      <c r="H1123" s="66"/>
      <c r="I1123" s="66"/>
      <c r="J1123" s="66"/>
      <c r="K1123" s="66"/>
      <c r="L1123" s="66"/>
      <c r="M1123" s="66"/>
      <c r="N1123" s="66"/>
    </row>
    <row r="1124" spans="1:14" x14ac:dyDescent="0.2">
      <c r="A1124" s="84"/>
      <c r="B1124" s="84"/>
      <c r="C1124" s="60"/>
      <c r="D1124" s="66"/>
      <c r="E1124" s="66"/>
      <c r="F1124" s="66"/>
      <c r="G1124" s="66"/>
      <c r="H1124" s="66"/>
      <c r="I1124" s="66"/>
      <c r="J1124" s="66"/>
      <c r="K1124" s="66"/>
      <c r="L1124" s="66"/>
      <c r="M1124" s="66"/>
      <c r="N1124" s="66"/>
    </row>
    <row r="1125" spans="1:14" x14ac:dyDescent="0.2">
      <c r="A1125" s="84"/>
      <c r="B1125" s="84"/>
      <c r="C1125" s="60"/>
      <c r="D1125" s="66"/>
      <c r="E1125" s="66"/>
      <c r="F1125" s="66"/>
      <c r="G1125" s="66"/>
      <c r="H1125" s="66"/>
      <c r="I1125" s="66"/>
      <c r="J1125" s="66"/>
      <c r="K1125" s="66"/>
      <c r="L1125" s="66"/>
      <c r="M1125" s="66"/>
      <c r="N1125" s="66"/>
    </row>
    <row r="1126" spans="1:14" x14ac:dyDescent="0.2">
      <c r="A1126" s="84"/>
      <c r="B1126" s="84"/>
      <c r="C1126" s="60"/>
      <c r="D1126" s="66"/>
      <c r="E1126" s="66"/>
      <c r="F1126" s="66"/>
      <c r="G1126" s="66"/>
      <c r="H1126" s="66"/>
      <c r="I1126" s="66"/>
      <c r="J1126" s="66"/>
      <c r="K1126" s="66"/>
      <c r="L1126" s="66"/>
      <c r="M1126" s="66"/>
      <c r="N1126" s="66"/>
    </row>
    <row r="1127" spans="1:14" x14ac:dyDescent="0.2">
      <c r="A1127" s="84"/>
      <c r="B1127" s="84"/>
      <c r="C1127" s="60"/>
      <c r="D1127" s="66"/>
      <c r="E1127" s="66"/>
      <c r="F1127" s="66"/>
      <c r="G1127" s="66"/>
      <c r="H1127" s="66"/>
      <c r="I1127" s="66"/>
      <c r="J1127" s="66"/>
      <c r="K1127" s="66"/>
      <c r="L1127" s="66"/>
      <c r="M1127" s="66"/>
      <c r="N1127" s="66"/>
    </row>
    <row r="1128" spans="1:14" x14ac:dyDescent="0.2">
      <c r="A1128" s="84"/>
      <c r="B1128" s="84"/>
      <c r="C1128" s="60"/>
      <c r="D1128" s="66"/>
      <c r="E1128" s="66"/>
      <c r="F1128" s="66"/>
      <c r="G1128" s="66"/>
      <c r="H1128" s="66"/>
      <c r="I1128" s="66"/>
      <c r="J1128" s="66"/>
      <c r="K1128" s="66"/>
      <c r="L1128" s="66"/>
      <c r="M1128" s="66"/>
      <c r="N1128" s="66"/>
    </row>
    <row r="1129" spans="1:14" x14ac:dyDescent="0.2">
      <c r="A1129" s="84"/>
      <c r="B1129" s="84"/>
      <c r="C1129" s="60"/>
      <c r="D1129" s="66"/>
      <c r="E1129" s="66"/>
      <c r="F1129" s="66"/>
      <c r="G1129" s="66"/>
      <c r="H1129" s="66"/>
      <c r="I1129" s="66"/>
      <c r="J1129" s="66"/>
      <c r="K1129" s="66"/>
      <c r="L1129" s="66"/>
      <c r="M1129" s="66"/>
      <c r="N1129" s="66"/>
    </row>
    <row r="1130" spans="1:14" x14ac:dyDescent="0.2">
      <c r="A1130" s="84"/>
      <c r="B1130" s="84"/>
      <c r="C1130" s="60"/>
      <c r="D1130" s="66"/>
      <c r="E1130" s="66"/>
      <c r="F1130" s="66"/>
      <c r="G1130" s="66"/>
      <c r="H1130" s="66"/>
      <c r="I1130" s="66"/>
      <c r="J1130" s="66"/>
      <c r="K1130" s="66"/>
      <c r="L1130" s="66"/>
      <c r="M1130" s="66"/>
      <c r="N1130" s="66"/>
    </row>
    <row r="1131" spans="1:14" x14ac:dyDescent="0.2">
      <c r="A1131" s="84"/>
      <c r="B1131" s="84"/>
      <c r="C1131" s="60"/>
      <c r="D1131" s="66"/>
      <c r="E1131" s="66"/>
      <c r="F1131" s="66"/>
      <c r="G1131" s="66"/>
      <c r="H1131" s="66"/>
      <c r="I1131" s="66"/>
      <c r="J1131" s="66"/>
      <c r="K1131" s="66"/>
      <c r="L1131" s="66"/>
      <c r="M1131" s="66"/>
      <c r="N1131" s="66"/>
    </row>
    <row r="1132" spans="1:14" x14ac:dyDescent="0.2">
      <c r="A1132" s="84"/>
      <c r="B1132" s="84"/>
      <c r="C1132" s="60"/>
      <c r="D1132" s="66"/>
      <c r="E1132" s="66"/>
      <c r="F1132" s="66"/>
      <c r="G1132" s="66"/>
      <c r="H1132" s="66"/>
      <c r="I1132" s="66"/>
      <c r="J1132" s="66"/>
      <c r="K1132" s="66"/>
      <c r="L1132" s="66"/>
      <c r="M1132" s="66"/>
      <c r="N1132" s="66"/>
    </row>
    <row r="1133" spans="1:14" x14ac:dyDescent="0.2">
      <c r="A1133" s="84"/>
      <c r="B1133" s="84"/>
      <c r="C1133" s="60"/>
      <c r="D1133" s="66"/>
      <c r="E1133" s="66"/>
      <c r="F1133" s="66"/>
      <c r="G1133" s="66"/>
      <c r="H1133" s="66"/>
      <c r="I1133" s="66"/>
      <c r="J1133" s="66"/>
      <c r="K1133" s="66"/>
      <c r="L1133" s="66"/>
      <c r="M1133" s="66"/>
      <c r="N1133" s="66"/>
    </row>
    <row r="1134" spans="1:14" x14ac:dyDescent="0.2">
      <c r="A1134" s="84"/>
      <c r="B1134" s="84"/>
      <c r="C1134" s="60"/>
      <c r="D1134" s="66"/>
      <c r="E1134" s="66"/>
      <c r="F1134" s="66"/>
      <c r="G1134" s="66"/>
      <c r="H1134" s="66"/>
      <c r="I1134" s="66"/>
      <c r="J1134" s="66"/>
      <c r="K1134" s="66"/>
      <c r="L1134" s="66"/>
      <c r="M1134" s="66"/>
      <c r="N1134" s="66"/>
    </row>
    <row r="1135" spans="1:14" x14ac:dyDescent="0.2">
      <c r="A1135" s="84"/>
      <c r="B1135" s="84"/>
      <c r="C1135" s="60"/>
      <c r="D1135" s="66"/>
      <c r="E1135" s="66"/>
      <c r="F1135" s="66"/>
      <c r="G1135" s="66"/>
      <c r="H1135" s="66"/>
      <c r="I1135" s="66"/>
      <c r="J1135" s="66"/>
      <c r="K1135" s="66"/>
      <c r="L1135" s="66"/>
      <c r="M1135" s="66"/>
      <c r="N1135" s="66"/>
    </row>
    <row r="1136" spans="1:14" x14ac:dyDescent="0.2">
      <c r="A1136" s="84"/>
      <c r="B1136" s="84"/>
      <c r="C1136" s="60"/>
      <c r="D1136" s="66"/>
      <c r="E1136" s="66"/>
      <c r="F1136" s="66"/>
      <c r="G1136" s="66"/>
      <c r="H1136" s="66"/>
      <c r="I1136" s="66"/>
      <c r="J1136" s="66"/>
      <c r="K1136" s="66"/>
      <c r="L1136" s="66"/>
      <c r="M1136" s="66"/>
      <c r="N1136" s="66"/>
    </row>
    <row r="1137" spans="1:14" x14ac:dyDescent="0.2">
      <c r="A1137" s="84"/>
      <c r="B1137" s="84"/>
      <c r="C1137" s="60"/>
      <c r="D1137" s="66"/>
      <c r="E1137" s="66"/>
      <c r="F1137" s="66"/>
      <c r="G1137" s="66"/>
      <c r="H1137" s="66"/>
      <c r="I1137" s="66"/>
      <c r="J1137" s="66"/>
      <c r="K1137" s="66"/>
      <c r="L1137" s="66"/>
      <c r="M1137" s="66"/>
      <c r="N1137" s="66"/>
    </row>
    <row r="1138" spans="1:14" x14ac:dyDescent="0.2">
      <c r="A1138" s="84"/>
      <c r="B1138" s="84"/>
      <c r="C1138" s="60"/>
      <c r="D1138" s="66"/>
      <c r="E1138" s="66"/>
      <c r="F1138" s="66"/>
      <c r="G1138" s="66"/>
      <c r="H1138" s="66"/>
      <c r="I1138" s="66"/>
      <c r="J1138" s="66"/>
      <c r="K1138" s="66"/>
      <c r="L1138" s="66"/>
      <c r="M1138" s="66"/>
      <c r="N1138" s="66"/>
    </row>
    <row r="1139" spans="1:14" x14ac:dyDescent="0.2">
      <c r="A1139" s="84"/>
      <c r="B1139" s="84"/>
      <c r="C1139" s="60"/>
      <c r="D1139" s="66"/>
      <c r="E1139" s="66"/>
      <c r="F1139" s="66"/>
      <c r="G1139" s="66"/>
      <c r="H1139" s="66"/>
      <c r="I1139" s="66"/>
      <c r="J1139" s="66"/>
      <c r="K1139" s="66"/>
      <c r="L1139" s="66"/>
      <c r="M1139" s="66"/>
      <c r="N1139" s="66"/>
    </row>
    <row r="1140" spans="1:14" x14ac:dyDescent="0.2">
      <c r="A1140" s="84"/>
      <c r="B1140" s="84"/>
      <c r="C1140" s="60"/>
      <c r="D1140" s="66"/>
      <c r="E1140" s="66"/>
      <c r="F1140" s="66"/>
      <c r="G1140" s="66"/>
      <c r="H1140" s="66"/>
      <c r="I1140" s="66"/>
      <c r="J1140" s="66"/>
      <c r="K1140" s="66"/>
      <c r="L1140" s="66"/>
      <c r="M1140" s="66"/>
      <c r="N1140" s="66"/>
    </row>
    <row r="1141" spans="1:14" x14ac:dyDescent="0.2">
      <c r="A1141" s="84"/>
      <c r="B1141" s="84"/>
      <c r="C1141" s="60"/>
      <c r="D1141" s="66"/>
      <c r="E1141" s="66"/>
      <c r="F1141" s="66"/>
      <c r="G1141" s="66"/>
      <c r="H1141" s="66"/>
      <c r="I1141" s="66"/>
      <c r="J1141" s="66"/>
      <c r="K1141" s="66"/>
      <c r="L1141" s="66"/>
      <c r="M1141" s="66"/>
      <c r="N1141" s="66"/>
    </row>
    <row r="1142" spans="1:14" x14ac:dyDescent="0.2">
      <c r="A1142" s="84"/>
      <c r="B1142" s="84"/>
      <c r="C1142" s="60"/>
      <c r="D1142" s="66"/>
      <c r="E1142" s="66"/>
      <c r="F1142" s="66"/>
      <c r="G1142" s="66"/>
      <c r="H1142" s="66"/>
      <c r="I1142" s="66"/>
      <c r="J1142" s="66"/>
      <c r="K1142" s="66"/>
      <c r="L1142" s="66"/>
      <c r="M1142" s="66"/>
      <c r="N1142" s="66"/>
    </row>
    <row r="1143" spans="1:14" x14ac:dyDescent="0.2">
      <c r="A1143" s="84"/>
      <c r="B1143" s="84"/>
      <c r="C1143" s="60"/>
      <c r="D1143" s="66"/>
      <c r="E1143" s="66"/>
      <c r="F1143" s="66"/>
      <c r="G1143" s="66"/>
      <c r="H1143" s="66"/>
      <c r="I1143" s="66"/>
      <c r="J1143" s="66"/>
      <c r="K1143" s="66"/>
      <c r="L1143" s="66"/>
      <c r="M1143" s="66"/>
      <c r="N1143" s="66"/>
    </row>
    <row r="1144" spans="1:14" x14ac:dyDescent="0.2">
      <c r="A1144" s="84"/>
      <c r="B1144" s="84"/>
      <c r="C1144" s="60"/>
      <c r="D1144" s="66"/>
      <c r="E1144" s="66"/>
      <c r="F1144" s="66"/>
      <c r="G1144" s="66"/>
      <c r="H1144" s="66"/>
      <c r="I1144" s="66"/>
      <c r="J1144" s="66"/>
      <c r="K1144" s="66"/>
      <c r="L1144" s="66"/>
      <c r="M1144" s="66"/>
      <c r="N1144" s="66"/>
    </row>
    <row r="1145" spans="1:14" x14ac:dyDescent="0.2">
      <c r="A1145" s="84"/>
      <c r="B1145" s="84"/>
      <c r="C1145" s="60"/>
      <c r="D1145" s="66"/>
      <c r="E1145" s="66"/>
      <c r="F1145" s="66"/>
      <c r="G1145" s="66"/>
      <c r="H1145" s="66"/>
      <c r="I1145" s="66"/>
      <c r="J1145" s="66"/>
      <c r="K1145" s="66"/>
      <c r="L1145" s="66"/>
      <c r="M1145" s="66"/>
      <c r="N1145" s="66"/>
    </row>
    <row r="1146" spans="1:14" x14ac:dyDescent="0.2">
      <c r="A1146" s="84"/>
      <c r="B1146" s="84"/>
      <c r="C1146" s="60"/>
      <c r="D1146" s="66"/>
      <c r="E1146" s="66"/>
      <c r="F1146" s="66"/>
      <c r="G1146" s="66"/>
      <c r="H1146" s="66"/>
      <c r="I1146" s="66"/>
      <c r="J1146" s="66"/>
      <c r="K1146" s="66"/>
      <c r="L1146" s="66"/>
      <c r="M1146" s="66"/>
      <c r="N1146" s="66"/>
    </row>
    <row r="1147" spans="1:14" x14ac:dyDescent="0.2">
      <c r="A1147" s="84"/>
      <c r="B1147" s="84"/>
      <c r="C1147" s="60"/>
      <c r="D1147" s="66"/>
      <c r="E1147" s="66"/>
      <c r="F1147" s="66"/>
      <c r="G1147" s="66"/>
      <c r="H1147" s="66"/>
      <c r="I1147" s="66"/>
      <c r="J1147" s="66"/>
      <c r="K1147" s="66"/>
      <c r="L1147" s="66"/>
      <c r="M1147" s="66"/>
      <c r="N1147" s="66"/>
    </row>
    <row r="1148" spans="1:14" x14ac:dyDescent="0.2">
      <c r="A1148" s="84"/>
      <c r="B1148" s="84"/>
      <c r="C1148" s="60"/>
      <c r="D1148" s="66"/>
      <c r="E1148" s="66"/>
      <c r="F1148" s="66"/>
      <c r="G1148" s="66"/>
      <c r="H1148" s="66"/>
      <c r="I1148" s="66"/>
      <c r="J1148" s="66"/>
      <c r="K1148" s="66"/>
      <c r="L1148" s="66"/>
      <c r="M1148" s="66"/>
      <c r="N1148" s="66"/>
    </row>
    <row r="1149" spans="1:14" x14ac:dyDescent="0.2">
      <c r="A1149" s="84"/>
      <c r="B1149" s="84"/>
      <c r="C1149" s="60"/>
      <c r="D1149" s="66"/>
      <c r="E1149" s="66"/>
      <c r="F1149" s="66"/>
      <c r="G1149" s="66"/>
      <c r="H1149" s="66"/>
      <c r="I1149" s="66"/>
      <c r="J1149" s="66"/>
      <c r="K1149" s="66"/>
      <c r="L1149" s="66"/>
      <c r="M1149" s="66"/>
      <c r="N1149" s="66"/>
    </row>
    <row r="1150" spans="1:14" x14ac:dyDescent="0.2">
      <c r="A1150" s="84"/>
      <c r="B1150" s="84"/>
      <c r="C1150" s="60"/>
      <c r="D1150" s="66"/>
      <c r="E1150" s="66"/>
      <c r="F1150" s="66"/>
      <c r="G1150" s="66"/>
      <c r="H1150" s="66"/>
      <c r="I1150" s="66"/>
      <c r="J1150" s="66"/>
      <c r="K1150" s="66"/>
      <c r="L1150" s="66"/>
      <c r="M1150" s="66"/>
      <c r="N1150" s="66"/>
    </row>
    <row r="1151" spans="1:14" x14ac:dyDescent="0.2">
      <c r="A1151" s="84"/>
      <c r="B1151" s="84"/>
      <c r="C1151" s="60"/>
      <c r="D1151" s="66"/>
      <c r="E1151" s="66"/>
      <c r="F1151" s="66"/>
      <c r="G1151" s="66"/>
      <c r="H1151" s="66"/>
      <c r="I1151" s="66"/>
      <c r="J1151" s="66"/>
      <c r="K1151" s="66"/>
      <c r="L1151" s="66"/>
      <c r="M1151" s="66"/>
      <c r="N1151" s="66"/>
    </row>
    <row r="1152" spans="1:14" x14ac:dyDescent="0.2">
      <c r="A1152" s="84"/>
      <c r="B1152" s="84"/>
      <c r="C1152" s="60"/>
      <c r="D1152" s="66"/>
      <c r="E1152" s="66"/>
      <c r="F1152" s="66"/>
      <c r="G1152" s="66"/>
      <c r="H1152" s="66"/>
      <c r="I1152" s="66"/>
      <c r="J1152" s="66"/>
      <c r="K1152" s="66"/>
      <c r="L1152" s="66"/>
      <c r="M1152" s="66"/>
      <c r="N1152" s="66"/>
    </row>
    <row r="1153" spans="1:14" x14ac:dyDescent="0.2">
      <c r="A1153" s="84"/>
      <c r="B1153" s="84"/>
      <c r="C1153" s="60"/>
      <c r="D1153" s="66"/>
      <c r="E1153" s="66"/>
      <c r="F1153" s="66"/>
      <c r="G1153" s="66"/>
      <c r="H1153" s="66"/>
      <c r="I1153" s="66"/>
      <c r="J1153" s="66"/>
      <c r="K1153" s="66"/>
      <c r="L1153" s="66"/>
      <c r="M1153" s="66"/>
      <c r="N1153" s="66"/>
    </row>
    <row r="1154" spans="1:14" x14ac:dyDescent="0.2">
      <c r="A1154" s="84"/>
      <c r="B1154" s="84"/>
      <c r="C1154" s="60"/>
      <c r="D1154" s="66"/>
      <c r="E1154" s="66"/>
      <c r="F1154" s="66"/>
      <c r="G1154" s="66"/>
      <c r="H1154" s="66"/>
      <c r="I1154" s="66"/>
      <c r="J1154" s="66"/>
      <c r="K1154" s="66"/>
      <c r="L1154" s="66"/>
      <c r="M1154" s="66"/>
      <c r="N1154" s="66"/>
    </row>
    <row r="1155" spans="1:14" x14ac:dyDescent="0.2">
      <c r="A1155" s="84"/>
      <c r="B1155" s="84"/>
      <c r="C1155" s="60"/>
      <c r="D1155" s="66"/>
      <c r="E1155" s="66"/>
      <c r="F1155" s="66"/>
      <c r="G1155" s="66"/>
      <c r="H1155" s="66"/>
      <c r="I1155" s="66"/>
      <c r="J1155" s="66"/>
      <c r="K1155" s="66"/>
      <c r="L1155" s="66"/>
      <c r="M1155" s="66"/>
      <c r="N1155" s="66"/>
    </row>
    <row r="1156" spans="1:14" x14ac:dyDescent="0.2">
      <c r="A1156" s="84"/>
      <c r="B1156" s="84"/>
      <c r="C1156" s="60"/>
      <c r="D1156" s="66"/>
      <c r="E1156" s="66"/>
      <c r="F1156" s="66"/>
      <c r="G1156" s="66"/>
      <c r="H1156" s="66"/>
      <c r="I1156" s="66"/>
      <c r="J1156" s="66"/>
      <c r="K1156" s="66"/>
      <c r="L1156" s="66"/>
      <c r="M1156" s="66"/>
      <c r="N1156" s="66"/>
    </row>
    <row r="1157" spans="1:14" x14ac:dyDescent="0.2">
      <c r="A1157" s="84"/>
      <c r="B1157" s="84"/>
      <c r="C1157" s="60"/>
      <c r="D1157" s="66"/>
      <c r="E1157" s="66"/>
      <c r="F1157" s="66"/>
      <c r="G1157" s="66"/>
      <c r="H1157" s="66"/>
      <c r="I1157" s="66"/>
      <c r="J1157" s="66"/>
      <c r="K1157" s="66"/>
      <c r="L1157" s="66"/>
      <c r="M1157" s="66"/>
      <c r="N1157" s="66"/>
    </row>
    <row r="1158" spans="1:14" x14ac:dyDescent="0.2">
      <c r="A1158" s="84"/>
      <c r="B1158" s="84"/>
      <c r="C1158" s="60"/>
      <c r="D1158" s="66"/>
      <c r="E1158" s="66"/>
      <c r="F1158" s="66"/>
      <c r="G1158" s="66"/>
      <c r="H1158" s="66"/>
      <c r="I1158" s="66"/>
      <c r="J1158" s="66"/>
      <c r="K1158" s="66"/>
      <c r="L1158" s="66"/>
      <c r="M1158" s="66"/>
      <c r="N1158" s="66"/>
    </row>
    <row r="1159" spans="1:14" x14ac:dyDescent="0.2">
      <c r="A1159" s="84"/>
      <c r="B1159" s="84"/>
      <c r="C1159" s="60"/>
      <c r="D1159" s="66"/>
      <c r="E1159" s="66"/>
      <c r="F1159" s="66"/>
      <c r="G1159" s="66"/>
      <c r="H1159" s="66"/>
      <c r="I1159" s="66"/>
      <c r="J1159" s="66"/>
      <c r="K1159" s="66"/>
      <c r="L1159" s="66"/>
      <c r="M1159" s="66"/>
      <c r="N1159" s="66"/>
    </row>
    <row r="1160" spans="1:14" x14ac:dyDescent="0.2">
      <c r="A1160" s="84"/>
      <c r="B1160" s="84"/>
      <c r="C1160" s="60"/>
      <c r="D1160" s="66"/>
      <c r="E1160" s="66"/>
      <c r="F1160" s="66"/>
      <c r="G1160" s="66"/>
      <c r="H1160" s="66"/>
      <c r="I1160" s="66"/>
      <c r="J1160" s="66"/>
      <c r="K1160" s="66"/>
      <c r="L1160" s="66"/>
      <c r="M1160" s="66"/>
      <c r="N1160" s="66"/>
    </row>
    <row r="1161" spans="1:14" x14ac:dyDescent="0.2">
      <c r="A1161" s="84"/>
      <c r="B1161" s="84"/>
      <c r="C1161" s="60"/>
      <c r="D1161" s="66"/>
      <c r="E1161" s="66"/>
      <c r="F1161" s="66"/>
      <c r="G1161" s="66"/>
      <c r="H1161" s="66"/>
      <c r="I1161" s="66"/>
      <c r="J1161" s="66"/>
      <c r="K1161" s="66"/>
      <c r="L1161" s="66"/>
      <c r="M1161" s="66"/>
      <c r="N1161" s="66"/>
    </row>
    <row r="1162" spans="1:14" x14ac:dyDescent="0.2">
      <c r="A1162" s="84"/>
      <c r="B1162" s="84"/>
      <c r="C1162" s="60"/>
      <c r="D1162" s="66"/>
      <c r="E1162" s="66"/>
      <c r="F1162" s="66"/>
      <c r="G1162" s="66"/>
      <c r="H1162" s="66"/>
      <c r="I1162" s="66"/>
      <c r="J1162" s="66"/>
      <c r="K1162" s="66"/>
      <c r="L1162" s="66"/>
      <c r="M1162" s="66"/>
      <c r="N1162" s="66"/>
    </row>
    <row r="1163" spans="1:14" x14ac:dyDescent="0.2">
      <c r="A1163" s="84"/>
      <c r="B1163" s="84"/>
      <c r="C1163" s="60"/>
      <c r="D1163" s="66"/>
      <c r="E1163" s="66"/>
      <c r="F1163" s="66"/>
      <c r="G1163" s="66"/>
      <c r="H1163" s="66"/>
      <c r="I1163" s="66"/>
      <c r="J1163" s="66"/>
      <c r="K1163" s="66"/>
      <c r="L1163" s="66"/>
      <c r="M1163" s="66"/>
      <c r="N1163" s="66"/>
    </row>
    <row r="1164" spans="1:14" x14ac:dyDescent="0.2">
      <c r="A1164" s="84"/>
      <c r="B1164" s="84"/>
      <c r="C1164" s="60"/>
      <c r="D1164" s="66"/>
      <c r="E1164" s="66"/>
      <c r="F1164" s="66"/>
      <c r="G1164" s="66"/>
      <c r="H1164" s="66"/>
      <c r="I1164" s="66"/>
      <c r="J1164" s="66"/>
      <c r="K1164" s="66"/>
      <c r="L1164" s="66"/>
      <c r="M1164" s="66"/>
      <c r="N1164" s="66"/>
    </row>
    <row r="1165" spans="1:14" x14ac:dyDescent="0.2">
      <c r="A1165" s="84"/>
      <c r="B1165" s="84"/>
      <c r="C1165" s="60"/>
      <c r="D1165" s="66"/>
      <c r="E1165" s="66"/>
      <c r="F1165" s="66"/>
      <c r="G1165" s="66"/>
      <c r="H1165" s="66"/>
      <c r="I1165" s="66"/>
      <c r="J1165" s="66"/>
      <c r="K1165" s="66"/>
      <c r="L1165" s="66"/>
      <c r="M1165" s="66"/>
      <c r="N1165" s="66"/>
    </row>
    <row r="1166" spans="1:14" x14ac:dyDescent="0.2">
      <c r="A1166" s="84"/>
      <c r="B1166" s="84"/>
      <c r="C1166" s="60"/>
      <c r="D1166" s="66"/>
      <c r="E1166" s="66"/>
      <c r="F1166" s="66"/>
      <c r="G1166" s="66"/>
      <c r="H1166" s="66"/>
      <c r="I1166" s="66"/>
      <c r="J1166" s="66"/>
      <c r="K1166" s="66"/>
      <c r="L1166" s="66"/>
      <c r="M1166" s="66"/>
      <c r="N1166" s="66"/>
    </row>
    <row r="1167" spans="1:14" x14ac:dyDescent="0.2">
      <c r="A1167" s="84"/>
      <c r="B1167" s="84"/>
      <c r="C1167" s="60"/>
      <c r="D1167" s="66"/>
      <c r="E1167" s="66"/>
      <c r="F1167" s="66"/>
      <c r="G1167" s="66"/>
      <c r="H1167" s="66"/>
      <c r="I1167" s="66"/>
      <c r="J1167" s="66"/>
      <c r="K1167" s="66"/>
      <c r="L1167" s="66"/>
      <c r="M1167" s="66"/>
      <c r="N1167" s="66"/>
    </row>
    <row r="1168" spans="1:14" x14ac:dyDescent="0.2">
      <c r="A1168" s="84"/>
      <c r="B1168" s="84"/>
      <c r="C1168" s="60"/>
      <c r="D1168" s="66"/>
      <c r="E1168" s="66"/>
      <c r="F1168" s="66"/>
      <c r="G1168" s="66"/>
      <c r="H1168" s="66"/>
      <c r="I1168" s="66"/>
      <c r="J1168" s="66"/>
      <c r="K1168" s="66"/>
      <c r="L1168" s="66"/>
      <c r="M1168" s="66"/>
      <c r="N1168" s="66"/>
    </row>
    <row r="1169" spans="1:14" x14ac:dyDescent="0.2">
      <c r="A1169" s="84"/>
      <c r="B1169" s="84"/>
      <c r="C1169" s="60"/>
      <c r="D1169" s="66"/>
      <c r="E1169" s="66"/>
      <c r="F1169" s="66"/>
      <c r="G1169" s="66"/>
      <c r="H1169" s="66"/>
      <c r="I1169" s="66"/>
      <c r="J1169" s="66"/>
      <c r="K1169" s="66"/>
      <c r="L1169" s="66"/>
      <c r="M1169" s="66"/>
      <c r="N1169" s="66"/>
    </row>
    <row r="1170" spans="1:14" x14ac:dyDescent="0.2">
      <c r="A1170" s="84"/>
      <c r="B1170" s="84"/>
      <c r="C1170" s="60"/>
      <c r="D1170" s="66"/>
      <c r="E1170" s="66"/>
      <c r="F1170" s="66"/>
      <c r="G1170" s="66"/>
      <c r="H1170" s="66"/>
      <c r="I1170" s="66"/>
      <c r="J1170" s="66"/>
      <c r="K1170" s="66"/>
      <c r="L1170" s="66"/>
      <c r="M1170" s="66"/>
      <c r="N1170" s="66"/>
    </row>
    <row r="1171" spans="1:14" x14ac:dyDescent="0.2">
      <c r="A1171" s="84"/>
      <c r="B1171" s="84"/>
      <c r="C1171" s="60"/>
      <c r="D1171" s="66"/>
      <c r="E1171" s="66"/>
      <c r="F1171" s="66"/>
      <c r="G1171" s="66"/>
      <c r="H1171" s="66"/>
      <c r="I1171" s="66"/>
      <c r="J1171" s="66"/>
      <c r="K1171" s="66"/>
      <c r="L1171" s="66"/>
      <c r="M1171" s="66"/>
      <c r="N1171" s="66"/>
    </row>
    <row r="1172" spans="1:14" x14ac:dyDescent="0.2">
      <c r="A1172" s="84"/>
      <c r="B1172" s="84"/>
      <c r="C1172" s="60"/>
      <c r="D1172" s="66"/>
      <c r="E1172" s="66"/>
      <c r="F1172" s="66"/>
      <c r="G1172" s="66"/>
      <c r="H1172" s="66"/>
      <c r="I1172" s="66"/>
      <c r="J1172" s="66"/>
      <c r="K1172" s="66"/>
      <c r="L1172" s="66"/>
      <c r="M1172" s="66"/>
      <c r="N1172" s="66"/>
    </row>
    <row r="1173" spans="1:14" x14ac:dyDescent="0.2">
      <c r="A1173" s="84"/>
      <c r="B1173" s="84"/>
      <c r="C1173" s="60"/>
      <c r="D1173" s="66"/>
      <c r="E1173" s="66"/>
      <c r="F1173" s="66"/>
      <c r="G1173" s="66"/>
      <c r="H1173" s="66"/>
      <c r="I1173" s="66"/>
      <c r="J1173" s="66"/>
      <c r="K1173" s="66"/>
      <c r="L1173" s="66"/>
      <c r="M1173" s="66"/>
      <c r="N1173" s="66"/>
    </row>
    <row r="1174" spans="1:14" x14ac:dyDescent="0.2">
      <c r="A1174" s="84"/>
      <c r="B1174" s="84"/>
      <c r="C1174" s="60"/>
      <c r="D1174" s="66"/>
      <c r="E1174" s="66"/>
      <c r="F1174" s="66"/>
      <c r="G1174" s="66"/>
      <c r="H1174" s="66"/>
      <c r="I1174" s="66"/>
      <c r="J1174" s="66"/>
      <c r="K1174" s="66"/>
      <c r="L1174" s="66"/>
      <c r="M1174" s="66"/>
      <c r="N1174" s="66"/>
    </row>
    <row r="1175" spans="1:14" x14ac:dyDescent="0.2">
      <c r="A1175" s="84"/>
      <c r="B1175" s="84"/>
      <c r="C1175" s="60"/>
      <c r="D1175" s="66"/>
      <c r="E1175" s="66"/>
      <c r="F1175" s="66"/>
      <c r="G1175" s="66"/>
      <c r="H1175" s="66"/>
      <c r="I1175" s="66"/>
      <c r="J1175" s="66"/>
      <c r="K1175" s="66"/>
      <c r="L1175" s="66"/>
      <c r="M1175" s="66"/>
      <c r="N1175" s="66"/>
    </row>
    <row r="1176" spans="1:14" x14ac:dyDescent="0.2">
      <c r="A1176" s="84"/>
      <c r="B1176" s="84"/>
      <c r="C1176" s="60"/>
      <c r="D1176" s="66"/>
      <c r="E1176" s="66"/>
      <c r="F1176" s="66"/>
      <c r="G1176" s="66"/>
      <c r="H1176" s="66"/>
      <c r="I1176" s="66"/>
      <c r="J1176" s="66"/>
      <c r="K1176" s="66"/>
      <c r="L1176" s="66"/>
      <c r="M1176" s="66"/>
      <c r="N1176" s="66"/>
    </row>
    <row r="1177" spans="1:14" x14ac:dyDescent="0.2">
      <c r="A1177" s="84"/>
      <c r="B1177" s="84"/>
      <c r="C1177" s="60"/>
      <c r="D1177" s="66"/>
      <c r="E1177" s="66"/>
      <c r="F1177" s="66"/>
      <c r="G1177" s="66"/>
      <c r="H1177" s="66"/>
      <c r="I1177" s="66"/>
      <c r="J1177" s="66"/>
      <c r="K1177" s="66"/>
      <c r="L1177" s="66"/>
      <c r="M1177" s="66"/>
      <c r="N1177" s="66"/>
    </row>
    <row r="1178" spans="1:14" x14ac:dyDescent="0.2">
      <c r="A1178" s="84"/>
      <c r="B1178" s="84"/>
      <c r="C1178" s="60"/>
      <c r="D1178" s="66"/>
      <c r="E1178" s="66"/>
      <c r="F1178" s="66"/>
      <c r="G1178" s="66"/>
      <c r="H1178" s="66"/>
      <c r="I1178" s="66"/>
      <c r="J1178" s="66"/>
      <c r="K1178" s="66"/>
      <c r="L1178" s="66"/>
      <c r="M1178" s="66"/>
      <c r="N1178" s="66"/>
    </row>
    <row r="1179" spans="1:14" x14ac:dyDescent="0.2">
      <c r="A1179" s="84"/>
      <c r="B1179" s="84"/>
      <c r="C1179" s="60"/>
      <c r="D1179" s="66"/>
      <c r="E1179" s="66"/>
      <c r="F1179" s="66"/>
      <c r="G1179" s="66"/>
      <c r="H1179" s="66"/>
      <c r="I1179" s="66"/>
      <c r="J1179" s="66"/>
      <c r="K1179" s="66"/>
      <c r="L1179" s="66"/>
      <c r="M1179" s="66"/>
      <c r="N1179" s="66"/>
    </row>
    <row r="1180" spans="1:14" x14ac:dyDescent="0.2">
      <c r="A1180" s="84"/>
      <c r="B1180" s="84"/>
      <c r="C1180" s="60"/>
      <c r="D1180" s="66"/>
      <c r="E1180" s="66"/>
      <c r="F1180" s="66"/>
      <c r="G1180" s="66"/>
      <c r="H1180" s="66"/>
      <c r="I1180" s="66"/>
      <c r="J1180" s="66"/>
      <c r="K1180" s="66"/>
      <c r="L1180" s="66"/>
      <c r="M1180" s="66"/>
      <c r="N1180" s="66"/>
    </row>
    <row r="1181" spans="1:14" x14ac:dyDescent="0.2">
      <c r="A1181" s="84"/>
      <c r="B1181" s="84"/>
      <c r="C1181" s="60"/>
      <c r="D1181" s="66"/>
      <c r="E1181" s="66"/>
      <c r="F1181" s="66"/>
      <c r="G1181" s="66"/>
      <c r="H1181" s="66"/>
      <c r="I1181" s="66"/>
      <c r="J1181" s="66"/>
      <c r="K1181" s="66"/>
      <c r="L1181" s="66"/>
      <c r="M1181" s="66"/>
      <c r="N1181" s="66"/>
    </row>
    <row r="1182" spans="1:14" x14ac:dyDescent="0.2">
      <c r="A1182" s="84"/>
      <c r="B1182" s="84"/>
      <c r="C1182" s="60"/>
      <c r="D1182" s="66"/>
      <c r="E1182" s="66"/>
      <c r="F1182" s="66"/>
      <c r="G1182" s="66"/>
      <c r="H1182" s="66"/>
      <c r="I1182" s="66"/>
      <c r="J1182" s="66"/>
      <c r="K1182" s="66"/>
      <c r="L1182" s="66"/>
      <c r="M1182" s="66"/>
      <c r="N1182" s="66"/>
    </row>
    <row r="1183" spans="1:14" x14ac:dyDescent="0.2">
      <c r="A1183" s="84"/>
      <c r="B1183" s="84"/>
      <c r="C1183" s="60"/>
      <c r="D1183" s="66"/>
      <c r="E1183" s="66"/>
      <c r="F1183" s="66"/>
      <c r="G1183" s="66"/>
      <c r="H1183" s="66"/>
      <c r="I1183" s="66"/>
      <c r="J1183" s="66"/>
      <c r="K1183" s="66"/>
      <c r="L1183" s="66"/>
      <c r="M1183" s="66"/>
      <c r="N1183" s="66"/>
    </row>
    <row r="1184" spans="1:14" x14ac:dyDescent="0.2">
      <c r="A1184" s="84"/>
      <c r="B1184" s="84"/>
      <c r="C1184" s="60"/>
      <c r="D1184" s="66"/>
      <c r="E1184" s="66"/>
      <c r="F1184" s="66"/>
      <c r="G1184" s="66"/>
      <c r="H1184" s="66"/>
      <c r="I1184" s="66"/>
      <c r="J1184" s="66"/>
      <c r="K1184" s="66"/>
      <c r="L1184" s="66"/>
      <c r="M1184" s="66"/>
      <c r="N1184" s="66"/>
    </row>
    <row r="1185" spans="1:14" x14ac:dyDescent="0.2">
      <c r="A1185" s="84"/>
      <c r="B1185" s="84"/>
      <c r="C1185" s="60"/>
      <c r="D1185" s="66"/>
      <c r="E1185" s="66"/>
      <c r="F1185" s="66"/>
      <c r="G1185" s="66"/>
      <c r="H1185" s="66"/>
      <c r="I1185" s="66"/>
      <c r="J1185" s="66"/>
      <c r="K1185" s="66"/>
      <c r="L1185" s="66"/>
      <c r="M1185" s="66"/>
      <c r="N1185" s="66"/>
    </row>
    <row r="1186" spans="1:14" x14ac:dyDescent="0.2">
      <c r="A1186" s="84"/>
      <c r="B1186" s="84"/>
      <c r="C1186" s="60"/>
      <c r="D1186" s="66"/>
      <c r="E1186" s="66"/>
      <c r="F1186" s="66"/>
      <c r="G1186" s="66"/>
      <c r="H1186" s="66"/>
      <c r="I1186" s="66"/>
      <c r="J1186" s="66"/>
      <c r="K1186" s="66"/>
      <c r="L1186" s="66"/>
      <c r="M1186" s="66"/>
      <c r="N1186" s="66"/>
    </row>
    <row r="1187" spans="1:14" x14ac:dyDescent="0.2">
      <c r="A1187" s="84"/>
      <c r="B1187" s="84"/>
      <c r="C1187" s="60"/>
      <c r="D1187" s="66"/>
      <c r="E1187" s="66"/>
      <c r="F1187" s="66"/>
      <c r="G1187" s="66"/>
      <c r="H1187" s="66"/>
      <c r="I1187" s="66"/>
      <c r="J1187" s="66"/>
      <c r="K1187" s="66"/>
      <c r="L1187" s="66"/>
      <c r="M1187" s="66"/>
      <c r="N1187" s="66"/>
    </row>
    <row r="1188" spans="1:14" x14ac:dyDescent="0.2">
      <c r="A1188" s="84"/>
      <c r="B1188" s="84"/>
      <c r="C1188" s="60"/>
      <c r="D1188" s="66"/>
      <c r="E1188" s="66"/>
      <c r="F1188" s="66"/>
      <c r="G1188" s="66"/>
      <c r="H1188" s="66"/>
      <c r="I1188" s="66"/>
      <c r="J1188" s="66"/>
      <c r="K1188" s="66"/>
      <c r="L1188" s="66"/>
      <c r="M1188" s="66"/>
      <c r="N1188" s="66"/>
    </row>
    <row r="1189" spans="1:14" x14ac:dyDescent="0.2">
      <c r="A1189" s="84"/>
      <c r="B1189" s="84"/>
      <c r="C1189" s="60"/>
      <c r="D1189" s="66"/>
      <c r="E1189" s="66"/>
      <c r="F1189" s="66"/>
      <c r="G1189" s="66"/>
      <c r="H1189" s="66"/>
      <c r="I1189" s="66"/>
      <c r="J1189" s="66"/>
      <c r="K1189" s="66"/>
      <c r="L1189" s="66"/>
      <c r="M1189" s="66"/>
      <c r="N1189" s="66"/>
    </row>
    <row r="1190" spans="1:14" x14ac:dyDescent="0.2">
      <c r="A1190" s="84"/>
      <c r="B1190" s="84"/>
      <c r="C1190" s="60"/>
      <c r="D1190" s="66"/>
      <c r="E1190" s="66"/>
      <c r="F1190" s="66"/>
      <c r="G1190" s="66"/>
      <c r="H1190" s="66"/>
      <c r="I1190" s="66"/>
      <c r="J1190" s="66"/>
      <c r="K1190" s="66"/>
      <c r="L1190" s="66"/>
      <c r="M1190" s="66"/>
      <c r="N1190" s="66"/>
    </row>
    <row r="1191" spans="1:14" x14ac:dyDescent="0.2">
      <c r="A1191" s="84"/>
      <c r="B1191" s="84"/>
      <c r="C1191" s="60"/>
      <c r="D1191" s="66"/>
      <c r="E1191" s="66"/>
      <c r="F1191" s="66"/>
      <c r="G1191" s="66"/>
      <c r="H1191" s="66"/>
      <c r="I1191" s="66"/>
      <c r="J1191" s="66"/>
      <c r="K1191" s="66"/>
      <c r="L1191" s="66"/>
      <c r="M1191" s="66"/>
      <c r="N1191" s="66"/>
    </row>
    <row r="1192" spans="1:14" x14ac:dyDescent="0.2">
      <c r="A1192" s="84"/>
      <c r="B1192" s="84"/>
      <c r="C1192" s="60"/>
      <c r="D1192" s="66"/>
      <c r="E1192" s="66"/>
      <c r="F1192" s="66"/>
      <c r="G1192" s="66"/>
      <c r="H1192" s="66"/>
      <c r="I1192" s="66"/>
      <c r="J1192" s="66"/>
      <c r="K1192" s="66"/>
      <c r="L1192" s="66"/>
      <c r="M1192" s="66"/>
      <c r="N1192" s="66"/>
    </row>
    <row r="1193" spans="1:14" x14ac:dyDescent="0.2">
      <c r="A1193" s="84"/>
      <c r="B1193" s="84"/>
      <c r="C1193" s="60"/>
      <c r="D1193" s="66"/>
      <c r="E1193" s="66"/>
      <c r="F1193" s="66"/>
      <c r="G1193" s="66"/>
      <c r="H1193" s="66"/>
      <c r="I1193" s="66"/>
      <c r="J1193" s="66"/>
      <c r="K1193" s="66"/>
      <c r="L1193" s="66"/>
      <c r="M1193" s="66"/>
      <c r="N1193" s="66"/>
    </row>
    <row r="1194" spans="1:14" x14ac:dyDescent="0.2">
      <c r="A1194" s="84"/>
      <c r="B1194" s="84"/>
      <c r="C1194" s="60"/>
      <c r="D1194" s="66"/>
      <c r="E1194" s="66"/>
      <c r="F1194" s="66"/>
      <c r="G1194" s="66"/>
      <c r="H1194" s="66"/>
      <c r="I1194" s="66"/>
      <c r="J1194" s="66"/>
      <c r="K1194" s="66"/>
      <c r="L1194" s="66"/>
      <c r="M1194" s="66"/>
      <c r="N1194" s="66"/>
    </row>
    <row r="1195" spans="1:14" x14ac:dyDescent="0.2">
      <c r="A1195" s="84"/>
      <c r="B1195" s="84"/>
      <c r="C1195" s="60"/>
      <c r="D1195" s="66"/>
      <c r="E1195" s="66"/>
      <c r="F1195" s="66"/>
      <c r="G1195" s="66"/>
      <c r="H1195" s="66"/>
      <c r="I1195" s="66"/>
      <c r="J1195" s="66"/>
      <c r="K1195" s="66"/>
      <c r="L1195" s="66"/>
      <c r="M1195" s="66"/>
      <c r="N1195" s="66"/>
    </row>
    <row r="1196" spans="1:14" x14ac:dyDescent="0.2">
      <c r="A1196" s="84"/>
      <c r="B1196" s="84"/>
      <c r="C1196" s="60"/>
      <c r="D1196" s="66"/>
      <c r="E1196" s="66"/>
      <c r="F1196" s="66"/>
      <c r="G1196" s="66"/>
      <c r="H1196" s="66"/>
      <c r="I1196" s="66"/>
      <c r="J1196" s="66"/>
      <c r="K1196" s="66"/>
      <c r="L1196" s="66"/>
      <c r="M1196" s="66"/>
      <c r="N1196" s="66"/>
    </row>
    <row r="1197" spans="1:14" x14ac:dyDescent="0.2">
      <c r="A1197" s="84"/>
      <c r="B1197" s="84"/>
      <c r="C1197" s="60"/>
      <c r="D1197" s="66"/>
      <c r="E1197" s="66"/>
      <c r="F1197" s="66"/>
      <c r="G1197" s="66"/>
      <c r="H1197" s="66"/>
      <c r="I1197" s="66"/>
      <c r="J1197" s="66"/>
      <c r="K1197" s="66"/>
      <c r="L1197" s="66"/>
      <c r="M1197" s="66"/>
      <c r="N1197" s="66"/>
    </row>
    <row r="1198" spans="1:14" x14ac:dyDescent="0.2">
      <c r="A1198" s="84"/>
      <c r="B1198" s="84"/>
      <c r="C1198" s="60"/>
      <c r="D1198" s="66"/>
      <c r="E1198" s="66"/>
      <c r="F1198" s="66"/>
      <c r="G1198" s="66"/>
      <c r="H1198" s="66"/>
      <c r="I1198" s="66"/>
      <c r="J1198" s="66"/>
      <c r="K1198" s="66"/>
      <c r="L1198" s="66"/>
      <c r="M1198" s="66"/>
      <c r="N1198" s="66"/>
    </row>
    <row r="1199" spans="1:14" x14ac:dyDescent="0.2">
      <c r="A1199" s="84"/>
      <c r="B1199" s="84"/>
      <c r="C1199" s="60"/>
      <c r="D1199" s="66"/>
      <c r="E1199" s="66"/>
      <c r="F1199" s="66"/>
      <c r="G1199" s="66"/>
      <c r="H1199" s="66"/>
      <c r="I1199" s="66"/>
      <c r="J1199" s="66"/>
      <c r="K1199" s="66"/>
      <c r="L1199" s="66"/>
      <c r="M1199" s="66"/>
      <c r="N1199" s="66"/>
    </row>
    <row r="1200" spans="1:14" x14ac:dyDescent="0.2">
      <c r="A1200" s="84"/>
      <c r="B1200" s="84"/>
      <c r="C1200" s="60"/>
      <c r="D1200" s="66"/>
      <c r="E1200" s="66"/>
      <c r="F1200" s="66"/>
      <c r="G1200" s="66"/>
      <c r="H1200" s="66"/>
      <c r="I1200" s="66"/>
      <c r="J1200" s="66"/>
      <c r="K1200" s="66"/>
      <c r="L1200" s="66"/>
      <c r="M1200" s="66"/>
      <c r="N1200" s="66"/>
    </row>
    <row r="1201" spans="1:14" x14ac:dyDescent="0.2">
      <c r="A1201" s="84"/>
      <c r="B1201" s="84"/>
      <c r="C1201" s="60"/>
      <c r="D1201" s="66"/>
      <c r="E1201" s="66"/>
      <c r="F1201" s="66"/>
      <c r="G1201" s="66"/>
      <c r="H1201" s="66"/>
      <c r="I1201" s="66"/>
      <c r="J1201" s="66"/>
      <c r="K1201" s="66"/>
      <c r="L1201" s="66"/>
      <c r="M1201" s="66"/>
      <c r="N1201" s="66"/>
    </row>
    <row r="1202" spans="1:14" x14ac:dyDescent="0.2">
      <c r="A1202" s="84"/>
      <c r="B1202" s="84"/>
      <c r="C1202" s="60"/>
      <c r="D1202" s="66"/>
      <c r="E1202" s="66"/>
      <c r="F1202" s="66"/>
      <c r="G1202" s="66"/>
      <c r="H1202" s="66"/>
      <c r="I1202" s="66"/>
      <c r="J1202" s="66"/>
      <c r="K1202" s="66"/>
      <c r="L1202" s="66"/>
      <c r="M1202" s="66"/>
      <c r="N1202" s="66"/>
    </row>
    <row r="1203" spans="1:14" x14ac:dyDescent="0.2">
      <c r="A1203" s="84"/>
      <c r="B1203" s="84"/>
      <c r="C1203" s="60"/>
      <c r="D1203" s="66"/>
      <c r="E1203" s="66"/>
      <c r="F1203" s="66"/>
      <c r="G1203" s="66"/>
      <c r="H1203" s="66"/>
      <c r="I1203" s="66"/>
      <c r="J1203" s="66"/>
      <c r="K1203" s="66"/>
      <c r="L1203" s="66"/>
      <c r="M1203" s="66"/>
      <c r="N1203" s="66"/>
    </row>
    <row r="1204" spans="1:14" x14ac:dyDescent="0.2">
      <c r="A1204" s="84"/>
      <c r="B1204" s="84"/>
      <c r="C1204" s="60"/>
      <c r="D1204" s="66"/>
      <c r="E1204" s="66"/>
      <c r="F1204" s="66"/>
      <c r="G1204" s="66"/>
      <c r="H1204" s="66"/>
      <c r="I1204" s="66"/>
      <c r="J1204" s="66"/>
      <c r="K1204" s="66"/>
      <c r="L1204" s="66"/>
      <c r="M1204" s="66"/>
      <c r="N1204" s="66"/>
    </row>
    <row r="1205" spans="1:14" x14ac:dyDescent="0.2">
      <c r="A1205" s="84"/>
      <c r="B1205" s="84"/>
      <c r="C1205" s="60"/>
      <c r="D1205" s="66"/>
      <c r="E1205" s="66"/>
      <c r="F1205" s="66"/>
      <c r="G1205" s="66"/>
      <c r="H1205" s="66"/>
      <c r="I1205" s="66"/>
      <c r="J1205" s="66"/>
      <c r="K1205" s="66"/>
      <c r="L1205" s="66"/>
      <c r="M1205" s="66"/>
      <c r="N1205" s="66"/>
    </row>
    <row r="1206" spans="1:14" x14ac:dyDescent="0.2">
      <c r="A1206" s="84"/>
      <c r="B1206" s="84"/>
      <c r="C1206" s="60"/>
      <c r="D1206" s="66"/>
      <c r="E1206" s="66"/>
      <c r="F1206" s="66"/>
      <c r="G1206" s="66"/>
      <c r="H1206" s="66"/>
      <c r="I1206" s="66"/>
      <c r="J1206" s="66"/>
      <c r="K1206" s="66"/>
      <c r="L1206" s="66"/>
      <c r="M1206" s="66"/>
      <c r="N1206" s="66"/>
    </row>
    <row r="1207" spans="1:14" x14ac:dyDescent="0.2">
      <c r="A1207" s="84"/>
      <c r="B1207" s="84"/>
      <c r="C1207" s="60"/>
      <c r="D1207" s="66"/>
      <c r="E1207" s="66"/>
      <c r="F1207" s="66"/>
      <c r="G1207" s="66"/>
      <c r="H1207" s="66"/>
      <c r="I1207" s="66"/>
      <c r="J1207" s="66"/>
      <c r="K1207" s="66"/>
      <c r="L1207" s="66"/>
      <c r="M1207" s="66"/>
      <c r="N1207" s="66"/>
    </row>
    <row r="1208" spans="1:14" x14ac:dyDescent="0.2">
      <c r="A1208" s="84"/>
      <c r="B1208" s="84"/>
      <c r="C1208" s="60"/>
      <c r="D1208" s="66"/>
      <c r="E1208" s="66"/>
      <c r="F1208" s="66"/>
      <c r="G1208" s="66"/>
      <c r="H1208" s="66"/>
      <c r="I1208" s="66"/>
      <c r="J1208" s="66"/>
      <c r="K1208" s="66"/>
      <c r="L1208" s="66"/>
      <c r="M1208" s="66"/>
      <c r="N1208" s="66"/>
    </row>
    <row r="1209" spans="1:14" x14ac:dyDescent="0.2">
      <c r="A1209" s="84"/>
      <c r="B1209" s="84"/>
      <c r="C1209" s="60"/>
      <c r="D1209" s="66"/>
      <c r="E1209" s="66"/>
      <c r="F1209" s="66"/>
      <c r="G1209" s="66"/>
      <c r="H1209" s="66"/>
      <c r="I1209" s="66"/>
      <c r="J1209" s="66"/>
      <c r="K1209" s="66"/>
      <c r="L1209" s="66"/>
      <c r="M1209" s="66"/>
      <c r="N1209" s="66"/>
    </row>
    <row r="1210" spans="1:14" x14ac:dyDescent="0.2">
      <c r="A1210" s="84"/>
      <c r="B1210" s="84"/>
      <c r="C1210" s="60"/>
      <c r="D1210" s="66"/>
      <c r="E1210" s="66"/>
      <c r="F1210" s="66"/>
      <c r="G1210" s="66"/>
      <c r="H1210" s="66"/>
      <c r="I1210" s="66"/>
      <c r="J1210" s="66"/>
      <c r="K1210" s="66"/>
      <c r="L1210" s="66"/>
      <c r="M1210" s="66"/>
      <c r="N1210" s="66"/>
    </row>
    <row r="1211" spans="1:14" x14ac:dyDescent="0.2">
      <c r="A1211" s="84"/>
      <c r="B1211" s="84"/>
      <c r="C1211" s="60"/>
      <c r="D1211" s="66"/>
      <c r="E1211" s="66"/>
      <c r="F1211" s="66"/>
      <c r="G1211" s="66"/>
      <c r="H1211" s="66"/>
      <c r="I1211" s="66"/>
      <c r="J1211" s="66"/>
      <c r="K1211" s="66"/>
      <c r="L1211" s="66"/>
      <c r="M1211" s="66"/>
      <c r="N1211" s="66"/>
    </row>
    <row r="1212" spans="1:14" x14ac:dyDescent="0.2">
      <c r="A1212" s="84"/>
      <c r="B1212" s="84"/>
      <c r="C1212" s="60"/>
      <c r="D1212" s="66"/>
      <c r="E1212" s="66"/>
      <c r="F1212" s="66"/>
      <c r="G1212" s="66"/>
      <c r="H1212" s="66"/>
      <c r="I1212" s="66"/>
      <c r="J1212" s="66"/>
      <c r="K1212" s="66"/>
      <c r="L1212" s="66"/>
      <c r="M1212" s="66"/>
      <c r="N1212" s="66"/>
    </row>
    <row r="1213" spans="1:14" x14ac:dyDescent="0.2">
      <c r="A1213" s="84"/>
      <c r="B1213" s="84"/>
      <c r="C1213" s="60"/>
      <c r="D1213" s="66"/>
      <c r="E1213" s="66"/>
      <c r="F1213" s="66"/>
      <c r="G1213" s="66"/>
      <c r="H1213" s="66"/>
      <c r="I1213" s="66"/>
      <c r="J1213" s="66"/>
      <c r="K1213" s="66"/>
      <c r="L1213" s="66"/>
      <c r="M1213" s="66"/>
      <c r="N1213" s="66"/>
    </row>
    <row r="1214" spans="1:14" x14ac:dyDescent="0.2">
      <c r="A1214" s="84"/>
      <c r="B1214" s="84"/>
      <c r="C1214" s="60"/>
      <c r="D1214" s="66"/>
      <c r="E1214" s="66"/>
      <c r="F1214" s="66"/>
      <c r="G1214" s="66"/>
      <c r="H1214" s="66"/>
      <c r="I1214" s="66"/>
      <c r="J1214" s="66"/>
      <c r="K1214" s="66"/>
      <c r="L1214" s="66"/>
      <c r="M1214" s="66"/>
      <c r="N1214" s="66"/>
    </row>
    <row r="1215" spans="1:14" x14ac:dyDescent="0.2">
      <c r="A1215" s="84"/>
      <c r="B1215" s="84"/>
      <c r="C1215" s="60"/>
      <c r="D1215" s="66"/>
      <c r="E1215" s="66"/>
      <c r="F1215" s="66"/>
      <c r="G1215" s="66"/>
      <c r="H1215" s="66"/>
      <c r="I1215" s="66"/>
      <c r="J1215" s="66"/>
      <c r="K1215" s="66"/>
      <c r="L1215" s="66"/>
      <c r="M1215" s="66"/>
      <c r="N1215" s="66"/>
    </row>
    <row r="1216" spans="1:14" x14ac:dyDescent="0.2">
      <c r="A1216" s="84"/>
      <c r="B1216" s="84"/>
      <c r="C1216" s="60"/>
      <c r="D1216" s="66"/>
      <c r="E1216" s="66"/>
      <c r="F1216" s="66"/>
      <c r="G1216" s="66"/>
      <c r="H1216" s="66"/>
      <c r="I1216" s="66"/>
      <c r="J1216" s="66"/>
      <c r="K1216" s="66"/>
      <c r="L1216" s="66"/>
      <c r="M1216" s="66"/>
      <c r="N1216" s="66"/>
    </row>
    <row r="1217" spans="1:14" x14ac:dyDescent="0.2">
      <c r="A1217" s="84"/>
      <c r="B1217" s="84"/>
      <c r="C1217" s="60"/>
      <c r="D1217" s="66"/>
      <c r="E1217" s="66"/>
      <c r="F1217" s="66"/>
      <c r="G1217" s="66"/>
      <c r="H1217" s="66"/>
      <c r="I1217" s="66"/>
      <c r="J1217" s="66"/>
      <c r="K1217" s="66"/>
      <c r="L1217" s="66"/>
      <c r="M1217" s="66"/>
      <c r="N1217" s="66"/>
    </row>
    <row r="1218" spans="1:14" x14ac:dyDescent="0.2">
      <c r="A1218" s="84"/>
      <c r="B1218" s="84"/>
      <c r="C1218" s="60"/>
      <c r="D1218" s="66"/>
      <c r="E1218" s="66"/>
      <c r="F1218" s="66"/>
      <c r="G1218" s="66"/>
      <c r="H1218" s="66"/>
      <c r="I1218" s="66"/>
      <c r="J1218" s="66"/>
      <c r="K1218" s="66"/>
      <c r="L1218" s="66"/>
      <c r="M1218" s="66"/>
      <c r="N1218" s="66"/>
    </row>
    <row r="1219" spans="1:14" x14ac:dyDescent="0.2">
      <c r="A1219" s="84"/>
      <c r="B1219" s="84"/>
      <c r="C1219" s="60"/>
      <c r="D1219" s="66"/>
      <c r="E1219" s="66"/>
      <c r="F1219" s="66"/>
      <c r="G1219" s="66"/>
      <c r="H1219" s="66"/>
      <c r="I1219" s="66"/>
      <c r="J1219" s="66"/>
      <c r="K1219" s="66"/>
      <c r="L1219" s="66"/>
      <c r="M1219" s="66"/>
      <c r="N1219" s="66"/>
    </row>
    <row r="1220" spans="1:14" x14ac:dyDescent="0.2">
      <c r="A1220" s="84"/>
      <c r="B1220" s="84"/>
      <c r="C1220" s="60"/>
      <c r="D1220" s="66"/>
      <c r="E1220" s="66"/>
      <c r="F1220" s="66"/>
      <c r="G1220" s="66"/>
      <c r="H1220" s="66"/>
      <c r="I1220" s="66"/>
      <c r="J1220" s="66"/>
      <c r="K1220" s="66"/>
      <c r="L1220" s="66"/>
      <c r="M1220" s="66"/>
      <c r="N1220" s="66"/>
    </row>
    <row r="1221" spans="1:14" x14ac:dyDescent="0.2">
      <c r="A1221" s="84"/>
      <c r="B1221" s="84"/>
      <c r="C1221" s="60"/>
      <c r="D1221" s="66"/>
      <c r="E1221" s="66"/>
      <c r="F1221" s="66"/>
      <c r="G1221" s="66"/>
      <c r="H1221" s="66"/>
      <c r="I1221" s="66"/>
      <c r="J1221" s="66"/>
      <c r="K1221" s="66"/>
      <c r="L1221" s="66"/>
      <c r="M1221" s="66"/>
      <c r="N1221" s="66"/>
    </row>
    <row r="1222" spans="1:14" x14ac:dyDescent="0.2">
      <c r="A1222" s="84"/>
      <c r="B1222" s="84"/>
      <c r="C1222" s="60"/>
      <c r="D1222" s="66"/>
      <c r="E1222" s="66"/>
      <c r="F1222" s="66"/>
      <c r="G1222" s="66"/>
      <c r="H1222" s="66"/>
      <c r="I1222" s="66"/>
      <c r="J1222" s="66"/>
      <c r="K1222" s="66"/>
      <c r="L1222" s="66"/>
      <c r="M1222" s="66"/>
      <c r="N1222" s="66"/>
    </row>
    <row r="1223" spans="1:14" x14ac:dyDescent="0.2">
      <c r="A1223" s="84"/>
      <c r="B1223" s="84"/>
      <c r="C1223" s="60"/>
      <c r="D1223" s="66"/>
      <c r="E1223" s="66"/>
      <c r="F1223" s="66"/>
      <c r="G1223" s="66"/>
      <c r="H1223" s="66"/>
      <c r="I1223" s="66"/>
      <c r="J1223" s="66"/>
      <c r="K1223" s="66"/>
      <c r="L1223" s="66"/>
      <c r="M1223" s="66"/>
      <c r="N1223" s="66"/>
    </row>
    <row r="1224" spans="1:14" x14ac:dyDescent="0.2">
      <c r="A1224" s="84"/>
      <c r="B1224" s="84"/>
      <c r="C1224" s="60"/>
      <c r="D1224" s="66"/>
      <c r="E1224" s="66"/>
      <c r="F1224" s="66"/>
      <c r="G1224" s="66"/>
      <c r="H1224" s="66"/>
      <c r="I1224" s="66"/>
      <c r="J1224" s="66"/>
      <c r="K1224" s="66"/>
      <c r="L1224" s="66"/>
      <c r="M1224" s="66"/>
      <c r="N1224" s="66"/>
    </row>
    <row r="1225" spans="1:14" x14ac:dyDescent="0.2">
      <c r="A1225" s="84"/>
      <c r="B1225" s="84"/>
      <c r="C1225" s="60"/>
      <c r="D1225" s="66"/>
      <c r="E1225" s="66"/>
      <c r="F1225" s="66"/>
      <c r="G1225" s="66"/>
      <c r="H1225" s="66"/>
      <c r="I1225" s="66"/>
      <c r="J1225" s="66"/>
      <c r="K1225" s="66"/>
      <c r="L1225" s="66"/>
      <c r="M1225" s="66"/>
      <c r="N1225" s="66"/>
    </row>
  </sheetData>
  <pageMargins left="0.25" right="0.25" top="0.75" bottom="0.75" header="0.3" footer="0.3"/>
  <pageSetup scale="80" fitToHeight="0" orientation="landscape" r:id="rId1"/>
  <headerFooter>
    <oddFooter>&amp;LRev &amp;D&amp;C&amp;P</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1225"/>
  <sheetViews>
    <sheetView topLeftCell="A190" workbookViewId="0">
      <selection sqref="A1:N231"/>
    </sheetView>
  </sheetViews>
  <sheetFormatPr defaultColWidth="9" defaultRowHeight="12.75" x14ac:dyDescent="0.2"/>
  <cols>
    <col min="1" max="1" width="27.25" style="59" customWidth="1"/>
    <col min="2" max="2" width="9.5" style="60" customWidth="1"/>
    <col min="3" max="4" width="9" style="84" customWidth="1"/>
    <col min="5" max="16384" width="9" style="84"/>
  </cols>
  <sheetData>
    <row r="1" spans="1:14" s="58" customFormat="1" ht="13.5" thickBot="1" x14ac:dyDescent="0.25">
      <c r="A1" s="67" t="str">
        <f>CMS!A1</f>
        <v>Northwest Youth Services Budget - 2018 - APPROVED BY BOARD NOV 30, 2017</v>
      </c>
      <c r="B1" s="79"/>
      <c r="C1" s="67"/>
      <c r="D1" s="67"/>
      <c r="E1" s="67"/>
      <c r="F1" s="67"/>
      <c r="G1" s="67"/>
      <c r="H1" s="67"/>
      <c r="I1" s="67"/>
      <c r="J1" s="67"/>
      <c r="K1" s="67"/>
      <c r="L1" s="67"/>
      <c r="M1" s="67"/>
      <c r="N1" s="67"/>
    </row>
    <row r="2" spans="1:14" s="58" customFormat="1" x14ac:dyDescent="0.2">
      <c r="A2" s="80"/>
      <c r="B2" s="81"/>
    </row>
    <row r="3" spans="1:14" s="58" customFormat="1" x14ac:dyDescent="0.2">
      <c r="A3" s="81" t="s">
        <v>562</v>
      </c>
      <c r="B3" s="81"/>
    </row>
    <row r="5" spans="1:14" s="70" customFormat="1" ht="13.5" thickBot="1" x14ac:dyDescent="0.25">
      <c r="A5" s="82" t="s">
        <v>143</v>
      </c>
      <c r="B5" s="83" t="s">
        <v>144</v>
      </c>
      <c r="C5" s="83" t="str">
        <f>CMS!C5</f>
        <v>January</v>
      </c>
      <c r="D5" s="83" t="str">
        <f>CMS!D5</f>
        <v>February</v>
      </c>
      <c r="E5" s="83" t="str">
        <f>CMS!E5</f>
        <v>March</v>
      </c>
      <c r="F5" s="83" t="str">
        <f>CMS!F5</f>
        <v>April</v>
      </c>
      <c r="G5" s="83" t="str">
        <f>CMS!G5</f>
        <v>May</v>
      </c>
      <c r="H5" s="83" t="str">
        <f>CMS!H5</f>
        <v>June</v>
      </c>
      <c r="I5" s="83" t="str">
        <f>CMS!I5</f>
        <v>July</v>
      </c>
      <c r="J5" s="83" t="str">
        <f>CMS!J5</f>
        <v>August</v>
      </c>
      <c r="K5" s="83" t="str">
        <f>CMS!K5</f>
        <v>September</v>
      </c>
      <c r="L5" s="83" t="str">
        <f>CMS!L5</f>
        <v>October</v>
      </c>
      <c r="M5" s="83" t="str">
        <f>CMS!M5</f>
        <v>November</v>
      </c>
      <c r="N5" s="83" t="str">
        <f>CMS!N5</f>
        <v>December</v>
      </c>
    </row>
    <row r="6" spans="1:14" s="70" customFormat="1" x14ac:dyDescent="0.2">
      <c r="A6" s="28"/>
      <c r="B6" s="86"/>
      <c r="C6" s="86"/>
      <c r="D6" s="26"/>
      <c r="E6" s="26"/>
      <c r="F6" s="26"/>
      <c r="G6" s="26"/>
      <c r="H6" s="26"/>
      <c r="I6" s="26"/>
      <c r="J6" s="26"/>
      <c r="K6" s="26"/>
      <c r="L6" s="26"/>
      <c r="M6" s="26"/>
      <c r="N6" s="26"/>
    </row>
    <row r="7" spans="1:14" s="70" customFormat="1" x14ac:dyDescent="0.2">
      <c r="A7" s="58" t="s">
        <v>14</v>
      </c>
      <c r="B7" s="60"/>
      <c r="C7" s="60"/>
      <c r="D7" s="94"/>
      <c r="E7" s="94"/>
      <c r="F7" s="94"/>
      <c r="G7" s="94"/>
      <c r="H7" s="94"/>
      <c r="I7" s="94"/>
      <c r="J7" s="94"/>
      <c r="K7" s="94"/>
      <c r="L7" s="94"/>
      <c r="M7" s="94"/>
      <c r="N7" s="94"/>
    </row>
    <row r="8" spans="1:14" x14ac:dyDescent="0.2">
      <c r="A8" s="61" t="s">
        <v>402</v>
      </c>
      <c r="B8" s="63">
        <f>SUM(C8:N8)</f>
        <v>65093.185728631412</v>
      </c>
      <c r="C8" s="62">
        <v>2003</v>
      </c>
      <c r="D8" s="62">
        <v>2111</v>
      </c>
      <c r="E8" s="62">
        <v>6406</v>
      </c>
      <c r="F8" s="62">
        <f>SUM(F53+F83+F90)</f>
        <v>5691.8856984749191</v>
      </c>
      <c r="G8" s="62">
        <f>SUM(G53+G83+G90)</f>
        <v>5722.8486671441024</v>
      </c>
      <c r="H8" s="62">
        <f>SUM(H53+H83+H90)</f>
        <v>5608.4656416584348</v>
      </c>
      <c r="I8" s="93">
        <f>SUM(I53+I83)*1.15</f>
        <v>6342.0690546872756</v>
      </c>
      <c r="J8" s="93">
        <f>SUM(74899/12)</f>
        <v>6241.583333333333</v>
      </c>
      <c r="K8" s="93">
        <f>SUM(74899/12)</f>
        <v>6241.583333333333</v>
      </c>
      <c r="L8" s="93">
        <f>SUM(74899/12)</f>
        <v>6241.583333333333</v>
      </c>
      <c r="M8" s="93">
        <f>SUM(74899/12)</f>
        <v>6241.583333333333</v>
      </c>
      <c r="N8" s="93">
        <f>SUM(74899/12)</f>
        <v>6241.583333333333</v>
      </c>
    </row>
    <row r="9" spans="1:14" hidden="1" x14ac:dyDescent="0.2">
      <c r="A9" s="61" t="s">
        <v>145</v>
      </c>
      <c r="B9" s="63">
        <f>SUM(C9:N9)</f>
        <v>0</v>
      </c>
      <c r="C9" s="62"/>
      <c r="D9" s="62"/>
      <c r="E9" s="62"/>
      <c r="F9" s="62"/>
      <c r="G9" s="62"/>
      <c r="H9" s="62"/>
      <c r="I9" s="62"/>
      <c r="J9" s="93"/>
      <c r="K9" s="93"/>
      <c r="L9" s="93"/>
      <c r="M9" s="93"/>
      <c r="N9" s="93"/>
    </row>
    <row r="10" spans="1:14" hidden="1" x14ac:dyDescent="0.2">
      <c r="A10" s="61" t="s">
        <v>145</v>
      </c>
      <c r="B10" s="63">
        <f t="shared" ref="B10:B44" si="0">SUM(C10:N10)</f>
        <v>0</v>
      </c>
      <c r="C10" s="63"/>
      <c r="D10" s="62"/>
      <c r="E10" s="62"/>
      <c r="F10" s="62"/>
      <c r="G10" s="62"/>
      <c r="H10" s="62"/>
      <c r="I10" s="62"/>
      <c r="J10" s="62"/>
      <c r="K10" s="62"/>
      <c r="L10" s="62"/>
      <c r="M10" s="62"/>
      <c r="N10" s="62"/>
    </row>
    <row r="11" spans="1:14" hidden="1" x14ac:dyDescent="0.2">
      <c r="A11" s="61" t="s">
        <v>145</v>
      </c>
      <c r="B11" s="63">
        <f t="shared" si="0"/>
        <v>0</v>
      </c>
      <c r="C11" s="63"/>
      <c r="D11" s="62"/>
      <c r="E11" s="62"/>
      <c r="F11" s="62"/>
      <c r="G11" s="62"/>
      <c r="H11" s="62"/>
      <c r="I11" s="62"/>
      <c r="J11" s="93"/>
      <c r="K11" s="93"/>
      <c r="L11" s="93"/>
      <c r="M11" s="93"/>
      <c r="N11" s="93"/>
    </row>
    <row r="12" spans="1:14" hidden="1" x14ac:dyDescent="0.2">
      <c r="A12" s="61" t="s">
        <v>145</v>
      </c>
      <c r="B12" s="63">
        <f t="shared" si="0"/>
        <v>0</v>
      </c>
      <c r="C12" s="63"/>
      <c r="D12" s="62"/>
      <c r="E12" s="62"/>
      <c r="F12" s="62"/>
      <c r="G12" s="62"/>
      <c r="H12" s="62"/>
      <c r="I12" s="62"/>
      <c r="J12" s="93"/>
      <c r="K12" s="93"/>
      <c r="L12" s="93"/>
      <c r="M12" s="93"/>
      <c r="N12" s="93"/>
    </row>
    <row r="13" spans="1:14" hidden="1" x14ac:dyDescent="0.2">
      <c r="A13" s="61" t="s">
        <v>145</v>
      </c>
      <c r="B13" s="63">
        <f t="shared" si="0"/>
        <v>0</v>
      </c>
      <c r="C13" s="63"/>
      <c r="D13" s="62"/>
      <c r="E13" s="62"/>
      <c r="F13" s="62"/>
      <c r="G13" s="62"/>
      <c r="H13" s="62"/>
      <c r="I13" s="62"/>
      <c r="J13" s="62"/>
      <c r="K13" s="62"/>
      <c r="L13" s="62"/>
      <c r="M13" s="62"/>
      <c r="N13" s="62"/>
    </row>
    <row r="14" spans="1:14" hidden="1" x14ac:dyDescent="0.2">
      <c r="A14" s="61" t="s">
        <v>145</v>
      </c>
      <c r="B14" s="63">
        <f t="shared" si="0"/>
        <v>0</v>
      </c>
      <c r="C14" s="63"/>
      <c r="D14" s="62"/>
      <c r="E14" s="62"/>
      <c r="F14" s="62"/>
      <c r="G14" s="62"/>
      <c r="H14" s="62"/>
      <c r="I14" s="62"/>
      <c r="J14" s="62"/>
      <c r="K14" s="62"/>
      <c r="L14" s="62"/>
      <c r="M14" s="62"/>
      <c r="N14" s="62"/>
    </row>
    <row r="15" spans="1:14" hidden="1" x14ac:dyDescent="0.2">
      <c r="A15" s="61" t="s">
        <v>145</v>
      </c>
      <c r="B15" s="63">
        <f t="shared" si="0"/>
        <v>0</v>
      </c>
      <c r="C15" s="63"/>
      <c r="D15" s="62"/>
      <c r="E15" s="62"/>
      <c r="F15" s="62"/>
      <c r="G15" s="62"/>
      <c r="H15" s="62"/>
      <c r="I15" s="62"/>
      <c r="J15" s="62"/>
      <c r="K15" s="62"/>
      <c r="L15" s="62"/>
      <c r="M15" s="62"/>
      <c r="N15" s="62"/>
    </row>
    <row r="16" spans="1:14" hidden="1" x14ac:dyDescent="0.2">
      <c r="A16" s="61" t="s">
        <v>145</v>
      </c>
      <c r="B16" s="63">
        <f t="shared" si="0"/>
        <v>0</v>
      </c>
      <c r="C16" s="63"/>
      <c r="D16" s="62"/>
      <c r="E16" s="62"/>
      <c r="F16" s="62"/>
      <c r="G16" s="62"/>
      <c r="H16" s="62"/>
      <c r="I16" s="62"/>
      <c r="J16" s="62"/>
      <c r="K16" s="62"/>
      <c r="L16" s="62"/>
      <c r="M16" s="62"/>
      <c r="N16" s="62"/>
    </row>
    <row r="17" spans="1:14" hidden="1" x14ac:dyDescent="0.2">
      <c r="A17" s="61" t="s">
        <v>145</v>
      </c>
      <c r="B17" s="63">
        <f t="shared" si="0"/>
        <v>0</v>
      </c>
      <c r="C17" s="63"/>
      <c r="D17" s="62"/>
      <c r="E17" s="62"/>
      <c r="F17" s="62"/>
      <c r="G17" s="62"/>
      <c r="H17" s="62"/>
      <c r="I17" s="62"/>
      <c r="J17" s="62"/>
      <c r="K17" s="62"/>
      <c r="L17" s="62"/>
      <c r="M17" s="62"/>
      <c r="N17" s="62"/>
    </row>
    <row r="18" spans="1:14" hidden="1" x14ac:dyDescent="0.2">
      <c r="A18" s="61" t="s">
        <v>145</v>
      </c>
      <c r="B18" s="63">
        <f t="shared" si="0"/>
        <v>0</v>
      </c>
      <c r="C18" s="63"/>
      <c r="D18" s="62"/>
      <c r="E18" s="62"/>
      <c r="F18" s="62"/>
      <c r="G18" s="62"/>
      <c r="H18" s="62"/>
      <c r="I18" s="62"/>
      <c r="J18" s="62"/>
      <c r="K18" s="62"/>
      <c r="L18" s="62"/>
      <c r="M18" s="62"/>
      <c r="N18" s="62"/>
    </row>
    <row r="19" spans="1:14" hidden="1" x14ac:dyDescent="0.2">
      <c r="A19" s="61" t="s">
        <v>145</v>
      </c>
      <c r="B19" s="63">
        <f t="shared" si="0"/>
        <v>0</v>
      </c>
      <c r="C19" s="63"/>
      <c r="D19" s="62"/>
      <c r="E19" s="62"/>
      <c r="F19" s="62"/>
      <c r="G19" s="62"/>
      <c r="H19" s="62"/>
      <c r="I19" s="62"/>
      <c r="J19" s="62"/>
      <c r="K19" s="62"/>
      <c r="L19" s="62"/>
      <c r="M19" s="62"/>
      <c r="N19" s="62"/>
    </row>
    <row r="20" spans="1:14" hidden="1" x14ac:dyDescent="0.2">
      <c r="A20" s="61" t="s">
        <v>145</v>
      </c>
      <c r="B20" s="63">
        <f t="shared" si="0"/>
        <v>0</v>
      </c>
      <c r="C20" s="63"/>
      <c r="D20" s="62"/>
      <c r="E20" s="62"/>
      <c r="F20" s="62"/>
      <c r="G20" s="62"/>
      <c r="H20" s="62"/>
      <c r="I20" s="62"/>
      <c r="J20" s="62"/>
      <c r="K20" s="62"/>
      <c r="L20" s="62"/>
      <c r="M20" s="62"/>
      <c r="N20" s="62"/>
    </row>
    <row r="21" spans="1:14" hidden="1" x14ac:dyDescent="0.2">
      <c r="A21" s="61" t="s">
        <v>145</v>
      </c>
      <c r="B21" s="63">
        <f t="shared" si="0"/>
        <v>0</v>
      </c>
      <c r="C21" s="63"/>
      <c r="D21" s="62"/>
      <c r="E21" s="62"/>
      <c r="F21" s="62"/>
      <c r="G21" s="62"/>
      <c r="H21" s="62"/>
      <c r="I21" s="62"/>
      <c r="J21" s="62"/>
      <c r="K21" s="62"/>
      <c r="L21" s="62"/>
      <c r="M21" s="62"/>
      <c r="N21" s="62"/>
    </row>
    <row r="22" spans="1:14" hidden="1" x14ac:dyDescent="0.2">
      <c r="A22" s="61" t="s">
        <v>145</v>
      </c>
      <c r="B22" s="63">
        <f t="shared" si="0"/>
        <v>0</v>
      </c>
      <c r="C22" s="63"/>
      <c r="D22" s="62"/>
      <c r="E22" s="62"/>
      <c r="F22" s="62"/>
      <c r="G22" s="62"/>
      <c r="H22" s="62"/>
      <c r="I22" s="62"/>
      <c r="J22" s="62"/>
      <c r="K22" s="62"/>
      <c r="L22" s="62"/>
      <c r="M22" s="62"/>
      <c r="N22" s="62"/>
    </row>
    <row r="23" spans="1:14" hidden="1" x14ac:dyDescent="0.2">
      <c r="A23" s="61" t="s">
        <v>146</v>
      </c>
      <c r="B23" s="63">
        <f t="shared" si="0"/>
        <v>0</v>
      </c>
      <c r="C23" s="63"/>
      <c r="D23" s="62"/>
      <c r="E23" s="62"/>
      <c r="F23" s="62"/>
      <c r="G23" s="62"/>
      <c r="H23" s="62"/>
      <c r="I23" s="62"/>
      <c r="J23" s="62"/>
      <c r="K23" s="62"/>
      <c r="L23" s="93"/>
      <c r="M23" s="93"/>
      <c r="N23" s="93"/>
    </row>
    <row r="24" spans="1:14" hidden="1" x14ac:dyDescent="0.2">
      <c r="A24" s="61" t="s">
        <v>146</v>
      </c>
      <c r="B24" s="63">
        <f t="shared" si="0"/>
        <v>0</v>
      </c>
      <c r="C24" s="63"/>
      <c r="D24" s="62"/>
      <c r="E24" s="62"/>
      <c r="F24" s="62"/>
      <c r="G24" s="62"/>
      <c r="H24" s="62"/>
      <c r="I24" s="62"/>
      <c r="J24" s="62"/>
      <c r="K24" s="62"/>
      <c r="L24" s="62"/>
      <c r="M24" s="62"/>
      <c r="N24" s="62"/>
    </row>
    <row r="25" spans="1:14" hidden="1" x14ac:dyDescent="0.2">
      <c r="A25" s="61" t="s">
        <v>146</v>
      </c>
      <c r="B25" s="63">
        <f t="shared" si="0"/>
        <v>0</v>
      </c>
      <c r="C25" s="63"/>
      <c r="D25" s="62"/>
      <c r="E25" s="62"/>
      <c r="F25" s="62"/>
      <c r="G25" s="62"/>
      <c r="H25" s="62"/>
      <c r="I25" s="62"/>
      <c r="J25" s="62"/>
      <c r="K25" s="62"/>
      <c r="L25" s="62"/>
      <c r="M25" s="62"/>
      <c r="N25" s="62"/>
    </row>
    <row r="26" spans="1:14" hidden="1" x14ac:dyDescent="0.2">
      <c r="A26" s="61" t="s">
        <v>146</v>
      </c>
      <c r="B26" s="63">
        <f t="shared" si="0"/>
        <v>0</v>
      </c>
      <c r="C26" s="63"/>
      <c r="D26" s="62"/>
      <c r="E26" s="62"/>
      <c r="F26" s="62"/>
      <c r="G26" s="62"/>
      <c r="H26" s="62"/>
      <c r="I26" s="62"/>
      <c r="J26" s="62"/>
      <c r="K26" s="62"/>
      <c r="L26" s="62"/>
      <c r="M26" s="62"/>
      <c r="N26" s="62"/>
    </row>
    <row r="27" spans="1:14" hidden="1" x14ac:dyDescent="0.2">
      <c r="A27" s="61" t="s">
        <v>146</v>
      </c>
      <c r="B27" s="63">
        <f t="shared" si="0"/>
        <v>0</v>
      </c>
      <c r="C27" s="63"/>
      <c r="D27" s="62"/>
      <c r="E27" s="62"/>
      <c r="F27" s="62"/>
      <c r="G27" s="62"/>
      <c r="H27" s="62"/>
      <c r="I27" s="62"/>
      <c r="J27" s="62"/>
      <c r="K27" s="62"/>
      <c r="L27" s="62"/>
      <c r="M27" s="62"/>
      <c r="N27" s="62"/>
    </row>
    <row r="28" spans="1:14" hidden="1" x14ac:dyDescent="0.2">
      <c r="A28" s="61" t="s">
        <v>146</v>
      </c>
      <c r="B28" s="63">
        <f t="shared" si="0"/>
        <v>0</v>
      </c>
      <c r="C28" s="63"/>
      <c r="D28" s="62"/>
      <c r="E28" s="62"/>
      <c r="F28" s="62"/>
      <c r="G28" s="62"/>
      <c r="H28" s="62"/>
      <c r="I28" s="62"/>
      <c r="J28" s="62"/>
      <c r="K28" s="62"/>
      <c r="L28" s="62"/>
      <c r="M28" s="62"/>
      <c r="N28" s="62"/>
    </row>
    <row r="29" spans="1:14" hidden="1" x14ac:dyDescent="0.2">
      <c r="A29" s="61" t="s">
        <v>146</v>
      </c>
      <c r="B29" s="63">
        <f t="shared" si="0"/>
        <v>0</v>
      </c>
      <c r="C29" s="63"/>
      <c r="D29" s="62"/>
      <c r="E29" s="62"/>
      <c r="F29" s="62"/>
      <c r="G29" s="62"/>
      <c r="H29" s="62"/>
      <c r="I29" s="62"/>
      <c r="J29" s="62"/>
      <c r="K29" s="62"/>
      <c r="L29" s="62"/>
      <c r="M29" s="62"/>
      <c r="N29" s="62"/>
    </row>
    <row r="30" spans="1:14" hidden="1" x14ac:dyDescent="0.2">
      <c r="A30" s="61" t="s">
        <v>146</v>
      </c>
      <c r="B30" s="63">
        <f t="shared" si="0"/>
        <v>0</v>
      </c>
      <c r="C30" s="63"/>
      <c r="D30" s="62"/>
      <c r="E30" s="62"/>
      <c r="F30" s="62"/>
      <c r="G30" s="62"/>
      <c r="H30" s="62"/>
      <c r="I30" s="62"/>
      <c r="J30" s="62"/>
      <c r="K30" s="62"/>
      <c r="L30" s="62"/>
      <c r="M30" s="62"/>
      <c r="N30" s="62"/>
    </row>
    <row r="31" spans="1:14" hidden="1" x14ac:dyDescent="0.2">
      <c r="A31" s="61" t="s">
        <v>146</v>
      </c>
      <c r="B31" s="63">
        <f t="shared" si="0"/>
        <v>0</v>
      </c>
      <c r="C31" s="63"/>
      <c r="D31" s="62"/>
      <c r="E31" s="62"/>
      <c r="F31" s="62"/>
      <c r="G31" s="62"/>
      <c r="H31" s="62"/>
      <c r="I31" s="62"/>
      <c r="J31" s="62"/>
      <c r="K31" s="62"/>
      <c r="L31" s="62"/>
      <c r="M31" s="62"/>
      <c r="N31" s="62"/>
    </row>
    <row r="32" spans="1:14" hidden="1" x14ac:dyDescent="0.2">
      <c r="A32" s="61" t="s">
        <v>146</v>
      </c>
      <c r="B32" s="63">
        <f t="shared" si="0"/>
        <v>0</v>
      </c>
      <c r="C32" s="63"/>
      <c r="D32" s="62"/>
      <c r="E32" s="62"/>
      <c r="F32" s="62"/>
      <c r="G32" s="62"/>
      <c r="H32" s="62"/>
      <c r="I32" s="62"/>
      <c r="J32" s="62"/>
      <c r="K32" s="62"/>
      <c r="L32" s="62"/>
      <c r="M32" s="62"/>
      <c r="N32" s="62"/>
    </row>
    <row r="33" spans="1:14" hidden="1" x14ac:dyDescent="0.2">
      <c r="A33" s="61" t="s">
        <v>146</v>
      </c>
      <c r="B33" s="63">
        <f t="shared" si="0"/>
        <v>0</v>
      </c>
      <c r="C33" s="63"/>
      <c r="D33" s="62"/>
      <c r="E33" s="62"/>
      <c r="F33" s="62"/>
      <c r="G33" s="62"/>
      <c r="H33" s="62"/>
      <c r="I33" s="62"/>
      <c r="J33" s="62"/>
      <c r="K33" s="62"/>
      <c r="L33" s="62"/>
      <c r="M33" s="62"/>
      <c r="N33" s="62"/>
    </row>
    <row r="34" spans="1:14" hidden="1" x14ac:dyDescent="0.2">
      <c r="A34" s="61" t="s">
        <v>146</v>
      </c>
      <c r="B34" s="63">
        <f t="shared" si="0"/>
        <v>0</v>
      </c>
      <c r="C34" s="63"/>
      <c r="D34" s="62"/>
      <c r="E34" s="62"/>
      <c r="F34" s="62"/>
      <c r="G34" s="62"/>
      <c r="H34" s="62"/>
      <c r="I34" s="62"/>
      <c r="J34" s="62"/>
      <c r="K34" s="62"/>
      <c r="L34" s="62"/>
      <c r="M34" s="62"/>
      <c r="N34" s="62"/>
    </row>
    <row r="35" spans="1:14" hidden="1" x14ac:dyDescent="0.2">
      <c r="A35" s="61" t="s">
        <v>146</v>
      </c>
      <c r="B35" s="63">
        <f t="shared" si="0"/>
        <v>0</v>
      </c>
      <c r="C35" s="63"/>
      <c r="D35" s="62"/>
      <c r="E35" s="62"/>
      <c r="F35" s="62"/>
      <c r="G35" s="62"/>
      <c r="H35" s="62"/>
      <c r="I35" s="62"/>
      <c r="J35" s="62"/>
      <c r="K35" s="62"/>
      <c r="L35" s="62"/>
      <c r="M35" s="62"/>
      <c r="N35" s="62"/>
    </row>
    <row r="36" spans="1:14" hidden="1" x14ac:dyDescent="0.2">
      <c r="A36" s="61" t="s">
        <v>146</v>
      </c>
      <c r="B36" s="63">
        <f t="shared" si="0"/>
        <v>0</v>
      </c>
      <c r="C36" s="62"/>
      <c r="D36" s="62"/>
      <c r="E36" s="62"/>
      <c r="F36" s="62"/>
      <c r="G36" s="62"/>
      <c r="H36" s="62"/>
      <c r="I36" s="62"/>
      <c r="J36" s="62"/>
      <c r="K36" s="62"/>
      <c r="L36" s="62"/>
      <c r="M36" s="62"/>
      <c r="N36" s="62"/>
    </row>
    <row r="37" spans="1:14" hidden="1" x14ac:dyDescent="0.2">
      <c r="A37" s="61" t="s">
        <v>146</v>
      </c>
      <c r="B37" s="63">
        <f t="shared" si="0"/>
        <v>0</v>
      </c>
      <c r="C37" s="63"/>
      <c r="D37" s="62"/>
      <c r="E37" s="62"/>
      <c r="F37" s="62"/>
      <c r="G37" s="62"/>
      <c r="H37" s="62"/>
      <c r="I37" s="62"/>
      <c r="J37" s="62"/>
      <c r="K37" s="62"/>
      <c r="L37" s="62"/>
      <c r="M37" s="62"/>
      <c r="N37" s="62"/>
    </row>
    <row r="38" spans="1:14" hidden="1" x14ac:dyDescent="0.2">
      <c r="A38" s="61" t="s">
        <v>146</v>
      </c>
      <c r="B38" s="63">
        <f t="shared" si="0"/>
        <v>0</v>
      </c>
      <c r="C38" s="63"/>
      <c r="D38" s="62"/>
      <c r="E38" s="62"/>
      <c r="F38" s="62"/>
      <c r="G38" s="62"/>
      <c r="H38" s="62"/>
      <c r="I38" s="62"/>
      <c r="J38" s="62"/>
      <c r="K38" s="62"/>
      <c r="L38" s="62"/>
      <c r="M38" s="62"/>
      <c r="N38" s="62"/>
    </row>
    <row r="39" spans="1:14" x14ac:dyDescent="0.2">
      <c r="A39" s="61" t="s">
        <v>16</v>
      </c>
      <c r="B39" s="63">
        <f t="shared" si="0"/>
        <v>0</v>
      </c>
      <c r="C39" s="63"/>
      <c r="D39" s="62"/>
      <c r="E39" s="62"/>
      <c r="F39" s="62"/>
      <c r="G39" s="62"/>
      <c r="H39" s="62"/>
      <c r="I39" s="62"/>
      <c r="J39" s="62"/>
      <c r="K39" s="62"/>
      <c r="L39" s="62"/>
      <c r="M39" s="62"/>
      <c r="N39" s="62"/>
    </row>
    <row r="40" spans="1:14" x14ac:dyDescent="0.2">
      <c r="A40" s="61" t="s">
        <v>17</v>
      </c>
      <c r="B40" s="63">
        <f t="shared" si="0"/>
        <v>0</v>
      </c>
      <c r="C40" s="63"/>
      <c r="D40" s="62"/>
      <c r="E40" s="62"/>
      <c r="F40" s="62"/>
      <c r="G40" s="62"/>
      <c r="H40" s="62"/>
      <c r="I40" s="62"/>
      <c r="J40" s="62"/>
      <c r="K40" s="62"/>
      <c r="L40" s="62"/>
      <c r="M40" s="62"/>
      <c r="N40" s="62"/>
    </row>
    <row r="41" spans="1:14" x14ac:dyDescent="0.2">
      <c r="A41" s="61" t="s">
        <v>147</v>
      </c>
      <c r="B41" s="63">
        <f t="shared" si="0"/>
        <v>0</v>
      </c>
      <c r="C41" s="62"/>
      <c r="D41" s="62"/>
      <c r="E41" s="62"/>
      <c r="F41" s="62"/>
      <c r="G41" s="62"/>
      <c r="H41" s="62"/>
      <c r="I41" s="62"/>
      <c r="J41" s="62"/>
      <c r="K41" s="62"/>
      <c r="L41" s="62"/>
      <c r="M41" s="62"/>
      <c r="N41" s="62"/>
    </row>
    <row r="42" spans="1:14" x14ac:dyDescent="0.2">
      <c r="A42" s="61" t="s">
        <v>148</v>
      </c>
      <c r="B42" s="63">
        <f t="shared" si="0"/>
        <v>0</v>
      </c>
      <c r="C42" s="63"/>
      <c r="D42" s="62"/>
      <c r="E42" s="62"/>
      <c r="F42" s="62"/>
      <c r="G42" s="62"/>
      <c r="H42" s="62"/>
      <c r="I42" s="62"/>
      <c r="J42" s="62"/>
      <c r="K42" s="62"/>
      <c r="L42" s="62"/>
      <c r="M42" s="62"/>
      <c r="N42" s="62"/>
    </row>
    <row r="43" spans="1:14" x14ac:dyDescent="0.2">
      <c r="A43" s="61" t="s">
        <v>149</v>
      </c>
      <c r="B43" s="63">
        <f t="shared" si="0"/>
        <v>0</v>
      </c>
      <c r="C43" s="63"/>
      <c r="D43" s="62"/>
      <c r="E43" s="62"/>
      <c r="F43" s="62"/>
      <c r="G43" s="62"/>
      <c r="H43" s="62"/>
      <c r="I43" s="62"/>
      <c r="J43" s="62"/>
      <c r="K43" s="62"/>
      <c r="L43" s="62"/>
      <c r="M43" s="62"/>
      <c r="N43" s="62"/>
    </row>
    <row r="44" spans="1:14" x14ac:dyDescent="0.2">
      <c r="A44" s="61" t="s">
        <v>150</v>
      </c>
      <c r="B44" s="63">
        <f t="shared" si="0"/>
        <v>0</v>
      </c>
      <c r="C44" s="63"/>
      <c r="D44" s="62"/>
      <c r="E44" s="62"/>
      <c r="F44" s="62"/>
      <c r="G44" s="62"/>
      <c r="H44" s="62"/>
      <c r="I44" s="62"/>
      <c r="J44" s="62"/>
      <c r="K44" s="62"/>
      <c r="L44" s="62"/>
      <c r="M44" s="62"/>
      <c r="N44" s="62"/>
    </row>
    <row r="45" spans="1:14" ht="13.5" thickBot="1" x14ac:dyDescent="0.25">
      <c r="A45" s="61" t="s">
        <v>18</v>
      </c>
      <c r="B45" s="63">
        <f>SUM(C45:N45)</f>
        <v>0</v>
      </c>
      <c r="C45" s="63"/>
      <c r="D45" s="62"/>
      <c r="E45" s="62"/>
      <c r="F45" s="62"/>
      <c r="G45" s="62"/>
      <c r="H45" s="62"/>
      <c r="I45" s="62"/>
      <c r="J45" s="62"/>
      <c r="K45" s="62"/>
      <c r="L45" s="62"/>
      <c r="M45" s="62"/>
      <c r="N45" s="62"/>
    </row>
    <row r="46" spans="1:14" x14ac:dyDescent="0.2">
      <c r="A46" s="64" t="s">
        <v>151</v>
      </c>
      <c r="B46" s="65">
        <f t="shared" ref="B46:N46" si="1">SUM(B8:B45)</f>
        <v>65093.185728631412</v>
      </c>
      <c r="C46" s="65">
        <f t="shared" si="1"/>
        <v>2003</v>
      </c>
      <c r="D46" s="65">
        <f t="shared" si="1"/>
        <v>2111</v>
      </c>
      <c r="E46" s="65">
        <f t="shared" si="1"/>
        <v>6406</v>
      </c>
      <c r="F46" s="65">
        <f t="shared" si="1"/>
        <v>5691.8856984749191</v>
      </c>
      <c r="G46" s="65">
        <f t="shared" si="1"/>
        <v>5722.8486671441024</v>
      </c>
      <c r="H46" s="65">
        <f t="shared" si="1"/>
        <v>5608.4656416584348</v>
      </c>
      <c r="I46" s="65">
        <f t="shared" si="1"/>
        <v>6342.0690546872756</v>
      </c>
      <c r="J46" s="65">
        <f t="shared" si="1"/>
        <v>6241.583333333333</v>
      </c>
      <c r="K46" s="65">
        <f t="shared" si="1"/>
        <v>6241.583333333333</v>
      </c>
      <c r="L46" s="65">
        <f t="shared" si="1"/>
        <v>6241.583333333333</v>
      </c>
      <c r="M46" s="65">
        <f t="shared" si="1"/>
        <v>6241.583333333333</v>
      </c>
      <c r="N46" s="65">
        <f t="shared" si="1"/>
        <v>6241.583333333333</v>
      </c>
    </row>
    <row r="47" spans="1:14" x14ac:dyDescent="0.2">
      <c r="C47" s="60"/>
      <c r="D47" s="66"/>
      <c r="E47" s="66"/>
      <c r="F47" s="66"/>
      <c r="G47" s="66"/>
      <c r="H47" s="66"/>
      <c r="I47" s="66"/>
      <c r="J47" s="66"/>
      <c r="K47" s="66"/>
      <c r="L47" s="66"/>
      <c r="M47" s="66"/>
      <c r="N47" s="66"/>
    </row>
    <row r="48" spans="1:14" x14ac:dyDescent="0.2">
      <c r="A48" s="58"/>
      <c r="C48" s="60"/>
      <c r="D48" s="100"/>
      <c r="E48" s="100"/>
      <c r="F48" s="100"/>
      <c r="G48" s="100"/>
      <c r="H48" s="100"/>
      <c r="I48" s="100"/>
      <c r="J48" s="100"/>
      <c r="K48" s="100"/>
      <c r="L48" s="100"/>
      <c r="M48" s="100"/>
      <c r="N48" s="100"/>
    </row>
    <row r="49" spans="1:15" x14ac:dyDescent="0.2">
      <c r="A49" s="58" t="s">
        <v>152</v>
      </c>
      <c r="B49" s="85"/>
      <c r="C49" s="85"/>
      <c r="D49" s="85"/>
      <c r="E49" s="85"/>
      <c r="F49" s="85"/>
      <c r="G49" s="85"/>
      <c r="H49" s="85"/>
      <c r="I49" s="85"/>
      <c r="J49" s="85"/>
      <c r="K49" s="85"/>
      <c r="L49" s="85"/>
      <c r="M49" s="85"/>
      <c r="N49" s="85"/>
    </row>
    <row r="50" spans="1:15" x14ac:dyDescent="0.2">
      <c r="A50" s="61" t="s">
        <v>153</v>
      </c>
      <c r="B50" s="63">
        <f>SUM(C50:N50)</f>
        <v>20887.099200000001</v>
      </c>
      <c r="C50" s="62">
        <f>SUM(C228)</f>
        <v>1740.5916</v>
      </c>
      <c r="D50" s="62">
        <f t="shared" ref="D50:N52" si="2">SUM(D228)</f>
        <v>1740.5916</v>
      </c>
      <c r="E50" s="62">
        <f t="shared" si="2"/>
        <v>1740.5916</v>
      </c>
      <c r="F50" s="62">
        <f t="shared" si="2"/>
        <v>1740.5916</v>
      </c>
      <c r="G50" s="62">
        <f t="shared" si="2"/>
        <v>1740.5916</v>
      </c>
      <c r="H50" s="62">
        <f t="shared" si="2"/>
        <v>1740.5916</v>
      </c>
      <c r="I50" s="62">
        <f t="shared" si="2"/>
        <v>1740.5916</v>
      </c>
      <c r="J50" s="62">
        <f t="shared" si="2"/>
        <v>1740.5916</v>
      </c>
      <c r="K50" s="62">
        <f t="shared" si="2"/>
        <v>1740.5916</v>
      </c>
      <c r="L50" s="62">
        <f t="shared" si="2"/>
        <v>1740.5916</v>
      </c>
      <c r="M50" s="62">
        <f t="shared" si="2"/>
        <v>1740.5916</v>
      </c>
      <c r="N50" s="62">
        <f t="shared" si="2"/>
        <v>1740.5916</v>
      </c>
    </row>
    <row r="51" spans="1:15" x14ac:dyDescent="0.2">
      <c r="A51" s="61" t="s">
        <v>22</v>
      </c>
      <c r="B51" s="63">
        <f>SUM(C51:N51)</f>
        <v>1823.1264000000008</v>
      </c>
      <c r="C51" s="62">
        <f>SUM(C229)</f>
        <v>151.92720000000003</v>
      </c>
      <c r="D51" s="62">
        <f t="shared" si="2"/>
        <v>151.92720000000003</v>
      </c>
      <c r="E51" s="62">
        <f t="shared" si="2"/>
        <v>151.92720000000003</v>
      </c>
      <c r="F51" s="62">
        <f t="shared" si="2"/>
        <v>151.92720000000003</v>
      </c>
      <c r="G51" s="62">
        <f t="shared" si="2"/>
        <v>151.92720000000003</v>
      </c>
      <c r="H51" s="62">
        <f t="shared" si="2"/>
        <v>151.92720000000003</v>
      </c>
      <c r="I51" s="62">
        <f t="shared" si="2"/>
        <v>151.92720000000003</v>
      </c>
      <c r="J51" s="62">
        <f t="shared" si="2"/>
        <v>151.92720000000003</v>
      </c>
      <c r="K51" s="62">
        <f t="shared" si="2"/>
        <v>151.92720000000003</v>
      </c>
      <c r="L51" s="62">
        <f t="shared" si="2"/>
        <v>151.92720000000003</v>
      </c>
      <c r="M51" s="62">
        <f t="shared" si="2"/>
        <v>151.92720000000003</v>
      </c>
      <c r="N51" s="62">
        <f t="shared" si="2"/>
        <v>151.92720000000003</v>
      </c>
    </row>
    <row r="52" spans="1:15" s="101" customFormat="1" ht="13.5" thickBot="1" x14ac:dyDescent="0.25">
      <c r="A52" s="90" t="s">
        <v>23</v>
      </c>
      <c r="B52" s="63">
        <f>SUM(C52:N52)</f>
        <v>1206.731951448276</v>
      </c>
      <c r="C52" s="62">
        <f>SUM(C230)</f>
        <v>100.560995954023</v>
      </c>
      <c r="D52" s="62">
        <f t="shared" si="2"/>
        <v>100.560995954023</v>
      </c>
      <c r="E52" s="62">
        <f t="shared" si="2"/>
        <v>100.560995954023</v>
      </c>
      <c r="F52" s="62">
        <f t="shared" si="2"/>
        <v>100.560995954023</v>
      </c>
      <c r="G52" s="62">
        <f t="shared" si="2"/>
        <v>100.560995954023</v>
      </c>
      <c r="H52" s="62">
        <f t="shared" si="2"/>
        <v>100.560995954023</v>
      </c>
      <c r="I52" s="62">
        <f t="shared" si="2"/>
        <v>100.560995954023</v>
      </c>
      <c r="J52" s="62">
        <f t="shared" si="2"/>
        <v>100.560995954023</v>
      </c>
      <c r="K52" s="62">
        <f t="shared" si="2"/>
        <v>100.560995954023</v>
      </c>
      <c r="L52" s="62">
        <f t="shared" si="2"/>
        <v>100.560995954023</v>
      </c>
      <c r="M52" s="62">
        <f t="shared" si="2"/>
        <v>100.560995954023</v>
      </c>
      <c r="N52" s="62">
        <f t="shared" si="2"/>
        <v>100.560995954023</v>
      </c>
    </row>
    <row r="53" spans="1:15" x14ac:dyDescent="0.2">
      <c r="A53" s="64" t="s">
        <v>154</v>
      </c>
      <c r="B53" s="65">
        <f>SUM(B50:B52)</f>
        <v>23916.957551448279</v>
      </c>
      <c r="C53" s="65">
        <f t="shared" ref="C53:N53" si="3">SUM(C50:C52)</f>
        <v>1993.079795954023</v>
      </c>
      <c r="D53" s="65">
        <f t="shared" si="3"/>
        <v>1993.079795954023</v>
      </c>
      <c r="E53" s="65">
        <f t="shared" si="3"/>
        <v>1993.079795954023</v>
      </c>
      <c r="F53" s="65">
        <f t="shared" si="3"/>
        <v>1993.079795954023</v>
      </c>
      <c r="G53" s="65">
        <f t="shared" si="3"/>
        <v>1993.079795954023</v>
      </c>
      <c r="H53" s="65">
        <f t="shared" si="3"/>
        <v>1993.079795954023</v>
      </c>
      <c r="I53" s="65">
        <f t="shared" si="3"/>
        <v>1993.079795954023</v>
      </c>
      <c r="J53" s="65">
        <f t="shared" si="3"/>
        <v>1993.079795954023</v>
      </c>
      <c r="K53" s="65">
        <f t="shared" si="3"/>
        <v>1993.079795954023</v>
      </c>
      <c r="L53" s="65">
        <f t="shared" si="3"/>
        <v>1993.079795954023</v>
      </c>
      <c r="M53" s="65">
        <f t="shared" si="3"/>
        <v>1993.079795954023</v>
      </c>
      <c r="N53" s="65">
        <f t="shared" si="3"/>
        <v>1993.079795954023</v>
      </c>
      <c r="O53" s="140">
        <f>SUM(C231:N231)</f>
        <v>23916.957551448271</v>
      </c>
    </row>
    <row r="54" spans="1:15" x14ac:dyDescent="0.2">
      <c r="C54" s="60"/>
      <c r="D54" s="66"/>
      <c r="E54" s="66"/>
      <c r="F54" s="66"/>
      <c r="G54" s="66"/>
      <c r="H54" s="66"/>
      <c r="I54" s="66"/>
      <c r="J54" s="66"/>
      <c r="K54" s="66"/>
      <c r="L54" s="66"/>
      <c r="M54" s="66"/>
      <c r="N54" s="66"/>
    </row>
    <row r="55" spans="1:15" x14ac:dyDescent="0.2">
      <c r="C55" s="60"/>
      <c r="D55" s="66"/>
      <c r="E55" s="66"/>
      <c r="F55" s="66"/>
      <c r="G55" s="66"/>
      <c r="H55" s="66"/>
      <c r="I55" s="66"/>
      <c r="J55" s="66"/>
      <c r="K55" s="66"/>
      <c r="L55" s="66"/>
      <c r="M55" s="66"/>
      <c r="N55" s="66"/>
    </row>
    <row r="56" spans="1:15" x14ac:dyDescent="0.2">
      <c r="A56" s="58" t="s">
        <v>155</v>
      </c>
      <c r="C56" s="60"/>
      <c r="D56" s="66"/>
      <c r="E56" s="66"/>
      <c r="F56" s="66"/>
      <c r="G56" s="66"/>
      <c r="H56" s="66"/>
      <c r="I56" s="66"/>
      <c r="J56" s="66"/>
      <c r="K56" s="66"/>
      <c r="L56" s="66"/>
      <c r="M56" s="66"/>
      <c r="N56" s="66"/>
    </row>
    <row r="57" spans="1:15" x14ac:dyDescent="0.2">
      <c r="A57" s="61" t="str">
        <f>CMS!A57</f>
        <v>Training</v>
      </c>
      <c r="B57" s="63">
        <f>SUM(C57:N57)</f>
        <v>0</v>
      </c>
      <c r="C57" s="62"/>
      <c r="D57" s="62"/>
      <c r="E57" s="62"/>
      <c r="F57" s="62"/>
      <c r="G57" s="62"/>
      <c r="H57" s="62"/>
      <c r="I57" s="62"/>
      <c r="J57" s="62"/>
      <c r="K57" s="62"/>
      <c r="L57" s="62"/>
      <c r="M57" s="62"/>
      <c r="N57" s="62"/>
    </row>
    <row r="58" spans="1:15" x14ac:dyDescent="0.2">
      <c r="A58" s="61" t="str">
        <f>CMS!A58</f>
        <v>Travel</v>
      </c>
      <c r="B58" s="63">
        <f>SUM(C58:N58)</f>
        <v>0</v>
      </c>
      <c r="C58" s="62"/>
      <c r="D58" s="62"/>
      <c r="E58" s="62"/>
      <c r="F58" s="62"/>
      <c r="G58" s="62"/>
      <c r="H58" s="62"/>
      <c r="I58" s="62"/>
      <c r="J58" s="62"/>
      <c r="K58" s="62"/>
      <c r="L58" s="62"/>
      <c r="M58" s="62"/>
      <c r="N58" s="62"/>
    </row>
    <row r="59" spans="1:15" x14ac:dyDescent="0.2">
      <c r="A59" s="61" t="str">
        <f>CMS!A59</f>
        <v>Recognition</v>
      </c>
      <c r="B59" s="63">
        <f>SUM(C59:N59)</f>
        <v>0</v>
      </c>
      <c r="C59" s="62"/>
      <c r="D59" s="62"/>
      <c r="E59" s="62"/>
      <c r="F59" s="62"/>
      <c r="G59" s="62"/>
      <c r="H59" s="62"/>
      <c r="I59" s="62"/>
      <c r="J59" s="62"/>
      <c r="K59" s="62"/>
      <c r="L59" s="62"/>
      <c r="M59" s="62"/>
      <c r="N59" s="62"/>
    </row>
    <row r="60" spans="1:15" x14ac:dyDescent="0.2">
      <c r="A60" s="61" t="str">
        <f>CMS!A60</f>
        <v>Communications</v>
      </c>
      <c r="B60" s="63">
        <f t="shared" ref="B60:B82" si="4">SUM(C60:N60)</f>
        <v>0</v>
      </c>
      <c r="C60" s="63"/>
      <c r="D60" s="62"/>
      <c r="E60" s="62"/>
      <c r="F60" s="62"/>
      <c r="G60" s="62"/>
      <c r="H60" s="62"/>
      <c r="I60" s="62"/>
      <c r="J60" s="62"/>
      <c r="K60" s="62"/>
      <c r="L60" s="62"/>
      <c r="M60" s="62"/>
      <c r="N60" s="62"/>
    </row>
    <row r="61" spans="1:15" x14ac:dyDescent="0.2">
      <c r="A61" s="61" t="str">
        <f>CMS!A61</f>
        <v>Dues &amp; Subscriptions</v>
      </c>
      <c r="B61" s="63">
        <f t="shared" si="4"/>
        <v>0</v>
      </c>
      <c r="C61" s="63"/>
      <c r="D61" s="62"/>
      <c r="E61" s="62"/>
      <c r="F61" s="62"/>
      <c r="G61" s="62"/>
      <c r="H61" s="62"/>
      <c r="I61" s="62"/>
      <c r="J61" s="62"/>
      <c r="K61" s="62"/>
      <c r="L61" s="62"/>
      <c r="M61" s="62"/>
      <c r="N61" s="62"/>
    </row>
    <row r="62" spans="1:15" x14ac:dyDescent="0.2">
      <c r="A62" s="61" t="str">
        <f>CMS!A62</f>
        <v>Liability Insurance</v>
      </c>
      <c r="B62" s="63">
        <f t="shared" si="4"/>
        <v>461.15432354938497</v>
      </c>
      <c r="C62" s="62">
        <f>SUM('Data Links'!$B$5/'All Employees'!$I$65)/12*C102</f>
        <v>38.429526962448755</v>
      </c>
      <c r="D62" s="62">
        <f>SUM('Data Links'!$B$5/'All Employees'!$I$65)/12*D102</f>
        <v>38.429526962448755</v>
      </c>
      <c r="E62" s="62">
        <f>SUM('Data Links'!$B$5/'All Employees'!$I$65)/12*E102</f>
        <v>38.429526962448755</v>
      </c>
      <c r="F62" s="62">
        <f>SUM('Data Links'!$B$5/'All Employees'!$I$65)/12*F102</f>
        <v>38.429526962448755</v>
      </c>
      <c r="G62" s="62">
        <f>SUM('Data Links'!$B$5/'All Employees'!$I$65)/12*G102</f>
        <v>38.429526962448755</v>
      </c>
      <c r="H62" s="62">
        <f>SUM('Data Links'!$B$5/'All Employees'!$I$65)/12*H102</f>
        <v>38.429526962448755</v>
      </c>
      <c r="I62" s="62">
        <f>SUM('Data Links'!$B$5/'All Employees'!$I$65)/12*I102</f>
        <v>38.429526962448755</v>
      </c>
      <c r="J62" s="62">
        <f>SUM('Data Links'!$B$5/'All Employees'!$I$65)/12*J102</f>
        <v>38.429526962448755</v>
      </c>
      <c r="K62" s="62">
        <f>SUM('Data Links'!$B$5/'All Employees'!$I$65)/12*K102</f>
        <v>38.429526962448755</v>
      </c>
      <c r="L62" s="62">
        <f>SUM('Data Links'!$B$5/'All Employees'!$I$65)/12*L102</f>
        <v>38.429526962448755</v>
      </c>
      <c r="M62" s="62">
        <f>SUM('Data Links'!$B$5/'All Employees'!$I$65)/12*M102</f>
        <v>38.429526962448755</v>
      </c>
      <c r="N62" s="62">
        <f>SUM('Data Links'!$B$5/'All Employees'!$I$65)/12*N102</f>
        <v>38.429526962448755</v>
      </c>
    </row>
    <row r="63" spans="1:15" x14ac:dyDescent="0.2">
      <c r="A63" s="61" t="str">
        <f>CMS!A63</f>
        <v>Professional Services</v>
      </c>
      <c r="B63" s="63">
        <f t="shared" si="4"/>
        <v>0</v>
      </c>
      <c r="C63" s="63"/>
      <c r="D63" s="62"/>
      <c r="E63" s="62"/>
      <c r="F63" s="62"/>
      <c r="G63" s="62"/>
      <c r="H63" s="62"/>
      <c r="I63" s="62"/>
      <c r="J63" s="62"/>
      <c r="K63" s="62"/>
      <c r="L63" s="62"/>
      <c r="M63" s="62"/>
      <c r="N63" s="62"/>
    </row>
    <row r="64" spans="1:15" x14ac:dyDescent="0.2">
      <c r="A64" s="61" t="str">
        <f>CMS!A64</f>
        <v>Legal Fees</v>
      </c>
      <c r="B64" s="63">
        <f t="shared" si="4"/>
        <v>0</v>
      </c>
      <c r="C64" s="63"/>
      <c r="D64" s="62"/>
      <c r="E64" s="62"/>
      <c r="F64" s="62"/>
      <c r="G64" s="62"/>
      <c r="H64" s="62"/>
      <c r="I64" s="62"/>
      <c r="J64" s="62"/>
      <c r="K64" s="62"/>
      <c r="L64" s="62"/>
      <c r="M64" s="62"/>
      <c r="N64" s="62"/>
    </row>
    <row r="65" spans="1:14" x14ac:dyDescent="0.2">
      <c r="A65" s="61" t="str">
        <f>CMS!A65</f>
        <v>Technical Services</v>
      </c>
      <c r="B65" s="63">
        <f t="shared" si="4"/>
        <v>0</v>
      </c>
      <c r="C65" s="63"/>
      <c r="D65" s="62"/>
      <c r="E65" s="62"/>
      <c r="F65" s="62"/>
      <c r="G65" s="62"/>
      <c r="H65" s="62"/>
      <c r="I65" s="62"/>
      <c r="J65" s="62"/>
      <c r="K65" s="62"/>
      <c r="L65" s="62"/>
      <c r="M65" s="62"/>
      <c r="N65" s="62"/>
    </row>
    <row r="66" spans="1:14" x14ac:dyDescent="0.2">
      <c r="A66" s="61" t="str">
        <f>CMS!A66</f>
        <v>Taxes/Licenses &amp; Permits</v>
      </c>
      <c r="B66" s="63">
        <f t="shared" si="4"/>
        <v>0</v>
      </c>
      <c r="C66" s="63"/>
      <c r="D66" s="62"/>
      <c r="E66" s="62"/>
      <c r="F66" s="62"/>
      <c r="G66" s="62"/>
      <c r="H66" s="62"/>
      <c r="I66" s="62"/>
      <c r="J66" s="62"/>
      <c r="K66" s="62"/>
      <c r="L66" s="62"/>
      <c r="M66" s="62"/>
      <c r="N66" s="62"/>
    </row>
    <row r="67" spans="1:14" x14ac:dyDescent="0.2">
      <c r="A67" s="61" t="str">
        <f>CMS!A67</f>
        <v>Small Tools &amp; Equip</v>
      </c>
      <c r="B67" s="63">
        <f t="shared" si="4"/>
        <v>0</v>
      </c>
      <c r="C67" s="63"/>
      <c r="D67" s="62"/>
      <c r="E67" s="62"/>
      <c r="F67" s="62"/>
      <c r="G67" s="62"/>
      <c r="H67" s="62"/>
      <c r="I67" s="62"/>
      <c r="J67" s="62"/>
      <c r="K67" s="62"/>
      <c r="L67" s="62"/>
      <c r="M67" s="62"/>
      <c r="N67" s="62"/>
    </row>
    <row r="68" spans="1:14" x14ac:dyDescent="0.2">
      <c r="A68" s="61" t="str">
        <f>CMS!A68</f>
        <v>Office Supplies</v>
      </c>
      <c r="B68" s="63">
        <f t="shared" si="4"/>
        <v>0</v>
      </c>
      <c r="C68" s="63"/>
      <c r="D68" s="62"/>
      <c r="E68" s="62"/>
      <c r="F68" s="62"/>
      <c r="G68" s="62"/>
      <c r="H68" s="62"/>
      <c r="I68" s="62"/>
      <c r="J68" s="62"/>
      <c r="K68" s="62"/>
      <c r="L68" s="62"/>
      <c r="M68" s="62"/>
      <c r="N68" s="62"/>
    </row>
    <row r="69" spans="1:14" x14ac:dyDescent="0.2">
      <c r="A69" s="61" t="str">
        <f>CMS!A69</f>
        <v>Program Supplies</v>
      </c>
      <c r="B69" s="63">
        <f t="shared" si="4"/>
        <v>0</v>
      </c>
      <c r="C69" s="62"/>
      <c r="D69" s="62"/>
      <c r="E69" s="62"/>
      <c r="F69" s="62"/>
      <c r="G69" s="62"/>
      <c r="H69" s="62"/>
      <c r="I69" s="62"/>
      <c r="J69" s="62"/>
      <c r="K69" s="62"/>
      <c r="L69" s="62"/>
      <c r="M69" s="62"/>
      <c r="N69" s="62"/>
    </row>
    <row r="70" spans="1:14" x14ac:dyDescent="0.2">
      <c r="A70" s="61" t="str">
        <f>CMS!A70</f>
        <v>Advertising</v>
      </c>
      <c r="B70" s="63">
        <f t="shared" si="4"/>
        <v>0</v>
      </c>
      <c r="C70" s="63"/>
      <c r="D70" s="62"/>
      <c r="E70" s="62"/>
      <c r="F70" s="62"/>
      <c r="G70" s="62"/>
      <c r="H70" s="62"/>
      <c r="I70" s="62"/>
      <c r="J70" s="62"/>
      <c r="K70" s="62"/>
      <c r="L70" s="62"/>
      <c r="M70" s="62"/>
      <c r="N70" s="62"/>
    </row>
    <row r="71" spans="1:14" x14ac:dyDescent="0.2">
      <c r="A71" s="61" t="str">
        <f>CMS!A71</f>
        <v>Repairs &amp; Maintenance</v>
      </c>
      <c r="B71" s="63">
        <f t="shared" si="4"/>
        <v>0</v>
      </c>
      <c r="C71" s="63"/>
      <c r="D71" s="62"/>
      <c r="E71" s="62"/>
      <c r="F71" s="62"/>
      <c r="G71" s="62"/>
      <c r="H71" s="62"/>
      <c r="I71" s="62"/>
      <c r="J71" s="62"/>
      <c r="K71" s="62"/>
      <c r="L71" s="62"/>
      <c r="M71" s="62"/>
      <c r="N71" s="62"/>
    </row>
    <row r="72" spans="1:14" x14ac:dyDescent="0.2">
      <c r="A72" s="61" t="str">
        <f>CMS!A72</f>
        <v>Client Expense</v>
      </c>
      <c r="B72" s="63">
        <f t="shared" si="4"/>
        <v>980.00000000000023</v>
      </c>
      <c r="C72" s="62">
        <v>80</v>
      </c>
      <c r="D72" s="62">
        <v>80</v>
      </c>
      <c r="E72" s="62">
        <v>80</v>
      </c>
      <c r="F72" s="62">
        <v>80</v>
      </c>
      <c r="G72" s="62">
        <v>80</v>
      </c>
      <c r="H72" s="62">
        <v>80</v>
      </c>
      <c r="I72" s="62">
        <f t="shared" ref="I72:N72" si="5">SUM(1000/12)</f>
        <v>83.333333333333329</v>
      </c>
      <c r="J72" s="62">
        <f t="shared" si="5"/>
        <v>83.333333333333329</v>
      </c>
      <c r="K72" s="62">
        <f t="shared" si="5"/>
        <v>83.333333333333329</v>
      </c>
      <c r="L72" s="62">
        <f t="shared" si="5"/>
        <v>83.333333333333329</v>
      </c>
      <c r="M72" s="62">
        <f t="shared" si="5"/>
        <v>83.333333333333329</v>
      </c>
      <c r="N72" s="62">
        <f t="shared" si="5"/>
        <v>83.333333333333329</v>
      </c>
    </row>
    <row r="73" spans="1:14" x14ac:dyDescent="0.2">
      <c r="A73" s="61" t="str">
        <f>CMS!A73</f>
        <v>Printing</v>
      </c>
      <c r="B73" s="63">
        <f t="shared" si="4"/>
        <v>0</v>
      </c>
      <c r="C73" s="63"/>
      <c r="D73" s="62"/>
      <c r="E73" s="62"/>
      <c r="F73" s="62"/>
      <c r="G73" s="62"/>
      <c r="H73" s="62"/>
      <c r="I73" s="62"/>
      <c r="J73" s="62"/>
      <c r="K73" s="62"/>
      <c r="L73" s="62"/>
      <c r="M73" s="62"/>
      <c r="N73" s="62"/>
    </row>
    <row r="74" spans="1:14" x14ac:dyDescent="0.2">
      <c r="A74" s="61" t="str">
        <f>CMS!A74</f>
        <v>Postage</v>
      </c>
      <c r="B74" s="63">
        <f t="shared" si="4"/>
        <v>0</v>
      </c>
      <c r="C74" s="63"/>
      <c r="D74" s="62"/>
      <c r="E74" s="62"/>
      <c r="F74" s="62"/>
      <c r="G74" s="62"/>
      <c r="H74" s="62"/>
      <c r="I74" s="62"/>
      <c r="J74" s="62"/>
      <c r="K74" s="62"/>
      <c r="L74" s="62"/>
      <c r="M74" s="62"/>
      <c r="N74" s="62"/>
    </row>
    <row r="75" spans="1:14" ht="15.75" customHeight="1" x14ac:dyDescent="0.2">
      <c r="A75" s="61" t="str">
        <f>CMS!A75</f>
        <v>Rent/Lease Expense</v>
      </c>
      <c r="B75" s="63">
        <f t="shared" si="4"/>
        <v>36026</v>
      </c>
      <c r="C75" s="62">
        <v>400</v>
      </c>
      <c r="D75" s="62">
        <v>539</v>
      </c>
      <c r="E75" s="62">
        <v>2100</v>
      </c>
      <c r="F75" s="62">
        <f>37761/9</f>
        <v>4195.666666666667</v>
      </c>
      <c r="G75" s="62">
        <f>37761/9</f>
        <v>4195.666666666667</v>
      </c>
      <c r="H75" s="62">
        <f>37761/9</f>
        <v>4195.666666666667</v>
      </c>
      <c r="I75" s="62">
        <f t="shared" ref="I75:N75" si="6">SUM(40800/12)</f>
        <v>3400</v>
      </c>
      <c r="J75" s="62">
        <f t="shared" si="6"/>
        <v>3400</v>
      </c>
      <c r="K75" s="62">
        <f t="shared" si="6"/>
        <v>3400</v>
      </c>
      <c r="L75" s="62">
        <f t="shared" si="6"/>
        <v>3400</v>
      </c>
      <c r="M75" s="62">
        <f t="shared" si="6"/>
        <v>3400</v>
      </c>
      <c r="N75" s="62">
        <f t="shared" si="6"/>
        <v>3400</v>
      </c>
    </row>
    <row r="76" spans="1:14" x14ac:dyDescent="0.2">
      <c r="A76" s="61" t="str">
        <f>CMS!A76</f>
        <v>Utilities</v>
      </c>
      <c r="B76" s="63">
        <f t="shared" si="4"/>
        <v>0</v>
      </c>
      <c r="C76" s="63"/>
      <c r="D76" s="62"/>
      <c r="E76" s="62"/>
      <c r="F76" s="62"/>
      <c r="G76" s="62"/>
      <c r="H76" s="62"/>
      <c r="I76" s="62"/>
      <c r="J76" s="62"/>
      <c r="K76" s="62"/>
      <c r="L76" s="62"/>
      <c r="M76" s="62"/>
      <c r="N76" s="62"/>
    </row>
    <row r="77" spans="1:14" x14ac:dyDescent="0.2">
      <c r="A77" s="61" t="str">
        <f>CMS!A77</f>
        <v>Bank Fees/Late Fees</v>
      </c>
      <c r="B77" s="63">
        <f t="shared" si="4"/>
        <v>0</v>
      </c>
      <c r="C77" s="63"/>
      <c r="D77" s="62"/>
      <c r="E77" s="62"/>
      <c r="F77" s="62"/>
      <c r="G77" s="62"/>
      <c r="H77" s="62"/>
      <c r="I77" s="62"/>
      <c r="J77" s="62"/>
      <c r="K77" s="62"/>
      <c r="L77" s="62"/>
      <c r="M77" s="62"/>
      <c r="N77" s="62"/>
    </row>
    <row r="78" spans="1:14" x14ac:dyDescent="0.2">
      <c r="A78" s="61" t="str">
        <f>CMS!A78</f>
        <v>Bad Debt Expense</v>
      </c>
      <c r="B78" s="63">
        <f t="shared" si="4"/>
        <v>0</v>
      </c>
      <c r="C78" s="62"/>
      <c r="D78" s="62"/>
      <c r="E78" s="62"/>
      <c r="F78" s="62"/>
      <c r="G78" s="62"/>
      <c r="H78" s="62"/>
      <c r="I78" s="62"/>
      <c r="J78" s="62"/>
      <c r="K78" s="62"/>
      <c r="L78" s="62"/>
      <c r="M78" s="62"/>
      <c r="N78" s="62"/>
    </row>
    <row r="79" spans="1:14" x14ac:dyDescent="0.2">
      <c r="A79" s="61" t="str">
        <f>CMS!A79</f>
        <v>Interest Expense</v>
      </c>
      <c r="B79" s="63">
        <f t="shared" si="4"/>
        <v>0</v>
      </c>
      <c r="C79" s="62"/>
      <c r="D79" s="62"/>
      <c r="E79" s="62"/>
      <c r="F79" s="62"/>
      <c r="G79" s="62"/>
      <c r="H79" s="62"/>
      <c r="I79" s="62"/>
      <c r="J79" s="62"/>
      <c r="K79" s="62"/>
      <c r="L79" s="62"/>
      <c r="M79" s="62"/>
      <c r="N79" s="62"/>
    </row>
    <row r="80" spans="1:14" x14ac:dyDescent="0.2">
      <c r="A80" s="61" t="str">
        <f>CMS!A80</f>
        <v>Meeting Expense</v>
      </c>
      <c r="B80" s="63">
        <f t="shared" si="4"/>
        <v>0</v>
      </c>
      <c r="C80" s="63"/>
      <c r="D80" s="62"/>
      <c r="E80" s="62"/>
      <c r="F80" s="62"/>
      <c r="G80" s="62"/>
      <c r="H80" s="62"/>
      <c r="I80" s="62"/>
      <c r="J80" s="62"/>
      <c r="K80" s="62"/>
      <c r="L80" s="62"/>
      <c r="M80" s="62"/>
      <c r="N80" s="62"/>
    </row>
    <row r="81" spans="1:14" x14ac:dyDescent="0.2">
      <c r="A81" s="61" t="str">
        <f>CMS!A81</f>
        <v>In Kind Expense</v>
      </c>
      <c r="B81" s="63">
        <f t="shared" si="4"/>
        <v>0</v>
      </c>
      <c r="C81" s="63"/>
      <c r="D81" s="62"/>
      <c r="E81" s="62"/>
      <c r="F81" s="62"/>
      <c r="G81" s="62"/>
      <c r="H81" s="62"/>
      <c r="I81" s="62"/>
      <c r="J81" s="62"/>
      <c r="K81" s="62"/>
      <c r="L81" s="62"/>
      <c r="M81" s="62"/>
      <c r="N81" s="62"/>
    </row>
    <row r="82" spans="1:14" s="101" customFormat="1" ht="13.5" thickBot="1" x14ac:dyDescent="0.25">
      <c r="A82" s="61" t="str">
        <f>CMS!A82</f>
        <v>Misc Expense</v>
      </c>
      <c r="B82" s="63">
        <f t="shared" si="4"/>
        <v>0</v>
      </c>
      <c r="C82" s="63"/>
      <c r="D82" s="93"/>
      <c r="E82" s="93"/>
      <c r="F82" s="93"/>
      <c r="G82" s="93"/>
      <c r="H82" s="93"/>
      <c r="I82" s="93"/>
      <c r="J82" s="93"/>
      <c r="K82" s="93"/>
      <c r="L82" s="93"/>
      <c r="M82" s="93"/>
      <c r="N82" s="93"/>
    </row>
    <row r="83" spans="1:14" x14ac:dyDescent="0.2">
      <c r="A83" s="64" t="s">
        <v>24</v>
      </c>
      <c r="B83" s="65">
        <f>SUM(B57:B82)</f>
        <v>37467.154323549388</v>
      </c>
      <c r="C83" s="65">
        <f t="shared" ref="C83:N83" si="7">SUM(C57:C82)</f>
        <v>518.42952696244879</v>
      </c>
      <c r="D83" s="65">
        <f t="shared" si="7"/>
        <v>657.42952696244879</v>
      </c>
      <c r="E83" s="65">
        <f t="shared" si="7"/>
        <v>2218.4295269624486</v>
      </c>
      <c r="F83" s="65">
        <f t="shared" si="7"/>
        <v>4314.096193629116</v>
      </c>
      <c r="G83" s="65">
        <f t="shared" si="7"/>
        <v>4314.096193629116</v>
      </c>
      <c r="H83" s="65">
        <f t="shared" si="7"/>
        <v>4314.096193629116</v>
      </c>
      <c r="I83" s="65">
        <f t="shared" si="7"/>
        <v>3521.762860295782</v>
      </c>
      <c r="J83" s="65">
        <f t="shared" si="7"/>
        <v>3521.762860295782</v>
      </c>
      <c r="K83" s="65">
        <f t="shared" si="7"/>
        <v>3521.762860295782</v>
      </c>
      <c r="L83" s="65">
        <f t="shared" si="7"/>
        <v>3521.762860295782</v>
      </c>
      <c r="M83" s="65">
        <f t="shared" si="7"/>
        <v>3521.762860295782</v>
      </c>
      <c r="N83" s="65">
        <f t="shared" si="7"/>
        <v>3521.762860295782</v>
      </c>
    </row>
    <row r="84" spans="1:14" x14ac:dyDescent="0.2">
      <c r="C84" s="60"/>
      <c r="D84" s="66"/>
      <c r="E84" s="66"/>
      <c r="F84" s="66"/>
      <c r="G84" s="66"/>
      <c r="H84" s="66"/>
      <c r="I84" s="66"/>
      <c r="J84" s="66"/>
      <c r="K84" s="66"/>
      <c r="L84" s="66"/>
      <c r="M84" s="66"/>
      <c r="N84" s="66"/>
    </row>
    <row r="85" spans="1:14" x14ac:dyDescent="0.2">
      <c r="A85" s="28"/>
      <c r="B85" s="86"/>
      <c r="C85" s="86"/>
      <c r="D85" s="86"/>
      <c r="E85" s="86"/>
      <c r="F85" s="86"/>
      <c r="G85" s="86"/>
      <c r="H85" s="86"/>
      <c r="I85" s="86"/>
      <c r="J85" s="86"/>
      <c r="K85" s="86"/>
      <c r="L85" s="86"/>
      <c r="M85" s="86"/>
      <c r="N85" s="86"/>
    </row>
    <row r="86" spans="1:14" x14ac:dyDescent="0.2">
      <c r="A86" s="58" t="s">
        <v>25</v>
      </c>
      <c r="C86" s="60"/>
      <c r="D86" s="66"/>
      <c r="E86" s="66"/>
      <c r="F86" s="66"/>
      <c r="G86" s="66"/>
      <c r="H86" s="66"/>
      <c r="I86" s="66"/>
      <c r="J86" s="66"/>
      <c r="K86" s="66"/>
      <c r="L86" s="66"/>
      <c r="M86" s="66"/>
      <c r="N86" s="66"/>
    </row>
    <row r="87" spans="1:14" x14ac:dyDescent="0.2">
      <c r="A87" s="61" t="s">
        <v>329</v>
      </c>
      <c r="B87" s="63">
        <f>SUM(C87:N87)</f>
        <v>-2524.517462136037</v>
      </c>
      <c r="C87" s="62">
        <f>SUM('CMS &amp; Fundraising Allocations'!B62)</f>
        <v>-356.53674793853918</v>
      </c>
      <c r="D87" s="62">
        <f>SUM('CMS &amp; Fundraising Allocations'!C62)</f>
        <v>-614.61754871453843</v>
      </c>
      <c r="E87" s="62">
        <f>SUM('CMS &amp; Fundraising Allocations'!D62)</f>
        <v>-920.86670487812091</v>
      </c>
      <c r="F87" s="62">
        <f>SUM('CMS &amp; Fundraising Allocations'!E62)</f>
        <v>-615.29029110821978</v>
      </c>
      <c r="G87" s="62">
        <f>SUM('CMS &amp; Fundraising Allocations'!F62)</f>
        <v>-584.32732243903672</v>
      </c>
      <c r="H87" s="62">
        <f>SUM('CMS &amp; Fundraising Allocations'!G62)</f>
        <v>-698.71034792470437</v>
      </c>
      <c r="I87" s="62">
        <f>SUM('CMS &amp; Fundraising Allocations'!H62)</f>
        <v>-160.51643297964222</v>
      </c>
      <c r="J87" s="62">
        <f>SUM('CMS &amp; Fundraising Allocations'!I62)</f>
        <v>-589.38970895148861</v>
      </c>
      <c r="K87" s="62">
        <f>SUM('CMS &amp; Fundraising Allocations'!J62)</f>
        <v>-603.08001666290363</v>
      </c>
      <c r="L87" s="62">
        <f>SUM('CMS &amp; Fundraising Allocations'!K62)</f>
        <v>-532.03841989015552</v>
      </c>
      <c r="M87" s="62">
        <f>SUM('CMS &amp; Fundraising Allocations'!L62)</f>
        <v>515.87558818740649</v>
      </c>
      <c r="N87" s="62">
        <f>SUM('CMS &amp; Fundraising Allocations'!M62)</f>
        <v>2634.9804911639053</v>
      </c>
    </row>
    <row r="88" spans="1:14" x14ac:dyDescent="0.2">
      <c r="A88" s="61" t="s">
        <v>330</v>
      </c>
      <c r="B88" s="63">
        <f>SUM(C88:N88)</f>
        <v>0</v>
      </c>
      <c r="C88" s="63"/>
      <c r="D88" s="62"/>
      <c r="E88" s="62"/>
      <c r="F88" s="62"/>
      <c r="G88" s="62"/>
      <c r="H88" s="62"/>
      <c r="I88" s="62"/>
      <c r="J88" s="62"/>
      <c r="K88" s="62"/>
      <c r="L88" s="62"/>
      <c r="M88" s="62"/>
      <c r="N88" s="62"/>
    </row>
    <row r="89" spans="1:14" ht="13.5" thickBot="1" x14ac:dyDescent="0.25">
      <c r="A89" s="61"/>
      <c r="B89" s="63">
        <f>SUM(C89:N89)</f>
        <v>0</v>
      </c>
      <c r="C89" s="63"/>
      <c r="D89" s="62"/>
      <c r="E89" s="62"/>
      <c r="F89" s="62"/>
      <c r="G89" s="62"/>
      <c r="H89" s="62"/>
      <c r="I89" s="62"/>
      <c r="J89" s="62"/>
      <c r="K89" s="62"/>
      <c r="L89" s="62"/>
      <c r="M89" s="62"/>
      <c r="N89" s="62"/>
    </row>
    <row r="90" spans="1:14" x14ac:dyDescent="0.2">
      <c r="A90" s="64" t="s">
        <v>26</v>
      </c>
      <c r="B90" s="65">
        <f t="shared" ref="B90:N90" si="8">SUM(B87:B89)</f>
        <v>-2524.517462136037</v>
      </c>
      <c r="C90" s="65">
        <f t="shared" si="8"/>
        <v>-356.53674793853918</v>
      </c>
      <c r="D90" s="65">
        <f t="shared" si="8"/>
        <v>-614.61754871453843</v>
      </c>
      <c r="E90" s="65">
        <f t="shared" si="8"/>
        <v>-920.86670487812091</v>
      </c>
      <c r="F90" s="65">
        <f t="shared" si="8"/>
        <v>-615.29029110821978</v>
      </c>
      <c r="G90" s="65">
        <f t="shared" si="8"/>
        <v>-584.32732243903672</v>
      </c>
      <c r="H90" s="65">
        <f t="shared" si="8"/>
        <v>-698.71034792470437</v>
      </c>
      <c r="I90" s="65">
        <f t="shared" si="8"/>
        <v>-160.51643297964222</v>
      </c>
      <c r="J90" s="65">
        <f t="shared" si="8"/>
        <v>-589.38970895148861</v>
      </c>
      <c r="K90" s="65">
        <f t="shared" si="8"/>
        <v>-603.08001666290363</v>
      </c>
      <c r="L90" s="65">
        <f t="shared" si="8"/>
        <v>-532.03841989015552</v>
      </c>
      <c r="M90" s="65">
        <f t="shared" si="8"/>
        <v>515.87558818740649</v>
      </c>
      <c r="N90" s="65">
        <f t="shared" si="8"/>
        <v>2634.9804911639053</v>
      </c>
    </row>
    <row r="91" spans="1:14" x14ac:dyDescent="0.2">
      <c r="C91" s="60"/>
      <c r="D91" s="66"/>
      <c r="E91" s="66"/>
      <c r="F91" s="66"/>
      <c r="G91" s="66"/>
      <c r="H91" s="66"/>
      <c r="I91" s="66"/>
      <c r="J91" s="66"/>
      <c r="K91" s="66"/>
      <c r="L91" s="66"/>
      <c r="M91" s="66"/>
      <c r="N91" s="66"/>
    </row>
    <row r="92" spans="1:14" x14ac:dyDescent="0.2">
      <c r="A92" s="265" t="s">
        <v>405</v>
      </c>
      <c r="B92" s="266"/>
      <c r="C92" s="266">
        <f>SUM(C46-C53-C83-C90)</f>
        <v>-151.9725749779326</v>
      </c>
      <c r="D92" s="266">
        <f t="shared" ref="D92:N92" si="9">SUM(D46-D53-D83-D90)</f>
        <v>75.108225798066655</v>
      </c>
      <c r="E92" s="266">
        <f t="shared" si="9"/>
        <v>3115.357381961649</v>
      </c>
      <c r="F92" s="266">
        <f t="shared" si="9"/>
        <v>-3.4106051316484809E-13</v>
      </c>
      <c r="G92" s="266">
        <f t="shared" si="9"/>
        <v>-1.1368683772161603E-13</v>
      </c>
      <c r="H92" s="266">
        <f t="shared" si="9"/>
        <v>0</v>
      </c>
      <c r="I92" s="266">
        <f t="shared" si="9"/>
        <v>987.7428314171126</v>
      </c>
      <c r="J92" s="266">
        <f t="shared" si="9"/>
        <v>1316.1303860350163</v>
      </c>
      <c r="K92" s="266">
        <f t="shared" si="9"/>
        <v>1329.8206937464315</v>
      </c>
      <c r="L92" s="266">
        <f t="shared" si="9"/>
        <v>1258.7790969736834</v>
      </c>
      <c r="M92" s="266">
        <f t="shared" si="9"/>
        <v>210.86508889612128</v>
      </c>
      <c r="N92" s="267">
        <f t="shared" si="9"/>
        <v>-1908.2398140803775</v>
      </c>
    </row>
    <row r="93" spans="1:14" x14ac:dyDescent="0.2">
      <c r="C93" s="60"/>
      <c r="D93" s="66"/>
      <c r="E93" s="66"/>
      <c r="F93" s="66"/>
      <c r="G93" s="66"/>
      <c r="H93" s="66"/>
      <c r="I93" s="66"/>
      <c r="J93" s="66"/>
      <c r="K93" s="66"/>
      <c r="L93" s="66"/>
      <c r="M93" s="66"/>
      <c r="N93" s="66"/>
    </row>
    <row r="94" spans="1:14" x14ac:dyDescent="0.2">
      <c r="B94" s="86" t="str">
        <f>B5</f>
        <v>Total</v>
      </c>
      <c r="C94" s="86"/>
      <c r="D94" s="66"/>
      <c r="E94" s="66"/>
      <c r="F94" s="66"/>
      <c r="G94" s="66"/>
      <c r="H94" s="66"/>
      <c r="I94" s="66"/>
      <c r="J94" s="66"/>
      <c r="K94" s="66"/>
      <c r="L94" s="66"/>
      <c r="M94" s="66"/>
      <c r="N94" s="66"/>
    </row>
    <row r="95" spans="1:14" x14ac:dyDescent="0.2">
      <c r="A95" s="58" t="s">
        <v>31</v>
      </c>
      <c r="B95" s="60">
        <f>SUM(B46)</f>
        <v>65093.185728631412</v>
      </c>
      <c r="C95" s="81"/>
      <c r="D95" s="66"/>
      <c r="E95" s="66"/>
      <c r="F95" s="66"/>
      <c r="G95" s="66"/>
      <c r="H95" s="66"/>
      <c r="I95" s="66"/>
      <c r="J95" s="66"/>
      <c r="K95" s="66"/>
      <c r="L95" s="66"/>
      <c r="M95" s="66"/>
      <c r="N95" s="66"/>
    </row>
    <row r="96" spans="1:14" x14ac:dyDescent="0.2">
      <c r="A96" s="58" t="s">
        <v>32</v>
      </c>
      <c r="B96" s="60">
        <f>-B53</f>
        <v>-23916.957551448279</v>
      </c>
      <c r="C96" s="81"/>
      <c r="D96" s="66"/>
      <c r="E96" s="66"/>
      <c r="F96" s="66"/>
      <c r="G96" s="66"/>
      <c r="H96" s="66"/>
      <c r="I96" s="66"/>
      <c r="J96" s="66"/>
      <c r="K96" s="66"/>
      <c r="L96" s="66"/>
      <c r="M96" s="66"/>
      <c r="N96" s="66"/>
    </row>
    <row r="97" spans="1:14" x14ac:dyDescent="0.2">
      <c r="A97" s="58" t="s">
        <v>33</v>
      </c>
      <c r="B97" s="60">
        <f>SUM(-B83)</f>
        <v>-37467.154323549388</v>
      </c>
      <c r="C97" s="81"/>
      <c r="D97" s="66"/>
      <c r="E97" s="66"/>
      <c r="F97" s="66"/>
      <c r="G97" s="66"/>
      <c r="H97" s="66"/>
      <c r="I97" s="66"/>
      <c r="J97" s="66"/>
      <c r="K97" s="66"/>
      <c r="L97" s="66"/>
      <c r="M97" s="66"/>
      <c r="N97" s="66"/>
    </row>
    <row r="98" spans="1:14" x14ac:dyDescent="0.2">
      <c r="A98" s="58" t="s">
        <v>182</v>
      </c>
      <c r="B98" s="60">
        <f>SUM(B90)</f>
        <v>-2524.517462136037</v>
      </c>
      <c r="C98" s="81"/>
      <c r="D98" s="66"/>
      <c r="E98" s="66"/>
      <c r="F98" s="66"/>
      <c r="G98" s="66"/>
      <c r="H98" s="66"/>
      <c r="I98" s="66"/>
      <c r="J98" s="66"/>
      <c r="K98" s="66"/>
      <c r="L98" s="66"/>
      <c r="M98" s="66"/>
      <c r="N98" s="66"/>
    </row>
    <row r="99" spans="1:14" x14ac:dyDescent="0.2">
      <c r="A99" s="87" t="s">
        <v>35</v>
      </c>
      <c r="B99" s="88">
        <f>SUM(B95:B98)</f>
        <v>1184.5563914977079</v>
      </c>
      <c r="C99" s="81"/>
      <c r="D99" s="66"/>
      <c r="E99" s="73"/>
      <c r="F99" s="66"/>
      <c r="G99" s="81"/>
      <c r="H99" s="81"/>
      <c r="I99" s="66"/>
      <c r="J99" s="66"/>
      <c r="K99" s="66"/>
      <c r="L99" s="66"/>
      <c r="M99" s="66"/>
      <c r="N99" s="66"/>
    </row>
    <row r="100" spans="1:14" x14ac:dyDescent="0.2">
      <c r="C100" s="81"/>
      <c r="D100" s="66"/>
      <c r="E100" s="66"/>
      <c r="F100" s="66"/>
      <c r="G100" s="66"/>
      <c r="H100" s="66"/>
      <c r="I100" s="66"/>
      <c r="J100" s="66"/>
      <c r="K100" s="66"/>
      <c r="L100" s="66"/>
      <c r="M100" s="66"/>
      <c r="N100" s="66"/>
    </row>
    <row r="101" spans="1:14" x14ac:dyDescent="0.2">
      <c r="C101" s="60"/>
      <c r="D101" s="66"/>
      <c r="E101" s="66"/>
      <c r="F101" s="66"/>
      <c r="G101" s="66"/>
      <c r="H101" s="66"/>
      <c r="I101" s="66"/>
      <c r="J101" s="66"/>
      <c r="K101" s="66"/>
      <c r="L101" s="66"/>
      <c r="M101" s="66"/>
      <c r="N101" s="66"/>
    </row>
    <row r="102" spans="1:14" x14ac:dyDescent="0.2">
      <c r="A102" s="58"/>
      <c r="B102" s="60" t="s">
        <v>183</v>
      </c>
      <c r="C102" s="75">
        <f>SUM(C108+C121+C134+C147+C160+C173+C186+C199+C212)</f>
        <v>0.61482758620689659</v>
      </c>
      <c r="D102" s="75">
        <f t="shared" ref="D102:N102" si="10">SUM(D108+D121+D134+D147+D160+D173+D186+D199+D212)</f>
        <v>0.61482758620689659</v>
      </c>
      <c r="E102" s="75">
        <f t="shared" si="10"/>
        <v>0.61482758620689659</v>
      </c>
      <c r="F102" s="75">
        <f t="shared" si="10"/>
        <v>0.61482758620689659</v>
      </c>
      <c r="G102" s="75">
        <f t="shared" si="10"/>
        <v>0.61482758620689659</v>
      </c>
      <c r="H102" s="75">
        <f t="shared" si="10"/>
        <v>0.61482758620689659</v>
      </c>
      <c r="I102" s="75">
        <f t="shared" si="10"/>
        <v>0.61482758620689659</v>
      </c>
      <c r="J102" s="75">
        <f t="shared" si="10"/>
        <v>0.61482758620689659</v>
      </c>
      <c r="K102" s="75">
        <f t="shared" si="10"/>
        <v>0.61482758620689659</v>
      </c>
      <c r="L102" s="75">
        <f t="shared" si="10"/>
        <v>0.61482758620689659</v>
      </c>
      <c r="M102" s="75">
        <f t="shared" si="10"/>
        <v>0.61482758620689659</v>
      </c>
      <c r="N102" s="75">
        <f t="shared" si="10"/>
        <v>0.61482758620689659</v>
      </c>
    </row>
    <row r="103" spans="1:14" x14ac:dyDescent="0.2">
      <c r="A103" s="58"/>
      <c r="C103" s="73"/>
      <c r="D103" s="66"/>
      <c r="E103" s="66"/>
      <c r="F103" s="66"/>
      <c r="G103" s="66"/>
      <c r="H103" s="66"/>
      <c r="I103" s="66"/>
      <c r="J103" s="66"/>
      <c r="K103" s="66"/>
      <c r="L103" s="66"/>
      <c r="M103" s="66"/>
    </row>
    <row r="104" spans="1:14" x14ac:dyDescent="0.2">
      <c r="A104" s="116" t="s">
        <v>184</v>
      </c>
      <c r="B104" s="92"/>
      <c r="C104" s="25"/>
      <c r="D104" s="91"/>
      <c r="E104" s="91"/>
      <c r="F104" s="91"/>
      <c r="G104" s="91"/>
      <c r="H104" s="91"/>
      <c r="I104" s="91"/>
      <c r="J104" s="91"/>
      <c r="K104" s="91"/>
      <c r="L104" s="91"/>
      <c r="M104" s="91"/>
      <c r="N104" s="27"/>
    </row>
    <row r="105" spans="1:14" x14ac:dyDescent="0.2">
      <c r="C105" s="89" t="str">
        <f t="shared" ref="C105:N105" si="11">C5</f>
        <v>January</v>
      </c>
      <c r="D105" s="89" t="str">
        <f t="shared" si="11"/>
        <v>February</v>
      </c>
      <c r="E105" s="89" t="str">
        <f t="shared" si="11"/>
        <v>March</v>
      </c>
      <c r="F105" s="89" t="str">
        <f t="shared" si="11"/>
        <v>April</v>
      </c>
      <c r="G105" s="89" t="str">
        <f t="shared" si="11"/>
        <v>May</v>
      </c>
      <c r="H105" s="89" t="str">
        <f t="shared" si="11"/>
        <v>June</v>
      </c>
      <c r="I105" s="89" t="str">
        <f t="shared" si="11"/>
        <v>July</v>
      </c>
      <c r="J105" s="89" t="str">
        <f t="shared" si="11"/>
        <v>August</v>
      </c>
      <c r="K105" s="89" t="str">
        <f t="shared" si="11"/>
        <v>September</v>
      </c>
      <c r="L105" s="89" t="str">
        <f t="shared" si="11"/>
        <v>October</v>
      </c>
      <c r="M105" s="89" t="str">
        <f t="shared" si="11"/>
        <v>November</v>
      </c>
      <c r="N105" s="89" t="str">
        <f t="shared" si="11"/>
        <v>December</v>
      </c>
    </row>
    <row r="106" spans="1:14" x14ac:dyDescent="0.2">
      <c r="C106" s="72">
        <v>30</v>
      </c>
      <c r="D106" s="72">
        <v>31</v>
      </c>
      <c r="E106" s="72">
        <v>30</v>
      </c>
      <c r="F106" s="72">
        <v>31</v>
      </c>
      <c r="G106" s="72">
        <v>31</v>
      </c>
      <c r="H106" s="72">
        <v>30</v>
      </c>
      <c r="I106" s="72">
        <v>31</v>
      </c>
      <c r="J106" s="72">
        <v>30</v>
      </c>
      <c r="K106" s="72">
        <v>31</v>
      </c>
      <c r="L106" s="72">
        <v>31</v>
      </c>
      <c r="M106" s="72">
        <v>28</v>
      </c>
      <c r="N106" s="71">
        <v>31</v>
      </c>
    </row>
    <row r="107" spans="1:14" x14ac:dyDescent="0.2">
      <c r="B107" s="89" t="s">
        <v>185</v>
      </c>
      <c r="C107" s="78">
        <f>C94</f>
        <v>0</v>
      </c>
      <c r="D107" s="53">
        <v>1</v>
      </c>
      <c r="E107" s="53"/>
      <c r="F107" s="53">
        <v>1</v>
      </c>
      <c r="G107" s="53"/>
      <c r="H107" s="53">
        <v>1</v>
      </c>
      <c r="I107" s="53">
        <v>1</v>
      </c>
      <c r="J107" s="53">
        <v>1</v>
      </c>
      <c r="K107" s="53">
        <v>1</v>
      </c>
      <c r="L107" s="53">
        <v>2</v>
      </c>
      <c r="M107" s="53">
        <v>1</v>
      </c>
      <c r="N107" s="59"/>
    </row>
    <row r="108" spans="1:14" x14ac:dyDescent="0.2">
      <c r="B108" s="89" t="s">
        <v>44</v>
      </c>
      <c r="C108" s="49">
        <f>SUM('Program Support Allocations'!$C$39)</f>
        <v>3.1609195402298854E-2</v>
      </c>
      <c r="D108" s="49">
        <f>SUM('Program Support Allocations'!$C$39)</f>
        <v>3.1609195402298854E-2</v>
      </c>
      <c r="E108" s="49">
        <f>SUM('Program Support Allocations'!$C$39)</f>
        <v>3.1609195402298854E-2</v>
      </c>
      <c r="F108" s="49">
        <f>SUM('Program Support Allocations'!$C$39)</f>
        <v>3.1609195402298854E-2</v>
      </c>
      <c r="G108" s="49">
        <f>SUM('Program Support Allocations'!$C$39)</f>
        <v>3.1609195402298854E-2</v>
      </c>
      <c r="H108" s="49">
        <f>SUM('Program Support Allocations'!$C$39)</f>
        <v>3.1609195402298854E-2</v>
      </c>
      <c r="I108" s="49">
        <f>SUM('Program Support Allocations'!$C$39)</f>
        <v>3.1609195402298854E-2</v>
      </c>
      <c r="J108" s="49">
        <f>SUM('Program Support Allocations'!$C$39)</f>
        <v>3.1609195402298854E-2</v>
      </c>
      <c r="K108" s="49">
        <f>SUM('Program Support Allocations'!$C$39)</f>
        <v>3.1609195402298854E-2</v>
      </c>
      <c r="L108" s="49">
        <f>SUM('Program Support Allocations'!$C$39)</f>
        <v>3.1609195402298854E-2</v>
      </c>
      <c r="M108" s="49">
        <f>SUM('Program Support Allocations'!$C$39)</f>
        <v>3.1609195402298854E-2</v>
      </c>
      <c r="N108" s="49">
        <f>SUM('Program Support Allocations'!$C$39)</f>
        <v>3.1609195402298854E-2</v>
      </c>
    </row>
    <row r="109" spans="1:14" x14ac:dyDescent="0.2">
      <c r="B109" s="89" t="s">
        <v>186</v>
      </c>
      <c r="C109" s="53">
        <f>SUM(174*C108)</f>
        <v>5.5000000000000009</v>
      </c>
      <c r="D109" s="53">
        <f t="shared" ref="D109:N109" si="12">SUM(174*D108)</f>
        <v>5.5000000000000009</v>
      </c>
      <c r="E109" s="53">
        <f t="shared" si="12"/>
        <v>5.5000000000000009</v>
      </c>
      <c r="F109" s="53">
        <f t="shared" si="12"/>
        <v>5.5000000000000009</v>
      </c>
      <c r="G109" s="53">
        <f t="shared" si="12"/>
        <v>5.5000000000000009</v>
      </c>
      <c r="H109" s="53">
        <f t="shared" si="12"/>
        <v>5.5000000000000009</v>
      </c>
      <c r="I109" s="53">
        <f t="shared" si="12"/>
        <v>5.5000000000000009</v>
      </c>
      <c r="J109" s="53">
        <f t="shared" si="12"/>
        <v>5.5000000000000009</v>
      </c>
      <c r="K109" s="53">
        <f t="shared" si="12"/>
        <v>5.5000000000000009</v>
      </c>
      <c r="L109" s="53">
        <f t="shared" si="12"/>
        <v>5.5000000000000009</v>
      </c>
      <c r="M109" s="53">
        <f t="shared" si="12"/>
        <v>5.5000000000000009</v>
      </c>
      <c r="N109" s="53">
        <f t="shared" si="12"/>
        <v>5.5000000000000009</v>
      </c>
    </row>
    <row r="110" spans="1:14" x14ac:dyDescent="0.2">
      <c r="A110" s="59" t="s">
        <v>623</v>
      </c>
      <c r="B110" s="78" t="s">
        <v>187</v>
      </c>
      <c r="C110" s="66">
        <f>SUM(C109*$B$111)</f>
        <v>156.91500000000002</v>
      </c>
      <c r="D110" s="66">
        <f t="shared" ref="D110:N110" si="13">SUM(D109*$B$111)</f>
        <v>156.91500000000002</v>
      </c>
      <c r="E110" s="66">
        <f t="shared" si="13"/>
        <v>156.91500000000002</v>
      </c>
      <c r="F110" s="66">
        <f t="shared" si="13"/>
        <v>156.91500000000002</v>
      </c>
      <c r="G110" s="66">
        <f t="shared" si="13"/>
        <v>156.91500000000002</v>
      </c>
      <c r="H110" s="66">
        <f t="shared" si="13"/>
        <v>156.91500000000002</v>
      </c>
      <c r="I110" s="66">
        <f t="shared" si="13"/>
        <v>156.91500000000002</v>
      </c>
      <c r="J110" s="66">
        <f t="shared" si="13"/>
        <v>156.91500000000002</v>
      </c>
      <c r="K110" s="66">
        <f t="shared" si="13"/>
        <v>156.91500000000002</v>
      </c>
      <c r="L110" s="66">
        <f t="shared" si="13"/>
        <v>156.91500000000002</v>
      </c>
      <c r="M110" s="66">
        <f t="shared" si="13"/>
        <v>156.91500000000002</v>
      </c>
      <c r="N110" s="66">
        <f t="shared" si="13"/>
        <v>156.91500000000002</v>
      </c>
    </row>
    <row r="111" spans="1:14" x14ac:dyDescent="0.2">
      <c r="A111" s="59" t="s">
        <v>188</v>
      </c>
      <c r="B111" s="74">
        <v>28.53</v>
      </c>
      <c r="C111" s="66">
        <f>SUM(C110)*'Data Links'!$B$15</f>
        <v>12.003997500000001</v>
      </c>
      <c r="D111" s="66">
        <f>SUM(D110)*'Data Links'!$B$15</f>
        <v>12.003997500000001</v>
      </c>
      <c r="E111" s="66">
        <f>SUM(E110)*'Data Links'!$B$15</f>
        <v>12.003997500000001</v>
      </c>
      <c r="F111" s="66">
        <f>SUM(F110)*'Data Links'!$B$15</f>
        <v>12.003997500000001</v>
      </c>
      <c r="G111" s="66">
        <f>SUM(G110)*'Data Links'!$B$15</f>
        <v>12.003997500000001</v>
      </c>
      <c r="H111" s="66">
        <f>SUM(H110)*'Data Links'!$B$15</f>
        <v>12.003997500000001</v>
      </c>
      <c r="I111" s="66">
        <f>SUM(I110)*'Data Links'!$B$15</f>
        <v>12.003997500000001</v>
      </c>
      <c r="J111" s="66">
        <f>SUM(J110)*'Data Links'!$B$15</f>
        <v>12.003997500000001</v>
      </c>
      <c r="K111" s="66">
        <f>SUM(K110)*'Data Links'!$B$15</f>
        <v>12.003997500000001</v>
      </c>
      <c r="L111" s="66">
        <f>SUM(L110)*'Data Links'!$B$15</f>
        <v>12.003997500000001</v>
      </c>
      <c r="M111" s="66">
        <f>SUM(M110)*'Data Links'!$B$15</f>
        <v>12.003997500000001</v>
      </c>
      <c r="N111" s="66">
        <f>SUM(N110)*'Data Links'!$B$15</f>
        <v>12.003997500000001</v>
      </c>
    </row>
    <row r="112" spans="1:14" x14ac:dyDescent="0.2">
      <c r="A112" s="59" t="s">
        <v>189</v>
      </c>
      <c r="C112" s="66">
        <f>SUM(C110*'Data Links'!$B$13)</f>
        <v>0.94149000000000016</v>
      </c>
      <c r="D112" s="66">
        <f>SUM(D110*'Data Links'!$B$13)</f>
        <v>0.94149000000000016</v>
      </c>
      <c r="E112" s="66">
        <f>SUM(E110*'Data Links'!$B$13)</f>
        <v>0.94149000000000016</v>
      </c>
      <c r="F112" s="66">
        <f>SUM(F110*'Data Links'!$B$13)</f>
        <v>0.94149000000000016</v>
      </c>
      <c r="G112" s="66">
        <f>SUM(G110*'Data Links'!$B$13)</f>
        <v>0.94149000000000016</v>
      </c>
      <c r="H112" s="66">
        <f>SUM(H110*'Data Links'!$B$13)</f>
        <v>0.94149000000000016</v>
      </c>
      <c r="I112" s="66">
        <f>SUM(I110*'Data Links'!$B$13)</f>
        <v>0.94149000000000016</v>
      </c>
      <c r="J112" s="66">
        <f>SUM(J110*'Data Links'!$B$13)</f>
        <v>0.94149000000000016</v>
      </c>
      <c r="K112" s="66">
        <f>SUM(K110*'Data Links'!$B$13)</f>
        <v>0.94149000000000016</v>
      </c>
      <c r="L112" s="66">
        <f>SUM(L110*'Data Links'!$B$13)</f>
        <v>0.94149000000000016</v>
      </c>
      <c r="M112" s="66">
        <f>SUM(M110*'Data Links'!$B$13)</f>
        <v>0.94149000000000016</v>
      </c>
      <c r="N112" s="66">
        <f>SUM(N110*'Data Links'!$B$13)</f>
        <v>0.94149000000000016</v>
      </c>
    </row>
    <row r="113" spans="1:15" x14ac:dyDescent="0.2">
      <c r="A113" s="59" t="s">
        <v>190</v>
      </c>
      <c r="C113" s="66">
        <f>SUM(C109*'Data Links'!$B$8)</f>
        <v>0.42817500000000008</v>
      </c>
      <c r="D113" s="66">
        <f>SUM(D109*'Data Links'!$B$8)</f>
        <v>0.42817500000000008</v>
      </c>
      <c r="E113" s="66">
        <f>SUM(E109*'Data Links'!$B$8)</f>
        <v>0.42817500000000008</v>
      </c>
      <c r="F113" s="66">
        <f>SUM(F109*'Data Links'!$B$8)</f>
        <v>0.42817500000000008</v>
      </c>
      <c r="G113" s="66">
        <f>SUM(G109*'Data Links'!$B$8)</f>
        <v>0.42817500000000008</v>
      </c>
      <c r="H113" s="66">
        <f>SUM(H109*'Data Links'!$B$8)</f>
        <v>0.42817500000000008</v>
      </c>
      <c r="I113" s="66">
        <f>SUM(I109*'Data Links'!$B$8)</f>
        <v>0.42817500000000008</v>
      </c>
      <c r="J113" s="66">
        <f>SUM(J109*'Data Links'!$B$8)</f>
        <v>0.42817500000000008</v>
      </c>
      <c r="K113" s="66">
        <f>SUM(K109*'Data Links'!$B$8)</f>
        <v>0.42817500000000008</v>
      </c>
      <c r="L113" s="66">
        <f>SUM(L109*'Data Links'!$B$8)</f>
        <v>0.42817500000000008</v>
      </c>
      <c r="M113" s="66">
        <f>SUM(M109*'Data Links'!$B$8)</f>
        <v>0.42817500000000008</v>
      </c>
      <c r="N113" s="66">
        <f>SUM(N109*'Data Links'!$B$8)</f>
        <v>0.42817500000000008</v>
      </c>
    </row>
    <row r="114" spans="1:15" x14ac:dyDescent="0.2">
      <c r="A114" s="59" t="s">
        <v>191</v>
      </c>
      <c r="C114" s="66">
        <f>SUM('All Employees'!$P$51)*C108</f>
        <v>13.465517241379311</v>
      </c>
      <c r="D114" s="66">
        <f>SUM('All Employees'!$P$51)*D108</f>
        <v>13.465517241379311</v>
      </c>
      <c r="E114" s="66">
        <f>SUM('All Employees'!$P$51)*E108</f>
        <v>13.465517241379311</v>
      </c>
      <c r="F114" s="66">
        <f>SUM('All Employees'!$P$51)*F108</f>
        <v>13.465517241379311</v>
      </c>
      <c r="G114" s="66">
        <f>SUM('All Employees'!$P$51)*G108</f>
        <v>13.465517241379311</v>
      </c>
      <c r="H114" s="66">
        <f>SUM('All Employees'!$P$51)*H108</f>
        <v>13.465517241379311</v>
      </c>
      <c r="I114" s="66">
        <f>SUM('All Employees'!$P$51)*I108</f>
        <v>13.465517241379311</v>
      </c>
      <c r="J114" s="66">
        <f>SUM('All Employees'!$P$51)*J108</f>
        <v>13.465517241379311</v>
      </c>
      <c r="K114" s="66">
        <f>SUM('All Employees'!$P$51)*K108</f>
        <v>13.465517241379311</v>
      </c>
      <c r="L114" s="66">
        <f>SUM('All Employees'!$P$51)*L108</f>
        <v>13.465517241379311</v>
      </c>
      <c r="M114" s="66">
        <f>SUM('All Employees'!$P$51)*M108</f>
        <v>13.465517241379311</v>
      </c>
      <c r="N114" s="66">
        <f>SUM('All Employees'!$P$51)*N108</f>
        <v>13.465517241379311</v>
      </c>
    </row>
    <row r="115" spans="1:15" x14ac:dyDescent="0.2">
      <c r="A115" s="59" t="s">
        <v>192</v>
      </c>
      <c r="C115" s="66">
        <f>SUM(C110*'Data Links'!$B$17)</f>
        <v>4.7074500000000006</v>
      </c>
      <c r="D115" s="66">
        <f>SUM(D110*'Data Links'!$B$17)</f>
        <v>4.7074500000000006</v>
      </c>
      <c r="E115" s="66">
        <f>SUM(E110*'Data Links'!$B$17)</f>
        <v>4.7074500000000006</v>
      </c>
      <c r="F115" s="66">
        <f>SUM(F110*'Data Links'!$B$17)</f>
        <v>4.7074500000000006</v>
      </c>
      <c r="G115" s="66">
        <f>SUM(G110*'Data Links'!$B$17)</f>
        <v>4.7074500000000006</v>
      </c>
      <c r="H115" s="66">
        <f>SUM(H110*'Data Links'!$B$17)</f>
        <v>4.7074500000000006</v>
      </c>
      <c r="I115" s="66">
        <f>SUM(I110*'Data Links'!$B$17)</f>
        <v>4.7074500000000006</v>
      </c>
      <c r="J115" s="66">
        <f>SUM(J110*'Data Links'!$B$17)</f>
        <v>4.7074500000000006</v>
      </c>
      <c r="K115" s="66">
        <f>SUM(K110*'Data Links'!$B$17)</f>
        <v>4.7074500000000006</v>
      </c>
      <c r="L115" s="66">
        <f>SUM(L110*'Data Links'!$B$17)</f>
        <v>4.7074500000000006</v>
      </c>
      <c r="M115" s="66">
        <f>SUM(M110*'Data Links'!$B$17)</f>
        <v>4.7074500000000006</v>
      </c>
      <c r="N115" s="66">
        <f>SUM(N110*'Data Links'!$B$17)</f>
        <v>4.7074500000000006</v>
      </c>
    </row>
    <row r="116" spans="1:15" s="58" customFormat="1" x14ac:dyDescent="0.2">
      <c r="A116" s="58" t="s">
        <v>144</v>
      </c>
      <c r="B116" s="60"/>
      <c r="C116" s="60">
        <f t="shared" ref="C116:N116" si="14">SUM(C110:C115)</f>
        <v>188.46162974137931</v>
      </c>
      <c r="D116" s="60">
        <f t="shared" si="14"/>
        <v>188.46162974137931</v>
      </c>
      <c r="E116" s="60">
        <f t="shared" si="14"/>
        <v>188.46162974137931</v>
      </c>
      <c r="F116" s="60">
        <f t="shared" si="14"/>
        <v>188.46162974137931</v>
      </c>
      <c r="G116" s="60">
        <f t="shared" si="14"/>
        <v>188.46162974137931</v>
      </c>
      <c r="H116" s="60">
        <f t="shared" si="14"/>
        <v>188.46162974137931</v>
      </c>
      <c r="I116" s="60">
        <f t="shared" si="14"/>
        <v>188.46162974137931</v>
      </c>
      <c r="J116" s="60">
        <f t="shared" si="14"/>
        <v>188.46162974137931</v>
      </c>
      <c r="K116" s="60">
        <f t="shared" si="14"/>
        <v>188.46162974137931</v>
      </c>
      <c r="L116" s="60">
        <f t="shared" si="14"/>
        <v>188.46162974137931</v>
      </c>
      <c r="M116" s="60">
        <f t="shared" si="14"/>
        <v>188.46162974137931</v>
      </c>
      <c r="N116" s="60">
        <f t="shared" si="14"/>
        <v>188.46162974137931</v>
      </c>
      <c r="O116" s="60">
        <f>SUM(C116:N116)</f>
        <v>2261.5395568965519</v>
      </c>
    </row>
    <row r="117" spans="1:15" x14ac:dyDescent="0.2">
      <c r="C117" s="60"/>
      <c r="D117" s="66"/>
      <c r="E117" s="66"/>
      <c r="F117" s="66"/>
      <c r="G117" s="66"/>
      <c r="H117" s="66"/>
      <c r="I117" s="66"/>
      <c r="J117" s="66"/>
      <c r="K117" s="66"/>
      <c r="L117" s="66"/>
      <c r="M117" s="66"/>
      <c r="N117" s="66"/>
    </row>
    <row r="118" spans="1:15" x14ac:dyDescent="0.2">
      <c r="C118" s="89" t="str">
        <f>C105</f>
        <v>January</v>
      </c>
      <c r="D118" s="89" t="str">
        <f t="shared" ref="D118:N120" si="15">D105</f>
        <v>February</v>
      </c>
      <c r="E118" s="89" t="str">
        <f t="shared" si="15"/>
        <v>March</v>
      </c>
      <c r="F118" s="89" t="str">
        <f t="shared" si="15"/>
        <v>April</v>
      </c>
      <c r="G118" s="89" t="str">
        <f t="shared" si="15"/>
        <v>May</v>
      </c>
      <c r="H118" s="89" t="str">
        <f t="shared" si="15"/>
        <v>June</v>
      </c>
      <c r="I118" s="89" t="str">
        <f t="shared" si="15"/>
        <v>July</v>
      </c>
      <c r="J118" s="89" t="str">
        <f t="shared" si="15"/>
        <v>August</v>
      </c>
      <c r="K118" s="89" t="str">
        <f t="shared" si="15"/>
        <v>September</v>
      </c>
      <c r="L118" s="89" t="str">
        <f t="shared" si="15"/>
        <v>October</v>
      </c>
      <c r="M118" s="89" t="str">
        <f t="shared" si="15"/>
        <v>November</v>
      </c>
      <c r="N118" s="89" t="str">
        <f t="shared" si="15"/>
        <v>December</v>
      </c>
    </row>
    <row r="119" spans="1:15" x14ac:dyDescent="0.2">
      <c r="C119" s="72">
        <f>C106</f>
        <v>30</v>
      </c>
      <c r="D119" s="72">
        <f t="shared" si="15"/>
        <v>31</v>
      </c>
      <c r="E119" s="72">
        <f t="shared" si="15"/>
        <v>30</v>
      </c>
      <c r="F119" s="72">
        <f t="shared" si="15"/>
        <v>31</v>
      </c>
      <c r="G119" s="72">
        <f t="shared" si="15"/>
        <v>31</v>
      </c>
      <c r="H119" s="72">
        <f t="shared" si="15"/>
        <v>30</v>
      </c>
      <c r="I119" s="72">
        <f t="shared" si="15"/>
        <v>31</v>
      </c>
      <c r="J119" s="72">
        <f t="shared" si="15"/>
        <v>30</v>
      </c>
      <c r="K119" s="72">
        <f t="shared" si="15"/>
        <v>31</v>
      </c>
      <c r="L119" s="72">
        <f t="shared" si="15"/>
        <v>31</v>
      </c>
      <c r="M119" s="72">
        <f t="shared" si="15"/>
        <v>28</v>
      </c>
      <c r="N119" s="72">
        <f t="shared" si="15"/>
        <v>31</v>
      </c>
    </row>
    <row r="120" spans="1:15" x14ac:dyDescent="0.2">
      <c r="B120" s="89" t="s">
        <v>185</v>
      </c>
      <c r="C120" s="53">
        <f>C107</f>
        <v>0</v>
      </c>
      <c r="D120" s="53">
        <f t="shared" si="15"/>
        <v>1</v>
      </c>
      <c r="E120" s="53">
        <f t="shared" si="15"/>
        <v>0</v>
      </c>
      <c r="F120" s="53">
        <f t="shared" si="15"/>
        <v>1</v>
      </c>
      <c r="G120" s="53">
        <f t="shared" si="15"/>
        <v>0</v>
      </c>
      <c r="H120" s="53">
        <f t="shared" si="15"/>
        <v>1</v>
      </c>
      <c r="I120" s="53">
        <f t="shared" si="15"/>
        <v>1</v>
      </c>
      <c r="J120" s="53">
        <f t="shared" si="15"/>
        <v>1</v>
      </c>
      <c r="K120" s="53">
        <f t="shared" si="15"/>
        <v>1</v>
      </c>
      <c r="L120" s="53">
        <f t="shared" si="15"/>
        <v>2</v>
      </c>
      <c r="M120" s="53">
        <f t="shared" si="15"/>
        <v>1</v>
      </c>
      <c r="N120" s="53">
        <f t="shared" si="15"/>
        <v>0</v>
      </c>
    </row>
    <row r="121" spans="1:15" x14ac:dyDescent="0.2">
      <c r="B121" s="89" t="s">
        <v>44</v>
      </c>
      <c r="C121" s="49">
        <v>0.02</v>
      </c>
      <c r="D121" s="49">
        <v>0.02</v>
      </c>
      <c r="E121" s="49">
        <v>0.02</v>
      </c>
      <c r="F121" s="49">
        <v>0.02</v>
      </c>
      <c r="G121" s="49">
        <v>0.02</v>
      </c>
      <c r="H121" s="49">
        <v>0.02</v>
      </c>
      <c r="I121" s="49">
        <v>0.02</v>
      </c>
      <c r="J121" s="49">
        <v>0.02</v>
      </c>
      <c r="K121" s="49">
        <v>0.02</v>
      </c>
      <c r="L121" s="49">
        <v>0.02</v>
      </c>
      <c r="M121" s="49">
        <v>0.02</v>
      </c>
      <c r="N121" s="49">
        <v>0.02</v>
      </c>
    </row>
    <row r="122" spans="1:15" x14ac:dyDescent="0.2">
      <c r="B122" s="89" t="s">
        <v>186</v>
      </c>
      <c r="C122" s="53">
        <f>SUM(174*C121)</f>
        <v>3.48</v>
      </c>
      <c r="D122" s="53">
        <f t="shared" ref="D122:N122" si="16">SUM(174*D121)</f>
        <v>3.48</v>
      </c>
      <c r="E122" s="53">
        <f t="shared" si="16"/>
        <v>3.48</v>
      </c>
      <c r="F122" s="53">
        <f t="shared" si="16"/>
        <v>3.48</v>
      </c>
      <c r="G122" s="53">
        <f t="shared" si="16"/>
        <v>3.48</v>
      </c>
      <c r="H122" s="53">
        <f t="shared" si="16"/>
        <v>3.48</v>
      </c>
      <c r="I122" s="53">
        <f t="shared" si="16"/>
        <v>3.48</v>
      </c>
      <c r="J122" s="53">
        <f t="shared" si="16"/>
        <v>3.48</v>
      </c>
      <c r="K122" s="53">
        <f t="shared" si="16"/>
        <v>3.48</v>
      </c>
      <c r="L122" s="53">
        <f t="shared" si="16"/>
        <v>3.48</v>
      </c>
      <c r="M122" s="53">
        <f t="shared" si="16"/>
        <v>3.48</v>
      </c>
      <c r="N122" s="53">
        <f t="shared" si="16"/>
        <v>3.48</v>
      </c>
    </row>
    <row r="123" spans="1:15" x14ac:dyDescent="0.2">
      <c r="A123" s="59" t="s">
        <v>390</v>
      </c>
      <c r="B123" s="78" t="s">
        <v>391</v>
      </c>
      <c r="C123" s="66">
        <f>SUM(C122*$B$124)</f>
        <v>78.021600000000007</v>
      </c>
      <c r="D123" s="66">
        <f t="shared" ref="D123:N123" si="17">SUM(D122*$B$124)</f>
        <v>78.021600000000007</v>
      </c>
      <c r="E123" s="66">
        <f t="shared" si="17"/>
        <v>78.021600000000007</v>
      </c>
      <c r="F123" s="66">
        <f t="shared" si="17"/>
        <v>78.021600000000007</v>
      </c>
      <c r="G123" s="66">
        <f t="shared" si="17"/>
        <v>78.021600000000007</v>
      </c>
      <c r="H123" s="66">
        <f t="shared" si="17"/>
        <v>78.021600000000007</v>
      </c>
      <c r="I123" s="66">
        <f t="shared" si="17"/>
        <v>78.021600000000007</v>
      </c>
      <c r="J123" s="66">
        <f t="shared" si="17"/>
        <v>78.021600000000007</v>
      </c>
      <c r="K123" s="66">
        <f t="shared" si="17"/>
        <v>78.021600000000007</v>
      </c>
      <c r="L123" s="66">
        <f t="shared" si="17"/>
        <v>78.021600000000007</v>
      </c>
      <c r="M123" s="66">
        <f t="shared" si="17"/>
        <v>78.021600000000007</v>
      </c>
      <c r="N123" s="66">
        <f t="shared" si="17"/>
        <v>78.021600000000007</v>
      </c>
    </row>
    <row r="124" spans="1:15" x14ac:dyDescent="0.2">
      <c r="A124" s="59" t="s">
        <v>188</v>
      </c>
      <c r="B124" s="74">
        <v>22.42</v>
      </c>
      <c r="C124" s="66">
        <f>SUM(C123)*'Data Links'!$B$15</f>
        <v>5.9686524000000007</v>
      </c>
      <c r="D124" s="66">
        <f>SUM(D123)*'Data Links'!$B$15</f>
        <v>5.9686524000000007</v>
      </c>
      <c r="E124" s="66">
        <f>SUM(E123)*'Data Links'!$B$15</f>
        <v>5.9686524000000007</v>
      </c>
      <c r="F124" s="66">
        <f>SUM(F123)*'Data Links'!$B$15</f>
        <v>5.9686524000000007</v>
      </c>
      <c r="G124" s="66">
        <f>SUM(G123)*'Data Links'!$B$15</f>
        <v>5.9686524000000007</v>
      </c>
      <c r="H124" s="66">
        <f>SUM(H123)*'Data Links'!$B$15</f>
        <v>5.9686524000000007</v>
      </c>
      <c r="I124" s="66">
        <f>SUM(I123)*'Data Links'!$B$15</f>
        <v>5.9686524000000007</v>
      </c>
      <c r="J124" s="66">
        <f>SUM(J123)*'Data Links'!$B$15</f>
        <v>5.9686524000000007</v>
      </c>
      <c r="K124" s="66">
        <f>SUM(K123)*'Data Links'!$B$15</f>
        <v>5.9686524000000007</v>
      </c>
      <c r="L124" s="66">
        <f>SUM(L123)*'Data Links'!$B$15</f>
        <v>5.9686524000000007</v>
      </c>
      <c r="M124" s="66">
        <f>SUM(M123)*'Data Links'!$B$15</f>
        <v>5.9686524000000007</v>
      </c>
      <c r="N124" s="66">
        <f>SUM(N123)*'Data Links'!$B$15</f>
        <v>5.9686524000000007</v>
      </c>
    </row>
    <row r="125" spans="1:15" x14ac:dyDescent="0.2">
      <c r="A125" s="59" t="s">
        <v>189</v>
      </c>
      <c r="C125" s="66">
        <f>SUM(C123*'Data Links'!$B$13)</f>
        <v>0.46812960000000003</v>
      </c>
      <c r="D125" s="66">
        <f>SUM(D123*'Data Links'!$B$13)</f>
        <v>0.46812960000000003</v>
      </c>
      <c r="E125" s="66">
        <f>SUM(E123*'Data Links'!$B$13)</f>
        <v>0.46812960000000003</v>
      </c>
      <c r="F125" s="66">
        <f>SUM(F123*'Data Links'!$B$13)</f>
        <v>0.46812960000000003</v>
      </c>
      <c r="G125" s="66">
        <f>SUM(G123*'Data Links'!$B$13)</f>
        <v>0.46812960000000003</v>
      </c>
      <c r="H125" s="66">
        <f>SUM(H123*'Data Links'!$B$13)</f>
        <v>0.46812960000000003</v>
      </c>
      <c r="I125" s="66">
        <f>SUM(I123*'Data Links'!$B$13)</f>
        <v>0.46812960000000003</v>
      </c>
      <c r="J125" s="66">
        <f>SUM(J123*'Data Links'!$B$13)</f>
        <v>0.46812960000000003</v>
      </c>
      <c r="K125" s="66">
        <f>SUM(K123*'Data Links'!$B$13)</f>
        <v>0.46812960000000003</v>
      </c>
      <c r="L125" s="66">
        <f>SUM(L123*'Data Links'!$B$13)</f>
        <v>0.46812960000000003</v>
      </c>
      <c r="M125" s="66">
        <f>SUM(M123*'Data Links'!$B$13)</f>
        <v>0.46812960000000003</v>
      </c>
      <c r="N125" s="66">
        <f>SUM(N123*'Data Links'!$B$13)</f>
        <v>0.46812960000000003</v>
      </c>
    </row>
    <row r="126" spans="1:15" x14ac:dyDescent="0.2">
      <c r="A126" s="59" t="s">
        <v>190</v>
      </c>
      <c r="C126" s="66">
        <f>SUM(C122*'Data Links'!$B$8)</f>
        <v>0.27091799999999999</v>
      </c>
      <c r="D126" s="66">
        <f>SUM(D122*'Data Links'!$B$8)</f>
        <v>0.27091799999999999</v>
      </c>
      <c r="E126" s="66">
        <f>SUM(E122*'Data Links'!$B$8)</f>
        <v>0.27091799999999999</v>
      </c>
      <c r="F126" s="66">
        <f>SUM(F122*'Data Links'!$B$8)</f>
        <v>0.27091799999999999</v>
      </c>
      <c r="G126" s="66">
        <f>SUM(G122*'Data Links'!$B$8)</f>
        <v>0.27091799999999999</v>
      </c>
      <c r="H126" s="66">
        <f>SUM(H122*'Data Links'!$B$8)</f>
        <v>0.27091799999999999</v>
      </c>
      <c r="I126" s="66">
        <f>SUM(I122*'Data Links'!$B$8)</f>
        <v>0.27091799999999999</v>
      </c>
      <c r="J126" s="66">
        <f>SUM(J122*'Data Links'!$B$8)</f>
        <v>0.27091799999999999</v>
      </c>
      <c r="K126" s="66">
        <f>SUM(K122*'Data Links'!$B$8)</f>
        <v>0.27091799999999999</v>
      </c>
      <c r="L126" s="66">
        <f>SUM(L122*'Data Links'!$B$8)</f>
        <v>0.27091799999999999</v>
      </c>
      <c r="M126" s="66">
        <f>SUM(M122*'Data Links'!$B$8)</f>
        <v>0.27091799999999999</v>
      </c>
      <c r="N126" s="66">
        <f>SUM(N122*'Data Links'!$B$8)</f>
        <v>0.27091799999999999</v>
      </c>
    </row>
    <row r="127" spans="1:15" x14ac:dyDescent="0.2">
      <c r="A127" s="59" t="s">
        <v>191</v>
      </c>
      <c r="C127" s="66">
        <f>SUM('All Employees'!$P$45)*C121</f>
        <v>7.932156</v>
      </c>
      <c r="D127" s="66">
        <f>SUM('All Employees'!$P$45)*D121</f>
        <v>7.932156</v>
      </c>
      <c r="E127" s="66">
        <f>SUM('All Employees'!$P$45)*E121</f>
        <v>7.932156</v>
      </c>
      <c r="F127" s="66">
        <f>SUM('All Employees'!$P$45)*F121</f>
        <v>7.932156</v>
      </c>
      <c r="G127" s="66">
        <f>SUM('All Employees'!$P$45)*G121</f>
        <v>7.932156</v>
      </c>
      <c r="H127" s="66">
        <f>SUM('All Employees'!$P$45)*H121</f>
        <v>7.932156</v>
      </c>
      <c r="I127" s="66">
        <f>SUM('All Employees'!$P$45)*I121</f>
        <v>7.932156</v>
      </c>
      <c r="J127" s="66">
        <f>SUM('All Employees'!$P$45)*J121</f>
        <v>7.932156</v>
      </c>
      <c r="K127" s="66">
        <f>SUM('All Employees'!$P$45)*K121</f>
        <v>7.932156</v>
      </c>
      <c r="L127" s="66">
        <f>SUM('All Employees'!$P$45)*L121</f>
        <v>7.932156</v>
      </c>
      <c r="M127" s="66">
        <f>SUM('All Employees'!$P$45)*M121</f>
        <v>7.932156</v>
      </c>
      <c r="N127" s="66">
        <f>SUM('All Employees'!$P$45)*N121</f>
        <v>7.932156</v>
      </c>
    </row>
    <row r="128" spans="1:15" x14ac:dyDescent="0.2">
      <c r="A128" s="59" t="s">
        <v>192</v>
      </c>
      <c r="C128" s="66">
        <f>SUM(C123*'Data Links'!$B$17)</f>
        <v>2.3406480000000003</v>
      </c>
      <c r="D128" s="66">
        <f>SUM(D123*'Data Links'!$B$17)</f>
        <v>2.3406480000000003</v>
      </c>
      <c r="E128" s="66">
        <f>SUM(E123*'Data Links'!$B$17)</f>
        <v>2.3406480000000003</v>
      </c>
      <c r="F128" s="66">
        <f>SUM(F123*'Data Links'!$B$17)</f>
        <v>2.3406480000000003</v>
      </c>
      <c r="G128" s="66">
        <f>SUM(G123*'Data Links'!$B$17)</f>
        <v>2.3406480000000003</v>
      </c>
      <c r="H128" s="66">
        <f>SUM(H123*'Data Links'!$B$17)</f>
        <v>2.3406480000000003</v>
      </c>
      <c r="I128" s="66">
        <f>SUM(I123*'Data Links'!$B$17)</f>
        <v>2.3406480000000003</v>
      </c>
      <c r="J128" s="66">
        <f>SUM(J123*'Data Links'!$B$17)</f>
        <v>2.3406480000000003</v>
      </c>
      <c r="K128" s="66">
        <f>SUM(K123*'Data Links'!$B$17)</f>
        <v>2.3406480000000003</v>
      </c>
      <c r="L128" s="66">
        <f>SUM(L123*'Data Links'!$B$17)</f>
        <v>2.3406480000000003</v>
      </c>
      <c r="M128" s="66">
        <f>SUM(M123*'Data Links'!$B$17)</f>
        <v>2.3406480000000003</v>
      </c>
      <c r="N128" s="66">
        <f>SUM(N123*'Data Links'!$B$17)</f>
        <v>2.3406480000000003</v>
      </c>
    </row>
    <row r="129" spans="1:15" s="58" customFormat="1" x14ac:dyDescent="0.2">
      <c r="A129" s="58" t="s">
        <v>144</v>
      </c>
      <c r="B129" s="60"/>
      <c r="C129" s="60">
        <f t="shared" ref="C129:N129" si="18">SUM(C123:C128)</f>
        <v>95.002104000000003</v>
      </c>
      <c r="D129" s="60">
        <f t="shared" si="18"/>
        <v>95.002104000000003</v>
      </c>
      <c r="E129" s="60">
        <f t="shared" si="18"/>
        <v>95.002104000000003</v>
      </c>
      <c r="F129" s="60">
        <f t="shared" si="18"/>
        <v>95.002104000000003</v>
      </c>
      <c r="G129" s="60">
        <f t="shared" si="18"/>
        <v>95.002104000000003</v>
      </c>
      <c r="H129" s="60">
        <f t="shared" si="18"/>
        <v>95.002104000000003</v>
      </c>
      <c r="I129" s="60">
        <f t="shared" si="18"/>
        <v>95.002104000000003</v>
      </c>
      <c r="J129" s="60">
        <f t="shared" si="18"/>
        <v>95.002104000000003</v>
      </c>
      <c r="K129" s="60">
        <f t="shared" si="18"/>
        <v>95.002104000000003</v>
      </c>
      <c r="L129" s="60">
        <f t="shared" si="18"/>
        <v>95.002104000000003</v>
      </c>
      <c r="M129" s="60">
        <f t="shared" si="18"/>
        <v>95.002104000000003</v>
      </c>
      <c r="N129" s="60">
        <f t="shared" si="18"/>
        <v>95.002104000000003</v>
      </c>
      <c r="O129" s="60">
        <f>SUM(C129:N129)</f>
        <v>1140.0252480000001</v>
      </c>
    </row>
    <row r="130" spans="1:15" x14ac:dyDescent="0.2">
      <c r="C130" s="60"/>
      <c r="D130" s="66"/>
      <c r="E130" s="66"/>
      <c r="F130" s="66"/>
      <c r="G130" s="66"/>
      <c r="H130" s="66"/>
      <c r="I130" s="66"/>
      <c r="J130" s="66"/>
      <c r="K130" s="66"/>
      <c r="L130" s="66"/>
      <c r="M130" s="66"/>
      <c r="N130" s="66"/>
    </row>
    <row r="131" spans="1:15" hidden="1" x14ac:dyDescent="0.2">
      <c r="C131" s="89" t="str">
        <f>C118</f>
        <v>January</v>
      </c>
      <c r="D131" s="89" t="str">
        <f t="shared" ref="D131:N131" si="19">D118</f>
        <v>February</v>
      </c>
      <c r="E131" s="89" t="str">
        <f t="shared" si="19"/>
        <v>March</v>
      </c>
      <c r="F131" s="89" t="str">
        <f t="shared" si="19"/>
        <v>April</v>
      </c>
      <c r="G131" s="89" t="str">
        <f t="shared" si="19"/>
        <v>May</v>
      </c>
      <c r="H131" s="89" t="str">
        <f t="shared" si="19"/>
        <v>June</v>
      </c>
      <c r="I131" s="89" t="str">
        <f t="shared" si="19"/>
        <v>July</v>
      </c>
      <c r="J131" s="89" t="str">
        <f t="shared" si="19"/>
        <v>August</v>
      </c>
      <c r="K131" s="89" t="str">
        <f t="shared" si="19"/>
        <v>September</v>
      </c>
      <c r="L131" s="89" t="str">
        <f t="shared" si="19"/>
        <v>October</v>
      </c>
      <c r="M131" s="89" t="str">
        <f t="shared" si="19"/>
        <v>November</v>
      </c>
      <c r="N131" s="89" t="str">
        <f t="shared" si="19"/>
        <v>December</v>
      </c>
    </row>
    <row r="132" spans="1:15" hidden="1" x14ac:dyDescent="0.2">
      <c r="C132" s="89">
        <f t="shared" ref="C132:N133" si="20">C119</f>
        <v>30</v>
      </c>
      <c r="D132" s="89">
        <f t="shared" si="20"/>
        <v>31</v>
      </c>
      <c r="E132" s="89">
        <f t="shared" si="20"/>
        <v>30</v>
      </c>
      <c r="F132" s="89">
        <f t="shared" si="20"/>
        <v>31</v>
      </c>
      <c r="G132" s="89">
        <f t="shared" si="20"/>
        <v>31</v>
      </c>
      <c r="H132" s="89">
        <f t="shared" si="20"/>
        <v>30</v>
      </c>
      <c r="I132" s="89">
        <f t="shared" si="20"/>
        <v>31</v>
      </c>
      <c r="J132" s="89">
        <f t="shared" si="20"/>
        <v>30</v>
      </c>
      <c r="K132" s="89">
        <f t="shared" si="20"/>
        <v>31</v>
      </c>
      <c r="L132" s="89">
        <f t="shared" si="20"/>
        <v>31</v>
      </c>
      <c r="M132" s="89">
        <f t="shared" si="20"/>
        <v>28</v>
      </c>
      <c r="N132" s="89">
        <f t="shared" si="20"/>
        <v>31</v>
      </c>
    </row>
    <row r="133" spans="1:15" hidden="1" x14ac:dyDescent="0.2">
      <c r="B133" s="89" t="s">
        <v>185</v>
      </c>
      <c r="C133" s="53">
        <f>C120</f>
        <v>0</v>
      </c>
      <c r="D133" s="78">
        <f t="shared" si="20"/>
        <v>1</v>
      </c>
      <c r="E133" s="78">
        <f t="shared" si="20"/>
        <v>0</v>
      </c>
      <c r="F133" s="78">
        <f t="shared" si="20"/>
        <v>1</v>
      </c>
      <c r="G133" s="78">
        <f t="shared" si="20"/>
        <v>0</v>
      </c>
      <c r="H133" s="78">
        <f t="shared" si="20"/>
        <v>1</v>
      </c>
      <c r="I133" s="78">
        <f t="shared" si="20"/>
        <v>1</v>
      </c>
      <c r="J133" s="78">
        <f t="shared" si="20"/>
        <v>1</v>
      </c>
      <c r="K133" s="78">
        <f t="shared" si="20"/>
        <v>1</v>
      </c>
      <c r="L133" s="78">
        <f t="shared" si="20"/>
        <v>2</v>
      </c>
      <c r="M133" s="78">
        <f t="shared" si="20"/>
        <v>1</v>
      </c>
      <c r="N133" s="78">
        <f t="shared" si="20"/>
        <v>0</v>
      </c>
    </row>
    <row r="134" spans="1:15" hidden="1" x14ac:dyDescent="0.2">
      <c r="B134" s="89" t="s">
        <v>44</v>
      </c>
      <c r="C134" s="49"/>
      <c r="D134" s="49"/>
      <c r="E134" s="49"/>
      <c r="F134" s="49"/>
      <c r="G134" s="49"/>
      <c r="H134" s="49"/>
      <c r="I134" s="49"/>
      <c r="J134" s="49"/>
      <c r="K134" s="49"/>
      <c r="L134" s="49"/>
      <c r="M134" s="49"/>
      <c r="N134" s="49"/>
    </row>
    <row r="135" spans="1:15" hidden="1" x14ac:dyDescent="0.2">
      <c r="B135" s="89" t="s">
        <v>186</v>
      </c>
      <c r="C135" s="53">
        <f>SUM(174*C134)</f>
        <v>0</v>
      </c>
      <c r="D135" s="53">
        <f t="shared" ref="D135:N135" si="21">SUM(174*D134)</f>
        <v>0</v>
      </c>
      <c r="E135" s="53">
        <f t="shared" si="21"/>
        <v>0</v>
      </c>
      <c r="F135" s="53">
        <f t="shared" si="21"/>
        <v>0</v>
      </c>
      <c r="G135" s="53">
        <f t="shared" si="21"/>
        <v>0</v>
      </c>
      <c r="H135" s="53">
        <f t="shared" si="21"/>
        <v>0</v>
      </c>
      <c r="I135" s="53">
        <f t="shared" si="21"/>
        <v>0</v>
      </c>
      <c r="J135" s="53">
        <f t="shared" si="21"/>
        <v>0</v>
      </c>
      <c r="K135" s="53">
        <f t="shared" si="21"/>
        <v>0</v>
      </c>
      <c r="L135" s="53">
        <f t="shared" si="21"/>
        <v>0</v>
      </c>
      <c r="M135" s="53">
        <f t="shared" si="21"/>
        <v>0</v>
      </c>
      <c r="N135" s="53">
        <f t="shared" si="21"/>
        <v>0</v>
      </c>
    </row>
    <row r="136" spans="1:15" hidden="1" x14ac:dyDescent="0.2">
      <c r="A136" s="59" t="s">
        <v>193</v>
      </c>
      <c r="B136" s="78" t="s">
        <v>187</v>
      </c>
      <c r="C136" s="66">
        <f>SUM(C135*$B$137)</f>
        <v>0</v>
      </c>
      <c r="D136" s="66">
        <f t="shared" ref="D136:N136" si="22">SUM(D135*$B$137)</f>
        <v>0</v>
      </c>
      <c r="E136" s="66">
        <f t="shared" si="22"/>
        <v>0</v>
      </c>
      <c r="F136" s="66">
        <f t="shared" si="22"/>
        <v>0</v>
      </c>
      <c r="G136" s="66">
        <f t="shared" si="22"/>
        <v>0</v>
      </c>
      <c r="H136" s="66">
        <f t="shared" si="22"/>
        <v>0</v>
      </c>
      <c r="I136" s="66">
        <f t="shared" si="22"/>
        <v>0</v>
      </c>
      <c r="J136" s="66">
        <f t="shared" si="22"/>
        <v>0</v>
      </c>
      <c r="K136" s="66">
        <f t="shared" si="22"/>
        <v>0</v>
      </c>
      <c r="L136" s="66">
        <f t="shared" si="22"/>
        <v>0</v>
      </c>
      <c r="M136" s="66">
        <f t="shared" si="22"/>
        <v>0</v>
      </c>
      <c r="N136" s="66">
        <f t="shared" si="22"/>
        <v>0</v>
      </c>
    </row>
    <row r="137" spans="1:15" hidden="1" x14ac:dyDescent="0.2">
      <c r="A137" s="59" t="s">
        <v>188</v>
      </c>
      <c r="B137" s="74">
        <v>0</v>
      </c>
      <c r="C137" s="66">
        <f>SUM(C136)*'Data Links'!$B$15</f>
        <v>0</v>
      </c>
      <c r="D137" s="66">
        <f>SUM(D136)*'Data Links'!$B$15</f>
        <v>0</v>
      </c>
      <c r="E137" s="66">
        <f>SUM(E136)*'Data Links'!$B$15</f>
        <v>0</v>
      </c>
      <c r="F137" s="66">
        <f>SUM(F136)*'Data Links'!$B$15</f>
        <v>0</v>
      </c>
      <c r="G137" s="66">
        <f>SUM(G136)*'Data Links'!$B$15</f>
        <v>0</v>
      </c>
      <c r="H137" s="66">
        <f>SUM(H136)*'Data Links'!$B$15</f>
        <v>0</v>
      </c>
      <c r="I137" s="66">
        <f>SUM(I136)*'Data Links'!$B$15</f>
        <v>0</v>
      </c>
      <c r="J137" s="66">
        <f>SUM(J136)*'Data Links'!$B$15</f>
        <v>0</v>
      </c>
      <c r="K137" s="66">
        <f>SUM(K136)*'Data Links'!$B$15</f>
        <v>0</v>
      </c>
      <c r="L137" s="66">
        <f>SUM(L136)*'Data Links'!$B$15</f>
        <v>0</v>
      </c>
      <c r="M137" s="66">
        <f>SUM(M136)*'Data Links'!$B$15</f>
        <v>0</v>
      </c>
      <c r="N137" s="66">
        <f>SUM(N136)*'Data Links'!$B$15</f>
        <v>0</v>
      </c>
    </row>
    <row r="138" spans="1:15" hidden="1" x14ac:dyDescent="0.2">
      <c r="A138" s="59" t="s">
        <v>189</v>
      </c>
      <c r="C138" s="66">
        <f>SUM(C136*'Data Links'!$B$13)</f>
        <v>0</v>
      </c>
      <c r="D138" s="66">
        <f>SUM(D136*'Data Links'!$B$13)</f>
        <v>0</v>
      </c>
      <c r="E138" s="66">
        <f>SUM(E136*'Data Links'!$B$13)</f>
        <v>0</v>
      </c>
      <c r="F138" s="66">
        <f>SUM(F136*'Data Links'!$B$13)</f>
        <v>0</v>
      </c>
      <c r="G138" s="66">
        <f>SUM(G136*'Data Links'!$B$13)</f>
        <v>0</v>
      </c>
      <c r="H138" s="66">
        <f>SUM(H136*'Data Links'!$B$13)</f>
        <v>0</v>
      </c>
      <c r="I138" s="66">
        <f>SUM(I136*'Data Links'!$B$13)</f>
        <v>0</v>
      </c>
      <c r="J138" s="66">
        <f>SUM(J136*'Data Links'!$B$13)</f>
        <v>0</v>
      </c>
      <c r="K138" s="66">
        <f>SUM(K136*'Data Links'!$B$13)</f>
        <v>0</v>
      </c>
      <c r="L138" s="66">
        <f>SUM(L136*'Data Links'!$B$13)</f>
        <v>0</v>
      </c>
      <c r="M138" s="66">
        <f>SUM(M136*'Data Links'!$B$13)</f>
        <v>0</v>
      </c>
      <c r="N138" s="66">
        <f>SUM(N136*'Data Links'!$B$13)</f>
        <v>0</v>
      </c>
    </row>
    <row r="139" spans="1:15" hidden="1" x14ac:dyDescent="0.2">
      <c r="A139" s="59" t="s">
        <v>190</v>
      </c>
      <c r="C139" s="66">
        <f>SUM(C135*'Data Links'!$B$8)</f>
        <v>0</v>
      </c>
      <c r="D139" s="66">
        <f>SUM(D135*'Data Links'!$B$8)</f>
        <v>0</v>
      </c>
      <c r="E139" s="66">
        <f>SUM(E135*'Data Links'!$B$8)</f>
        <v>0</v>
      </c>
      <c r="F139" s="66">
        <f>SUM(F135*'Data Links'!$B$8)</f>
        <v>0</v>
      </c>
      <c r="G139" s="66">
        <f>SUM(G135*'Data Links'!$B$8)</f>
        <v>0</v>
      </c>
      <c r="H139" s="66">
        <f>SUM(H135*'Data Links'!$B$8)</f>
        <v>0</v>
      </c>
      <c r="I139" s="66">
        <f>SUM(I135*'Data Links'!$B$8)</f>
        <v>0</v>
      </c>
      <c r="J139" s="66">
        <f>SUM(J135*'Data Links'!$B$8)</f>
        <v>0</v>
      </c>
      <c r="K139" s="66">
        <f>SUM(K135*'Data Links'!$B$8)</f>
        <v>0</v>
      </c>
      <c r="L139" s="66">
        <f>SUM(L135*'Data Links'!$B$8)</f>
        <v>0</v>
      </c>
      <c r="M139" s="66">
        <f>SUM(M135*'Data Links'!$B$8)</f>
        <v>0</v>
      </c>
      <c r="N139" s="66">
        <f>SUM(N135*'Data Links'!$B$8)</f>
        <v>0</v>
      </c>
    </row>
    <row r="140" spans="1:15" hidden="1" x14ac:dyDescent="0.2">
      <c r="A140" s="59" t="s">
        <v>191</v>
      </c>
      <c r="C140" s="66">
        <f>SUM(C134*'Data Links'!$B$24)</f>
        <v>0</v>
      </c>
      <c r="D140" s="66">
        <f>SUM(D134*'Data Links'!$B$24)</f>
        <v>0</v>
      </c>
      <c r="E140" s="66">
        <f>SUM(E134*'Data Links'!$B$24)</f>
        <v>0</v>
      </c>
      <c r="F140" s="66">
        <f>SUM(F134*'Data Links'!$B$24)</f>
        <v>0</v>
      </c>
      <c r="G140" s="66">
        <f>SUM(G134*'Data Links'!$B$24)</f>
        <v>0</v>
      </c>
      <c r="H140" s="66">
        <f>SUM(H134*'Data Links'!$B$24)</f>
        <v>0</v>
      </c>
      <c r="I140" s="66">
        <f>SUM(I134*'Data Links'!$B$24)</f>
        <v>0</v>
      </c>
      <c r="J140" s="66">
        <f>SUM(J134*'Data Links'!$B$24)</f>
        <v>0</v>
      </c>
      <c r="K140" s="66">
        <f>SUM(K134*'Data Links'!$B$24)</f>
        <v>0</v>
      </c>
      <c r="L140" s="66">
        <f>SUM(L134*'Data Links'!$B$24)</f>
        <v>0</v>
      </c>
      <c r="M140" s="66">
        <f>SUM(M134*'Data Links'!$B$24)</f>
        <v>0</v>
      </c>
      <c r="N140" s="66">
        <f>SUM(N134*'Data Links'!$B$24)</f>
        <v>0</v>
      </c>
    </row>
    <row r="141" spans="1:15" hidden="1" x14ac:dyDescent="0.2">
      <c r="A141" s="59" t="s">
        <v>192</v>
      </c>
      <c r="C141" s="66">
        <f>SUM(C136*'Data Links'!$B$17)</f>
        <v>0</v>
      </c>
      <c r="D141" s="66">
        <f>SUM(D136*'Data Links'!$B$17)</f>
        <v>0</v>
      </c>
      <c r="E141" s="66">
        <f>SUM(E136*'Data Links'!$B$17)</f>
        <v>0</v>
      </c>
      <c r="F141" s="66">
        <f>SUM(F136*'Data Links'!$B$17)</f>
        <v>0</v>
      </c>
      <c r="G141" s="66">
        <f>SUM(G136*'Data Links'!$B$17)</f>
        <v>0</v>
      </c>
      <c r="H141" s="66">
        <f>SUM(H136*'Data Links'!$B$17)</f>
        <v>0</v>
      </c>
      <c r="I141" s="66">
        <f>SUM(I136*'Data Links'!$B$17)</f>
        <v>0</v>
      </c>
      <c r="J141" s="66">
        <f>SUM(J136*'Data Links'!$B$17)</f>
        <v>0</v>
      </c>
      <c r="K141" s="66">
        <f>SUM(K136*'Data Links'!$B$17)</f>
        <v>0</v>
      </c>
      <c r="L141" s="66">
        <f>SUM(L136*'Data Links'!$B$17)</f>
        <v>0</v>
      </c>
      <c r="M141" s="66">
        <f>SUM(M136*'Data Links'!$B$17)</f>
        <v>0</v>
      </c>
      <c r="N141" s="66">
        <f>SUM(N136*'Data Links'!$B$17)</f>
        <v>0</v>
      </c>
    </row>
    <row r="142" spans="1:15" s="58" customFormat="1" hidden="1" x14ac:dyDescent="0.2">
      <c r="A142" s="58" t="s">
        <v>144</v>
      </c>
      <c r="B142" s="60"/>
      <c r="C142" s="60">
        <f t="shared" ref="C142:N142" si="23">SUM(C136:C141)</f>
        <v>0</v>
      </c>
      <c r="D142" s="60">
        <f t="shared" si="23"/>
        <v>0</v>
      </c>
      <c r="E142" s="60">
        <f t="shared" si="23"/>
        <v>0</v>
      </c>
      <c r="F142" s="60">
        <f t="shared" si="23"/>
        <v>0</v>
      </c>
      <c r="G142" s="60">
        <f t="shared" si="23"/>
        <v>0</v>
      </c>
      <c r="H142" s="60">
        <f t="shared" si="23"/>
        <v>0</v>
      </c>
      <c r="I142" s="60">
        <f t="shared" si="23"/>
        <v>0</v>
      </c>
      <c r="J142" s="60">
        <f t="shared" si="23"/>
        <v>0</v>
      </c>
      <c r="K142" s="60">
        <f t="shared" si="23"/>
        <v>0</v>
      </c>
      <c r="L142" s="60">
        <f t="shared" si="23"/>
        <v>0</v>
      </c>
      <c r="M142" s="60">
        <f t="shared" si="23"/>
        <v>0</v>
      </c>
      <c r="N142" s="60">
        <f t="shared" si="23"/>
        <v>0</v>
      </c>
    </row>
    <row r="143" spans="1:15" x14ac:dyDescent="0.2">
      <c r="C143" s="60"/>
      <c r="D143" s="66"/>
      <c r="E143" s="66"/>
      <c r="F143" s="66"/>
      <c r="G143" s="66"/>
      <c r="H143" s="66"/>
      <c r="I143" s="66"/>
      <c r="J143" s="66"/>
      <c r="K143" s="66"/>
      <c r="L143" s="66"/>
      <c r="M143" s="66"/>
      <c r="N143" s="66"/>
    </row>
    <row r="144" spans="1:15" hidden="1" x14ac:dyDescent="0.2">
      <c r="C144" s="89" t="str">
        <f>C131</f>
        <v>January</v>
      </c>
      <c r="D144" s="89" t="str">
        <f t="shared" ref="D144:N144" si="24">D131</f>
        <v>February</v>
      </c>
      <c r="E144" s="89" t="str">
        <f t="shared" si="24"/>
        <v>March</v>
      </c>
      <c r="F144" s="89" t="str">
        <f t="shared" si="24"/>
        <v>April</v>
      </c>
      <c r="G144" s="89" t="str">
        <f t="shared" si="24"/>
        <v>May</v>
      </c>
      <c r="H144" s="89" t="str">
        <f t="shared" si="24"/>
        <v>June</v>
      </c>
      <c r="I144" s="89" t="str">
        <f t="shared" si="24"/>
        <v>July</v>
      </c>
      <c r="J144" s="89" t="str">
        <f t="shared" si="24"/>
        <v>August</v>
      </c>
      <c r="K144" s="89" t="str">
        <f t="shared" si="24"/>
        <v>September</v>
      </c>
      <c r="L144" s="89" t="str">
        <f t="shared" si="24"/>
        <v>October</v>
      </c>
      <c r="M144" s="89" t="str">
        <f t="shared" si="24"/>
        <v>November</v>
      </c>
      <c r="N144" s="89" t="str">
        <f t="shared" si="24"/>
        <v>December</v>
      </c>
    </row>
    <row r="145" spans="1:14" hidden="1" x14ac:dyDescent="0.2">
      <c r="C145" s="89">
        <f t="shared" ref="C145:N146" si="25">C132</f>
        <v>30</v>
      </c>
      <c r="D145" s="89">
        <f t="shared" si="25"/>
        <v>31</v>
      </c>
      <c r="E145" s="89">
        <f t="shared" si="25"/>
        <v>30</v>
      </c>
      <c r="F145" s="89">
        <f t="shared" si="25"/>
        <v>31</v>
      </c>
      <c r="G145" s="89">
        <f t="shared" si="25"/>
        <v>31</v>
      </c>
      <c r="H145" s="89">
        <f t="shared" si="25"/>
        <v>30</v>
      </c>
      <c r="I145" s="89">
        <f t="shared" si="25"/>
        <v>31</v>
      </c>
      <c r="J145" s="89">
        <f t="shared" si="25"/>
        <v>30</v>
      </c>
      <c r="K145" s="89">
        <f t="shared" si="25"/>
        <v>31</v>
      </c>
      <c r="L145" s="89">
        <f t="shared" si="25"/>
        <v>31</v>
      </c>
      <c r="M145" s="89">
        <f t="shared" si="25"/>
        <v>28</v>
      </c>
      <c r="N145" s="89">
        <f t="shared" si="25"/>
        <v>31</v>
      </c>
    </row>
    <row r="146" spans="1:14" hidden="1" x14ac:dyDescent="0.2">
      <c r="B146" s="89" t="s">
        <v>185</v>
      </c>
      <c r="C146" s="78">
        <f t="shared" si="25"/>
        <v>0</v>
      </c>
      <c r="D146" s="78">
        <f t="shared" si="25"/>
        <v>1</v>
      </c>
      <c r="E146" s="78">
        <f t="shared" si="25"/>
        <v>0</v>
      </c>
      <c r="F146" s="78">
        <f t="shared" si="25"/>
        <v>1</v>
      </c>
      <c r="G146" s="78">
        <f t="shared" si="25"/>
        <v>0</v>
      </c>
      <c r="H146" s="78">
        <f t="shared" si="25"/>
        <v>1</v>
      </c>
      <c r="I146" s="78">
        <f t="shared" si="25"/>
        <v>1</v>
      </c>
      <c r="J146" s="78">
        <f t="shared" si="25"/>
        <v>1</v>
      </c>
      <c r="K146" s="78">
        <f t="shared" si="25"/>
        <v>1</v>
      </c>
      <c r="L146" s="78">
        <f t="shared" si="25"/>
        <v>2</v>
      </c>
      <c r="M146" s="78">
        <f t="shared" si="25"/>
        <v>1</v>
      </c>
      <c r="N146" s="78">
        <f t="shared" si="25"/>
        <v>0</v>
      </c>
    </row>
    <row r="147" spans="1:14" hidden="1" x14ac:dyDescent="0.2">
      <c r="B147" s="89" t="s">
        <v>44</v>
      </c>
      <c r="C147" s="49"/>
      <c r="D147" s="49"/>
      <c r="E147" s="49"/>
      <c r="F147" s="49"/>
      <c r="G147" s="49"/>
      <c r="H147" s="49"/>
      <c r="I147" s="49"/>
      <c r="J147" s="49"/>
      <c r="K147" s="49"/>
      <c r="L147" s="49"/>
      <c r="M147" s="49"/>
      <c r="N147" s="49"/>
    </row>
    <row r="148" spans="1:14" hidden="1" x14ac:dyDescent="0.2">
      <c r="B148" s="78" t="s">
        <v>186</v>
      </c>
      <c r="C148" s="53">
        <f>SUM(174*C147)</f>
        <v>0</v>
      </c>
      <c r="D148" s="53">
        <f t="shared" ref="D148:N148" si="26">SUM(174*D147)</f>
        <v>0</v>
      </c>
      <c r="E148" s="53">
        <f t="shared" si="26"/>
        <v>0</v>
      </c>
      <c r="F148" s="53">
        <f t="shared" si="26"/>
        <v>0</v>
      </c>
      <c r="G148" s="53">
        <f t="shared" si="26"/>
        <v>0</v>
      </c>
      <c r="H148" s="53">
        <f t="shared" si="26"/>
        <v>0</v>
      </c>
      <c r="I148" s="53">
        <f t="shared" si="26"/>
        <v>0</v>
      </c>
      <c r="J148" s="53">
        <f t="shared" si="26"/>
        <v>0</v>
      </c>
      <c r="K148" s="53">
        <f t="shared" si="26"/>
        <v>0</v>
      </c>
      <c r="L148" s="53">
        <f t="shared" si="26"/>
        <v>0</v>
      </c>
      <c r="M148" s="53">
        <f t="shared" si="26"/>
        <v>0</v>
      </c>
      <c r="N148" s="53">
        <f t="shared" si="26"/>
        <v>0</v>
      </c>
    </row>
    <row r="149" spans="1:14" hidden="1" x14ac:dyDescent="0.2">
      <c r="A149" s="59" t="s">
        <v>193</v>
      </c>
      <c r="B149" s="78" t="s">
        <v>187</v>
      </c>
      <c r="C149" s="66">
        <f>SUM(C148*$B$150)</f>
        <v>0</v>
      </c>
      <c r="D149" s="66">
        <f t="shared" ref="D149:N149" si="27">SUM(D148*$B$150)</f>
        <v>0</v>
      </c>
      <c r="E149" s="66">
        <f t="shared" si="27"/>
        <v>0</v>
      </c>
      <c r="F149" s="66">
        <f t="shared" si="27"/>
        <v>0</v>
      </c>
      <c r="G149" s="66">
        <f t="shared" si="27"/>
        <v>0</v>
      </c>
      <c r="H149" s="66">
        <f t="shared" si="27"/>
        <v>0</v>
      </c>
      <c r="I149" s="66">
        <f t="shared" si="27"/>
        <v>0</v>
      </c>
      <c r="J149" s="66">
        <f t="shared" si="27"/>
        <v>0</v>
      </c>
      <c r="K149" s="66">
        <f t="shared" si="27"/>
        <v>0</v>
      </c>
      <c r="L149" s="66">
        <f t="shared" si="27"/>
        <v>0</v>
      </c>
      <c r="M149" s="66">
        <f t="shared" si="27"/>
        <v>0</v>
      </c>
      <c r="N149" s="66">
        <f t="shared" si="27"/>
        <v>0</v>
      </c>
    </row>
    <row r="150" spans="1:14" hidden="1" x14ac:dyDescent="0.2">
      <c r="A150" s="59" t="s">
        <v>188</v>
      </c>
      <c r="B150" s="74">
        <v>0</v>
      </c>
      <c r="C150" s="66">
        <f>SUM(C149)*'Data Links'!$B$15</f>
        <v>0</v>
      </c>
      <c r="D150" s="66">
        <f>SUM(D149)*'Data Links'!$B$15</f>
        <v>0</v>
      </c>
      <c r="E150" s="66">
        <f>SUM(E149)*'Data Links'!$B$15</f>
        <v>0</v>
      </c>
      <c r="F150" s="66">
        <f>SUM(F149)*'Data Links'!$B$15</f>
        <v>0</v>
      </c>
      <c r="G150" s="66">
        <f>SUM(G149)*'Data Links'!$B$15</f>
        <v>0</v>
      </c>
      <c r="H150" s="66">
        <f>SUM(H149)*'Data Links'!$B$15</f>
        <v>0</v>
      </c>
      <c r="I150" s="66">
        <f>SUM(I149)*'Data Links'!$B$15</f>
        <v>0</v>
      </c>
      <c r="J150" s="66">
        <f>SUM(J149)*'Data Links'!$B$15</f>
        <v>0</v>
      </c>
      <c r="K150" s="66">
        <f>SUM(K149)*'Data Links'!$B$15</f>
        <v>0</v>
      </c>
      <c r="L150" s="66">
        <f>SUM(L149)*'Data Links'!$B$15</f>
        <v>0</v>
      </c>
      <c r="M150" s="66">
        <f>SUM(M149)*'Data Links'!$B$15</f>
        <v>0</v>
      </c>
      <c r="N150" s="66">
        <f>SUM(N149)*'Data Links'!$B$15</f>
        <v>0</v>
      </c>
    </row>
    <row r="151" spans="1:14" hidden="1" x14ac:dyDescent="0.2">
      <c r="A151" s="59" t="s">
        <v>189</v>
      </c>
      <c r="C151" s="66">
        <f>SUM(C149*'Data Links'!$B$13)</f>
        <v>0</v>
      </c>
      <c r="D151" s="66">
        <f>SUM(D149*'Data Links'!$B$13)</f>
        <v>0</v>
      </c>
      <c r="E151" s="66">
        <f>SUM(E149*'Data Links'!$B$13)</f>
        <v>0</v>
      </c>
      <c r="F151" s="66">
        <f>SUM(F149*'Data Links'!$B$13)</f>
        <v>0</v>
      </c>
      <c r="G151" s="66">
        <f>SUM(G149*'Data Links'!$B$13)</f>
        <v>0</v>
      </c>
      <c r="H151" s="66">
        <f>SUM(H149*'Data Links'!$B$13)</f>
        <v>0</v>
      </c>
      <c r="I151" s="66">
        <f>SUM(I149*'Data Links'!$B$13)</f>
        <v>0</v>
      </c>
      <c r="J151" s="66">
        <f>SUM(J149*'Data Links'!$B$13)</f>
        <v>0</v>
      </c>
      <c r="K151" s="66">
        <f>SUM(K149*'Data Links'!$B$13)</f>
        <v>0</v>
      </c>
      <c r="L151" s="66">
        <f>SUM(L149*'Data Links'!$B$13)</f>
        <v>0</v>
      </c>
      <c r="M151" s="66">
        <f>SUM(M149*'Data Links'!$B$13)</f>
        <v>0</v>
      </c>
      <c r="N151" s="66">
        <f>SUM(N149*'Data Links'!$B$13)</f>
        <v>0</v>
      </c>
    </row>
    <row r="152" spans="1:14" hidden="1" x14ac:dyDescent="0.2">
      <c r="A152" s="59" t="s">
        <v>190</v>
      </c>
      <c r="C152" s="66">
        <f>SUM(C148*'Data Links'!$B$8)</f>
        <v>0</v>
      </c>
      <c r="D152" s="66">
        <f>SUM(D148*'Data Links'!$B$8)</f>
        <v>0</v>
      </c>
      <c r="E152" s="66">
        <f>SUM(E148*'Data Links'!$B$8)</f>
        <v>0</v>
      </c>
      <c r="F152" s="66">
        <f>SUM(F148*'Data Links'!$B$8)</f>
        <v>0</v>
      </c>
      <c r="G152" s="66">
        <f>SUM(G148*'Data Links'!$B$8)</f>
        <v>0</v>
      </c>
      <c r="H152" s="66">
        <f>SUM(H148*'Data Links'!$B$8)</f>
        <v>0</v>
      </c>
      <c r="I152" s="66">
        <f>SUM(I148*'Data Links'!$B$8)</f>
        <v>0</v>
      </c>
      <c r="J152" s="66">
        <f>SUM(J148*'Data Links'!$B$8)</f>
        <v>0</v>
      </c>
      <c r="K152" s="66">
        <f>SUM(K148*'Data Links'!$B$8)</f>
        <v>0</v>
      </c>
      <c r="L152" s="66">
        <f>SUM(L148*'Data Links'!$B$8)</f>
        <v>0</v>
      </c>
      <c r="M152" s="66">
        <f>SUM(M148*'Data Links'!$B$8)</f>
        <v>0</v>
      </c>
      <c r="N152" s="66">
        <f>SUM(N148*'Data Links'!$B$8)</f>
        <v>0</v>
      </c>
    </row>
    <row r="153" spans="1:14" hidden="1" x14ac:dyDescent="0.2">
      <c r="A153" s="59" t="s">
        <v>191</v>
      </c>
      <c r="C153" s="66">
        <f>SUM(C147*'Data Links'!$B$26)</f>
        <v>0</v>
      </c>
      <c r="D153" s="66">
        <f>SUM(D147*'Data Links'!$B$26)</f>
        <v>0</v>
      </c>
      <c r="E153" s="66">
        <f>SUM(E147*'Data Links'!$B$26)</f>
        <v>0</v>
      </c>
      <c r="F153" s="66">
        <f>SUM(F147*'Data Links'!$B$26)</f>
        <v>0</v>
      </c>
      <c r="G153" s="66">
        <f>SUM(G147*'Data Links'!$B$26)</f>
        <v>0</v>
      </c>
      <c r="H153" s="66">
        <f>SUM(H147*'Data Links'!$B$26)</f>
        <v>0</v>
      </c>
      <c r="I153" s="66">
        <f>SUM(I147*'Data Links'!$B$26)</f>
        <v>0</v>
      </c>
      <c r="J153" s="66">
        <f>SUM(J147*'Data Links'!$B$26)</f>
        <v>0</v>
      </c>
      <c r="K153" s="66">
        <f>SUM(K147*'Data Links'!$B$26)</f>
        <v>0</v>
      </c>
      <c r="L153" s="66">
        <f>SUM(L147*'Data Links'!$B$26)</f>
        <v>0</v>
      </c>
      <c r="M153" s="66">
        <f>SUM(M147*'Data Links'!$B$26)</f>
        <v>0</v>
      </c>
      <c r="N153" s="66">
        <f>SUM(N147*'Data Links'!$B$26)</f>
        <v>0</v>
      </c>
    </row>
    <row r="154" spans="1:14" hidden="1" x14ac:dyDescent="0.2">
      <c r="A154" s="59" t="s">
        <v>192</v>
      </c>
      <c r="C154" s="66">
        <f>SUM(C149*'Data Links'!$B$17)</f>
        <v>0</v>
      </c>
      <c r="D154" s="66">
        <f>SUM(D149*'Data Links'!$B$17)</f>
        <v>0</v>
      </c>
      <c r="E154" s="66">
        <f>SUM(E149*'Data Links'!$B$17)</f>
        <v>0</v>
      </c>
      <c r="F154" s="66">
        <f>SUM(F149*'Data Links'!$B$17)</f>
        <v>0</v>
      </c>
      <c r="G154" s="66">
        <f>SUM(G149*'Data Links'!$B$17)</f>
        <v>0</v>
      </c>
      <c r="H154" s="66">
        <f>SUM(H149*'Data Links'!$B$17)</f>
        <v>0</v>
      </c>
      <c r="I154" s="66">
        <f>SUM(I149*'Data Links'!$B$17)</f>
        <v>0</v>
      </c>
      <c r="J154" s="66">
        <f>SUM(J149*'Data Links'!$B$17)</f>
        <v>0</v>
      </c>
      <c r="K154" s="66">
        <f>SUM(K149*'Data Links'!$B$17)</f>
        <v>0</v>
      </c>
      <c r="L154" s="66">
        <f>SUM(L149*'Data Links'!$B$17)</f>
        <v>0</v>
      </c>
      <c r="M154" s="66">
        <f>SUM(M149*'Data Links'!$B$17)</f>
        <v>0</v>
      </c>
      <c r="N154" s="66">
        <f>SUM(N149*'Data Links'!$B$17)</f>
        <v>0</v>
      </c>
    </row>
    <row r="155" spans="1:14" s="58" customFormat="1" hidden="1" x14ac:dyDescent="0.2">
      <c r="A155" s="58" t="s">
        <v>144</v>
      </c>
      <c r="B155" s="60"/>
      <c r="C155" s="60">
        <f t="shared" ref="C155:N155" si="28">SUM(C149:C154)</f>
        <v>0</v>
      </c>
      <c r="D155" s="60">
        <f t="shared" si="28"/>
        <v>0</v>
      </c>
      <c r="E155" s="60">
        <f t="shared" si="28"/>
        <v>0</v>
      </c>
      <c r="F155" s="60">
        <f t="shared" si="28"/>
        <v>0</v>
      </c>
      <c r="G155" s="60">
        <f t="shared" si="28"/>
        <v>0</v>
      </c>
      <c r="H155" s="60">
        <f t="shared" si="28"/>
        <v>0</v>
      </c>
      <c r="I155" s="60">
        <f t="shared" si="28"/>
        <v>0</v>
      </c>
      <c r="J155" s="60">
        <f t="shared" si="28"/>
        <v>0</v>
      </c>
      <c r="K155" s="60">
        <f t="shared" si="28"/>
        <v>0</v>
      </c>
      <c r="L155" s="60">
        <f t="shared" si="28"/>
        <v>0</v>
      </c>
      <c r="M155" s="60">
        <f t="shared" si="28"/>
        <v>0</v>
      </c>
      <c r="N155" s="60">
        <f t="shared" si="28"/>
        <v>0</v>
      </c>
    </row>
    <row r="156" spans="1:14" hidden="1" x14ac:dyDescent="0.2">
      <c r="C156" s="60"/>
      <c r="D156" s="66"/>
      <c r="E156" s="66"/>
      <c r="F156" s="66"/>
      <c r="G156" s="66"/>
      <c r="H156" s="66"/>
      <c r="I156" s="66"/>
      <c r="J156" s="66"/>
      <c r="K156" s="66"/>
      <c r="L156" s="66"/>
      <c r="M156" s="66"/>
      <c r="N156" s="66"/>
    </row>
    <row r="157" spans="1:14" hidden="1" x14ac:dyDescent="0.2">
      <c r="C157" s="89" t="str">
        <f>C144</f>
        <v>January</v>
      </c>
      <c r="D157" s="89" t="str">
        <f t="shared" ref="D157:N157" si="29">D144</f>
        <v>February</v>
      </c>
      <c r="E157" s="89" t="str">
        <f t="shared" si="29"/>
        <v>March</v>
      </c>
      <c r="F157" s="89" t="str">
        <f t="shared" si="29"/>
        <v>April</v>
      </c>
      <c r="G157" s="89" t="str">
        <f t="shared" si="29"/>
        <v>May</v>
      </c>
      <c r="H157" s="89" t="str">
        <f t="shared" si="29"/>
        <v>June</v>
      </c>
      <c r="I157" s="89" t="str">
        <f t="shared" si="29"/>
        <v>July</v>
      </c>
      <c r="J157" s="89" t="str">
        <f t="shared" si="29"/>
        <v>August</v>
      </c>
      <c r="K157" s="89" t="str">
        <f t="shared" si="29"/>
        <v>September</v>
      </c>
      <c r="L157" s="89" t="str">
        <f t="shared" si="29"/>
        <v>October</v>
      </c>
      <c r="M157" s="89" t="str">
        <f t="shared" si="29"/>
        <v>November</v>
      </c>
      <c r="N157" s="89" t="str">
        <f t="shared" si="29"/>
        <v>December</v>
      </c>
    </row>
    <row r="158" spans="1:14" hidden="1" x14ac:dyDescent="0.2">
      <c r="C158" s="89">
        <f t="shared" ref="C158:N159" si="30">C145</f>
        <v>30</v>
      </c>
      <c r="D158" s="89">
        <f t="shared" si="30"/>
        <v>31</v>
      </c>
      <c r="E158" s="89">
        <f t="shared" si="30"/>
        <v>30</v>
      </c>
      <c r="F158" s="89">
        <f t="shared" si="30"/>
        <v>31</v>
      </c>
      <c r="G158" s="89">
        <f t="shared" si="30"/>
        <v>31</v>
      </c>
      <c r="H158" s="89">
        <f t="shared" si="30"/>
        <v>30</v>
      </c>
      <c r="I158" s="89">
        <f t="shared" si="30"/>
        <v>31</v>
      </c>
      <c r="J158" s="89">
        <f t="shared" si="30"/>
        <v>30</v>
      </c>
      <c r="K158" s="89">
        <f t="shared" si="30"/>
        <v>31</v>
      </c>
      <c r="L158" s="89">
        <f t="shared" si="30"/>
        <v>31</v>
      </c>
      <c r="M158" s="89">
        <f t="shared" si="30"/>
        <v>28</v>
      </c>
      <c r="N158" s="89">
        <f t="shared" si="30"/>
        <v>31</v>
      </c>
    </row>
    <row r="159" spans="1:14" hidden="1" x14ac:dyDescent="0.2">
      <c r="B159" s="89" t="s">
        <v>185</v>
      </c>
      <c r="C159" s="78">
        <f t="shared" si="30"/>
        <v>0</v>
      </c>
      <c r="D159" s="78">
        <f t="shared" si="30"/>
        <v>1</v>
      </c>
      <c r="E159" s="78">
        <f t="shared" si="30"/>
        <v>0</v>
      </c>
      <c r="F159" s="78">
        <f t="shared" si="30"/>
        <v>1</v>
      </c>
      <c r="G159" s="78">
        <f t="shared" si="30"/>
        <v>0</v>
      </c>
      <c r="H159" s="78">
        <f t="shared" si="30"/>
        <v>1</v>
      </c>
      <c r="I159" s="78">
        <f t="shared" si="30"/>
        <v>1</v>
      </c>
      <c r="J159" s="78">
        <f t="shared" si="30"/>
        <v>1</v>
      </c>
      <c r="K159" s="78">
        <f t="shared" si="30"/>
        <v>1</v>
      </c>
      <c r="L159" s="78">
        <f t="shared" si="30"/>
        <v>2</v>
      </c>
      <c r="M159" s="78">
        <f t="shared" si="30"/>
        <v>1</v>
      </c>
      <c r="N159" s="78">
        <f t="shared" si="30"/>
        <v>0</v>
      </c>
    </row>
    <row r="160" spans="1:14" hidden="1" x14ac:dyDescent="0.2">
      <c r="B160" s="89" t="s">
        <v>44</v>
      </c>
      <c r="C160" s="49"/>
      <c r="D160" s="49"/>
      <c r="E160" s="49"/>
      <c r="F160" s="49"/>
      <c r="G160" s="49"/>
      <c r="H160" s="49"/>
      <c r="I160" s="49"/>
      <c r="J160" s="49"/>
      <c r="K160" s="49"/>
      <c r="L160" s="49"/>
      <c r="M160" s="49"/>
      <c r="N160" s="49"/>
    </row>
    <row r="161" spans="1:14" hidden="1" x14ac:dyDescent="0.2">
      <c r="B161" s="78" t="s">
        <v>186</v>
      </c>
      <c r="C161" s="53">
        <f>SUM(174*C160)</f>
        <v>0</v>
      </c>
      <c r="D161" s="53">
        <f t="shared" ref="D161:N161" si="31">SUM(174*D160)</f>
        <v>0</v>
      </c>
      <c r="E161" s="53">
        <f t="shared" si="31"/>
        <v>0</v>
      </c>
      <c r="F161" s="53">
        <f t="shared" si="31"/>
        <v>0</v>
      </c>
      <c r="G161" s="53">
        <f t="shared" si="31"/>
        <v>0</v>
      </c>
      <c r="H161" s="53">
        <f t="shared" si="31"/>
        <v>0</v>
      </c>
      <c r="I161" s="53">
        <f t="shared" si="31"/>
        <v>0</v>
      </c>
      <c r="J161" s="53">
        <f t="shared" si="31"/>
        <v>0</v>
      </c>
      <c r="K161" s="53">
        <f t="shared" si="31"/>
        <v>0</v>
      </c>
      <c r="L161" s="53">
        <f t="shared" si="31"/>
        <v>0</v>
      </c>
      <c r="M161" s="53">
        <f t="shared" si="31"/>
        <v>0</v>
      </c>
      <c r="N161" s="53">
        <f t="shared" si="31"/>
        <v>0</v>
      </c>
    </row>
    <row r="162" spans="1:14" hidden="1" x14ac:dyDescent="0.2">
      <c r="A162" s="59" t="s">
        <v>193</v>
      </c>
      <c r="B162" s="78" t="s">
        <v>187</v>
      </c>
      <c r="C162" s="66">
        <f>SUM(C161*$B$163)</f>
        <v>0</v>
      </c>
      <c r="D162" s="66">
        <f t="shared" ref="D162:N162" si="32">SUM(D161*$B$163)</f>
        <v>0</v>
      </c>
      <c r="E162" s="66">
        <f t="shared" si="32"/>
        <v>0</v>
      </c>
      <c r="F162" s="66">
        <f t="shared" si="32"/>
        <v>0</v>
      </c>
      <c r="G162" s="66">
        <f t="shared" si="32"/>
        <v>0</v>
      </c>
      <c r="H162" s="66">
        <f t="shared" si="32"/>
        <v>0</v>
      </c>
      <c r="I162" s="66">
        <f t="shared" si="32"/>
        <v>0</v>
      </c>
      <c r="J162" s="66">
        <f t="shared" si="32"/>
        <v>0</v>
      </c>
      <c r="K162" s="66">
        <f t="shared" si="32"/>
        <v>0</v>
      </c>
      <c r="L162" s="66">
        <f t="shared" si="32"/>
        <v>0</v>
      </c>
      <c r="M162" s="66">
        <f t="shared" si="32"/>
        <v>0</v>
      </c>
      <c r="N162" s="66">
        <f t="shared" si="32"/>
        <v>0</v>
      </c>
    </row>
    <row r="163" spans="1:14" hidden="1" x14ac:dyDescent="0.2">
      <c r="A163" s="59" t="s">
        <v>188</v>
      </c>
      <c r="B163" s="74">
        <v>0</v>
      </c>
      <c r="C163" s="66">
        <f>SUM(C162)*'Data Links'!$B$15</f>
        <v>0</v>
      </c>
      <c r="D163" s="66">
        <f>SUM(D162)*'Data Links'!$B$15</f>
        <v>0</v>
      </c>
      <c r="E163" s="66">
        <f>SUM(E162)*'Data Links'!$B$15</f>
        <v>0</v>
      </c>
      <c r="F163" s="66">
        <f>SUM(F162)*'Data Links'!$B$15</f>
        <v>0</v>
      </c>
      <c r="G163" s="66">
        <f>SUM(G162)*'Data Links'!$B$15</f>
        <v>0</v>
      </c>
      <c r="H163" s="66">
        <f>SUM(H162)*'Data Links'!$B$15</f>
        <v>0</v>
      </c>
      <c r="I163" s="66">
        <f>SUM(I162)*'Data Links'!$B$15</f>
        <v>0</v>
      </c>
      <c r="J163" s="66">
        <f>SUM(J162)*'Data Links'!$B$15</f>
        <v>0</v>
      </c>
      <c r="K163" s="66">
        <f>SUM(K162)*'Data Links'!$B$15</f>
        <v>0</v>
      </c>
      <c r="L163" s="66">
        <f>SUM(L162)*'Data Links'!$B$15</f>
        <v>0</v>
      </c>
      <c r="M163" s="66">
        <f>SUM(M162)*'Data Links'!$B$15</f>
        <v>0</v>
      </c>
      <c r="N163" s="66">
        <f>SUM(N162)*'Data Links'!$B$15</f>
        <v>0</v>
      </c>
    </row>
    <row r="164" spans="1:14" hidden="1" x14ac:dyDescent="0.2">
      <c r="A164" s="59" t="s">
        <v>189</v>
      </c>
      <c r="C164" s="66">
        <f>SUM(C162*'Data Links'!$B$13)</f>
        <v>0</v>
      </c>
      <c r="D164" s="66">
        <f>SUM(D162*'Data Links'!$B$13)</f>
        <v>0</v>
      </c>
      <c r="E164" s="66">
        <f>SUM(E162*'Data Links'!$B$13)</f>
        <v>0</v>
      </c>
      <c r="F164" s="66">
        <f>SUM(F162*'Data Links'!$B$13)</f>
        <v>0</v>
      </c>
      <c r="G164" s="66">
        <f>SUM(G162*'Data Links'!$B$13)</f>
        <v>0</v>
      </c>
      <c r="H164" s="66">
        <f>SUM(H162*'Data Links'!$B$13)</f>
        <v>0</v>
      </c>
      <c r="I164" s="66">
        <f>SUM(I162*'Data Links'!$B$13)</f>
        <v>0</v>
      </c>
      <c r="J164" s="66">
        <f>SUM(J162*'Data Links'!$B$13)</f>
        <v>0</v>
      </c>
      <c r="K164" s="66">
        <f>SUM(K162*'Data Links'!$B$13)</f>
        <v>0</v>
      </c>
      <c r="L164" s="66">
        <f>SUM(L162*'Data Links'!$B$13)</f>
        <v>0</v>
      </c>
      <c r="M164" s="66">
        <f>SUM(M162*'Data Links'!$B$13)</f>
        <v>0</v>
      </c>
      <c r="N164" s="66">
        <f>SUM(N162*'Data Links'!$B$13)</f>
        <v>0</v>
      </c>
    </row>
    <row r="165" spans="1:14" hidden="1" x14ac:dyDescent="0.2">
      <c r="A165" s="59" t="s">
        <v>190</v>
      </c>
      <c r="C165" s="66">
        <f>SUM(C161*'Data Links'!$B$8)</f>
        <v>0</v>
      </c>
      <c r="D165" s="66">
        <f>SUM(D161*'Data Links'!$B$8)</f>
        <v>0</v>
      </c>
      <c r="E165" s="66">
        <f>SUM(E161*'Data Links'!$B$8)</f>
        <v>0</v>
      </c>
      <c r="F165" s="66">
        <f>SUM(F161*'Data Links'!$B$8)</f>
        <v>0</v>
      </c>
      <c r="G165" s="66">
        <f>SUM(G161*'Data Links'!$B$8)</f>
        <v>0</v>
      </c>
      <c r="H165" s="66">
        <f>SUM(H161*'Data Links'!$B$8)</f>
        <v>0</v>
      </c>
      <c r="I165" s="66">
        <f>SUM(I161*'Data Links'!$B$8)</f>
        <v>0</v>
      </c>
      <c r="J165" s="66">
        <f>SUM(J161*'Data Links'!$B$8)</f>
        <v>0</v>
      </c>
      <c r="K165" s="66">
        <f>SUM(K161*'Data Links'!$B$8)</f>
        <v>0</v>
      </c>
      <c r="L165" s="66">
        <f>SUM(L161*'Data Links'!$B$8)</f>
        <v>0</v>
      </c>
      <c r="M165" s="66">
        <f>SUM(M161*'Data Links'!$B$8)</f>
        <v>0</v>
      </c>
      <c r="N165" s="66">
        <f>SUM(N161*'Data Links'!$B$8)</f>
        <v>0</v>
      </c>
    </row>
    <row r="166" spans="1:14" hidden="1" x14ac:dyDescent="0.2">
      <c r="A166" s="59" t="s">
        <v>191</v>
      </c>
      <c r="C166" s="66"/>
      <c r="D166" s="66"/>
      <c r="E166" s="66"/>
      <c r="F166" s="66"/>
      <c r="G166" s="66"/>
      <c r="H166" s="66"/>
      <c r="I166" s="66"/>
      <c r="J166" s="66"/>
      <c r="K166" s="66"/>
      <c r="L166" s="66"/>
      <c r="M166" s="66"/>
      <c r="N166" s="66"/>
    </row>
    <row r="167" spans="1:14" hidden="1" x14ac:dyDescent="0.2">
      <c r="A167" s="59" t="s">
        <v>192</v>
      </c>
      <c r="C167" s="66"/>
      <c r="D167" s="66"/>
      <c r="E167" s="66"/>
      <c r="F167" s="66"/>
      <c r="G167" s="66"/>
      <c r="H167" s="66"/>
      <c r="I167" s="66"/>
      <c r="J167" s="66"/>
      <c r="K167" s="66"/>
      <c r="L167" s="66"/>
      <c r="M167" s="66"/>
      <c r="N167" s="66"/>
    </row>
    <row r="168" spans="1:14" s="58" customFormat="1" hidden="1" x14ac:dyDescent="0.2">
      <c r="A168" s="58" t="s">
        <v>144</v>
      </c>
      <c r="B168" s="60"/>
      <c r="C168" s="60">
        <f t="shared" ref="C168:N168" si="33">SUM(C162:C167)</f>
        <v>0</v>
      </c>
      <c r="D168" s="60">
        <f t="shared" si="33"/>
        <v>0</v>
      </c>
      <c r="E168" s="60">
        <f t="shared" si="33"/>
        <v>0</v>
      </c>
      <c r="F168" s="60">
        <f t="shared" si="33"/>
        <v>0</v>
      </c>
      <c r="G168" s="60">
        <f t="shared" si="33"/>
        <v>0</v>
      </c>
      <c r="H168" s="60">
        <f t="shared" si="33"/>
        <v>0</v>
      </c>
      <c r="I168" s="60">
        <f t="shared" si="33"/>
        <v>0</v>
      </c>
      <c r="J168" s="60">
        <f t="shared" si="33"/>
        <v>0</v>
      </c>
      <c r="K168" s="60">
        <f t="shared" si="33"/>
        <v>0</v>
      </c>
      <c r="L168" s="60">
        <f t="shared" si="33"/>
        <v>0</v>
      </c>
      <c r="M168" s="60">
        <f t="shared" si="33"/>
        <v>0</v>
      </c>
      <c r="N168" s="60">
        <f t="shared" si="33"/>
        <v>0</v>
      </c>
    </row>
    <row r="169" spans="1:14" x14ac:dyDescent="0.2">
      <c r="C169" s="60"/>
      <c r="D169" s="66"/>
      <c r="E169" s="66"/>
      <c r="F169" s="66"/>
      <c r="G169" s="66"/>
      <c r="H169" s="66"/>
      <c r="I169" s="66"/>
      <c r="J169" s="66"/>
      <c r="K169" s="66"/>
      <c r="L169" s="66"/>
      <c r="M169" s="66"/>
      <c r="N169" s="66"/>
    </row>
    <row r="170" spans="1:14" x14ac:dyDescent="0.2">
      <c r="C170" s="89" t="str">
        <f>C157</f>
        <v>January</v>
      </c>
      <c r="D170" s="89" t="str">
        <f t="shared" ref="D170:N170" si="34">D157</f>
        <v>February</v>
      </c>
      <c r="E170" s="89" t="str">
        <f t="shared" si="34"/>
        <v>March</v>
      </c>
      <c r="F170" s="89" t="str">
        <f t="shared" si="34"/>
        <v>April</v>
      </c>
      <c r="G170" s="89" t="str">
        <f t="shared" si="34"/>
        <v>May</v>
      </c>
      <c r="H170" s="89" t="str">
        <f t="shared" si="34"/>
        <v>June</v>
      </c>
      <c r="I170" s="89" t="str">
        <f t="shared" si="34"/>
        <v>July</v>
      </c>
      <c r="J170" s="89" t="str">
        <f t="shared" si="34"/>
        <v>August</v>
      </c>
      <c r="K170" s="89" t="str">
        <f t="shared" si="34"/>
        <v>September</v>
      </c>
      <c r="L170" s="89" t="str">
        <f t="shared" si="34"/>
        <v>October</v>
      </c>
      <c r="M170" s="89" t="str">
        <f t="shared" si="34"/>
        <v>November</v>
      </c>
      <c r="N170" s="89" t="str">
        <f t="shared" si="34"/>
        <v>December</v>
      </c>
    </row>
    <row r="171" spans="1:14" x14ac:dyDescent="0.2">
      <c r="C171" s="89">
        <f t="shared" ref="C171:N172" si="35">C158</f>
        <v>30</v>
      </c>
      <c r="D171" s="89">
        <f t="shared" si="35"/>
        <v>31</v>
      </c>
      <c r="E171" s="89">
        <f t="shared" si="35"/>
        <v>30</v>
      </c>
      <c r="F171" s="89">
        <f t="shared" si="35"/>
        <v>31</v>
      </c>
      <c r="G171" s="89">
        <f t="shared" si="35"/>
        <v>31</v>
      </c>
      <c r="H171" s="89">
        <f t="shared" si="35"/>
        <v>30</v>
      </c>
      <c r="I171" s="89">
        <f t="shared" si="35"/>
        <v>31</v>
      </c>
      <c r="J171" s="89">
        <f t="shared" si="35"/>
        <v>30</v>
      </c>
      <c r="K171" s="89">
        <f t="shared" si="35"/>
        <v>31</v>
      </c>
      <c r="L171" s="89">
        <f t="shared" si="35"/>
        <v>31</v>
      </c>
      <c r="M171" s="89">
        <f t="shared" si="35"/>
        <v>28</v>
      </c>
      <c r="N171" s="89">
        <f t="shared" si="35"/>
        <v>31</v>
      </c>
    </row>
    <row r="172" spans="1:14" x14ac:dyDescent="0.2">
      <c r="B172" s="89" t="s">
        <v>185</v>
      </c>
      <c r="C172" s="78">
        <f t="shared" si="35"/>
        <v>0</v>
      </c>
      <c r="D172" s="78">
        <f t="shared" si="35"/>
        <v>1</v>
      </c>
      <c r="E172" s="78">
        <f t="shared" si="35"/>
        <v>0</v>
      </c>
      <c r="F172" s="78">
        <f t="shared" si="35"/>
        <v>1</v>
      </c>
      <c r="G172" s="78">
        <f t="shared" si="35"/>
        <v>0</v>
      </c>
      <c r="H172" s="78">
        <f t="shared" si="35"/>
        <v>1</v>
      </c>
      <c r="I172" s="78">
        <f t="shared" si="35"/>
        <v>1</v>
      </c>
      <c r="J172" s="78">
        <f t="shared" si="35"/>
        <v>1</v>
      </c>
      <c r="K172" s="78">
        <f t="shared" si="35"/>
        <v>1</v>
      </c>
      <c r="L172" s="78">
        <f t="shared" si="35"/>
        <v>2</v>
      </c>
      <c r="M172" s="78">
        <f t="shared" si="35"/>
        <v>1</v>
      </c>
      <c r="N172" s="78">
        <f t="shared" si="35"/>
        <v>0</v>
      </c>
    </row>
    <row r="173" spans="1:14" x14ac:dyDescent="0.2">
      <c r="B173" s="89" t="s">
        <v>44</v>
      </c>
      <c r="C173" s="49">
        <v>0.5</v>
      </c>
      <c r="D173" s="49">
        <v>0.5</v>
      </c>
      <c r="E173" s="49">
        <v>0.5</v>
      </c>
      <c r="F173" s="49">
        <v>0.5</v>
      </c>
      <c r="G173" s="49">
        <v>0.5</v>
      </c>
      <c r="H173" s="49">
        <v>0.5</v>
      </c>
      <c r="I173" s="49">
        <v>0.5</v>
      </c>
      <c r="J173" s="49">
        <v>0.5</v>
      </c>
      <c r="K173" s="49">
        <v>0.5</v>
      </c>
      <c r="L173" s="49">
        <v>0.5</v>
      </c>
      <c r="M173" s="49">
        <v>0.5</v>
      </c>
      <c r="N173" s="49">
        <v>0.5</v>
      </c>
    </row>
    <row r="174" spans="1:14" x14ac:dyDescent="0.2">
      <c r="B174" s="89" t="s">
        <v>186</v>
      </c>
      <c r="C174" s="53">
        <f>SUM(174*C173)</f>
        <v>87</v>
      </c>
      <c r="D174" s="53">
        <f t="shared" ref="D174:N174" si="36">SUM(174*D173)</f>
        <v>87</v>
      </c>
      <c r="E174" s="53">
        <f t="shared" si="36"/>
        <v>87</v>
      </c>
      <c r="F174" s="53">
        <f t="shared" si="36"/>
        <v>87</v>
      </c>
      <c r="G174" s="53">
        <f t="shared" si="36"/>
        <v>87</v>
      </c>
      <c r="H174" s="53">
        <f t="shared" si="36"/>
        <v>87</v>
      </c>
      <c r="I174" s="53">
        <f t="shared" si="36"/>
        <v>87</v>
      </c>
      <c r="J174" s="53">
        <f t="shared" si="36"/>
        <v>87</v>
      </c>
      <c r="K174" s="53">
        <f t="shared" si="36"/>
        <v>87</v>
      </c>
      <c r="L174" s="53">
        <f t="shared" si="36"/>
        <v>87</v>
      </c>
      <c r="M174" s="53">
        <f t="shared" si="36"/>
        <v>87</v>
      </c>
      <c r="N174" s="53">
        <f t="shared" si="36"/>
        <v>87</v>
      </c>
    </row>
    <row r="175" spans="1:14" x14ac:dyDescent="0.2">
      <c r="A175" s="59" t="s">
        <v>397</v>
      </c>
      <c r="B175" s="78" t="s">
        <v>256</v>
      </c>
      <c r="C175" s="66">
        <f>SUM(C174*$B$176)</f>
        <v>1318.05</v>
      </c>
      <c r="D175" s="66">
        <f t="shared" ref="D175:N175" si="37">SUM(D174*$B$176)</f>
        <v>1318.05</v>
      </c>
      <c r="E175" s="66">
        <f t="shared" si="37"/>
        <v>1318.05</v>
      </c>
      <c r="F175" s="66">
        <f t="shared" si="37"/>
        <v>1318.05</v>
      </c>
      <c r="G175" s="66">
        <f t="shared" si="37"/>
        <v>1318.05</v>
      </c>
      <c r="H175" s="66">
        <f t="shared" si="37"/>
        <v>1318.05</v>
      </c>
      <c r="I175" s="66">
        <f t="shared" si="37"/>
        <v>1318.05</v>
      </c>
      <c r="J175" s="66">
        <f t="shared" si="37"/>
        <v>1318.05</v>
      </c>
      <c r="K175" s="66">
        <f t="shared" si="37"/>
        <v>1318.05</v>
      </c>
      <c r="L175" s="66">
        <f t="shared" si="37"/>
        <v>1318.05</v>
      </c>
      <c r="M175" s="66">
        <f t="shared" si="37"/>
        <v>1318.05</v>
      </c>
      <c r="N175" s="66">
        <f t="shared" si="37"/>
        <v>1318.05</v>
      </c>
    </row>
    <row r="176" spans="1:14" x14ac:dyDescent="0.2">
      <c r="A176" s="59" t="s">
        <v>188</v>
      </c>
      <c r="B176" s="241">
        <f>14.25+0.9</f>
        <v>15.15</v>
      </c>
      <c r="C176" s="66">
        <f>SUM(C175)*'Data Links'!$B$15</f>
        <v>100.83082499999999</v>
      </c>
      <c r="D176" s="66">
        <f>SUM(D175)*'Data Links'!$B$15</f>
        <v>100.83082499999999</v>
      </c>
      <c r="E176" s="66">
        <f>SUM(E175)*'Data Links'!$B$15</f>
        <v>100.83082499999999</v>
      </c>
      <c r="F176" s="66">
        <f>SUM(F175)*'Data Links'!$B$15</f>
        <v>100.83082499999999</v>
      </c>
      <c r="G176" s="66">
        <f>SUM(G175)*'Data Links'!$B$15</f>
        <v>100.83082499999999</v>
      </c>
      <c r="H176" s="66">
        <f>SUM(H175)*'Data Links'!$B$15</f>
        <v>100.83082499999999</v>
      </c>
      <c r="I176" s="66">
        <f>SUM(I175)*'Data Links'!$B$15</f>
        <v>100.83082499999999</v>
      </c>
      <c r="J176" s="66">
        <f>SUM(J175)*'Data Links'!$B$15</f>
        <v>100.83082499999999</v>
      </c>
      <c r="K176" s="66">
        <f>SUM(K175)*'Data Links'!$B$15</f>
        <v>100.83082499999999</v>
      </c>
      <c r="L176" s="66">
        <f>SUM(L175)*'Data Links'!$B$15</f>
        <v>100.83082499999999</v>
      </c>
      <c r="M176" s="66">
        <f>SUM(M175)*'Data Links'!$B$15</f>
        <v>100.83082499999999</v>
      </c>
      <c r="N176" s="66">
        <f>SUM(N175)*'Data Links'!$B$15</f>
        <v>100.83082499999999</v>
      </c>
    </row>
    <row r="177" spans="1:15" x14ac:dyDescent="0.2">
      <c r="A177" s="59" t="s">
        <v>189</v>
      </c>
      <c r="B177" s="241">
        <f>12.24+0.9</f>
        <v>13.14</v>
      </c>
      <c r="C177" s="66">
        <f>SUM(C175*'Data Links'!$B$13)</f>
        <v>7.9082999999999997</v>
      </c>
      <c r="D177" s="66">
        <f>SUM(D175*'Data Links'!$B$13)</f>
        <v>7.9082999999999997</v>
      </c>
      <c r="E177" s="66">
        <f>SUM(E175*'Data Links'!$B$13)</f>
        <v>7.9082999999999997</v>
      </c>
      <c r="F177" s="66">
        <f>SUM(F175*'Data Links'!$B$13)</f>
        <v>7.9082999999999997</v>
      </c>
      <c r="G177" s="66">
        <f>SUM(G175*'Data Links'!$B$13)</f>
        <v>7.9082999999999997</v>
      </c>
      <c r="H177" s="66">
        <f>SUM(H175*'Data Links'!$B$13)</f>
        <v>7.9082999999999997</v>
      </c>
      <c r="I177" s="66">
        <f>SUM(I175*'Data Links'!$B$13)</f>
        <v>7.9082999999999997</v>
      </c>
      <c r="J177" s="66">
        <f>SUM(J175*'Data Links'!$B$13)</f>
        <v>7.9082999999999997</v>
      </c>
      <c r="K177" s="66">
        <f>SUM(K175*'Data Links'!$B$13)</f>
        <v>7.9082999999999997</v>
      </c>
      <c r="L177" s="66">
        <f>SUM(L175*'Data Links'!$B$13)</f>
        <v>7.9082999999999997</v>
      </c>
      <c r="M177" s="66">
        <f>SUM(M175*'Data Links'!$B$13)</f>
        <v>7.9082999999999997</v>
      </c>
      <c r="N177" s="66">
        <f>SUM(N175*'Data Links'!$B$13)</f>
        <v>7.9082999999999997</v>
      </c>
    </row>
    <row r="178" spans="1:15" x14ac:dyDescent="0.2">
      <c r="A178" s="59" t="s">
        <v>190</v>
      </c>
      <c r="C178" s="66">
        <f>SUM(C174*'Data Links'!$B$8)</f>
        <v>6.7729499999999998</v>
      </c>
      <c r="D178" s="66">
        <f>SUM(D174*'Data Links'!$B$8)</f>
        <v>6.7729499999999998</v>
      </c>
      <c r="E178" s="66">
        <f>SUM(E174*'Data Links'!$B$8)</f>
        <v>6.7729499999999998</v>
      </c>
      <c r="F178" s="66">
        <f>SUM(F174*'Data Links'!$B$8)</f>
        <v>6.7729499999999998</v>
      </c>
      <c r="G178" s="66">
        <f>SUM(G174*'Data Links'!$B$8)</f>
        <v>6.7729499999999998</v>
      </c>
      <c r="H178" s="66">
        <f>SUM(H174*'Data Links'!$B$8)</f>
        <v>6.7729499999999998</v>
      </c>
      <c r="I178" s="66">
        <f>SUM(I174*'Data Links'!$B$8)</f>
        <v>6.7729499999999998</v>
      </c>
      <c r="J178" s="66">
        <f>SUM(J174*'Data Links'!$B$8)</f>
        <v>6.7729499999999998</v>
      </c>
      <c r="K178" s="66">
        <f>SUM(K174*'Data Links'!$B$8)</f>
        <v>6.7729499999999998</v>
      </c>
      <c r="L178" s="66">
        <f>SUM(L174*'Data Links'!$B$8)</f>
        <v>6.7729499999999998</v>
      </c>
      <c r="M178" s="66">
        <f>SUM(M174*'Data Links'!$B$8)</f>
        <v>6.7729499999999998</v>
      </c>
      <c r="N178" s="66">
        <f>SUM(N174*'Data Links'!$B$8)</f>
        <v>6.7729499999999998</v>
      </c>
    </row>
    <row r="179" spans="1:15" x14ac:dyDescent="0.2">
      <c r="A179" s="59" t="s">
        <v>191</v>
      </c>
      <c r="C179" s="66"/>
      <c r="D179" s="66"/>
      <c r="E179" s="66"/>
      <c r="F179" s="66"/>
      <c r="G179" s="66"/>
      <c r="H179" s="66"/>
      <c r="I179" s="66"/>
      <c r="J179" s="66"/>
      <c r="K179" s="66"/>
      <c r="L179" s="66"/>
      <c r="M179" s="66"/>
      <c r="N179" s="66"/>
    </row>
    <row r="180" spans="1:15" x14ac:dyDescent="0.2">
      <c r="A180" s="59" t="s">
        <v>192</v>
      </c>
      <c r="C180" s="66">
        <f>SUM(C175*'Data Links'!$B$17)</f>
        <v>39.541499999999999</v>
      </c>
      <c r="D180" s="66">
        <f>SUM(D175*'Data Links'!$B$17)</f>
        <v>39.541499999999999</v>
      </c>
      <c r="E180" s="66">
        <f>SUM(E175*'Data Links'!$B$17)</f>
        <v>39.541499999999999</v>
      </c>
      <c r="F180" s="66">
        <f>SUM(F175*'Data Links'!$B$17)</f>
        <v>39.541499999999999</v>
      </c>
      <c r="G180" s="66">
        <f>SUM(G175*'Data Links'!$B$17)</f>
        <v>39.541499999999999</v>
      </c>
      <c r="H180" s="66">
        <f>SUM(H175*'Data Links'!$B$17)</f>
        <v>39.541499999999999</v>
      </c>
      <c r="I180" s="66">
        <f>SUM(I175*'Data Links'!$B$17)</f>
        <v>39.541499999999999</v>
      </c>
      <c r="J180" s="66">
        <f>SUM(J175*'Data Links'!$B$17)</f>
        <v>39.541499999999999</v>
      </c>
      <c r="K180" s="66">
        <f>SUM(K175*'Data Links'!$B$17)</f>
        <v>39.541499999999999</v>
      </c>
      <c r="L180" s="66">
        <f>SUM(L175*'Data Links'!$B$17)</f>
        <v>39.541499999999999</v>
      </c>
      <c r="M180" s="66">
        <f>SUM(M175*'Data Links'!$B$17)</f>
        <v>39.541499999999999</v>
      </c>
      <c r="N180" s="66">
        <f>SUM(N175*'Data Links'!$B$17)</f>
        <v>39.541499999999999</v>
      </c>
    </row>
    <row r="181" spans="1:15" s="58" customFormat="1" x14ac:dyDescent="0.2">
      <c r="A181" s="58" t="s">
        <v>144</v>
      </c>
      <c r="B181" s="60"/>
      <c r="C181" s="60">
        <f t="shared" ref="C181:N181" si="38">SUM(C175:C180)</f>
        <v>1473.1035750000001</v>
      </c>
      <c r="D181" s="60">
        <f t="shared" si="38"/>
        <v>1473.1035750000001</v>
      </c>
      <c r="E181" s="60">
        <f t="shared" si="38"/>
        <v>1473.1035750000001</v>
      </c>
      <c r="F181" s="60">
        <f t="shared" si="38"/>
        <v>1473.1035750000001</v>
      </c>
      <c r="G181" s="60">
        <f t="shared" si="38"/>
        <v>1473.1035750000001</v>
      </c>
      <c r="H181" s="60">
        <f t="shared" si="38"/>
        <v>1473.1035750000001</v>
      </c>
      <c r="I181" s="60">
        <f t="shared" si="38"/>
        <v>1473.1035750000001</v>
      </c>
      <c r="J181" s="60">
        <f t="shared" si="38"/>
        <v>1473.1035750000001</v>
      </c>
      <c r="K181" s="60">
        <f t="shared" si="38"/>
        <v>1473.1035750000001</v>
      </c>
      <c r="L181" s="60">
        <f t="shared" si="38"/>
        <v>1473.1035750000001</v>
      </c>
      <c r="M181" s="60">
        <f t="shared" si="38"/>
        <v>1473.1035750000001</v>
      </c>
      <c r="N181" s="60">
        <f t="shared" si="38"/>
        <v>1473.1035750000001</v>
      </c>
      <c r="O181" s="60">
        <f>SUM(C181:N181)</f>
        <v>17677.242900000005</v>
      </c>
    </row>
    <row r="182" spans="1:15" x14ac:dyDescent="0.2">
      <c r="C182" s="60"/>
      <c r="D182" s="66"/>
      <c r="E182" s="66"/>
      <c r="F182" s="66"/>
      <c r="G182" s="66"/>
      <c r="H182" s="66"/>
      <c r="I182" s="66"/>
      <c r="J182" s="66"/>
      <c r="K182" s="66"/>
      <c r="L182" s="66"/>
      <c r="M182" s="66"/>
      <c r="N182" s="66"/>
    </row>
    <row r="183" spans="1:15" x14ac:dyDescent="0.2">
      <c r="C183" s="89" t="str">
        <f>C170</f>
        <v>January</v>
      </c>
      <c r="D183" s="89" t="str">
        <f t="shared" ref="D183:N183" si="39">D170</f>
        <v>February</v>
      </c>
      <c r="E183" s="89" t="str">
        <f t="shared" si="39"/>
        <v>March</v>
      </c>
      <c r="F183" s="89" t="str">
        <f t="shared" si="39"/>
        <v>April</v>
      </c>
      <c r="G183" s="89" t="str">
        <f t="shared" si="39"/>
        <v>May</v>
      </c>
      <c r="H183" s="89" t="str">
        <f t="shared" si="39"/>
        <v>June</v>
      </c>
      <c r="I183" s="89" t="str">
        <f t="shared" si="39"/>
        <v>July</v>
      </c>
      <c r="J183" s="89" t="str">
        <f t="shared" si="39"/>
        <v>August</v>
      </c>
      <c r="K183" s="89" t="str">
        <f t="shared" si="39"/>
        <v>September</v>
      </c>
      <c r="L183" s="89" t="str">
        <f t="shared" si="39"/>
        <v>October</v>
      </c>
      <c r="M183" s="89" t="str">
        <f t="shared" si="39"/>
        <v>November</v>
      </c>
      <c r="N183" s="89" t="str">
        <f t="shared" si="39"/>
        <v>December</v>
      </c>
    </row>
    <row r="184" spans="1:15" x14ac:dyDescent="0.2">
      <c r="C184" s="89">
        <f t="shared" ref="C184:N185" si="40">C171</f>
        <v>30</v>
      </c>
      <c r="D184" s="89">
        <f t="shared" si="40"/>
        <v>31</v>
      </c>
      <c r="E184" s="89">
        <f t="shared" si="40"/>
        <v>30</v>
      </c>
      <c r="F184" s="89">
        <f t="shared" si="40"/>
        <v>31</v>
      </c>
      <c r="G184" s="89">
        <f t="shared" si="40"/>
        <v>31</v>
      </c>
      <c r="H184" s="89">
        <f t="shared" si="40"/>
        <v>30</v>
      </c>
      <c r="I184" s="89">
        <f t="shared" si="40"/>
        <v>31</v>
      </c>
      <c r="J184" s="89">
        <f t="shared" si="40"/>
        <v>30</v>
      </c>
      <c r="K184" s="89">
        <f t="shared" si="40"/>
        <v>31</v>
      </c>
      <c r="L184" s="89">
        <f t="shared" si="40"/>
        <v>31</v>
      </c>
      <c r="M184" s="89">
        <f t="shared" si="40"/>
        <v>28</v>
      </c>
      <c r="N184" s="89">
        <f t="shared" si="40"/>
        <v>31</v>
      </c>
    </row>
    <row r="185" spans="1:15" x14ac:dyDescent="0.2">
      <c r="B185" s="89" t="s">
        <v>185</v>
      </c>
      <c r="C185" s="78">
        <f t="shared" si="40"/>
        <v>0</v>
      </c>
      <c r="D185" s="78">
        <f t="shared" si="40"/>
        <v>1</v>
      </c>
      <c r="E185" s="78">
        <f t="shared" si="40"/>
        <v>0</v>
      </c>
      <c r="F185" s="78">
        <f t="shared" si="40"/>
        <v>1</v>
      </c>
      <c r="G185" s="78">
        <f t="shared" si="40"/>
        <v>0</v>
      </c>
      <c r="H185" s="78">
        <f t="shared" si="40"/>
        <v>1</v>
      </c>
      <c r="I185" s="78">
        <f t="shared" si="40"/>
        <v>1</v>
      </c>
      <c r="J185" s="78">
        <f t="shared" si="40"/>
        <v>1</v>
      </c>
      <c r="K185" s="78">
        <f t="shared" si="40"/>
        <v>1</v>
      </c>
      <c r="L185" s="78">
        <f t="shared" si="40"/>
        <v>2</v>
      </c>
      <c r="M185" s="78">
        <f t="shared" si="40"/>
        <v>1</v>
      </c>
      <c r="N185" s="78">
        <f t="shared" si="40"/>
        <v>0</v>
      </c>
    </row>
    <row r="186" spans="1:15" x14ac:dyDescent="0.2">
      <c r="B186" s="89" t="s">
        <v>44</v>
      </c>
      <c r="C186" s="49">
        <f>SUM('Program Support Allocations'!$C$19)</f>
        <v>3.1609195402298854E-2</v>
      </c>
      <c r="D186" s="49">
        <f>SUM('Program Support Allocations'!$C$19)</f>
        <v>3.1609195402298854E-2</v>
      </c>
      <c r="E186" s="49">
        <f>SUM('Program Support Allocations'!$C$19)</f>
        <v>3.1609195402298854E-2</v>
      </c>
      <c r="F186" s="49">
        <f>SUM('Program Support Allocations'!$C$19)</f>
        <v>3.1609195402298854E-2</v>
      </c>
      <c r="G186" s="49">
        <f>SUM('Program Support Allocations'!$C$19)</f>
        <v>3.1609195402298854E-2</v>
      </c>
      <c r="H186" s="49">
        <f>SUM('Program Support Allocations'!$C$19)</f>
        <v>3.1609195402298854E-2</v>
      </c>
      <c r="I186" s="49">
        <f>SUM('Program Support Allocations'!$C$19)</f>
        <v>3.1609195402298854E-2</v>
      </c>
      <c r="J186" s="49">
        <f>SUM('Program Support Allocations'!$C$19)</f>
        <v>3.1609195402298854E-2</v>
      </c>
      <c r="K186" s="49">
        <f>SUM('Program Support Allocations'!$C$19)</f>
        <v>3.1609195402298854E-2</v>
      </c>
      <c r="L186" s="49">
        <f>SUM('Program Support Allocations'!$C$19)</f>
        <v>3.1609195402298854E-2</v>
      </c>
      <c r="M186" s="49">
        <f>SUM('Program Support Allocations'!$C$19)</f>
        <v>3.1609195402298854E-2</v>
      </c>
      <c r="N186" s="49">
        <f>SUM('Program Support Allocations'!$C$19)</f>
        <v>3.1609195402298854E-2</v>
      </c>
    </row>
    <row r="187" spans="1:15" x14ac:dyDescent="0.2">
      <c r="B187" s="89" t="s">
        <v>186</v>
      </c>
      <c r="C187" s="53">
        <f>SUM(174*C186)</f>
        <v>5.5000000000000009</v>
      </c>
      <c r="D187" s="53">
        <f t="shared" ref="D187:N187" si="41">SUM(174*D186)</f>
        <v>5.5000000000000009</v>
      </c>
      <c r="E187" s="53">
        <f t="shared" si="41"/>
        <v>5.5000000000000009</v>
      </c>
      <c r="F187" s="53">
        <f t="shared" si="41"/>
        <v>5.5000000000000009</v>
      </c>
      <c r="G187" s="53">
        <f t="shared" si="41"/>
        <v>5.5000000000000009</v>
      </c>
      <c r="H187" s="53">
        <f t="shared" si="41"/>
        <v>5.5000000000000009</v>
      </c>
      <c r="I187" s="53">
        <f t="shared" si="41"/>
        <v>5.5000000000000009</v>
      </c>
      <c r="J187" s="53">
        <f t="shared" si="41"/>
        <v>5.5000000000000009</v>
      </c>
      <c r="K187" s="53">
        <f t="shared" si="41"/>
        <v>5.5000000000000009</v>
      </c>
      <c r="L187" s="53">
        <f t="shared" si="41"/>
        <v>5.5000000000000009</v>
      </c>
      <c r="M187" s="53">
        <f t="shared" si="41"/>
        <v>5.5000000000000009</v>
      </c>
      <c r="N187" s="53">
        <f t="shared" si="41"/>
        <v>5.5000000000000009</v>
      </c>
    </row>
    <row r="188" spans="1:15" x14ac:dyDescent="0.2">
      <c r="A188" s="59" t="s">
        <v>349</v>
      </c>
      <c r="B188" s="78" t="s">
        <v>348</v>
      </c>
      <c r="C188" s="66">
        <f>SUM(C187*$B$189)</f>
        <v>86.625000000000014</v>
      </c>
      <c r="D188" s="66">
        <f t="shared" ref="D188:N188" si="42">SUM(D187*$B$189)</f>
        <v>86.625000000000014</v>
      </c>
      <c r="E188" s="66">
        <f t="shared" si="42"/>
        <v>86.625000000000014</v>
      </c>
      <c r="F188" s="66">
        <f t="shared" si="42"/>
        <v>86.625000000000014</v>
      </c>
      <c r="G188" s="66">
        <f t="shared" si="42"/>
        <v>86.625000000000014</v>
      </c>
      <c r="H188" s="66">
        <f t="shared" si="42"/>
        <v>86.625000000000014</v>
      </c>
      <c r="I188" s="66">
        <f t="shared" si="42"/>
        <v>86.625000000000014</v>
      </c>
      <c r="J188" s="66">
        <f t="shared" si="42"/>
        <v>86.625000000000014</v>
      </c>
      <c r="K188" s="66">
        <f t="shared" si="42"/>
        <v>86.625000000000014</v>
      </c>
      <c r="L188" s="66">
        <f t="shared" si="42"/>
        <v>86.625000000000014</v>
      </c>
      <c r="M188" s="66">
        <f t="shared" si="42"/>
        <v>86.625000000000014</v>
      </c>
      <c r="N188" s="66">
        <f t="shared" si="42"/>
        <v>86.625000000000014</v>
      </c>
    </row>
    <row r="189" spans="1:15" x14ac:dyDescent="0.2">
      <c r="A189" s="59" t="s">
        <v>188</v>
      </c>
      <c r="B189" s="74">
        <v>15.75</v>
      </c>
      <c r="C189" s="66">
        <f>SUM(C188)*'Data Links'!$B$15</f>
        <v>6.6268125000000007</v>
      </c>
      <c r="D189" s="66">
        <f>SUM(D188)*'Data Links'!$B$15</f>
        <v>6.6268125000000007</v>
      </c>
      <c r="E189" s="66">
        <f>SUM(E188)*'Data Links'!$B$15</f>
        <v>6.6268125000000007</v>
      </c>
      <c r="F189" s="66">
        <f>SUM(F188)*'Data Links'!$B$15</f>
        <v>6.6268125000000007</v>
      </c>
      <c r="G189" s="66">
        <f>SUM(G188)*'Data Links'!$B$15</f>
        <v>6.6268125000000007</v>
      </c>
      <c r="H189" s="66">
        <f>SUM(H188)*'Data Links'!$B$15</f>
        <v>6.6268125000000007</v>
      </c>
      <c r="I189" s="66">
        <f>SUM(I188)*'Data Links'!$B$15</f>
        <v>6.6268125000000007</v>
      </c>
      <c r="J189" s="66">
        <f>SUM(J188)*'Data Links'!$B$15</f>
        <v>6.6268125000000007</v>
      </c>
      <c r="K189" s="66">
        <f>SUM(K188)*'Data Links'!$B$15</f>
        <v>6.6268125000000007</v>
      </c>
      <c r="L189" s="66">
        <f>SUM(L188)*'Data Links'!$B$15</f>
        <v>6.6268125000000007</v>
      </c>
      <c r="M189" s="66">
        <f>SUM(M188)*'Data Links'!$B$15</f>
        <v>6.6268125000000007</v>
      </c>
      <c r="N189" s="66">
        <f>SUM(N188)*'Data Links'!$B$15</f>
        <v>6.6268125000000007</v>
      </c>
    </row>
    <row r="190" spans="1:15" x14ac:dyDescent="0.2">
      <c r="A190" s="59" t="s">
        <v>189</v>
      </c>
      <c r="B190" s="74">
        <v>14.66</v>
      </c>
      <c r="C190" s="66">
        <f>SUM(C188*'Data Links'!$B$13)</f>
        <v>0.51975000000000005</v>
      </c>
      <c r="D190" s="66">
        <f>SUM(D188*'Data Links'!$B$13)</f>
        <v>0.51975000000000005</v>
      </c>
      <c r="E190" s="66">
        <f>SUM(E188*'Data Links'!$B$13)</f>
        <v>0.51975000000000005</v>
      </c>
      <c r="F190" s="66">
        <f>SUM(F188*'Data Links'!$B$13)</f>
        <v>0.51975000000000005</v>
      </c>
      <c r="G190" s="66">
        <f>SUM(G188*'Data Links'!$B$13)</f>
        <v>0.51975000000000005</v>
      </c>
      <c r="H190" s="66">
        <f>SUM(H188*'Data Links'!$B$13)</f>
        <v>0.51975000000000005</v>
      </c>
      <c r="I190" s="66">
        <f>SUM(I188*'Data Links'!$B$13)</f>
        <v>0.51975000000000005</v>
      </c>
      <c r="J190" s="66">
        <f>SUM(J188*'Data Links'!$B$13)</f>
        <v>0.51975000000000005</v>
      </c>
      <c r="K190" s="66">
        <f>SUM(K188*'Data Links'!$B$13)</f>
        <v>0.51975000000000005</v>
      </c>
      <c r="L190" s="66">
        <f>SUM(L188*'Data Links'!$B$13)</f>
        <v>0.51975000000000005</v>
      </c>
      <c r="M190" s="66">
        <f>SUM(M188*'Data Links'!$B$13)</f>
        <v>0.51975000000000005</v>
      </c>
      <c r="N190" s="66">
        <f>SUM(N188*'Data Links'!$B$13)</f>
        <v>0.51975000000000005</v>
      </c>
    </row>
    <row r="191" spans="1:15" x14ac:dyDescent="0.2">
      <c r="A191" s="59" t="s">
        <v>190</v>
      </c>
      <c r="C191" s="66">
        <f>SUM(C187*'Data Links'!$B$8)</f>
        <v>0.42817500000000008</v>
      </c>
      <c r="D191" s="66">
        <f>SUM(D187*'Data Links'!$B$8)</f>
        <v>0.42817500000000008</v>
      </c>
      <c r="E191" s="66">
        <f>SUM(E187*'Data Links'!$B$8)</f>
        <v>0.42817500000000008</v>
      </c>
      <c r="F191" s="66">
        <f>SUM(F187*'Data Links'!$B$8)</f>
        <v>0.42817500000000008</v>
      </c>
      <c r="G191" s="66">
        <f>SUM(G187*'Data Links'!$B$8)</f>
        <v>0.42817500000000008</v>
      </c>
      <c r="H191" s="66">
        <f>SUM(H187*'Data Links'!$B$8)</f>
        <v>0.42817500000000008</v>
      </c>
      <c r="I191" s="66">
        <f>SUM(I187*'Data Links'!$B$8)</f>
        <v>0.42817500000000008</v>
      </c>
      <c r="J191" s="66">
        <f>SUM(J187*'Data Links'!$B$8)</f>
        <v>0.42817500000000008</v>
      </c>
      <c r="K191" s="66">
        <f>SUM(K187*'Data Links'!$B$8)</f>
        <v>0.42817500000000008</v>
      </c>
      <c r="L191" s="66">
        <f>SUM(L187*'Data Links'!$B$8)</f>
        <v>0.42817500000000008</v>
      </c>
      <c r="M191" s="66">
        <f>SUM(M187*'Data Links'!$B$8)</f>
        <v>0.42817500000000008</v>
      </c>
      <c r="N191" s="66">
        <f>SUM(N187*'Data Links'!$B$8)</f>
        <v>0.42817500000000008</v>
      </c>
    </row>
    <row r="192" spans="1:15" x14ac:dyDescent="0.2">
      <c r="A192" s="59" t="s">
        <v>191</v>
      </c>
      <c r="C192" s="66">
        <f>SUM('Data Links'!$B$25*'SK - PERM'!C186)</f>
        <v>13.480057471264368</v>
      </c>
      <c r="D192" s="66">
        <f>SUM('Data Links'!$B$25*'SK - PERM'!D186)</f>
        <v>13.480057471264368</v>
      </c>
      <c r="E192" s="66">
        <f>SUM('Data Links'!$B$25*'SK - PERM'!E186)</f>
        <v>13.480057471264368</v>
      </c>
      <c r="F192" s="66">
        <f>SUM('Data Links'!$B$25*'SK - PERM'!F186)</f>
        <v>13.480057471264368</v>
      </c>
      <c r="G192" s="66">
        <f>SUM('Data Links'!$B$25*'SK - PERM'!G186)</f>
        <v>13.480057471264368</v>
      </c>
      <c r="H192" s="66">
        <f>SUM('Data Links'!$B$25*'SK - PERM'!H186)</f>
        <v>13.480057471264368</v>
      </c>
      <c r="I192" s="66">
        <f>SUM('Data Links'!$B$25*'SK - PERM'!I186)</f>
        <v>13.480057471264368</v>
      </c>
      <c r="J192" s="66">
        <f>SUM('Data Links'!$B$25*'SK - PERM'!J186)</f>
        <v>13.480057471264368</v>
      </c>
      <c r="K192" s="66">
        <f>SUM('Data Links'!$B$25*'SK - PERM'!K186)</f>
        <v>13.480057471264368</v>
      </c>
      <c r="L192" s="66">
        <f>SUM('Data Links'!$B$25*'SK - PERM'!L186)</f>
        <v>13.480057471264368</v>
      </c>
      <c r="M192" s="66">
        <f>SUM('Data Links'!$B$25*'SK - PERM'!M186)</f>
        <v>13.480057471264368</v>
      </c>
      <c r="N192" s="66">
        <f>SUM('Data Links'!$B$25*'SK - PERM'!N186)</f>
        <v>13.480057471264368</v>
      </c>
    </row>
    <row r="193" spans="1:14" x14ac:dyDescent="0.2">
      <c r="A193" s="59" t="s">
        <v>192</v>
      </c>
      <c r="C193" s="66">
        <f>SUM(C188*'Data Links'!$B$17)</f>
        <v>2.5987500000000003</v>
      </c>
      <c r="D193" s="66">
        <f>SUM(D188*'Data Links'!$B$17)</f>
        <v>2.5987500000000003</v>
      </c>
      <c r="E193" s="66">
        <f>SUM(E188*'Data Links'!$B$17)</f>
        <v>2.5987500000000003</v>
      </c>
      <c r="F193" s="66">
        <f>SUM(F188*'Data Links'!$B$17)</f>
        <v>2.5987500000000003</v>
      </c>
      <c r="G193" s="66">
        <f>SUM(G188*'Data Links'!$B$17)</f>
        <v>2.5987500000000003</v>
      </c>
      <c r="H193" s="66">
        <f>SUM(H188*'Data Links'!$B$17)</f>
        <v>2.5987500000000003</v>
      </c>
      <c r="I193" s="66">
        <f>SUM(I188*'Data Links'!$B$17)</f>
        <v>2.5987500000000003</v>
      </c>
      <c r="J193" s="66">
        <f>SUM(J188*'Data Links'!$B$17)</f>
        <v>2.5987500000000003</v>
      </c>
      <c r="K193" s="66">
        <f>SUM(K188*'Data Links'!$B$17)</f>
        <v>2.5987500000000003</v>
      </c>
      <c r="L193" s="66">
        <f>SUM(L188*'Data Links'!$B$17)</f>
        <v>2.5987500000000003</v>
      </c>
      <c r="M193" s="66">
        <f>SUM(M188*'Data Links'!$B$17)</f>
        <v>2.5987500000000003</v>
      </c>
      <c r="N193" s="66">
        <f>SUM(N188*'Data Links'!$B$17)</f>
        <v>2.5987500000000003</v>
      </c>
    </row>
    <row r="194" spans="1:14" s="58" customFormat="1" x14ac:dyDescent="0.2">
      <c r="A194" s="58" t="s">
        <v>144</v>
      </c>
      <c r="B194" s="60"/>
      <c r="C194" s="60">
        <f t="shared" ref="C194:N194" si="43">SUM(C188:C193)</f>
        <v>110.27854497126438</v>
      </c>
      <c r="D194" s="60">
        <f t="shared" si="43"/>
        <v>110.27854497126438</v>
      </c>
      <c r="E194" s="60">
        <f t="shared" si="43"/>
        <v>110.27854497126438</v>
      </c>
      <c r="F194" s="60">
        <f t="shared" si="43"/>
        <v>110.27854497126438</v>
      </c>
      <c r="G194" s="60">
        <f t="shared" si="43"/>
        <v>110.27854497126438</v>
      </c>
      <c r="H194" s="60">
        <f t="shared" si="43"/>
        <v>110.27854497126438</v>
      </c>
      <c r="I194" s="60">
        <f t="shared" si="43"/>
        <v>110.27854497126438</v>
      </c>
      <c r="J194" s="60">
        <f t="shared" si="43"/>
        <v>110.27854497126438</v>
      </c>
      <c r="K194" s="60">
        <f t="shared" si="43"/>
        <v>110.27854497126438</v>
      </c>
      <c r="L194" s="60">
        <f t="shared" si="43"/>
        <v>110.27854497126438</v>
      </c>
      <c r="M194" s="60">
        <f t="shared" si="43"/>
        <v>110.27854497126438</v>
      </c>
      <c r="N194" s="60">
        <f t="shared" si="43"/>
        <v>110.27854497126438</v>
      </c>
    </row>
    <row r="195" spans="1:14" x14ac:dyDescent="0.2">
      <c r="C195" s="60"/>
      <c r="D195" s="66"/>
      <c r="E195" s="66"/>
      <c r="F195" s="66"/>
      <c r="G195" s="66"/>
      <c r="H195" s="66"/>
      <c r="I195" s="66"/>
      <c r="J195" s="66"/>
      <c r="K195" s="66"/>
      <c r="L195" s="66"/>
      <c r="M195" s="66"/>
      <c r="N195" s="66"/>
    </row>
    <row r="196" spans="1:14" x14ac:dyDescent="0.2">
      <c r="C196" s="89" t="str">
        <f>C183</f>
        <v>January</v>
      </c>
      <c r="D196" s="89" t="str">
        <f t="shared" ref="D196:M196" si="44">D183</f>
        <v>February</v>
      </c>
      <c r="E196" s="89" t="str">
        <f t="shared" si="44"/>
        <v>March</v>
      </c>
      <c r="F196" s="89" t="str">
        <f t="shared" si="44"/>
        <v>April</v>
      </c>
      <c r="G196" s="89" t="str">
        <f t="shared" si="44"/>
        <v>May</v>
      </c>
      <c r="H196" s="89" t="str">
        <f t="shared" si="44"/>
        <v>June</v>
      </c>
      <c r="I196" s="89" t="str">
        <f t="shared" si="44"/>
        <v>July</v>
      </c>
      <c r="J196" s="89" t="str">
        <f t="shared" si="44"/>
        <v>August</v>
      </c>
      <c r="K196" s="89" t="str">
        <f t="shared" si="44"/>
        <v>September</v>
      </c>
      <c r="L196" s="89" t="str">
        <f t="shared" si="44"/>
        <v>October</v>
      </c>
      <c r="M196" s="89" t="str">
        <f t="shared" si="44"/>
        <v>November</v>
      </c>
      <c r="N196" s="89" t="str">
        <f>N183</f>
        <v>December</v>
      </c>
    </row>
    <row r="197" spans="1:14" x14ac:dyDescent="0.2">
      <c r="C197" s="89">
        <f t="shared" ref="C197:N198" si="45">C184</f>
        <v>30</v>
      </c>
      <c r="D197" s="89">
        <f t="shared" si="45"/>
        <v>31</v>
      </c>
      <c r="E197" s="89">
        <f t="shared" si="45"/>
        <v>30</v>
      </c>
      <c r="F197" s="89">
        <f t="shared" si="45"/>
        <v>31</v>
      </c>
      <c r="G197" s="89">
        <f t="shared" si="45"/>
        <v>31</v>
      </c>
      <c r="H197" s="89">
        <f t="shared" si="45"/>
        <v>30</v>
      </c>
      <c r="I197" s="89">
        <f t="shared" si="45"/>
        <v>31</v>
      </c>
      <c r="J197" s="89">
        <f t="shared" si="45"/>
        <v>30</v>
      </c>
      <c r="K197" s="89">
        <f t="shared" si="45"/>
        <v>31</v>
      </c>
      <c r="L197" s="89">
        <f t="shared" si="45"/>
        <v>31</v>
      </c>
      <c r="M197" s="89">
        <f t="shared" si="45"/>
        <v>28</v>
      </c>
      <c r="N197" s="89">
        <f t="shared" si="45"/>
        <v>31</v>
      </c>
    </row>
    <row r="198" spans="1:14" x14ac:dyDescent="0.2">
      <c r="B198" s="89" t="s">
        <v>185</v>
      </c>
      <c r="C198" s="78">
        <f t="shared" si="45"/>
        <v>0</v>
      </c>
      <c r="D198" s="78">
        <f t="shared" si="45"/>
        <v>1</v>
      </c>
      <c r="E198" s="78">
        <f t="shared" si="45"/>
        <v>0</v>
      </c>
      <c r="F198" s="78">
        <f t="shared" si="45"/>
        <v>1</v>
      </c>
      <c r="G198" s="78">
        <f t="shared" si="45"/>
        <v>0</v>
      </c>
      <c r="H198" s="78">
        <f t="shared" si="45"/>
        <v>1</v>
      </c>
      <c r="I198" s="78">
        <f t="shared" si="45"/>
        <v>1</v>
      </c>
      <c r="J198" s="78">
        <f t="shared" si="45"/>
        <v>1</v>
      </c>
      <c r="K198" s="78">
        <f t="shared" si="45"/>
        <v>1</v>
      </c>
      <c r="L198" s="78">
        <f t="shared" si="45"/>
        <v>2</v>
      </c>
      <c r="M198" s="78">
        <f t="shared" si="45"/>
        <v>1</v>
      </c>
      <c r="N198" s="78">
        <f t="shared" si="45"/>
        <v>0</v>
      </c>
    </row>
    <row r="199" spans="1:14" x14ac:dyDescent="0.2">
      <c r="B199" s="89" t="s">
        <v>44</v>
      </c>
      <c r="C199" s="49">
        <f>C186</f>
        <v>3.1609195402298854E-2</v>
      </c>
      <c r="D199" s="49">
        <f t="shared" ref="D199:N199" si="46">D186</f>
        <v>3.1609195402298854E-2</v>
      </c>
      <c r="E199" s="49">
        <f t="shared" si="46"/>
        <v>3.1609195402298854E-2</v>
      </c>
      <c r="F199" s="49">
        <f t="shared" si="46"/>
        <v>3.1609195402298854E-2</v>
      </c>
      <c r="G199" s="49">
        <f t="shared" si="46"/>
        <v>3.1609195402298854E-2</v>
      </c>
      <c r="H199" s="49">
        <f t="shared" si="46"/>
        <v>3.1609195402298854E-2</v>
      </c>
      <c r="I199" s="49">
        <f t="shared" si="46"/>
        <v>3.1609195402298854E-2</v>
      </c>
      <c r="J199" s="49">
        <f t="shared" si="46"/>
        <v>3.1609195402298854E-2</v>
      </c>
      <c r="K199" s="49">
        <f t="shared" si="46"/>
        <v>3.1609195402298854E-2</v>
      </c>
      <c r="L199" s="49">
        <f t="shared" si="46"/>
        <v>3.1609195402298854E-2</v>
      </c>
      <c r="M199" s="49">
        <f t="shared" si="46"/>
        <v>3.1609195402298854E-2</v>
      </c>
      <c r="N199" s="49">
        <f t="shared" si="46"/>
        <v>3.1609195402298854E-2</v>
      </c>
    </row>
    <row r="200" spans="1:14" x14ac:dyDescent="0.2">
      <c r="B200" s="89" t="s">
        <v>186</v>
      </c>
      <c r="C200" s="53">
        <f>SUM(174*C199)</f>
        <v>5.5000000000000009</v>
      </c>
      <c r="D200" s="53">
        <f t="shared" ref="D200:N200" si="47">SUM(174*D199)</f>
        <v>5.5000000000000009</v>
      </c>
      <c r="E200" s="53">
        <f t="shared" si="47"/>
        <v>5.5000000000000009</v>
      </c>
      <c r="F200" s="53">
        <f t="shared" si="47"/>
        <v>5.5000000000000009</v>
      </c>
      <c r="G200" s="53">
        <f t="shared" si="47"/>
        <v>5.5000000000000009</v>
      </c>
      <c r="H200" s="53">
        <f t="shared" si="47"/>
        <v>5.5000000000000009</v>
      </c>
      <c r="I200" s="53">
        <f t="shared" si="47"/>
        <v>5.5000000000000009</v>
      </c>
      <c r="J200" s="53">
        <f t="shared" si="47"/>
        <v>5.5000000000000009</v>
      </c>
      <c r="K200" s="53">
        <f t="shared" si="47"/>
        <v>5.5000000000000009</v>
      </c>
      <c r="L200" s="53">
        <f t="shared" si="47"/>
        <v>5.5000000000000009</v>
      </c>
      <c r="M200" s="53">
        <f t="shared" si="47"/>
        <v>5.5000000000000009</v>
      </c>
      <c r="N200" s="53">
        <f t="shared" si="47"/>
        <v>5.5000000000000009</v>
      </c>
    </row>
    <row r="201" spans="1:14" x14ac:dyDescent="0.2">
      <c r="A201" s="59" t="s">
        <v>557</v>
      </c>
      <c r="B201" s="78" t="s">
        <v>187</v>
      </c>
      <c r="C201" s="66">
        <f>SUM(C200*$B$202)</f>
        <v>100.98000000000002</v>
      </c>
      <c r="D201" s="66">
        <f t="shared" ref="D201:N201" si="48">SUM(D200*$B$202)</f>
        <v>100.98000000000002</v>
      </c>
      <c r="E201" s="66">
        <f t="shared" si="48"/>
        <v>100.98000000000002</v>
      </c>
      <c r="F201" s="66">
        <f t="shared" si="48"/>
        <v>100.98000000000002</v>
      </c>
      <c r="G201" s="66">
        <f t="shared" si="48"/>
        <v>100.98000000000002</v>
      </c>
      <c r="H201" s="66">
        <f t="shared" si="48"/>
        <v>100.98000000000002</v>
      </c>
      <c r="I201" s="66">
        <f t="shared" si="48"/>
        <v>100.98000000000002</v>
      </c>
      <c r="J201" s="66">
        <f t="shared" si="48"/>
        <v>100.98000000000002</v>
      </c>
      <c r="K201" s="66">
        <f t="shared" si="48"/>
        <v>100.98000000000002</v>
      </c>
      <c r="L201" s="66">
        <f t="shared" si="48"/>
        <v>100.98000000000002</v>
      </c>
      <c r="M201" s="66">
        <f t="shared" si="48"/>
        <v>100.98000000000002</v>
      </c>
      <c r="N201" s="66">
        <f t="shared" si="48"/>
        <v>100.98000000000002</v>
      </c>
    </row>
    <row r="202" spans="1:14" x14ac:dyDescent="0.2">
      <c r="A202" s="59" t="s">
        <v>188</v>
      </c>
      <c r="B202" s="74">
        <v>18.36</v>
      </c>
      <c r="C202" s="66">
        <f>SUM(C201)*'Data Links'!$B$15</f>
        <v>7.7249700000000017</v>
      </c>
      <c r="D202" s="66">
        <f>SUM(D201)*'Data Links'!$B$15</f>
        <v>7.7249700000000017</v>
      </c>
      <c r="E202" s="66">
        <f>SUM(E201)*'Data Links'!$B$15</f>
        <v>7.7249700000000017</v>
      </c>
      <c r="F202" s="66">
        <f>SUM(F201)*'Data Links'!$B$15</f>
        <v>7.7249700000000017</v>
      </c>
      <c r="G202" s="66">
        <f>SUM(G201)*'Data Links'!$B$15</f>
        <v>7.7249700000000017</v>
      </c>
      <c r="H202" s="66">
        <f>SUM(H201)*'Data Links'!$B$15</f>
        <v>7.7249700000000017</v>
      </c>
      <c r="I202" s="66">
        <f>SUM(I201)*'Data Links'!$B$15</f>
        <v>7.7249700000000017</v>
      </c>
      <c r="J202" s="66">
        <f>SUM(J201)*'Data Links'!$B$15</f>
        <v>7.7249700000000017</v>
      </c>
      <c r="K202" s="66">
        <f>SUM(K201)*'Data Links'!$B$15</f>
        <v>7.7249700000000017</v>
      </c>
      <c r="L202" s="66">
        <f>SUM(L201)*'Data Links'!$B$15</f>
        <v>7.7249700000000017</v>
      </c>
      <c r="M202" s="66">
        <f>SUM(M201)*'Data Links'!$B$15</f>
        <v>7.7249700000000017</v>
      </c>
      <c r="N202" s="66">
        <f>SUM(N201)*'Data Links'!$B$15</f>
        <v>7.7249700000000017</v>
      </c>
    </row>
    <row r="203" spans="1:14" x14ac:dyDescent="0.2">
      <c r="A203" s="59" t="s">
        <v>189</v>
      </c>
      <c r="C203" s="66">
        <f>SUM(C201*'Data Links'!$B$13)</f>
        <v>0.60588000000000009</v>
      </c>
      <c r="D203" s="66">
        <f>SUM(D201*'Data Links'!$B$13)</f>
        <v>0.60588000000000009</v>
      </c>
      <c r="E203" s="66">
        <f>SUM(E201*'Data Links'!$B$13)</f>
        <v>0.60588000000000009</v>
      </c>
      <c r="F203" s="66">
        <f>SUM(F201*'Data Links'!$B$13)</f>
        <v>0.60588000000000009</v>
      </c>
      <c r="G203" s="66">
        <f>SUM(G201*'Data Links'!$B$13)</f>
        <v>0.60588000000000009</v>
      </c>
      <c r="H203" s="66">
        <f>SUM(H201*'Data Links'!$B$13)</f>
        <v>0.60588000000000009</v>
      </c>
      <c r="I203" s="66">
        <f>SUM(I201*'Data Links'!$B$13)</f>
        <v>0.60588000000000009</v>
      </c>
      <c r="J203" s="66">
        <f>SUM(J201*'Data Links'!$B$13)</f>
        <v>0.60588000000000009</v>
      </c>
      <c r="K203" s="66">
        <f>SUM(K201*'Data Links'!$B$13)</f>
        <v>0.60588000000000009</v>
      </c>
      <c r="L203" s="66">
        <f>SUM(L201*'Data Links'!$B$13)</f>
        <v>0.60588000000000009</v>
      </c>
      <c r="M203" s="66">
        <f>SUM(M201*'Data Links'!$B$13)</f>
        <v>0.60588000000000009</v>
      </c>
      <c r="N203" s="66">
        <f>SUM(N201*'Data Links'!$B$13)</f>
        <v>0.60588000000000009</v>
      </c>
    </row>
    <row r="204" spans="1:14" x14ac:dyDescent="0.2">
      <c r="A204" s="59" t="s">
        <v>190</v>
      </c>
      <c r="C204" s="66">
        <f>SUM(C200*'Data Links'!$B$8)</f>
        <v>0.42817500000000008</v>
      </c>
      <c r="D204" s="66">
        <f>SUM(D200*'Data Links'!$B$8)</f>
        <v>0.42817500000000008</v>
      </c>
      <c r="E204" s="66">
        <f>SUM(E200*'Data Links'!$B$8)</f>
        <v>0.42817500000000008</v>
      </c>
      <c r="F204" s="66">
        <f>SUM(F200*'Data Links'!$B$8)</f>
        <v>0.42817500000000008</v>
      </c>
      <c r="G204" s="66">
        <f>SUM(G200*'Data Links'!$B$8)</f>
        <v>0.42817500000000008</v>
      </c>
      <c r="H204" s="66">
        <f>SUM(H200*'Data Links'!$B$8)</f>
        <v>0.42817500000000008</v>
      </c>
      <c r="I204" s="66">
        <f>SUM(I200*'Data Links'!$B$8)</f>
        <v>0.42817500000000008</v>
      </c>
      <c r="J204" s="66">
        <f>SUM(J200*'Data Links'!$B$8)</f>
        <v>0.42817500000000008</v>
      </c>
      <c r="K204" s="66">
        <f>SUM(K200*'Data Links'!$B$8)</f>
        <v>0.42817500000000008</v>
      </c>
      <c r="L204" s="66">
        <f>SUM(L200*'Data Links'!$B$8)</f>
        <v>0.42817500000000008</v>
      </c>
      <c r="M204" s="66">
        <f>SUM(M200*'Data Links'!$B$8)</f>
        <v>0.42817500000000008</v>
      </c>
      <c r="N204" s="66">
        <f>SUM(N200*'Data Links'!$B$8)</f>
        <v>0.42817500000000008</v>
      </c>
    </row>
    <row r="205" spans="1:14" x14ac:dyDescent="0.2">
      <c r="A205" s="59" t="s">
        <v>191</v>
      </c>
      <c r="C205" s="66">
        <f>SUM('All Employees'!$P$51)*'SK - PERM'!C199</f>
        <v>13.465517241379311</v>
      </c>
      <c r="D205" s="66">
        <f>SUM('All Employees'!$P$51)*'SK - PERM'!D199</f>
        <v>13.465517241379311</v>
      </c>
      <c r="E205" s="66">
        <f>SUM('All Employees'!$P$51)*'SK - PERM'!E199</f>
        <v>13.465517241379311</v>
      </c>
      <c r="F205" s="66">
        <f>SUM('All Employees'!$P$51)*'SK - PERM'!F199</f>
        <v>13.465517241379311</v>
      </c>
      <c r="G205" s="66">
        <f>SUM('All Employees'!$P$51)*'SK - PERM'!G199</f>
        <v>13.465517241379311</v>
      </c>
      <c r="H205" s="66">
        <f>SUM('All Employees'!$P$51)*'SK - PERM'!H199</f>
        <v>13.465517241379311</v>
      </c>
      <c r="I205" s="66">
        <f>SUM('All Employees'!$P$51)*'SK - PERM'!I199</f>
        <v>13.465517241379311</v>
      </c>
      <c r="J205" s="66">
        <f>SUM('All Employees'!$P$51)*'SK - PERM'!J199</f>
        <v>13.465517241379311</v>
      </c>
      <c r="K205" s="66">
        <f>SUM('All Employees'!$P$51)*'SK - PERM'!K199</f>
        <v>13.465517241379311</v>
      </c>
      <c r="L205" s="66">
        <f>SUM('All Employees'!$P$51)*'SK - PERM'!L199</f>
        <v>13.465517241379311</v>
      </c>
      <c r="M205" s="66">
        <f>SUM('All Employees'!$P$51)*'SK - PERM'!M199</f>
        <v>13.465517241379311</v>
      </c>
      <c r="N205" s="66">
        <f>SUM('All Employees'!$P$51)*'SK - PERM'!N199</f>
        <v>13.465517241379311</v>
      </c>
    </row>
    <row r="206" spans="1:14" x14ac:dyDescent="0.2">
      <c r="A206" s="59" t="s">
        <v>192</v>
      </c>
      <c r="C206" s="66">
        <f>SUM(C201*'Data Links'!$B$17)</f>
        <v>3.0294000000000003</v>
      </c>
      <c r="D206" s="66">
        <f>SUM(D201*'Data Links'!$B$17)</f>
        <v>3.0294000000000003</v>
      </c>
      <c r="E206" s="66">
        <f>SUM(E201*'Data Links'!$B$17)</f>
        <v>3.0294000000000003</v>
      </c>
      <c r="F206" s="66">
        <f>SUM(F201*'Data Links'!$B$17)</f>
        <v>3.0294000000000003</v>
      </c>
      <c r="G206" s="66">
        <f>SUM(G201*'Data Links'!$B$17)</f>
        <v>3.0294000000000003</v>
      </c>
      <c r="H206" s="66">
        <f>SUM(H201*'Data Links'!$B$17)</f>
        <v>3.0294000000000003</v>
      </c>
      <c r="I206" s="66">
        <f>SUM(I201*'Data Links'!$B$17)</f>
        <v>3.0294000000000003</v>
      </c>
      <c r="J206" s="66">
        <f>SUM(J201*'Data Links'!$B$17)</f>
        <v>3.0294000000000003</v>
      </c>
      <c r="K206" s="66">
        <f>SUM(K201*'Data Links'!$B$17)</f>
        <v>3.0294000000000003</v>
      </c>
      <c r="L206" s="66">
        <f>SUM(L201*'Data Links'!$B$17)</f>
        <v>3.0294000000000003</v>
      </c>
      <c r="M206" s="66">
        <f>SUM(M201*'Data Links'!$B$17)</f>
        <v>3.0294000000000003</v>
      </c>
      <c r="N206" s="66">
        <f>SUM(N201*'Data Links'!$B$17)</f>
        <v>3.0294000000000003</v>
      </c>
    </row>
    <row r="207" spans="1:14" s="58" customFormat="1" x14ac:dyDescent="0.2">
      <c r="A207" s="58" t="s">
        <v>144</v>
      </c>
      <c r="B207" s="60"/>
      <c r="C207" s="60">
        <f t="shared" ref="C207:N207" si="49">SUM(C201:C206)</f>
        <v>126.23394224137932</v>
      </c>
      <c r="D207" s="60">
        <f t="shared" si="49"/>
        <v>126.23394224137932</v>
      </c>
      <c r="E207" s="60">
        <f t="shared" si="49"/>
        <v>126.23394224137932</v>
      </c>
      <c r="F207" s="60">
        <f t="shared" si="49"/>
        <v>126.23394224137932</v>
      </c>
      <c r="G207" s="60">
        <f t="shared" si="49"/>
        <v>126.23394224137932</v>
      </c>
      <c r="H207" s="60">
        <f t="shared" si="49"/>
        <v>126.23394224137932</v>
      </c>
      <c r="I207" s="60">
        <f t="shared" si="49"/>
        <v>126.23394224137932</v>
      </c>
      <c r="J207" s="60">
        <f t="shared" si="49"/>
        <v>126.23394224137932</v>
      </c>
      <c r="K207" s="60">
        <f t="shared" si="49"/>
        <v>126.23394224137932</v>
      </c>
      <c r="L207" s="60">
        <f t="shared" si="49"/>
        <v>126.23394224137932</v>
      </c>
      <c r="M207" s="60">
        <f t="shared" si="49"/>
        <v>126.23394224137932</v>
      </c>
      <c r="N207" s="60">
        <f t="shared" si="49"/>
        <v>126.23394224137932</v>
      </c>
    </row>
    <row r="208" spans="1:14" x14ac:dyDescent="0.2">
      <c r="C208" s="60"/>
      <c r="D208" s="66"/>
      <c r="E208" s="66"/>
      <c r="F208" s="66"/>
      <c r="G208" s="66"/>
      <c r="H208" s="66"/>
      <c r="I208" s="66"/>
      <c r="J208" s="66"/>
      <c r="K208" s="66"/>
      <c r="L208" s="66"/>
      <c r="M208" s="66"/>
      <c r="N208" s="66"/>
    </row>
    <row r="209" spans="1:14" hidden="1" x14ac:dyDescent="0.2">
      <c r="C209" s="89" t="str">
        <f>C196</f>
        <v>January</v>
      </c>
      <c r="D209" s="89" t="str">
        <f t="shared" ref="D209:M209" si="50">D196</f>
        <v>February</v>
      </c>
      <c r="E209" s="89" t="str">
        <f t="shared" si="50"/>
        <v>March</v>
      </c>
      <c r="F209" s="89" t="str">
        <f t="shared" si="50"/>
        <v>April</v>
      </c>
      <c r="G209" s="89" t="str">
        <f t="shared" si="50"/>
        <v>May</v>
      </c>
      <c r="H209" s="89" t="str">
        <f t="shared" si="50"/>
        <v>June</v>
      </c>
      <c r="I209" s="89" t="str">
        <f t="shared" si="50"/>
        <v>July</v>
      </c>
      <c r="J209" s="89" t="str">
        <f t="shared" si="50"/>
        <v>August</v>
      </c>
      <c r="K209" s="89" t="str">
        <f t="shared" si="50"/>
        <v>September</v>
      </c>
      <c r="L209" s="89" t="str">
        <f t="shared" si="50"/>
        <v>October</v>
      </c>
      <c r="M209" s="89" t="str">
        <f t="shared" si="50"/>
        <v>November</v>
      </c>
      <c r="N209" s="89" t="str">
        <f>N196</f>
        <v>December</v>
      </c>
    </row>
    <row r="210" spans="1:14" hidden="1" x14ac:dyDescent="0.2">
      <c r="C210" s="89">
        <f t="shared" ref="C210:N211" si="51">C197</f>
        <v>30</v>
      </c>
      <c r="D210" s="89">
        <f t="shared" si="51"/>
        <v>31</v>
      </c>
      <c r="E210" s="89">
        <f t="shared" si="51"/>
        <v>30</v>
      </c>
      <c r="F210" s="89">
        <f t="shared" si="51"/>
        <v>31</v>
      </c>
      <c r="G210" s="89">
        <f t="shared" si="51"/>
        <v>31</v>
      </c>
      <c r="H210" s="89">
        <f t="shared" si="51"/>
        <v>30</v>
      </c>
      <c r="I210" s="89">
        <f t="shared" si="51"/>
        <v>31</v>
      </c>
      <c r="J210" s="89">
        <f t="shared" si="51"/>
        <v>30</v>
      </c>
      <c r="K210" s="89">
        <f t="shared" si="51"/>
        <v>31</v>
      </c>
      <c r="L210" s="89">
        <f t="shared" si="51"/>
        <v>31</v>
      </c>
      <c r="M210" s="89">
        <f t="shared" si="51"/>
        <v>28</v>
      </c>
      <c r="N210" s="89">
        <f t="shared" si="51"/>
        <v>31</v>
      </c>
    </row>
    <row r="211" spans="1:14" hidden="1" x14ac:dyDescent="0.2">
      <c r="B211" s="89" t="s">
        <v>185</v>
      </c>
      <c r="C211" s="78">
        <f t="shared" si="51"/>
        <v>0</v>
      </c>
      <c r="D211" s="78">
        <f t="shared" si="51"/>
        <v>1</v>
      </c>
      <c r="E211" s="78">
        <f t="shared" si="51"/>
        <v>0</v>
      </c>
      <c r="F211" s="78">
        <f t="shared" si="51"/>
        <v>1</v>
      </c>
      <c r="G211" s="78">
        <f t="shared" si="51"/>
        <v>0</v>
      </c>
      <c r="H211" s="78">
        <f t="shared" si="51"/>
        <v>1</v>
      </c>
      <c r="I211" s="78">
        <f t="shared" si="51"/>
        <v>1</v>
      </c>
      <c r="J211" s="78">
        <f t="shared" si="51"/>
        <v>1</v>
      </c>
      <c r="K211" s="78">
        <f t="shared" si="51"/>
        <v>1</v>
      </c>
      <c r="L211" s="78">
        <f t="shared" si="51"/>
        <v>2</v>
      </c>
      <c r="M211" s="78">
        <f t="shared" si="51"/>
        <v>1</v>
      </c>
      <c r="N211" s="78">
        <f t="shared" si="51"/>
        <v>0</v>
      </c>
    </row>
    <row r="212" spans="1:14" hidden="1" x14ac:dyDescent="0.2">
      <c r="B212" s="89" t="s">
        <v>44</v>
      </c>
      <c r="C212" s="49"/>
      <c r="D212" s="49"/>
      <c r="E212" s="49"/>
      <c r="F212" s="49"/>
      <c r="G212" s="49"/>
      <c r="H212" s="49"/>
      <c r="I212" s="49"/>
      <c r="J212" s="49"/>
      <c r="K212" s="49"/>
      <c r="L212" s="49"/>
      <c r="M212" s="49"/>
      <c r="N212" s="49"/>
    </row>
    <row r="213" spans="1:14" hidden="1" x14ac:dyDescent="0.2">
      <c r="B213" s="89" t="s">
        <v>186</v>
      </c>
      <c r="C213" s="53">
        <f>SUM(174*C212)</f>
        <v>0</v>
      </c>
      <c r="D213" s="53">
        <f t="shared" ref="D213:N213" si="52">SUM(174*D212)</f>
        <v>0</v>
      </c>
      <c r="E213" s="53">
        <f t="shared" si="52"/>
        <v>0</v>
      </c>
      <c r="F213" s="53">
        <f t="shared" si="52"/>
        <v>0</v>
      </c>
      <c r="G213" s="53">
        <f t="shared" si="52"/>
        <v>0</v>
      </c>
      <c r="H213" s="53">
        <f t="shared" si="52"/>
        <v>0</v>
      </c>
      <c r="I213" s="53">
        <f t="shared" si="52"/>
        <v>0</v>
      </c>
      <c r="J213" s="53">
        <f t="shared" si="52"/>
        <v>0</v>
      </c>
      <c r="K213" s="53">
        <f t="shared" si="52"/>
        <v>0</v>
      </c>
      <c r="L213" s="53">
        <f t="shared" si="52"/>
        <v>0</v>
      </c>
      <c r="M213" s="53">
        <f t="shared" si="52"/>
        <v>0</v>
      </c>
      <c r="N213" s="53">
        <f t="shared" si="52"/>
        <v>0</v>
      </c>
    </row>
    <row r="214" spans="1:14" hidden="1" x14ac:dyDescent="0.2">
      <c r="A214" s="59" t="s">
        <v>193</v>
      </c>
      <c r="B214" s="78" t="s">
        <v>187</v>
      </c>
      <c r="C214" s="66">
        <f>SUM(C213*$B$215)</f>
        <v>0</v>
      </c>
      <c r="D214" s="66">
        <f t="shared" ref="D214:N214" si="53">SUM(D213*$B$215)</f>
        <v>0</v>
      </c>
      <c r="E214" s="66">
        <f t="shared" si="53"/>
        <v>0</v>
      </c>
      <c r="F214" s="66">
        <f t="shared" si="53"/>
        <v>0</v>
      </c>
      <c r="G214" s="66">
        <f t="shared" si="53"/>
        <v>0</v>
      </c>
      <c r="H214" s="66">
        <f t="shared" si="53"/>
        <v>0</v>
      </c>
      <c r="I214" s="66">
        <f t="shared" si="53"/>
        <v>0</v>
      </c>
      <c r="J214" s="66">
        <f t="shared" si="53"/>
        <v>0</v>
      </c>
      <c r="K214" s="66">
        <f t="shared" si="53"/>
        <v>0</v>
      </c>
      <c r="L214" s="66">
        <f t="shared" si="53"/>
        <v>0</v>
      </c>
      <c r="M214" s="66">
        <f t="shared" si="53"/>
        <v>0</v>
      </c>
      <c r="N214" s="66">
        <f t="shared" si="53"/>
        <v>0</v>
      </c>
    </row>
    <row r="215" spans="1:14" hidden="1" x14ac:dyDescent="0.2">
      <c r="A215" s="59" t="s">
        <v>188</v>
      </c>
      <c r="B215" s="74">
        <v>0</v>
      </c>
      <c r="C215" s="66">
        <f>SUM(C214)*'Data Links'!$B$15</f>
        <v>0</v>
      </c>
      <c r="D215" s="66">
        <f>SUM(D214)*'Data Links'!$B$15</f>
        <v>0</v>
      </c>
      <c r="E215" s="66">
        <f>SUM(E214)*'Data Links'!$B$15</f>
        <v>0</v>
      </c>
      <c r="F215" s="66">
        <f>SUM(F214)*'Data Links'!$B$15</f>
        <v>0</v>
      </c>
      <c r="G215" s="66">
        <f>SUM(G214)*'Data Links'!$B$15</f>
        <v>0</v>
      </c>
      <c r="H215" s="66">
        <f>SUM(H214)*'Data Links'!$B$15</f>
        <v>0</v>
      </c>
      <c r="I215" s="66">
        <f>SUM(I214)*'Data Links'!$B$15</f>
        <v>0</v>
      </c>
      <c r="J215" s="66">
        <f>SUM(J214)*'Data Links'!$B$15</f>
        <v>0</v>
      </c>
      <c r="K215" s="66">
        <f>SUM(K214)*'Data Links'!$B$15</f>
        <v>0</v>
      </c>
      <c r="L215" s="66">
        <f>SUM(L214)*'Data Links'!$B$15</f>
        <v>0</v>
      </c>
      <c r="M215" s="66">
        <f>SUM(M214)*'Data Links'!$B$15</f>
        <v>0</v>
      </c>
      <c r="N215" s="66">
        <f>SUM(N214)*'Data Links'!$B$15</f>
        <v>0</v>
      </c>
    </row>
    <row r="216" spans="1:14" hidden="1" x14ac:dyDescent="0.2">
      <c r="A216" s="59" t="s">
        <v>189</v>
      </c>
      <c r="C216" s="66">
        <f>SUM(C214*'Data Links'!$B$13)</f>
        <v>0</v>
      </c>
      <c r="D216" s="66">
        <f>SUM(D214*'Data Links'!$B$13)</f>
        <v>0</v>
      </c>
      <c r="E216" s="66">
        <f>SUM(E214*'Data Links'!$B$13)</f>
        <v>0</v>
      </c>
      <c r="F216" s="66">
        <f>SUM(F214*'Data Links'!$B$13)</f>
        <v>0</v>
      </c>
      <c r="G216" s="66">
        <f>SUM(G214*'Data Links'!$B$13)</f>
        <v>0</v>
      </c>
      <c r="H216" s="66">
        <f>SUM(H214*'Data Links'!$B$13)</f>
        <v>0</v>
      </c>
      <c r="I216" s="66">
        <f>SUM(I214*'Data Links'!$B$13)</f>
        <v>0</v>
      </c>
      <c r="J216" s="66">
        <f>SUM(J214*'Data Links'!$B$13)</f>
        <v>0</v>
      </c>
      <c r="K216" s="66">
        <f>SUM(K214*'Data Links'!$B$13)</f>
        <v>0</v>
      </c>
      <c r="L216" s="66">
        <f>SUM(L214*'Data Links'!$B$13)</f>
        <v>0</v>
      </c>
      <c r="M216" s="66">
        <f>SUM(M214*'Data Links'!$B$13)</f>
        <v>0</v>
      </c>
      <c r="N216" s="66">
        <f>SUM(N214*'Data Links'!$B$13)</f>
        <v>0</v>
      </c>
    </row>
    <row r="217" spans="1:14" hidden="1" x14ac:dyDescent="0.2">
      <c r="A217" s="59" t="s">
        <v>190</v>
      </c>
      <c r="C217" s="66">
        <f>SUM(C213*'Data Links'!$B$8)</f>
        <v>0</v>
      </c>
      <c r="D217" s="66">
        <f>SUM(D213*'Data Links'!$B$8)</f>
        <v>0</v>
      </c>
      <c r="E217" s="66">
        <f>SUM(E213*'Data Links'!$B$8)</f>
        <v>0</v>
      </c>
      <c r="F217" s="66">
        <f>SUM(F213*'Data Links'!$B$8)</f>
        <v>0</v>
      </c>
      <c r="G217" s="66">
        <f>SUM(G213*'Data Links'!$B$8)</f>
        <v>0</v>
      </c>
      <c r="H217" s="66">
        <f>SUM(H213*'Data Links'!$B$8)</f>
        <v>0</v>
      </c>
      <c r="I217" s="66">
        <f>SUM(I213*'Data Links'!$B$8)</f>
        <v>0</v>
      </c>
      <c r="J217" s="66">
        <f>SUM(J213*'Data Links'!$B$8)</f>
        <v>0</v>
      </c>
      <c r="K217" s="66">
        <f>SUM(K213*'Data Links'!$B$8)</f>
        <v>0</v>
      </c>
      <c r="L217" s="66">
        <f>SUM(L213*'Data Links'!$B$8)</f>
        <v>0</v>
      </c>
      <c r="M217" s="66">
        <f>SUM(M213*'Data Links'!$B$8)</f>
        <v>0</v>
      </c>
      <c r="N217" s="66">
        <f>SUM(N213*'Data Links'!$B$8)</f>
        <v>0</v>
      </c>
    </row>
    <row r="218" spans="1:14" hidden="1" x14ac:dyDescent="0.2">
      <c r="A218" s="59" t="s">
        <v>191</v>
      </c>
      <c r="C218" s="66"/>
      <c r="D218" s="66"/>
      <c r="E218" s="66"/>
      <c r="F218" s="66"/>
      <c r="G218" s="66"/>
      <c r="H218" s="66"/>
      <c r="I218" s="66"/>
      <c r="J218" s="66"/>
      <c r="K218" s="66"/>
      <c r="L218" s="66"/>
      <c r="M218" s="66"/>
      <c r="N218" s="66"/>
    </row>
    <row r="219" spans="1:14" hidden="1" x14ac:dyDescent="0.2">
      <c r="A219" s="59" t="s">
        <v>192</v>
      </c>
      <c r="C219" s="66"/>
      <c r="D219" s="66"/>
      <c r="E219" s="66"/>
      <c r="F219" s="66"/>
      <c r="G219" s="66"/>
      <c r="H219" s="66"/>
      <c r="I219" s="66"/>
      <c r="J219" s="66"/>
      <c r="K219" s="66"/>
      <c r="L219" s="66"/>
      <c r="M219" s="66"/>
      <c r="N219" s="66"/>
    </row>
    <row r="220" spans="1:14" s="58" customFormat="1" hidden="1" x14ac:dyDescent="0.2">
      <c r="A220" s="58" t="s">
        <v>144</v>
      </c>
      <c r="B220" s="60"/>
      <c r="C220" s="60">
        <f t="shared" ref="C220:N220" si="54">SUM(C214:C219)</f>
        <v>0</v>
      </c>
      <c r="D220" s="60">
        <f t="shared" si="54"/>
        <v>0</v>
      </c>
      <c r="E220" s="60">
        <f t="shared" si="54"/>
        <v>0</v>
      </c>
      <c r="F220" s="60">
        <f t="shared" si="54"/>
        <v>0</v>
      </c>
      <c r="G220" s="60">
        <f t="shared" si="54"/>
        <v>0</v>
      </c>
      <c r="H220" s="60">
        <f t="shared" si="54"/>
        <v>0</v>
      </c>
      <c r="I220" s="60">
        <f t="shared" si="54"/>
        <v>0</v>
      </c>
      <c r="J220" s="60">
        <f t="shared" si="54"/>
        <v>0</v>
      </c>
      <c r="K220" s="60">
        <f t="shared" si="54"/>
        <v>0</v>
      </c>
      <c r="L220" s="60">
        <f t="shared" si="54"/>
        <v>0</v>
      </c>
      <c r="M220" s="60">
        <f t="shared" si="54"/>
        <v>0</v>
      </c>
      <c r="N220" s="60">
        <f t="shared" si="54"/>
        <v>0</v>
      </c>
    </row>
    <row r="221" spans="1:14" hidden="1" x14ac:dyDescent="0.2">
      <c r="C221" s="60"/>
      <c r="D221" s="66"/>
      <c r="E221" s="66"/>
      <c r="F221" s="66"/>
      <c r="G221" s="66"/>
      <c r="H221" s="66"/>
      <c r="I221" s="66"/>
      <c r="J221" s="66"/>
      <c r="K221" s="66"/>
      <c r="L221" s="66"/>
      <c r="M221" s="66"/>
      <c r="N221" s="66"/>
    </row>
    <row r="222" spans="1:14" hidden="1" x14ac:dyDescent="0.2">
      <c r="C222" s="60"/>
      <c r="D222" s="66"/>
      <c r="E222" s="66"/>
      <c r="F222" s="66"/>
      <c r="G222" s="66"/>
      <c r="H222" s="66"/>
      <c r="I222" s="66"/>
      <c r="J222" s="66"/>
      <c r="K222" s="66"/>
      <c r="L222" s="66"/>
      <c r="M222" s="66"/>
      <c r="N222" s="66"/>
    </row>
    <row r="223" spans="1:14" hidden="1" x14ac:dyDescent="0.2">
      <c r="C223" s="60"/>
      <c r="D223" s="66"/>
      <c r="E223" s="66"/>
      <c r="F223" s="66"/>
      <c r="G223" s="66"/>
      <c r="H223" s="66"/>
      <c r="I223" s="66"/>
      <c r="J223" s="66"/>
      <c r="K223" s="66"/>
      <c r="L223" s="66"/>
      <c r="M223" s="66"/>
      <c r="N223" s="66"/>
    </row>
    <row r="224" spans="1:14" hidden="1" x14ac:dyDescent="0.2">
      <c r="C224" s="60"/>
      <c r="D224" s="66"/>
      <c r="E224" s="66"/>
      <c r="F224" s="66"/>
      <c r="G224" s="66"/>
      <c r="H224" s="66"/>
      <c r="I224" s="66"/>
      <c r="J224" s="66"/>
      <c r="K224" s="66"/>
      <c r="L224" s="66"/>
      <c r="M224" s="66"/>
      <c r="N224" s="66"/>
    </row>
    <row r="225" spans="1:14" x14ac:dyDescent="0.2">
      <c r="C225" s="60"/>
      <c r="D225" s="66"/>
      <c r="E225" s="66"/>
      <c r="F225" s="66"/>
      <c r="G225" s="66"/>
      <c r="H225" s="66"/>
      <c r="I225" s="66"/>
      <c r="J225" s="66"/>
      <c r="K225" s="66"/>
      <c r="L225" s="66"/>
      <c r="M225" s="66"/>
      <c r="N225" s="66"/>
    </row>
    <row r="226" spans="1:14" x14ac:dyDescent="0.2">
      <c r="C226" s="60"/>
      <c r="D226" s="66"/>
      <c r="E226" s="66"/>
      <c r="F226" s="66"/>
      <c r="G226" s="66"/>
      <c r="H226" s="66"/>
      <c r="I226" s="66"/>
      <c r="J226" s="66"/>
      <c r="K226" s="66"/>
      <c r="L226" s="66"/>
      <c r="M226" s="66"/>
      <c r="N226" s="66"/>
    </row>
    <row r="227" spans="1:14" x14ac:dyDescent="0.2">
      <c r="A227" s="58" t="s">
        <v>194</v>
      </c>
      <c r="C227" s="60"/>
      <c r="D227" s="66"/>
      <c r="E227" s="66"/>
      <c r="F227" s="66"/>
      <c r="G227" s="66"/>
      <c r="H227" s="66"/>
      <c r="I227" s="66"/>
      <c r="J227" s="66"/>
      <c r="K227" s="66"/>
      <c r="L227" s="66"/>
      <c r="M227" s="66"/>
      <c r="N227" s="66"/>
    </row>
    <row r="228" spans="1:14" x14ac:dyDescent="0.2">
      <c r="A228" s="59" t="s">
        <v>195</v>
      </c>
      <c r="C228" s="66">
        <f>SUM(C110+C123+C136+C149+C162+C175+C188+C201+C214)</f>
        <v>1740.5916</v>
      </c>
      <c r="D228" s="66">
        <f t="shared" ref="D228:N228" si="55">SUM(D110+D123+D136+D149+D162+D175+D188+D201+D214)</f>
        <v>1740.5916</v>
      </c>
      <c r="E228" s="66">
        <f t="shared" si="55"/>
        <v>1740.5916</v>
      </c>
      <c r="F228" s="66">
        <f t="shared" si="55"/>
        <v>1740.5916</v>
      </c>
      <c r="G228" s="66">
        <f t="shared" si="55"/>
        <v>1740.5916</v>
      </c>
      <c r="H228" s="66">
        <f t="shared" si="55"/>
        <v>1740.5916</v>
      </c>
      <c r="I228" s="66">
        <f t="shared" si="55"/>
        <v>1740.5916</v>
      </c>
      <c r="J228" s="66">
        <f t="shared" si="55"/>
        <v>1740.5916</v>
      </c>
      <c r="K228" s="66">
        <f t="shared" si="55"/>
        <v>1740.5916</v>
      </c>
      <c r="L228" s="66">
        <f t="shared" si="55"/>
        <v>1740.5916</v>
      </c>
      <c r="M228" s="66">
        <f t="shared" si="55"/>
        <v>1740.5916</v>
      </c>
      <c r="N228" s="66">
        <f t="shared" si="55"/>
        <v>1740.5916</v>
      </c>
    </row>
    <row r="229" spans="1:14" x14ac:dyDescent="0.2">
      <c r="A229" s="59" t="s">
        <v>22</v>
      </c>
      <c r="C229" s="66">
        <f>SUM(C111+C112+C113+C124+C125+C126+C137+C138+C139+C150+C151+C152+C163+C164+C165+C176+C177+C178+C189+C190+C191+C202+C203+C204+C215+C216+C217)</f>
        <v>151.92720000000003</v>
      </c>
      <c r="D229" s="66">
        <f t="shared" ref="D229:N229" si="56">SUM(D111+D112+D113+D124+D125+D126+D137+D138+D139+D150+D151+D152+D163+D164+D165+D176+D177+D178+D189+D190+D191+D202+D203+D204+D215+D216+D217)</f>
        <v>151.92720000000003</v>
      </c>
      <c r="E229" s="66">
        <f t="shared" si="56"/>
        <v>151.92720000000003</v>
      </c>
      <c r="F229" s="66">
        <f t="shared" si="56"/>
        <v>151.92720000000003</v>
      </c>
      <c r="G229" s="66">
        <f t="shared" si="56"/>
        <v>151.92720000000003</v>
      </c>
      <c r="H229" s="66">
        <f t="shared" si="56"/>
        <v>151.92720000000003</v>
      </c>
      <c r="I229" s="66">
        <f t="shared" si="56"/>
        <v>151.92720000000003</v>
      </c>
      <c r="J229" s="66">
        <f t="shared" si="56"/>
        <v>151.92720000000003</v>
      </c>
      <c r="K229" s="66">
        <f t="shared" si="56"/>
        <v>151.92720000000003</v>
      </c>
      <c r="L229" s="66">
        <f t="shared" si="56"/>
        <v>151.92720000000003</v>
      </c>
      <c r="M229" s="66">
        <f t="shared" si="56"/>
        <v>151.92720000000003</v>
      </c>
      <c r="N229" s="66">
        <f t="shared" si="56"/>
        <v>151.92720000000003</v>
      </c>
    </row>
    <row r="230" spans="1:14" x14ac:dyDescent="0.2">
      <c r="A230" s="59" t="s">
        <v>23</v>
      </c>
      <c r="C230" s="66">
        <f>SUM(C114+C115+C127+C128+C140+C141+C153+C154+C167+C166+C179+C180+C192+C193+C205+C206+C218+C219)</f>
        <v>100.560995954023</v>
      </c>
      <c r="D230" s="66">
        <f t="shared" ref="D230:N230" si="57">SUM(D114+D115+D127+D128+D140+D141+D153+D154+D167+D166+D179+D180+D192+D193+D205+D206+D218+D219)</f>
        <v>100.560995954023</v>
      </c>
      <c r="E230" s="66">
        <f t="shared" si="57"/>
        <v>100.560995954023</v>
      </c>
      <c r="F230" s="66">
        <f t="shared" si="57"/>
        <v>100.560995954023</v>
      </c>
      <c r="G230" s="66">
        <f t="shared" si="57"/>
        <v>100.560995954023</v>
      </c>
      <c r="H230" s="66">
        <f t="shared" si="57"/>
        <v>100.560995954023</v>
      </c>
      <c r="I230" s="66">
        <f t="shared" si="57"/>
        <v>100.560995954023</v>
      </c>
      <c r="J230" s="66">
        <f t="shared" si="57"/>
        <v>100.560995954023</v>
      </c>
      <c r="K230" s="66">
        <f t="shared" si="57"/>
        <v>100.560995954023</v>
      </c>
      <c r="L230" s="66">
        <f t="shared" si="57"/>
        <v>100.560995954023</v>
      </c>
      <c r="M230" s="66">
        <f t="shared" si="57"/>
        <v>100.560995954023</v>
      </c>
      <c r="N230" s="66">
        <f t="shared" si="57"/>
        <v>100.560995954023</v>
      </c>
    </row>
    <row r="231" spans="1:14" s="58" customFormat="1" x14ac:dyDescent="0.2">
      <c r="A231" s="58" t="s">
        <v>196</v>
      </c>
      <c r="B231" s="60"/>
      <c r="C231" s="60">
        <f>SUM(C228:C230)</f>
        <v>1993.079795954023</v>
      </c>
      <c r="D231" s="60">
        <f t="shared" ref="D231:N231" si="58">SUM(D228:D230)</f>
        <v>1993.079795954023</v>
      </c>
      <c r="E231" s="60">
        <f t="shared" si="58"/>
        <v>1993.079795954023</v>
      </c>
      <c r="F231" s="60">
        <f t="shared" si="58"/>
        <v>1993.079795954023</v>
      </c>
      <c r="G231" s="60">
        <f t="shared" si="58"/>
        <v>1993.079795954023</v>
      </c>
      <c r="H231" s="60">
        <f t="shared" si="58"/>
        <v>1993.079795954023</v>
      </c>
      <c r="I231" s="60">
        <f t="shared" si="58"/>
        <v>1993.079795954023</v>
      </c>
      <c r="J231" s="60">
        <f t="shared" si="58"/>
        <v>1993.079795954023</v>
      </c>
      <c r="K231" s="60">
        <f t="shared" si="58"/>
        <v>1993.079795954023</v>
      </c>
      <c r="L231" s="60">
        <f t="shared" si="58"/>
        <v>1993.079795954023</v>
      </c>
      <c r="M231" s="60">
        <f t="shared" si="58"/>
        <v>1993.079795954023</v>
      </c>
      <c r="N231" s="60">
        <f t="shared" si="58"/>
        <v>1993.079795954023</v>
      </c>
    </row>
    <row r="232" spans="1:14" x14ac:dyDescent="0.2">
      <c r="C232" s="60"/>
      <c r="D232" s="66"/>
      <c r="E232" s="66"/>
      <c r="F232" s="66"/>
      <c r="G232" s="66"/>
      <c r="H232" s="66"/>
      <c r="I232" s="66"/>
      <c r="J232" s="66"/>
      <c r="K232" s="66"/>
      <c r="L232" s="66"/>
      <c r="M232" s="66"/>
      <c r="N232" s="66"/>
    </row>
    <row r="233" spans="1:14" x14ac:dyDescent="0.2">
      <c r="C233" s="60"/>
      <c r="D233" s="66"/>
      <c r="E233" s="66"/>
      <c r="F233" s="66"/>
      <c r="G233" s="66"/>
      <c r="H233" s="66"/>
      <c r="I233" s="66"/>
      <c r="J233" s="66"/>
      <c r="K233" s="66"/>
      <c r="L233" s="66"/>
      <c r="M233" s="66"/>
      <c r="N233" s="66"/>
    </row>
    <row r="234" spans="1:14" x14ac:dyDescent="0.2">
      <c r="C234" s="60"/>
      <c r="D234" s="66"/>
      <c r="E234" s="66"/>
      <c r="F234" s="66"/>
      <c r="G234" s="66"/>
      <c r="H234" s="66"/>
      <c r="I234" s="66"/>
      <c r="J234" s="66"/>
      <c r="K234" s="66"/>
      <c r="L234" s="66"/>
      <c r="M234" s="66"/>
      <c r="N234" s="66"/>
    </row>
    <row r="235" spans="1:14" x14ac:dyDescent="0.2">
      <c r="C235" s="60"/>
      <c r="D235" s="66"/>
      <c r="E235" s="66"/>
      <c r="F235" s="66"/>
      <c r="G235" s="66"/>
      <c r="H235" s="66"/>
      <c r="I235" s="66"/>
      <c r="J235" s="66"/>
      <c r="K235" s="66"/>
      <c r="L235" s="66"/>
      <c r="M235" s="66"/>
      <c r="N235" s="66"/>
    </row>
    <row r="236" spans="1:14" x14ac:dyDescent="0.2">
      <c r="A236" s="84"/>
      <c r="B236" s="84"/>
      <c r="C236" s="60"/>
      <c r="D236" s="66"/>
      <c r="E236" s="66"/>
      <c r="F236" s="66"/>
      <c r="G236" s="66"/>
      <c r="H236" s="66"/>
      <c r="I236" s="66"/>
      <c r="J236" s="66"/>
      <c r="K236" s="66"/>
      <c r="L236" s="66"/>
      <c r="M236" s="66"/>
      <c r="N236" s="66"/>
    </row>
    <row r="237" spans="1:14" x14ac:dyDescent="0.2">
      <c r="A237" s="84"/>
      <c r="B237" s="84"/>
      <c r="C237" s="60"/>
      <c r="D237" s="66"/>
      <c r="E237" s="66"/>
      <c r="F237" s="66"/>
      <c r="G237" s="66"/>
      <c r="H237" s="66"/>
      <c r="I237" s="66"/>
      <c r="J237" s="66"/>
      <c r="K237" s="66"/>
      <c r="L237" s="66"/>
      <c r="M237" s="66"/>
      <c r="N237" s="66"/>
    </row>
    <row r="238" spans="1:14" x14ac:dyDescent="0.2">
      <c r="A238" s="84"/>
      <c r="B238" s="84"/>
      <c r="C238" s="60"/>
      <c r="D238" s="66"/>
      <c r="E238" s="66"/>
      <c r="F238" s="66"/>
      <c r="G238" s="66"/>
      <c r="H238" s="66"/>
      <c r="I238" s="66"/>
      <c r="J238" s="66"/>
      <c r="K238" s="66"/>
      <c r="L238" s="66"/>
      <c r="M238" s="66"/>
      <c r="N238" s="66"/>
    </row>
    <row r="239" spans="1:14" x14ac:dyDescent="0.2">
      <c r="A239" s="84"/>
      <c r="B239" s="84"/>
      <c r="C239" s="60"/>
      <c r="D239" s="66"/>
      <c r="E239" s="66"/>
      <c r="F239" s="66"/>
      <c r="G239" s="66"/>
      <c r="H239" s="66"/>
      <c r="I239" s="66"/>
      <c r="J239" s="66"/>
      <c r="K239" s="66"/>
      <c r="L239" s="66"/>
      <c r="M239" s="66"/>
      <c r="N239" s="66"/>
    </row>
    <row r="240" spans="1:14" x14ac:dyDescent="0.2">
      <c r="A240" s="84"/>
      <c r="B240" s="84"/>
      <c r="C240" s="60"/>
      <c r="D240" s="66"/>
      <c r="E240" s="66"/>
      <c r="F240" s="66"/>
      <c r="G240" s="66"/>
      <c r="H240" s="66"/>
      <c r="I240" s="66"/>
      <c r="J240" s="66"/>
      <c r="K240" s="66"/>
      <c r="L240" s="66"/>
      <c r="M240" s="66"/>
      <c r="N240" s="66"/>
    </row>
    <row r="241" spans="1:14" x14ac:dyDescent="0.2">
      <c r="A241" s="84"/>
      <c r="B241" s="84"/>
      <c r="C241" s="60"/>
      <c r="D241" s="66"/>
      <c r="E241" s="66"/>
      <c r="F241" s="66"/>
      <c r="G241" s="66"/>
      <c r="H241" s="66"/>
      <c r="I241" s="66"/>
      <c r="J241" s="66"/>
      <c r="K241" s="66"/>
      <c r="L241" s="66"/>
      <c r="M241" s="66"/>
      <c r="N241" s="66"/>
    </row>
    <row r="242" spans="1:14" x14ac:dyDescent="0.2">
      <c r="A242" s="84"/>
      <c r="B242" s="84"/>
      <c r="C242" s="60"/>
      <c r="D242" s="66"/>
      <c r="E242" s="66"/>
      <c r="F242" s="66"/>
      <c r="G242" s="66"/>
      <c r="H242" s="66"/>
      <c r="I242" s="66"/>
      <c r="J242" s="66"/>
      <c r="K242" s="66"/>
      <c r="L242" s="66"/>
      <c r="M242" s="66"/>
      <c r="N242" s="66"/>
    </row>
    <row r="243" spans="1:14" x14ac:dyDescent="0.2">
      <c r="A243" s="84"/>
      <c r="B243" s="84"/>
      <c r="C243" s="60"/>
      <c r="D243" s="66"/>
      <c r="E243" s="66"/>
      <c r="F243" s="66"/>
      <c r="G243" s="66"/>
      <c r="H243" s="66"/>
      <c r="I243" s="66"/>
      <c r="J243" s="66"/>
      <c r="K243" s="66"/>
      <c r="L243" s="66"/>
      <c r="M243" s="66"/>
      <c r="N243" s="66"/>
    </row>
    <row r="244" spans="1:14" x14ac:dyDescent="0.2">
      <c r="A244" s="84"/>
      <c r="B244" s="84"/>
      <c r="C244" s="60"/>
      <c r="D244" s="66"/>
      <c r="E244" s="66"/>
      <c r="F244" s="66"/>
      <c r="G244" s="66"/>
      <c r="H244" s="66"/>
      <c r="I244" s="66"/>
      <c r="J244" s="66"/>
      <c r="K244" s="66"/>
      <c r="L244" s="66"/>
      <c r="M244" s="66"/>
      <c r="N244" s="66"/>
    </row>
    <row r="245" spans="1:14" x14ac:dyDescent="0.2">
      <c r="A245" s="84"/>
      <c r="B245" s="84"/>
      <c r="C245" s="60"/>
      <c r="D245" s="66"/>
      <c r="E245" s="66"/>
      <c r="F245" s="66"/>
      <c r="G245" s="66"/>
      <c r="H245" s="66"/>
      <c r="I245" s="66"/>
      <c r="J245" s="66"/>
      <c r="K245" s="66"/>
      <c r="L245" s="66"/>
      <c r="M245" s="66"/>
      <c r="N245" s="66"/>
    </row>
    <row r="246" spans="1:14" x14ac:dyDescent="0.2">
      <c r="A246" s="84"/>
      <c r="B246" s="84"/>
      <c r="C246" s="60"/>
      <c r="D246" s="66"/>
      <c r="E246" s="66"/>
      <c r="F246" s="66"/>
      <c r="G246" s="66"/>
      <c r="H246" s="66"/>
      <c r="I246" s="66"/>
      <c r="J246" s="66"/>
      <c r="K246" s="66"/>
      <c r="L246" s="66"/>
      <c r="M246" s="66"/>
      <c r="N246" s="66"/>
    </row>
    <row r="247" spans="1:14" x14ac:dyDescent="0.2">
      <c r="A247" s="84"/>
      <c r="B247" s="84"/>
      <c r="C247" s="60"/>
      <c r="D247" s="66"/>
      <c r="E247" s="66"/>
      <c r="F247" s="66"/>
      <c r="G247" s="66"/>
      <c r="H247" s="66"/>
      <c r="I247" s="66"/>
      <c r="J247" s="66"/>
      <c r="K247" s="66"/>
      <c r="L247" s="66"/>
      <c r="M247" s="66"/>
      <c r="N247" s="66"/>
    </row>
    <row r="248" spans="1:14" x14ac:dyDescent="0.2">
      <c r="A248" s="84"/>
      <c r="B248" s="84"/>
      <c r="C248" s="60"/>
      <c r="D248" s="66"/>
      <c r="E248" s="66"/>
      <c r="F248" s="66"/>
      <c r="G248" s="66"/>
      <c r="H248" s="66"/>
      <c r="I248" s="66"/>
      <c r="J248" s="66"/>
      <c r="K248" s="66"/>
      <c r="L248" s="66"/>
      <c r="M248" s="66"/>
      <c r="N248" s="66"/>
    </row>
    <row r="249" spans="1:14" x14ac:dyDescent="0.2">
      <c r="A249" s="84"/>
      <c r="B249" s="84"/>
      <c r="C249" s="60"/>
      <c r="D249" s="66"/>
      <c r="E249" s="66"/>
      <c r="F249" s="66"/>
      <c r="G249" s="66"/>
      <c r="H249" s="66"/>
      <c r="I249" s="66"/>
      <c r="J249" s="66"/>
      <c r="K249" s="66"/>
      <c r="L249" s="66"/>
      <c r="M249" s="66"/>
      <c r="N249" s="66"/>
    </row>
    <row r="250" spans="1:14" x14ac:dyDescent="0.2">
      <c r="A250" s="84"/>
      <c r="B250" s="84"/>
      <c r="C250" s="60"/>
      <c r="D250" s="66"/>
      <c r="E250" s="66"/>
      <c r="F250" s="66"/>
      <c r="G250" s="66"/>
      <c r="H250" s="66"/>
      <c r="I250" s="66"/>
      <c r="J250" s="66"/>
      <c r="K250" s="66"/>
      <c r="L250" s="66"/>
      <c r="M250" s="66"/>
      <c r="N250" s="66"/>
    </row>
    <row r="251" spans="1:14" x14ac:dyDescent="0.2">
      <c r="A251" s="84"/>
      <c r="B251" s="84"/>
      <c r="C251" s="60"/>
      <c r="D251" s="66"/>
      <c r="E251" s="66"/>
      <c r="F251" s="66"/>
      <c r="G251" s="66"/>
      <c r="H251" s="66"/>
      <c r="I251" s="66"/>
      <c r="J251" s="66"/>
      <c r="K251" s="66"/>
      <c r="L251" s="66"/>
      <c r="M251" s="66"/>
      <c r="N251" s="66"/>
    </row>
    <row r="252" spans="1:14" x14ac:dyDescent="0.2">
      <c r="A252" s="84"/>
      <c r="B252" s="84"/>
      <c r="C252" s="60"/>
      <c r="D252" s="66"/>
      <c r="E252" s="66"/>
      <c r="F252" s="66"/>
      <c r="G252" s="66"/>
      <c r="H252" s="66"/>
      <c r="I252" s="66"/>
      <c r="J252" s="66"/>
      <c r="K252" s="66"/>
      <c r="L252" s="66"/>
      <c r="M252" s="66"/>
      <c r="N252" s="66"/>
    </row>
    <row r="253" spans="1:14" x14ac:dyDescent="0.2">
      <c r="A253" s="84"/>
      <c r="B253" s="84"/>
      <c r="C253" s="60"/>
      <c r="D253" s="66"/>
      <c r="E253" s="66"/>
      <c r="F253" s="66"/>
      <c r="G253" s="66"/>
      <c r="H253" s="66"/>
      <c r="I253" s="66"/>
      <c r="J253" s="66"/>
      <c r="K253" s="66"/>
      <c r="L253" s="66"/>
      <c r="M253" s="66"/>
      <c r="N253" s="66"/>
    </row>
    <row r="254" spans="1:14" x14ac:dyDescent="0.2">
      <c r="A254" s="84"/>
      <c r="B254" s="84"/>
      <c r="C254" s="60"/>
      <c r="D254" s="66"/>
      <c r="E254" s="66"/>
      <c r="F254" s="66"/>
      <c r="G254" s="66"/>
      <c r="H254" s="66"/>
      <c r="I254" s="66"/>
      <c r="J254" s="66"/>
      <c r="K254" s="66"/>
      <c r="L254" s="66"/>
      <c r="M254" s="66"/>
      <c r="N254" s="66"/>
    </row>
    <row r="255" spans="1:14" x14ac:dyDescent="0.2">
      <c r="A255" s="84"/>
      <c r="B255" s="84"/>
      <c r="C255" s="60"/>
      <c r="D255" s="66"/>
      <c r="E255" s="66"/>
      <c r="F255" s="66"/>
      <c r="G255" s="66"/>
      <c r="H255" s="66"/>
      <c r="I255" s="66"/>
      <c r="J255" s="66"/>
      <c r="K255" s="66"/>
      <c r="L255" s="66"/>
      <c r="M255" s="66"/>
      <c r="N255" s="66"/>
    </row>
    <row r="256" spans="1:14" x14ac:dyDescent="0.2">
      <c r="A256" s="84"/>
      <c r="B256" s="84"/>
      <c r="C256" s="60"/>
      <c r="D256" s="66"/>
      <c r="E256" s="66"/>
      <c r="F256" s="66"/>
      <c r="G256" s="66"/>
      <c r="H256" s="66"/>
      <c r="I256" s="66"/>
      <c r="J256" s="66"/>
      <c r="K256" s="66"/>
      <c r="L256" s="66"/>
      <c r="M256" s="66"/>
      <c r="N256" s="66"/>
    </row>
    <row r="257" spans="1:14" x14ac:dyDescent="0.2">
      <c r="A257" s="84"/>
      <c r="B257" s="84"/>
      <c r="C257" s="60"/>
      <c r="D257" s="66"/>
      <c r="E257" s="66"/>
      <c r="F257" s="66"/>
      <c r="G257" s="66"/>
      <c r="H257" s="66"/>
      <c r="I257" s="66"/>
      <c r="J257" s="66"/>
      <c r="K257" s="66"/>
      <c r="L257" s="66"/>
      <c r="M257" s="66"/>
      <c r="N257" s="66"/>
    </row>
    <row r="258" spans="1:14" x14ac:dyDescent="0.2">
      <c r="A258" s="84"/>
      <c r="B258" s="84"/>
      <c r="C258" s="60"/>
      <c r="D258" s="66"/>
      <c r="E258" s="66"/>
      <c r="F258" s="66"/>
      <c r="G258" s="66"/>
      <c r="H258" s="66"/>
      <c r="I258" s="66"/>
      <c r="J258" s="66"/>
      <c r="K258" s="66"/>
      <c r="L258" s="66"/>
      <c r="M258" s="66"/>
      <c r="N258" s="66"/>
    </row>
    <row r="259" spans="1:14" x14ac:dyDescent="0.2">
      <c r="A259" s="84"/>
      <c r="B259" s="84"/>
      <c r="C259" s="60"/>
      <c r="D259" s="66"/>
      <c r="E259" s="66"/>
      <c r="F259" s="66"/>
      <c r="G259" s="66"/>
      <c r="H259" s="66"/>
      <c r="I259" s="66"/>
      <c r="J259" s="66"/>
      <c r="K259" s="66"/>
      <c r="L259" s="66"/>
      <c r="M259" s="66"/>
      <c r="N259" s="66"/>
    </row>
    <row r="260" spans="1:14" x14ac:dyDescent="0.2">
      <c r="A260" s="84"/>
      <c r="B260" s="84"/>
      <c r="C260" s="60"/>
      <c r="D260" s="66"/>
      <c r="E260" s="66"/>
      <c r="F260" s="66"/>
      <c r="G260" s="66"/>
      <c r="H260" s="66"/>
      <c r="I260" s="66"/>
      <c r="J260" s="66"/>
      <c r="K260" s="66"/>
      <c r="L260" s="66"/>
      <c r="M260" s="66"/>
      <c r="N260" s="66"/>
    </row>
    <row r="261" spans="1:14" x14ac:dyDescent="0.2">
      <c r="A261" s="84"/>
      <c r="B261" s="84"/>
      <c r="C261" s="60"/>
      <c r="D261" s="66"/>
      <c r="E261" s="66"/>
      <c r="F261" s="66"/>
      <c r="G261" s="66"/>
      <c r="H261" s="66"/>
      <c r="I261" s="66"/>
      <c r="J261" s="66"/>
      <c r="K261" s="66"/>
      <c r="L261" s="66"/>
      <c r="M261" s="66"/>
      <c r="N261" s="66"/>
    </row>
    <row r="262" spans="1:14" x14ac:dyDescent="0.2">
      <c r="A262" s="84"/>
      <c r="B262" s="84"/>
      <c r="C262" s="60"/>
      <c r="D262" s="66"/>
      <c r="E262" s="66"/>
      <c r="F262" s="66"/>
      <c r="G262" s="66"/>
      <c r="H262" s="66"/>
      <c r="I262" s="66"/>
      <c r="J262" s="66"/>
      <c r="K262" s="66"/>
      <c r="L262" s="66"/>
      <c r="M262" s="66"/>
      <c r="N262" s="66"/>
    </row>
    <row r="263" spans="1:14" x14ac:dyDescent="0.2">
      <c r="A263" s="84"/>
      <c r="B263" s="84"/>
      <c r="C263" s="60"/>
      <c r="D263" s="66"/>
      <c r="E263" s="66"/>
      <c r="F263" s="66"/>
      <c r="G263" s="66"/>
      <c r="H263" s="66"/>
      <c r="I263" s="66"/>
      <c r="J263" s="66"/>
      <c r="K263" s="66"/>
      <c r="L263" s="66"/>
      <c r="M263" s="66"/>
      <c r="N263" s="66"/>
    </row>
    <row r="264" spans="1:14" x14ac:dyDescent="0.2">
      <c r="A264" s="84"/>
      <c r="B264" s="84"/>
      <c r="C264" s="60"/>
      <c r="D264" s="66"/>
      <c r="E264" s="66"/>
      <c r="F264" s="66"/>
      <c r="G264" s="66"/>
      <c r="H264" s="66"/>
      <c r="I264" s="66"/>
      <c r="J264" s="66"/>
      <c r="K264" s="66"/>
      <c r="L264" s="66"/>
      <c r="M264" s="66"/>
      <c r="N264" s="66"/>
    </row>
    <row r="265" spans="1:14" x14ac:dyDescent="0.2">
      <c r="A265" s="84"/>
      <c r="B265" s="84"/>
      <c r="C265" s="60"/>
      <c r="D265" s="66"/>
      <c r="E265" s="66"/>
      <c r="F265" s="66"/>
      <c r="G265" s="66"/>
      <c r="H265" s="66"/>
      <c r="I265" s="66"/>
      <c r="J265" s="66"/>
      <c r="K265" s="66"/>
      <c r="L265" s="66"/>
      <c r="M265" s="66"/>
      <c r="N265" s="66"/>
    </row>
    <row r="266" spans="1:14" x14ac:dyDescent="0.2">
      <c r="A266" s="84"/>
      <c r="B266" s="84"/>
      <c r="C266" s="60"/>
      <c r="D266" s="66"/>
      <c r="E266" s="66"/>
      <c r="F266" s="66"/>
      <c r="G266" s="66"/>
      <c r="H266" s="66"/>
      <c r="I266" s="66"/>
      <c r="J266" s="66"/>
      <c r="K266" s="66"/>
      <c r="L266" s="66"/>
      <c r="M266" s="66"/>
      <c r="N266" s="66"/>
    </row>
    <row r="267" spans="1:14" x14ac:dyDescent="0.2">
      <c r="A267" s="84"/>
      <c r="B267" s="84"/>
      <c r="C267" s="60"/>
      <c r="D267" s="66"/>
      <c r="E267" s="66"/>
      <c r="F267" s="66"/>
      <c r="G267" s="66"/>
      <c r="H267" s="66"/>
      <c r="I267" s="66"/>
      <c r="J267" s="66"/>
      <c r="K267" s="66"/>
      <c r="L267" s="66"/>
      <c r="M267" s="66"/>
      <c r="N267" s="66"/>
    </row>
    <row r="268" spans="1:14" x14ac:dyDescent="0.2">
      <c r="A268" s="84"/>
      <c r="B268" s="84"/>
      <c r="C268" s="60"/>
      <c r="D268" s="66"/>
      <c r="E268" s="66"/>
      <c r="F268" s="66"/>
      <c r="G268" s="66"/>
      <c r="H268" s="66"/>
      <c r="I268" s="66"/>
      <c r="J268" s="66"/>
      <c r="K268" s="66"/>
      <c r="L268" s="66"/>
      <c r="M268" s="66"/>
      <c r="N268" s="66"/>
    </row>
    <row r="269" spans="1:14" x14ac:dyDescent="0.2">
      <c r="A269" s="84"/>
      <c r="B269" s="84"/>
      <c r="C269" s="60"/>
      <c r="D269" s="66"/>
      <c r="E269" s="66"/>
      <c r="F269" s="66"/>
      <c r="G269" s="66"/>
      <c r="H269" s="66"/>
      <c r="I269" s="66"/>
      <c r="J269" s="66"/>
      <c r="K269" s="66"/>
      <c r="L269" s="66"/>
      <c r="M269" s="66"/>
      <c r="N269" s="66"/>
    </row>
    <row r="270" spans="1:14" x14ac:dyDescent="0.2">
      <c r="A270" s="84"/>
      <c r="B270" s="84"/>
      <c r="C270" s="60"/>
      <c r="D270" s="66"/>
      <c r="E270" s="66"/>
      <c r="F270" s="66"/>
      <c r="G270" s="66"/>
      <c r="H270" s="66"/>
      <c r="I270" s="66"/>
      <c r="J270" s="66"/>
      <c r="K270" s="66"/>
      <c r="L270" s="66"/>
      <c r="M270" s="66"/>
      <c r="N270" s="66"/>
    </row>
    <row r="271" spans="1:14" x14ac:dyDescent="0.2">
      <c r="A271" s="84"/>
      <c r="B271" s="84"/>
      <c r="C271" s="60"/>
      <c r="D271" s="66"/>
      <c r="E271" s="66"/>
      <c r="F271" s="66"/>
      <c r="G271" s="66"/>
      <c r="H271" s="66"/>
      <c r="I271" s="66"/>
      <c r="J271" s="66"/>
      <c r="K271" s="66"/>
      <c r="L271" s="66"/>
      <c r="M271" s="66"/>
      <c r="N271" s="66"/>
    </row>
    <row r="272" spans="1:14" x14ac:dyDescent="0.2">
      <c r="A272" s="84"/>
      <c r="B272" s="84"/>
      <c r="C272" s="60"/>
      <c r="D272" s="66"/>
      <c r="E272" s="66"/>
      <c r="F272" s="66"/>
      <c r="G272" s="66"/>
      <c r="H272" s="66"/>
      <c r="I272" s="66"/>
      <c r="J272" s="66"/>
      <c r="K272" s="66"/>
      <c r="L272" s="66"/>
      <c r="M272" s="66"/>
      <c r="N272" s="66"/>
    </row>
    <row r="273" spans="1:14" x14ac:dyDescent="0.2">
      <c r="A273" s="84"/>
      <c r="B273" s="84"/>
      <c r="C273" s="60"/>
      <c r="D273" s="66"/>
      <c r="E273" s="66"/>
      <c r="F273" s="66"/>
      <c r="G273" s="66"/>
      <c r="H273" s="66"/>
      <c r="I273" s="66"/>
      <c r="J273" s="66"/>
      <c r="K273" s="66"/>
      <c r="L273" s="66"/>
      <c r="M273" s="66"/>
      <c r="N273" s="66"/>
    </row>
    <row r="274" spans="1:14" x14ac:dyDescent="0.2">
      <c r="A274" s="84"/>
      <c r="B274" s="84"/>
      <c r="C274" s="60"/>
      <c r="D274" s="66"/>
      <c r="E274" s="66"/>
      <c r="F274" s="66"/>
      <c r="G274" s="66"/>
      <c r="H274" s="66"/>
      <c r="I274" s="66"/>
      <c r="J274" s="66"/>
      <c r="K274" s="66"/>
      <c r="L274" s="66"/>
      <c r="M274" s="66"/>
      <c r="N274" s="66"/>
    </row>
    <row r="275" spans="1:14" x14ac:dyDescent="0.2">
      <c r="A275" s="84"/>
      <c r="B275" s="84"/>
      <c r="C275" s="60"/>
      <c r="D275" s="66"/>
      <c r="E275" s="66"/>
      <c r="F275" s="66"/>
      <c r="G275" s="66"/>
      <c r="H275" s="66"/>
      <c r="I275" s="66"/>
      <c r="J275" s="66"/>
      <c r="K275" s="66"/>
      <c r="L275" s="66"/>
      <c r="M275" s="66"/>
      <c r="N275" s="66"/>
    </row>
    <row r="276" spans="1:14" x14ac:dyDescent="0.2">
      <c r="A276" s="84"/>
      <c r="B276" s="84"/>
      <c r="C276" s="60"/>
      <c r="D276" s="66"/>
      <c r="E276" s="66"/>
      <c r="F276" s="66"/>
      <c r="G276" s="66"/>
      <c r="H276" s="66"/>
      <c r="I276" s="66"/>
      <c r="J276" s="66"/>
      <c r="K276" s="66"/>
      <c r="L276" s="66"/>
      <c r="M276" s="66"/>
      <c r="N276" s="66"/>
    </row>
    <row r="277" spans="1:14" x14ac:dyDescent="0.2">
      <c r="A277" s="84"/>
      <c r="B277" s="84"/>
      <c r="C277" s="60"/>
      <c r="D277" s="66"/>
      <c r="E277" s="66"/>
      <c r="F277" s="66"/>
      <c r="G277" s="66"/>
      <c r="H277" s="66"/>
      <c r="I277" s="66"/>
      <c r="J277" s="66"/>
      <c r="K277" s="66"/>
      <c r="L277" s="66"/>
      <c r="M277" s="66"/>
      <c r="N277" s="66"/>
    </row>
    <row r="278" spans="1:14" x14ac:dyDescent="0.2">
      <c r="A278" s="84"/>
      <c r="B278" s="84"/>
      <c r="C278" s="60"/>
      <c r="D278" s="66"/>
      <c r="E278" s="66"/>
      <c r="F278" s="66"/>
      <c r="G278" s="66"/>
      <c r="H278" s="66"/>
      <c r="I278" s="66"/>
      <c r="J278" s="66"/>
      <c r="K278" s="66"/>
      <c r="L278" s="66"/>
      <c r="M278" s="66"/>
      <c r="N278" s="66"/>
    </row>
    <row r="279" spans="1:14" x14ac:dyDescent="0.2">
      <c r="A279" s="84"/>
      <c r="B279" s="84"/>
      <c r="C279" s="60"/>
      <c r="D279" s="66"/>
      <c r="E279" s="66"/>
      <c r="F279" s="66"/>
      <c r="G279" s="66"/>
      <c r="H279" s="66"/>
      <c r="I279" s="66"/>
      <c r="J279" s="66"/>
      <c r="K279" s="66"/>
      <c r="L279" s="66"/>
      <c r="M279" s="66"/>
      <c r="N279" s="66"/>
    </row>
    <row r="280" spans="1:14" x14ac:dyDescent="0.2">
      <c r="A280" s="84"/>
      <c r="B280" s="84"/>
      <c r="C280" s="60"/>
      <c r="D280" s="66"/>
      <c r="E280" s="66"/>
      <c r="F280" s="66"/>
      <c r="G280" s="66"/>
      <c r="H280" s="66"/>
      <c r="I280" s="66"/>
      <c r="J280" s="66"/>
      <c r="K280" s="66"/>
      <c r="L280" s="66"/>
      <c r="M280" s="66"/>
      <c r="N280" s="66"/>
    </row>
    <row r="281" spans="1:14" x14ac:dyDescent="0.2">
      <c r="A281" s="84"/>
      <c r="B281" s="84"/>
      <c r="C281" s="60"/>
      <c r="D281" s="66"/>
      <c r="E281" s="66"/>
      <c r="F281" s="66"/>
      <c r="G281" s="66"/>
      <c r="H281" s="66"/>
      <c r="I281" s="66"/>
      <c r="J281" s="66"/>
      <c r="K281" s="66"/>
      <c r="L281" s="66"/>
      <c r="M281" s="66"/>
      <c r="N281" s="66"/>
    </row>
    <row r="282" spans="1:14" x14ac:dyDescent="0.2">
      <c r="A282" s="84"/>
      <c r="B282" s="84"/>
      <c r="C282" s="60"/>
      <c r="D282" s="66"/>
      <c r="E282" s="66"/>
      <c r="F282" s="66"/>
      <c r="G282" s="66"/>
      <c r="H282" s="66"/>
      <c r="I282" s="66"/>
      <c r="J282" s="66"/>
      <c r="K282" s="66"/>
      <c r="L282" s="66"/>
      <c r="M282" s="66"/>
      <c r="N282" s="66"/>
    </row>
    <row r="283" spans="1:14" x14ac:dyDescent="0.2">
      <c r="A283" s="84"/>
      <c r="B283" s="84"/>
      <c r="C283" s="60"/>
      <c r="D283" s="66"/>
      <c r="E283" s="66"/>
      <c r="F283" s="66"/>
      <c r="G283" s="66"/>
      <c r="H283" s="66"/>
      <c r="I283" s="66"/>
      <c r="J283" s="66"/>
      <c r="K283" s="66"/>
      <c r="L283" s="66"/>
      <c r="M283" s="66"/>
      <c r="N283" s="66"/>
    </row>
    <row r="284" spans="1:14" x14ac:dyDescent="0.2">
      <c r="A284" s="84"/>
      <c r="B284" s="84"/>
      <c r="C284" s="60"/>
      <c r="D284" s="66"/>
      <c r="E284" s="66"/>
      <c r="F284" s="66"/>
      <c r="G284" s="66"/>
      <c r="H284" s="66"/>
      <c r="I284" s="66"/>
      <c r="J284" s="66"/>
      <c r="K284" s="66"/>
      <c r="L284" s="66"/>
      <c r="M284" s="66"/>
      <c r="N284" s="66"/>
    </row>
    <row r="285" spans="1:14" x14ac:dyDescent="0.2">
      <c r="A285" s="84"/>
      <c r="B285" s="84"/>
      <c r="C285" s="60"/>
      <c r="D285" s="66"/>
      <c r="E285" s="66"/>
      <c r="F285" s="66"/>
      <c r="G285" s="66"/>
      <c r="H285" s="66"/>
      <c r="I285" s="66"/>
      <c r="J285" s="66"/>
      <c r="K285" s="66"/>
      <c r="L285" s="66"/>
      <c r="M285" s="66"/>
      <c r="N285" s="66"/>
    </row>
    <row r="286" spans="1:14" x14ac:dyDescent="0.2">
      <c r="A286" s="84"/>
      <c r="B286" s="84"/>
      <c r="C286" s="60"/>
      <c r="D286" s="66"/>
      <c r="E286" s="66"/>
      <c r="F286" s="66"/>
      <c r="G286" s="66"/>
      <c r="H286" s="66"/>
      <c r="I286" s="66"/>
      <c r="J286" s="66"/>
      <c r="K286" s="66"/>
      <c r="L286" s="66"/>
      <c r="M286" s="66"/>
      <c r="N286" s="66"/>
    </row>
    <row r="287" spans="1:14" x14ac:dyDescent="0.2">
      <c r="A287" s="84"/>
      <c r="B287" s="84"/>
      <c r="C287" s="60"/>
      <c r="D287" s="66"/>
      <c r="E287" s="66"/>
      <c r="F287" s="66"/>
      <c r="G287" s="66"/>
      <c r="H287" s="66"/>
      <c r="I287" s="66"/>
      <c r="J287" s="66"/>
      <c r="K287" s="66"/>
      <c r="L287" s="66"/>
      <c r="M287" s="66"/>
      <c r="N287" s="66"/>
    </row>
    <row r="288" spans="1:14" x14ac:dyDescent="0.2">
      <c r="A288" s="84"/>
      <c r="B288" s="84"/>
      <c r="C288" s="60"/>
      <c r="D288" s="66"/>
      <c r="E288" s="66"/>
      <c r="F288" s="66"/>
      <c r="G288" s="66"/>
      <c r="H288" s="66"/>
      <c r="I288" s="66"/>
      <c r="J288" s="66"/>
      <c r="K288" s="66"/>
      <c r="L288" s="66"/>
      <c r="M288" s="66"/>
      <c r="N288" s="66"/>
    </row>
    <row r="289" spans="1:14" x14ac:dyDescent="0.2">
      <c r="A289" s="84"/>
      <c r="B289" s="84"/>
      <c r="C289" s="60"/>
      <c r="D289" s="66"/>
      <c r="E289" s="66"/>
      <c r="F289" s="66"/>
      <c r="G289" s="66"/>
      <c r="H289" s="66"/>
      <c r="I289" s="66"/>
      <c r="J289" s="66"/>
      <c r="K289" s="66"/>
      <c r="L289" s="66"/>
      <c r="M289" s="66"/>
      <c r="N289" s="66"/>
    </row>
    <row r="290" spans="1:14" x14ac:dyDescent="0.2">
      <c r="A290" s="84"/>
      <c r="B290" s="84"/>
      <c r="C290" s="60"/>
      <c r="D290" s="66"/>
      <c r="E290" s="66"/>
      <c r="F290" s="66"/>
      <c r="G290" s="66"/>
      <c r="H290" s="66"/>
      <c r="I290" s="66"/>
      <c r="J290" s="66"/>
      <c r="K290" s="66"/>
      <c r="L290" s="66"/>
      <c r="M290" s="66"/>
      <c r="N290" s="66"/>
    </row>
    <row r="291" spans="1:14" x14ac:dyDescent="0.2">
      <c r="A291" s="84"/>
      <c r="B291" s="84"/>
      <c r="C291" s="60"/>
      <c r="D291" s="66"/>
      <c r="E291" s="66"/>
      <c r="F291" s="66"/>
      <c r="G291" s="66"/>
      <c r="H291" s="66"/>
      <c r="I291" s="66"/>
      <c r="J291" s="66"/>
      <c r="K291" s="66"/>
      <c r="L291" s="66"/>
      <c r="M291" s="66"/>
      <c r="N291" s="66"/>
    </row>
    <row r="292" spans="1:14" x14ac:dyDescent="0.2">
      <c r="A292" s="84"/>
      <c r="B292" s="84"/>
      <c r="C292" s="60"/>
      <c r="D292" s="66"/>
      <c r="E292" s="66"/>
      <c r="F292" s="66"/>
      <c r="G292" s="66"/>
      <c r="H292" s="66"/>
      <c r="I292" s="66"/>
      <c r="J292" s="66"/>
      <c r="K292" s="66"/>
      <c r="L292" s="66"/>
      <c r="M292" s="66"/>
      <c r="N292" s="66"/>
    </row>
    <row r="293" spans="1:14" x14ac:dyDescent="0.2">
      <c r="A293" s="84"/>
      <c r="B293" s="84"/>
      <c r="C293" s="60"/>
      <c r="D293" s="66"/>
      <c r="E293" s="66"/>
      <c r="F293" s="66"/>
      <c r="G293" s="66"/>
      <c r="H293" s="66"/>
      <c r="I293" s="66"/>
      <c r="J293" s="66"/>
      <c r="K293" s="66"/>
      <c r="L293" s="66"/>
      <c r="M293" s="66"/>
      <c r="N293" s="66"/>
    </row>
    <row r="294" spans="1:14" x14ac:dyDescent="0.2">
      <c r="A294" s="84"/>
      <c r="B294" s="84"/>
      <c r="C294" s="60"/>
      <c r="D294" s="66"/>
      <c r="E294" s="66"/>
      <c r="F294" s="66"/>
      <c r="G294" s="66"/>
      <c r="H294" s="66"/>
      <c r="I294" s="66"/>
      <c r="J294" s="66"/>
      <c r="K294" s="66"/>
      <c r="L294" s="66"/>
      <c r="M294" s="66"/>
      <c r="N294" s="66"/>
    </row>
    <row r="295" spans="1:14" x14ac:dyDescent="0.2">
      <c r="A295" s="84"/>
      <c r="B295" s="84"/>
      <c r="C295" s="60"/>
      <c r="D295" s="66"/>
      <c r="E295" s="66"/>
      <c r="F295" s="66"/>
      <c r="G295" s="66"/>
      <c r="H295" s="66"/>
      <c r="I295" s="66"/>
      <c r="J295" s="66"/>
      <c r="K295" s="66"/>
      <c r="L295" s="66"/>
      <c r="M295" s="66"/>
      <c r="N295" s="66"/>
    </row>
    <row r="296" spans="1:14" x14ac:dyDescent="0.2">
      <c r="A296" s="84"/>
      <c r="B296" s="84"/>
      <c r="C296" s="60"/>
      <c r="D296" s="66"/>
      <c r="E296" s="66"/>
      <c r="F296" s="66"/>
      <c r="G296" s="66"/>
      <c r="H296" s="66"/>
      <c r="I296" s="66"/>
      <c r="J296" s="66"/>
      <c r="K296" s="66"/>
      <c r="L296" s="66"/>
      <c r="M296" s="66"/>
      <c r="N296" s="66"/>
    </row>
    <row r="297" spans="1:14" x14ac:dyDescent="0.2">
      <c r="A297" s="84"/>
      <c r="B297" s="84"/>
      <c r="C297" s="60"/>
      <c r="D297" s="66"/>
      <c r="E297" s="66"/>
      <c r="F297" s="66"/>
      <c r="G297" s="66"/>
      <c r="H297" s="66"/>
      <c r="I297" s="66"/>
      <c r="J297" s="66"/>
      <c r="K297" s="66"/>
      <c r="L297" s="66"/>
      <c r="M297" s="66"/>
      <c r="N297" s="66"/>
    </row>
    <row r="298" spans="1:14" x14ac:dyDescent="0.2">
      <c r="A298" s="84"/>
      <c r="B298" s="84"/>
      <c r="C298" s="60"/>
      <c r="D298" s="66"/>
      <c r="E298" s="66"/>
      <c r="F298" s="66"/>
      <c r="G298" s="66"/>
      <c r="H298" s="66"/>
      <c r="I298" s="66"/>
      <c r="J298" s="66"/>
      <c r="K298" s="66"/>
      <c r="L298" s="66"/>
      <c r="M298" s="66"/>
      <c r="N298" s="66"/>
    </row>
    <row r="299" spans="1:14" x14ac:dyDescent="0.2">
      <c r="A299" s="84"/>
      <c r="B299" s="84"/>
      <c r="C299" s="60"/>
      <c r="D299" s="66"/>
      <c r="E299" s="66"/>
      <c r="F299" s="66"/>
      <c r="G299" s="66"/>
      <c r="H299" s="66"/>
      <c r="I299" s="66"/>
      <c r="J299" s="66"/>
      <c r="K299" s="66"/>
      <c r="L299" s="66"/>
      <c r="M299" s="66"/>
      <c r="N299" s="66"/>
    </row>
    <row r="300" spans="1:14" x14ac:dyDescent="0.2">
      <c r="A300" s="84"/>
      <c r="B300" s="84"/>
      <c r="C300" s="60"/>
      <c r="D300" s="66"/>
      <c r="E300" s="66"/>
      <c r="F300" s="66"/>
      <c r="G300" s="66"/>
      <c r="H300" s="66"/>
      <c r="I300" s="66"/>
      <c r="J300" s="66"/>
      <c r="K300" s="66"/>
      <c r="L300" s="66"/>
      <c r="M300" s="66"/>
      <c r="N300" s="66"/>
    </row>
    <row r="301" spans="1:14" x14ac:dyDescent="0.2">
      <c r="A301" s="84"/>
      <c r="B301" s="84"/>
      <c r="C301" s="60"/>
      <c r="D301" s="66"/>
      <c r="E301" s="66"/>
      <c r="F301" s="66"/>
      <c r="G301" s="66"/>
      <c r="H301" s="66"/>
      <c r="I301" s="66"/>
      <c r="J301" s="66"/>
      <c r="K301" s="66"/>
      <c r="L301" s="66"/>
      <c r="M301" s="66"/>
      <c r="N301" s="66"/>
    </row>
    <row r="302" spans="1:14" x14ac:dyDescent="0.2">
      <c r="A302" s="84"/>
      <c r="B302" s="84"/>
      <c r="C302" s="60"/>
      <c r="D302" s="66"/>
      <c r="E302" s="66"/>
      <c r="F302" s="66"/>
      <c r="G302" s="66"/>
      <c r="H302" s="66"/>
      <c r="I302" s="66"/>
      <c r="J302" s="66"/>
      <c r="K302" s="66"/>
      <c r="L302" s="66"/>
      <c r="M302" s="66"/>
      <c r="N302" s="66"/>
    </row>
    <row r="303" spans="1:14" x14ac:dyDescent="0.2">
      <c r="A303" s="84"/>
      <c r="B303" s="84"/>
      <c r="C303" s="60"/>
      <c r="D303" s="66"/>
      <c r="E303" s="66"/>
      <c r="F303" s="66"/>
      <c r="G303" s="66"/>
      <c r="H303" s="66"/>
      <c r="I303" s="66"/>
      <c r="J303" s="66"/>
      <c r="K303" s="66"/>
      <c r="L303" s="66"/>
      <c r="M303" s="66"/>
      <c r="N303" s="66"/>
    </row>
    <row r="304" spans="1:14" x14ac:dyDescent="0.2">
      <c r="A304" s="84"/>
      <c r="B304" s="84"/>
      <c r="C304" s="60"/>
      <c r="D304" s="66"/>
      <c r="E304" s="66"/>
      <c r="F304" s="66"/>
      <c r="G304" s="66"/>
      <c r="H304" s="66"/>
      <c r="I304" s="66"/>
      <c r="J304" s="66"/>
      <c r="K304" s="66"/>
      <c r="L304" s="66"/>
      <c r="M304" s="66"/>
      <c r="N304" s="66"/>
    </row>
    <row r="305" spans="1:14" x14ac:dyDescent="0.2">
      <c r="A305" s="84"/>
      <c r="B305" s="84"/>
      <c r="C305" s="60"/>
      <c r="D305" s="66"/>
      <c r="E305" s="66"/>
      <c r="F305" s="66"/>
      <c r="G305" s="66"/>
      <c r="H305" s="66"/>
      <c r="I305" s="66"/>
      <c r="J305" s="66"/>
      <c r="K305" s="66"/>
      <c r="L305" s="66"/>
      <c r="M305" s="66"/>
      <c r="N305" s="66"/>
    </row>
    <row r="306" spans="1:14" x14ac:dyDescent="0.2">
      <c r="A306" s="84"/>
      <c r="B306" s="84"/>
      <c r="C306" s="60"/>
      <c r="D306" s="66"/>
      <c r="E306" s="66"/>
      <c r="F306" s="66"/>
      <c r="G306" s="66"/>
      <c r="H306" s="66"/>
      <c r="I306" s="66"/>
      <c r="J306" s="66"/>
      <c r="K306" s="66"/>
      <c r="L306" s="66"/>
      <c r="M306" s="66"/>
      <c r="N306" s="66"/>
    </row>
    <row r="307" spans="1:14" x14ac:dyDescent="0.2">
      <c r="A307" s="84"/>
      <c r="B307" s="84"/>
      <c r="C307" s="60"/>
      <c r="D307" s="66"/>
      <c r="E307" s="66"/>
      <c r="F307" s="66"/>
      <c r="G307" s="66"/>
      <c r="H307" s="66"/>
      <c r="I307" s="66"/>
      <c r="J307" s="66"/>
      <c r="K307" s="66"/>
      <c r="L307" s="66"/>
      <c r="M307" s="66"/>
      <c r="N307" s="66"/>
    </row>
    <row r="308" spans="1:14" x14ac:dyDescent="0.2">
      <c r="A308" s="84"/>
      <c r="B308" s="84"/>
      <c r="C308" s="60"/>
      <c r="D308" s="66"/>
      <c r="E308" s="66"/>
      <c r="F308" s="66"/>
      <c r="G308" s="66"/>
      <c r="H308" s="66"/>
      <c r="I308" s="66"/>
      <c r="J308" s="66"/>
      <c r="K308" s="66"/>
      <c r="L308" s="66"/>
      <c r="M308" s="66"/>
      <c r="N308" s="66"/>
    </row>
    <row r="309" spans="1:14" x14ac:dyDescent="0.2">
      <c r="A309" s="84"/>
      <c r="B309" s="84"/>
      <c r="C309" s="60"/>
      <c r="D309" s="66"/>
      <c r="E309" s="66"/>
      <c r="F309" s="66"/>
      <c r="G309" s="66"/>
      <c r="H309" s="66"/>
      <c r="I309" s="66"/>
      <c r="J309" s="66"/>
      <c r="K309" s="66"/>
      <c r="L309" s="66"/>
      <c r="M309" s="66"/>
      <c r="N309" s="66"/>
    </row>
    <row r="310" spans="1:14" x14ac:dyDescent="0.2">
      <c r="A310" s="84"/>
      <c r="B310" s="84"/>
      <c r="C310" s="60"/>
      <c r="D310" s="66"/>
      <c r="E310" s="66"/>
      <c r="F310" s="66"/>
      <c r="G310" s="66"/>
      <c r="H310" s="66"/>
      <c r="I310" s="66"/>
      <c r="J310" s="66"/>
      <c r="K310" s="66"/>
      <c r="L310" s="66"/>
      <c r="M310" s="66"/>
      <c r="N310" s="66"/>
    </row>
    <row r="311" spans="1:14" x14ac:dyDescent="0.2">
      <c r="A311" s="84"/>
      <c r="B311" s="84"/>
      <c r="C311" s="60"/>
      <c r="D311" s="66"/>
      <c r="E311" s="66"/>
      <c r="F311" s="66"/>
      <c r="G311" s="66"/>
      <c r="H311" s="66"/>
      <c r="I311" s="66"/>
      <c r="J311" s="66"/>
      <c r="K311" s="66"/>
      <c r="L311" s="66"/>
      <c r="M311" s="66"/>
      <c r="N311" s="66"/>
    </row>
    <row r="312" spans="1:14" x14ac:dyDescent="0.2">
      <c r="A312" s="84"/>
      <c r="B312" s="84"/>
      <c r="C312" s="60"/>
      <c r="D312" s="66"/>
      <c r="E312" s="66"/>
      <c r="F312" s="66"/>
      <c r="G312" s="66"/>
      <c r="H312" s="66"/>
      <c r="I312" s="66"/>
      <c r="J312" s="66"/>
      <c r="K312" s="66"/>
      <c r="L312" s="66"/>
      <c r="M312" s="66"/>
      <c r="N312" s="66"/>
    </row>
    <row r="313" spans="1:14" x14ac:dyDescent="0.2">
      <c r="A313" s="84"/>
      <c r="B313" s="84"/>
      <c r="C313" s="60"/>
      <c r="D313" s="66"/>
      <c r="E313" s="66"/>
      <c r="F313" s="66"/>
      <c r="G313" s="66"/>
      <c r="H313" s="66"/>
      <c r="I313" s="66"/>
      <c r="J313" s="66"/>
      <c r="K313" s="66"/>
      <c r="L313" s="66"/>
      <c r="M313" s="66"/>
      <c r="N313" s="66"/>
    </row>
    <row r="314" spans="1:14" x14ac:dyDescent="0.2">
      <c r="A314" s="84"/>
      <c r="B314" s="84"/>
      <c r="C314" s="60"/>
      <c r="D314" s="66"/>
      <c r="E314" s="66"/>
      <c r="F314" s="66"/>
      <c r="G314" s="66"/>
      <c r="H314" s="66"/>
      <c r="I314" s="66"/>
      <c r="J314" s="66"/>
      <c r="K314" s="66"/>
      <c r="L314" s="66"/>
      <c r="M314" s="66"/>
      <c r="N314" s="66"/>
    </row>
    <row r="315" spans="1:14" x14ac:dyDescent="0.2">
      <c r="A315" s="84"/>
      <c r="B315" s="84"/>
      <c r="C315" s="60"/>
      <c r="D315" s="66"/>
      <c r="E315" s="66"/>
      <c r="F315" s="66"/>
      <c r="G315" s="66"/>
      <c r="H315" s="66"/>
      <c r="I315" s="66"/>
      <c r="J315" s="66"/>
      <c r="K315" s="66"/>
      <c r="L315" s="66"/>
      <c r="M315" s="66"/>
      <c r="N315" s="66"/>
    </row>
    <row r="316" spans="1:14" x14ac:dyDescent="0.2">
      <c r="A316" s="84"/>
      <c r="B316" s="84"/>
      <c r="C316" s="60"/>
      <c r="D316" s="66"/>
      <c r="E316" s="66"/>
      <c r="F316" s="66"/>
      <c r="G316" s="66"/>
      <c r="H316" s="66"/>
      <c r="I316" s="66"/>
      <c r="J316" s="66"/>
      <c r="K316" s="66"/>
      <c r="L316" s="66"/>
      <c r="M316" s="66"/>
      <c r="N316" s="66"/>
    </row>
    <row r="317" spans="1:14" x14ac:dyDescent="0.2">
      <c r="A317" s="84"/>
      <c r="B317" s="84"/>
      <c r="C317" s="60"/>
      <c r="D317" s="66"/>
      <c r="E317" s="66"/>
      <c r="F317" s="66"/>
      <c r="G317" s="66"/>
      <c r="H317" s="66"/>
      <c r="I317" s="66"/>
      <c r="J317" s="66"/>
      <c r="K317" s="66"/>
      <c r="L317" s="66"/>
      <c r="M317" s="66"/>
      <c r="N317" s="66"/>
    </row>
    <row r="318" spans="1:14" x14ac:dyDescent="0.2">
      <c r="A318" s="84"/>
      <c r="B318" s="84"/>
      <c r="C318" s="60"/>
      <c r="D318" s="66"/>
      <c r="E318" s="66"/>
      <c r="F318" s="66"/>
      <c r="G318" s="66"/>
      <c r="H318" s="66"/>
      <c r="I318" s="66"/>
      <c r="J318" s="66"/>
      <c r="K318" s="66"/>
      <c r="L318" s="66"/>
      <c r="M318" s="66"/>
      <c r="N318" s="66"/>
    </row>
    <row r="319" spans="1:14" x14ac:dyDescent="0.2">
      <c r="A319" s="84"/>
      <c r="B319" s="84"/>
      <c r="C319" s="60"/>
      <c r="D319" s="66"/>
      <c r="E319" s="66"/>
      <c r="F319" s="66"/>
      <c r="G319" s="66"/>
      <c r="H319" s="66"/>
      <c r="I319" s="66"/>
      <c r="J319" s="66"/>
      <c r="K319" s="66"/>
      <c r="L319" s="66"/>
      <c r="M319" s="66"/>
      <c r="N319" s="66"/>
    </row>
    <row r="320" spans="1:14" x14ac:dyDescent="0.2">
      <c r="A320" s="84"/>
      <c r="B320" s="84"/>
      <c r="C320" s="60"/>
      <c r="D320" s="66"/>
      <c r="E320" s="66"/>
      <c r="F320" s="66"/>
      <c r="G320" s="66"/>
      <c r="H320" s="66"/>
      <c r="I320" s="66"/>
      <c r="J320" s="66"/>
      <c r="K320" s="66"/>
      <c r="L320" s="66"/>
      <c r="M320" s="66"/>
      <c r="N320" s="66"/>
    </row>
    <row r="321" spans="1:14" x14ac:dyDescent="0.2">
      <c r="A321" s="84"/>
      <c r="B321" s="84"/>
      <c r="C321" s="60"/>
      <c r="D321" s="66"/>
      <c r="E321" s="66"/>
      <c r="F321" s="66"/>
      <c r="G321" s="66"/>
      <c r="H321" s="66"/>
      <c r="I321" s="66"/>
      <c r="J321" s="66"/>
      <c r="K321" s="66"/>
      <c r="L321" s="66"/>
      <c r="M321" s="66"/>
      <c r="N321" s="66"/>
    </row>
    <row r="322" spans="1:14" x14ac:dyDescent="0.2">
      <c r="A322" s="84"/>
      <c r="B322" s="84"/>
      <c r="C322" s="60"/>
      <c r="D322" s="66"/>
      <c r="E322" s="66"/>
      <c r="F322" s="66"/>
      <c r="G322" s="66"/>
      <c r="H322" s="66"/>
      <c r="I322" s="66"/>
      <c r="J322" s="66"/>
      <c r="K322" s="66"/>
      <c r="L322" s="66"/>
      <c r="M322" s="66"/>
      <c r="N322" s="66"/>
    </row>
    <row r="323" spans="1:14" x14ac:dyDescent="0.2">
      <c r="A323" s="84"/>
      <c r="B323" s="84"/>
      <c r="C323" s="60"/>
      <c r="D323" s="66"/>
      <c r="E323" s="66"/>
      <c r="F323" s="66"/>
      <c r="G323" s="66"/>
      <c r="H323" s="66"/>
      <c r="I323" s="66"/>
      <c r="J323" s="66"/>
      <c r="K323" s="66"/>
      <c r="L323" s="66"/>
      <c r="M323" s="66"/>
      <c r="N323" s="66"/>
    </row>
    <row r="324" spans="1:14" x14ac:dyDescent="0.2">
      <c r="A324" s="84"/>
      <c r="B324" s="84"/>
      <c r="C324" s="60"/>
      <c r="D324" s="66"/>
      <c r="E324" s="66"/>
      <c r="F324" s="66"/>
      <c r="G324" s="66"/>
      <c r="H324" s="66"/>
      <c r="I324" s="66"/>
      <c r="J324" s="66"/>
      <c r="K324" s="66"/>
      <c r="L324" s="66"/>
      <c r="M324" s="66"/>
      <c r="N324" s="66"/>
    </row>
    <row r="325" spans="1:14" x14ac:dyDescent="0.2">
      <c r="A325" s="84"/>
      <c r="B325" s="84"/>
      <c r="C325" s="60"/>
      <c r="D325" s="66"/>
      <c r="E325" s="66"/>
      <c r="F325" s="66"/>
      <c r="G325" s="66"/>
      <c r="H325" s="66"/>
      <c r="I325" s="66"/>
      <c r="J325" s="66"/>
      <c r="K325" s="66"/>
      <c r="L325" s="66"/>
      <c r="M325" s="66"/>
      <c r="N325" s="66"/>
    </row>
    <row r="326" spans="1:14" x14ac:dyDescent="0.2">
      <c r="A326" s="84"/>
      <c r="B326" s="84"/>
      <c r="C326" s="60"/>
      <c r="D326" s="66"/>
      <c r="E326" s="66"/>
      <c r="F326" s="66"/>
      <c r="G326" s="66"/>
      <c r="H326" s="66"/>
      <c r="I326" s="66"/>
      <c r="J326" s="66"/>
      <c r="K326" s="66"/>
      <c r="L326" s="66"/>
      <c r="M326" s="66"/>
      <c r="N326" s="66"/>
    </row>
    <row r="327" spans="1:14" x14ac:dyDescent="0.2">
      <c r="A327" s="84"/>
      <c r="B327" s="84"/>
      <c r="C327" s="60"/>
      <c r="D327" s="66"/>
      <c r="E327" s="66"/>
      <c r="F327" s="66"/>
      <c r="G327" s="66"/>
      <c r="H327" s="66"/>
      <c r="I327" s="66"/>
      <c r="J327" s="66"/>
      <c r="K327" s="66"/>
      <c r="L327" s="66"/>
      <c r="M327" s="66"/>
      <c r="N327" s="66"/>
    </row>
    <row r="328" spans="1:14" x14ac:dyDescent="0.2">
      <c r="A328" s="84"/>
      <c r="B328" s="84"/>
      <c r="C328" s="60"/>
      <c r="D328" s="66"/>
      <c r="E328" s="66"/>
      <c r="F328" s="66"/>
      <c r="G328" s="66"/>
      <c r="H328" s="66"/>
      <c r="I328" s="66"/>
      <c r="J328" s="66"/>
      <c r="K328" s="66"/>
      <c r="L328" s="66"/>
      <c r="M328" s="66"/>
      <c r="N328" s="66"/>
    </row>
    <row r="329" spans="1:14" x14ac:dyDescent="0.2">
      <c r="A329" s="84"/>
      <c r="B329" s="84"/>
      <c r="C329" s="60"/>
      <c r="D329" s="66"/>
      <c r="E329" s="66"/>
      <c r="F329" s="66"/>
      <c r="G329" s="66"/>
      <c r="H329" s="66"/>
      <c r="I329" s="66"/>
      <c r="J329" s="66"/>
      <c r="K329" s="66"/>
      <c r="L329" s="66"/>
      <c r="M329" s="66"/>
      <c r="N329" s="66"/>
    </row>
    <row r="330" spans="1:14" x14ac:dyDescent="0.2">
      <c r="A330" s="84"/>
      <c r="B330" s="84"/>
      <c r="C330" s="60"/>
      <c r="D330" s="66"/>
      <c r="E330" s="66"/>
      <c r="F330" s="66"/>
      <c r="G330" s="66"/>
      <c r="H330" s="66"/>
      <c r="I330" s="66"/>
      <c r="J330" s="66"/>
      <c r="K330" s="66"/>
      <c r="L330" s="66"/>
      <c r="M330" s="66"/>
      <c r="N330" s="66"/>
    </row>
    <row r="331" spans="1:14" x14ac:dyDescent="0.2">
      <c r="A331" s="84"/>
      <c r="B331" s="84"/>
      <c r="C331" s="60"/>
      <c r="D331" s="66"/>
      <c r="E331" s="66"/>
      <c r="F331" s="66"/>
      <c r="G331" s="66"/>
      <c r="H331" s="66"/>
      <c r="I331" s="66"/>
      <c r="J331" s="66"/>
      <c r="K331" s="66"/>
      <c r="L331" s="66"/>
      <c r="M331" s="66"/>
      <c r="N331" s="66"/>
    </row>
    <row r="332" spans="1:14" x14ac:dyDescent="0.2">
      <c r="A332" s="84"/>
      <c r="B332" s="84"/>
      <c r="C332" s="60"/>
      <c r="D332" s="66"/>
      <c r="E332" s="66"/>
      <c r="F332" s="66"/>
      <c r="G332" s="66"/>
      <c r="H332" s="66"/>
      <c r="I332" s="66"/>
      <c r="J332" s="66"/>
      <c r="K332" s="66"/>
      <c r="L332" s="66"/>
      <c r="M332" s="66"/>
      <c r="N332" s="66"/>
    </row>
    <row r="333" spans="1:14" x14ac:dyDescent="0.2">
      <c r="A333" s="84"/>
      <c r="B333" s="84"/>
      <c r="C333" s="60"/>
      <c r="D333" s="66"/>
      <c r="E333" s="66"/>
      <c r="F333" s="66"/>
      <c r="G333" s="66"/>
      <c r="H333" s="66"/>
      <c r="I333" s="66"/>
      <c r="J333" s="66"/>
      <c r="K333" s="66"/>
      <c r="L333" s="66"/>
      <c r="M333" s="66"/>
      <c r="N333" s="66"/>
    </row>
    <row r="334" spans="1:14" x14ac:dyDescent="0.2">
      <c r="A334" s="84"/>
      <c r="B334" s="84"/>
      <c r="C334" s="60"/>
      <c r="D334" s="66"/>
      <c r="E334" s="66"/>
      <c r="F334" s="66"/>
      <c r="G334" s="66"/>
      <c r="H334" s="66"/>
      <c r="I334" s="66"/>
      <c r="J334" s="66"/>
      <c r="K334" s="66"/>
      <c r="L334" s="66"/>
      <c r="M334" s="66"/>
      <c r="N334" s="66"/>
    </row>
    <row r="335" spans="1:14" x14ac:dyDescent="0.2">
      <c r="A335" s="84"/>
      <c r="B335" s="84"/>
      <c r="C335" s="60"/>
      <c r="D335" s="66"/>
      <c r="E335" s="66"/>
      <c r="F335" s="66"/>
      <c r="G335" s="66"/>
      <c r="H335" s="66"/>
      <c r="I335" s="66"/>
      <c r="J335" s="66"/>
      <c r="K335" s="66"/>
      <c r="L335" s="66"/>
      <c r="M335" s="66"/>
      <c r="N335" s="66"/>
    </row>
    <row r="336" spans="1:14" x14ac:dyDescent="0.2">
      <c r="A336" s="84"/>
      <c r="B336" s="84"/>
      <c r="C336" s="60"/>
      <c r="D336" s="66"/>
      <c r="E336" s="66"/>
      <c r="F336" s="66"/>
      <c r="G336" s="66"/>
      <c r="H336" s="66"/>
      <c r="I336" s="66"/>
      <c r="J336" s="66"/>
      <c r="K336" s="66"/>
      <c r="L336" s="66"/>
      <c r="M336" s="66"/>
      <c r="N336" s="66"/>
    </row>
    <row r="337" spans="1:14" x14ac:dyDescent="0.2">
      <c r="A337" s="84"/>
      <c r="B337" s="84"/>
      <c r="C337" s="60"/>
      <c r="D337" s="66"/>
      <c r="E337" s="66"/>
      <c r="F337" s="66"/>
      <c r="G337" s="66"/>
      <c r="H337" s="66"/>
      <c r="I337" s="66"/>
      <c r="J337" s="66"/>
      <c r="K337" s="66"/>
      <c r="L337" s="66"/>
      <c r="M337" s="66"/>
      <c r="N337" s="66"/>
    </row>
    <row r="338" spans="1:14" x14ac:dyDescent="0.2">
      <c r="A338" s="84"/>
      <c r="B338" s="84"/>
      <c r="C338" s="60"/>
      <c r="D338" s="66"/>
      <c r="E338" s="66"/>
      <c r="F338" s="66"/>
      <c r="G338" s="66"/>
      <c r="H338" s="66"/>
      <c r="I338" s="66"/>
      <c r="J338" s="66"/>
      <c r="K338" s="66"/>
      <c r="L338" s="66"/>
      <c r="M338" s="66"/>
      <c r="N338" s="66"/>
    </row>
    <row r="339" spans="1:14" x14ac:dyDescent="0.2">
      <c r="A339" s="84"/>
      <c r="B339" s="84"/>
      <c r="C339" s="60"/>
      <c r="D339" s="66"/>
      <c r="E339" s="66"/>
      <c r="F339" s="66"/>
      <c r="G339" s="66"/>
      <c r="H339" s="66"/>
      <c r="I339" s="66"/>
      <c r="J339" s="66"/>
      <c r="K339" s="66"/>
      <c r="L339" s="66"/>
      <c r="M339" s="66"/>
      <c r="N339" s="66"/>
    </row>
    <row r="340" spans="1:14" x14ac:dyDescent="0.2">
      <c r="A340" s="84"/>
      <c r="B340" s="84"/>
      <c r="C340" s="60"/>
      <c r="D340" s="66"/>
      <c r="E340" s="66"/>
      <c r="F340" s="66"/>
      <c r="G340" s="66"/>
      <c r="H340" s="66"/>
      <c r="I340" s="66"/>
      <c r="J340" s="66"/>
      <c r="K340" s="66"/>
      <c r="L340" s="66"/>
      <c r="M340" s="66"/>
      <c r="N340" s="66"/>
    </row>
    <row r="341" spans="1:14" x14ac:dyDescent="0.2">
      <c r="A341" s="84"/>
      <c r="B341" s="84"/>
      <c r="C341" s="60"/>
      <c r="D341" s="66"/>
      <c r="E341" s="66"/>
      <c r="F341" s="66"/>
      <c r="G341" s="66"/>
      <c r="H341" s="66"/>
      <c r="I341" s="66"/>
      <c r="J341" s="66"/>
      <c r="K341" s="66"/>
      <c r="L341" s="66"/>
      <c r="M341" s="66"/>
      <c r="N341" s="66"/>
    </row>
    <row r="342" spans="1:14" x14ac:dyDescent="0.2">
      <c r="A342" s="84"/>
      <c r="B342" s="84"/>
      <c r="C342" s="60"/>
      <c r="D342" s="66"/>
      <c r="E342" s="66"/>
      <c r="F342" s="66"/>
      <c r="G342" s="66"/>
      <c r="H342" s="66"/>
      <c r="I342" s="66"/>
      <c r="J342" s="66"/>
      <c r="K342" s="66"/>
      <c r="L342" s="66"/>
      <c r="M342" s="66"/>
      <c r="N342" s="66"/>
    </row>
    <row r="343" spans="1:14" x14ac:dyDescent="0.2">
      <c r="A343" s="84"/>
      <c r="B343" s="84"/>
      <c r="C343" s="60"/>
      <c r="D343" s="66"/>
      <c r="E343" s="66"/>
      <c r="F343" s="66"/>
      <c r="G343" s="66"/>
      <c r="H343" s="66"/>
      <c r="I343" s="66"/>
      <c r="J343" s="66"/>
      <c r="K343" s="66"/>
      <c r="L343" s="66"/>
      <c r="M343" s="66"/>
      <c r="N343" s="66"/>
    </row>
    <row r="344" spans="1:14" x14ac:dyDescent="0.2">
      <c r="A344" s="84"/>
      <c r="B344" s="84"/>
      <c r="C344" s="60"/>
      <c r="D344" s="66"/>
      <c r="E344" s="66"/>
      <c r="F344" s="66"/>
      <c r="G344" s="66"/>
      <c r="H344" s="66"/>
      <c r="I344" s="66"/>
      <c r="J344" s="66"/>
      <c r="K344" s="66"/>
      <c r="L344" s="66"/>
      <c r="M344" s="66"/>
      <c r="N344" s="66"/>
    </row>
    <row r="345" spans="1:14" x14ac:dyDescent="0.2">
      <c r="A345" s="84"/>
      <c r="B345" s="84"/>
      <c r="C345" s="60"/>
      <c r="D345" s="66"/>
      <c r="E345" s="66"/>
      <c r="F345" s="66"/>
      <c r="G345" s="66"/>
      <c r="H345" s="66"/>
      <c r="I345" s="66"/>
      <c r="J345" s="66"/>
      <c r="K345" s="66"/>
      <c r="L345" s="66"/>
      <c r="M345" s="66"/>
      <c r="N345" s="66"/>
    </row>
    <row r="346" spans="1:14" x14ac:dyDescent="0.2">
      <c r="A346" s="84"/>
      <c r="B346" s="84"/>
      <c r="C346" s="60"/>
      <c r="D346" s="66"/>
      <c r="E346" s="66"/>
      <c r="F346" s="66"/>
      <c r="G346" s="66"/>
      <c r="H346" s="66"/>
      <c r="I346" s="66"/>
      <c r="J346" s="66"/>
      <c r="K346" s="66"/>
      <c r="L346" s="66"/>
      <c r="M346" s="66"/>
      <c r="N346" s="66"/>
    </row>
    <row r="347" spans="1:14" x14ac:dyDescent="0.2">
      <c r="A347" s="84"/>
      <c r="B347" s="84"/>
      <c r="C347" s="60"/>
      <c r="D347" s="66"/>
      <c r="E347" s="66"/>
      <c r="F347" s="66"/>
      <c r="G347" s="66"/>
      <c r="H347" s="66"/>
      <c r="I347" s="66"/>
      <c r="J347" s="66"/>
      <c r="K347" s="66"/>
      <c r="L347" s="66"/>
      <c r="M347" s="66"/>
      <c r="N347" s="66"/>
    </row>
    <row r="348" spans="1:14" x14ac:dyDescent="0.2">
      <c r="A348" s="84"/>
      <c r="B348" s="84"/>
      <c r="C348" s="60"/>
      <c r="D348" s="66"/>
      <c r="E348" s="66"/>
      <c r="F348" s="66"/>
      <c r="G348" s="66"/>
      <c r="H348" s="66"/>
      <c r="I348" s="66"/>
      <c r="J348" s="66"/>
      <c r="K348" s="66"/>
      <c r="L348" s="66"/>
      <c r="M348" s="66"/>
      <c r="N348" s="66"/>
    </row>
    <row r="349" spans="1:14" x14ac:dyDescent="0.2">
      <c r="A349" s="84"/>
      <c r="B349" s="84"/>
      <c r="C349" s="60"/>
      <c r="D349" s="66"/>
      <c r="E349" s="66"/>
      <c r="F349" s="66"/>
      <c r="G349" s="66"/>
      <c r="H349" s="66"/>
      <c r="I349" s="66"/>
      <c r="J349" s="66"/>
      <c r="K349" s="66"/>
      <c r="L349" s="66"/>
      <c r="M349" s="66"/>
      <c r="N349" s="66"/>
    </row>
    <row r="350" spans="1:14" x14ac:dyDescent="0.2">
      <c r="A350" s="84"/>
      <c r="B350" s="84"/>
      <c r="C350" s="60"/>
      <c r="D350" s="66"/>
      <c r="E350" s="66"/>
      <c r="F350" s="66"/>
      <c r="G350" s="66"/>
      <c r="H350" s="66"/>
      <c r="I350" s="66"/>
      <c r="J350" s="66"/>
      <c r="K350" s="66"/>
      <c r="L350" s="66"/>
      <c r="M350" s="66"/>
      <c r="N350" s="66"/>
    </row>
    <row r="351" spans="1:14" x14ac:dyDescent="0.2">
      <c r="A351" s="84"/>
      <c r="B351" s="84"/>
      <c r="C351" s="60"/>
      <c r="D351" s="66"/>
      <c r="E351" s="66"/>
      <c r="F351" s="66"/>
      <c r="G351" s="66"/>
      <c r="H351" s="66"/>
      <c r="I351" s="66"/>
      <c r="J351" s="66"/>
      <c r="K351" s="66"/>
      <c r="L351" s="66"/>
      <c r="M351" s="66"/>
      <c r="N351" s="66"/>
    </row>
    <row r="352" spans="1:14" x14ac:dyDescent="0.2">
      <c r="A352" s="84"/>
      <c r="B352" s="84"/>
      <c r="C352" s="60"/>
      <c r="D352" s="66"/>
      <c r="E352" s="66"/>
      <c r="F352" s="66"/>
      <c r="G352" s="66"/>
      <c r="H352" s="66"/>
      <c r="I352" s="66"/>
      <c r="J352" s="66"/>
      <c r="K352" s="66"/>
      <c r="L352" s="66"/>
      <c r="M352" s="66"/>
      <c r="N352" s="66"/>
    </row>
    <row r="353" spans="1:14" x14ac:dyDescent="0.2">
      <c r="A353" s="84"/>
      <c r="B353" s="84"/>
      <c r="C353" s="60"/>
      <c r="D353" s="66"/>
      <c r="E353" s="66"/>
      <c r="F353" s="66"/>
      <c r="G353" s="66"/>
      <c r="H353" s="66"/>
      <c r="I353" s="66"/>
      <c r="J353" s="66"/>
      <c r="K353" s="66"/>
      <c r="L353" s="66"/>
      <c r="M353" s="66"/>
      <c r="N353" s="66"/>
    </row>
    <row r="354" spans="1:14" x14ac:dyDescent="0.2">
      <c r="A354" s="84"/>
      <c r="B354" s="84"/>
      <c r="C354" s="60"/>
      <c r="D354" s="66"/>
      <c r="E354" s="66"/>
      <c r="F354" s="66"/>
      <c r="G354" s="66"/>
      <c r="H354" s="66"/>
      <c r="I354" s="66"/>
      <c r="J354" s="66"/>
      <c r="K354" s="66"/>
      <c r="L354" s="66"/>
      <c r="M354" s="66"/>
      <c r="N354" s="66"/>
    </row>
    <row r="355" spans="1:14" x14ac:dyDescent="0.2">
      <c r="A355" s="84"/>
      <c r="B355" s="84"/>
      <c r="C355" s="60"/>
      <c r="D355" s="66"/>
      <c r="E355" s="66"/>
      <c r="F355" s="66"/>
      <c r="G355" s="66"/>
      <c r="H355" s="66"/>
      <c r="I355" s="66"/>
      <c r="J355" s="66"/>
      <c r="K355" s="66"/>
      <c r="L355" s="66"/>
      <c r="M355" s="66"/>
      <c r="N355" s="66"/>
    </row>
    <row r="356" spans="1:14" x14ac:dyDescent="0.2">
      <c r="A356" s="84"/>
      <c r="B356" s="84"/>
      <c r="C356" s="60"/>
      <c r="D356" s="66"/>
      <c r="E356" s="66"/>
      <c r="F356" s="66"/>
      <c r="G356" s="66"/>
      <c r="H356" s="66"/>
      <c r="I356" s="66"/>
      <c r="J356" s="66"/>
      <c r="K356" s="66"/>
      <c r="L356" s="66"/>
      <c r="M356" s="66"/>
      <c r="N356" s="66"/>
    </row>
    <row r="357" spans="1:14" x14ac:dyDescent="0.2">
      <c r="A357" s="84"/>
      <c r="B357" s="84"/>
      <c r="C357" s="60"/>
      <c r="D357" s="66"/>
      <c r="E357" s="66"/>
      <c r="F357" s="66"/>
      <c r="G357" s="66"/>
      <c r="H357" s="66"/>
      <c r="I357" s="66"/>
      <c r="J357" s="66"/>
      <c r="K357" s="66"/>
      <c r="L357" s="66"/>
      <c r="M357" s="66"/>
      <c r="N357" s="66"/>
    </row>
    <row r="358" spans="1:14" x14ac:dyDescent="0.2">
      <c r="A358" s="84"/>
      <c r="B358" s="84"/>
      <c r="C358" s="60"/>
      <c r="D358" s="66"/>
      <c r="E358" s="66"/>
      <c r="F358" s="66"/>
      <c r="G358" s="66"/>
      <c r="H358" s="66"/>
      <c r="I358" s="66"/>
      <c r="J358" s="66"/>
      <c r="K358" s="66"/>
      <c r="L358" s="66"/>
      <c r="M358" s="66"/>
      <c r="N358" s="66"/>
    </row>
    <row r="359" spans="1:14" x14ac:dyDescent="0.2">
      <c r="A359" s="84"/>
      <c r="B359" s="84"/>
      <c r="C359" s="60"/>
      <c r="D359" s="66"/>
      <c r="E359" s="66"/>
      <c r="F359" s="66"/>
      <c r="G359" s="66"/>
      <c r="H359" s="66"/>
      <c r="I359" s="66"/>
      <c r="J359" s="66"/>
      <c r="K359" s="66"/>
      <c r="L359" s="66"/>
      <c r="M359" s="66"/>
      <c r="N359" s="66"/>
    </row>
    <row r="360" spans="1:14" x14ac:dyDescent="0.2">
      <c r="A360" s="84"/>
      <c r="B360" s="84"/>
      <c r="C360" s="60"/>
      <c r="D360" s="66"/>
      <c r="E360" s="66"/>
      <c r="F360" s="66"/>
      <c r="G360" s="66"/>
      <c r="H360" s="66"/>
      <c r="I360" s="66"/>
      <c r="J360" s="66"/>
      <c r="K360" s="66"/>
      <c r="L360" s="66"/>
      <c r="M360" s="66"/>
      <c r="N360" s="66"/>
    </row>
    <row r="361" spans="1:14" x14ac:dyDescent="0.2">
      <c r="A361" s="84"/>
      <c r="B361" s="84"/>
      <c r="C361" s="60"/>
      <c r="D361" s="66"/>
      <c r="E361" s="66"/>
      <c r="F361" s="66"/>
      <c r="G361" s="66"/>
      <c r="H361" s="66"/>
      <c r="I361" s="66"/>
      <c r="J361" s="66"/>
      <c r="K361" s="66"/>
      <c r="L361" s="66"/>
      <c r="M361" s="66"/>
      <c r="N361" s="66"/>
    </row>
    <row r="362" spans="1:14" x14ac:dyDescent="0.2">
      <c r="A362" s="84"/>
      <c r="B362" s="84"/>
      <c r="C362" s="60"/>
      <c r="D362" s="66"/>
      <c r="E362" s="66"/>
      <c r="F362" s="66"/>
      <c r="G362" s="66"/>
      <c r="H362" s="66"/>
      <c r="I362" s="66"/>
      <c r="J362" s="66"/>
      <c r="K362" s="66"/>
      <c r="L362" s="66"/>
      <c r="M362" s="66"/>
      <c r="N362" s="66"/>
    </row>
    <row r="363" spans="1:14" x14ac:dyDescent="0.2">
      <c r="A363" s="84"/>
      <c r="B363" s="84"/>
      <c r="C363" s="60"/>
      <c r="D363" s="66"/>
      <c r="E363" s="66"/>
      <c r="F363" s="66"/>
      <c r="G363" s="66"/>
      <c r="H363" s="66"/>
      <c r="I363" s="66"/>
      <c r="J363" s="66"/>
      <c r="K363" s="66"/>
      <c r="L363" s="66"/>
      <c r="M363" s="66"/>
      <c r="N363" s="66"/>
    </row>
    <row r="364" spans="1:14" x14ac:dyDescent="0.2">
      <c r="A364" s="84"/>
      <c r="B364" s="84"/>
      <c r="C364" s="60"/>
      <c r="D364" s="66"/>
      <c r="E364" s="66"/>
      <c r="F364" s="66"/>
      <c r="G364" s="66"/>
      <c r="H364" s="66"/>
      <c r="I364" s="66"/>
      <c r="J364" s="66"/>
      <c r="K364" s="66"/>
      <c r="L364" s="66"/>
      <c r="M364" s="66"/>
      <c r="N364" s="66"/>
    </row>
    <row r="365" spans="1:14" x14ac:dyDescent="0.2">
      <c r="A365" s="84"/>
      <c r="B365" s="84"/>
      <c r="C365" s="60"/>
      <c r="D365" s="66"/>
      <c r="E365" s="66"/>
      <c r="F365" s="66"/>
      <c r="G365" s="66"/>
      <c r="H365" s="66"/>
      <c r="I365" s="66"/>
      <c r="J365" s="66"/>
      <c r="K365" s="66"/>
      <c r="L365" s="66"/>
      <c r="M365" s="66"/>
      <c r="N365" s="66"/>
    </row>
    <row r="366" spans="1:14" x14ac:dyDescent="0.2">
      <c r="A366" s="84"/>
      <c r="B366" s="84"/>
      <c r="C366" s="60"/>
      <c r="D366" s="66"/>
      <c r="E366" s="66"/>
      <c r="F366" s="66"/>
      <c r="G366" s="66"/>
      <c r="H366" s="66"/>
      <c r="I366" s="66"/>
      <c r="J366" s="66"/>
      <c r="K366" s="66"/>
      <c r="L366" s="66"/>
      <c r="M366" s="66"/>
      <c r="N366" s="66"/>
    </row>
    <row r="367" spans="1:14" x14ac:dyDescent="0.2">
      <c r="A367" s="84"/>
      <c r="B367" s="84"/>
      <c r="C367" s="60"/>
      <c r="D367" s="66"/>
      <c r="E367" s="66"/>
      <c r="F367" s="66"/>
      <c r="G367" s="66"/>
      <c r="H367" s="66"/>
      <c r="I367" s="66"/>
      <c r="J367" s="66"/>
      <c r="K367" s="66"/>
      <c r="L367" s="66"/>
      <c r="M367" s="66"/>
      <c r="N367" s="66"/>
    </row>
    <row r="368" spans="1:14" x14ac:dyDescent="0.2">
      <c r="A368" s="84"/>
      <c r="B368" s="84"/>
      <c r="C368" s="60"/>
      <c r="D368" s="66"/>
      <c r="E368" s="66"/>
      <c r="F368" s="66"/>
      <c r="G368" s="66"/>
      <c r="H368" s="66"/>
      <c r="I368" s="66"/>
      <c r="J368" s="66"/>
      <c r="K368" s="66"/>
      <c r="L368" s="66"/>
      <c r="M368" s="66"/>
      <c r="N368" s="66"/>
    </row>
    <row r="369" spans="1:14" x14ac:dyDescent="0.2">
      <c r="A369" s="84"/>
      <c r="B369" s="84"/>
      <c r="C369" s="60"/>
      <c r="D369" s="66"/>
      <c r="E369" s="66"/>
      <c r="F369" s="66"/>
      <c r="G369" s="66"/>
      <c r="H369" s="66"/>
      <c r="I369" s="66"/>
      <c r="J369" s="66"/>
      <c r="K369" s="66"/>
      <c r="L369" s="66"/>
      <c r="M369" s="66"/>
      <c r="N369" s="66"/>
    </row>
    <row r="370" spans="1:14" x14ac:dyDescent="0.2">
      <c r="A370" s="84"/>
      <c r="B370" s="84"/>
      <c r="C370" s="60"/>
      <c r="D370" s="66"/>
      <c r="E370" s="66"/>
      <c r="F370" s="66"/>
      <c r="G370" s="66"/>
      <c r="H370" s="66"/>
      <c r="I370" s="66"/>
      <c r="J370" s="66"/>
      <c r="K370" s="66"/>
      <c r="L370" s="66"/>
      <c r="M370" s="66"/>
      <c r="N370" s="66"/>
    </row>
    <row r="371" spans="1:14" x14ac:dyDescent="0.2">
      <c r="A371" s="84"/>
      <c r="B371" s="84"/>
      <c r="C371" s="60"/>
      <c r="D371" s="66"/>
      <c r="E371" s="66"/>
      <c r="F371" s="66"/>
      <c r="G371" s="66"/>
      <c r="H371" s="66"/>
      <c r="I371" s="66"/>
      <c r="J371" s="66"/>
      <c r="K371" s="66"/>
      <c r="L371" s="66"/>
      <c r="M371" s="66"/>
      <c r="N371" s="66"/>
    </row>
    <row r="372" spans="1:14" x14ac:dyDescent="0.2">
      <c r="A372" s="84"/>
      <c r="B372" s="84"/>
      <c r="C372" s="60"/>
      <c r="D372" s="66"/>
      <c r="E372" s="66"/>
      <c r="F372" s="66"/>
      <c r="G372" s="66"/>
      <c r="H372" s="66"/>
      <c r="I372" s="66"/>
      <c r="J372" s="66"/>
      <c r="K372" s="66"/>
      <c r="L372" s="66"/>
      <c r="M372" s="66"/>
      <c r="N372" s="66"/>
    </row>
    <row r="373" spans="1:14" x14ac:dyDescent="0.2">
      <c r="A373" s="84"/>
      <c r="B373" s="84"/>
      <c r="C373" s="60"/>
      <c r="D373" s="66"/>
      <c r="E373" s="66"/>
      <c r="F373" s="66"/>
      <c r="G373" s="66"/>
      <c r="H373" s="66"/>
      <c r="I373" s="66"/>
      <c r="J373" s="66"/>
      <c r="K373" s="66"/>
      <c r="L373" s="66"/>
      <c r="M373" s="66"/>
      <c r="N373" s="66"/>
    </row>
    <row r="374" spans="1:14" x14ac:dyDescent="0.2">
      <c r="A374" s="84"/>
      <c r="B374" s="84"/>
      <c r="C374" s="60"/>
      <c r="D374" s="66"/>
      <c r="E374" s="66"/>
      <c r="F374" s="66"/>
      <c r="G374" s="66"/>
      <c r="H374" s="66"/>
      <c r="I374" s="66"/>
      <c r="J374" s="66"/>
      <c r="K374" s="66"/>
      <c r="L374" s="66"/>
      <c r="M374" s="66"/>
      <c r="N374" s="66"/>
    </row>
    <row r="375" spans="1:14" x14ac:dyDescent="0.2">
      <c r="A375" s="84"/>
      <c r="B375" s="84"/>
      <c r="C375" s="60"/>
      <c r="D375" s="66"/>
      <c r="E375" s="66"/>
      <c r="F375" s="66"/>
      <c r="G375" s="66"/>
      <c r="H375" s="66"/>
      <c r="I375" s="66"/>
      <c r="J375" s="66"/>
      <c r="K375" s="66"/>
      <c r="L375" s="66"/>
      <c r="M375" s="66"/>
      <c r="N375" s="66"/>
    </row>
    <row r="376" spans="1:14" x14ac:dyDescent="0.2">
      <c r="A376" s="84"/>
      <c r="B376" s="84"/>
      <c r="C376" s="60"/>
      <c r="D376" s="66"/>
      <c r="E376" s="66"/>
      <c r="F376" s="66"/>
      <c r="G376" s="66"/>
      <c r="H376" s="66"/>
      <c r="I376" s="66"/>
      <c r="J376" s="66"/>
      <c r="K376" s="66"/>
      <c r="L376" s="66"/>
      <c r="M376" s="66"/>
      <c r="N376" s="66"/>
    </row>
    <row r="377" spans="1:14" x14ac:dyDescent="0.2">
      <c r="A377" s="84"/>
      <c r="B377" s="84"/>
      <c r="C377" s="60"/>
      <c r="D377" s="66"/>
      <c r="E377" s="66"/>
      <c r="F377" s="66"/>
      <c r="G377" s="66"/>
      <c r="H377" s="66"/>
      <c r="I377" s="66"/>
      <c r="J377" s="66"/>
      <c r="K377" s="66"/>
      <c r="L377" s="66"/>
      <c r="M377" s="66"/>
      <c r="N377" s="66"/>
    </row>
    <row r="378" spans="1:14" x14ac:dyDescent="0.2">
      <c r="A378" s="84"/>
      <c r="B378" s="84"/>
      <c r="C378" s="60"/>
      <c r="D378" s="66"/>
      <c r="E378" s="66"/>
      <c r="F378" s="66"/>
      <c r="G378" s="66"/>
      <c r="H378" s="66"/>
      <c r="I378" s="66"/>
      <c r="J378" s="66"/>
      <c r="K378" s="66"/>
      <c r="L378" s="66"/>
      <c r="M378" s="66"/>
      <c r="N378" s="66"/>
    </row>
    <row r="379" spans="1:14" x14ac:dyDescent="0.2">
      <c r="A379" s="84"/>
      <c r="B379" s="84"/>
      <c r="C379" s="60"/>
      <c r="D379" s="66"/>
      <c r="E379" s="66"/>
      <c r="F379" s="66"/>
      <c r="G379" s="66"/>
      <c r="H379" s="66"/>
      <c r="I379" s="66"/>
      <c r="J379" s="66"/>
      <c r="K379" s="66"/>
      <c r="L379" s="66"/>
      <c r="M379" s="66"/>
      <c r="N379" s="66"/>
    </row>
    <row r="380" spans="1:14" x14ac:dyDescent="0.2">
      <c r="A380" s="84"/>
      <c r="B380" s="84"/>
      <c r="C380" s="60"/>
      <c r="D380" s="66"/>
      <c r="E380" s="66"/>
      <c r="F380" s="66"/>
      <c r="G380" s="66"/>
      <c r="H380" s="66"/>
      <c r="I380" s="66"/>
      <c r="J380" s="66"/>
      <c r="K380" s="66"/>
      <c r="L380" s="66"/>
      <c r="M380" s="66"/>
      <c r="N380" s="66"/>
    </row>
    <row r="381" spans="1:14" x14ac:dyDescent="0.2">
      <c r="A381" s="84"/>
      <c r="B381" s="84"/>
      <c r="C381" s="60"/>
      <c r="D381" s="66"/>
      <c r="E381" s="66"/>
      <c r="F381" s="66"/>
      <c r="G381" s="66"/>
      <c r="H381" s="66"/>
      <c r="I381" s="66"/>
      <c r="J381" s="66"/>
      <c r="K381" s="66"/>
      <c r="L381" s="66"/>
      <c r="M381" s="66"/>
      <c r="N381" s="66"/>
    </row>
    <row r="382" spans="1:14" x14ac:dyDescent="0.2">
      <c r="A382" s="84"/>
      <c r="B382" s="84"/>
      <c r="C382" s="60"/>
      <c r="D382" s="66"/>
      <c r="E382" s="66"/>
      <c r="F382" s="66"/>
      <c r="G382" s="66"/>
      <c r="H382" s="66"/>
      <c r="I382" s="66"/>
      <c r="J382" s="66"/>
      <c r="K382" s="66"/>
      <c r="L382" s="66"/>
      <c r="M382" s="66"/>
      <c r="N382" s="66"/>
    </row>
    <row r="383" spans="1:14" x14ac:dyDescent="0.2">
      <c r="A383" s="84"/>
      <c r="B383" s="84"/>
      <c r="C383" s="60"/>
      <c r="D383" s="66"/>
      <c r="E383" s="66"/>
      <c r="F383" s="66"/>
      <c r="G383" s="66"/>
      <c r="H383" s="66"/>
      <c r="I383" s="66"/>
      <c r="J383" s="66"/>
      <c r="K383" s="66"/>
      <c r="L383" s="66"/>
      <c r="M383" s="66"/>
      <c r="N383" s="66"/>
    </row>
    <row r="384" spans="1:14" x14ac:dyDescent="0.2">
      <c r="A384" s="84"/>
      <c r="B384" s="84"/>
      <c r="C384" s="60"/>
      <c r="D384" s="66"/>
      <c r="E384" s="66"/>
      <c r="F384" s="66"/>
      <c r="G384" s="66"/>
      <c r="H384" s="66"/>
      <c r="I384" s="66"/>
      <c r="J384" s="66"/>
      <c r="K384" s="66"/>
      <c r="L384" s="66"/>
      <c r="M384" s="66"/>
      <c r="N384" s="66"/>
    </row>
    <row r="385" spans="1:14" x14ac:dyDescent="0.2">
      <c r="A385" s="84"/>
      <c r="B385" s="84"/>
      <c r="C385" s="60"/>
      <c r="D385" s="66"/>
      <c r="E385" s="66"/>
      <c r="F385" s="66"/>
      <c r="G385" s="66"/>
      <c r="H385" s="66"/>
      <c r="I385" s="66"/>
      <c r="J385" s="66"/>
      <c r="K385" s="66"/>
      <c r="L385" s="66"/>
      <c r="M385" s="66"/>
      <c r="N385" s="66"/>
    </row>
    <row r="386" spans="1:14" x14ac:dyDescent="0.2">
      <c r="A386" s="84"/>
      <c r="B386" s="84"/>
      <c r="C386" s="60"/>
      <c r="D386" s="66"/>
      <c r="E386" s="66"/>
      <c r="F386" s="66"/>
      <c r="G386" s="66"/>
      <c r="H386" s="66"/>
      <c r="I386" s="66"/>
      <c r="J386" s="66"/>
      <c r="K386" s="66"/>
      <c r="L386" s="66"/>
      <c r="M386" s="66"/>
      <c r="N386" s="66"/>
    </row>
    <row r="387" spans="1:14" x14ac:dyDescent="0.2">
      <c r="A387" s="84"/>
      <c r="B387" s="84"/>
      <c r="C387" s="60"/>
      <c r="D387" s="66"/>
      <c r="E387" s="66"/>
      <c r="F387" s="66"/>
      <c r="G387" s="66"/>
      <c r="H387" s="66"/>
      <c r="I387" s="66"/>
      <c r="J387" s="66"/>
      <c r="K387" s="66"/>
      <c r="L387" s="66"/>
      <c r="M387" s="66"/>
      <c r="N387" s="66"/>
    </row>
    <row r="388" spans="1:14" x14ac:dyDescent="0.2">
      <c r="A388" s="84"/>
      <c r="B388" s="84"/>
      <c r="C388" s="60"/>
      <c r="D388" s="66"/>
      <c r="E388" s="66"/>
      <c r="F388" s="66"/>
      <c r="G388" s="66"/>
      <c r="H388" s="66"/>
      <c r="I388" s="66"/>
      <c r="J388" s="66"/>
      <c r="K388" s="66"/>
      <c r="L388" s="66"/>
      <c r="M388" s="66"/>
      <c r="N388" s="66"/>
    </row>
    <row r="389" spans="1:14" x14ac:dyDescent="0.2">
      <c r="A389" s="84"/>
      <c r="B389" s="84"/>
      <c r="C389" s="60"/>
      <c r="D389" s="66"/>
      <c r="E389" s="66"/>
      <c r="F389" s="66"/>
      <c r="G389" s="66"/>
      <c r="H389" s="66"/>
      <c r="I389" s="66"/>
      <c r="J389" s="66"/>
      <c r="K389" s="66"/>
      <c r="L389" s="66"/>
      <c r="M389" s="66"/>
      <c r="N389" s="66"/>
    </row>
    <row r="390" spans="1:14" x14ac:dyDescent="0.2">
      <c r="A390" s="84"/>
      <c r="B390" s="84"/>
      <c r="C390" s="60"/>
      <c r="D390" s="66"/>
      <c r="E390" s="66"/>
      <c r="F390" s="66"/>
      <c r="G390" s="66"/>
      <c r="H390" s="66"/>
      <c r="I390" s="66"/>
      <c r="J390" s="66"/>
      <c r="K390" s="66"/>
      <c r="L390" s="66"/>
      <c r="M390" s="66"/>
      <c r="N390" s="66"/>
    </row>
    <row r="391" spans="1:14" x14ac:dyDescent="0.2">
      <c r="A391" s="84"/>
      <c r="B391" s="84"/>
      <c r="C391" s="60"/>
      <c r="D391" s="66"/>
      <c r="E391" s="66"/>
      <c r="F391" s="66"/>
      <c r="G391" s="66"/>
      <c r="H391" s="66"/>
      <c r="I391" s="66"/>
      <c r="J391" s="66"/>
      <c r="K391" s="66"/>
      <c r="L391" s="66"/>
      <c r="M391" s="66"/>
      <c r="N391" s="66"/>
    </row>
    <row r="392" spans="1:14" x14ac:dyDescent="0.2">
      <c r="A392" s="84"/>
      <c r="B392" s="84"/>
      <c r="C392" s="60"/>
      <c r="D392" s="66"/>
      <c r="E392" s="66"/>
      <c r="F392" s="66"/>
      <c r="G392" s="66"/>
      <c r="H392" s="66"/>
      <c r="I392" s="66"/>
      <c r="J392" s="66"/>
      <c r="K392" s="66"/>
      <c r="L392" s="66"/>
      <c r="M392" s="66"/>
      <c r="N392" s="66"/>
    </row>
    <row r="393" spans="1:14" x14ac:dyDescent="0.2">
      <c r="A393" s="84"/>
      <c r="B393" s="84"/>
      <c r="C393" s="60"/>
      <c r="D393" s="66"/>
      <c r="E393" s="66"/>
      <c r="F393" s="66"/>
      <c r="G393" s="66"/>
      <c r="H393" s="66"/>
      <c r="I393" s="66"/>
      <c r="J393" s="66"/>
      <c r="K393" s="66"/>
      <c r="L393" s="66"/>
      <c r="M393" s="66"/>
      <c r="N393" s="66"/>
    </row>
    <row r="394" spans="1:14" x14ac:dyDescent="0.2">
      <c r="A394" s="84"/>
      <c r="B394" s="84"/>
      <c r="C394" s="60"/>
      <c r="D394" s="66"/>
      <c r="E394" s="66"/>
      <c r="F394" s="66"/>
      <c r="G394" s="66"/>
      <c r="H394" s="66"/>
      <c r="I394" s="66"/>
      <c r="J394" s="66"/>
      <c r="K394" s="66"/>
      <c r="L394" s="66"/>
      <c r="M394" s="66"/>
      <c r="N394" s="66"/>
    </row>
    <row r="395" spans="1:14" x14ac:dyDescent="0.2">
      <c r="A395" s="84"/>
      <c r="B395" s="84"/>
      <c r="C395" s="60"/>
      <c r="D395" s="66"/>
      <c r="E395" s="66"/>
      <c r="F395" s="66"/>
      <c r="G395" s="66"/>
      <c r="H395" s="66"/>
      <c r="I395" s="66"/>
      <c r="J395" s="66"/>
      <c r="K395" s="66"/>
      <c r="L395" s="66"/>
      <c r="M395" s="66"/>
      <c r="N395" s="66"/>
    </row>
    <row r="396" spans="1:14" x14ac:dyDescent="0.2">
      <c r="A396" s="84"/>
      <c r="B396" s="84"/>
      <c r="C396" s="60"/>
      <c r="D396" s="66"/>
      <c r="E396" s="66"/>
      <c r="F396" s="66"/>
      <c r="G396" s="66"/>
      <c r="H396" s="66"/>
      <c r="I396" s="66"/>
      <c r="J396" s="66"/>
      <c r="K396" s="66"/>
      <c r="L396" s="66"/>
      <c r="M396" s="66"/>
      <c r="N396" s="66"/>
    </row>
    <row r="397" spans="1:14" x14ac:dyDescent="0.2">
      <c r="A397" s="84"/>
      <c r="B397" s="84"/>
      <c r="C397" s="60"/>
      <c r="D397" s="66"/>
      <c r="E397" s="66"/>
      <c r="F397" s="66"/>
      <c r="G397" s="66"/>
      <c r="H397" s="66"/>
      <c r="I397" s="66"/>
      <c r="J397" s="66"/>
      <c r="K397" s="66"/>
      <c r="L397" s="66"/>
      <c r="M397" s="66"/>
      <c r="N397" s="66"/>
    </row>
    <row r="398" spans="1:14" x14ac:dyDescent="0.2">
      <c r="A398" s="84"/>
      <c r="B398" s="84"/>
      <c r="C398" s="60"/>
      <c r="D398" s="66"/>
      <c r="E398" s="66"/>
      <c r="F398" s="66"/>
      <c r="G398" s="66"/>
      <c r="H398" s="66"/>
      <c r="I398" s="66"/>
      <c r="J398" s="66"/>
      <c r="K398" s="66"/>
      <c r="L398" s="66"/>
      <c r="M398" s="66"/>
      <c r="N398" s="66"/>
    </row>
    <row r="399" spans="1:14" x14ac:dyDescent="0.2">
      <c r="A399" s="84"/>
      <c r="B399" s="84"/>
      <c r="C399" s="60"/>
      <c r="D399" s="66"/>
      <c r="E399" s="66"/>
      <c r="F399" s="66"/>
      <c r="G399" s="66"/>
      <c r="H399" s="66"/>
      <c r="I399" s="66"/>
      <c r="J399" s="66"/>
      <c r="K399" s="66"/>
      <c r="L399" s="66"/>
      <c r="M399" s="66"/>
      <c r="N399" s="66"/>
    </row>
    <row r="400" spans="1:14" x14ac:dyDescent="0.2">
      <c r="A400" s="84"/>
      <c r="B400" s="84"/>
      <c r="C400" s="60"/>
      <c r="D400" s="66"/>
      <c r="E400" s="66"/>
      <c r="F400" s="66"/>
      <c r="G400" s="66"/>
      <c r="H400" s="66"/>
      <c r="I400" s="66"/>
      <c r="J400" s="66"/>
      <c r="K400" s="66"/>
      <c r="L400" s="66"/>
      <c r="M400" s="66"/>
      <c r="N400" s="66"/>
    </row>
    <row r="401" spans="1:14" x14ac:dyDescent="0.2">
      <c r="A401" s="84"/>
      <c r="B401" s="84"/>
      <c r="C401" s="60"/>
      <c r="D401" s="66"/>
      <c r="E401" s="66"/>
      <c r="F401" s="66"/>
      <c r="G401" s="66"/>
      <c r="H401" s="66"/>
      <c r="I401" s="66"/>
      <c r="J401" s="66"/>
      <c r="K401" s="66"/>
      <c r="L401" s="66"/>
      <c r="M401" s="66"/>
      <c r="N401" s="66"/>
    </row>
    <row r="402" spans="1:14" x14ac:dyDescent="0.2">
      <c r="A402" s="84"/>
      <c r="B402" s="84"/>
      <c r="C402" s="60"/>
      <c r="D402" s="66"/>
      <c r="E402" s="66"/>
      <c r="F402" s="66"/>
      <c r="G402" s="66"/>
      <c r="H402" s="66"/>
      <c r="I402" s="66"/>
      <c r="J402" s="66"/>
      <c r="K402" s="66"/>
      <c r="L402" s="66"/>
      <c r="M402" s="66"/>
      <c r="N402" s="66"/>
    </row>
    <row r="403" spans="1:14" x14ac:dyDescent="0.2">
      <c r="A403" s="84"/>
      <c r="B403" s="84"/>
      <c r="C403" s="60"/>
      <c r="D403" s="66"/>
      <c r="E403" s="66"/>
      <c r="F403" s="66"/>
      <c r="G403" s="66"/>
      <c r="H403" s="66"/>
      <c r="I403" s="66"/>
      <c r="J403" s="66"/>
      <c r="K403" s="66"/>
      <c r="L403" s="66"/>
      <c r="M403" s="66"/>
      <c r="N403" s="66"/>
    </row>
    <row r="404" spans="1:14" x14ac:dyDescent="0.2">
      <c r="A404" s="84"/>
      <c r="B404" s="84"/>
      <c r="C404" s="60"/>
      <c r="D404" s="66"/>
      <c r="E404" s="66"/>
      <c r="F404" s="66"/>
      <c r="G404" s="66"/>
      <c r="H404" s="66"/>
      <c r="I404" s="66"/>
      <c r="J404" s="66"/>
      <c r="K404" s="66"/>
      <c r="L404" s="66"/>
      <c r="M404" s="66"/>
      <c r="N404" s="66"/>
    </row>
    <row r="405" spans="1:14" x14ac:dyDescent="0.2">
      <c r="A405" s="84"/>
      <c r="B405" s="84"/>
      <c r="C405" s="60"/>
      <c r="D405" s="66"/>
      <c r="E405" s="66"/>
      <c r="F405" s="66"/>
      <c r="G405" s="66"/>
      <c r="H405" s="66"/>
      <c r="I405" s="66"/>
      <c r="J405" s="66"/>
      <c r="K405" s="66"/>
      <c r="L405" s="66"/>
      <c r="M405" s="66"/>
      <c r="N405" s="66"/>
    </row>
    <row r="406" spans="1:14" x14ac:dyDescent="0.2">
      <c r="A406" s="84"/>
      <c r="B406" s="84"/>
      <c r="C406" s="60"/>
      <c r="D406" s="66"/>
      <c r="E406" s="66"/>
      <c r="F406" s="66"/>
      <c r="G406" s="66"/>
      <c r="H406" s="66"/>
      <c r="I406" s="66"/>
      <c r="J406" s="66"/>
      <c r="K406" s="66"/>
      <c r="L406" s="66"/>
      <c r="M406" s="66"/>
      <c r="N406" s="66"/>
    </row>
    <row r="407" spans="1:14" x14ac:dyDescent="0.2">
      <c r="A407" s="84"/>
      <c r="B407" s="84"/>
      <c r="C407" s="60"/>
      <c r="D407" s="66"/>
      <c r="E407" s="66"/>
      <c r="F407" s="66"/>
      <c r="G407" s="66"/>
      <c r="H407" s="66"/>
      <c r="I407" s="66"/>
      <c r="J407" s="66"/>
      <c r="K407" s="66"/>
      <c r="L407" s="66"/>
      <c r="M407" s="66"/>
      <c r="N407" s="66"/>
    </row>
    <row r="408" spans="1:14" x14ac:dyDescent="0.2">
      <c r="A408" s="84"/>
      <c r="B408" s="84"/>
      <c r="C408" s="60"/>
      <c r="D408" s="66"/>
      <c r="E408" s="66"/>
      <c r="F408" s="66"/>
      <c r="G408" s="66"/>
      <c r="H408" s="66"/>
      <c r="I408" s="66"/>
      <c r="J408" s="66"/>
      <c r="K408" s="66"/>
      <c r="L408" s="66"/>
      <c r="M408" s="66"/>
      <c r="N408" s="66"/>
    </row>
    <row r="409" spans="1:14" x14ac:dyDescent="0.2">
      <c r="A409" s="84"/>
      <c r="B409" s="84"/>
      <c r="C409" s="60"/>
      <c r="D409" s="66"/>
      <c r="E409" s="66"/>
      <c r="F409" s="66"/>
      <c r="G409" s="66"/>
      <c r="H409" s="66"/>
      <c r="I409" s="66"/>
      <c r="J409" s="66"/>
      <c r="K409" s="66"/>
      <c r="L409" s="66"/>
      <c r="M409" s="66"/>
      <c r="N409" s="66"/>
    </row>
    <row r="410" spans="1:14" x14ac:dyDescent="0.2">
      <c r="A410" s="84"/>
      <c r="B410" s="84"/>
      <c r="C410" s="60"/>
      <c r="D410" s="66"/>
      <c r="E410" s="66"/>
      <c r="F410" s="66"/>
      <c r="G410" s="66"/>
      <c r="H410" s="66"/>
      <c r="I410" s="66"/>
      <c r="J410" s="66"/>
      <c r="K410" s="66"/>
      <c r="L410" s="66"/>
      <c r="M410" s="66"/>
      <c r="N410" s="66"/>
    </row>
    <row r="411" spans="1:14" x14ac:dyDescent="0.2">
      <c r="A411" s="84"/>
      <c r="B411" s="84"/>
      <c r="C411" s="60"/>
      <c r="D411" s="66"/>
      <c r="E411" s="66"/>
      <c r="F411" s="66"/>
      <c r="G411" s="66"/>
      <c r="H411" s="66"/>
      <c r="I411" s="66"/>
      <c r="J411" s="66"/>
      <c r="K411" s="66"/>
      <c r="L411" s="66"/>
      <c r="M411" s="66"/>
      <c r="N411" s="66"/>
    </row>
    <row r="412" spans="1:14" x14ac:dyDescent="0.2">
      <c r="A412" s="84"/>
      <c r="B412" s="84"/>
      <c r="C412" s="60"/>
      <c r="D412" s="66"/>
      <c r="E412" s="66"/>
      <c r="F412" s="66"/>
      <c r="G412" s="66"/>
      <c r="H412" s="66"/>
      <c r="I412" s="66"/>
      <c r="J412" s="66"/>
      <c r="K412" s="66"/>
      <c r="L412" s="66"/>
      <c r="M412" s="66"/>
      <c r="N412" s="66"/>
    </row>
    <row r="413" spans="1:14" x14ac:dyDescent="0.2">
      <c r="A413" s="84"/>
      <c r="B413" s="84"/>
      <c r="C413" s="60"/>
      <c r="D413" s="66"/>
      <c r="E413" s="66"/>
      <c r="F413" s="66"/>
      <c r="G413" s="66"/>
      <c r="H413" s="66"/>
      <c r="I413" s="66"/>
      <c r="J413" s="66"/>
      <c r="K413" s="66"/>
      <c r="L413" s="66"/>
      <c r="M413" s="66"/>
      <c r="N413" s="66"/>
    </row>
    <row r="414" spans="1:14" x14ac:dyDescent="0.2">
      <c r="A414" s="84"/>
      <c r="B414" s="84"/>
      <c r="C414" s="60"/>
      <c r="D414" s="66"/>
      <c r="E414" s="66"/>
      <c r="F414" s="66"/>
      <c r="G414" s="66"/>
      <c r="H414" s="66"/>
      <c r="I414" s="66"/>
      <c r="J414" s="66"/>
      <c r="K414" s="66"/>
      <c r="L414" s="66"/>
      <c r="M414" s="66"/>
      <c r="N414" s="66"/>
    </row>
    <row r="415" spans="1:14" x14ac:dyDescent="0.2">
      <c r="A415" s="84"/>
      <c r="B415" s="84"/>
      <c r="C415" s="60"/>
      <c r="D415" s="66"/>
      <c r="E415" s="66"/>
      <c r="F415" s="66"/>
      <c r="G415" s="66"/>
      <c r="H415" s="66"/>
      <c r="I415" s="66"/>
      <c r="J415" s="66"/>
      <c r="K415" s="66"/>
      <c r="L415" s="66"/>
      <c r="M415" s="66"/>
      <c r="N415" s="66"/>
    </row>
    <row r="416" spans="1:14" x14ac:dyDescent="0.2">
      <c r="A416" s="84"/>
      <c r="B416" s="84"/>
      <c r="C416" s="60"/>
      <c r="D416" s="66"/>
      <c r="E416" s="66"/>
      <c r="F416" s="66"/>
      <c r="G416" s="66"/>
      <c r="H416" s="66"/>
      <c r="I416" s="66"/>
      <c r="J416" s="66"/>
      <c r="K416" s="66"/>
      <c r="L416" s="66"/>
      <c r="M416" s="66"/>
      <c r="N416" s="66"/>
    </row>
    <row r="417" spans="1:14" x14ac:dyDescent="0.2">
      <c r="A417" s="84"/>
      <c r="B417" s="84"/>
      <c r="C417" s="60"/>
      <c r="D417" s="66"/>
      <c r="E417" s="66"/>
      <c r="F417" s="66"/>
      <c r="G417" s="66"/>
      <c r="H417" s="66"/>
      <c r="I417" s="66"/>
      <c r="J417" s="66"/>
      <c r="K417" s="66"/>
      <c r="L417" s="66"/>
      <c r="M417" s="66"/>
      <c r="N417" s="66"/>
    </row>
    <row r="418" spans="1:14" x14ac:dyDescent="0.2">
      <c r="A418" s="84"/>
      <c r="B418" s="84"/>
      <c r="C418" s="60"/>
      <c r="D418" s="66"/>
      <c r="E418" s="66"/>
      <c r="F418" s="66"/>
      <c r="G418" s="66"/>
      <c r="H418" s="66"/>
      <c r="I418" s="66"/>
      <c r="J418" s="66"/>
      <c r="K418" s="66"/>
      <c r="L418" s="66"/>
      <c r="M418" s="66"/>
      <c r="N418" s="66"/>
    </row>
    <row r="419" spans="1:14" x14ac:dyDescent="0.2">
      <c r="A419" s="84"/>
      <c r="B419" s="84"/>
      <c r="C419" s="60"/>
      <c r="D419" s="66"/>
      <c r="E419" s="66"/>
      <c r="F419" s="66"/>
      <c r="G419" s="66"/>
      <c r="H419" s="66"/>
      <c r="I419" s="66"/>
      <c r="J419" s="66"/>
      <c r="K419" s="66"/>
      <c r="L419" s="66"/>
      <c r="M419" s="66"/>
      <c r="N419" s="66"/>
    </row>
    <row r="420" spans="1:14" x14ac:dyDescent="0.2">
      <c r="A420" s="84"/>
      <c r="B420" s="84"/>
      <c r="C420" s="60"/>
      <c r="D420" s="66"/>
      <c r="E420" s="66"/>
      <c r="F420" s="66"/>
      <c r="G420" s="66"/>
      <c r="H420" s="66"/>
      <c r="I420" s="66"/>
      <c r="J420" s="66"/>
      <c r="K420" s="66"/>
      <c r="L420" s="66"/>
      <c r="M420" s="66"/>
      <c r="N420" s="66"/>
    </row>
    <row r="421" spans="1:14" x14ac:dyDescent="0.2">
      <c r="A421" s="84"/>
      <c r="B421" s="84"/>
      <c r="C421" s="60"/>
      <c r="D421" s="66"/>
      <c r="E421" s="66"/>
      <c r="F421" s="66"/>
      <c r="G421" s="66"/>
      <c r="H421" s="66"/>
      <c r="I421" s="66"/>
      <c r="J421" s="66"/>
      <c r="K421" s="66"/>
      <c r="L421" s="66"/>
      <c r="M421" s="66"/>
      <c r="N421" s="66"/>
    </row>
    <row r="422" spans="1:14" x14ac:dyDescent="0.2">
      <c r="A422" s="84"/>
      <c r="B422" s="84"/>
      <c r="C422" s="60"/>
      <c r="D422" s="66"/>
      <c r="E422" s="66"/>
      <c r="F422" s="66"/>
      <c r="G422" s="66"/>
      <c r="H422" s="66"/>
      <c r="I422" s="66"/>
      <c r="J422" s="66"/>
      <c r="K422" s="66"/>
      <c r="L422" s="66"/>
      <c r="M422" s="66"/>
      <c r="N422" s="66"/>
    </row>
    <row r="423" spans="1:14" x14ac:dyDescent="0.2">
      <c r="A423" s="84"/>
      <c r="B423" s="84"/>
      <c r="C423" s="60"/>
      <c r="D423" s="66"/>
      <c r="E423" s="66"/>
      <c r="F423" s="66"/>
      <c r="G423" s="66"/>
      <c r="H423" s="66"/>
      <c r="I423" s="66"/>
      <c r="J423" s="66"/>
      <c r="K423" s="66"/>
      <c r="L423" s="66"/>
      <c r="M423" s="66"/>
      <c r="N423" s="66"/>
    </row>
    <row r="424" spans="1:14" x14ac:dyDescent="0.2">
      <c r="A424" s="84"/>
      <c r="B424" s="84"/>
      <c r="C424" s="60"/>
      <c r="D424" s="66"/>
      <c r="E424" s="66"/>
      <c r="F424" s="66"/>
      <c r="G424" s="66"/>
      <c r="H424" s="66"/>
      <c r="I424" s="66"/>
      <c r="J424" s="66"/>
      <c r="K424" s="66"/>
      <c r="L424" s="66"/>
      <c r="M424" s="66"/>
      <c r="N424" s="66"/>
    </row>
    <row r="425" spans="1:14" x14ac:dyDescent="0.2">
      <c r="A425" s="84"/>
      <c r="B425" s="84"/>
      <c r="C425" s="60"/>
      <c r="D425" s="66"/>
      <c r="E425" s="66"/>
      <c r="F425" s="66"/>
      <c r="G425" s="66"/>
      <c r="H425" s="66"/>
      <c r="I425" s="66"/>
      <c r="J425" s="66"/>
      <c r="K425" s="66"/>
      <c r="L425" s="66"/>
      <c r="M425" s="66"/>
      <c r="N425" s="66"/>
    </row>
    <row r="426" spans="1:14" x14ac:dyDescent="0.2">
      <c r="A426" s="84"/>
      <c r="B426" s="84"/>
      <c r="C426" s="60"/>
      <c r="D426" s="66"/>
      <c r="E426" s="66"/>
      <c r="F426" s="66"/>
      <c r="G426" s="66"/>
      <c r="H426" s="66"/>
      <c r="I426" s="66"/>
      <c r="J426" s="66"/>
      <c r="K426" s="66"/>
      <c r="L426" s="66"/>
      <c r="M426" s="66"/>
      <c r="N426" s="66"/>
    </row>
    <row r="427" spans="1:14" x14ac:dyDescent="0.2">
      <c r="A427" s="84"/>
      <c r="B427" s="84"/>
      <c r="C427" s="60"/>
      <c r="D427" s="66"/>
      <c r="E427" s="66"/>
      <c r="F427" s="66"/>
      <c r="G427" s="66"/>
      <c r="H427" s="66"/>
      <c r="I427" s="66"/>
      <c r="J427" s="66"/>
      <c r="K427" s="66"/>
      <c r="L427" s="66"/>
      <c r="M427" s="66"/>
      <c r="N427" s="66"/>
    </row>
    <row r="428" spans="1:14" x14ac:dyDescent="0.2">
      <c r="A428" s="84"/>
      <c r="B428" s="84"/>
      <c r="C428" s="60"/>
      <c r="D428" s="66"/>
      <c r="E428" s="66"/>
      <c r="F428" s="66"/>
      <c r="G428" s="66"/>
      <c r="H428" s="66"/>
      <c r="I428" s="66"/>
      <c r="J428" s="66"/>
      <c r="K428" s="66"/>
      <c r="L428" s="66"/>
      <c r="M428" s="66"/>
      <c r="N428" s="66"/>
    </row>
    <row r="429" spans="1:14" x14ac:dyDescent="0.2">
      <c r="A429" s="84"/>
      <c r="B429" s="84"/>
      <c r="C429" s="60"/>
      <c r="D429" s="66"/>
      <c r="E429" s="66"/>
      <c r="F429" s="66"/>
      <c r="G429" s="66"/>
      <c r="H429" s="66"/>
      <c r="I429" s="66"/>
      <c r="J429" s="66"/>
      <c r="K429" s="66"/>
      <c r="L429" s="66"/>
      <c r="M429" s="66"/>
      <c r="N429" s="66"/>
    </row>
    <row r="430" spans="1:14" x14ac:dyDescent="0.2">
      <c r="A430" s="84"/>
      <c r="B430" s="84"/>
      <c r="C430" s="60"/>
      <c r="D430" s="66"/>
      <c r="E430" s="66"/>
      <c r="F430" s="66"/>
      <c r="G430" s="66"/>
      <c r="H430" s="66"/>
      <c r="I430" s="66"/>
      <c r="J430" s="66"/>
      <c r="K430" s="66"/>
      <c r="L430" s="66"/>
      <c r="M430" s="66"/>
      <c r="N430" s="66"/>
    </row>
    <row r="431" spans="1:14" x14ac:dyDescent="0.2">
      <c r="A431" s="84"/>
      <c r="B431" s="84"/>
      <c r="C431" s="60"/>
      <c r="D431" s="66"/>
      <c r="E431" s="66"/>
      <c r="F431" s="66"/>
      <c r="G431" s="66"/>
      <c r="H431" s="66"/>
      <c r="I431" s="66"/>
      <c r="J431" s="66"/>
      <c r="K431" s="66"/>
      <c r="L431" s="66"/>
      <c r="M431" s="66"/>
      <c r="N431" s="66"/>
    </row>
    <row r="432" spans="1:14" x14ac:dyDescent="0.2">
      <c r="A432" s="84"/>
      <c r="B432" s="84"/>
      <c r="C432" s="60"/>
      <c r="D432" s="66"/>
      <c r="E432" s="66"/>
      <c r="F432" s="66"/>
      <c r="G432" s="66"/>
      <c r="H432" s="66"/>
      <c r="I432" s="66"/>
      <c r="J432" s="66"/>
      <c r="K432" s="66"/>
      <c r="L432" s="66"/>
      <c r="M432" s="66"/>
      <c r="N432" s="66"/>
    </row>
    <row r="433" spans="1:14" x14ac:dyDescent="0.2">
      <c r="A433" s="84"/>
      <c r="B433" s="84"/>
      <c r="C433" s="60"/>
      <c r="D433" s="66"/>
      <c r="E433" s="66"/>
      <c r="F433" s="66"/>
      <c r="G433" s="66"/>
      <c r="H433" s="66"/>
      <c r="I433" s="66"/>
      <c r="J433" s="66"/>
      <c r="K433" s="66"/>
      <c r="L433" s="66"/>
      <c r="M433" s="66"/>
      <c r="N433" s="66"/>
    </row>
    <row r="434" spans="1:14" x14ac:dyDescent="0.2">
      <c r="A434" s="84"/>
      <c r="B434" s="84"/>
      <c r="C434" s="60"/>
      <c r="D434" s="66"/>
      <c r="E434" s="66"/>
      <c r="F434" s="66"/>
      <c r="G434" s="66"/>
      <c r="H434" s="66"/>
      <c r="I434" s="66"/>
      <c r="J434" s="66"/>
      <c r="K434" s="66"/>
      <c r="L434" s="66"/>
      <c r="M434" s="66"/>
      <c r="N434" s="66"/>
    </row>
    <row r="435" spans="1:14" x14ac:dyDescent="0.2">
      <c r="A435" s="84"/>
      <c r="B435" s="84"/>
      <c r="C435" s="60"/>
      <c r="D435" s="66"/>
      <c r="E435" s="66"/>
      <c r="F435" s="66"/>
      <c r="G435" s="66"/>
      <c r="H435" s="66"/>
      <c r="I435" s="66"/>
      <c r="J435" s="66"/>
      <c r="K435" s="66"/>
      <c r="L435" s="66"/>
      <c r="M435" s="66"/>
      <c r="N435" s="66"/>
    </row>
    <row r="436" spans="1:14" x14ac:dyDescent="0.2">
      <c r="A436" s="84"/>
      <c r="B436" s="84"/>
      <c r="C436" s="60"/>
      <c r="D436" s="66"/>
      <c r="E436" s="66"/>
      <c r="F436" s="66"/>
      <c r="G436" s="66"/>
      <c r="H436" s="66"/>
      <c r="I436" s="66"/>
      <c r="J436" s="66"/>
      <c r="K436" s="66"/>
      <c r="L436" s="66"/>
      <c r="M436" s="66"/>
      <c r="N436" s="66"/>
    </row>
    <row r="437" spans="1:14" x14ac:dyDescent="0.2">
      <c r="A437" s="84"/>
      <c r="B437" s="84"/>
      <c r="C437" s="60"/>
      <c r="D437" s="66"/>
      <c r="E437" s="66"/>
      <c r="F437" s="66"/>
      <c r="G437" s="66"/>
      <c r="H437" s="66"/>
      <c r="I437" s="66"/>
      <c r="J437" s="66"/>
      <c r="K437" s="66"/>
      <c r="L437" s="66"/>
      <c r="M437" s="66"/>
      <c r="N437" s="66"/>
    </row>
    <row r="438" spans="1:14" x14ac:dyDescent="0.2">
      <c r="A438" s="84"/>
      <c r="B438" s="84"/>
      <c r="C438" s="60"/>
      <c r="D438" s="66"/>
      <c r="E438" s="66"/>
      <c r="F438" s="66"/>
      <c r="G438" s="66"/>
      <c r="H438" s="66"/>
      <c r="I438" s="66"/>
      <c r="J438" s="66"/>
      <c r="K438" s="66"/>
      <c r="L438" s="66"/>
      <c r="M438" s="66"/>
      <c r="N438" s="66"/>
    </row>
    <row r="439" spans="1:14" x14ac:dyDescent="0.2">
      <c r="A439" s="84"/>
      <c r="B439" s="84"/>
      <c r="C439" s="60"/>
      <c r="D439" s="66"/>
      <c r="E439" s="66"/>
      <c r="F439" s="66"/>
      <c r="G439" s="66"/>
      <c r="H439" s="66"/>
      <c r="I439" s="66"/>
      <c r="J439" s="66"/>
      <c r="K439" s="66"/>
      <c r="L439" s="66"/>
      <c r="M439" s="66"/>
      <c r="N439" s="66"/>
    </row>
    <row r="440" spans="1:14" x14ac:dyDescent="0.2">
      <c r="A440" s="84"/>
      <c r="B440" s="84"/>
      <c r="C440" s="60"/>
      <c r="D440" s="66"/>
      <c r="E440" s="66"/>
      <c r="F440" s="66"/>
      <c r="G440" s="66"/>
      <c r="H440" s="66"/>
      <c r="I440" s="66"/>
      <c r="J440" s="66"/>
      <c r="K440" s="66"/>
      <c r="L440" s="66"/>
      <c r="M440" s="66"/>
      <c r="N440" s="66"/>
    </row>
    <row r="441" spans="1:14" x14ac:dyDescent="0.2">
      <c r="A441" s="84"/>
      <c r="B441" s="84"/>
      <c r="C441" s="60"/>
      <c r="D441" s="66"/>
      <c r="E441" s="66"/>
      <c r="F441" s="66"/>
      <c r="G441" s="66"/>
      <c r="H441" s="66"/>
      <c r="I441" s="66"/>
      <c r="J441" s="66"/>
      <c r="K441" s="66"/>
      <c r="L441" s="66"/>
      <c r="M441" s="66"/>
      <c r="N441" s="66"/>
    </row>
    <row r="442" spans="1:14" x14ac:dyDescent="0.2">
      <c r="A442" s="84"/>
      <c r="B442" s="84"/>
      <c r="C442" s="60"/>
      <c r="D442" s="66"/>
      <c r="E442" s="66"/>
      <c r="F442" s="66"/>
      <c r="G442" s="66"/>
      <c r="H442" s="66"/>
      <c r="I442" s="66"/>
      <c r="J442" s="66"/>
      <c r="K442" s="66"/>
      <c r="L442" s="66"/>
      <c r="M442" s="66"/>
      <c r="N442" s="66"/>
    </row>
    <row r="443" spans="1:14" x14ac:dyDescent="0.2">
      <c r="A443" s="84"/>
      <c r="B443" s="84"/>
      <c r="C443" s="60"/>
      <c r="D443" s="66"/>
      <c r="E443" s="66"/>
      <c r="F443" s="66"/>
      <c r="G443" s="66"/>
      <c r="H443" s="66"/>
      <c r="I443" s="66"/>
      <c r="J443" s="66"/>
      <c r="K443" s="66"/>
      <c r="L443" s="66"/>
      <c r="M443" s="66"/>
      <c r="N443" s="66"/>
    </row>
    <row r="444" spans="1:14" x14ac:dyDescent="0.2">
      <c r="A444" s="84"/>
      <c r="B444" s="84"/>
      <c r="C444" s="60"/>
      <c r="D444" s="66"/>
      <c r="E444" s="66"/>
      <c r="F444" s="66"/>
      <c r="G444" s="66"/>
      <c r="H444" s="66"/>
      <c r="I444" s="66"/>
      <c r="J444" s="66"/>
      <c r="K444" s="66"/>
      <c r="L444" s="66"/>
      <c r="M444" s="66"/>
      <c r="N444" s="66"/>
    </row>
    <row r="445" spans="1:14" x14ac:dyDescent="0.2">
      <c r="A445" s="84"/>
      <c r="B445" s="84"/>
      <c r="C445" s="60"/>
      <c r="D445" s="66"/>
      <c r="E445" s="66"/>
      <c r="F445" s="66"/>
      <c r="G445" s="66"/>
      <c r="H445" s="66"/>
      <c r="I445" s="66"/>
      <c r="J445" s="66"/>
      <c r="K445" s="66"/>
      <c r="L445" s="66"/>
      <c r="M445" s="66"/>
      <c r="N445" s="66"/>
    </row>
    <row r="446" spans="1:14" x14ac:dyDescent="0.2">
      <c r="A446" s="84"/>
      <c r="B446" s="84"/>
      <c r="C446" s="60"/>
      <c r="D446" s="66"/>
      <c r="E446" s="66"/>
      <c r="F446" s="66"/>
      <c r="G446" s="66"/>
      <c r="H446" s="66"/>
      <c r="I446" s="66"/>
      <c r="J446" s="66"/>
      <c r="K446" s="66"/>
      <c r="L446" s="66"/>
      <c r="M446" s="66"/>
      <c r="N446" s="66"/>
    </row>
    <row r="447" spans="1:14" x14ac:dyDescent="0.2">
      <c r="A447" s="84"/>
      <c r="B447" s="84"/>
      <c r="C447" s="60"/>
      <c r="D447" s="66"/>
      <c r="E447" s="66"/>
      <c r="F447" s="66"/>
      <c r="G447" s="66"/>
      <c r="H447" s="66"/>
      <c r="I447" s="66"/>
      <c r="J447" s="66"/>
      <c r="K447" s="66"/>
      <c r="L447" s="66"/>
      <c r="M447" s="66"/>
      <c r="N447" s="66"/>
    </row>
    <row r="448" spans="1:14" x14ac:dyDescent="0.2">
      <c r="A448" s="84"/>
      <c r="B448" s="84"/>
      <c r="C448" s="60"/>
      <c r="D448" s="66"/>
      <c r="E448" s="66"/>
      <c r="F448" s="66"/>
      <c r="G448" s="66"/>
      <c r="H448" s="66"/>
      <c r="I448" s="66"/>
      <c r="J448" s="66"/>
      <c r="K448" s="66"/>
      <c r="L448" s="66"/>
      <c r="M448" s="66"/>
      <c r="N448" s="66"/>
    </row>
    <row r="449" spans="1:14" x14ac:dyDescent="0.2">
      <c r="A449" s="84"/>
      <c r="B449" s="84"/>
      <c r="C449" s="60"/>
      <c r="D449" s="66"/>
      <c r="E449" s="66"/>
      <c r="F449" s="66"/>
      <c r="G449" s="66"/>
      <c r="H449" s="66"/>
      <c r="I449" s="66"/>
      <c r="J449" s="66"/>
      <c r="K449" s="66"/>
      <c r="L449" s="66"/>
      <c r="M449" s="66"/>
      <c r="N449" s="66"/>
    </row>
    <row r="450" spans="1:14" x14ac:dyDescent="0.2">
      <c r="A450" s="84"/>
      <c r="B450" s="84"/>
      <c r="C450" s="60"/>
      <c r="D450" s="66"/>
      <c r="E450" s="66"/>
      <c r="F450" s="66"/>
      <c r="G450" s="66"/>
      <c r="H450" s="66"/>
      <c r="I450" s="66"/>
      <c r="J450" s="66"/>
      <c r="K450" s="66"/>
      <c r="L450" s="66"/>
      <c r="M450" s="66"/>
      <c r="N450" s="66"/>
    </row>
    <row r="451" spans="1:14" x14ac:dyDescent="0.2">
      <c r="A451" s="84"/>
      <c r="B451" s="84"/>
      <c r="C451" s="60"/>
      <c r="D451" s="66"/>
      <c r="E451" s="66"/>
      <c r="F451" s="66"/>
      <c r="G451" s="66"/>
      <c r="H451" s="66"/>
      <c r="I451" s="66"/>
      <c r="J451" s="66"/>
      <c r="K451" s="66"/>
      <c r="L451" s="66"/>
      <c r="M451" s="66"/>
      <c r="N451" s="66"/>
    </row>
    <row r="452" spans="1:14" x14ac:dyDescent="0.2">
      <c r="A452" s="84"/>
      <c r="B452" s="84"/>
      <c r="C452" s="60"/>
      <c r="D452" s="66"/>
      <c r="E452" s="66"/>
      <c r="F452" s="66"/>
      <c r="G452" s="66"/>
      <c r="H452" s="66"/>
      <c r="I452" s="66"/>
      <c r="J452" s="66"/>
      <c r="K452" s="66"/>
      <c r="L452" s="66"/>
      <c r="M452" s="66"/>
      <c r="N452" s="66"/>
    </row>
    <row r="453" spans="1:14" x14ac:dyDescent="0.2">
      <c r="A453" s="84"/>
      <c r="B453" s="84"/>
      <c r="C453" s="60"/>
      <c r="D453" s="66"/>
      <c r="E453" s="66"/>
      <c r="F453" s="66"/>
      <c r="G453" s="66"/>
      <c r="H453" s="66"/>
      <c r="I453" s="66"/>
      <c r="J453" s="66"/>
      <c r="K453" s="66"/>
      <c r="L453" s="66"/>
      <c r="M453" s="66"/>
      <c r="N453" s="66"/>
    </row>
    <row r="454" spans="1:14" x14ac:dyDescent="0.2">
      <c r="A454" s="84"/>
      <c r="B454" s="84"/>
      <c r="C454" s="60"/>
      <c r="D454" s="66"/>
      <c r="E454" s="66"/>
      <c r="F454" s="66"/>
      <c r="G454" s="66"/>
      <c r="H454" s="66"/>
      <c r="I454" s="66"/>
      <c r="J454" s="66"/>
      <c r="K454" s="66"/>
      <c r="L454" s="66"/>
      <c r="M454" s="66"/>
      <c r="N454" s="66"/>
    </row>
    <row r="455" spans="1:14" x14ac:dyDescent="0.2">
      <c r="A455" s="84"/>
      <c r="B455" s="84"/>
      <c r="C455" s="60"/>
      <c r="D455" s="66"/>
      <c r="E455" s="66"/>
      <c r="F455" s="66"/>
      <c r="G455" s="66"/>
      <c r="H455" s="66"/>
      <c r="I455" s="66"/>
      <c r="J455" s="66"/>
      <c r="K455" s="66"/>
      <c r="L455" s="66"/>
      <c r="M455" s="66"/>
      <c r="N455" s="66"/>
    </row>
    <row r="456" spans="1:14" x14ac:dyDescent="0.2">
      <c r="A456" s="84"/>
      <c r="B456" s="84"/>
      <c r="C456" s="60"/>
      <c r="D456" s="66"/>
      <c r="E456" s="66"/>
      <c r="F456" s="66"/>
      <c r="G456" s="66"/>
      <c r="H456" s="66"/>
      <c r="I456" s="66"/>
      <c r="J456" s="66"/>
      <c r="K456" s="66"/>
      <c r="L456" s="66"/>
      <c r="M456" s="66"/>
      <c r="N456" s="66"/>
    </row>
    <row r="457" spans="1:14" x14ac:dyDescent="0.2">
      <c r="A457" s="84"/>
      <c r="B457" s="84"/>
      <c r="C457" s="60"/>
      <c r="D457" s="66"/>
      <c r="E457" s="66"/>
      <c r="F457" s="66"/>
      <c r="G457" s="66"/>
      <c r="H457" s="66"/>
      <c r="I457" s="66"/>
      <c r="J457" s="66"/>
      <c r="K457" s="66"/>
      <c r="L457" s="66"/>
      <c r="M457" s="66"/>
      <c r="N457" s="66"/>
    </row>
    <row r="458" spans="1:14" x14ac:dyDescent="0.2">
      <c r="A458" s="84"/>
      <c r="B458" s="84"/>
      <c r="C458" s="60"/>
      <c r="D458" s="66"/>
      <c r="E458" s="66"/>
      <c r="F458" s="66"/>
      <c r="G458" s="66"/>
      <c r="H458" s="66"/>
      <c r="I458" s="66"/>
      <c r="J458" s="66"/>
      <c r="K458" s="66"/>
      <c r="L458" s="66"/>
      <c r="M458" s="66"/>
      <c r="N458" s="66"/>
    </row>
    <row r="459" spans="1:14" x14ac:dyDescent="0.2">
      <c r="A459" s="84"/>
      <c r="B459" s="84"/>
      <c r="C459" s="60"/>
      <c r="D459" s="66"/>
      <c r="E459" s="66"/>
      <c r="F459" s="66"/>
      <c r="G459" s="66"/>
      <c r="H459" s="66"/>
      <c r="I459" s="66"/>
      <c r="J459" s="66"/>
      <c r="K459" s="66"/>
      <c r="L459" s="66"/>
      <c r="M459" s="66"/>
      <c r="N459" s="66"/>
    </row>
    <row r="460" spans="1:14" x14ac:dyDescent="0.2">
      <c r="A460" s="84"/>
      <c r="B460" s="84"/>
      <c r="C460" s="60"/>
      <c r="D460" s="66"/>
      <c r="E460" s="66"/>
      <c r="F460" s="66"/>
      <c r="G460" s="66"/>
      <c r="H460" s="66"/>
      <c r="I460" s="66"/>
      <c r="J460" s="66"/>
      <c r="K460" s="66"/>
      <c r="L460" s="66"/>
      <c r="M460" s="66"/>
      <c r="N460" s="66"/>
    </row>
    <row r="461" spans="1:14" x14ac:dyDescent="0.2">
      <c r="A461" s="84"/>
      <c r="B461" s="84"/>
      <c r="C461" s="60"/>
      <c r="D461" s="66"/>
      <c r="E461" s="66"/>
      <c r="F461" s="66"/>
      <c r="G461" s="66"/>
      <c r="H461" s="66"/>
      <c r="I461" s="66"/>
      <c r="J461" s="66"/>
      <c r="K461" s="66"/>
      <c r="L461" s="66"/>
      <c r="M461" s="66"/>
      <c r="N461" s="66"/>
    </row>
    <row r="462" spans="1:14" x14ac:dyDescent="0.2">
      <c r="A462" s="84"/>
      <c r="B462" s="84"/>
      <c r="C462" s="60"/>
      <c r="D462" s="66"/>
      <c r="E462" s="66"/>
      <c r="F462" s="66"/>
      <c r="G462" s="66"/>
      <c r="H462" s="66"/>
      <c r="I462" s="66"/>
      <c r="J462" s="66"/>
      <c r="K462" s="66"/>
      <c r="L462" s="66"/>
      <c r="M462" s="66"/>
      <c r="N462" s="66"/>
    </row>
    <row r="463" spans="1:14" x14ac:dyDescent="0.2">
      <c r="A463" s="84"/>
      <c r="B463" s="84"/>
      <c r="C463" s="60"/>
      <c r="D463" s="66"/>
      <c r="E463" s="66"/>
      <c r="F463" s="66"/>
      <c r="G463" s="66"/>
      <c r="H463" s="66"/>
      <c r="I463" s="66"/>
      <c r="J463" s="66"/>
      <c r="K463" s="66"/>
      <c r="L463" s="66"/>
      <c r="M463" s="66"/>
      <c r="N463" s="66"/>
    </row>
    <row r="464" spans="1:14" x14ac:dyDescent="0.2">
      <c r="A464" s="84"/>
      <c r="B464" s="84"/>
      <c r="C464" s="60"/>
      <c r="D464" s="66"/>
      <c r="E464" s="66"/>
      <c r="F464" s="66"/>
      <c r="G464" s="66"/>
      <c r="H464" s="66"/>
      <c r="I464" s="66"/>
      <c r="J464" s="66"/>
      <c r="K464" s="66"/>
      <c r="L464" s="66"/>
      <c r="M464" s="66"/>
      <c r="N464" s="66"/>
    </row>
    <row r="465" spans="1:14" x14ac:dyDescent="0.2">
      <c r="A465" s="84"/>
      <c r="B465" s="84"/>
      <c r="C465" s="60"/>
      <c r="D465" s="66"/>
      <c r="E465" s="66"/>
      <c r="F465" s="66"/>
      <c r="G465" s="66"/>
      <c r="H465" s="66"/>
      <c r="I465" s="66"/>
      <c r="J465" s="66"/>
      <c r="K465" s="66"/>
      <c r="L465" s="66"/>
      <c r="M465" s="66"/>
      <c r="N465" s="66"/>
    </row>
    <row r="466" spans="1:14" x14ac:dyDescent="0.2">
      <c r="A466" s="84"/>
      <c r="B466" s="84"/>
      <c r="C466" s="60"/>
      <c r="D466" s="66"/>
      <c r="E466" s="66"/>
      <c r="F466" s="66"/>
      <c r="G466" s="66"/>
      <c r="H466" s="66"/>
      <c r="I466" s="66"/>
      <c r="J466" s="66"/>
      <c r="K466" s="66"/>
      <c r="L466" s="66"/>
      <c r="M466" s="66"/>
      <c r="N466" s="66"/>
    </row>
    <row r="467" spans="1:14" x14ac:dyDescent="0.2">
      <c r="A467" s="84"/>
      <c r="B467" s="84"/>
      <c r="C467" s="60"/>
      <c r="D467" s="66"/>
      <c r="E467" s="66"/>
      <c r="F467" s="66"/>
      <c r="G467" s="66"/>
      <c r="H467" s="66"/>
      <c r="I467" s="66"/>
      <c r="J467" s="66"/>
      <c r="K467" s="66"/>
      <c r="L467" s="66"/>
      <c r="M467" s="66"/>
      <c r="N467" s="66"/>
    </row>
    <row r="468" spans="1:14" x14ac:dyDescent="0.2">
      <c r="A468" s="84"/>
      <c r="B468" s="84"/>
      <c r="C468" s="60"/>
      <c r="D468" s="66"/>
      <c r="E468" s="66"/>
      <c r="F468" s="66"/>
      <c r="G468" s="66"/>
      <c r="H468" s="66"/>
      <c r="I468" s="66"/>
      <c r="J468" s="66"/>
      <c r="K468" s="66"/>
      <c r="L468" s="66"/>
      <c r="M468" s="66"/>
      <c r="N468" s="66"/>
    </row>
    <row r="469" spans="1:14" x14ac:dyDescent="0.2">
      <c r="A469" s="84"/>
      <c r="B469" s="84"/>
      <c r="C469" s="60"/>
      <c r="D469" s="66"/>
      <c r="E469" s="66"/>
      <c r="F469" s="66"/>
      <c r="G469" s="66"/>
      <c r="H469" s="66"/>
      <c r="I469" s="66"/>
      <c r="J469" s="66"/>
      <c r="K469" s="66"/>
      <c r="L469" s="66"/>
      <c r="M469" s="66"/>
      <c r="N469" s="66"/>
    </row>
    <row r="470" spans="1:14" x14ac:dyDescent="0.2">
      <c r="A470" s="84"/>
      <c r="B470" s="84"/>
      <c r="C470" s="60"/>
      <c r="D470" s="66"/>
      <c r="E470" s="66"/>
      <c r="F470" s="66"/>
      <c r="G470" s="66"/>
      <c r="H470" s="66"/>
      <c r="I470" s="66"/>
      <c r="J470" s="66"/>
      <c r="K470" s="66"/>
      <c r="L470" s="66"/>
      <c r="M470" s="66"/>
      <c r="N470" s="66"/>
    </row>
    <row r="471" spans="1:14" x14ac:dyDescent="0.2">
      <c r="A471" s="84"/>
      <c r="B471" s="84"/>
      <c r="C471" s="60"/>
      <c r="D471" s="66"/>
      <c r="E471" s="66"/>
      <c r="F471" s="66"/>
      <c r="G471" s="66"/>
      <c r="H471" s="66"/>
      <c r="I471" s="66"/>
      <c r="J471" s="66"/>
      <c r="K471" s="66"/>
      <c r="L471" s="66"/>
      <c r="M471" s="66"/>
      <c r="N471" s="66"/>
    </row>
    <row r="472" spans="1:14" x14ac:dyDescent="0.2">
      <c r="A472" s="84"/>
      <c r="B472" s="84"/>
      <c r="C472" s="60"/>
      <c r="D472" s="66"/>
      <c r="E472" s="66"/>
      <c r="F472" s="66"/>
      <c r="G472" s="66"/>
      <c r="H472" s="66"/>
      <c r="I472" s="66"/>
      <c r="J472" s="66"/>
      <c r="K472" s="66"/>
      <c r="L472" s="66"/>
      <c r="M472" s="66"/>
      <c r="N472" s="66"/>
    </row>
    <row r="473" spans="1:14" x14ac:dyDescent="0.2">
      <c r="A473" s="84"/>
      <c r="B473" s="84"/>
      <c r="C473" s="60"/>
      <c r="D473" s="66"/>
      <c r="E473" s="66"/>
      <c r="F473" s="66"/>
      <c r="G473" s="66"/>
      <c r="H473" s="66"/>
      <c r="I473" s="66"/>
      <c r="J473" s="66"/>
      <c r="K473" s="66"/>
      <c r="L473" s="66"/>
      <c r="M473" s="66"/>
      <c r="N473" s="66"/>
    </row>
    <row r="474" spans="1:14" x14ac:dyDescent="0.2">
      <c r="A474" s="84"/>
      <c r="B474" s="84"/>
      <c r="C474" s="60"/>
      <c r="D474" s="66"/>
      <c r="E474" s="66"/>
      <c r="F474" s="66"/>
      <c r="G474" s="66"/>
      <c r="H474" s="66"/>
      <c r="I474" s="66"/>
      <c r="J474" s="66"/>
      <c r="K474" s="66"/>
      <c r="L474" s="66"/>
      <c r="M474" s="66"/>
      <c r="N474" s="66"/>
    </row>
    <row r="475" spans="1:14" x14ac:dyDescent="0.2">
      <c r="A475" s="84"/>
      <c r="B475" s="84"/>
      <c r="C475" s="60"/>
      <c r="D475" s="66"/>
      <c r="E475" s="66"/>
      <c r="F475" s="66"/>
      <c r="G475" s="66"/>
      <c r="H475" s="66"/>
      <c r="I475" s="66"/>
      <c r="J475" s="66"/>
      <c r="K475" s="66"/>
      <c r="L475" s="66"/>
      <c r="M475" s="66"/>
      <c r="N475" s="66"/>
    </row>
    <row r="476" spans="1:14" x14ac:dyDescent="0.2">
      <c r="A476" s="84"/>
      <c r="B476" s="84"/>
      <c r="C476" s="60"/>
      <c r="D476" s="66"/>
      <c r="E476" s="66"/>
      <c r="F476" s="66"/>
      <c r="G476" s="66"/>
      <c r="H476" s="66"/>
      <c r="I476" s="66"/>
      <c r="J476" s="66"/>
      <c r="K476" s="66"/>
      <c r="L476" s="66"/>
      <c r="M476" s="66"/>
      <c r="N476" s="66"/>
    </row>
    <row r="477" spans="1:14" x14ac:dyDescent="0.2">
      <c r="A477" s="84"/>
      <c r="B477" s="84"/>
      <c r="C477" s="60"/>
      <c r="D477" s="66"/>
      <c r="E477" s="66"/>
      <c r="F477" s="66"/>
      <c r="G477" s="66"/>
      <c r="H477" s="66"/>
      <c r="I477" s="66"/>
      <c r="J477" s="66"/>
      <c r="K477" s="66"/>
      <c r="L477" s="66"/>
      <c r="M477" s="66"/>
      <c r="N477" s="66"/>
    </row>
    <row r="478" spans="1:14" x14ac:dyDescent="0.2">
      <c r="A478" s="84"/>
      <c r="B478" s="84"/>
      <c r="C478" s="60"/>
      <c r="D478" s="66"/>
      <c r="E478" s="66"/>
      <c r="F478" s="66"/>
      <c r="G478" s="66"/>
      <c r="H478" s="66"/>
      <c r="I478" s="66"/>
      <c r="J478" s="66"/>
      <c r="K478" s="66"/>
      <c r="L478" s="66"/>
      <c r="M478" s="66"/>
      <c r="N478" s="66"/>
    </row>
    <row r="479" spans="1:14" x14ac:dyDescent="0.2">
      <c r="A479" s="84"/>
      <c r="B479" s="84"/>
      <c r="C479" s="60"/>
      <c r="D479" s="66"/>
      <c r="E479" s="66"/>
      <c r="F479" s="66"/>
      <c r="G479" s="66"/>
      <c r="H479" s="66"/>
      <c r="I479" s="66"/>
      <c r="J479" s="66"/>
      <c r="K479" s="66"/>
      <c r="L479" s="66"/>
      <c r="M479" s="66"/>
      <c r="N479" s="66"/>
    </row>
    <row r="480" spans="1:14" x14ac:dyDescent="0.2">
      <c r="A480" s="84"/>
      <c r="B480" s="84"/>
      <c r="C480" s="60"/>
      <c r="D480" s="66"/>
      <c r="E480" s="66"/>
      <c r="F480" s="66"/>
      <c r="G480" s="66"/>
      <c r="H480" s="66"/>
      <c r="I480" s="66"/>
      <c r="J480" s="66"/>
      <c r="K480" s="66"/>
      <c r="L480" s="66"/>
      <c r="M480" s="66"/>
      <c r="N480" s="66"/>
    </row>
    <row r="481" spans="1:14" x14ac:dyDescent="0.2">
      <c r="A481" s="84"/>
      <c r="B481" s="84"/>
      <c r="C481" s="60"/>
      <c r="D481" s="66"/>
      <c r="E481" s="66"/>
      <c r="F481" s="66"/>
      <c r="G481" s="66"/>
      <c r="H481" s="66"/>
      <c r="I481" s="66"/>
      <c r="J481" s="66"/>
      <c r="K481" s="66"/>
      <c r="L481" s="66"/>
      <c r="M481" s="66"/>
      <c r="N481" s="66"/>
    </row>
    <row r="482" spans="1:14" x14ac:dyDescent="0.2">
      <c r="A482" s="84"/>
      <c r="B482" s="84"/>
      <c r="C482" s="60"/>
      <c r="D482" s="66"/>
      <c r="E482" s="66"/>
      <c r="F482" s="66"/>
      <c r="G482" s="66"/>
      <c r="H482" s="66"/>
      <c r="I482" s="66"/>
      <c r="J482" s="66"/>
      <c r="K482" s="66"/>
      <c r="L482" s="66"/>
      <c r="M482" s="66"/>
      <c r="N482" s="66"/>
    </row>
    <row r="483" spans="1:14" x14ac:dyDescent="0.2">
      <c r="A483" s="84"/>
      <c r="B483" s="84"/>
      <c r="C483" s="60"/>
      <c r="D483" s="66"/>
      <c r="E483" s="66"/>
      <c r="F483" s="66"/>
      <c r="G483" s="66"/>
      <c r="H483" s="66"/>
      <c r="I483" s="66"/>
      <c r="J483" s="66"/>
      <c r="K483" s="66"/>
      <c r="L483" s="66"/>
      <c r="M483" s="66"/>
      <c r="N483" s="66"/>
    </row>
    <row r="484" spans="1:14" x14ac:dyDescent="0.2">
      <c r="A484" s="84"/>
      <c r="B484" s="84"/>
      <c r="C484" s="60"/>
      <c r="D484" s="66"/>
      <c r="E484" s="66"/>
      <c r="F484" s="66"/>
      <c r="G484" s="66"/>
      <c r="H484" s="66"/>
      <c r="I484" s="66"/>
      <c r="J484" s="66"/>
      <c r="K484" s="66"/>
      <c r="L484" s="66"/>
      <c r="M484" s="66"/>
      <c r="N484" s="66"/>
    </row>
    <row r="485" spans="1:14" x14ac:dyDescent="0.2">
      <c r="A485" s="84"/>
      <c r="B485" s="84"/>
      <c r="C485" s="60"/>
      <c r="D485" s="66"/>
      <c r="E485" s="66"/>
      <c r="F485" s="66"/>
      <c r="G485" s="66"/>
      <c r="H485" s="66"/>
      <c r="I485" s="66"/>
      <c r="J485" s="66"/>
      <c r="K485" s="66"/>
      <c r="L485" s="66"/>
      <c r="M485" s="66"/>
      <c r="N485" s="66"/>
    </row>
    <row r="486" spans="1:14" x14ac:dyDescent="0.2">
      <c r="A486" s="84"/>
      <c r="B486" s="84"/>
      <c r="C486" s="60"/>
      <c r="D486" s="66"/>
      <c r="E486" s="66"/>
      <c r="F486" s="66"/>
      <c r="G486" s="66"/>
      <c r="H486" s="66"/>
      <c r="I486" s="66"/>
      <c r="J486" s="66"/>
      <c r="K486" s="66"/>
      <c r="L486" s="66"/>
      <c r="M486" s="66"/>
      <c r="N486" s="66"/>
    </row>
    <row r="487" spans="1:14" x14ac:dyDescent="0.2">
      <c r="A487" s="84"/>
      <c r="B487" s="84"/>
      <c r="C487" s="60"/>
      <c r="D487" s="66"/>
      <c r="E487" s="66"/>
      <c r="F487" s="66"/>
      <c r="G487" s="66"/>
      <c r="H487" s="66"/>
      <c r="I487" s="66"/>
      <c r="J487" s="66"/>
      <c r="K487" s="66"/>
      <c r="L487" s="66"/>
      <c r="M487" s="66"/>
      <c r="N487" s="66"/>
    </row>
    <row r="488" spans="1:14" x14ac:dyDescent="0.2">
      <c r="A488" s="84"/>
      <c r="B488" s="84"/>
      <c r="C488" s="60"/>
      <c r="D488" s="66"/>
      <c r="E488" s="66"/>
      <c r="F488" s="66"/>
      <c r="G488" s="66"/>
      <c r="H488" s="66"/>
      <c r="I488" s="66"/>
      <c r="J488" s="66"/>
      <c r="K488" s="66"/>
      <c r="L488" s="66"/>
      <c r="M488" s="66"/>
      <c r="N488" s="66"/>
    </row>
    <row r="489" spans="1:14" x14ac:dyDescent="0.2">
      <c r="A489" s="84"/>
      <c r="B489" s="84"/>
      <c r="C489" s="60"/>
      <c r="D489" s="66"/>
      <c r="E489" s="66"/>
      <c r="F489" s="66"/>
      <c r="G489" s="66"/>
      <c r="H489" s="66"/>
      <c r="I489" s="66"/>
      <c r="J489" s="66"/>
      <c r="K489" s="66"/>
      <c r="L489" s="66"/>
      <c r="M489" s="66"/>
      <c r="N489" s="66"/>
    </row>
    <row r="490" spans="1:14" x14ac:dyDescent="0.2">
      <c r="A490" s="84"/>
      <c r="B490" s="84"/>
      <c r="C490" s="60"/>
      <c r="D490" s="66"/>
      <c r="E490" s="66"/>
      <c r="F490" s="66"/>
      <c r="G490" s="66"/>
      <c r="H490" s="66"/>
      <c r="I490" s="66"/>
      <c r="J490" s="66"/>
      <c r="K490" s="66"/>
      <c r="L490" s="66"/>
      <c r="M490" s="66"/>
      <c r="N490" s="66"/>
    </row>
    <row r="491" spans="1:14" x14ac:dyDescent="0.2">
      <c r="A491" s="84"/>
      <c r="B491" s="84"/>
      <c r="C491" s="60"/>
      <c r="D491" s="66"/>
      <c r="E491" s="66"/>
      <c r="F491" s="66"/>
      <c r="G491" s="66"/>
      <c r="H491" s="66"/>
      <c r="I491" s="66"/>
      <c r="J491" s="66"/>
      <c r="K491" s="66"/>
      <c r="L491" s="66"/>
      <c r="M491" s="66"/>
      <c r="N491" s="66"/>
    </row>
    <row r="492" spans="1:14" x14ac:dyDescent="0.2">
      <c r="A492" s="84"/>
      <c r="B492" s="84"/>
      <c r="C492" s="60"/>
      <c r="D492" s="66"/>
      <c r="E492" s="66"/>
      <c r="F492" s="66"/>
      <c r="G492" s="66"/>
      <c r="H492" s="66"/>
      <c r="I492" s="66"/>
      <c r="J492" s="66"/>
      <c r="K492" s="66"/>
      <c r="L492" s="66"/>
      <c r="M492" s="66"/>
      <c r="N492" s="66"/>
    </row>
    <row r="493" spans="1:14" x14ac:dyDescent="0.2">
      <c r="A493" s="84"/>
      <c r="B493" s="84"/>
      <c r="C493" s="60"/>
      <c r="D493" s="66"/>
      <c r="E493" s="66"/>
      <c r="F493" s="66"/>
      <c r="G493" s="66"/>
      <c r="H493" s="66"/>
      <c r="I493" s="66"/>
      <c r="J493" s="66"/>
      <c r="K493" s="66"/>
      <c r="L493" s="66"/>
      <c r="M493" s="66"/>
      <c r="N493" s="66"/>
    </row>
    <row r="494" spans="1:14" x14ac:dyDescent="0.2">
      <c r="A494" s="84"/>
      <c r="B494" s="84"/>
      <c r="C494" s="60"/>
      <c r="D494" s="66"/>
      <c r="E494" s="66"/>
      <c r="F494" s="66"/>
      <c r="G494" s="66"/>
      <c r="H494" s="66"/>
      <c r="I494" s="66"/>
      <c r="J494" s="66"/>
      <c r="K494" s="66"/>
      <c r="L494" s="66"/>
      <c r="M494" s="66"/>
      <c r="N494" s="66"/>
    </row>
    <row r="495" spans="1:14" x14ac:dyDescent="0.2">
      <c r="A495" s="84"/>
      <c r="B495" s="84"/>
      <c r="C495" s="60"/>
      <c r="D495" s="66"/>
      <c r="E495" s="66"/>
      <c r="F495" s="66"/>
      <c r="G495" s="66"/>
      <c r="H495" s="66"/>
      <c r="I495" s="66"/>
      <c r="J495" s="66"/>
      <c r="K495" s="66"/>
      <c r="L495" s="66"/>
      <c r="M495" s="66"/>
      <c r="N495" s="66"/>
    </row>
    <row r="496" spans="1:14" x14ac:dyDescent="0.2">
      <c r="A496" s="84"/>
      <c r="B496" s="84"/>
      <c r="C496" s="60"/>
      <c r="D496" s="66"/>
      <c r="E496" s="66"/>
      <c r="F496" s="66"/>
      <c r="G496" s="66"/>
      <c r="H496" s="66"/>
      <c r="I496" s="66"/>
      <c r="J496" s="66"/>
      <c r="K496" s="66"/>
      <c r="L496" s="66"/>
      <c r="M496" s="66"/>
      <c r="N496" s="66"/>
    </row>
    <row r="497" spans="1:14" x14ac:dyDescent="0.2">
      <c r="A497" s="84"/>
      <c r="B497" s="84"/>
      <c r="C497" s="60"/>
      <c r="D497" s="66"/>
      <c r="E497" s="66"/>
      <c r="F497" s="66"/>
      <c r="G497" s="66"/>
      <c r="H497" s="66"/>
      <c r="I497" s="66"/>
      <c r="J497" s="66"/>
      <c r="K497" s="66"/>
      <c r="L497" s="66"/>
      <c r="M497" s="66"/>
      <c r="N497" s="66"/>
    </row>
    <row r="498" spans="1:14" x14ac:dyDescent="0.2">
      <c r="A498" s="84"/>
      <c r="B498" s="84"/>
      <c r="C498" s="60"/>
      <c r="D498" s="66"/>
      <c r="E498" s="66"/>
      <c r="F498" s="66"/>
      <c r="G498" s="66"/>
      <c r="H498" s="66"/>
      <c r="I498" s="66"/>
      <c r="J498" s="66"/>
      <c r="K498" s="66"/>
      <c r="L498" s="66"/>
      <c r="M498" s="66"/>
      <c r="N498" s="66"/>
    </row>
    <row r="499" spans="1:14" x14ac:dyDescent="0.2">
      <c r="A499" s="84"/>
      <c r="B499" s="84"/>
      <c r="C499" s="60"/>
      <c r="D499" s="66"/>
      <c r="E499" s="66"/>
      <c r="F499" s="66"/>
      <c r="G499" s="66"/>
      <c r="H499" s="66"/>
      <c r="I499" s="66"/>
      <c r="J499" s="66"/>
      <c r="K499" s="66"/>
      <c r="L499" s="66"/>
      <c r="M499" s="66"/>
      <c r="N499" s="66"/>
    </row>
    <row r="500" spans="1:14" x14ac:dyDescent="0.2">
      <c r="A500" s="84"/>
      <c r="B500" s="84"/>
      <c r="C500" s="60"/>
      <c r="D500" s="66"/>
      <c r="E500" s="66"/>
      <c r="F500" s="66"/>
      <c r="G500" s="66"/>
      <c r="H500" s="66"/>
      <c r="I500" s="66"/>
      <c r="J500" s="66"/>
      <c r="K500" s="66"/>
      <c r="L500" s="66"/>
      <c r="M500" s="66"/>
      <c r="N500" s="66"/>
    </row>
    <row r="501" spans="1:14" x14ac:dyDescent="0.2">
      <c r="A501" s="84"/>
      <c r="B501" s="84"/>
      <c r="C501" s="60"/>
      <c r="D501" s="66"/>
      <c r="E501" s="66"/>
      <c r="F501" s="66"/>
      <c r="G501" s="66"/>
      <c r="H501" s="66"/>
      <c r="I501" s="66"/>
      <c r="J501" s="66"/>
      <c r="K501" s="66"/>
      <c r="L501" s="66"/>
      <c r="M501" s="66"/>
      <c r="N501" s="66"/>
    </row>
    <row r="502" spans="1:14" x14ac:dyDescent="0.2">
      <c r="A502" s="84"/>
      <c r="B502" s="84"/>
      <c r="C502" s="60"/>
      <c r="D502" s="66"/>
      <c r="E502" s="66"/>
      <c r="F502" s="66"/>
      <c r="G502" s="66"/>
      <c r="H502" s="66"/>
      <c r="I502" s="66"/>
      <c r="J502" s="66"/>
      <c r="K502" s="66"/>
      <c r="L502" s="66"/>
      <c r="M502" s="66"/>
      <c r="N502" s="66"/>
    </row>
    <row r="503" spans="1:14" x14ac:dyDescent="0.2">
      <c r="A503" s="84"/>
      <c r="B503" s="84"/>
      <c r="C503" s="60"/>
      <c r="D503" s="66"/>
      <c r="E503" s="66"/>
      <c r="F503" s="66"/>
      <c r="G503" s="66"/>
      <c r="H503" s="66"/>
      <c r="I503" s="66"/>
      <c r="J503" s="66"/>
      <c r="K503" s="66"/>
      <c r="L503" s="66"/>
      <c r="M503" s="66"/>
      <c r="N503" s="66"/>
    </row>
    <row r="504" spans="1:14" x14ac:dyDescent="0.2">
      <c r="A504" s="84"/>
      <c r="B504" s="84"/>
      <c r="C504" s="60"/>
      <c r="D504" s="66"/>
      <c r="E504" s="66"/>
      <c r="F504" s="66"/>
      <c r="G504" s="66"/>
      <c r="H504" s="66"/>
      <c r="I504" s="66"/>
      <c r="J504" s="66"/>
      <c r="K504" s="66"/>
      <c r="L504" s="66"/>
      <c r="M504" s="66"/>
      <c r="N504" s="66"/>
    </row>
    <row r="505" spans="1:14" x14ac:dyDescent="0.2">
      <c r="A505" s="84"/>
      <c r="B505" s="84"/>
      <c r="C505" s="60"/>
      <c r="D505" s="66"/>
      <c r="E505" s="66"/>
      <c r="F505" s="66"/>
      <c r="G505" s="66"/>
      <c r="H505" s="66"/>
      <c r="I505" s="66"/>
      <c r="J505" s="66"/>
      <c r="K505" s="66"/>
      <c r="L505" s="66"/>
      <c r="M505" s="66"/>
      <c r="N505" s="66"/>
    </row>
    <row r="506" spans="1:14" x14ac:dyDescent="0.2">
      <c r="A506" s="84"/>
      <c r="B506" s="84"/>
      <c r="C506" s="60"/>
      <c r="D506" s="66"/>
      <c r="E506" s="66"/>
      <c r="F506" s="66"/>
      <c r="G506" s="66"/>
      <c r="H506" s="66"/>
      <c r="I506" s="66"/>
      <c r="J506" s="66"/>
      <c r="K506" s="66"/>
      <c r="L506" s="66"/>
      <c r="M506" s="66"/>
      <c r="N506" s="66"/>
    </row>
    <row r="507" spans="1:14" x14ac:dyDescent="0.2">
      <c r="A507" s="84"/>
      <c r="B507" s="84"/>
      <c r="C507" s="60"/>
      <c r="D507" s="66"/>
      <c r="E507" s="66"/>
      <c r="F507" s="66"/>
      <c r="G507" s="66"/>
      <c r="H507" s="66"/>
      <c r="I507" s="66"/>
      <c r="J507" s="66"/>
      <c r="K507" s="66"/>
      <c r="L507" s="66"/>
      <c r="M507" s="66"/>
      <c r="N507" s="66"/>
    </row>
    <row r="508" spans="1:14" x14ac:dyDescent="0.2">
      <c r="A508" s="84"/>
      <c r="B508" s="84"/>
      <c r="C508" s="60"/>
      <c r="D508" s="66"/>
      <c r="E508" s="66"/>
      <c r="F508" s="66"/>
      <c r="G508" s="66"/>
      <c r="H508" s="66"/>
      <c r="I508" s="66"/>
      <c r="J508" s="66"/>
      <c r="K508" s="66"/>
      <c r="L508" s="66"/>
      <c r="M508" s="66"/>
      <c r="N508" s="66"/>
    </row>
    <row r="509" spans="1:14" x14ac:dyDescent="0.2">
      <c r="A509" s="84"/>
      <c r="B509" s="84"/>
      <c r="C509" s="60"/>
      <c r="D509" s="66"/>
      <c r="E509" s="66"/>
      <c r="F509" s="66"/>
      <c r="G509" s="66"/>
      <c r="H509" s="66"/>
      <c r="I509" s="66"/>
      <c r="J509" s="66"/>
      <c r="K509" s="66"/>
      <c r="L509" s="66"/>
      <c r="M509" s="66"/>
      <c r="N509" s="66"/>
    </row>
    <row r="510" spans="1:14" x14ac:dyDescent="0.2">
      <c r="A510" s="84"/>
      <c r="B510" s="84"/>
      <c r="C510" s="60"/>
      <c r="D510" s="66"/>
      <c r="E510" s="66"/>
      <c r="F510" s="66"/>
      <c r="G510" s="66"/>
      <c r="H510" s="66"/>
      <c r="I510" s="66"/>
      <c r="J510" s="66"/>
      <c r="K510" s="66"/>
      <c r="L510" s="66"/>
      <c r="M510" s="66"/>
      <c r="N510" s="66"/>
    </row>
    <row r="511" spans="1:14" x14ac:dyDescent="0.2">
      <c r="A511" s="84"/>
      <c r="B511" s="84"/>
      <c r="C511" s="60"/>
      <c r="D511" s="66"/>
      <c r="E511" s="66"/>
      <c r="F511" s="66"/>
      <c r="G511" s="66"/>
      <c r="H511" s="66"/>
      <c r="I511" s="66"/>
      <c r="J511" s="66"/>
      <c r="K511" s="66"/>
      <c r="L511" s="66"/>
      <c r="M511" s="66"/>
      <c r="N511" s="66"/>
    </row>
    <row r="512" spans="1:14" x14ac:dyDescent="0.2">
      <c r="A512" s="84"/>
      <c r="B512" s="84"/>
      <c r="C512" s="60"/>
      <c r="D512" s="66"/>
      <c r="E512" s="66"/>
      <c r="F512" s="66"/>
      <c r="G512" s="66"/>
      <c r="H512" s="66"/>
      <c r="I512" s="66"/>
      <c r="J512" s="66"/>
      <c r="K512" s="66"/>
      <c r="L512" s="66"/>
      <c r="M512" s="66"/>
      <c r="N512" s="66"/>
    </row>
    <row r="513" spans="1:14" x14ac:dyDescent="0.2">
      <c r="A513" s="84"/>
      <c r="B513" s="84"/>
      <c r="C513" s="60"/>
      <c r="D513" s="66"/>
      <c r="E513" s="66"/>
      <c r="F513" s="66"/>
      <c r="G513" s="66"/>
      <c r="H513" s="66"/>
      <c r="I513" s="66"/>
      <c r="J513" s="66"/>
      <c r="K513" s="66"/>
      <c r="L513" s="66"/>
      <c r="M513" s="66"/>
      <c r="N513" s="66"/>
    </row>
    <row r="514" spans="1:14" x14ac:dyDescent="0.2">
      <c r="A514" s="84"/>
      <c r="B514" s="84"/>
      <c r="C514" s="60"/>
      <c r="D514" s="66"/>
      <c r="E514" s="66"/>
      <c r="F514" s="66"/>
      <c r="G514" s="66"/>
      <c r="H514" s="66"/>
      <c r="I514" s="66"/>
      <c r="J514" s="66"/>
      <c r="K514" s="66"/>
      <c r="L514" s="66"/>
      <c r="M514" s="66"/>
      <c r="N514" s="66"/>
    </row>
    <row r="515" spans="1:14" x14ac:dyDescent="0.2">
      <c r="A515" s="84"/>
      <c r="B515" s="84"/>
      <c r="C515" s="60"/>
      <c r="D515" s="66"/>
      <c r="E515" s="66"/>
      <c r="F515" s="66"/>
      <c r="G515" s="66"/>
      <c r="H515" s="66"/>
      <c r="I515" s="66"/>
      <c r="J515" s="66"/>
      <c r="K515" s="66"/>
      <c r="L515" s="66"/>
      <c r="M515" s="66"/>
      <c r="N515" s="66"/>
    </row>
    <row r="516" spans="1:14" x14ac:dyDescent="0.2">
      <c r="A516" s="84"/>
      <c r="B516" s="84"/>
      <c r="C516" s="60"/>
      <c r="D516" s="66"/>
      <c r="E516" s="66"/>
      <c r="F516" s="66"/>
      <c r="G516" s="66"/>
      <c r="H516" s="66"/>
      <c r="I516" s="66"/>
      <c r="J516" s="66"/>
      <c r="K516" s="66"/>
      <c r="L516" s="66"/>
      <c r="M516" s="66"/>
      <c r="N516" s="66"/>
    </row>
    <row r="517" spans="1:14" x14ac:dyDescent="0.2">
      <c r="A517" s="84"/>
      <c r="B517" s="84"/>
      <c r="C517" s="60"/>
      <c r="D517" s="66"/>
      <c r="E517" s="66"/>
      <c r="F517" s="66"/>
      <c r="G517" s="66"/>
      <c r="H517" s="66"/>
      <c r="I517" s="66"/>
      <c r="J517" s="66"/>
      <c r="K517" s="66"/>
      <c r="L517" s="66"/>
      <c r="M517" s="66"/>
      <c r="N517" s="66"/>
    </row>
    <row r="518" spans="1:14" x14ac:dyDescent="0.2">
      <c r="A518" s="84"/>
      <c r="B518" s="84"/>
      <c r="C518" s="60"/>
      <c r="D518" s="66"/>
      <c r="E518" s="66"/>
      <c r="F518" s="66"/>
      <c r="G518" s="66"/>
      <c r="H518" s="66"/>
      <c r="I518" s="66"/>
      <c r="J518" s="66"/>
      <c r="K518" s="66"/>
      <c r="L518" s="66"/>
      <c r="M518" s="66"/>
      <c r="N518" s="66"/>
    </row>
    <row r="519" spans="1:14" x14ac:dyDescent="0.2">
      <c r="A519" s="84"/>
      <c r="B519" s="84"/>
      <c r="C519" s="60"/>
      <c r="D519" s="66"/>
      <c r="E519" s="66"/>
      <c r="F519" s="66"/>
      <c r="G519" s="66"/>
      <c r="H519" s="66"/>
      <c r="I519" s="66"/>
      <c r="J519" s="66"/>
      <c r="K519" s="66"/>
      <c r="L519" s="66"/>
      <c r="M519" s="66"/>
      <c r="N519" s="66"/>
    </row>
    <row r="520" spans="1:14" x14ac:dyDescent="0.2">
      <c r="A520" s="84"/>
      <c r="B520" s="84"/>
      <c r="C520" s="60"/>
      <c r="D520" s="66"/>
      <c r="E520" s="66"/>
      <c r="F520" s="66"/>
      <c r="G520" s="66"/>
      <c r="H520" s="66"/>
      <c r="I520" s="66"/>
      <c r="J520" s="66"/>
      <c r="K520" s="66"/>
      <c r="L520" s="66"/>
      <c r="M520" s="66"/>
      <c r="N520" s="66"/>
    </row>
    <row r="521" spans="1:14" x14ac:dyDescent="0.2">
      <c r="A521" s="84"/>
      <c r="B521" s="84"/>
      <c r="C521" s="60"/>
      <c r="D521" s="66"/>
      <c r="E521" s="66"/>
      <c r="F521" s="66"/>
      <c r="G521" s="66"/>
      <c r="H521" s="66"/>
      <c r="I521" s="66"/>
      <c r="J521" s="66"/>
      <c r="K521" s="66"/>
      <c r="L521" s="66"/>
      <c r="M521" s="66"/>
      <c r="N521" s="66"/>
    </row>
    <row r="522" spans="1:14" x14ac:dyDescent="0.2">
      <c r="A522" s="84"/>
      <c r="B522" s="84"/>
      <c r="C522" s="60"/>
      <c r="D522" s="66"/>
      <c r="E522" s="66"/>
      <c r="F522" s="66"/>
      <c r="G522" s="66"/>
      <c r="H522" s="66"/>
      <c r="I522" s="66"/>
      <c r="J522" s="66"/>
      <c r="K522" s="66"/>
      <c r="L522" s="66"/>
      <c r="M522" s="66"/>
      <c r="N522" s="66"/>
    </row>
    <row r="523" spans="1:14" x14ac:dyDescent="0.2">
      <c r="A523" s="84"/>
      <c r="B523" s="84"/>
      <c r="C523" s="60"/>
      <c r="D523" s="66"/>
      <c r="E523" s="66"/>
      <c r="F523" s="66"/>
      <c r="G523" s="66"/>
      <c r="H523" s="66"/>
      <c r="I523" s="66"/>
      <c r="J523" s="66"/>
      <c r="K523" s="66"/>
      <c r="L523" s="66"/>
      <c r="M523" s="66"/>
      <c r="N523" s="66"/>
    </row>
    <row r="524" spans="1:14" x14ac:dyDescent="0.2">
      <c r="A524" s="84"/>
      <c r="B524" s="84"/>
      <c r="C524" s="60"/>
      <c r="D524" s="66"/>
      <c r="E524" s="66"/>
      <c r="F524" s="66"/>
      <c r="G524" s="66"/>
      <c r="H524" s="66"/>
      <c r="I524" s="66"/>
      <c r="J524" s="66"/>
      <c r="K524" s="66"/>
      <c r="L524" s="66"/>
      <c r="M524" s="66"/>
      <c r="N524" s="66"/>
    </row>
    <row r="525" spans="1:14" x14ac:dyDescent="0.2">
      <c r="A525" s="84"/>
      <c r="B525" s="84"/>
      <c r="C525" s="60"/>
      <c r="D525" s="66"/>
      <c r="E525" s="66"/>
      <c r="F525" s="66"/>
      <c r="G525" s="66"/>
      <c r="H525" s="66"/>
      <c r="I525" s="66"/>
      <c r="J525" s="66"/>
      <c r="K525" s="66"/>
      <c r="L525" s="66"/>
      <c r="M525" s="66"/>
      <c r="N525" s="66"/>
    </row>
    <row r="526" spans="1:14" x14ac:dyDescent="0.2">
      <c r="A526" s="84"/>
      <c r="B526" s="84"/>
      <c r="C526" s="60"/>
      <c r="D526" s="66"/>
      <c r="E526" s="66"/>
      <c r="F526" s="66"/>
      <c r="G526" s="66"/>
      <c r="H526" s="66"/>
      <c r="I526" s="66"/>
      <c r="J526" s="66"/>
      <c r="K526" s="66"/>
      <c r="L526" s="66"/>
      <c r="M526" s="66"/>
      <c r="N526" s="66"/>
    </row>
    <row r="527" spans="1:14" x14ac:dyDescent="0.2">
      <c r="A527" s="84"/>
      <c r="B527" s="84"/>
      <c r="C527" s="60"/>
      <c r="D527" s="66"/>
      <c r="E527" s="66"/>
      <c r="F527" s="66"/>
      <c r="G527" s="66"/>
      <c r="H527" s="66"/>
      <c r="I527" s="66"/>
      <c r="J527" s="66"/>
      <c r="K527" s="66"/>
      <c r="L527" s="66"/>
      <c r="M527" s="66"/>
      <c r="N527" s="66"/>
    </row>
    <row r="528" spans="1:14" x14ac:dyDescent="0.2">
      <c r="A528" s="84"/>
      <c r="B528" s="84"/>
      <c r="C528" s="60"/>
      <c r="D528" s="66"/>
      <c r="E528" s="66"/>
      <c r="F528" s="66"/>
      <c r="G528" s="66"/>
      <c r="H528" s="66"/>
      <c r="I528" s="66"/>
      <c r="J528" s="66"/>
      <c r="K528" s="66"/>
      <c r="L528" s="66"/>
      <c r="M528" s="66"/>
      <c r="N528" s="66"/>
    </row>
    <row r="529" spans="1:14" x14ac:dyDescent="0.2">
      <c r="A529" s="84"/>
      <c r="B529" s="84"/>
      <c r="C529" s="60"/>
      <c r="D529" s="66"/>
      <c r="E529" s="66"/>
      <c r="F529" s="66"/>
      <c r="G529" s="66"/>
      <c r="H529" s="66"/>
      <c r="I529" s="66"/>
      <c r="J529" s="66"/>
      <c r="K529" s="66"/>
      <c r="L529" s="66"/>
      <c r="M529" s="66"/>
      <c r="N529" s="66"/>
    </row>
    <row r="530" spans="1:14" x14ac:dyDescent="0.2">
      <c r="A530" s="84"/>
      <c r="B530" s="84"/>
      <c r="C530" s="60"/>
      <c r="D530" s="66"/>
      <c r="E530" s="66"/>
      <c r="F530" s="66"/>
      <c r="G530" s="66"/>
      <c r="H530" s="66"/>
      <c r="I530" s="66"/>
      <c r="J530" s="66"/>
      <c r="K530" s="66"/>
      <c r="L530" s="66"/>
      <c r="M530" s="66"/>
      <c r="N530" s="66"/>
    </row>
    <row r="531" spans="1:14" x14ac:dyDescent="0.2">
      <c r="A531" s="84"/>
      <c r="B531" s="84"/>
      <c r="C531" s="60"/>
      <c r="D531" s="66"/>
      <c r="E531" s="66"/>
      <c r="F531" s="66"/>
      <c r="G531" s="66"/>
      <c r="H531" s="66"/>
      <c r="I531" s="66"/>
      <c r="J531" s="66"/>
      <c r="K531" s="66"/>
      <c r="L531" s="66"/>
      <c r="M531" s="66"/>
      <c r="N531" s="66"/>
    </row>
    <row r="532" spans="1:14" x14ac:dyDescent="0.2">
      <c r="A532" s="84"/>
      <c r="B532" s="84"/>
      <c r="C532" s="60"/>
      <c r="D532" s="66"/>
      <c r="E532" s="66"/>
      <c r="F532" s="66"/>
      <c r="G532" s="66"/>
      <c r="H532" s="66"/>
      <c r="I532" s="66"/>
      <c r="J532" s="66"/>
      <c r="K532" s="66"/>
      <c r="L532" s="66"/>
      <c r="M532" s="66"/>
      <c r="N532" s="66"/>
    </row>
    <row r="533" spans="1:14" x14ac:dyDescent="0.2">
      <c r="A533" s="84"/>
      <c r="B533" s="84"/>
      <c r="C533" s="60"/>
      <c r="D533" s="66"/>
      <c r="E533" s="66"/>
      <c r="F533" s="66"/>
      <c r="G533" s="66"/>
      <c r="H533" s="66"/>
      <c r="I533" s="66"/>
      <c r="J533" s="66"/>
      <c r="K533" s="66"/>
      <c r="L533" s="66"/>
      <c r="M533" s="66"/>
      <c r="N533" s="66"/>
    </row>
    <row r="534" spans="1:14" x14ac:dyDescent="0.2">
      <c r="A534" s="84"/>
      <c r="B534" s="84"/>
      <c r="C534" s="60"/>
      <c r="D534" s="66"/>
      <c r="E534" s="66"/>
      <c r="F534" s="66"/>
      <c r="G534" s="66"/>
      <c r="H534" s="66"/>
      <c r="I534" s="66"/>
      <c r="J534" s="66"/>
      <c r="K534" s="66"/>
      <c r="L534" s="66"/>
      <c r="M534" s="66"/>
      <c r="N534" s="66"/>
    </row>
    <row r="535" spans="1:14" x14ac:dyDescent="0.2">
      <c r="A535" s="84"/>
      <c r="B535" s="84"/>
      <c r="C535" s="60"/>
      <c r="D535" s="66"/>
      <c r="E535" s="66"/>
      <c r="F535" s="66"/>
      <c r="G535" s="66"/>
      <c r="H535" s="66"/>
      <c r="I535" s="66"/>
      <c r="J535" s="66"/>
      <c r="K535" s="66"/>
      <c r="L535" s="66"/>
      <c r="M535" s="66"/>
      <c r="N535" s="66"/>
    </row>
    <row r="536" spans="1:14" x14ac:dyDescent="0.2">
      <c r="A536" s="84"/>
      <c r="B536" s="84"/>
      <c r="C536" s="60"/>
      <c r="D536" s="66"/>
      <c r="E536" s="66"/>
      <c r="F536" s="66"/>
      <c r="G536" s="66"/>
      <c r="H536" s="66"/>
      <c r="I536" s="66"/>
      <c r="J536" s="66"/>
      <c r="K536" s="66"/>
      <c r="L536" s="66"/>
      <c r="M536" s="66"/>
      <c r="N536" s="66"/>
    </row>
    <row r="537" spans="1:14" x14ac:dyDescent="0.2">
      <c r="A537" s="84"/>
      <c r="B537" s="84"/>
      <c r="C537" s="60"/>
      <c r="D537" s="66"/>
      <c r="E537" s="66"/>
      <c r="F537" s="66"/>
      <c r="G537" s="66"/>
      <c r="H537" s="66"/>
      <c r="I537" s="66"/>
      <c r="J537" s="66"/>
      <c r="K537" s="66"/>
      <c r="L537" s="66"/>
      <c r="M537" s="66"/>
      <c r="N537" s="66"/>
    </row>
    <row r="538" spans="1:14" x14ac:dyDescent="0.2">
      <c r="A538" s="84"/>
      <c r="B538" s="84"/>
      <c r="C538" s="60"/>
      <c r="D538" s="66"/>
      <c r="E538" s="66"/>
      <c r="F538" s="66"/>
      <c r="G538" s="66"/>
      <c r="H538" s="66"/>
      <c r="I538" s="66"/>
      <c r="J538" s="66"/>
      <c r="K538" s="66"/>
      <c r="L538" s="66"/>
      <c r="M538" s="66"/>
      <c r="N538" s="66"/>
    </row>
    <row r="539" spans="1:14" x14ac:dyDescent="0.2">
      <c r="A539" s="84"/>
      <c r="B539" s="84"/>
      <c r="C539" s="60"/>
      <c r="D539" s="66"/>
      <c r="E539" s="66"/>
      <c r="F539" s="66"/>
      <c r="G539" s="66"/>
      <c r="H539" s="66"/>
      <c r="I539" s="66"/>
      <c r="J539" s="66"/>
      <c r="K539" s="66"/>
      <c r="L539" s="66"/>
      <c r="M539" s="66"/>
      <c r="N539" s="66"/>
    </row>
    <row r="540" spans="1:14" x14ac:dyDescent="0.2">
      <c r="A540" s="84"/>
      <c r="B540" s="84"/>
      <c r="C540" s="60"/>
      <c r="D540" s="66"/>
      <c r="E540" s="66"/>
      <c r="F540" s="66"/>
      <c r="G540" s="66"/>
      <c r="H540" s="66"/>
      <c r="I540" s="66"/>
      <c r="J540" s="66"/>
      <c r="K540" s="66"/>
      <c r="L540" s="66"/>
      <c r="M540" s="66"/>
      <c r="N540" s="66"/>
    </row>
    <row r="541" spans="1:14" x14ac:dyDescent="0.2">
      <c r="A541" s="84"/>
      <c r="B541" s="84"/>
      <c r="C541" s="60"/>
      <c r="D541" s="66"/>
      <c r="E541" s="66"/>
      <c r="F541" s="66"/>
      <c r="G541" s="66"/>
      <c r="H541" s="66"/>
      <c r="I541" s="66"/>
      <c r="J541" s="66"/>
      <c r="K541" s="66"/>
      <c r="L541" s="66"/>
      <c r="M541" s="66"/>
      <c r="N541" s="66"/>
    </row>
    <row r="542" spans="1:14" x14ac:dyDescent="0.2">
      <c r="A542" s="84"/>
      <c r="B542" s="84"/>
      <c r="C542" s="60"/>
      <c r="D542" s="66"/>
      <c r="E542" s="66"/>
      <c r="F542" s="66"/>
      <c r="G542" s="66"/>
      <c r="H542" s="66"/>
      <c r="I542" s="66"/>
      <c r="J542" s="66"/>
      <c r="K542" s="66"/>
      <c r="L542" s="66"/>
      <c r="M542" s="66"/>
      <c r="N542" s="66"/>
    </row>
    <row r="543" spans="1:14" x14ac:dyDescent="0.2">
      <c r="A543" s="84"/>
      <c r="B543" s="84"/>
      <c r="C543" s="60"/>
      <c r="D543" s="66"/>
      <c r="E543" s="66"/>
      <c r="F543" s="66"/>
      <c r="G543" s="66"/>
      <c r="H543" s="66"/>
      <c r="I543" s="66"/>
      <c r="J543" s="66"/>
      <c r="K543" s="66"/>
      <c r="L543" s="66"/>
      <c r="M543" s="66"/>
      <c r="N543" s="66"/>
    </row>
    <row r="544" spans="1:14" x14ac:dyDescent="0.2">
      <c r="A544" s="84"/>
      <c r="B544" s="84"/>
      <c r="C544" s="60"/>
      <c r="D544" s="66"/>
      <c r="E544" s="66"/>
      <c r="F544" s="66"/>
      <c r="G544" s="66"/>
      <c r="H544" s="66"/>
      <c r="I544" s="66"/>
      <c r="J544" s="66"/>
      <c r="K544" s="66"/>
      <c r="L544" s="66"/>
      <c r="M544" s="66"/>
      <c r="N544" s="66"/>
    </row>
    <row r="545" spans="1:14" x14ac:dyDescent="0.2">
      <c r="A545" s="84"/>
      <c r="B545" s="84"/>
      <c r="C545" s="60"/>
      <c r="D545" s="66"/>
      <c r="E545" s="66"/>
      <c r="F545" s="66"/>
      <c r="G545" s="66"/>
      <c r="H545" s="66"/>
      <c r="I545" s="66"/>
      <c r="J545" s="66"/>
      <c r="K545" s="66"/>
      <c r="L545" s="66"/>
      <c r="M545" s="66"/>
      <c r="N545" s="66"/>
    </row>
    <row r="546" spans="1:14" x14ac:dyDescent="0.2">
      <c r="A546" s="84"/>
      <c r="B546" s="84"/>
      <c r="C546" s="60"/>
      <c r="D546" s="66"/>
      <c r="E546" s="66"/>
      <c r="F546" s="66"/>
      <c r="G546" s="66"/>
      <c r="H546" s="66"/>
      <c r="I546" s="66"/>
      <c r="J546" s="66"/>
      <c r="K546" s="66"/>
      <c r="L546" s="66"/>
      <c r="M546" s="66"/>
      <c r="N546" s="66"/>
    </row>
    <row r="547" spans="1:14" x14ac:dyDescent="0.2">
      <c r="A547" s="84"/>
      <c r="B547" s="84"/>
      <c r="C547" s="60"/>
      <c r="D547" s="66"/>
      <c r="E547" s="66"/>
      <c r="F547" s="66"/>
      <c r="G547" s="66"/>
      <c r="H547" s="66"/>
      <c r="I547" s="66"/>
      <c r="J547" s="66"/>
      <c r="K547" s="66"/>
      <c r="L547" s="66"/>
      <c r="M547" s="66"/>
      <c r="N547" s="66"/>
    </row>
    <row r="548" spans="1:14" x14ac:dyDescent="0.2">
      <c r="A548" s="84"/>
      <c r="B548" s="84"/>
      <c r="C548" s="60"/>
      <c r="D548" s="66"/>
      <c r="E548" s="66"/>
      <c r="F548" s="66"/>
      <c r="G548" s="66"/>
      <c r="H548" s="66"/>
      <c r="I548" s="66"/>
      <c r="J548" s="66"/>
      <c r="K548" s="66"/>
      <c r="L548" s="66"/>
      <c r="M548" s="66"/>
      <c r="N548" s="66"/>
    </row>
    <row r="549" spans="1:14" x14ac:dyDescent="0.2">
      <c r="A549" s="84"/>
      <c r="B549" s="84"/>
      <c r="C549" s="60"/>
      <c r="D549" s="66"/>
      <c r="E549" s="66"/>
      <c r="F549" s="66"/>
      <c r="G549" s="66"/>
      <c r="H549" s="66"/>
      <c r="I549" s="66"/>
      <c r="J549" s="66"/>
      <c r="K549" s="66"/>
      <c r="L549" s="66"/>
      <c r="M549" s="66"/>
      <c r="N549" s="66"/>
    </row>
    <row r="550" spans="1:14" x14ac:dyDescent="0.2">
      <c r="A550" s="84"/>
      <c r="B550" s="84"/>
      <c r="C550" s="60"/>
      <c r="D550" s="66"/>
      <c r="E550" s="66"/>
      <c r="F550" s="66"/>
      <c r="G550" s="66"/>
      <c r="H550" s="66"/>
      <c r="I550" s="66"/>
      <c r="J550" s="66"/>
      <c r="K550" s="66"/>
      <c r="L550" s="66"/>
      <c r="M550" s="66"/>
      <c r="N550" s="66"/>
    </row>
    <row r="551" spans="1:14" x14ac:dyDescent="0.2">
      <c r="A551" s="84"/>
      <c r="B551" s="84"/>
      <c r="C551" s="60"/>
      <c r="D551" s="66"/>
      <c r="E551" s="66"/>
      <c r="F551" s="66"/>
      <c r="G551" s="66"/>
      <c r="H551" s="66"/>
      <c r="I551" s="66"/>
      <c r="J551" s="66"/>
      <c r="K551" s="66"/>
      <c r="L551" s="66"/>
      <c r="M551" s="66"/>
      <c r="N551" s="66"/>
    </row>
    <row r="552" spans="1:14" x14ac:dyDescent="0.2">
      <c r="A552" s="84"/>
      <c r="B552" s="84"/>
      <c r="C552" s="60"/>
      <c r="D552" s="66"/>
      <c r="E552" s="66"/>
      <c r="F552" s="66"/>
      <c r="G552" s="66"/>
      <c r="H552" s="66"/>
      <c r="I552" s="66"/>
      <c r="J552" s="66"/>
      <c r="K552" s="66"/>
      <c r="L552" s="66"/>
      <c r="M552" s="66"/>
      <c r="N552" s="66"/>
    </row>
    <row r="553" spans="1:14" x14ac:dyDescent="0.2">
      <c r="A553" s="84"/>
      <c r="B553" s="84"/>
      <c r="C553" s="60"/>
      <c r="D553" s="66"/>
      <c r="E553" s="66"/>
      <c r="F553" s="66"/>
      <c r="G553" s="66"/>
      <c r="H553" s="66"/>
      <c r="I553" s="66"/>
      <c r="J553" s="66"/>
      <c r="K553" s="66"/>
      <c r="L553" s="66"/>
      <c r="M553" s="66"/>
      <c r="N553" s="66"/>
    </row>
    <row r="554" spans="1:14" x14ac:dyDescent="0.2">
      <c r="A554" s="84"/>
      <c r="B554" s="84"/>
      <c r="C554" s="60"/>
      <c r="D554" s="66"/>
      <c r="E554" s="66"/>
      <c r="F554" s="66"/>
      <c r="G554" s="66"/>
      <c r="H554" s="66"/>
      <c r="I554" s="66"/>
      <c r="J554" s="66"/>
      <c r="K554" s="66"/>
      <c r="L554" s="66"/>
      <c r="M554" s="66"/>
      <c r="N554" s="66"/>
    </row>
    <row r="555" spans="1:14" x14ac:dyDescent="0.2">
      <c r="A555" s="84"/>
      <c r="B555" s="84"/>
      <c r="C555" s="60"/>
      <c r="D555" s="66"/>
      <c r="E555" s="66"/>
      <c r="F555" s="66"/>
      <c r="G555" s="66"/>
      <c r="H555" s="66"/>
      <c r="I555" s="66"/>
      <c r="J555" s="66"/>
      <c r="K555" s="66"/>
      <c r="L555" s="66"/>
      <c r="M555" s="66"/>
      <c r="N555" s="66"/>
    </row>
    <row r="556" spans="1:14" x14ac:dyDescent="0.2">
      <c r="A556" s="84"/>
      <c r="B556" s="84"/>
      <c r="C556" s="60"/>
      <c r="D556" s="66"/>
      <c r="E556" s="66"/>
      <c r="F556" s="66"/>
      <c r="G556" s="66"/>
      <c r="H556" s="66"/>
      <c r="I556" s="66"/>
      <c r="J556" s="66"/>
      <c r="K556" s="66"/>
      <c r="L556" s="66"/>
      <c r="M556" s="66"/>
      <c r="N556" s="66"/>
    </row>
    <row r="557" spans="1:14" x14ac:dyDescent="0.2">
      <c r="A557" s="84"/>
      <c r="B557" s="84"/>
      <c r="C557" s="60"/>
      <c r="D557" s="66"/>
      <c r="E557" s="66"/>
      <c r="F557" s="66"/>
      <c r="G557" s="66"/>
      <c r="H557" s="66"/>
      <c r="I557" s="66"/>
      <c r="J557" s="66"/>
      <c r="K557" s="66"/>
      <c r="L557" s="66"/>
      <c r="M557" s="66"/>
      <c r="N557" s="66"/>
    </row>
    <row r="558" spans="1:14" x14ac:dyDescent="0.2">
      <c r="A558" s="84"/>
      <c r="B558" s="84"/>
      <c r="C558" s="60"/>
      <c r="D558" s="66"/>
      <c r="E558" s="66"/>
      <c r="F558" s="66"/>
      <c r="G558" s="66"/>
      <c r="H558" s="66"/>
      <c r="I558" s="66"/>
      <c r="J558" s="66"/>
      <c r="K558" s="66"/>
      <c r="L558" s="66"/>
      <c r="M558" s="66"/>
      <c r="N558" s="66"/>
    </row>
    <row r="559" spans="1:14" x14ac:dyDescent="0.2">
      <c r="A559" s="84"/>
      <c r="B559" s="84"/>
      <c r="C559" s="60"/>
      <c r="D559" s="66"/>
      <c r="E559" s="66"/>
      <c r="F559" s="66"/>
      <c r="G559" s="66"/>
      <c r="H559" s="66"/>
      <c r="I559" s="66"/>
      <c r="J559" s="66"/>
      <c r="K559" s="66"/>
      <c r="L559" s="66"/>
      <c r="M559" s="66"/>
      <c r="N559" s="66"/>
    </row>
    <row r="560" spans="1:14" x14ac:dyDescent="0.2">
      <c r="A560" s="84"/>
      <c r="B560" s="84"/>
      <c r="C560" s="60"/>
      <c r="D560" s="66"/>
      <c r="E560" s="66"/>
      <c r="F560" s="66"/>
      <c r="G560" s="66"/>
      <c r="H560" s="66"/>
      <c r="I560" s="66"/>
      <c r="J560" s="66"/>
      <c r="K560" s="66"/>
      <c r="L560" s="66"/>
      <c r="M560" s="66"/>
      <c r="N560" s="66"/>
    </row>
    <row r="561" spans="1:14" x14ac:dyDescent="0.2">
      <c r="A561" s="84"/>
      <c r="B561" s="84"/>
      <c r="C561" s="60"/>
      <c r="D561" s="66"/>
      <c r="E561" s="66"/>
      <c r="F561" s="66"/>
      <c r="G561" s="66"/>
      <c r="H561" s="66"/>
      <c r="I561" s="66"/>
      <c r="J561" s="66"/>
      <c r="K561" s="66"/>
      <c r="L561" s="66"/>
      <c r="M561" s="66"/>
      <c r="N561" s="66"/>
    </row>
    <row r="562" spans="1:14" x14ac:dyDescent="0.2">
      <c r="A562" s="84"/>
      <c r="B562" s="84"/>
      <c r="C562" s="60"/>
      <c r="D562" s="66"/>
      <c r="E562" s="66"/>
      <c r="F562" s="66"/>
      <c r="G562" s="66"/>
      <c r="H562" s="66"/>
      <c r="I562" s="66"/>
      <c r="J562" s="66"/>
      <c r="K562" s="66"/>
      <c r="L562" s="66"/>
      <c r="M562" s="66"/>
      <c r="N562" s="66"/>
    </row>
    <row r="563" spans="1:14" x14ac:dyDescent="0.2">
      <c r="A563" s="84"/>
      <c r="B563" s="84"/>
      <c r="C563" s="60"/>
      <c r="D563" s="66"/>
      <c r="E563" s="66"/>
      <c r="F563" s="66"/>
      <c r="G563" s="66"/>
      <c r="H563" s="66"/>
      <c r="I563" s="66"/>
      <c r="J563" s="66"/>
      <c r="K563" s="66"/>
      <c r="L563" s="66"/>
      <c r="M563" s="66"/>
      <c r="N563" s="66"/>
    </row>
    <row r="564" spans="1:14" x14ac:dyDescent="0.2">
      <c r="A564" s="84"/>
      <c r="B564" s="84"/>
      <c r="C564" s="60"/>
      <c r="D564" s="66"/>
      <c r="E564" s="66"/>
      <c r="F564" s="66"/>
      <c r="G564" s="66"/>
      <c r="H564" s="66"/>
      <c r="I564" s="66"/>
      <c r="J564" s="66"/>
      <c r="K564" s="66"/>
      <c r="L564" s="66"/>
      <c r="M564" s="66"/>
      <c r="N564" s="66"/>
    </row>
    <row r="565" spans="1:14" x14ac:dyDescent="0.2">
      <c r="A565" s="84"/>
      <c r="B565" s="84"/>
      <c r="C565" s="60"/>
      <c r="D565" s="66"/>
      <c r="E565" s="66"/>
      <c r="F565" s="66"/>
      <c r="G565" s="66"/>
      <c r="H565" s="66"/>
      <c r="I565" s="66"/>
      <c r="J565" s="66"/>
      <c r="K565" s="66"/>
      <c r="L565" s="66"/>
      <c r="M565" s="66"/>
      <c r="N565" s="66"/>
    </row>
    <row r="566" spans="1:14" x14ac:dyDescent="0.2">
      <c r="A566" s="84"/>
      <c r="B566" s="84"/>
      <c r="C566" s="60"/>
      <c r="D566" s="66"/>
      <c r="E566" s="66"/>
      <c r="F566" s="66"/>
      <c r="G566" s="66"/>
      <c r="H566" s="66"/>
      <c r="I566" s="66"/>
      <c r="J566" s="66"/>
      <c r="K566" s="66"/>
      <c r="L566" s="66"/>
      <c r="M566" s="66"/>
      <c r="N566" s="66"/>
    </row>
    <row r="567" spans="1:14" x14ac:dyDescent="0.2">
      <c r="A567" s="84"/>
      <c r="B567" s="84"/>
      <c r="C567" s="60"/>
      <c r="D567" s="66"/>
      <c r="E567" s="66"/>
      <c r="F567" s="66"/>
      <c r="G567" s="66"/>
      <c r="H567" s="66"/>
      <c r="I567" s="66"/>
      <c r="J567" s="66"/>
      <c r="K567" s="66"/>
      <c r="L567" s="66"/>
      <c r="M567" s="66"/>
      <c r="N567" s="66"/>
    </row>
    <row r="568" spans="1:14" x14ac:dyDescent="0.2">
      <c r="A568" s="84"/>
      <c r="B568" s="84"/>
      <c r="C568" s="60"/>
      <c r="D568" s="66"/>
      <c r="E568" s="66"/>
      <c r="F568" s="66"/>
      <c r="G568" s="66"/>
      <c r="H568" s="66"/>
      <c r="I568" s="66"/>
      <c r="J568" s="66"/>
      <c r="K568" s="66"/>
      <c r="L568" s="66"/>
      <c r="M568" s="66"/>
      <c r="N568" s="66"/>
    </row>
    <row r="569" spans="1:14" x14ac:dyDescent="0.2">
      <c r="A569" s="84"/>
      <c r="B569" s="84"/>
      <c r="C569" s="60"/>
      <c r="D569" s="66"/>
      <c r="E569" s="66"/>
      <c r="F569" s="66"/>
      <c r="G569" s="66"/>
      <c r="H569" s="66"/>
      <c r="I569" s="66"/>
      <c r="J569" s="66"/>
      <c r="K569" s="66"/>
      <c r="L569" s="66"/>
      <c r="M569" s="66"/>
      <c r="N569" s="66"/>
    </row>
    <row r="570" spans="1:14" x14ac:dyDescent="0.2">
      <c r="A570" s="84"/>
      <c r="B570" s="84"/>
      <c r="C570" s="60"/>
      <c r="D570" s="66"/>
      <c r="E570" s="66"/>
      <c r="F570" s="66"/>
      <c r="G570" s="66"/>
      <c r="H570" s="66"/>
      <c r="I570" s="66"/>
      <c r="J570" s="66"/>
      <c r="K570" s="66"/>
      <c r="L570" s="66"/>
      <c r="M570" s="66"/>
      <c r="N570" s="66"/>
    </row>
    <row r="571" spans="1:14" x14ac:dyDescent="0.2">
      <c r="A571" s="84"/>
      <c r="B571" s="84"/>
      <c r="C571" s="60"/>
      <c r="D571" s="66"/>
      <c r="E571" s="66"/>
      <c r="F571" s="66"/>
      <c r="G571" s="66"/>
      <c r="H571" s="66"/>
      <c r="I571" s="66"/>
      <c r="J571" s="66"/>
      <c r="K571" s="66"/>
      <c r="L571" s="66"/>
      <c r="M571" s="66"/>
      <c r="N571" s="66"/>
    </row>
    <row r="572" spans="1:14" x14ac:dyDescent="0.2">
      <c r="A572" s="84"/>
      <c r="B572" s="84"/>
      <c r="C572" s="60"/>
      <c r="D572" s="66"/>
      <c r="E572" s="66"/>
      <c r="F572" s="66"/>
      <c r="G572" s="66"/>
      <c r="H572" s="66"/>
      <c r="I572" s="66"/>
      <c r="J572" s="66"/>
      <c r="K572" s="66"/>
      <c r="L572" s="66"/>
      <c r="M572" s="66"/>
      <c r="N572" s="66"/>
    </row>
    <row r="573" spans="1:14" x14ac:dyDescent="0.2">
      <c r="A573" s="84"/>
      <c r="B573" s="84"/>
      <c r="C573" s="60"/>
      <c r="D573" s="66"/>
      <c r="E573" s="66"/>
      <c r="F573" s="66"/>
      <c r="G573" s="66"/>
      <c r="H573" s="66"/>
      <c r="I573" s="66"/>
      <c r="J573" s="66"/>
      <c r="K573" s="66"/>
      <c r="L573" s="66"/>
      <c r="M573" s="66"/>
      <c r="N573" s="66"/>
    </row>
    <row r="574" spans="1:14" x14ac:dyDescent="0.2">
      <c r="A574" s="84"/>
      <c r="B574" s="84"/>
      <c r="C574" s="60"/>
      <c r="D574" s="66"/>
      <c r="E574" s="66"/>
      <c r="F574" s="66"/>
      <c r="G574" s="66"/>
      <c r="H574" s="66"/>
      <c r="I574" s="66"/>
      <c r="J574" s="66"/>
      <c r="K574" s="66"/>
      <c r="L574" s="66"/>
      <c r="M574" s="66"/>
      <c r="N574" s="66"/>
    </row>
    <row r="575" spans="1:14" x14ac:dyDescent="0.2">
      <c r="A575" s="84"/>
      <c r="B575" s="84"/>
      <c r="C575" s="60"/>
      <c r="D575" s="66"/>
      <c r="E575" s="66"/>
      <c r="F575" s="66"/>
      <c r="G575" s="66"/>
      <c r="H575" s="66"/>
      <c r="I575" s="66"/>
      <c r="J575" s="66"/>
      <c r="K575" s="66"/>
      <c r="L575" s="66"/>
      <c r="M575" s="66"/>
      <c r="N575" s="66"/>
    </row>
    <row r="576" spans="1:14" x14ac:dyDescent="0.2">
      <c r="A576" s="84"/>
      <c r="B576" s="84"/>
      <c r="C576" s="60"/>
      <c r="D576" s="66"/>
      <c r="E576" s="66"/>
      <c r="F576" s="66"/>
      <c r="G576" s="66"/>
      <c r="H576" s="66"/>
      <c r="I576" s="66"/>
      <c r="J576" s="66"/>
      <c r="K576" s="66"/>
      <c r="L576" s="66"/>
      <c r="M576" s="66"/>
      <c r="N576" s="66"/>
    </row>
    <row r="577" spans="1:14" x14ac:dyDescent="0.2">
      <c r="A577" s="84"/>
      <c r="B577" s="84"/>
      <c r="C577" s="60"/>
      <c r="D577" s="66"/>
      <c r="E577" s="66"/>
      <c r="F577" s="66"/>
      <c r="G577" s="66"/>
      <c r="H577" s="66"/>
      <c r="I577" s="66"/>
      <c r="J577" s="66"/>
      <c r="K577" s="66"/>
      <c r="L577" s="66"/>
      <c r="M577" s="66"/>
      <c r="N577" s="66"/>
    </row>
    <row r="578" spans="1:14" x14ac:dyDescent="0.2">
      <c r="A578" s="84"/>
      <c r="B578" s="84"/>
      <c r="C578" s="60"/>
      <c r="D578" s="66"/>
      <c r="E578" s="66"/>
      <c r="F578" s="66"/>
      <c r="G578" s="66"/>
      <c r="H578" s="66"/>
      <c r="I578" s="66"/>
      <c r="J578" s="66"/>
      <c r="K578" s="66"/>
      <c r="L578" s="66"/>
      <c r="M578" s="66"/>
      <c r="N578" s="66"/>
    </row>
    <row r="579" spans="1:14" x14ac:dyDescent="0.2">
      <c r="A579" s="84"/>
      <c r="B579" s="84"/>
      <c r="C579" s="60"/>
      <c r="D579" s="66"/>
      <c r="E579" s="66"/>
      <c r="F579" s="66"/>
      <c r="G579" s="66"/>
      <c r="H579" s="66"/>
      <c r="I579" s="66"/>
      <c r="J579" s="66"/>
      <c r="K579" s="66"/>
      <c r="L579" s="66"/>
      <c r="M579" s="66"/>
      <c r="N579" s="66"/>
    </row>
    <row r="580" spans="1:14" x14ac:dyDescent="0.2">
      <c r="A580" s="84"/>
      <c r="B580" s="84"/>
      <c r="C580" s="60"/>
      <c r="D580" s="66"/>
      <c r="E580" s="66"/>
      <c r="F580" s="66"/>
      <c r="G580" s="66"/>
      <c r="H580" s="66"/>
      <c r="I580" s="66"/>
      <c r="J580" s="66"/>
      <c r="K580" s="66"/>
      <c r="L580" s="66"/>
      <c r="M580" s="66"/>
      <c r="N580" s="66"/>
    </row>
    <row r="581" spans="1:14" x14ac:dyDescent="0.2">
      <c r="A581" s="84"/>
      <c r="B581" s="84"/>
      <c r="C581" s="60"/>
      <c r="D581" s="66"/>
      <c r="E581" s="66"/>
      <c r="F581" s="66"/>
      <c r="G581" s="66"/>
      <c r="H581" s="66"/>
      <c r="I581" s="66"/>
      <c r="J581" s="66"/>
      <c r="K581" s="66"/>
      <c r="L581" s="66"/>
      <c r="M581" s="66"/>
      <c r="N581" s="66"/>
    </row>
    <row r="582" spans="1:14" x14ac:dyDescent="0.2">
      <c r="A582" s="84"/>
      <c r="B582" s="84"/>
      <c r="C582" s="60"/>
      <c r="D582" s="66"/>
      <c r="E582" s="66"/>
      <c r="F582" s="66"/>
      <c r="G582" s="66"/>
      <c r="H582" s="66"/>
      <c r="I582" s="66"/>
      <c r="J582" s="66"/>
      <c r="K582" s="66"/>
      <c r="L582" s="66"/>
      <c r="M582" s="66"/>
      <c r="N582" s="66"/>
    </row>
    <row r="583" spans="1:14" x14ac:dyDescent="0.2">
      <c r="A583" s="84"/>
      <c r="B583" s="84"/>
      <c r="C583" s="60"/>
      <c r="D583" s="66"/>
      <c r="E583" s="66"/>
      <c r="F583" s="66"/>
      <c r="G583" s="66"/>
      <c r="H583" s="66"/>
      <c r="I583" s="66"/>
      <c r="J583" s="66"/>
      <c r="K583" s="66"/>
      <c r="L583" s="66"/>
      <c r="M583" s="66"/>
      <c r="N583" s="66"/>
    </row>
    <row r="584" spans="1:14" x14ac:dyDescent="0.2">
      <c r="A584" s="84"/>
      <c r="B584" s="84"/>
      <c r="C584" s="60"/>
      <c r="D584" s="66"/>
      <c r="E584" s="66"/>
      <c r="F584" s="66"/>
      <c r="G584" s="66"/>
      <c r="H584" s="66"/>
      <c r="I584" s="66"/>
      <c r="J584" s="66"/>
      <c r="K584" s="66"/>
      <c r="L584" s="66"/>
      <c r="M584" s="66"/>
      <c r="N584" s="66"/>
    </row>
    <row r="585" spans="1:14" x14ac:dyDescent="0.2">
      <c r="A585" s="84"/>
      <c r="B585" s="84"/>
      <c r="C585" s="60"/>
      <c r="D585" s="66"/>
      <c r="E585" s="66"/>
      <c r="F585" s="66"/>
      <c r="G585" s="66"/>
      <c r="H585" s="66"/>
      <c r="I585" s="66"/>
      <c r="J585" s="66"/>
      <c r="K585" s="66"/>
      <c r="L585" s="66"/>
      <c r="M585" s="66"/>
      <c r="N585" s="66"/>
    </row>
    <row r="586" spans="1:14" x14ac:dyDescent="0.2">
      <c r="A586" s="84"/>
      <c r="B586" s="84"/>
      <c r="C586" s="60"/>
      <c r="D586" s="66"/>
      <c r="E586" s="66"/>
      <c r="F586" s="66"/>
      <c r="G586" s="66"/>
      <c r="H586" s="66"/>
      <c r="I586" s="66"/>
      <c r="J586" s="66"/>
      <c r="K586" s="66"/>
      <c r="L586" s="66"/>
      <c r="M586" s="66"/>
      <c r="N586" s="66"/>
    </row>
    <row r="587" spans="1:14" x14ac:dyDescent="0.2">
      <c r="A587" s="84"/>
      <c r="B587" s="84"/>
      <c r="C587" s="60"/>
      <c r="D587" s="66"/>
      <c r="E587" s="66"/>
      <c r="F587" s="66"/>
      <c r="G587" s="66"/>
      <c r="H587" s="66"/>
      <c r="I587" s="66"/>
      <c r="J587" s="66"/>
      <c r="K587" s="66"/>
      <c r="L587" s="66"/>
      <c r="M587" s="66"/>
      <c r="N587" s="66"/>
    </row>
    <row r="588" spans="1:14" x14ac:dyDescent="0.2">
      <c r="A588" s="84"/>
      <c r="B588" s="84"/>
      <c r="C588" s="60"/>
      <c r="D588" s="66"/>
      <c r="E588" s="66"/>
      <c r="F588" s="66"/>
      <c r="G588" s="66"/>
      <c r="H588" s="66"/>
      <c r="I588" s="66"/>
      <c r="J588" s="66"/>
      <c r="K588" s="66"/>
      <c r="L588" s="66"/>
      <c r="M588" s="66"/>
      <c r="N588" s="66"/>
    </row>
    <row r="589" spans="1:14" x14ac:dyDescent="0.2">
      <c r="A589" s="84"/>
      <c r="B589" s="84"/>
      <c r="C589" s="60"/>
      <c r="D589" s="66"/>
      <c r="E589" s="66"/>
      <c r="F589" s="66"/>
      <c r="G589" s="66"/>
      <c r="H589" s="66"/>
      <c r="I589" s="66"/>
      <c r="J589" s="66"/>
      <c r="K589" s="66"/>
      <c r="L589" s="66"/>
      <c r="M589" s="66"/>
      <c r="N589" s="66"/>
    </row>
    <row r="590" spans="1:14" x14ac:dyDescent="0.2">
      <c r="A590" s="84"/>
      <c r="B590" s="84"/>
      <c r="C590" s="60"/>
      <c r="D590" s="66"/>
      <c r="E590" s="66"/>
      <c r="F590" s="66"/>
      <c r="G590" s="66"/>
      <c r="H590" s="66"/>
      <c r="I590" s="66"/>
      <c r="J590" s="66"/>
      <c r="K590" s="66"/>
      <c r="L590" s="66"/>
      <c r="M590" s="66"/>
      <c r="N590" s="66"/>
    </row>
    <row r="591" spans="1:14" x14ac:dyDescent="0.2">
      <c r="A591" s="84"/>
      <c r="B591" s="84"/>
      <c r="C591" s="60"/>
      <c r="D591" s="66"/>
      <c r="E591" s="66"/>
      <c r="F591" s="66"/>
      <c r="G591" s="66"/>
      <c r="H591" s="66"/>
      <c r="I591" s="66"/>
      <c r="J591" s="66"/>
      <c r="K591" s="66"/>
      <c r="L591" s="66"/>
      <c r="M591" s="66"/>
      <c r="N591" s="66"/>
    </row>
    <row r="592" spans="1:14" x14ac:dyDescent="0.2">
      <c r="A592" s="84"/>
      <c r="B592" s="84"/>
      <c r="C592" s="60"/>
      <c r="D592" s="66"/>
      <c r="E592" s="66"/>
      <c r="F592" s="66"/>
      <c r="G592" s="66"/>
      <c r="H592" s="66"/>
      <c r="I592" s="66"/>
      <c r="J592" s="66"/>
      <c r="K592" s="66"/>
      <c r="L592" s="66"/>
      <c r="M592" s="66"/>
      <c r="N592" s="66"/>
    </row>
    <row r="593" spans="1:14" x14ac:dyDescent="0.2">
      <c r="A593" s="84"/>
      <c r="B593" s="84"/>
      <c r="C593" s="60"/>
      <c r="D593" s="66"/>
      <c r="E593" s="66"/>
      <c r="F593" s="66"/>
      <c r="G593" s="66"/>
      <c r="H593" s="66"/>
      <c r="I593" s="66"/>
      <c r="J593" s="66"/>
      <c r="K593" s="66"/>
      <c r="L593" s="66"/>
      <c r="M593" s="66"/>
      <c r="N593" s="66"/>
    </row>
    <row r="594" spans="1:14" x14ac:dyDescent="0.2">
      <c r="A594" s="84"/>
      <c r="B594" s="84"/>
      <c r="C594" s="60"/>
      <c r="D594" s="66"/>
      <c r="E594" s="66"/>
      <c r="F594" s="66"/>
      <c r="G594" s="66"/>
      <c r="H594" s="66"/>
      <c r="I594" s="66"/>
      <c r="J594" s="66"/>
      <c r="K594" s="66"/>
      <c r="L594" s="66"/>
      <c r="M594" s="66"/>
      <c r="N594" s="66"/>
    </row>
    <row r="595" spans="1:14" x14ac:dyDescent="0.2">
      <c r="A595" s="84"/>
      <c r="B595" s="84"/>
      <c r="C595" s="60"/>
      <c r="D595" s="66"/>
      <c r="E595" s="66"/>
      <c r="F595" s="66"/>
      <c r="G595" s="66"/>
      <c r="H595" s="66"/>
      <c r="I595" s="66"/>
      <c r="J595" s="66"/>
      <c r="K595" s="66"/>
      <c r="L595" s="66"/>
      <c r="M595" s="66"/>
      <c r="N595" s="66"/>
    </row>
    <row r="596" spans="1:14" x14ac:dyDescent="0.2">
      <c r="A596" s="84"/>
      <c r="B596" s="84"/>
      <c r="C596" s="60"/>
      <c r="D596" s="66"/>
      <c r="E596" s="66"/>
      <c r="F596" s="66"/>
      <c r="G596" s="66"/>
      <c r="H596" s="66"/>
      <c r="I596" s="66"/>
      <c r="J596" s="66"/>
      <c r="K596" s="66"/>
      <c r="L596" s="66"/>
      <c r="M596" s="66"/>
      <c r="N596" s="66"/>
    </row>
    <row r="597" spans="1:14" x14ac:dyDescent="0.2">
      <c r="A597" s="84"/>
      <c r="B597" s="84"/>
      <c r="C597" s="60"/>
      <c r="D597" s="66"/>
      <c r="E597" s="66"/>
      <c r="F597" s="66"/>
      <c r="G597" s="66"/>
      <c r="H597" s="66"/>
      <c r="I597" s="66"/>
      <c r="J597" s="66"/>
      <c r="K597" s="66"/>
      <c r="L597" s="66"/>
      <c r="M597" s="66"/>
      <c r="N597" s="66"/>
    </row>
    <row r="598" spans="1:14" x14ac:dyDescent="0.2">
      <c r="A598" s="84"/>
      <c r="B598" s="84"/>
      <c r="C598" s="60"/>
      <c r="D598" s="66"/>
      <c r="E598" s="66"/>
      <c r="F598" s="66"/>
      <c r="G598" s="66"/>
      <c r="H598" s="66"/>
      <c r="I598" s="66"/>
      <c r="J598" s="66"/>
      <c r="K598" s="66"/>
      <c r="L598" s="66"/>
      <c r="M598" s="66"/>
      <c r="N598" s="66"/>
    </row>
    <row r="599" spans="1:14" x14ac:dyDescent="0.2">
      <c r="A599" s="84"/>
      <c r="B599" s="84"/>
      <c r="C599" s="60"/>
      <c r="D599" s="66"/>
      <c r="E599" s="66"/>
      <c r="F599" s="66"/>
      <c r="G599" s="66"/>
      <c r="H599" s="66"/>
      <c r="I599" s="66"/>
      <c r="J599" s="66"/>
      <c r="K599" s="66"/>
      <c r="L599" s="66"/>
      <c r="M599" s="66"/>
      <c r="N599" s="66"/>
    </row>
    <row r="600" spans="1:14" x14ac:dyDescent="0.2">
      <c r="A600" s="84"/>
      <c r="B600" s="84"/>
      <c r="C600" s="60"/>
      <c r="D600" s="66"/>
      <c r="E600" s="66"/>
      <c r="F600" s="66"/>
      <c r="G600" s="66"/>
      <c r="H600" s="66"/>
      <c r="I600" s="66"/>
      <c r="J600" s="66"/>
      <c r="K600" s="66"/>
      <c r="L600" s="66"/>
      <c r="M600" s="66"/>
      <c r="N600" s="66"/>
    </row>
    <row r="601" spans="1:14" x14ac:dyDescent="0.2">
      <c r="A601" s="84"/>
      <c r="B601" s="84"/>
      <c r="C601" s="60"/>
      <c r="D601" s="66"/>
      <c r="E601" s="66"/>
      <c r="F601" s="66"/>
      <c r="G601" s="66"/>
      <c r="H601" s="66"/>
      <c r="I601" s="66"/>
      <c r="J601" s="66"/>
      <c r="K601" s="66"/>
      <c r="L601" s="66"/>
      <c r="M601" s="66"/>
      <c r="N601" s="66"/>
    </row>
    <row r="602" spans="1:14" x14ac:dyDescent="0.2">
      <c r="A602" s="84"/>
      <c r="B602" s="84"/>
      <c r="C602" s="60"/>
      <c r="D602" s="66"/>
      <c r="E602" s="66"/>
      <c r="F602" s="66"/>
      <c r="G602" s="66"/>
      <c r="H602" s="66"/>
      <c r="I602" s="66"/>
      <c r="J602" s="66"/>
      <c r="K602" s="66"/>
      <c r="L602" s="66"/>
      <c r="M602" s="66"/>
      <c r="N602" s="66"/>
    </row>
    <row r="603" spans="1:14" x14ac:dyDescent="0.2">
      <c r="A603" s="84"/>
      <c r="B603" s="84"/>
      <c r="C603" s="60"/>
      <c r="D603" s="66"/>
      <c r="E603" s="66"/>
      <c r="F603" s="66"/>
      <c r="G603" s="66"/>
      <c r="H603" s="66"/>
      <c r="I603" s="66"/>
      <c r="J603" s="66"/>
      <c r="K603" s="66"/>
      <c r="L603" s="66"/>
      <c r="M603" s="66"/>
      <c r="N603" s="66"/>
    </row>
    <row r="604" spans="1:14" x14ac:dyDescent="0.2">
      <c r="A604" s="84"/>
      <c r="B604" s="84"/>
      <c r="C604" s="60"/>
      <c r="D604" s="66"/>
      <c r="E604" s="66"/>
      <c r="F604" s="66"/>
      <c r="G604" s="66"/>
      <c r="H604" s="66"/>
      <c r="I604" s="66"/>
      <c r="J604" s="66"/>
      <c r="K604" s="66"/>
      <c r="L604" s="66"/>
      <c r="M604" s="66"/>
      <c r="N604" s="66"/>
    </row>
    <row r="605" spans="1:14" x14ac:dyDescent="0.2">
      <c r="A605" s="84"/>
      <c r="B605" s="84"/>
      <c r="C605" s="60"/>
      <c r="D605" s="66"/>
      <c r="E605" s="66"/>
      <c r="F605" s="66"/>
      <c r="G605" s="66"/>
      <c r="H605" s="66"/>
      <c r="I605" s="66"/>
      <c r="J605" s="66"/>
      <c r="K605" s="66"/>
      <c r="L605" s="66"/>
      <c r="M605" s="66"/>
      <c r="N605" s="66"/>
    </row>
    <row r="606" spans="1:14" x14ac:dyDescent="0.2">
      <c r="A606" s="84"/>
      <c r="B606" s="84"/>
      <c r="C606" s="60"/>
      <c r="D606" s="66"/>
      <c r="E606" s="66"/>
      <c r="F606" s="66"/>
      <c r="G606" s="66"/>
      <c r="H606" s="66"/>
      <c r="I606" s="66"/>
      <c r="J606" s="66"/>
      <c r="K606" s="66"/>
      <c r="L606" s="66"/>
      <c r="M606" s="66"/>
      <c r="N606" s="66"/>
    </row>
    <row r="607" spans="1:14" x14ac:dyDescent="0.2">
      <c r="A607" s="84"/>
      <c r="B607" s="84"/>
      <c r="C607" s="60"/>
      <c r="D607" s="66"/>
      <c r="E607" s="66"/>
      <c r="F607" s="66"/>
      <c r="G607" s="66"/>
      <c r="H607" s="66"/>
      <c r="I607" s="66"/>
      <c r="J607" s="66"/>
      <c r="K607" s="66"/>
      <c r="L607" s="66"/>
      <c r="M607" s="66"/>
      <c r="N607" s="66"/>
    </row>
    <row r="608" spans="1:14" x14ac:dyDescent="0.2">
      <c r="A608" s="84"/>
      <c r="B608" s="84"/>
      <c r="C608" s="60"/>
      <c r="D608" s="66"/>
      <c r="E608" s="66"/>
      <c r="F608" s="66"/>
      <c r="G608" s="66"/>
      <c r="H608" s="66"/>
      <c r="I608" s="66"/>
      <c r="J608" s="66"/>
      <c r="K608" s="66"/>
      <c r="L608" s="66"/>
      <c r="M608" s="66"/>
      <c r="N608" s="66"/>
    </row>
    <row r="609" spans="1:14" x14ac:dyDescent="0.2">
      <c r="A609" s="84"/>
      <c r="B609" s="84"/>
      <c r="C609" s="60"/>
      <c r="D609" s="66"/>
      <c r="E609" s="66"/>
      <c r="F609" s="66"/>
      <c r="G609" s="66"/>
      <c r="H609" s="66"/>
      <c r="I609" s="66"/>
      <c r="J609" s="66"/>
      <c r="K609" s="66"/>
      <c r="L609" s="66"/>
      <c r="M609" s="66"/>
      <c r="N609" s="66"/>
    </row>
    <row r="610" spans="1:14" x14ac:dyDescent="0.2">
      <c r="A610" s="84"/>
      <c r="B610" s="84"/>
      <c r="C610" s="60"/>
      <c r="D610" s="66"/>
      <c r="E610" s="66"/>
      <c r="F610" s="66"/>
      <c r="G610" s="66"/>
      <c r="H610" s="66"/>
      <c r="I610" s="66"/>
      <c r="J610" s="66"/>
      <c r="K610" s="66"/>
      <c r="L610" s="66"/>
      <c r="M610" s="66"/>
      <c r="N610" s="66"/>
    </row>
    <row r="611" spans="1:14" x14ac:dyDescent="0.2">
      <c r="A611" s="84"/>
      <c r="B611" s="84"/>
      <c r="C611" s="60"/>
      <c r="D611" s="66"/>
      <c r="E611" s="66"/>
      <c r="F611" s="66"/>
      <c r="G611" s="66"/>
      <c r="H611" s="66"/>
      <c r="I611" s="66"/>
      <c r="J611" s="66"/>
      <c r="K611" s="66"/>
      <c r="L611" s="66"/>
      <c r="M611" s="66"/>
      <c r="N611" s="66"/>
    </row>
    <row r="612" spans="1:14" x14ac:dyDescent="0.2">
      <c r="A612" s="84"/>
      <c r="B612" s="84"/>
      <c r="C612" s="60"/>
      <c r="D612" s="66"/>
      <c r="E612" s="66"/>
      <c r="F612" s="66"/>
      <c r="G612" s="66"/>
      <c r="H612" s="66"/>
      <c r="I612" s="66"/>
      <c r="J612" s="66"/>
      <c r="K612" s="66"/>
      <c r="L612" s="66"/>
      <c r="M612" s="66"/>
      <c r="N612" s="66"/>
    </row>
    <row r="613" spans="1:14" x14ac:dyDescent="0.2">
      <c r="A613" s="84"/>
      <c r="B613" s="84"/>
      <c r="C613" s="60"/>
      <c r="D613" s="66"/>
      <c r="E613" s="66"/>
      <c r="F613" s="66"/>
      <c r="G613" s="66"/>
      <c r="H613" s="66"/>
      <c r="I613" s="66"/>
      <c r="J613" s="66"/>
      <c r="K613" s="66"/>
      <c r="L613" s="66"/>
      <c r="M613" s="66"/>
      <c r="N613" s="66"/>
    </row>
    <row r="614" spans="1:14" x14ac:dyDescent="0.2">
      <c r="A614" s="84"/>
      <c r="B614" s="84"/>
      <c r="C614" s="60"/>
      <c r="D614" s="66"/>
      <c r="E614" s="66"/>
      <c r="F614" s="66"/>
      <c r="G614" s="66"/>
      <c r="H614" s="66"/>
      <c r="I614" s="66"/>
      <c r="J614" s="66"/>
      <c r="K614" s="66"/>
      <c r="L614" s="66"/>
      <c r="M614" s="66"/>
      <c r="N614" s="66"/>
    </row>
    <row r="615" spans="1:14" x14ac:dyDescent="0.2">
      <c r="A615" s="84"/>
      <c r="B615" s="84"/>
      <c r="C615" s="60"/>
      <c r="D615" s="66"/>
      <c r="E615" s="66"/>
      <c r="F615" s="66"/>
      <c r="G615" s="66"/>
      <c r="H615" s="66"/>
      <c r="I615" s="66"/>
      <c r="J615" s="66"/>
      <c r="K615" s="66"/>
      <c r="L615" s="66"/>
      <c r="M615" s="66"/>
      <c r="N615" s="66"/>
    </row>
    <row r="616" spans="1:14" x14ac:dyDescent="0.2">
      <c r="A616" s="84"/>
      <c r="B616" s="84"/>
      <c r="C616" s="60"/>
      <c r="D616" s="66"/>
      <c r="E616" s="66"/>
      <c r="F616" s="66"/>
      <c r="G616" s="66"/>
      <c r="H616" s="66"/>
      <c r="I616" s="66"/>
      <c r="J616" s="66"/>
      <c r="K616" s="66"/>
      <c r="L616" s="66"/>
      <c r="M616" s="66"/>
      <c r="N616" s="66"/>
    </row>
    <row r="617" spans="1:14" x14ac:dyDescent="0.2">
      <c r="A617" s="84"/>
      <c r="B617" s="84"/>
      <c r="C617" s="60"/>
      <c r="D617" s="66"/>
      <c r="E617" s="66"/>
      <c r="F617" s="66"/>
      <c r="G617" s="66"/>
      <c r="H617" s="66"/>
      <c r="I617" s="66"/>
      <c r="J617" s="66"/>
      <c r="K617" s="66"/>
      <c r="L617" s="66"/>
      <c r="M617" s="66"/>
      <c r="N617" s="66"/>
    </row>
    <row r="618" spans="1:14" x14ac:dyDescent="0.2">
      <c r="A618" s="84"/>
      <c r="B618" s="84"/>
      <c r="C618" s="60"/>
      <c r="D618" s="66"/>
      <c r="E618" s="66"/>
      <c r="F618" s="66"/>
      <c r="G618" s="66"/>
      <c r="H618" s="66"/>
      <c r="I618" s="66"/>
      <c r="J618" s="66"/>
      <c r="K618" s="66"/>
      <c r="L618" s="66"/>
      <c r="M618" s="66"/>
      <c r="N618" s="66"/>
    </row>
    <row r="619" spans="1:14" x14ac:dyDescent="0.2">
      <c r="A619" s="84"/>
      <c r="B619" s="84"/>
      <c r="C619" s="60"/>
      <c r="D619" s="66"/>
      <c r="E619" s="66"/>
      <c r="F619" s="66"/>
      <c r="G619" s="66"/>
      <c r="H619" s="66"/>
      <c r="I619" s="66"/>
      <c r="J619" s="66"/>
      <c r="K619" s="66"/>
      <c r="L619" s="66"/>
      <c r="M619" s="66"/>
      <c r="N619" s="66"/>
    </row>
    <row r="620" spans="1:14" x14ac:dyDescent="0.2">
      <c r="A620" s="84"/>
      <c r="B620" s="84"/>
      <c r="C620" s="60"/>
      <c r="D620" s="66"/>
      <c r="E620" s="66"/>
      <c r="F620" s="66"/>
      <c r="G620" s="66"/>
      <c r="H620" s="66"/>
      <c r="I620" s="66"/>
      <c r="J620" s="66"/>
      <c r="K620" s="66"/>
      <c r="L620" s="66"/>
      <c r="M620" s="66"/>
      <c r="N620" s="66"/>
    </row>
    <row r="621" spans="1:14" x14ac:dyDescent="0.2">
      <c r="A621" s="84"/>
      <c r="B621" s="84"/>
      <c r="C621" s="60"/>
      <c r="D621" s="66"/>
      <c r="E621" s="66"/>
      <c r="F621" s="66"/>
      <c r="G621" s="66"/>
      <c r="H621" s="66"/>
      <c r="I621" s="66"/>
      <c r="J621" s="66"/>
      <c r="K621" s="66"/>
      <c r="L621" s="66"/>
      <c r="M621" s="66"/>
      <c r="N621" s="66"/>
    </row>
    <row r="622" spans="1:14" x14ac:dyDescent="0.2">
      <c r="A622" s="84"/>
      <c r="B622" s="84"/>
      <c r="C622" s="60"/>
      <c r="D622" s="66"/>
      <c r="E622" s="66"/>
      <c r="F622" s="66"/>
      <c r="G622" s="66"/>
      <c r="H622" s="66"/>
      <c r="I622" s="66"/>
      <c r="J622" s="66"/>
      <c r="K622" s="66"/>
      <c r="L622" s="66"/>
      <c r="M622" s="66"/>
      <c r="N622" s="66"/>
    </row>
    <row r="623" spans="1:14" x14ac:dyDescent="0.2">
      <c r="A623" s="84"/>
      <c r="B623" s="84"/>
      <c r="C623" s="60"/>
      <c r="D623" s="66"/>
      <c r="E623" s="66"/>
      <c r="F623" s="66"/>
      <c r="G623" s="66"/>
      <c r="H623" s="66"/>
      <c r="I623" s="66"/>
      <c r="J623" s="66"/>
      <c r="K623" s="66"/>
      <c r="L623" s="66"/>
      <c r="M623" s="66"/>
      <c r="N623" s="66"/>
    </row>
    <row r="624" spans="1:14" x14ac:dyDescent="0.2">
      <c r="A624" s="84"/>
      <c r="B624" s="84"/>
      <c r="C624" s="60"/>
      <c r="D624" s="66"/>
      <c r="E624" s="66"/>
      <c r="F624" s="66"/>
      <c r="G624" s="66"/>
      <c r="H624" s="66"/>
      <c r="I624" s="66"/>
      <c r="J624" s="66"/>
      <c r="K624" s="66"/>
      <c r="L624" s="66"/>
      <c r="M624" s="66"/>
      <c r="N624" s="66"/>
    </row>
    <row r="625" spans="1:14" x14ac:dyDescent="0.2">
      <c r="A625" s="84"/>
      <c r="B625" s="84"/>
      <c r="C625" s="60"/>
      <c r="D625" s="66"/>
      <c r="E625" s="66"/>
      <c r="F625" s="66"/>
      <c r="G625" s="66"/>
      <c r="H625" s="66"/>
      <c r="I625" s="66"/>
      <c r="J625" s="66"/>
      <c r="K625" s="66"/>
      <c r="L625" s="66"/>
      <c r="M625" s="66"/>
      <c r="N625" s="66"/>
    </row>
    <row r="626" spans="1:14" x14ac:dyDescent="0.2">
      <c r="A626" s="84"/>
      <c r="B626" s="84"/>
      <c r="C626" s="60"/>
      <c r="D626" s="66"/>
      <c r="E626" s="66"/>
      <c r="F626" s="66"/>
      <c r="G626" s="66"/>
      <c r="H626" s="66"/>
      <c r="I626" s="66"/>
      <c r="J626" s="66"/>
      <c r="K626" s="66"/>
      <c r="L626" s="66"/>
      <c r="M626" s="66"/>
      <c r="N626" s="66"/>
    </row>
    <row r="627" spans="1:14" x14ac:dyDescent="0.2">
      <c r="A627" s="84"/>
      <c r="B627" s="84"/>
      <c r="C627" s="60"/>
      <c r="D627" s="66"/>
      <c r="E627" s="66"/>
      <c r="F627" s="66"/>
      <c r="G627" s="66"/>
      <c r="H627" s="66"/>
      <c r="I627" s="66"/>
      <c r="J627" s="66"/>
      <c r="K627" s="66"/>
      <c r="L627" s="66"/>
      <c r="M627" s="66"/>
      <c r="N627" s="66"/>
    </row>
    <row r="628" spans="1:14" x14ac:dyDescent="0.2">
      <c r="A628" s="84"/>
      <c r="B628" s="84"/>
      <c r="C628" s="60"/>
      <c r="D628" s="66"/>
      <c r="E628" s="66"/>
      <c r="F628" s="66"/>
      <c r="G628" s="66"/>
      <c r="H628" s="66"/>
      <c r="I628" s="66"/>
      <c r="J628" s="66"/>
      <c r="K628" s="66"/>
      <c r="L628" s="66"/>
      <c r="M628" s="66"/>
      <c r="N628" s="66"/>
    </row>
    <row r="629" spans="1:14" x14ac:dyDescent="0.2">
      <c r="A629" s="84"/>
      <c r="B629" s="84"/>
      <c r="C629" s="60"/>
      <c r="D629" s="66"/>
      <c r="E629" s="66"/>
      <c r="F629" s="66"/>
      <c r="G629" s="66"/>
      <c r="H629" s="66"/>
      <c r="I629" s="66"/>
      <c r="J629" s="66"/>
      <c r="K629" s="66"/>
      <c r="L629" s="66"/>
      <c r="M629" s="66"/>
      <c r="N629" s="66"/>
    </row>
    <row r="630" spans="1:14" x14ac:dyDescent="0.2">
      <c r="A630" s="84"/>
      <c r="B630" s="84"/>
      <c r="C630" s="60"/>
      <c r="D630" s="66"/>
      <c r="E630" s="66"/>
      <c r="F630" s="66"/>
      <c r="G630" s="66"/>
      <c r="H630" s="66"/>
      <c r="I630" s="66"/>
      <c r="J630" s="66"/>
      <c r="K630" s="66"/>
      <c r="L630" s="66"/>
      <c r="M630" s="66"/>
      <c r="N630" s="66"/>
    </row>
    <row r="631" spans="1:14" x14ac:dyDescent="0.2">
      <c r="A631" s="84"/>
      <c r="B631" s="84"/>
      <c r="C631" s="60"/>
      <c r="D631" s="66"/>
      <c r="E631" s="66"/>
      <c r="F631" s="66"/>
      <c r="G631" s="66"/>
      <c r="H631" s="66"/>
      <c r="I631" s="66"/>
      <c r="J631" s="66"/>
      <c r="K631" s="66"/>
      <c r="L631" s="66"/>
      <c r="M631" s="66"/>
      <c r="N631" s="66"/>
    </row>
    <row r="632" spans="1:14" x14ac:dyDescent="0.2">
      <c r="A632" s="84"/>
      <c r="B632" s="84"/>
      <c r="C632" s="60"/>
      <c r="D632" s="66"/>
      <c r="E632" s="66"/>
      <c r="F632" s="66"/>
      <c r="G632" s="66"/>
      <c r="H632" s="66"/>
      <c r="I632" s="66"/>
      <c r="J632" s="66"/>
      <c r="K632" s="66"/>
      <c r="L632" s="66"/>
      <c r="M632" s="66"/>
      <c r="N632" s="66"/>
    </row>
    <row r="633" spans="1:14" x14ac:dyDescent="0.2">
      <c r="A633" s="84"/>
      <c r="B633" s="84"/>
      <c r="C633" s="60"/>
      <c r="D633" s="66"/>
      <c r="E633" s="66"/>
      <c r="F633" s="66"/>
      <c r="G633" s="66"/>
      <c r="H633" s="66"/>
      <c r="I633" s="66"/>
      <c r="J633" s="66"/>
      <c r="K633" s="66"/>
      <c r="L633" s="66"/>
      <c r="M633" s="66"/>
      <c r="N633" s="66"/>
    </row>
    <row r="634" spans="1:14" x14ac:dyDescent="0.2">
      <c r="A634" s="84"/>
      <c r="B634" s="84"/>
      <c r="C634" s="60"/>
      <c r="D634" s="66"/>
      <c r="E634" s="66"/>
      <c r="F634" s="66"/>
      <c r="G634" s="66"/>
      <c r="H634" s="66"/>
      <c r="I634" s="66"/>
      <c r="J634" s="66"/>
      <c r="K634" s="66"/>
      <c r="L634" s="66"/>
      <c r="M634" s="66"/>
      <c r="N634" s="66"/>
    </row>
    <row r="635" spans="1:14" x14ac:dyDescent="0.2">
      <c r="A635" s="84"/>
      <c r="B635" s="84"/>
      <c r="C635" s="60"/>
      <c r="D635" s="66"/>
      <c r="E635" s="66"/>
      <c r="F635" s="66"/>
      <c r="G635" s="66"/>
      <c r="H635" s="66"/>
      <c r="I635" s="66"/>
      <c r="J635" s="66"/>
      <c r="K635" s="66"/>
      <c r="L635" s="66"/>
      <c r="M635" s="66"/>
      <c r="N635" s="66"/>
    </row>
    <row r="636" spans="1:14" x14ac:dyDescent="0.2">
      <c r="A636" s="84"/>
      <c r="B636" s="84"/>
      <c r="C636" s="60"/>
      <c r="D636" s="66"/>
      <c r="E636" s="66"/>
      <c r="F636" s="66"/>
      <c r="G636" s="66"/>
      <c r="H636" s="66"/>
      <c r="I636" s="66"/>
      <c r="J636" s="66"/>
      <c r="K636" s="66"/>
      <c r="L636" s="66"/>
      <c r="M636" s="66"/>
      <c r="N636" s="66"/>
    </row>
    <row r="637" spans="1:14" x14ac:dyDescent="0.2">
      <c r="A637" s="84"/>
      <c r="B637" s="84"/>
      <c r="C637" s="60"/>
      <c r="D637" s="66"/>
      <c r="E637" s="66"/>
      <c r="F637" s="66"/>
      <c r="G637" s="66"/>
      <c r="H637" s="66"/>
      <c r="I637" s="66"/>
      <c r="J637" s="66"/>
      <c r="K637" s="66"/>
      <c r="L637" s="66"/>
      <c r="M637" s="66"/>
      <c r="N637" s="66"/>
    </row>
    <row r="638" spans="1:14" x14ac:dyDescent="0.2">
      <c r="A638" s="84"/>
      <c r="B638" s="84"/>
      <c r="C638" s="60"/>
      <c r="D638" s="66"/>
      <c r="E638" s="66"/>
      <c r="F638" s="66"/>
      <c r="G638" s="66"/>
      <c r="H638" s="66"/>
      <c r="I638" s="66"/>
      <c r="J638" s="66"/>
      <c r="K638" s="66"/>
      <c r="L638" s="66"/>
      <c r="M638" s="66"/>
      <c r="N638" s="66"/>
    </row>
    <row r="639" spans="1:14" x14ac:dyDescent="0.2">
      <c r="A639" s="84"/>
      <c r="B639" s="84"/>
      <c r="C639" s="60"/>
      <c r="D639" s="66"/>
      <c r="E639" s="66"/>
      <c r="F639" s="66"/>
      <c r="G639" s="66"/>
      <c r="H639" s="66"/>
      <c r="I639" s="66"/>
      <c r="J639" s="66"/>
      <c r="K639" s="66"/>
      <c r="L639" s="66"/>
      <c r="M639" s="66"/>
      <c r="N639" s="66"/>
    </row>
    <row r="640" spans="1:14" x14ac:dyDescent="0.2">
      <c r="A640" s="84"/>
      <c r="B640" s="84"/>
      <c r="C640" s="60"/>
      <c r="D640" s="66"/>
      <c r="E640" s="66"/>
      <c r="F640" s="66"/>
      <c r="G640" s="66"/>
      <c r="H640" s="66"/>
      <c r="I640" s="66"/>
      <c r="J640" s="66"/>
      <c r="K640" s="66"/>
      <c r="L640" s="66"/>
      <c r="M640" s="66"/>
      <c r="N640" s="66"/>
    </row>
    <row r="641" spans="1:14" x14ac:dyDescent="0.2">
      <c r="A641" s="84"/>
      <c r="B641" s="84"/>
      <c r="C641" s="60"/>
      <c r="D641" s="66"/>
      <c r="E641" s="66"/>
      <c r="F641" s="66"/>
      <c r="G641" s="66"/>
      <c r="H641" s="66"/>
      <c r="I641" s="66"/>
      <c r="J641" s="66"/>
      <c r="K641" s="66"/>
      <c r="L641" s="66"/>
      <c r="M641" s="66"/>
      <c r="N641" s="66"/>
    </row>
    <row r="642" spans="1:14" x14ac:dyDescent="0.2">
      <c r="A642" s="84"/>
      <c r="B642" s="84"/>
      <c r="C642" s="60"/>
      <c r="D642" s="66"/>
      <c r="E642" s="66"/>
      <c r="F642" s="66"/>
      <c r="G642" s="66"/>
      <c r="H642" s="66"/>
      <c r="I642" s="66"/>
      <c r="J642" s="66"/>
      <c r="K642" s="66"/>
      <c r="L642" s="66"/>
      <c r="M642" s="66"/>
      <c r="N642" s="66"/>
    </row>
    <row r="643" spans="1:14" x14ac:dyDescent="0.2">
      <c r="A643" s="84"/>
      <c r="B643" s="84"/>
      <c r="C643" s="60"/>
      <c r="D643" s="66"/>
      <c r="E643" s="66"/>
      <c r="F643" s="66"/>
      <c r="G643" s="66"/>
      <c r="H643" s="66"/>
      <c r="I643" s="66"/>
      <c r="J643" s="66"/>
      <c r="K643" s="66"/>
      <c r="L643" s="66"/>
      <c r="M643" s="66"/>
      <c r="N643" s="66"/>
    </row>
    <row r="644" spans="1:14" x14ac:dyDescent="0.2">
      <c r="A644" s="84"/>
      <c r="B644" s="84"/>
      <c r="C644" s="60"/>
      <c r="D644" s="66"/>
      <c r="E644" s="66"/>
      <c r="F644" s="66"/>
      <c r="G644" s="66"/>
      <c r="H644" s="66"/>
      <c r="I644" s="66"/>
      <c r="J644" s="66"/>
      <c r="K644" s="66"/>
      <c r="L644" s="66"/>
      <c r="M644" s="66"/>
      <c r="N644" s="66"/>
    </row>
    <row r="645" spans="1:14" x14ac:dyDescent="0.2">
      <c r="A645" s="84"/>
      <c r="B645" s="84"/>
      <c r="C645" s="60"/>
      <c r="D645" s="66"/>
      <c r="E645" s="66"/>
      <c r="F645" s="66"/>
      <c r="G645" s="66"/>
      <c r="H645" s="66"/>
      <c r="I645" s="66"/>
      <c r="J645" s="66"/>
      <c r="K645" s="66"/>
      <c r="L645" s="66"/>
      <c r="M645" s="66"/>
      <c r="N645" s="66"/>
    </row>
    <row r="646" spans="1:14" x14ac:dyDescent="0.2">
      <c r="A646" s="84"/>
      <c r="B646" s="84"/>
      <c r="C646" s="60"/>
      <c r="D646" s="66"/>
      <c r="E646" s="66"/>
      <c r="F646" s="66"/>
      <c r="G646" s="66"/>
      <c r="H646" s="66"/>
      <c r="I646" s="66"/>
      <c r="J646" s="66"/>
      <c r="K646" s="66"/>
      <c r="L646" s="66"/>
      <c r="M646" s="66"/>
      <c r="N646" s="66"/>
    </row>
    <row r="647" spans="1:14" x14ac:dyDescent="0.2">
      <c r="A647" s="84"/>
      <c r="B647" s="84"/>
      <c r="C647" s="60"/>
      <c r="D647" s="66"/>
      <c r="E647" s="66"/>
      <c r="F647" s="66"/>
      <c r="G647" s="66"/>
      <c r="H647" s="66"/>
      <c r="I647" s="66"/>
      <c r="J647" s="66"/>
      <c r="K647" s="66"/>
      <c r="L647" s="66"/>
      <c r="M647" s="66"/>
      <c r="N647" s="66"/>
    </row>
    <row r="648" spans="1:14" x14ac:dyDescent="0.2">
      <c r="A648" s="84"/>
      <c r="B648" s="84"/>
      <c r="C648" s="60"/>
      <c r="D648" s="66"/>
      <c r="E648" s="66"/>
      <c r="F648" s="66"/>
      <c r="G648" s="66"/>
      <c r="H648" s="66"/>
      <c r="I648" s="66"/>
      <c r="J648" s="66"/>
      <c r="K648" s="66"/>
      <c r="L648" s="66"/>
      <c r="M648" s="66"/>
      <c r="N648" s="66"/>
    </row>
    <row r="649" spans="1:14" x14ac:dyDescent="0.2">
      <c r="A649" s="84"/>
      <c r="B649" s="84"/>
      <c r="C649" s="60"/>
      <c r="D649" s="66"/>
      <c r="E649" s="66"/>
      <c r="F649" s="66"/>
      <c r="G649" s="66"/>
      <c r="H649" s="66"/>
      <c r="I649" s="66"/>
      <c r="J649" s="66"/>
      <c r="K649" s="66"/>
      <c r="L649" s="66"/>
      <c r="M649" s="66"/>
      <c r="N649" s="66"/>
    </row>
    <row r="650" spans="1:14" x14ac:dyDescent="0.2">
      <c r="A650" s="84"/>
      <c r="B650" s="84"/>
      <c r="C650" s="60"/>
      <c r="D650" s="66"/>
      <c r="E650" s="66"/>
      <c r="F650" s="66"/>
      <c r="G650" s="66"/>
      <c r="H650" s="66"/>
      <c r="I650" s="66"/>
      <c r="J650" s="66"/>
      <c r="K650" s="66"/>
      <c r="L650" s="66"/>
      <c r="M650" s="66"/>
      <c r="N650" s="66"/>
    </row>
    <row r="651" spans="1:14" x14ac:dyDescent="0.2">
      <c r="A651" s="84"/>
      <c r="B651" s="84"/>
      <c r="C651" s="60"/>
      <c r="D651" s="66"/>
      <c r="E651" s="66"/>
      <c r="F651" s="66"/>
      <c r="G651" s="66"/>
      <c r="H651" s="66"/>
      <c r="I651" s="66"/>
      <c r="J651" s="66"/>
      <c r="K651" s="66"/>
      <c r="L651" s="66"/>
      <c r="M651" s="66"/>
      <c r="N651" s="66"/>
    </row>
    <row r="652" spans="1:14" x14ac:dyDescent="0.2">
      <c r="A652" s="84"/>
      <c r="B652" s="84"/>
      <c r="C652" s="60"/>
      <c r="D652" s="66"/>
      <c r="E652" s="66"/>
      <c r="F652" s="66"/>
      <c r="G652" s="66"/>
      <c r="H652" s="66"/>
      <c r="I652" s="66"/>
      <c r="J652" s="66"/>
      <c r="K652" s="66"/>
      <c r="L652" s="66"/>
      <c r="M652" s="66"/>
      <c r="N652" s="66"/>
    </row>
    <row r="653" spans="1:14" x14ac:dyDescent="0.2">
      <c r="A653" s="84"/>
      <c r="B653" s="84"/>
      <c r="C653" s="60"/>
      <c r="D653" s="66"/>
      <c r="E653" s="66"/>
      <c r="F653" s="66"/>
      <c r="G653" s="66"/>
      <c r="H653" s="66"/>
      <c r="I653" s="66"/>
      <c r="J653" s="66"/>
      <c r="K653" s="66"/>
      <c r="L653" s="66"/>
      <c r="M653" s="66"/>
      <c r="N653" s="66"/>
    </row>
    <row r="654" spans="1:14" x14ac:dyDescent="0.2">
      <c r="A654" s="84"/>
      <c r="B654" s="84"/>
      <c r="C654" s="60"/>
      <c r="D654" s="66"/>
      <c r="E654" s="66"/>
      <c r="F654" s="66"/>
      <c r="G654" s="66"/>
      <c r="H654" s="66"/>
      <c r="I654" s="66"/>
      <c r="J654" s="66"/>
      <c r="K654" s="66"/>
      <c r="L654" s="66"/>
      <c r="M654" s="66"/>
      <c r="N654" s="66"/>
    </row>
    <row r="655" spans="1:14" x14ac:dyDescent="0.2">
      <c r="A655" s="84"/>
      <c r="B655" s="84"/>
      <c r="C655" s="60"/>
      <c r="D655" s="66"/>
      <c r="E655" s="66"/>
      <c r="F655" s="66"/>
      <c r="G655" s="66"/>
      <c r="H655" s="66"/>
      <c r="I655" s="66"/>
      <c r="J655" s="66"/>
      <c r="K655" s="66"/>
      <c r="L655" s="66"/>
      <c r="M655" s="66"/>
      <c r="N655" s="66"/>
    </row>
    <row r="656" spans="1:14" x14ac:dyDescent="0.2">
      <c r="A656" s="84"/>
      <c r="B656" s="84"/>
      <c r="C656" s="60"/>
      <c r="D656" s="66"/>
      <c r="E656" s="66"/>
      <c r="F656" s="66"/>
      <c r="G656" s="66"/>
      <c r="H656" s="66"/>
      <c r="I656" s="66"/>
      <c r="J656" s="66"/>
      <c r="K656" s="66"/>
      <c r="L656" s="66"/>
      <c r="M656" s="66"/>
      <c r="N656" s="66"/>
    </row>
    <row r="657" spans="1:14" x14ac:dyDescent="0.2">
      <c r="A657" s="84"/>
      <c r="B657" s="84"/>
      <c r="C657" s="60"/>
      <c r="D657" s="66"/>
      <c r="E657" s="66"/>
      <c r="F657" s="66"/>
      <c r="G657" s="66"/>
      <c r="H657" s="66"/>
      <c r="I657" s="66"/>
      <c r="J657" s="66"/>
      <c r="K657" s="66"/>
      <c r="L657" s="66"/>
      <c r="M657" s="66"/>
      <c r="N657" s="66"/>
    </row>
    <row r="658" spans="1:14" x14ac:dyDescent="0.2">
      <c r="A658" s="84"/>
      <c r="B658" s="84"/>
      <c r="C658" s="60"/>
      <c r="D658" s="66"/>
      <c r="E658" s="66"/>
      <c r="F658" s="66"/>
      <c r="G658" s="66"/>
      <c r="H658" s="66"/>
      <c r="I658" s="66"/>
      <c r="J658" s="66"/>
      <c r="K658" s="66"/>
      <c r="L658" s="66"/>
      <c r="M658" s="66"/>
      <c r="N658" s="66"/>
    </row>
    <row r="659" spans="1:14" x14ac:dyDescent="0.2">
      <c r="A659" s="84"/>
      <c r="B659" s="84"/>
      <c r="C659" s="60"/>
      <c r="D659" s="66"/>
      <c r="E659" s="66"/>
      <c r="F659" s="66"/>
      <c r="G659" s="66"/>
      <c r="H659" s="66"/>
      <c r="I659" s="66"/>
      <c r="J659" s="66"/>
      <c r="K659" s="66"/>
      <c r="L659" s="66"/>
      <c r="M659" s="66"/>
      <c r="N659" s="66"/>
    </row>
    <row r="660" spans="1:14" x14ac:dyDescent="0.2">
      <c r="A660" s="84"/>
      <c r="B660" s="84"/>
      <c r="C660" s="60"/>
      <c r="D660" s="66"/>
      <c r="E660" s="66"/>
      <c r="F660" s="66"/>
      <c r="G660" s="66"/>
      <c r="H660" s="66"/>
      <c r="I660" s="66"/>
      <c r="J660" s="66"/>
      <c r="K660" s="66"/>
      <c r="L660" s="66"/>
      <c r="M660" s="66"/>
      <c r="N660" s="66"/>
    </row>
    <row r="661" spans="1:14" x14ac:dyDescent="0.2">
      <c r="A661" s="84"/>
      <c r="B661" s="84"/>
      <c r="C661" s="60"/>
      <c r="D661" s="66"/>
      <c r="E661" s="66"/>
      <c r="F661" s="66"/>
      <c r="G661" s="66"/>
      <c r="H661" s="66"/>
      <c r="I661" s="66"/>
      <c r="J661" s="66"/>
      <c r="K661" s="66"/>
      <c r="L661" s="66"/>
      <c r="M661" s="66"/>
      <c r="N661" s="66"/>
    </row>
    <row r="662" spans="1:14" x14ac:dyDescent="0.2">
      <c r="A662" s="84"/>
      <c r="B662" s="84"/>
      <c r="C662" s="60"/>
      <c r="D662" s="66"/>
      <c r="E662" s="66"/>
      <c r="F662" s="66"/>
      <c r="G662" s="66"/>
      <c r="H662" s="66"/>
      <c r="I662" s="66"/>
      <c r="J662" s="66"/>
      <c r="K662" s="66"/>
      <c r="L662" s="66"/>
      <c r="M662" s="66"/>
      <c r="N662" s="66"/>
    </row>
    <row r="663" spans="1:14" x14ac:dyDescent="0.2">
      <c r="A663" s="84"/>
      <c r="B663" s="84"/>
      <c r="C663" s="60"/>
      <c r="D663" s="66"/>
      <c r="E663" s="66"/>
      <c r="F663" s="66"/>
      <c r="G663" s="66"/>
      <c r="H663" s="66"/>
      <c r="I663" s="66"/>
      <c r="J663" s="66"/>
      <c r="K663" s="66"/>
      <c r="L663" s="66"/>
      <c r="M663" s="66"/>
      <c r="N663" s="66"/>
    </row>
    <row r="664" spans="1:14" x14ac:dyDescent="0.2">
      <c r="A664" s="84"/>
      <c r="B664" s="84"/>
      <c r="C664" s="60"/>
      <c r="D664" s="66"/>
      <c r="E664" s="66"/>
      <c r="F664" s="66"/>
      <c r="G664" s="66"/>
      <c r="H664" s="66"/>
      <c r="I664" s="66"/>
      <c r="J664" s="66"/>
      <c r="K664" s="66"/>
      <c r="L664" s="66"/>
      <c r="M664" s="66"/>
      <c r="N664" s="66"/>
    </row>
    <row r="665" spans="1:14" x14ac:dyDescent="0.2">
      <c r="A665" s="84"/>
      <c r="B665" s="84"/>
      <c r="C665" s="60"/>
      <c r="D665" s="66"/>
      <c r="E665" s="66"/>
      <c r="F665" s="66"/>
      <c r="G665" s="66"/>
      <c r="H665" s="66"/>
      <c r="I665" s="66"/>
      <c r="J665" s="66"/>
      <c r="K665" s="66"/>
      <c r="L665" s="66"/>
      <c r="M665" s="66"/>
      <c r="N665" s="66"/>
    </row>
    <row r="666" spans="1:14" x14ac:dyDescent="0.2">
      <c r="A666" s="84"/>
      <c r="B666" s="84"/>
      <c r="C666" s="60"/>
      <c r="D666" s="66"/>
      <c r="E666" s="66"/>
      <c r="F666" s="66"/>
      <c r="G666" s="66"/>
      <c r="H666" s="66"/>
      <c r="I666" s="66"/>
      <c r="J666" s="66"/>
      <c r="K666" s="66"/>
      <c r="L666" s="66"/>
      <c r="M666" s="66"/>
      <c r="N666" s="66"/>
    </row>
    <row r="667" spans="1:14" x14ac:dyDescent="0.2">
      <c r="A667" s="84"/>
      <c r="B667" s="84"/>
      <c r="C667" s="60"/>
      <c r="D667" s="66"/>
      <c r="E667" s="66"/>
      <c r="F667" s="66"/>
      <c r="G667" s="66"/>
      <c r="H667" s="66"/>
      <c r="I667" s="66"/>
      <c r="J667" s="66"/>
      <c r="K667" s="66"/>
      <c r="L667" s="66"/>
      <c r="M667" s="66"/>
      <c r="N667" s="66"/>
    </row>
    <row r="668" spans="1:14" x14ac:dyDescent="0.2">
      <c r="A668" s="84"/>
      <c r="B668" s="84"/>
      <c r="C668" s="60"/>
      <c r="D668" s="66"/>
      <c r="E668" s="66"/>
      <c r="F668" s="66"/>
      <c r="G668" s="66"/>
      <c r="H668" s="66"/>
      <c r="I668" s="66"/>
      <c r="J668" s="66"/>
      <c r="K668" s="66"/>
      <c r="L668" s="66"/>
      <c r="M668" s="66"/>
      <c r="N668" s="66"/>
    </row>
    <row r="669" spans="1:14" x14ac:dyDescent="0.2">
      <c r="A669" s="84"/>
      <c r="B669" s="84"/>
      <c r="C669" s="60"/>
      <c r="D669" s="66"/>
      <c r="E669" s="66"/>
      <c r="F669" s="66"/>
      <c r="G669" s="66"/>
      <c r="H669" s="66"/>
      <c r="I669" s="66"/>
      <c r="J669" s="66"/>
      <c r="K669" s="66"/>
      <c r="L669" s="66"/>
      <c r="M669" s="66"/>
      <c r="N669" s="66"/>
    </row>
    <row r="670" spans="1:14" x14ac:dyDescent="0.2">
      <c r="A670" s="84"/>
      <c r="B670" s="84"/>
      <c r="C670" s="60"/>
      <c r="D670" s="66"/>
      <c r="E670" s="66"/>
      <c r="F670" s="66"/>
      <c r="G670" s="66"/>
      <c r="H670" s="66"/>
      <c r="I670" s="66"/>
      <c r="J670" s="66"/>
      <c r="K670" s="66"/>
      <c r="L670" s="66"/>
      <c r="M670" s="66"/>
      <c r="N670" s="66"/>
    </row>
    <row r="671" spans="1:14" x14ac:dyDescent="0.2">
      <c r="A671" s="84"/>
      <c r="B671" s="84"/>
      <c r="C671" s="60"/>
      <c r="D671" s="66"/>
      <c r="E671" s="66"/>
      <c r="F671" s="66"/>
      <c r="G671" s="66"/>
      <c r="H671" s="66"/>
      <c r="I671" s="66"/>
      <c r="J671" s="66"/>
      <c r="K671" s="66"/>
      <c r="L671" s="66"/>
      <c r="M671" s="66"/>
      <c r="N671" s="66"/>
    </row>
    <row r="672" spans="1:14" x14ac:dyDescent="0.2">
      <c r="A672" s="84"/>
      <c r="B672" s="84"/>
      <c r="C672" s="60"/>
      <c r="D672" s="66"/>
      <c r="E672" s="66"/>
      <c r="F672" s="66"/>
      <c r="G672" s="66"/>
      <c r="H672" s="66"/>
      <c r="I672" s="66"/>
      <c r="J672" s="66"/>
      <c r="K672" s="66"/>
      <c r="L672" s="66"/>
      <c r="M672" s="66"/>
      <c r="N672" s="66"/>
    </row>
    <row r="673" spans="1:14" x14ac:dyDescent="0.2">
      <c r="A673" s="84"/>
      <c r="B673" s="84"/>
      <c r="C673" s="60"/>
      <c r="D673" s="66"/>
      <c r="E673" s="66"/>
      <c r="F673" s="66"/>
      <c r="G673" s="66"/>
      <c r="H673" s="66"/>
      <c r="I673" s="66"/>
      <c r="J673" s="66"/>
      <c r="K673" s="66"/>
      <c r="L673" s="66"/>
      <c r="M673" s="66"/>
      <c r="N673" s="66"/>
    </row>
    <row r="674" spans="1:14" x14ac:dyDescent="0.2">
      <c r="A674" s="84"/>
      <c r="B674" s="84"/>
      <c r="C674" s="60"/>
      <c r="D674" s="66"/>
      <c r="E674" s="66"/>
      <c r="F674" s="66"/>
      <c r="G674" s="66"/>
      <c r="H674" s="66"/>
      <c r="I674" s="66"/>
      <c r="J674" s="66"/>
      <c r="K674" s="66"/>
      <c r="L674" s="66"/>
      <c r="M674" s="66"/>
      <c r="N674" s="66"/>
    </row>
    <row r="675" spans="1:14" x14ac:dyDescent="0.2">
      <c r="A675" s="84"/>
      <c r="B675" s="84"/>
      <c r="C675" s="60"/>
      <c r="D675" s="66"/>
      <c r="E675" s="66"/>
      <c r="F675" s="66"/>
      <c r="G675" s="66"/>
      <c r="H675" s="66"/>
      <c r="I675" s="66"/>
      <c r="J675" s="66"/>
      <c r="K675" s="66"/>
      <c r="L675" s="66"/>
      <c r="M675" s="66"/>
      <c r="N675" s="66"/>
    </row>
    <row r="676" spans="1:14" x14ac:dyDescent="0.2">
      <c r="A676" s="84"/>
      <c r="B676" s="84"/>
      <c r="C676" s="60"/>
      <c r="D676" s="66"/>
      <c r="E676" s="66"/>
      <c r="F676" s="66"/>
      <c r="G676" s="66"/>
      <c r="H676" s="66"/>
      <c r="I676" s="66"/>
      <c r="J676" s="66"/>
      <c r="K676" s="66"/>
      <c r="L676" s="66"/>
      <c r="M676" s="66"/>
      <c r="N676" s="66"/>
    </row>
    <row r="677" spans="1:14" x14ac:dyDescent="0.2">
      <c r="A677" s="84"/>
      <c r="B677" s="84"/>
      <c r="C677" s="60"/>
      <c r="D677" s="66"/>
      <c r="E677" s="66"/>
      <c r="F677" s="66"/>
      <c r="G677" s="66"/>
      <c r="H677" s="66"/>
      <c r="I677" s="66"/>
      <c r="J677" s="66"/>
      <c r="K677" s="66"/>
      <c r="L677" s="66"/>
      <c r="M677" s="66"/>
      <c r="N677" s="66"/>
    </row>
    <row r="678" spans="1:14" x14ac:dyDescent="0.2">
      <c r="A678" s="84"/>
      <c r="B678" s="84"/>
      <c r="C678" s="60"/>
      <c r="D678" s="66"/>
      <c r="E678" s="66"/>
      <c r="F678" s="66"/>
      <c r="G678" s="66"/>
      <c r="H678" s="66"/>
      <c r="I678" s="66"/>
      <c r="J678" s="66"/>
      <c r="K678" s="66"/>
      <c r="L678" s="66"/>
      <c r="M678" s="66"/>
      <c r="N678" s="66"/>
    </row>
    <row r="679" spans="1:14" x14ac:dyDescent="0.2">
      <c r="A679" s="84"/>
      <c r="B679" s="84"/>
      <c r="C679" s="60"/>
      <c r="D679" s="66"/>
      <c r="E679" s="66"/>
      <c r="F679" s="66"/>
      <c r="G679" s="66"/>
      <c r="H679" s="66"/>
      <c r="I679" s="66"/>
      <c r="J679" s="66"/>
      <c r="K679" s="66"/>
      <c r="L679" s="66"/>
      <c r="M679" s="66"/>
      <c r="N679" s="66"/>
    </row>
    <row r="680" spans="1:14" x14ac:dyDescent="0.2">
      <c r="A680" s="84"/>
      <c r="B680" s="84"/>
      <c r="C680" s="60"/>
      <c r="D680" s="66"/>
      <c r="E680" s="66"/>
      <c r="F680" s="66"/>
      <c r="G680" s="66"/>
      <c r="H680" s="66"/>
      <c r="I680" s="66"/>
      <c r="J680" s="66"/>
      <c r="K680" s="66"/>
      <c r="L680" s="66"/>
      <c r="M680" s="66"/>
      <c r="N680" s="66"/>
    </row>
    <row r="681" spans="1:14" x14ac:dyDescent="0.2">
      <c r="A681" s="84"/>
      <c r="B681" s="84"/>
      <c r="C681" s="60"/>
      <c r="D681" s="66"/>
      <c r="E681" s="66"/>
      <c r="F681" s="66"/>
      <c r="G681" s="66"/>
      <c r="H681" s="66"/>
      <c r="I681" s="66"/>
      <c r="J681" s="66"/>
      <c r="K681" s="66"/>
      <c r="L681" s="66"/>
      <c r="M681" s="66"/>
      <c r="N681" s="66"/>
    </row>
    <row r="682" spans="1:14" x14ac:dyDescent="0.2">
      <c r="A682" s="84"/>
      <c r="B682" s="84"/>
      <c r="C682" s="60"/>
      <c r="D682" s="66"/>
      <c r="E682" s="66"/>
      <c r="F682" s="66"/>
      <c r="G682" s="66"/>
      <c r="H682" s="66"/>
      <c r="I682" s="66"/>
      <c r="J682" s="66"/>
      <c r="K682" s="66"/>
      <c r="L682" s="66"/>
      <c r="M682" s="66"/>
      <c r="N682" s="66"/>
    </row>
    <row r="683" spans="1:14" x14ac:dyDescent="0.2">
      <c r="A683" s="84"/>
      <c r="B683" s="84"/>
      <c r="C683" s="60"/>
      <c r="D683" s="66"/>
      <c r="E683" s="66"/>
      <c r="F683" s="66"/>
      <c r="G683" s="66"/>
      <c r="H683" s="66"/>
      <c r="I683" s="66"/>
      <c r="J683" s="66"/>
      <c r="K683" s="66"/>
      <c r="L683" s="66"/>
      <c r="M683" s="66"/>
      <c r="N683" s="66"/>
    </row>
    <row r="684" spans="1:14" x14ac:dyDescent="0.2">
      <c r="A684" s="84"/>
      <c r="B684" s="84"/>
      <c r="C684" s="60"/>
      <c r="D684" s="66"/>
      <c r="E684" s="66"/>
      <c r="F684" s="66"/>
      <c r="G684" s="66"/>
      <c r="H684" s="66"/>
      <c r="I684" s="66"/>
      <c r="J684" s="66"/>
      <c r="K684" s="66"/>
      <c r="L684" s="66"/>
      <c r="M684" s="66"/>
      <c r="N684" s="66"/>
    </row>
    <row r="685" spans="1:14" x14ac:dyDescent="0.2">
      <c r="A685" s="84"/>
      <c r="B685" s="84"/>
      <c r="C685" s="60"/>
      <c r="D685" s="66"/>
      <c r="E685" s="66"/>
      <c r="F685" s="66"/>
      <c r="G685" s="66"/>
      <c r="H685" s="66"/>
      <c r="I685" s="66"/>
      <c r="J685" s="66"/>
      <c r="K685" s="66"/>
      <c r="L685" s="66"/>
      <c r="M685" s="66"/>
      <c r="N685" s="66"/>
    </row>
    <row r="686" spans="1:14" x14ac:dyDescent="0.2">
      <c r="A686" s="84"/>
      <c r="B686" s="84"/>
      <c r="C686" s="60"/>
      <c r="D686" s="66"/>
      <c r="E686" s="66"/>
      <c r="F686" s="66"/>
      <c r="G686" s="66"/>
      <c r="H686" s="66"/>
      <c r="I686" s="66"/>
      <c r="J686" s="66"/>
      <c r="K686" s="66"/>
      <c r="L686" s="66"/>
      <c r="M686" s="66"/>
      <c r="N686" s="66"/>
    </row>
    <row r="687" spans="1:14" x14ac:dyDescent="0.2">
      <c r="A687" s="84"/>
      <c r="B687" s="84"/>
      <c r="C687" s="60"/>
      <c r="D687" s="66"/>
      <c r="E687" s="66"/>
      <c r="F687" s="66"/>
      <c r="G687" s="66"/>
      <c r="H687" s="66"/>
      <c r="I687" s="66"/>
      <c r="J687" s="66"/>
      <c r="K687" s="66"/>
      <c r="L687" s="66"/>
      <c r="M687" s="66"/>
      <c r="N687" s="66"/>
    </row>
    <row r="688" spans="1:14" x14ac:dyDescent="0.2">
      <c r="A688" s="84"/>
      <c r="B688" s="84"/>
      <c r="C688" s="60"/>
      <c r="D688" s="66"/>
      <c r="E688" s="66"/>
      <c r="F688" s="66"/>
      <c r="G688" s="66"/>
      <c r="H688" s="66"/>
      <c r="I688" s="66"/>
      <c r="J688" s="66"/>
      <c r="K688" s="66"/>
      <c r="L688" s="66"/>
      <c r="M688" s="66"/>
      <c r="N688" s="66"/>
    </row>
    <row r="689" spans="1:14" x14ac:dyDescent="0.2">
      <c r="A689" s="84"/>
      <c r="B689" s="84"/>
      <c r="C689" s="60"/>
      <c r="D689" s="66"/>
      <c r="E689" s="66"/>
      <c r="F689" s="66"/>
      <c r="G689" s="66"/>
      <c r="H689" s="66"/>
      <c r="I689" s="66"/>
      <c r="J689" s="66"/>
      <c r="K689" s="66"/>
      <c r="L689" s="66"/>
      <c r="M689" s="66"/>
      <c r="N689" s="66"/>
    </row>
    <row r="690" spans="1:14" x14ac:dyDescent="0.2">
      <c r="A690" s="84"/>
      <c r="B690" s="84"/>
      <c r="C690" s="60"/>
      <c r="D690" s="66"/>
      <c r="E690" s="66"/>
      <c r="F690" s="66"/>
      <c r="G690" s="66"/>
      <c r="H690" s="66"/>
      <c r="I690" s="66"/>
      <c r="J690" s="66"/>
      <c r="K690" s="66"/>
      <c r="L690" s="66"/>
      <c r="M690" s="66"/>
      <c r="N690" s="66"/>
    </row>
    <row r="691" spans="1:14" x14ac:dyDescent="0.2">
      <c r="A691" s="84"/>
      <c r="B691" s="84"/>
      <c r="C691" s="60"/>
      <c r="D691" s="66"/>
      <c r="E691" s="66"/>
      <c r="F691" s="66"/>
      <c r="G691" s="66"/>
      <c r="H691" s="66"/>
      <c r="I691" s="66"/>
      <c r="J691" s="66"/>
      <c r="K691" s="66"/>
      <c r="L691" s="66"/>
      <c r="M691" s="66"/>
      <c r="N691" s="66"/>
    </row>
    <row r="692" spans="1:14" x14ac:dyDescent="0.2">
      <c r="A692" s="84"/>
      <c r="B692" s="84"/>
      <c r="C692" s="60"/>
      <c r="D692" s="66"/>
      <c r="E692" s="66"/>
      <c r="F692" s="66"/>
      <c r="G692" s="66"/>
      <c r="H692" s="66"/>
      <c r="I692" s="66"/>
      <c r="J692" s="66"/>
      <c r="K692" s="66"/>
      <c r="L692" s="66"/>
      <c r="M692" s="66"/>
      <c r="N692" s="66"/>
    </row>
    <row r="693" spans="1:14" x14ac:dyDescent="0.2">
      <c r="A693" s="84"/>
      <c r="B693" s="84"/>
      <c r="C693" s="60"/>
      <c r="D693" s="66"/>
      <c r="E693" s="66"/>
      <c r="F693" s="66"/>
      <c r="G693" s="66"/>
      <c r="H693" s="66"/>
      <c r="I693" s="66"/>
      <c r="J693" s="66"/>
      <c r="K693" s="66"/>
      <c r="L693" s="66"/>
      <c r="M693" s="66"/>
      <c r="N693" s="66"/>
    </row>
    <row r="694" spans="1:14" x14ac:dyDescent="0.2">
      <c r="A694" s="84"/>
      <c r="B694" s="84"/>
      <c r="C694" s="60"/>
      <c r="D694" s="66"/>
      <c r="E694" s="66"/>
      <c r="F694" s="66"/>
      <c r="G694" s="66"/>
      <c r="H694" s="66"/>
      <c r="I694" s="66"/>
      <c r="J694" s="66"/>
      <c r="K694" s="66"/>
      <c r="L694" s="66"/>
      <c r="M694" s="66"/>
      <c r="N694" s="66"/>
    </row>
    <row r="695" spans="1:14" x14ac:dyDescent="0.2">
      <c r="A695" s="84"/>
      <c r="B695" s="84"/>
      <c r="C695" s="60"/>
      <c r="D695" s="66"/>
      <c r="E695" s="66"/>
      <c r="F695" s="66"/>
      <c r="G695" s="66"/>
      <c r="H695" s="66"/>
      <c r="I695" s="66"/>
      <c r="J695" s="66"/>
      <c r="K695" s="66"/>
      <c r="L695" s="66"/>
      <c r="M695" s="66"/>
      <c r="N695" s="66"/>
    </row>
    <row r="696" spans="1:14" x14ac:dyDescent="0.2">
      <c r="A696" s="84"/>
      <c r="B696" s="84"/>
      <c r="C696" s="60"/>
      <c r="D696" s="66"/>
      <c r="E696" s="66"/>
      <c r="F696" s="66"/>
      <c r="G696" s="66"/>
      <c r="H696" s="66"/>
      <c r="I696" s="66"/>
      <c r="J696" s="66"/>
      <c r="K696" s="66"/>
      <c r="L696" s="66"/>
      <c r="M696" s="66"/>
      <c r="N696" s="66"/>
    </row>
    <row r="697" spans="1:14" x14ac:dyDescent="0.2">
      <c r="A697" s="84"/>
      <c r="B697" s="84"/>
      <c r="C697" s="60"/>
      <c r="D697" s="66"/>
      <c r="E697" s="66"/>
      <c r="F697" s="66"/>
      <c r="G697" s="66"/>
      <c r="H697" s="66"/>
      <c r="I697" s="66"/>
      <c r="J697" s="66"/>
      <c r="K697" s="66"/>
      <c r="L697" s="66"/>
      <c r="M697" s="66"/>
      <c r="N697" s="66"/>
    </row>
    <row r="698" spans="1:14" x14ac:dyDescent="0.2">
      <c r="A698" s="84"/>
      <c r="B698" s="84"/>
      <c r="C698" s="60"/>
      <c r="D698" s="66"/>
      <c r="E698" s="66"/>
      <c r="F698" s="66"/>
      <c r="G698" s="66"/>
      <c r="H698" s="66"/>
      <c r="I698" s="66"/>
      <c r="J698" s="66"/>
      <c r="K698" s="66"/>
      <c r="L698" s="66"/>
      <c r="M698" s="66"/>
      <c r="N698" s="66"/>
    </row>
    <row r="699" spans="1:14" x14ac:dyDescent="0.2">
      <c r="A699" s="84"/>
      <c r="B699" s="84"/>
      <c r="C699" s="60"/>
      <c r="D699" s="66"/>
      <c r="E699" s="66"/>
      <c r="F699" s="66"/>
      <c r="G699" s="66"/>
      <c r="H699" s="66"/>
      <c r="I699" s="66"/>
      <c r="J699" s="66"/>
      <c r="K699" s="66"/>
      <c r="L699" s="66"/>
      <c r="M699" s="66"/>
      <c r="N699" s="66"/>
    </row>
    <row r="700" spans="1:14" x14ac:dyDescent="0.2">
      <c r="A700" s="84"/>
      <c r="B700" s="84"/>
      <c r="C700" s="60"/>
      <c r="D700" s="66"/>
      <c r="E700" s="66"/>
      <c r="F700" s="66"/>
      <c r="G700" s="66"/>
      <c r="H700" s="66"/>
      <c r="I700" s="66"/>
      <c r="J700" s="66"/>
      <c r="K700" s="66"/>
      <c r="L700" s="66"/>
      <c r="M700" s="66"/>
      <c r="N700" s="66"/>
    </row>
    <row r="701" spans="1:14" x14ac:dyDescent="0.2">
      <c r="A701" s="84"/>
      <c r="B701" s="84"/>
      <c r="C701" s="60"/>
      <c r="D701" s="66"/>
      <c r="E701" s="66"/>
      <c r="F701" s="66"/>
      <c r="G701" s="66"/>
      <c r="H701" s="66"/>
      <c r="I701" s="66"/>
      <c r="J701" s="66"/>
      <c r="K701" s="66"/>
      <c r="L701" s="66"/>
      <c r="M701" s="66"/>
      <c r="N701" s="66"/>
    </row>
    <row r="702" spans="1:14" x14ac:dyDescent="0.2">
      <c r="A702" s="84"/>
      <c r="B702" s="84"/>
      <c r="C702" s="60"/>
      <c r="D702" s="66"/>
      <c r="E702" s="66"/>
      <c r="F702" s="66"/>
      <c r="G702" s="66"/>
      <c r="H702" s="66"/>
      <c r="I702" s="66"/>
      <c r="J702" s="66"/>
      <c r="K702" s="66"/>
      <c r="L702" s="66"/>
      <c r="M702" s="66"/>
      <c r="N702" s="66"/>
    </row>
    <row r="703" spans="1:14" x14ac:dyDescent="0.2">
      <c r="A703" s="84"/>
      <c r="B703" s="84"/>
      <c r="C703" s="60"/>
      <c r="D703" s="66"/>
      <c r="E703" s="66"/>
      <c r="F703" s="66"/>
      <c r="G703" s="66"/>
      <c r="H703" s="66"/>
      <c r="I703" s="66"/>
      <c r="J703" s="66"/>
      <c r="K703" s="66"/>
      <c r="L703" s="66"/>
      <c r="M703" s="66"/>
      <c r="N703" s="66"/>
    </row>
    <row r="704" spans="1:14" x14ac:dyDescent="0.2">
      <c r="A704" s="84"/>
      <c r="B704" s="84"/>
      <c r="C704" s="60"/>
      <c r="D704" s="66"/>
      <c r="E704" s="66"/>
      <c r="F704" s="66"/>
      <c r="G704" s="66"/>
      <c r="H704" s="66"/>
      <c r="I704" s="66"/>
      <c r="J704" s="66"/>
      <c r="K704" s="66"/>
      <c r="L704" s="66"/>
      <c r="M704" s="66"/>
      <c r="N704" s="66"/>
    </row>
    <row r="705" spans="1:14" x14ac:dyDescent="0.2">
      <c r="A705" s="84"/>
      <c r="B705" s="84"/>
      <c r="C705" s="60"/>
      <c r="D705" s="66"/>
      <c r="E705" s="66"/>
      <c r="F705" s="66"/>
      <c r="G705" s="66"/>
      <c r="H705" s="66"/>
      <c r="I705" s="66"/>
      <c r="J705" s="66"/>
      <c r="K705" s="66"/>
      <c r="L705" s="66"/>
      <c r="M705" s="66"/>
      <c r="N705" s="66"/>
    </row>
    <row r="706" spans="1:14" x14ac:dyDescent="0.2">
      <c r="A706" s="84"/>
      <c r="B706" s="84"/>
      <c r="C706" s="60"/>
      <c r="D706" s="66"/>
      <c r="E706" s="66"/>
      <c r="F706" s="66"/>
      <c r="G706" s="66"/>
      <c r="H706" s="66"/>
      <c r="I706" s="66"/>
      <c r="J706" s="66"/>
      <c r="K706" s="66"/>
      <c r="L706" s="66"/>
      <c r="M706" s="66"/>
      <c r="N706" s="66"/>
    </row>
    <row r="707" spans="1:14" x14ac:dyDescent="0.2">
      <c r="A707" s="84"/>
      <c r="B707" s="84"/>
      <c r="C707" s="60"/>
      <c r="D707" s="66"/>
      <c r="E707" s="66"/>
      <c r="F707" s="66"/>
      <c r="G707" s="66"/>
      <c r="H707" s="66"/>
      <c r="I707" s="66"/>
      <c r="J707" s="66"/>
      <c r="K707" s="66"/>
      <c r="L707" s="66"/>
      <c r="M707" s="66"/>
      <c r="N707" s="66"/>
    </row>
    <row r="708" spans="1:14" x14ac:dyDescent="0.2">
      <c r="A708" s="84"/>
      <c r="B708" s="84"/>
      <c r="C708" s="60"/>
      <c r="D708" s="66"/>
      <c r="E708" s="66"/>
      <c r="F708" s="66"/>
      <c r="G708" s="66"/>
      <c r="H708" s="66"/>
      <c r="I708" s="66"/>
      <c r="J708" s="66"/>
      <c r="K708" s="66"/>
      <c r="L708" s="66"/>
      <c r="M708" s="66"/>
      <c r="N708" s="66"/>
    </row>
    <row r="709" spans="1:14" x14ac:dyDescent="0.2">
      <c r="A709" s="84"/>
      <c r="B709" s="84"/>
      <c r="C709" s="60"/>
      <c r="D709" s="66"/>
      <c r="E709" s="66"/>
      <c r="F709" s="66"/>
      <c r="G709" s="66"/>
      <c r="H709" s="66"/>
      <c r="I709" s="66"/>
      <c r="J709" s="66"/>
      <c r="K709" s="66"/>
      <c r="L709" s="66"/>
      <c r="M709" s="66"/>
      <c r="N709" s="66"/>
    </row>
    <row r="710" spans="1:14" x14ac:dyDescent="0.2">
      <c r="A710" s="84"/>
      <c r="B710" s="84"/>
      <c r="C710" s="60"/>
      <c r="D710" s="66"/>
      <c r="E710" s="66"/>
      <c r="F710" s="66"/>
      <c r="G710" s="66"/>
      <c r="H710" s="66"/>
      <c r="I710" s="66"/>
      <c r="J710" s="66"/>
      <c r="K710" s="66"/>
      <c r="L710" s="66"/>
      <c r="M710" s="66"/>
      <c r="N710" s="66"/>
    </row>
    <row r="711" spans="1:14" x14ac:dyDescent="0.2">
      <c r="A711" s="84"/>
      <c r="B711" s="84"/>
      <c r="C711" s="60"/>
      <c r="D711" s="66"/>
      <c r="E711" s="66"/>
      <c r="F711" s="66"/>
      <c r="G711" s="66"/>
      <c r="H711" s="66"/>
      <c r="I711" s="66"/>
      <c r="J711" s="66"/>
      <c r="K711" s="66"/>
      <c r="L711" s="66"/>
      <c r="M711" s="66"/>
      <c r="N711" s="66"/>
    </row>
    <row r="712" spans="1:14" x14ac:dyDescent="0.2">
      <c r="A712" s="84"/>
      <c r="B712" s="84"/>
      <c r="C712" s="60"/>
      <c r="D712" s="66"/>
      <c r="E712" s="66"/>
      <c r="F712" s="66"/>
      <c r="G712" s="66"/>
      <c r="H712" s="66"/>
      <c r="I712" s="66"/>
      <c r="J712" s="66"/>
      <c r="K712" s="66"/>
      <c r="L712" s="66"/>
      <c r="M712" s="66"/>
      <c r="N712" s="66"/>
    </row>
    <row r="713" spans="1:14" x14ac:dyDescent="0.2">
      <c r="A713" s="84"/>
      <c r="B713" s="84"/>
      <c r="C713" s="60"/>
      <c r="D713" s="66"/>
      <c r="E713" s="66"/>
      <c r="F713" s="66"/>
      <c r="G713" s="66"/>
      <c r="H713" s="66"/>
      <c r="I713" s="66"/>
      <c r="J713" s="66"/>
      <c r="K713" s="66"/>
      <c r="L713" s="66"/>
      <c r="M713" s="66"/>
      <c r="N713" s="66"/>
    </row>
    <row r="714" spans="1:14" x14ac:dyDescent="0.2">
      <c r="A714" s="84"/>
      <c r="B714" s="84"/>
      <c r="C714" s="60"/>
      <c r="D714" s="66"/>
      <c r="E714" s="66"/>
      <c r="F714" s="66"/>
      <c r="G714" s="66"/>
      <c r="H714" s="66"/>
      <c r="I714" s="66"/>
      <c r="J714" s="66"/>
      <c r="K714" s="66"/>
      <c r="L714" s="66"/>
      <c r="M714" s="66"/>
      <c r="N714" s="66"/>
    </row>
    <row r="715" spans="1:14" x14ac:dyDescent="0.2">
      <c r="A715" s="84"/>
      <c r="B715" s="84"/>
      <c r="C715" s="60"/>
      <c r="D715" s="66"/>
      <c r="E715" s="66"/>
      <c r="F715" s="66"/>
      <c r="G715" s="66"/>
      <c r="H715" s="66"/>
      <c r="I715" s="66"/>
      <c r="J715" s="66"/>
      <c r="K715" s="66"/>
      <c r="L715" s="66"/>
      <c r="M715" s="66"/>
      <c r="N715" s="66"/>
    </row>
    <row r="716" spans="1:14" x14ac:dyDescent="0.2">
      <c r="A716" s="84"/>
      <c r="B716" s="84"/>
      <c r="C716" s="60"/>
      <c r="D716" s="66"/>
      <c r="E716" s="66"/>
      <c r="F716" s="66"/>
      <c r="G716" s="66"/>
      <c r="H716" s="66"/>
      <c r="I716" s="66"/>
      <c r="J716" s="66"/>
      <c r="K716" s="66"/>
      <c r="L716" s="66"/>
      <c r="M716" s="66"/>
      <c r="N716" s="66"/>
    </row>
    <row r="717" spans="1:14" x14ac:dyDescent="0.2">
      <c r="A717" s="84"/>
      <c r="B717" s="84"/>
      <c r="C717" s="60"/>
      <c r="D717" s="66"/>
      <c r="E717" s="66"/>
      <c r="F717" s="66"/>
      <c r="G717" s="66"/>
      <c r="H717" s="66"/>
      <c r="I717" s="66"/>
      <c r="J717" s="66"/>
      <c r="K717" s="66"/>
      <c r="L717" s="66"/>
      <c r="M717" s="66"/>
      <c r="N717" s="66"/>
    </row>
    <row r="718" spans="1:14" x14ac:dyDescent="0.2">
      <c r="A718" s="84"/>
      <c r="B718" s="84"/>
      <c r="C718" s="60"/>
      <c r="D718" s="66"/>
      <c r="E718" s="66"/>
      <c r="F718" s="66"/>
      <c r="G718" s="66"/>
      <c r="H718" s="66"/>
      <c r="I718" s="66"/>
      <c r="J718" s="66"/>
      <c r="K718" s="66"/>
      <c r="L718" s="66"/>
      <c r="M718" s="66"/>
      <c r="N718" s="66"/>
    </row>
    <row r="719" spans="1:14" x14ac:dyDescent="0.2">
      <c r="A719" s="84"/>
      <c r="B719" s="84"/>
      <c r="C719" s="60"/>
      <c r="D719" s="66"/>
      <c r="E719" s="66"/>
      <c r="F719" s="66"/>
      <c r="G719" s="66"/>
      <c r="H719" s="66"/>
      <c r="I719" s="66"/>
      <c r="J719" s="66"/>
      <c r="K719" s="66"/>
      <c r="L719" s="66"/>
      <c r="M719" s="66"/>
      <c r="N719" s="66"/>
    </row>
    <row r="720" spans="1:14" x14ac:dyDescent="0.2">
      <c r="A720" s="84"/>
      <c r="B720" s="84"/>
      <c r="C720" s="60"/>
      <c r="D720" s="66"/>
      <c r="E720" s="66"/>
      <c r="F720" s="66"/>
      <c r="G720" s="66"/>
      <c r="H720" s="66"/>
      <c r="I720" s="66"/>
      <c r="J720" s="66"/>
      <c r="K720" s="66"/>
      <c r="L720" s="66"/>
      <c r="M720" s="66"/>
      <c r="N720" s="66"/>
    </row>
    <row r="721" spans="1:14" x14ac:dyDescent="0.2">
      <c r="A721" s="84"/>
      <c r="B721" s="84"/>
      <c r="C721" s="60"/>
      <c r="D721" s="66"/>
      <c r="E721" s="66"/>
      <c r="F721" s="66"/>
      <c r="G721" s="66"/>
      <c r="H721" s="66"/>
      <c r="I721" s="66"/>
      <c r="J721" s="66"/>
      <c r="K721" s="66"/>
      <c r="L721" s="66"/>
      <c r="M721" s="66"/>
      <c r="N721" s="66"/>
    </row>
    <row r="722" spans="1:14" x14ac:dyDescent="0.2">
      <c r="A722" s="84"/>
      <c r="B722" s="84"/>
      <c r="C722" s="60"/>
      <c r="D722" s="66"/>
      <c r="E722" s="66"/>
      <c r="F722" s="66"/>
      <c r="G722" s="66"/>
      <c r="H722" s="66"/>
      <c r="I722" s="66"/>
      <c r="J722" s="66"/>
      <c r="K722" s="66"/>
      <c r="L722" s="66"/>
      <c r="M722" s="66"/>
      <c r="N722" s="66"/>
    </row>
    <row r="723" spans="1:14" x14ac:dyDescent="0.2">
      <c r="A723" s="84"/>
      <c r="B723" s="84"/>
      <c r="C723" s="60"/>
      <c r="D723" s="66"/>
      <c r="E723" s="66"/>
      <c r="F723" s="66"/>
      <c r="G723" s="66"/>
      <c r="H723" s="66"/>
      <c r="I723" s="66"/>
      <c r="J723" s="66"/>
      <c r="K723" s="66"/>
      <c r="L723" s="66"/>
      <c r="M723" s="66"/>
      <c r="N723" s="66"/>
    </row>
    <row r="724" spans="1:14" x14ac:dyDescent="0.2">
      <c r="A724" s="84"/>
      <c r="B724" s="84"/>
      <c r="C724" s="60"/>
      <c r="D724" s="66"/>
      <c r="E724" s="66"/>
      <c r="F724" s="66"/>
      <c r="G724" s="66"/>
      <c r="H724" s="66"/>
      <c r="I724" s="66"/>
      <c r="J724" s="66"/>
      <c r="K724" s="66"/>
      <c r="L724" s="66"/>
      <c r="M724" s="66"/>
      <c r="N724" s="66"/>
    </row>
    <row r="725" spans="1:14" x14ac:dyDescent="0.2">
      <c r="A725" s="84"/>
      <c r="B725" s="84"/>
      <c r="C725" s="60"/>
      <c r="D725" s="66"/>
      <c r="E725" s="66"/>
      <c r="F725" s="66"/>
      <c r="G725" s="66"/>
      <c r="H725" s="66"/>
      <c r="I725" s="66"/>
      <c r="J725" s="66"/>
      <c r="K725" s="66"/>
      <c r="L725" s="66"/>
      <c r="M725" s="66"/>
      <c r="N725" s="66"/>
    </row>
    <row r="726" spans="1:14" x14ac:dyDescent="0.2">
      <c r="A726" s="84"/>
      <c r="B726" s="84"/>
      <c r="C726" s="60"/>
      <c r="D726" s="66"/>
      <c r="E726" s="66"/>
      <c r="F726" s="66"/>
      <c r="G726" s="66"/>
      <c r="H726" s="66"/>
      <c r="I726" s="66"/>
      <c r="J726" s="66"/>
      <c r="K726" s="66"/>
      <c r="L726" s="66"/>
      <c r="M726" s="66"/>
      <c r="N726" s="66"/>
    </row>
    <row r="727" spans="1:14" x14ac:dyDescent="0.2">
      <c r="A727" s="84"/>
      <c r="B727" s="84"/>
      <c r="C727" s="60"/>
      <c r="D727" s="66"/>
      <c r="E727" s="66"/>
      <c r="F727" s="66"/>
      <c r="G727" s="66"/>
      <c r="H727" s="66"/>
      <c r="I727" s="66"/>
      <c r="J727" s="66"/>
      <c r="K727" s="66"/>
      <c r="L727" s="66"/>
      <c r="M727" s="66"/>
      <c r="N727" s="66"/>
    </row>
    <row r="728" spans="1:14" x14ac:dyDescent="0.2">
      <c r="A728" s="84"/>
      <c r="B728" s="84"/>
      <c r="C728" s="60"/>
      <c r="D728" s="66"/>
      <c r="E728" s="66"/>
      <c r="F728" s="66"/>
      <c r="G728" s="66"/>
      <c r="H728" s="66"/>
      <c r="I728" s="66"/>
      <c r="J728" s="66"/>
      <c r="K728" s="66"/>
      <c r="L728" s="66"/>
      <c r="M728" s="66"/>
      <c r="N728" s="66"/>
    </row>
    <row r="729" spans="1:14" x14ac:dyDescent="0.2">
      <c r="A729" s="84"/>
      <c r="B729" s="84"/>
      <c r="C729" s="60"/>
      <c r="D729" s="66"/>
      <c r="E729" s="66"/>
      <c r="F729" s="66"/>
      <c r="G729" s="66"/>
      <c r="H729" s="66"/>
      <c r="I729" s="66"/>
      <c r="J729" s="66"/>
      <c r="K729" s="66"/>
      <c r="L729" s="66"/>
      <c r="M729" s="66"/>
      <c r="N729" s="66"/>
    </row>
    <row r="730" spans="1:14" x14ac:dyDescent="0.2">
      <c r="A730" s="84"/>
      <c r="B730" s="84"/>
      <c r="C730" s="60"/>
      <c r="D730" s="66"/>
      <c r="E730" s="66"/>
      <c r="F730" s="66"/>
      <c r="G730" s="66"/>
      <c r="H730" s="66"/>
      <c r="I730" s="66"/>
      <c r="J730" s="66"/>
      <c r="K730" s="66"/>
      <c r="L730" s="66"/>
      <c r="M730" s="66"/>
      <c r="N730" s="66"/>
    </row>
    <row r="731" spans="1:14" x14ac:dyDescent="0.2">
      <c r="A731" s="84"/>
      <c r="B731" s="84"/>
      <c r="C731" s="60"/>
      <c r="D731" s="66"/>
      <c r="E731" s="66"/>
      <c r="F731" s="66"/>
      <c r="G731" s="66"/>
      <c r="H731" s="66"/>
      <c r="I731" s="66"/>
      <c r="J731" s="66"/>
      <c r="K731" s="66"/>
      <c r="L731" s="66"/>
      <c r="M731" s="66"/>
      <c r="N731" s="66"/>
    </row>
    <row r="732" spans="1:14" x14ac:dyDescent="0.2">
      <c r="A732" s="84"/>
      <c r="B732" s="84"/>
      <c r="C732" s="60"/>
      <c r="D732" s="66"/>
      <c r="E732" s="66"/>
      <c r="F732" s="66"/>
      <c r="G732" s="66"/>
      <c r="H732" s="66"/>
      <c r="I732" s="66"/>
      <c r="J732" s="66"/>
      <c r="K732" s="66"/>
      <c r="L732" s="66"/>
      <c r="M732" s="66"/>
      <c r="N732" s="66"/>
    </row>
    <row r="733" spans="1:14" x14ac:dyDescent="0.2">
      <c r="A733" s="84"/>
      <c r="B733" s="84"/>
      <c r="C733" s="60"/>
      <c r="D733" s="66"/>
      <c r="E733" s="66"/>
      <c r="F733" s="66"/>
      <c r="G733" s="66"/>
      <c r="H733" s="66"/>
      <c r="I733" s="66"/>
      <c r="J733" s="66"/>
      <c r="K733" s="66"/>
      <c r="L733" s="66"/>
      <c r="M733" s="66"/>
      <c r="N733" s="66"/>
    </row>
    <row r="734" spans="1:14" x14ac:dyDescent="0.2">
      <c r="A734" s="84"/>
      <c r="B734" s="84"/>
      <c r="C734" s="60"/>
      <c r="D734" s="66"/>
      <c r="E734" s="66"/>
      <c r="F734" s="66"/>
      <c r="G734" s="66"/>
      <c r="H734" s="66"/>
      <c r="I734" s="66"/>
      <c r="J734" s="66"/>
      <c r="K734" s="66"/>
      <c r="L734" s="66"/>
      <c r="M734" s="66"/>
      <c r="N734" s="66"/>
    </row>
    <row r="735" spans="1:14" x14ac:dyDescent="0.2">
      <c r="A735" s="84"/>
      <c r="B735" s="84"/>
      <c r="C735" s="60"/>
      <c r="D735" s="66"/>
      <c r="E735" s="66"/>
      <c r="F735" s="66"/>
      <c r="G735" s="66"/>
      <c r="H735" s="66"/>
      <c r="I735" s="66"/>
      <c r="J735" s="66"/>
      <c r="K735" s="66"/>
      <c r="L735" s="66"/>
      <c r="M735" s="66"/>
      <c r="N735" s="66"/>
    </row>
    <row r="736" spans="1:14" x14ac:dyDescent="0.2">
      <c r="A736" s="84"/>
      <c r="B736" s="84"/>
      <c r="C736" s="60"/>
      <c r="D736" s="66"/>
      <c r="E736" s="66"/>
      <c r="F736" s="66"/>
      <c r="G736" s="66"/>
      <c r="H736" s="66"/>
      <c r="I736" s="66"/>
      <c r="J736" s="66"/>
      <c r="K736" s="66"/>
      <c r="L736" s="66"/>
      <c r="M736" s="66"/>
      <c r="N736" s="66"/>
    </row>
    <row r="737" spans="1:14" x14ac:dyDescent="0.2">
      <c r="A737" s="84"/>
      <c r="B737" s="84"/>
      <c r="C737" s="60"/>
      <c r="D737" s="66"/>
      <c r="E737" s="66"/>
      <c r="F737" s="66"/>
      <c r="G737" s="66"/>
      <c r="H737" s="66"/>
      <c r="I737" s="66"/>
      <c r="J737" s="66"/>
      <c r="K737" s="66"/>
      <c r="L737" s="66"/>
      <c r="M737" s="66"/>
      <c r="N737" s="66"/>
    </row>
    <row r="738" spans="1:14" x14ac:dyDescent="0.2">
      <c r="A738" s="84"/>
      <c r="B738" s="84"/>
      <c r="C738" s="60"/>
      <c r="D738" s="66"/>
      <c r="E738" s="66"/>
      <c r="F738" s="66"/>
      <c r="G738" s="66"/>
      <c r="H738" s="66"/>
      <c r="I738" s="66"/>
      <c r="J738" s="66"/>
      <c r="K738" s="66"/>
      <c r="L738" s="66"/>
      <c r="M738" s="66"/>
      <c r="N738" s="66"/>
    </row>
    <row r="739" spans="1:14" x14ac:dyDescent="0.2">
      <c r="A739" s="84"/>
      <c r="B739" s="84"/>
      <c r="C739" s="60"/>
      <c r="D739" s="66"/>
      <c r="E739" s="66"/>
      <c r="F739" s="66"/>
      <c r="G739" s="66"/>
      <c r="H739" s="66"/>
      <c r="I739" s="66"/>
      <c r="J739" s="66"/>
      <c r="K739" s="66"/>
      <c r="L739" s="66"/>
      <c r="M739" s="66"/>
      <c r="N739" s="66"/>
    </row>
    <row r="740" spans="1:14" x14ac:dyDescent="0.2">
      <c r="A740" s="84"/>
      <c r="B740" s="84"/>
      <c r="C740" s="60"/>
      <c r="D740" s="66"/>
      <c r="E740" s="66"/>
      <c r="F740" s="66"/>
      <c r="G740" s="66"/>
      <c r="H740" s="66"/>
      <c r="I740" s="66"/>
      <c r="J740" s="66"/>
      <c r="K740" s="66"/>
      <c r="L740" s="66"/>
      <c r="M740" s="66"/>
      <c r="N740" s="66"/>
    </row>
    <row r="741" spans="1:14" x14ac:dyDescent="0.2">
      <c r="A741" s="84"/>
      <c r="B741" s="84"/>
      <c r="C741" s="60"/>
      <c r="D741" s="66"/>
      <c r="E741" s="66"/>
      <c r="F741" s="66"/>
      <c r="G741" s="66"/>
      <c r="H741" s="66"/>
      <c r="I741" s="66"/>
      <c r="J741" s="66"/>
      <c r="K741" s="66"/>
      <c r="L741" s="66"/>
      <c r="M741" s="66"/>
      <c r="N741" s="66"/>
    </row>
    <row r="742" spans="1:14" x14ac:dyDescent="0.2">
      <c r="A742" s="84"/>
      <c r="B742" s="84"/>
      <c r="C742" s="60"/>
      <c r="D742" s="66"/>
      <c r="E742" s="66"/>
      <c r="F742" s="66"/>
      <c r="G742" s="66"/>
      <c r="H742" s="66"/>
      <c r="I742" s="66"/>
      <c r="J742" s="66"/>
      <c r="K742" s="66"/>
      <c r="L742" s="66"/>
      <c r="M742" s="66"/>
      <c r="N742" s="66"/>
    </row>
    <row r="743" spans="1:14" x14ac:dyDescent="0.2">
      <c r="A743" s="84"/>
      <c r="B743" s="84"/>
      <c r="C743" s="60"/>
      <c r="D743" s="66"/>
      <c r="E743" s="66"/>
      <c r="F743" s="66"/>
      <c r="G743" s="66"/>
      <c r="H743" s="66"/>
      <c r="I743" s="66"/>
      <c r="J743" s="66"/>
      <c r="K743" s="66"/>
      <c r="L743" s="66"/>
      <c r="M743" s="66"/>
      <c r="N743" s="66"/>
    </row>
    <row r="744" spans="1:14" x14ac:dyDescent="0.2">
      <c r="A744" s="84"/>
      <c r="B744" s="84"/>
      <c r="C744" s="60"/>
      <c r="D744" s="66"/>
      <c r="E744" s="66"/>
      <c r="F744" s="66"/>
      <c r="G744" s="66"/>
      <c r="H744" s="66"/>
      <c r="I744" s="66"/>
      <c r="J744" s="66"/>
      <c r="K744" s="66"/>
      <c r="L744" s="66"/>
      <c r="M744" s="66"/>
      <c r="N744" s="66"/>
    </row>
    <row r="745" spans="1:14" x14ac:dyDescent="0.2">
      <c r="A745" s="84"/>
      <c r="B745" s="84"/>
      <c r="C745" s="60"/>
      <c r="D745" s="66"/>
      <c r="E745" s="66"/>
      <c r="F745" s="66"/>
      <c r="G745" s="66"/>
      <c r="H745" s="66"/>
      <c r="I745" s="66"/>
      <c r="J745" s="66"/>
      <c r="K745" s="66"/>
      <c r="L745" s="66"/>
      <c r="M745" s="66"/>
      <c r="N745" s="66"/>
    </row>
    <row r="746" spans="1:14" x14ac:dyDescent="0.2">
      <c r="A746" s="84"/>
      <c r="B746" s="84"/>
      <c r="C746" s="60"/>
      <c r="D746" s="66"/>
      <c r="E746" s="66"/>
      <c r="F746" s="66"/>
      <c r="G746" s="66"/>
      <c r="H746" s="66"/>
      <c r="I746" s="66"/>
      <c r="J746" s="66"/>
      <c r="K746" s="66"/>
      <c r="L746" s="66"/>
      <c r="M746" s="66"/>
      <c r="N746" s="66"/>
    </row>
    <row r="747" spans="1:14" x14ac:dyDescent="0.2">
      <c r="A747" s="84"/>
      <c r="B747" s="84"/>
      <c r="C747" s="60"/>
      <c r="D747" s="66"/>
      <c r="E747" s="66"/>
      <c r="F747" s="66"/>
      <c r="G747" s="66"/>
      <c r="H747" s="66"/>
      <c r="I747" s="66"/>
      <c r="J747" s="66"/>
      <c r="K747" s="66"/>
      <c r="L747" s="66"/>
      <c r="M747" s="66"/>
      <c r="N747" s="66"/>
    </row>
    <row r="748" spans="1:14" x14ac:dyDescent="0.2">
      <c r="A748" s="84"/>
      <c r="B748" s="84"/>
      <c r="C748" s="60"/>
      <c r="D748" s="66"/>
      <c r="E748" s="66"/>
      <c r="F748" s="66"/>
      <c r="G748" s="66"/>
      <c r="H748" s="66"/>
      <c r="I748" s="66"/>
      <c r="J748" s="66"/>
      <c r="K748" s="66"/>
      <c r="L748" s="66"/>
      <c r="M748" s="66"/>
      <c r="N748" s="66"/>
    </row>
    <row r="749" spans="1:14" x14ac:dyDescent="0.2">
      <c r="A749" s="84"/>
      <c r="B749" s="84"/>
      <c r="C749" s="60"/>
      <c r="D749" s="66"/>
      <c r="E749" s="66"/>
      <c r="F749" s="66"/>
      <c r="G749" s="66"/>
      <c r="H749" s="66"/>
      <c r="I749" s="66"/>
      <c r="J749" s="66"/>
      <c r="K749" s="66"/>
      <c r="L749" s="66"/>
      <c r="M749" s="66"/>
      <c r="N749" s="66"/>
    </row>
    <row r="750" spans="1:14" x14ac:dyDescent="0.2">
      <c r="A750" s="84"/>
      <c r="B750" s="84"/>
      <c r="C750" s="60"/>
      <c r="D750" s="66"/>
      <c r="E750" s="66"/>
      <c r="F750" s="66"/>
      <c r="G750" s="66"/>
      <c r="H750" s="66"/>
      <c r="I750" s="66"/>
      <c r="J750" s="66"/>
      <c r="K750" s="66"/>
      <c r="L750" s="66"/>
      <c r="M750" s="66"/>
      <c r="N750" s="66"/>
    </row>
    <row r="751" spans="1:14" x14ac:dyDescent="0.2">
      <c r="A751" s="84"/>
      <c r="B751" s="84"/>
      <c r="C751" s="60"/>
      <c r="D751" s="66"/>
      <c r="E751" s="66"/>
      <c r="F751" s="66"/>
      <c r="G751" s="66"/>
      <c r="H751" s="66"/>
      <c r="I751" s="66"/>
      <c r="J751" s="66"/>
      <c r="K751" s="66"/>
      <c r="L751" s="66"/>
      <c r="M751" s="66"/>
      <c r="N751" s="66"/>
    </row>
    <row r="752" spans="1:14" x14ac:dyDescent="0.2">
      <c r="A752" s="84"/>
      <c r="B752" s="84"/>
      <c r="C752" s="60"/>
      <c r="D752" s="66"/>
      <c r="E752" s="66"/>
      <c r="F752" s="66"/>
      <c r="G752" s="66"/>
      <c r="H752" s="66"/>
      <c r="I752" s="66"/>
      <c r="J752" s="66"/>
      <c r="K752" s="66"/>
      <c r="L752" s="66"/>
      <c r="M752" s="66"/>
      <c r="N752" s="66"/>
    </row>
    <row r="753" spans="1:14" x14ac:dyDescent="0.2">
      <c r="A753" s="84"/>
      <c r="B753" s="84"/>
      <c r="C753" s="60"/>
      <c r="D753" s="66"/>
      <c r="E753" s="66"/>
      <c r="F753" s="66"/>
      <c r="G753" s="66"/>
      <c r="H753" s="66"/>
      <c r="I753" s="66"/>
      <c r="J753" s="66"/>
      <c r="K753" s="66"/>
      <c r="L753" s="66"/>
      <c r="M753" s="66"/>
      <c r="N753" s="66"/>
    </row>
    <row r="754" spans="1:14" x14ac:dyDescent="0.2">
      <c r="A754" s="84"/>
      <c r="B754" s="84"/>
      <c r="C754" s="60"/>
      <c r="D754" s="66"/>
      <c r="E754" s="66"/>
      <c r="F754" s="66"/>
      <c r="G754" s="66"/>
      <c r="H754" s="66"/>
      <c r="I754" s="66"/>
      <c r="J754" s="66"/>
      <c r="K754" s="66"/>
      <c r="L754" s="66"/>
      <c r="M754" s="66"/>
      <c r="N754" s="66"/>
    </row>
    <row r="755" spans="1:14" x14ac:dyDescent="0.2">
      <c r="A755" s="84"/>
      <c r="B755" s="84"/>
      <c r="C755" s="60"/>
      <c r="D755" s="66"/>
      <c r="E755" s="66"/>
      <c r="F755" s="66"/>
      <c r="G755" s="66"/>
      <c r="H755" s="66"/>
      <c r="I755" s="66"/>
      <c r="J755" s="66"/>
      <c r="K755" s="66"/>
      <c r="L755" s="66"/>
      <c r="M755" s="66"/>
      <c r="N755" s="66"/>
    </row>
    <row r="756" spans="1:14" x14ac:dyDescent="0.2">
      <c r="A756" s="84"/>
      <c r="B756" s="84"/>
      <c r="C756" s="60"/>
      <c r="D756" s="66"/>
      <c r="E756" s="66"/>
      <c r="F756" s="66"/>
      <c r="G756" s="66"/>
      <c r="H756" s="66"/>
      <c r="I756" s="66"/>
      <c r="J756" s="66"/>
      <c r="K756" s="66"/>
      <c r="L756" s="66"/>
      <c r="M756" s="66"/>
      <c r="N756" s="66"/>
    </row>
    <row r="757" spans="1:14" x14ac:dyDescent="0.2">
      <c r="A757" s="84"/>
      <c r="B757" s="84"/>
      <c r="C757" s="60"/>
      <c r="D757" s="66"/>
      <c r="E757" s="66"/>
      <c r="F757" s="66"/>
      <c r="G757" s="66"/>
      <c r="H757" s="66"/>
      <c r="I757" s="66"/>
      <c r="J757" s="66"/>
      <c r="K757" s="66"/>
      <c r="L757" s="66"/>
      <c r="M757" s="66"/>
      <c r="N757" s="66"/>
    </row>
    <row r="758" spans="1:14" x14ac:dyDescent="0.2">
      <c r="A758" s="84"/>
      <c r="B758" s="84"/>
      <c r="C758" s="60"/>
      <c r="D758" s="66"/>
      <c r="E758" s="66"/>
      <c r="F758" s="66"/>
      <c r="G758" s="66"/>
      <c r="H758" s="66"/>
      <c r="I758" s="66"/>
      <c r="J758" s="66"/>
      <c r="K758" s="66"/>
      <c r="L758" s="66"/>
      <c r="M758" s="66"/>
      <c r="N758" s="66"/>
    </row>
    <row r="759" spans="1:14" x14ac:dyDescent="0.2">
      <c r="A759" s="84"/>
      <c r="B759" s="84"/>
      <c r="C759" s="60"/>
      <c r="D759" s="66"/>
      <c r="E759" s="66"/>
      <c r="F759" s="66"/>
      <c r="G759" s="66"/>
      <c r="H759" s="66"/>
      <c r="I759" s="66"/>
      <c r="J759" s="66"/>
      <c r="K759" s="66"/>
      <c r="L759" s="66"/>
      <c r="M759" s="66"/>
      <c r="N759" s="66"/>
    </row>
    <row r="760" spans="1:14" x14ac:dyDescent="0.2">
      <c r="A760" s="84"/>
      <c r="B760" s="84"/>
      <c r="C760" s="60"/>
      <c r="D760" s="66"/>
      <c r="E760" s="66"/>
      <c r="F760" s="66"/>
      <c r="G760" s="66"/>
      <c r="H760" s="66"/>
      <c r="I760" s="66"/>
      <c r="J760" s="66"/>
      <c r="K760" s="66"/>
      <c r="L760" s="66"/>
      <c r="M760" s="66"/>
      <c r="N760" s="66"/>
    </row>
    <row r="761" spans="1:14" x14ac:dyDescent="0.2">
      <c r="A761" s="84"/>
      <c r="B761" s="84"/>
      <c r="C761" s="60"/>
      <c r="D761" s="66"/>
      <c r="E761" s="66"/>
      <c r="F761" s="66"/>
      <c r="G761" s="66"/>
      <c r="H761" s="66"/>
      <c r="I761" s="66"/>
      <c r="J761" s="66"/>
      <c r="K761" s="66"/>
      <c r="L761" s="66"/>
      <c r="M761" s="66"/>
      <c r="N761" s="66"/>
    </row>
    <row r="762" spans="1:14" x14ac:dyDescent="0.2">
      <c r="A762" s="84"/>
      <c r="B762" s="84"/>
      <c r="C762" s="60"/>
      <c r="D762" s="66"/>
      <c r="E762" s="66"/>
      <c r="F762" s="66"/>
      <c r="G762" s="66"/>
      <c r="H762" s="66"/>
      <c r="I762" s="66"/>
      <c r="J762" s="66"/>
      <c r="K762" s="66"/>
      <c r="L762" s="66"/>
      <c r="M762" s="66"/>
      <c r="N762" s="66"/>
    </row>
    <row r="763" spans="1:14" x14ac:dyDescent="0.2">
      <c r="A763" s="84"/>
      <c r="B763" s="84"/>
      <c r="C763" s="60"/>
      <c r="D763" s="66"/>
      <c r="E763" s="66"/>
      <c r="F763" s="66"/>
      <c r="G763" s="66"/>
      <c r="H763" s="66"/>
      <c r="I763" s="66"/>
      <c r="J763" s="66"/>
      <c r="K763" s="66"/>
      <c r="L763" s="66"/>
      <c r="M763" s="66"/>
      <c r="N763" s="66"/>
    </row>
    <row r="764" spans="1:14" x14ac:dyDescent="0.2">
      <c r="A764" s="84"/>
      <c r="B764" s="84"/>
      <c r="C764" s="60"/>
      <c r="D764" s="66"/>
      <c r="E764" s="66"/>
      <c r="F764" s="66"/>
      <c r="G764" s="66"/>
      <c r="H764" s="66"/>
      <c r="I764" s="66"/>
      <c r="J764" s="66"/>
      <c r="K764" s="66"/>
      <c r="L764" s="66"/>
      <c r="M764" s="66"/>
      <c r="N764" s="66"/>
    </row>
    <row r="765" spans="1:14" x14ac:dyDescent="0.2">
      <c r="A765" s="84"/>
      <c r="B765" s="84"/>
      <c r="C765" s="60"/>
      <c r="D765" s="66"/>
      <c r="E765" s="66"/>
      <c r="F765" s="66"/>
      <c r="G765" s="66"/>
      <c r="H765" s="66"/>
      <c r="I765" s="66"/>
      <c r="J765" s="66"/>
      <c r="K765" s="66"/>
      <c r="L765" s="66"/>
      <c r="M765" s="66"/>
      <c r="N765" s="66"/>
    </row>
    <row r="766" spans="1:14" x14ac:dyDescent="0.2">
      <c r="A766" s="84"/>
      <c r="B766" s="84"/>
      <c r="C766" s="60"/>
      <c r="D766" s="66"/>
      <c r="E766" s="66"/>
      <c r="F766" s="66"/>
      <c r="G766" s="66"/>
      <c r="H766" s="66"/>
      <c r="I766" s="66"/>
      <c r="J766" s="66"/>
      <c r="K766" s="66"/>
      <c r="L766" s="66"/>
      <c r="M766" s="66"/>
      <c r="N766" s="66"/>
    </row>
    <row r="767" spans="1:14" x14ac:dyDescent="0.2">
      <c r="A767" s="84"/>
      <c r="B767" s="84"/>
      <c r="C767" s="60"/>
      <c r="D767" s="66"/>
      <c r="E767" s="66"/>
      <c r="F767" s="66"/>
      <c r="G767" s="66"/>
      <c r="H767" s="66"/>
      <c r="I767" s="66"/>
      <c r="J767" s="66"/>
      <c r="K767" s="66"/>
      <c r="L767" s="66"/>
      <c r="M767" s="66"/>
      <c r="N767" s="66"/>
    </row>
    <row r="768" spans="1:14" x14ac:dyDescent="0.2">
      <c r="A768" s="84"/>
      <c r="B768" s="84"/>
      <c r="C768" s="60"/>
      <c r="D768" s="66"/>
      <c r="E768" s="66"/>
      <c r="F768" s="66"/>
      <c r="G768" s="66"/>
      <c r="H768" s="66"/>
      <c r="I768" s="66"/>
      <c r="J768" s="66"/>
      <c r="K768" s="66"/>
      <c r="L768" s="66"/>
      <c r="M768" s="66"/>
      <c r="N768" s="66"/>
    </row>
    <row r="769" spans="1:14" x14ac:dyDescent="0.2">
      <c r="A769" s="84"/>
      <c r="B769" s="84"/>
      <c r="C769" s="60"/>
      <c r="D769" s="66"/>
      <c r="E769" s="66"/>
      <c r="F769" s="66"/>
      <c r="G769" s="66"/>
      <c r="H769" s="66"/>
      <c r="I769" s="66"/>
      <c r="J769" s="66"/>
      <c r="K769" s="66"/>
      <c r="L769" s="66"/>
      <c r="M769" s="66"/>
      <c r="N769" s="66"/>
    </row>
    <row r="770" spans="1:14" x14ac:dyDescent="0.2">
      <c r="A770" s="84"/>
      <c r="B770" s="84"/>
      <c r="C770" s="60"/>
      <c r="D770" s="66"/>
      <c r="E770" s="66"/>
      <c r="F770" s="66"/>
      <c r="G770" s="66"/>
      <c r="H770" s="66"/>
      <c r="I770" s="66"/>
      <c r="J770" s="66"/>
      <c r="K770" s="66"/>
      <c r="L770" s="66"/>
      <c r="M770" s="66"/>
      <c r="N770" s="66"/>
    </row>
    <row r="771" spans="1:14" x14ac:dyDescent="0.2">
      <c r="A771" s="84"/>
      <c r="B771" s="84"/>
      <c r="C771" s="60"/>
      <c r="D771" s="66"/>
      <c r="E771" s="66"/>
      <c r="F771" s="66"/>
      <c r="G771" s="66"/>
      <c r="H771" s="66"/>
      <c r="I771" s="66"/>
      <c r="J771" s="66"/>
      <c r="K771" s="66"/>
      <c r="L771" s="66"/>
      <c r="M771" s="66"/>
      <c r="N771" s="66"/>
    </row>
    <row r="772" spans="1:14" x14ac:dyDescent="0.2">
      <c r="A772" s="84"/>
      <c r="B772" s="84"/>
      <c r="C772" s="60"/>
      <c r="D772" s="66"/>
      <c r="E772" s="66"/>
      <c r="F772" s="66"/>
      <c r="G772" s="66"/>
      <c r="H772" s="66"/>
      <c r="I772" s="66"/>
      <c r="J772" s="66"/>
      <c r="K772" s="66"/>
      <c r="L772" s="66"/>
      <c r="M772" s="66"/>
      <c r="N772" s="66"/>
    </row>
    <row r="773" spans="1:14" x14ac:dyDescent="0.2">
      <c r="A773" s="84"/>
      <c r="B773" s="84"/>
      <c r="C773" s="60"/>
      <c r="D773" s="66"/>
      <c r="E773" s="66"/>
      <c r="F773" s="66"/>
      <c r="G773" s="66"/>
      <c r="H773" s="66"/>
      <c r="I773" s="66"/>
      <c r="J773" s="66"/>
      <c r="K773" s="66"/>
      <c r="L773" s="66"/>
      <c r="M773" s="66"/>
      <c r="N773" s="66"/>
    </row>
    <row r="774" spans="1:14" x14ac:dyDescent="0.2">
      <c r="A774" s="84"/>
      <c r="B774" s="84"/>
      <c r="C774" s="60"/>
      <c r="D774" s="66"/>
      <c r="E774" s="66"/>
      <c r="F774" s="66"/>
      <c r="G774" s="66"/>
      <c r="H774" s="66"/>
      <c r="I774" s="66"/>
      <c r="J774" s="66"/>
      <c r="K774" s="66"/>
      <c r="L774" s="66"/>
      <c r="M774" s="66"/>
      <c r="N774" s="66"/>
    </row>
    <row r="775" spans="1:14" x14ac:dyDescent="0.2">
      <c r="A775" s="84"/>
      <c r="B775" s="84"/>
      <c r="C775" s="60"/>
      <c r="D775" s="66"/>
      <c r="E775" s="66"/>
      <c r="F775" s="66"/>
      <c r="G775" s="66"/>
      <c r="H775" s="66"/>
      <c r="I775" s="66"/>
      <c r="J775" s="66"/>
      <c r="K775" s="66"/>
      <c r="L775" s="66"/>
      <c r="M775" s="66"/>
      <c r="N775" s="66"/>
    </row>
    <row r="776" spans="1:14" x14ac:dyDescent="0.2">
      <c r="A776" s="84"/>
      <c r="B776" s="84"/>
      <c r="C776" s="60"/>
      <c r="D776" s="66"/>
      <c r="E776" s="66"/>
      <c r="F776" s="66"/>
      <c r="G776" s="66"/>
      <c r="H776" s="66"/>
      <c r="I776" s="66"/>
      <c r="J776" s="66"/>
      <c r="K776" s="66"/>
      <c r="L776" s="66"/>
      <c r="M776" s="66"/>
      <c r="N776" s="66"/>
    </row>
    <row r="777" spans="1:14" x14ac:dyDescent="0.2">
      <c r="A777" s="84"/>
      <c r="B777" s="84"/>
      <c r="C777" s="60"/>
      <c r="D777" s="66"/>
      <c r="E777" s="66"/>
      <c r="F777" s="66"/>
      <c r="G777" s="66"/>
      <c r="H777" s="66"/>
      <c r="I777" s="66"/>
      <c r="J777" s="66"/>
      <c r="K777" s="66"/>
      <c r="L777" s="66"/>
      <c r="M777" s="66"/>
      <c r="N777" s="66"/>
    </row>
    <row r="778" spans="1:14" x14ac:dyDescent="0.2">
      <c r="A778" s="84"/>
      <c r="B778" s="84"/>
      <c r="C778" s="60"/>
      <c r="D778" s="66"/>
      <c r="E778" s="66"/>
      <c r="F778" s="66"/>
      <c r="G778" s="66"/>
      <c r="H778" s="66"/>
      <c r="I778" s="66"/>
      <c r="J778" s="66"/>
      <c r="K778" s="66"/>
      <c r="L778" s="66"/>
      <c r="M778" s="66"/>
      <c r="N778" s="66"/>
    </row>
    <row r="779" spans="1:14" x14ac:dyDescent="0.2">
      <c r="A779" s="84"/>
      <c r="B779" s="84"/>
      <c r="C779" s="60"/>
      <c r="D779" s="66"/>
      <c r="E779" s="66"/>
      <c r="F779" s="66"/>
      <c r="G779" s="66"/>
      <c r="H779" s="66"/>
      <c r="I779" s="66"/>
      <c r="J779" s="66"/>
      <c r="K779" s="66"/>
      <c r="L779" s="66"/>
      <c r="M779" s="66"/>
      <c r="N779" s="66"/>
    </row>
    <row r="780" spans="1:14" x14ac:dyDescent="0.2">
      <c r="A780" s="84"/>
      <c r="B780" s="84"/>
      <c r="C780" s="60"/>
      <c r="D780" s="66"/>
      <c r="E780" s="66"/>
      <c r="F780" s="66"/>
      <c r="G780" s="66"/>
      <c r="H780" s="66"/>
      <c r="I780" s="66"/>
      <c r="J780" s="66"/>
      <c r="K780" s="66"/>
      <c r="L780" s="66"/>
      <c r="M780" s="66"/>
      <c r="N780" s="66"/>
    </row>
    <row r="781" spans="1:14" x14ac:dyDescent="0.2">
      <c r="A781" s="84"/>
      <c r="B781" s="84"/>
      <c r="C781" s="60"/>
      <c r="D781" s="66"/>
      <c r="E781" s="66"/>
      <c r="F781" s="66"/>
      <c r="G781" s="66"/>
      <c r="H781" s="66"/>
      <c r="I781" s="66"/>
      <c r="J781" s="66"/>
      <c r="K781" s="66"/>
      <c r="L781" s="66"/>
      <c r="M781" s="66"/>
      <c r="N781" s="66"/>
    </row>
    <row r="782" spans="1:14" x14ac:dyDescent="0.2">
      <c r="A782" s="84"/>
      <c r="B782" s="84"/>
      <c r="C782" s="60"/>
      <c r="D782" s="66"/>
      <c r="E782" s="66"/>
      <c r="F782" s="66"/>
      <c r="G782" s="66"/>
      <c r="H782" s="66"/>
      <c r="I782" s="66"/>
      <c r="J782" s="66"/>
      <c r="K782" s="66"/>
      <c r="L782" s="66"/>
      <c r="M782" s="66"/>
      <c r="N782" s="66"/>
    </row>
    <row r="783" spans="1:14" x14ac:dyDescent="0.2">
      <c r="A783" s="84"/>
      <c r="B783" s="84"/>
      <c r="C783" s="60"/>
      <c r="D783" s="66"/>
      <c r="E783" s="66"/>
      <c r="F783" s="66"/>
      <c r="G783" s="66"/>
      <c r="H783" s="66"/>
      <c r="I783" s="66"/>
      <c r="J783" s="66"/>
      <c r="K783" s="66"/>
      <c r="L783" s="66"/>
      <c r="M783" s="66"/>
      <c r="N783" s="66"/>
    </row>
    <row r="784" spans="1:14" x14ac:dyDescent="0.2">
      <c r="A784" s="84"/>
      <c r="B784" s="84"/>
      <c r="C784" s="60"/>
      <c r="D784" s="66"/>
      <c r="E784" s="66"/>
      <c r="F784" s="66"/>
      <c r="G784" s="66"/>
      <c r="H784" s="66"/>
      <c r="I784" s="66"/>
      <c r="J784" s="66"/>
      <c r="K784" s="66"/>
      <c r="L784" s="66"/>
      <c r="M784" s="66"/>
      <c r="N784" s="66"/>
    </row>
    <row r="785" spans="1:14" x14ac:dyDescent="0.2">
      <c r="A785" s="84"/>
      <c r="B785" s="84"/>
      <c r="C785" s="60"/>
      <c r="D785" s="66"/>
      <c r="E785" s="66"/>
      <c r="F785" s="66"/>
      <c r="G785" s="66"/>
      <c r="H785" s="66"/>
      <c r="I785" s="66"/>
      <c r="J785" s="66"/>
      <c r="K785" s="66"/>
      <c r="L785" s="66"/>
      <c r="M785" s="66"/>
      <c r="N785" s="66"/>
    </row>
    <row r="786" spans="1:14" x14ac:dyDescent="0.2">
      <c r="A786" s="84"/>
      <c r="B786" s="84"/>
      <c r="C786" s="60"/>
      <c r="D786" s="66"/>
      <c r="E786" s="66"/>
      <c r="F786" s="66"/>
      <c r="G786" s="66"/>
      <c r="H786" s="66"/>
      <c r="I786" s="66"/>
      <c r="J786" s="66"/>
      <c r="K786" s="66"/>
      <c r="L786" s="66"/>
      <c r="M786" s="66"/>
      <c r="N786" s="66"/>
    </row>
    <row r="787" spans="1:14" x14ac:dyDescent="0.2">
      <c r="A787" s="84"/>
      <c r="B787" s="84"/>
      <c r="C787" s="60"/>
      <c r="D787" s="66"/>
      <c r="E787" s="66"/>
      <c r="F787" s="66"/>
      <c r="G787" s="66"/>
      <c r="H787" s="66"/>
      <c r="I787" s="66"/>
      <c r="J787" s="66"/>
      <c r="K787" s="66"/>
      <c r="L787" s="66"/>
      <c r="M787" s="66"/>
      <c r="N787" s="66"/>
    </row>
    <row r="788" spans="1:14" x14ac:dyDescent="0.2">
      <c r="A788" s="84"/>
      <c r="B788" s="84"/>
      <c r="C788" s="60"/>
      <c r="D788" s="66"/>
      <c r="E788" s="66"/>
      <c r="F788" s="66"/>
      <c r="G788" s="66"/>
      <c r="H788" s="66"/>
      <c r="I788" s="66"/>
      <c r="J788" s="66"/>
      <c r="K788" s="66"/>
      <c r="L788" s="66"/>
      <c r="M788" s="66"/>
      <c r="N788" s="66"/>
    </row>
    <row r="789" spans="1:14" x14ac:dyDescent="0.2">
      <c r="A789" s="84"/>
      <c r="B789" s="84"/>
      <c r="C789" s="60"/>
      <c r="D789" s="66"/>
      <c r="E789" s="66"/>
      <c r="F789" s="66"/>
      <c r="G789" s="66"/>
      <c r="H789" s="66"/>
      <c r="I789" s="66"/>
      <c r="J789" s="66"/>
      <c r="K789" s="66"/>
      <c r="L789" s="66"/>
      <c r="M789" s="66"/>
      <c r="N789" s="66"/>
    </row>
    <row r="790" spans="1:14" x14ac:dyDescent="0.2">
      <c r="A790" s="84"/>
      <c r="B790" s="84"/>
      <c r="C790" s="60"/>
      <c r="D790" s="66"/>
      <c r="E790" s="66"/>
      <c r="F790" s="66"/>
      <c r="G790" s="66"/>
      <c r="H790" s="66"/>
      <c r="I790" s="66"/>
      <c r="J790" s="66"/>
      <c r="K790" s="66"/>
      <c r="L790" s="66"/>
      <c r="M790" s="66"/>
      <c r="N790" s="66"/>
    </row>
    <row r="791" spans="1:14" x14ac:dyDescent="0.2">
      <c r="A791" s="84"/>
      <c r="B791" s="84"/>
      <c r="C791" s="60"/>
      <c r="D791" s="66"/>
      <c r="E791" s="66"/>
      <c r="F791" s="66"/>
      <c r="G791" s="66"/>
      <c r="H791" s="66"/>
      <c r="I791" s="66"/>
      <c r="J791" s="66"/>
      <c r="K791" s="66"/>
      <c r="L791" s="66"/>
      <c r="M791" s="66"/>
      <c r="N791" s="66"/>
    </row>
    <row r="792" spans="1:14" x14ac:dyDescent="0.2">
      <c r="A792" s="84"/>
      <c r="B792" s="84"/>
      <c r="C792" s="60"/>
      <c r="D792" s="66"/>
      <c r="E792" s="66"/>
      <c r="F792" s="66"/>
      <c r="G792" s="66"/>
      <c r="H792" s="66"/>
      <c r="I792" s="66"/>
      <c r="J792" s="66"/>
      <c r="K792" s="66"/>
      <c r="L792" s="66"/>
      <c r="M792" s="66"/>
      <c r="N792" s="66"/>
    </row>
    <row r="793" spans="1:14" x14ac:dyDescent="0.2">
      <c r="A793" s="84"/>
      <c r="B793" s="84"/>
      <c r="C793" s="60"/>
      <c r="D793" s="66"/>
      <c r="E793" s="66"/>
      <c r="F793" s="66"/>
      <c r="G793" s="66"/>
      <c r="H793" s="66"/>
      <c r="I793" s="66"/>
      <c r="J793" s="66"/>
      <c r="K793" s="66"/>
      <c r="L793" s="66"/>
      <c r="M793" s="66"/>
      <c r="N793" s="66"/>
    </row>
    <row r="794" spans="1:14" x14ac:dyDescent="0.2">
      <c r="A794" s="84"/>
      <c r="B794" s="84"/>
      <c r="C794" s="60"/>
      <c r="D794" s="66"/>
      <c r="E794" s="66"/>
      <c r="F794" s="66"/>
      <c r="G794" s="66"/>
      <c r="H794" s="66"/>
      <c r="I794" s="66"/>
      <c r="J794" s="66"/>
      <c r="K794" s="66"/>
      <c r="L794" s="66"/>
      <c r="M794" s="66"/>
      <c r="N794" s="66"/>
    </row>
    <row r="795" spans="1:14" x14ac:dyDescent="0.2">
      <c r="A795" s="84"/>
      <c r="B795" s="84"/>
      <c r="C795" s="60"/>
      <c r="D795" s="66"/>
      <c r="E795" s="66"/>
      <c r="F795" s="66"/>
      <c r="G795" s="66"/>
      <c r="H795" s="66"/>
      <c r="I795" s="66"/>
      <c r="J795" s="66"/>
      <c r="K795" s="66"/>
      <c r="L795" s="66"/>
      <c r="M795" s="66"/>
      <c r="N795" s="66"/>
    </row>
    <row r="796" spans="1:14" x14ac:dyDescent="0.2">
      <c r="A796" s="84"/>
      <c r="B796" s="84"/>
      <c r="C796" s="60"/>
      <c r="D796" s="66"/>
      <c r="E796" s="66"/>
      <c r="F796" s="66"/>
      <c r="G796" s="66"/>
      <c r="H796" s="66"/>
      <c r="I796" s="66"/>
      <c r="J796" s="66"/>
      <c r="K796" s="66"/>
      <c r="L796" s="66"/>
      <c r="M796" s="66"/>
      <c r="N796" s="66"/>
    </row>
    <row r="797" spans="1:14" x14ac:dyDescent="0.2">
      <c r="A797" s="84"/>
      <c r="B797" s="84"/>
      <c r="C797" s="60"/>
      <c r="D797" s="66"/>
      <c r="E797" s="66"/>
      <c r="F797" s="66"/>
      <c r="G797" s="66"/>
      <c r="H797" s="66"/>
      <c r="I797" s="66"/>
      <c r="J797" s="66"/>
      <c r="K797" s="66"/>
      <c r="L797" s="66"/>
      <c r="M797" s="66"/>
      <c r="N797" s="66"/>
    </row>
    <row r="798" spans="1:14" x14ac:dyDescent="0.2">
      <c r="A798" s="84"/>
      <c r="B798" s="84"/>
      <c r="C798" s="60"/>
      <c r="D798" s="66"/>
      <c r="E798" s="66"/>
      <c r="F798" s="66"/>
      <c r="G798" s="66"/>
      <c r="H798" s="66"/>
      <c r="I798" s="66"/>
      <c r="J798" s="66"/>
      <c r="K798" s="66"/>
      <c r="L798" s="66"/>
      <c r="M798" s="66"/>
      <c r="N798" s="66"/>
    </row>
    <row r="799" spans="1:14" x14ac:dyDescent="0.2">
      <c r="A799" s="84"/>
      <c r="B799" s="84"/>
      <c r="C799" s="60"/>
      <c r="D799" s="66"/>
      <c r="E799" s="66"/>
      <c r="F799" s="66"/>
      <c r="G799" s="66"/>
      <c r="H799" s="66"/>
      <c r="I799" s="66"/>
      <c r="J799" s="66"/>
      <c r="K799" s="66"/>
      <c r="L799" s="66"/>
      <c r="M799" s="66"/>
      <c r="N799" s="66"/>
    </row>
    <row r="800" spans="1:14" x14ac:dyDescent="0.2">
      <c r="A800" s="84"/>
      <c r="B800" s="84"/>
      <c r="C800" s="60"/>
      <c r="D800" s="66"/>
      <c r="E800" s="66"/>
      <c r="F800" s="66"/>
      <c r="G800" s="66"/>
      <c r="H800" s="66"/>
      <c r="I800" s="66"/>
      <c r="J800" s="66"/>
      <c r="K800" s="66"/>
      <c r="L800" s="66"/>
      <c r="M800" s="66"/>
      <c r="N800" s="66"/>
    </row>
    <row r="801" spans="1:14" x14ac:dyDescent="0.2">
      <c r="A801" s="84"/>
      <c r="B801" s="84"/>
      <c r="C801" s="60"/>
      <c r="D801" s="66"/>
      <c r="E801" s="66"/>
      <c r="F801" s="66"/>
      <c r="G801" s="66"/>
      <c r="H801" s="66"/>
      <c r="I801" s="66"/>
      <c r="J801" s="66"/>
      <c r="K801" s="66"/>
      <c r="L801" s="66"/>
      <c r="M801" s="66"/>
      <c r="N801" s="66"/>
    </row>
    <row r="802" spans="1:14" x14ac:dyDescent="0.2">
      <c r="A802" s="84"/>
      <c r="B802" s="84"/>
      <c r="C802" s="60"/>
      <c r="D802" s="66"/>
      <c r="E802" s="66"/>
      <c r="F802" s="66"/>
      <c r="G802" s="66"/>
      <c r="H802" s="66"/>
      <c r="I802" s="66"/>
      <c r="J802" s="66"/>
      <c r="K802" s="66"/>
      <c r="L802" s="66"/>
      <c r="M802" s="66"/>
      <c r="N802" s="66"/>
    </row>
    <row r="803" spans="1:14" x14ac:dyDescent="0.2">
      <c r="A803" s="84"/>
      <c r="B803" s="84"/>
      <c r="C803" s="60"/>
      <c r="D803" s="66"/>
      <c r="E803" s="66"/>
      <c r="F803" s="66"/>
      <c r="G803" s="66"/>
      <c r="H803" s="66"/>
      <c r="I803" s="66"/>
      <c r="J803" s="66"/>
      <c r="K803" s="66"/>
      <c r="L803" s="66"/>
      <c r="M803" s="66"/>
      <c r="N803" s="66"/>
    </row>
    <row r="804" spans="1:14" x14ac:dyDescent="0.2">
      <c r="A804" s="84"/>
      <c r="B804" s="84"/>
      <c r="C804" s="60"/>
      <c r="D804" s="66"/>
      <c r="E804" s="66"/>
      <c r="F804" s="66"/>
      <c r="G804" s="66"/>
      <c r="H804" s="66"/>
      <c r="I804" s="66"/>
      <c r="J804" s="66"/>
      <c r="K804" s="66"/>
      <c r="L804" s="66"/>
      <c r="M804" s="66"/>
      <c r="N804" s="66"/>
    </row>
    <row r="805" spans="1:14" x14ac:dyDescent="0.2">
      <c r="A805" s="84"/>
      <c r="B805" s="84"/>
      <c r="C805" s="60"/>
      <c r="D805" s="66"/>
      <c r="E805" s="66"/>
      <c r="F805" s="66"/>
      <c r="G805" s="66"/>
      <c r="H805" s="66"/>
      <c r="I805" s="66"/>
      <c r="J805" s="66"/>
      <c r="K805" s="66"/>
      <c r="L805" s="66"/>
      <c r="M805" s="66"/>
      <c r="N805" s="66"/>
    </row>
    <row r="806" spans="1:14" x14ac:dyDescent="0.2">
      <c r="A806" s="84"/>
      <c r="B806" s="84"/>
      <c r="C806" s="60"/>
      <c r="D806" s="66"/>
      <c r="E806" s="66"/>
      <c r="F806" s="66"/>
      <c r="G806" s="66"/>
      <c r="H806" s="66"/>
      <c r="I806" s="66"/>
      <c r="J806" s="66"/>
      <c r="K806" s="66"/>
      <c r="L806" s="66"/>
      <c r="M806" s="66"/>
      <c r="N806" s="66"/>
    </row>
    <row r="807" spans="1:14" x14ac:dyDescent="0.2">
      <c r="A807" s="84"/>
      <c r="B807" s="84"/>
      <c r="C807" s="60"/>
      <c r="D807" s="66"/>
      <c r="E807" s="66"/>
      <c r="F807" s="66"/>
      <c r="G807" s="66"/>
      <c r="H807" s="66"/>
      <c r="I807" s="66"/>
      <c r="J807" s="66"/>
      <c r="K807" s="66"/>
      <c r="L807" s="66"/>
      <c r="M807" s="66"/>
      <c r="N807" s="66"/>
    </row>
    <row r="808" spans="1:14" x14ac:dyDescent="0.2">
      <c r="A808" s="84"/>
      <c r="B808" s="84"/>
      <c r="C808" s="60"/>
      <c r="D808" s="66"/>
      <c r="E808" s="66"/>
      <c r="F808" s="66"/>
      <c r="G808" s="66"/>
      <c r="H808" s="66"/>
      <c r="I808" s="66"/>
      <c r="J808" s="66"/>
      <c r="K808" s="66"/>
      <c r="L808" s="66"/>
      <c r="M808" s="66"/>
      <c r="N808" s="66"/>
    </row>
    <row r="809" spans="1:14" x14ac:dyDescent="0.2">
      <c r="A809" s="84"/>
      <c r="B809" s="84"/>
      <c r="C809" s="60"/>
      <c r="D809" s="66"/>
      <c r="E809" s="66"/>
      <c r="F809" s="66"/>
      <c r="G809" s="66"/>
      <c r="H809" s="66"/>
      <c r="I809" s="66"/>
      <c r="J809" s="66"/>
      <c r="K809" s="66"/>
      <c r="L809" s="66"/>
      <c r="M809" s="66"/>
      <c r="N809" s="66"/>
    </row>
    <row r="810" spans="1:14" x14ac:dyDescent="0.2">
      <c r="A810" s="84"/>
      <c r="B810" s="84"/>
      <c r="C810" s="60"/>
      <c r="D810" s="66"/>
      <c r="E810" s="66"/>
      <c r="F810" s="66"/>
      <c r="G810" s="66"/>
      <c r="H810" s="66"/>
      <c r="I810" s="66"/>
      <c r="J810" s="66"/>
      <c r="K810" s="66"/>
      <c r="L810" s="66"/>
      <c r="M810" s="66"/>
      <c r="N810" s="66"/>
    </row>
    <row r="811" spans="1:14" x14ac:dyDescent="0.2">
      <c r="A811" s="84"/>
      <c r="B811" s="84"/>
      <c r="C811" s="60"/>
      <c r="D811" s="66"/>
      <c r="E811" s="66"/>
      <c r="F811" s="66"/>
      <c r="G811" s="66"/>
      <c r="H811" s="66"/>
      <c r="I811" s="66"/>
      <c r="J811" s="66"/>
      <c r="K811" s="66"/>
      <c r="L811" s="66"/>
      <c r="M811" s="66"/>
      <c r="N811" s="66"/>
    </row>
    <row r="812" spans="1:14" x14ac:dyDescent="0.2">
      <c r="A812" s="84"/>
      <c r="B812" s="84"/>
      <c r="C812" s="60"/>
      <c r="D812" s="66"/>
      <c r="E812" s="66"/>
      <c r="F812" s="66"/>
      <c r="G812" s="66"/>
      <c r="H812" s="66"/>
      <c r="I812" s="66"/>
      <c r="J812" s="66"/>
      <c r="K812" s="66"/>
      <c r="L812" s="66"/>
      <c r="M812" s="66"/>
      <c r="N812" s="66"/>
    </row>
    <row r="813" spans="1:14" x14ac:dyDescent="0.2">
      <c r="A813" s="84"/>
      <c r="B813" s="84"/>
      <c r="C813" s="60"/>
      <c r="D813" s="66"/>
      <c r="E813" s="66"/>
      <c r="F813" s="66"/>
      <c r="G813" s="66"/>
      <c r="H813" s="66"/>
      <c r="I813" s="66"/>
      <c r="J813" s="66"/>
      <c r="K813" s="66"/>
      <c r="L813" s="66"/>
      <c r="M813" s="66"/>
      <c r="N813" s="66"/>
    </row>
    <row r="814" spans="1:14" x14ac:dyDescent="0.2">
      <c r="A814" s="84"/>
      <c r="B814" s="84"/>
      <c r="C814" s="60"/>
      <c r="D814" s="66"/>
      <c r="E814" s="66"/>
      <c r="F814" s="66"/>
      <c r="G814" s="66"/>
      <c r="H814" s="66"/>
      <c r="I814" s="66"/>
      <c r="J814" s="66"/>
      <c r="K814" s="66"/>
      <c r="L814" s="66"/>
      <c r="M814" s="66"/>
      <c r="N814" s="66"/>
    </row>
    <row r="815" spans="1:14" x14ac:dyDescent="0.2">
      <c r="A815" s="84"/>
      <c r="B815" s="84"/>
      <c r="C815" s="60"/>
      <c r="D815" s="66"/>
      <c r="E815" s="66"/>
      <c r="F815" s="66"/>
      <c r="G815" s="66"/>
      <c r="H815" s="66"/>
      <c r="I815" s="66"/>
      <c r="J815" s="66"/>
      <c r="K815" s="66"/>
      <c r="L815" s="66"/>
      <c r="M815" s="66"/>
      <c r="N815" s="66"/>
    </row>
    <row r="816" spans="1:14" x14ac:dyDescent="0.2">
      <c r="A816" s="84"/>
      <c r="B816" s="84"/>
      <c r="C816" s="60"/>
      <c r="D816" s="66"/>
      <c r="E816" s="66"/>
      <c r="F816" s="66"/>
      <c r="G816" s="66"/>
      <c r="H816" s="66"/>
      <c r="I816" s="66"/>
      <c r="J816" s="66"/>
      <c r="K816" s="66"/>
      <c r="L816" s="66"/>
      <c r="M816" s="66"/>
      <c r="N816" s="66"/>
    </row>
    <row r="817" spans="1:14" x14ac:dyDescent="0.2">
      <c r="A817" s="84"/>
      <c r="B817" s="84"/>
      <c r="C817" s="60"/>
      <c r="D817" s="66"/>
      <c r="E817" s="66"/>
      <c r="F817" s="66"/>
      <c r="G817" s="66"/>
      <c r="H817" s="66"/>
      <c r="I817" s="66"/>
      <c r="J817" s="66"/>
      <c r="K817" s="66"/>
      <c r="L817" s="66"/>
      <c r="M817" s="66"/>
      <c r="N817" s="66"/>
    </row>
    <row r="818" spans="1:14" x14ac:dyDescent="0.2">
      <c r="A818" s="84"/>
      <c r="B818" s="84"/>
      <c r="C818" s="60"/>
      <c r="D818" s="66"/>
      <c r="E818" s="66"/>
      <c r="F818" s="66"/>
      <c r="G818" s="66"/>
      <c r="H818" s="66"/>
      <c r="I818" s="66"/>
      <c r="J818" s="66"/>
      <c r="K818" s="66"/>
      <c r="L818" s="66"/>
      <c r="M818" s="66"/>
      <c r="N818" s="66"/>
    </row>
    <row r="819" spans="1:14" x14ac:dyDescent="0.2">
      <c r="A819" s="84"/>
      <c r="B819" s="84"/>
      <c r="C819" s="60"/>
      <c r="D819" s="66"/>
      <c r="E819" s="66"/>
      <c r="F819" s="66"/>
      <c r="G819" s="66"/>
      <c r="H819" s="66"/>
      <c r="I819" s="66"/>
      <c r="J819" s="66"/>
      <c r="K819" s="66"/>
      <c r="L819" s="66"/>
      <c r="M819" s="66"/>
      <c r="N819" s="66"/>
    </row>
    <row r="820" spans="1:14" x14ac:dyDescent="0.2">
      <c r="A820" s="84"/>
      <c r="B820" s="84"/>
      <c r="C820" s="60"/>
      <c r="D820" s="66"/>
      <c r="E820" s="66"/>
      <c r="F820" s="66"/>
      <c r="G820" s="66"/>
      <c r="H820" s="66"/>
      <c r="I820" s="66"/>
      <c r="J820" s="66"/>
      <c r="K820" s="66"/>
      <c r="L820" s="66"/>
      <c r="M820" s="66"/>
      <c r="N820" s="66"/>
    </row>
    <row r="821" spans="1:14" x14ac:dyDescent="0.2">
      <c r="A821" s="84"/>
      <c r="B821" s="84"/>
      <c r="C821" s="60"/>
      <c r="D821" s="66"/>
      <c r="E821" s="66"/>
      <c r="F821" s="66"/>
      <c r="G821" s="66"/>
      <c r="H821" s="66"/>
      <c r="I821" s="66"/>
      <c r="J821" s="66"/>
      <c r="K821" s="66"/>
      <c r="L821" s="66"/>
      <c r="M821" s="66"/>
      <c r="N821" s="66"/>
    </row>
    <row r="822" spans="1:14" x14ac:dyDescent="0.2">
      <c r="A822" s="84"/>
      <c r="B822" s="84"/>
      <c r="C822" s="60"/>
      <c r="D822" s="66"/>
      <c r="E822" s="66"/>
      <c r="F822" s="66"/>
      <c r="G822" s="66"/>
      <c r="H822" s="66"/>
      <c r="I822" s="66"/>
      <c r="J822" s="66"/>
      <c r="K822" s="66"/>
      <c r="L822" s="66"/>
      <c r="M822" s="66"/>
      <c r="N822" s="66"/>
    </row>
    <row r="823" spans="1:14" x14ac:dyDescent="0.2">
      <c r="A823" s="84"/>
      <c r="B823" s="84"/>
      <c r="C823" s="60"/>
      <c r="D823" s="66"/>
      <c r="E823" s="66"/>
      <c r="F823" s="66"/>
      <c r="G823" s="66"/>
      <c r="H823" s="66"/>
      <c r="I823" s="66"/>
      <c r="J823" s="66"/>
      <c r="K823" s="66"/>
      <c r="L823" s="66"/>
      <c r="M823" s="66"/>
      <c r="N823" s="66"/>
    </row>
    <row r="824" spans="1:14" x14ac:dyDescent="0.2">
      <c r="A824" s="84"/>
      <c r="B824" s="84"/>
      <c r="C824" s="60"/>
      <c r="D824" s="66"/>
      <c r="E824" s="66"/>
      <c r="F824" s="66"/>
      <c r="G824" s="66"/>
      <c r="H824" s="66"/>
      <c r="I824" s="66"/>
      <c r="J824" s="66"/>
      <c r="K824" s="66"/>
      <c r="L824" s="66"/>
      <c r="M824" s="66"/>
      <c r="N824" s="66"/>
    </row>
    <row r="825" spans="1:14" x14ac:dyDescent="0.2">
      <c r="A825" s="84"/>
      <c r="B825" s="84"/>
      <c r="C825" s="60"/>
      <c r="D825" s="66"/>
      <c r="E825" s="66"/>
      <c r="F825" s="66"/>
      <c r="G825" s="66"/>
      <c r="H825" s="66"/>
      <c r="I825" s="66"/>
      <c r="J825" s="66"/>
      <c r="K825" s="66"/>
      <c r="L825" s="66"/>
      <c r="M825" s="66"/>
      <c r="N825" s="66"/>
    </row>
    <row r="826" spans="1:14" x14ac:dyDescent="0.2">
      <c r="A826" s="84"/>
      <c r="B826" s="84"/>
      <c r="C826" s="60"/>
      <c r="D826" s="66"/>
      <c r="E826" s="66"/>
      <c r="F826" s="66"/>
      <c r="G826" s="66"/>
      <c r="H826" s="66"/>
      <c r="I826" s="66"/>
      <c r="J826" s="66"/>
      <c r="K826" s="66"/>
      <c r="L826" s="66"/>
      <c r="M826" s="66"/>
      <c r="N826" s="66"/>
    </row>
    <row r="827" spans="1:14" x14ac:dyDescent="0.2">
      <c r="A827" s="84"/>
      <c r="B827" s="84"/>
      <c r="C827" s="60"/>
      <c r="D827" s="66"/>
      <c r="E827" s="66"/>
      <c r="F827" s="66"/>
      <c r="G827" s="66"/>
      <c r="H827" s="66"/>
      <c r="I827" s="66"/>
      <c r="J827" s="66"/>
      <c r="K827" s="66"/>
      <c r="L827" s="66"/>
      <c r="M827" s="66"/>
      <c r="N827" s="66"/>
    </row>
    <row r="828" spans="1:14" x14ac:dyDescent="0.2">
      <c r="A828" s="84"/>
      <c r="B828" s="84"/>
      <c r="C828" s="60"/>
      <c r="D828" s="66"/>
      <c r="E828" s="66"/>
      <c r="F828" s="66"/>
      <c r="G828" s="66"/>
      <c r="H828" s="66"/>
      <c r="I828" s="66"/>
      <c r="J828" s="66"/>
      <c r="K828" s="66"/>
      <c r="L828" s="66"/>
      <c r="M828" s="66"/>
      <c r="N828" s="66"/>
    </row>
    <row r="829" spans="1:14" x14ac:dyDescent="0.2">
      <c r="A829" s="84"/>
      <c r="B829" s="84"/>
      <c r="C829" s="60"/>
      <c r="D829" s="66"/>
      <c r="E829" s="66"/>
      <c r="F829" s="66"/>
      <c r="G829" s="66"/>
      <c r="H829" s="66"/>
      <c r="I829" s="66"/>
      <c r="J829" s="66"/>
      <c r="K829" s="66"/>
      <c r="L829" s="66"/>
      <c r="M829" s="66"/>
      <c r="N829" s="66"/>
    </row>
    <row r="830" spans="1:14" x14ac:dyDescent="0.2">
      <c r="A830" s="84"/>
      <c r="B830" s="84"/>
      <c r="C830" s="60"/>
      <c r="D830" s="66"/>
      <c r="E830" s="66"/>
      <c r="F830" s="66"/>
      <c r="G830" s="66"/>
      <c r="H830" s="66"/>
      <c r="I830" s="66"/>
      <c r="J830" s="66"/>
      <c r="K830" s="66"/>
      <c r="L830" s="66"/>
      <c r="M830" s="66"/>
      <c r="N830" s="66"/>
    </row>
    <row r="831" spans="1:14" x14ac:dyDescent="0.2">
      <c r="A831" s="84"/>
      <c r="B831" s="84"/>
      <c r="C831" s="60"/>
      <c r="D831" s="66"/>
      <c r="E831" s="66"/>
      <c r="F831" s="66"/>
      <c r="G831" s="66"/>
      <c r="H831" s="66"/>
      <c r="I831" s="66"/>
      <c r="J831" s="66"/>
      <c r="K831" s="66"/>
      <c r="L831" s="66"/>
      <c r="M831" s="66"/>
      <c r="N831" s="66"/>
    </row>
    <row r="832" spans="1:14" x14ac:dyDescent="0.2">
      <c r="A832" s="84"/>
      <c r="B832" s="84"/>
      <c r="C832" s="60"/>
      <c r="D832" s="66"/>
      <c r="E832" s="66"/>
      <c r="F832" s="66"/>
      <c r="G832" s="66"/>
      <c r="H832" s="66"/>
      <c r="I832" s="66"/>
      <c r="J832" s="66"/>
      <c r="K832" s="66"/>
      <c r="L832" s="66"/>
      <c r="M832" s="66"/>
      <c r="N832" s="66"/>
    </row>
    <row r="833" spans="1:14" x14ac:dyDescent="0.2">
      <c r="A833" s="84"/>
      <c r="B833" s="84"/>
      <c r="C833" s="60"/>
      <c r="D833" s="66"/>
      <c r="E833" s="66"/>
      <c r="F833" s="66"/>
      <c r="G833" s="66"/>
      <c r="H833" s="66"/>
      <c r="I833" s="66"/>
      <c r="J833" s="66"/>
      <c r="K833" s="66"/>
      <c r="L833" s="66"/>
      <c r="M833" s="66"/>
      <c r="N833" s="66"/>
    </row>
    <row r="834" spans="1:14" x14ac:dyDescent="0.2">
      <c r="A834" s="84"/>
      <c r="B834" s="84"/>
      <c r="C834" s="60"/>
      <c r="D834" s="66"/>
      <c r="E834" s="66"/>
      <c r="F834" s="66"/>
      <c r="G834" s="66"/>
      <c r="H834" s="66"/>
      <c r="I834" s="66"/>
      <c r="J834" s="66"/>
      <c r="K834" s="66"/>
      <c r="L834" s="66"/>
      <c r="M834" s="66"/>
      <c r="N834" s="66"/>
    </row>
    <row r="835" spans="1:14" x14ac:dyDescent="0.2">
      <c r="A835" s="84"/>
      <c r="B835" s="84"/>
      <c r="C835" s="60"/>
      <c r="D835" s="66"/>
      <c r="E835" s="66"/>
      <c r="F835" s="66"/>
      <c r="G835" s="66"/>
      <c r="H835" s="66"/>
      <c r="I835" s="66"/>
      <c r="J835" s="66"/>
      <c r="K835" s="66"/>
      <c r="L835" s="66"/>
      <c r="M835" s="66"/>
      <c r="N835" s="66"/>
    </row>
    <row r="836" spans="1:14" x14ac:dyDescent="0.2">
      <c r="A836" s="84"/>
      <c r="B836" s="84"/>
      <c r="C836" s="60"/>
      <c r="D836" s="66"/>
      <c r="E836" s="66"/>
      <c r="F836" s="66"/>
      <c r="G836" s="66"/>
      <c r="H836" s="66"/>
      <c r="I836" s="66"/>
      <c r="J836" s="66"/>
      <c r="K836" s="66"/>
      <c r="L836" s="66"/>
      <c r="M836" s="66"/>
      <c r="N836" s="66"/>
    </row>
    <row r="837" spans="1:14" x14ac:dyDescent="0.2">
      <c r="A837" s="84"/>
      <c r="B837" s="84"/>
      <c r="C837" s="60"/>
      <c r="D837" s="66"/>
      <c r="E837" s="66"/>
      <c r="F837" s="66"/>
      <c r="G837" s="66"/>
      <c r="H837" s="66"/>
      <c r="I837" s="66"/>
      <c r="J837" s="66"/>
      <c r="K837" s="66"/>
      <c r="L837" s="66"/>
      <c r="M837" s="66"/>
      <c r="N837" s="66"/>
    </row>
    <row r="838" spans="1:14" x14ac:dyDescent="0.2">
      <c r="A838" s="84"/>
      <c r="B838" s="84"/>
      <c r="C838" s="60"/>
      <c r="D838" s="66"/>
      <c r="E838" s="66"/>
      <c r="F838" s="66"/>
      <c r="G838" s="66"/>
      <c r="H838" s="66"/>
      <c r="I838" s="66"/>
      <c r="J838" s="66"/>
      <c r="K838" s="66"/>
      <c r="L838" s="66"/>
      <c r="M838" s="66"/>
      <c r="N838" s="66"/>
    </row>
    <row r="839" spans="1:14" x14ac:dyDescent="0.2">
      <c r="A839" s="84"/>
      <c r="B839" s="84"/>
      <c r="C839" s="60"/>
      <c r="D839" s="66"/>
      <c r="E839" s="66"/>
      <c r="F839" s="66"/>
      <c r="G839" s="66"/>
      <c r="H839" s="66"/>
      <c r="I839" s="66"/>
      <c r="J839" s="66"/>
      <c r="K839" s="66"/>
      <c r="L839" s="66"/>
      <c r="M839" s="66"/>
      <c r="N839" s="66"/>
    </row>
    <row r="840" spans="1:14" x14ac:dyDescent="0.2">
      <c r="A840" s="84"/>
      <c r="B840" s="84"/>
      <c r="C840" s="60"/>
      <c r="D840" s="66"/>
      <c r="E840" s="66"/>
      <c r="F840" s="66"/>
      <c r="G840" s="66"/>
      <c r="H840" s="66"/>
      <c r="I840" s="66"/>
      <c r="J840" s="66"/>
      <c r="K840" s="66"/>
      <c r="L840" s="66"/>
      <c r="M840" s="66"/>
      <c r="N840" s="66"/>
    </row>
    <row r="841" spans="1:14" x14ac:dyDescent="0.2">
      <c r="A841" s="84"/>
      <c r="B841" s="84"/>
      <c r="C841" s="60"/>
      <c r="D841" s="66"/>
      <c r="E841" s="66"/>
      <c r="F841" s="66"/>
      <c r="G841" s="66"/>
      <c r="H841" s="66"/>
      <c r="I841" s="66"/>
      <c r="J841" s="66"/>
      <c r="K841" s="66"/>
      <c r="L841" s="66"/>
      <c r="M841" s="66"/>
      <c r="N841" s="66"/>
    </row>
    <row r="842" spans="1:14" x14ac:dyDescent="0.2">
      <c r="A842" s="84"/>
      <c r="B842" s="84"/>
      <c r="C842" s="60"/>
      <c r="D842" s="66"/>
      <c r="E842" s="66"/>
      <c r="F842" s="66"/>
      <c r="G842" s="66"/>
      <c r="H842" s="66"/>
      <c r="I842" s="66"/>
      <c r="J842" s="66"/>
      <c r="K842" s="66"/>
      <c r="L842" s="66"/>
      <c r="M842" s="66"/>
      <c r="N842" s="66"/>
    </row>
    <row r="843" spans="1:14" x14ac:dyDescent="0.2">
      <c r="A843" s="84"/>
      <c r="B843" s="84"/>
      <c r="C843" s="60"/>
      <c r="D843" s="66"/>
      <c r="E843" s="66"/>
      <c r="F843" s="66"/>
      <c r="G843" s="66"/>
      <c r="H843" s="66"/>
      <c r="I843" s="66"/>
      <c r="J843" s="66"/>
      <c r="K843" s="66"/>
      <c r="L843" s="66"/>
      <c r="M843" s="66"/>
      <c r="N843" s="66"/>
    </row>
    <row r="844" spans="1:14" x14ac:dyDescent="0.2">
      <c r="A844" s="84"/>
      <c r="B844" s="84"/>
      <c r="C844" s="60"/>
      <c r="D844" s="66"/>
      <c r="E844" s="66"/>
      <c r="F844" s="66"/>
      <c r="G844" s="66"/>
      <c r="H844" s="66"/>
      <c r="I844" s="66"/>
      <c r="J844" s="66"/>
      <c r="K844" s="66"/>
      <c r="L844" s="66"/>
      <c r="M844" s="66"/>
      <c r="N844" s="66"/>
    </row>
    <row r="845" spans="1:14" x14ac:dyDescent="0.2">
      <c r="A845" s="84"/>
      <c r="B845" s="84"/>
      <c r="C845" s="60"/>
      <c r="D845" s="66"/>
      <c r="E845" s="66"/>
      <c r="F845" s="66"/>
      <c r="G845" s="66"/>
      <c r="H845" s="66"/>
      <c r="I845" s="66"/>
      <c r="J845" s="66"/>
      <c r="K845" s="66"/>
      <c r="L845" s="66"/>
      <c r="M845" s="66"/>
      <c r="N845" s="66"/>
    </row>
    <row r="846" spans="1:14" x14ac:dyDescent="0.2">
      <c r="A846" s="84"/>
      <c r="B846" s="84"/>
      <c r="C846" s="60"/>
      <c r="D846" s="66"/>
      <c r="E846" s="66"/>
      <c r="F846" s="66"/>
      <c r="G846" s="66"/>
      <c r="H846" s="66"/>
      <c r="I846" s="66"/>
      <c r="J846" s="66"/>
      <c r="K846" s="66"/>
      <c r="L846" s="66"/>
      <c r="M846" s="66"/>
      <c r="N846" s="66"/>
    </row>
    <row r="847" spans="1:14" x14ac:dyDescent="0.2">
      <c r="A847" s="84"/>
      <c r="B847" s="84"/>
      <c r="C847" s="60"/>
      <c r="D847" s="66"/>
      <c r="E847" s="66"/>
      <c r="F847" s="66"/>
      <c r="G847" s="66"/>
      <c r="H847" s="66"/>
      <c r="I847" s="66"/>
      <c r="J847" s="66"/>
      <c r="K847" s="66"/>
      <c r="L847" s="66"/>
      <c r="M847" s="66"/>
      <c r="N847" s="66"/>
    </row>
    <row r="848" spans="1:14" x14ac:dyDescent="0.2">
      <c r="A848" s="84"/>
      <c r="B848" s="84"/>
      <c r="C848" s="60"/>
      <c r="D848" s="66"/>
      <c r="E848" s="66"/>
      <c r="F848" s="66"/>
      <c r="G848" s="66"/>
      <c r="H848" s="66"/>
      <c r="I848" s="66"/>
      <c r="J848" s="66"/>
      <c r="K848" s="66"/>
      <c r="L848" s="66"/>
      <c r="M848" s="66"/>
      <c r="N848" s="66"/>
    </row>
    <row r="849" spans="1:14" x14ac:dyDescent="0.2">
      <c r="A849" s="84"/>
      <c r="B849" s="84"/>
      <c r="C849" s="60"/>
      <c r="D849" s="66"/>
      <c r="E849" s="66"/>
      <c r="F849" s="66"/>
      <c r="G849" s="66"/>
      <c r="H849" s="66"/>
      <c r="I849" s="66"/>
      <c r="J849" s="66"/>
      <c r="K849" s="66"/>
      <c r="L849" s="66"/>
      <c r="M849" s="66"/>
      <c r="N849" s="66"/>
    </row>
    <row r="850" spans="1:14" x14ac:dyDescent="0.2">
      <c r="A850" s="84"/>
      <c r="B850" s="84"/>
      <c r="C850" s="60"/>
      <c r="D850" s="66"/>
      <c r="E850" s="66"/>
      <c r="F850" s="66"/>
      <c r="G850" s="66"/>
      <c r="H850" s="66"/>
      <c r="I850" s="66"/>
      <c r="J850" s="66"/>
      <c r="K850" s="66"/>
      <c r="L850" s="66"/>
      <c r="M850" s="66"/>
      <c r="N850" s="66"/>
    </row>
    <row r="851" spans="1:14" x14ac:dyDescent="0.2">
      <c r="A851" s="84"/>
      <c r="B851" s="84"/>
      <c r="C851" s="60"/>
      <c r="D851" s="66"/>
      <c r="E851" s="66"/>
      <c r="F851" s="66"/>
      <c r="G851" s="66"/>
      <c r="H851" s="66"/>
      <c r="I851" s="66"/>
      <c r="J851" s="66"/>
      <c r="K851" s="66"/>
      <c r="L851" s="66"/>
      <c r="M851" s="66"/>
      <c r="N851" s="66"/>
    </row>
    <row r="852" spans="1:14" x14ac:dyDescent="0.2">
      <c r="A852" s="84"/>
      <c r="B852" s="84"/>
      <c r="C852" s="60"/>
      <c r="D852" s="66"/>
      <c r="E852" s="66"/>
      <c r="F852" s="66"/>
      <c r="G852" s="66"/>
      <c r="H852" s="66"/>
      <c r="I852" s="66"/>
      <c r="J852" s="66"/>
      <c r="K852" s="66"/>
      <c r="L852" s="66"/>
      <c r="M852" s="66"/>
      <c r="N852" s="66"/>
    </row>
    <row r="853" spans="1:14" x14ac:dyDescent="0.2">
      <c r="A853" s="84"/>
      <c r="B853" s="84"/>
      <c r="C853" s="60"/>
      <c r="D853" s="66"/>
      <c r="E853" s="66"/>
      <c r="F853" s="66"/>
      <c r="G853" s="66"/>
      <c r="H853" s="66"/>
      <c r="I853" s="66"/>
      <c r="J853" s="66"/>
      <c r="K853" s="66"/>
      <c r="L853" s="66"/>
      <c r="M853" s="66"/>
      <c r="N853" s="66"/>
    </row>
    <row r="854" spans="1:14" x14ac:dyDescent="0.2">
      <c r="A854" s="84"/>
      <c r="B854" s="84"/>
      <c r="C854" s="60"/>
      <c r="D854" s="66"/>
      <c r="E854" s="66"/>
      <c r="F854" s="66"/>
      <c r="G854" s="66"/>
      <c r="H854" s="66"/>
      <c r="I854" s="66"/>
      <c r="J854" s="66"/>
      <c r="K854" s="66"/>
      <c r="L854" s="66"/>
      <c r="M854" s="66"/>
      <c r="N854" s="66"/>
    </row>
    <row r="855" spans="1:14" x14ac:dyDescent="0.2">
      <c r="A855" s="84"/>
      <c r="B855" s="84"/>
      <c r="C855" s="60"/>
      <c r="D855" s="66"/>
      <c r="E855" s="66"/>
      <c r="F855" s="66"/>
      <c r="G855" s="66"/>
      <c r="H855" s="66"/>
      <c r="I855" s="66"/>
      <c r="J855" s="66"/>
      <c r="K855" s="66"/>
      <c r="L855" s="66"/>
      <c r="M855" s="66"/>
      <c r="N855" s="66"/>
    </row>
    <row r="856" spans="1:14" x14ac:dyDescent="0.2">
      <c r="A856" s="84"/>
      <c r="B856" s="84"/>
      <c r="C856" s="60"/>
      <c r="D856" s="66"/>
      <c r="E856" s="66"/>
      <c r="F856" s="66"/>
      <c r="G856" s="66"/>
      <c r="H856" s="66"/>
      <c r="I856" s="66"/>
      <c r="J856" s="66"/>
      <c r="K856" s="66"/>
      <c r="L856" s="66"/>
      <c r="M856" s="66"/>
      <c r="N856" s="66"/>
    </row>
    <row r="857" spans="1:14" x14ac:dyDescent="0.2">
      <c r="A857" s="84"/>
      <c r="B857" s="84"/>
      <c r="C857" s="60"/>
      <c r="D857" s="66"/>
      <c r="E857" s="66"/>
      <c r="F857" s="66"/>
      <c r="G857" s="66"/>
      <c r="H857" s="66"/>
      <c r="I857" s="66"/>
      <c r="J857" s="66"/>
      <c r="K857" s="66"/>
      <c r="L857" s="66"/>
      <c r="M857" s="66"/>
      <c r="N857" s="66"/>
    </row>
    <row r="858" spans="1:14" x14ac:dyDescent="0.2">
      <c r="A858" s="84"/>
      <c r="B858" s="84"/>
      <c r="C858" s="60"/>
      <c r="D858" s="66"/>
      <c r="E858" s="66"/>
      <c r="F858" s="66"/>
      <c r="G858" s="66"/>
      <c r="H858" s="66"/>
      <c r="I858" s="66"/>
      <c r="J858" s="66"/>
      <c r="K858" s="66"/>
      <c r="L858" s="66"/>
      <c r="M858" s="66"/>
      <c r="N858" s="66"/>
    </row>
    <row r="859" spans="1:14" x14ac:dyDescent="0.2">
      <c r="A859" s="84"/>
      <c r="B859" s="84"/>
      <c r="C859" s="60"/>
      <c r="D859" s="66"/>
      <c r="E859" s="66"/>
      <c r="F859" s="66"/>
      <c r="G859" s="66"/>
      <c r="H859" s="66"/>
      <c r="I859" s="66"/>
      <c r="J859" s="66"/>
      <c r="K859" s="66"/>
      <c r="L859" s="66"/>
      <c r="M859" s="66"/>
      <c r="N859" s="66"/>
    </row>
    <row r="860" spans="1:14" x14ac:dyDescent="0.2">
      <c r="A860" s="84"/>
      <c r="B860" s="84"/>
      <c r="C860" s="60"/>
      <c r="D860" s="66"/>
      <c r="E860" s="66"/>
      <c r="F860" s="66"/>
      <c r="G860" s="66"/>
      <c r="H860" s="66"/>
      <c r="I860" s="66"/>
      <c r="J860" s="66"/>
      <c r="K860" s="66"/>
      <c r="L860" s="66"/>
      <c r="M860" s="66"/>
      <c r="N860" s="66"/>
    </row>
    <row r="861" spans="1:14" x14ac:dyDescent="0.2">
      <c r="A861" s="84"/>
      <c r="B861" s="84"/>
      <c r="C861" s="60"/>
      <c r="D861" s="66"/>
      <c r="E861" s="66"/>
      <c r="F861" s="66"/>
      <c r="G861" s="66"/>
      <c r="H861" s="66"/>
      <c r="I861" s="66"/>
      <c r="J861" s="66"/>
      <c r="K861" s="66"/>
      <c r="L861" s="66"/>
      <c r="M861" s="66"/>
      <c r="N861" s="66"/>
    </row>
    <row r="862" spans="1:14" x14ac:dyDescent="0.2">
      <c r="A862" s="84"/>
      <c r="B862" s="84"/>
      <c r="C862" s="60"/>
      <c r="D862" s="66"/>
      <c r="E862" s="66"/>
      <c r="F862" s="66"/>
      <c r="G862" s="66"/>
      <c r="H862" s="66"/>
      <c r="I862" s="66"/>
      <c r="J862" s="66"/>
      <c r="K862" s="66"/>
      <c r="L862" s="66"/>
      <c r="M862" s="66"/>
      <c r="N862" s="66"/>
    </row>
    <row r="863" spans="1:14" x14ac:dyDescent="0.2">
      <c r="A863" s="84"/>
      <c r="B863" s="84"/>
      <c r="C863" s="60"/>
      <c r="D863" s="66"/>
      <c r="E863" s="66"/>
      <c r="F863" s="66"/>
      <c r="G863" s="66"/>
      <c r="H863" s="66"/>
      <c r="I863" s="66"/>
      <c r="J863" s="66"/>
      <c r="K863" s="66"/>
      <c r="L863" s="66"/>
      <c r="M863" s="66"/>
      <c r="N863" s="66"/>
    </row>
    <row r="864" spans="1:14" x14ac:dyDescent="0.2">
      <c r="A864" s="84"/>
      <c r="B864" s="84"/>
      <c r="C864" s="60"/>
      <c r="D864" s="66"/>
      <c r="E864" s="66"/>
      <c r="F864" s="66"/>
      <c r="G864" s="66"/>
      <c r="H864" s="66"/>
      <c r="I864" s="66"/>
      <c r="J864" s="66"/>
      <c r="K864" s="66"/>
      <c r="L864" s="66"/>
      <c r="M864" s="66"/>
      <c r="N864" s="66"/>
    </row>
    <row r="865" spans="1:14" x14ac:dyDescent="0.2">
      <c r="A865" s="84"/>
      <c r="B865" s="84"/>
      <c r="C865" s="60"/>
      <c r="D865" s="66"/>
      <c r="E865" s="66"/>
      <c r="F865" s="66"/>
      <c r="G865" s="66"/>
      <c r="H865" s="66"/>
      <c r="I865" s="66"/>
      <c r="J865" s="66"/>
      <c r="K865" s="66"/>
      <c r="L865" s="66"/>
      <c r="M865" s="66"/>
      <c r="N865" s="66"/>
    </row>
    <row r="866" spans="1:14" x14ac:dyDescent="0.2">
      <c r="A866" s="84"/>
      <c r="B866" s="84"/>
      <c r="C866" s="60"/>
      <c r="D866" s="66"/>
      <c r="E866" s="66"/>
      <c r="F866" s="66"/>
      <c r="G866" s="66"/>
      <c r="H866" s="66"/>
      <c r="I866" s="66"/>
      <c r="J866" s="66"/>
      <c r="K866" s="66"/>
      <c r="L866" s="66"/>
      <c r="M866" s="66"/>
      <c r="N866" s="66"/>
    </row>
    <row r="867" spans="1:14" x14ac:dyDescent="0.2">
      <c r="A867" s="84"/>
      <c r="B867" s="84"/>
      <c r="C867" s="60"/>
      <c r="D867" s="66"/>
      <c r="E867" s="66"/>
      <c r="F867" s="66"/>
      <c r="G867" s="66"/>
      <c r="H867" s="66"/>
      <c r="I867" s="66"/>
      <c r="J867" s="66"/>
      <c r="K867" s="66"/>
      <c r="L867" s="66"/>
      <c r="M867" s="66"/>
      <c r="N867" s="66"/>
    </row>
    <row r="868" spans="1:14" x14ac:dyDescent="0.2">
      <c r="A868" s="84"/>
      <c r="B868" s="84"/>
      <c r="C868" s="60"/>
      <c r="D868" s="66"/>
      <c r="E868" s="66"/>
      <c r="F868" s="66"/>
      <c r="G868" s="66"/>
      <c r="H868" s="66"/>
      <c r="I868" s="66"/>
      <c r="J868" s="66"/>
      <c r="K868" s="66"/>
      <c r="L868" s="66"/>
      <c r="M868" s="66"/>
      <c r="N868" s="66"/>
    </row>
    <row r="869" spans="1:14" x14ac:dyDescent="0.2">
      <c r="A869" s="84"/>
      <c r="B869" s="84"/>
      <c r="C869" s="60"/>
      <c r="D869" s="66"/>
      <c r="E869" s="66"/>
      <c r="F869" s="66"/>
      <c r="G869" s="66"/>
      <c r="H869" s="66"/>
      <c r="I869" s="66"/>
      <c r="J869" s="66"/>
      <c r="K869" s="66"/>
      <c r="L869" s="66"/>
      <c r="M869" s="66"/>
      <c r="N869" s="66"/>
    </row>
    <row r="870" spans="1:14" x14ac:dyDescent="0.2">
      <c r="A870" s="84"/>
      <c r="B870" s="84"/>
      <c r="C870" s="60"/>
      <c r="D870" s="66"/>
      <c r="E870" s="66"/>
      <c r="F870" s="66"/>
      <c r="G870" s="66"/>
      <c r="H870" s="66"/>
      <c r="I870" s="66"/>
      <c r="J870" s="66"/>
      <c r="K870" s="66"/>
      <c r="L870" s="66"/>
      <c r="M870" s="66"/>
      <c r="N870" s="66"/>
    </row>
    <row r="871" spans="1:14" x14ac:dyDescent="0.2">
      <c r="A871" s="84"/>
      <c r="B871" s="84"/>
      <c r="C871" s="60"/>
      <c r="D871" s="66"/>
      <c r="E871" s="66"/>
      <c r="F871" s="66"/>
      <c r="G871" s="66"/>
      <c r="H871" s="66"/>
      <c r="I871" s="66"/>
      <c r="J871" s="66"/>
      <c r="K871" s="66"/>
      <c r="L871" s="66"/>
      <c r="M871" s="66"/>
      <c r="N871" s="66"/>
    </row>
    <row r="872" spans="1:14" x14ac:dyDescent="0.2">
      <c r="A872" s="84"/>
      <c r="B872" s="84"/>
      <c r="C872" s="60"/>
      <c r="D872" s="66"/>
      <c r="E872" s="66"/>
      <c r="F872" s="66"/>
      <c r="G872" s="66"/>
      <c r="H872" s="66"/>
      <c r="I872" s="66"/>
      <c r="J872" s="66"/>
      <c r="K872" s="66"/>
      <c r="L872" s="66"/>
      <c r="M872" s="66"/>
      <c r="N872" s="66"/>
    </row>
    <row r="873" spans="1:14" x14ac:dyDescent="0.2">
      <c r="A873" s="84"/>
      <c r="B873" s="84"/>
      <c r="C873" s="60"/>
      <c r="D873" s="66"/>
      <c r="E873" s="66"/>
      <c r="F873" s="66"/>
      <c r="G873" s="66"/>
      <c r="H873" s="66"/>
      <c r="I873" s="66"/>
      <c r="J873" s="66"/>
      <c r="K873" s="66"/>
      <c r="L873" s="66"/>
      <c r="M873" s="66"/>
      <c r="N873" s="66"/>
    </row>
    <row r="874" spans="1:14" x14ac:dyDescent="0.2">
      <c r="A874" s="84"/>
      <c r="B874" s="84"/>
      <c r="C874" s="60"/>
      <c r="D874" s="66"/>
      <c r="E874" s="66"/>
      <c r="F874" s="66"/>
      <c r="G874" s="66"/>
      <c r="H874" s="66"/>
      <c r="I874" s="66"/>
      <c r="J874" s="66"/>
      <c r="K874" s="66"/>
      <c r="L874" s="66"/>
      <c r="M874" s="66"/>
      <c r="N874" s="66"/>
    </row>
    <row r="875" spans="1:14" x14ac:dyDescent="0.2">
      <c r="A875" s="84"/>
      <c r="B875" s="84"/>
      <c r="C875" s="60"/>
      <c r="D875" s="66"/>
      <c r="E875" s="66"/>
      <c r="F875" s="66"/>
      <c r="G875" s="66"/>
      <c r="H875" s="66"/>
      <c r="I875" s="66"/>
      <c r="J875" s="66"/>
      <c r="K875" s="66"/>
      <c r="L875" s="66"/>
      <c r="M875" s="66"/>
      <c r="N875" s="66"/>
    </row>
    <row r="876" spans="1:14" x14ac:dyDescent="0.2">
      <c r="A876" s="84"/>
      <c r="B876" s="84"/>
      <c r="C876" s="60"/>
      <c r="D876" s="66"/>
      <c r="E876" s="66"/>
      <c r="F876" s="66"/>
      <c r="G876" s="66"/>
      <c r="H876" s="66"/>
      <c r="I876" s="66"/>
      <c r="J876" s="66"/>
      <c r="K876" s="66"/>
      <c r="L876" s="66"/>
      <c r="M876" s="66"/>
      <c r="N876" s="66"/>
    </row>
    <row r="877" spans="1:14" x14ac:dyDescent="0.2">
      <c r="A877" s="84"/>
      <c r="B877" s="84"/>
      <c r="C877" s="60"/>
      <c r="D877" s="66"/>
      <c r="E877" s="66"/>
      <c r="F877" s="66"/>
      <c r="G877" s="66"/>
      <c r="H877" s="66"/>
      <c r="I877" s="66"/>
      <c r="J877" s="66"/>
      <c r="K877" s="66"/>
      <c r="L877" s="66"/>
      <c r="M877" s="66"/>
      <c r="N877" s="66"/>
    </row>
    <row r="878" spans="1:14" x14ac:dyDescent="0.2">
      <c r="A878" s="84"/>
      <c r="B878" s="84"/>
      <c r="C878" s="60"/>
      <c r="D878" s="66"/>
      <c r="E878" s="66"/>
      <c r="F878" s="66"/>
      <c r="G878" s="66"/>
      <c r="H878" s="66"/>
      <c r="I878" s="66"/>
      <c r="J878" s="66"/>
      <c r="K878" s="66"/>
      <c r="L878" s="66"/>
      <c r="M878" s="66"/>
      <c r="N878" s="66"/>
    </row>
    <row r="879" spans="1:14" x14ac:dyDescent="0.2">
      <c r="A879" s="84"/>
      <c r="B879" s="84"/>
      <c r="C879" s="60"/>
      <c r="D879" s="66"/>
      <c r="E879" s="66"/>
      <c r="F879" s="66"/>
      <c r="G879" s="66"/>
      <c r="H879" s="66"/>
      <c r="I879" s="66"/>
      <c r="J879" s="66"/>
      <c r="K879" s="66"/>
      <c r="L879" s="66"/>
      <c r="M879" s="66"/>
      <c r="N879" s="66"/>
    </row>
    <row r="880" spans="1:14" x14ac:dyDescent="0.2">
      <c r="A880" s="84"/>
      <c r="B880" s="84"/>
      <c r="C880" s="60"/>
      <c r="D880" s="66"/>
      <c r="E880" s="66"/>
      <c r="F880" s="66"/>
      <c r="G880" s="66"/>
      <c r="H880" s="66"/>
      <c r="I880" s="66"/>
      <c r="J880" s="66"/>
      <c r="K880" s="66"/>
      <c r="L880" s="66"/>
      <c r="M880" s="66"/>
      <c r="N880" s="66"/>
    </row>
    <row r="881" spans="1:14" x14ac:dyDescent="0.2">
      <c r="A881" s="84"/>
      <c r="B881" s="84"/>
      <c r="C881" s="60"/>
      <c r="D881" s="66"/>
      <c r="E881" s="66"/>
      <c r="F881" s="66"/>
      <c r="G881" s="66"/>
      <c r="H881" s="66"/>
      <c r="I881" s="66"/>
      <c r="J881" s="66"/>
      <c r="K881" s="66"/>
      <c r="L881" s="66"/>
      <c r="M881" s="66"/>
      <c r="N881" s="66"/>
    </row>
    <row r="882" spans="1:14" x14ac:dyDescent="0.2">
      <c r="A882" s="84"/>
      <c r="B882" s="84"/>
      <c r="C882" s="60"/>
      <c r="D882" s="66"/>
      <c r="E882" s="66"/>
      <c r="F882" s="66"/>
      <c r="G882" s="66"/>
      <c r="H882" s="66"/>
      <c r="I882" s="66"/>
      <c r="J882" s="66"/>
      <c r="K882" s="66"/>
      <c r="L882" s="66"/>
      <c r="M882" s="66"/>
      <c r="N882" s="66"/>
    </row>
    <row r="883" spans="1:14" x14ac:dyDescent="0.2">
      <c r="A883" s="84"/>
      <c r="B883" s="84"/>
      <c r="C883" s="60"/>
      <c r="D883" s="66"/>
      <c r="E883" s="66"/>
      <c r="F883" s="66"/>
      <c r="G883" s="66"/>
      <c r="H883" s="66"/>
      <c r="I883" s="66"/>
      <c r="J883" s="66"/>
      <c r="K883" s="66"/>
      <c r="L883" s="66"/>
      <c r="M883" s="66"/>
      <c r="N883" s="66"/>
    </row>
    <row r="884" spans="1:14" x14ac:dyDescent="0.2">
      <c r="A884" s="84"/>
      <c r="B884" s="84"/>
      <c r="C884" s="60"/>
      <c r="D884" s="66"/>
      <c r="E884" s="66"/>
      <c r="F884" s="66"/>
      <c r="G884" s="66"/>
      <c r="H884" s="66"/>
      <c r="I884" s="66"/>
      <c r="J884" s="66"/>
      <c r="K884" s="66"/>
      <c r="L884" s="66"/>
      <c r="M884" s="66"/>
      <c r="N884" s="66"/>
    </row>
    <row r="885" spans="1:14" x14ac:dyDescent="0.2">
      <c r="A885" s="84"/>
      <c r="B885" s="84"/>
      <c r="C885" s="60"/>
      <c r="D885" s="66"/>
      <c r="E885" s="66"/>
      <c r="F885" s="66"/>
      <c r="G885" s="66"/>
      <c r="H885" s="66"/>
      <c r="I885" s="66"/>
      <c r="J885" s="66"/>
      <c r="K885" s="66"/>
      <c r="L885" s="66"/>
      <c r="M885" s="66"/>
      <c r="N885" s="66"/>
    </row>
    <row r="886" spans="1:14" x14ac:dyDescent="0.2">
      <c r="A886" s="84"/>
      <c r="B886" s="84"/>
      <c r="C886" s="60"/>
      <c r="D886" s="66"/>
      <c r="E886" s="66"/>
      <c r="F886" s="66"/>
      <c r="G886" s="66"/>
      <c r="H886" s="66"/>
      <c r="I886" s="66"/>
      <c r="J886" s="66"/>
      <c r="K886" s="66"/>
      <c r="L886" s="66"/>
      <c r="M886" s="66"/>
      <c r="N886" s="66"/>
    </row>
    <row r="887" spans="1:14" x14ac:dyDescent="0.2">
      <c r="A887" s="84"/>
      <c r="B887" s="84"/>
      <c r="C887" s="60"/>
      <c r="D887" s="66"/>
      <c r="E887" s="66"/>
      <c r="F887" s="66"/>
      <c r="G887" s="66"/>
      <c r="H887" s="66"/>
      <c r="I887" s="66"/>
      <c r="J887" s="66"/>
      <c r="K887" s="66"/>
      <c r="L887" s="66"/>
      <c r="M887" s="66"/>
      <c r="N887" s="66"/>
    </row>
    <row r="888" spans="1:14" x14ac:dyDescent="0.2">
      <c r="A888" s="84"/>
      <c r="B888" s="84"/>
      <c r="C888" s="60"/>
      <c r="D888" s="66"/>
      <c r="E888" s="66"/>
      <c r="F888" s="66"/>
      <c r="G888" s="66"/>
      <c r="H888" s="66"/>
      <c r="I888" s="66"/>
      <c r="J888" s="66"/>
      <c r="K888" s="66"/>
      <c r="L888" s="66"/>
      <c r="M888" s="66"/>
      <c r="N888" s="66"/>
    </row>
    <row r="889" spans="1:14" x14ac:dyDescent="0.2">
      <c r="A889" s="84"/>
      <c r="B889" s="84"/>
      <c r="C889" s="60"/>
      <c r="D889" s="66"/>
      <c r="E889" s="66"/>
      <c r="F889" s="66"/>
      <c r="G889" s="66"/>
      <c r="H889" s="66"/>
      <c r="I889" s="66"/>
      <c r="J889" s="66"/>
      <c r="K889" s="66"/>
      <c r="L889" s="66"/>
      <c r="M889" s="66"/>
      <c r="N889" s="66"/>
    </row>
    <row r="890" spans="1:14" x14ac:dyDescent="0.2">
      <c r="A890" s="84"/>
      <c r="B890" s="84"/>
      <c r="C890" s="60"/>
      <c r="D890" s="66"/>
      <c r="E890" s="66"/>
      <c r="F890" s="66"/>
      <c r="G890" s="66"/>
      <c r="H890" s="66"/>
      <c r="I890" s="66"/>
      <c r="J890" s="66"/>
      <c r="K890" s="66"/>
      <c r="L890" s="66"/>
      <c r="M890" s="66"/>
      <c r="N890" s="66"/>
    </row>
    <row r="891" spans="1:14" x14ac:dyDescent="0.2">
      <c r="A891" s="84"/>
      <c r="B891" s="84"/>
      <c r="C891" s="60"/>
      <c r="D891" s="66"/>
      <c r="E891" s="66"/>
      <c r="F891" s="66"/>
      <c r="G891" s="66"/>
      <c r="H891" s="66"/>
      <c r="I891" s="66"/>
      <c r="J891" s="66"/>
      <c r="K891" s="66"/>
      <c r="L891" s="66"/>
      <c r="M891" s="66"/>
      <c r="N891" s="66"/>
    </row>
    <row r="892" spans="1:14" x14ac:dyDescent="0.2">
      <c r="A892" s="84"/>
      <c r="B892" s="84"/>
      <c r="C892" s="60"/>
      <c r="D892" s="66"/>
      <c r="E892" s="66"/>
      <c r="F892" s="66"/>
      <c r="G892" s="66"/>
      <c r="H892" s="66"/>
      <c r="I892" s="66"/>
      <c r="J892" s="66"/>
      <c r="K892" s="66"/>
      <c r="L892" s="66"/>
      <c r="M892" s="66"/>
      <c r="N892" s="66"/>
    </row>
    <row r="893" spans="1:14" x14ac:dyDescent="0.2">
      <c r="A893" s="84"/>
      <c r="B893" s="84"/>
      <c r="C893" s="60"/>
      <c r="D893" s="66"/>
      <c r="E893" s="66"/>
      <c r="F893" s="66"/>
      <c r="G893" s="66"/>
      <c r="H893" s="66"/>
      <c r="I893" s="66"/>
      <c r="J893" s="66"/>
      <c r="K893" s="66"/>
      <c r="L893" s="66"/>
      <c r="M893" s="66"/>
      <c r="N893" s="66"/>
    </row>
    <row r="894" spans="1:14" x14ac:dyDescent="0.2">
      <c r="A894" s="84"/>
      <c r="B894" s="84"/>
      <c r="C894" s="60"/>
      <c r="D894" s="66"/>
      <c r="E894" s="66"/>
      <c r="F894" s="66"/>
      <c r="G894" s="66"/>
      <c r="H894" s="66"/>
      <c r="I894" s="66"/>
      <c r="J894" s="66"/>
      <c r="K894" s="66"/>
      <c r="L894" s="66"/>
      <c r="M894" s="66"/>
      <c r="N894" s="66"/>
    </row>
    <row r="895" spans="1:14" x14ac:dyDescent="0.2">
      <c r="A895" s="84"/>
      <c r="B895" s="84"/>
      <c r="C895" s="60"/>
      <c r="D895" s="66"/>
      <c r="E895" s="66"/>
      <c r="F895" s="66"/>
      <c r="G895" s="66"/>
      <c r="H895" s="66"/>
      <c r="I895" s="66"/>
      <c r="J895" s="66"/>
      <c r="K895" s="66"/>
      <c r="L895" s="66"/>
      <c r="M895" s="66"/>
      <c r="N895" s="66"/>
    </row>
    <row r="896" spans="1:14" x14ac:dyDescent="0.2">
      <c r="A896" s="84"/>
      <c r="B896" s="84"/>
      <c r="C896" s="60"/>
      <c r="D896" s="66"/>
      <c r="E896" s="66"/>
      <c r="F896" s="66"/>
      <c r="G896" s="66"/>
      <c r="H896" s="66"/>
      <c r="I896" s="66"/>
      <c r="J896" s="66"/>
      <c r="K896" s="66"/>
      <c r="L896" s="66"/>
      <c r="M896" s="66"/>
      <c r="N896" s="66"/>
    </row>
    <row r="897" spans="1:14" x14ac:dyDescent="0.2">
      <c r="A897" s="84"/>
      <c r="B897" s="84"/>
      <c r="C897" s="60"/>
      <c r="D897" s="66"/>
      <c r="E897" s="66"/>
      <c r="F897" s="66"/>
      <c r="G897" s="66"/>
      <c r="H897" s="66"/>
      <c r="I897" s="66"/>
      <c r="J897" s="66"/>
      <c r="K897" s="66"/>
      <c r="L897" s="66"/>
      <c r="M897" s="66"/>
      <c r="N897" s="66"/>
    </row>
    <row r="898" spans="1:14" x14ac:dyDescent="0.2">
      <c r="A898" s="84"/>
      <c r="B898" s="84"/>
      <c r="C898" s="60"/>
      <c r="D898" s="66"/>
      <c r="E898" s="66"/>
      <c r="F898" s="66"/>
      <c r="G898" s="66"/>
      <c r="H898" s="66"/>
      <c r="I898" s="66"/>
      <c r="J898" s="66"/>
      <c r="K898" s="66"/>
      <c r="L898" s="66"/>
      <c r="M898" s="66"/>
      <c r="N898" s="66"/>
    </row>
    <row r="899" spans="1:14" x14ac:dyDescent="0.2">
      <c r="A899" s="84"/>
      <c r="B899" s="84"/>
      <c r="C899" s="60"/>
      <c r="D899" s="66"/>
      <c r="E899" s="66"/>
      <c r="F899" s="66"/>
      <c r="G899" s="66"/>
      <c r="H899" s="66"/>
      <c r="I899" s="66"/>
      <c r="J899" s="66"/>
      <c r="K899" s="66"/>
      <c r="L899" s="66"/>
      <c r="M899" s="66"/>
      <c r="N899" s="66"/>
    </row>
    <row r="900" spans="1:14" x14ac:dyDescent="0.2">
      <c r="A900" s="84"/>
      <c r="B900" s="84"/>
      <c r="C900" s="60"/>
      <c r="D900" s="66"/>
      <c r="E900" s="66"/>
      <c r="F900" s="66"/>
      <c r="G900" s="66"/>
      <c r="H900" s="66"/>
      <c r="I900" s="66"/>
      <c r="J900" s="66"/>
      <c r="K900" s="66"/>
      <c r="L900" s="66"/>
      <c r="M900" s="66"/>
      <c r="N900" s="66"/>
    </row>
    <row r="901" spans="1:14" x14ac:dyDescent="0.2">
      <c r="A901" s="84"/>
      <c r="B901" s="84"/>
      <c r="C901" s="60"/>
      <c r="D901" s="66"/>
      <c r="E901" s="66"/>
      <c r="F901" s="66"/>
      <c r="G901" s="66"/>
      <c r="H901" s="66"/>
      <c r="I901" s="66"/>
      <c r="J901" s="66"/>
      <c r="K901" s="66"/>
      <c r="L901" s="66"/>
      <c r="M901" s="66"/>
      <c r="N901" s="66"/>
    </row>
    <row r="902" spans="1:14" x14ac:dyDescent="0.2">
      <c r="A902" s="84"/>
      <c r="B902" s="84"/>
      <c r="C902" s="60"/>
      <c r="D902" s="66"/>
      <c r="E902" s="66"/>
      <c r="F902" s="66"/>
      <c r="G902" s="66"/>
      <c r="H902" s="66"/>
      <c r="I902" s="66"/>
      <c r="J902" s="66"/>
      <c r="K902" s="66"/>
      <c r="L902" s="66"/>
      <c r="M902" s="66"/>
      <c r="N902" s="66"/>
    </row>
    <row r="903" spans="1:14" x14ac:dyDescent="0.2">
      <c r="A903" s="84"/>
      <c r="B903" s="84"/>
      <c r="C903" s="60"/>
      <c r="D903" s="66"/>
      <c r="E903" s="66"/>
      <c r="F903" s="66"/>
      <c r="G903" s="66"/>
      <c r="H903" s="66"/>
      <c r="I903" s="66"/>
      <c r="J903" s="66"/>
      <c r="K903" s="66"/>
      <c r="L903" s="66"/>
      <c r="M903" s="66"/>
      <c r="N903" s="66"/>
    </row>
    <row r="904" spans="1:14" x14ac:dyDescent="0.2">
      <c r="A904" s="84"/>
      <c r="B904" s="84"/>
      <c r="C904" s="60"/>
      <c r="D904" s="66"/>
      <c r="E904" s="66"/>
      <c r="F904" s="66"/>
      <c r="G904" s="66"/>
      <c r="H904" s="66"/>
      <c r="I904" s="66"/>
      <c r="J904" s="66"/>
      <c r="K904" s="66"/>
      <c r="L904" s="66"/>
      <c r="M904" s="66"/>
      <c r="N904" s="66"/>
    </row>
    <row r="905" spans="1:14" x14ac:dyDescent="0.2">
      <c r="A905" s="84"/>
      <c r="B905" s="84"/>
      <c r="C905" s="60"/>
      <c r="D905" s="66"/>
      <c r="E905" s="66"/>
      <c r="F905" s="66"/>
      <c r="G905" s="66"/>
      <c r="H905" s="66"/>
      <c r="I905" s="66"/>
      <c r="J905" s="66"/>
      <c r="K905" s="66"/>
      <c r="L905" s="66"/>
      <c r="M905" s="66"/>
      <c r="N905" s="66"/>
    </row>
    <row r="906" spans="1:14" x14ac:dyDescent="0.2">
      <c r="A906" s="84"/>
      <c r="B906" s="84"/>
      <c r="C906" s="60"/>
      <c r="D906" s="66"/>
      <c r="E906" s="66"/>
      <c r="F906" s="66"/>
      <c r="G906" s="66"/>
      <c r="H906" s="66"/>
      <c r="I906" s="66"/>
      <c r="J906" s="66"/>
      <c r="K906" s="66"/>
      <c r="L906" s="66"/>
      <c r="M906" s="66"/>
      <c r="N906" s="66"/>
    </row>
    <row r="907" spans="1:14" x14ac:dyDescent="0.2">
      <c r="A907" s="84"/>
      <c r="B907" s="84"/>
      <c r="C907" s="60"/>
      <c r="D907" s="66"/>
      <c r="E907" s="66"/>
      <c r="F907" s="66"/>
      <c r="G907" s="66"/>
      <c r="H907" s="66"/>
      <c r="I907" s="66"/>
      <c r="J907" s="66"/>
      <c r="K907" s="66"/>
      <c r="L907" s="66"/>
      <c r="M907" s="66"/>
      <c r="N907" s="66"/>
    </row>
    <row r="908" spans="1:14" x14ac:dyDescent="0.2">
      <c r="A908" s="84"/>
      <c r="B908" s="84"/>
      <c r="C908" s="60"/>
      <c r="D908" s="66"/>
      <c r="E908" s="66"/>
      <c r="F908" s="66"/>
      <c r="G908" s="66"/>
      <c r="H908" s="66"/>
      <c r="I908" s="66"/>
      <c r="J908" s="66"/>
      <c r="K908" s="66"/>
      <c r="L908" s="66"/>
      <c r="M908" s="66"/>
      <c r="N908" s="66"/>
    </row>
    <row r="909" spans="1:14" x14ac:dyDescent="0.2">
      <c r="A909" s="84"/>
      <c r="B909" s="84"/>
      <c r="C909" s="60"/>
      <c r="D909" s="66"/>
      <c r="E909" s="66"/>
      <c r="F909" s="66"/>
      <c r="G909" s="66"/>
      <c r="H909" s="66"/>
      <c r="I909" s="66"/>
      <c r="J909" s="66"/>
      <c r="K909" s="66"/>
      <c r="L909" s="66"/>
      <c r="M909" s="66"/>
      <c r="N909" s="66"/>
    </row>
    <row r="910" spans="1:14" x14ac:dyDescent="0.2">
      <c r="A910" s="84"/>
      <c r="B910" s="84"/>
      <c r="C910" s="60"/>
      <c r="D910" s="66"/>
      <c r="E910" s="66"/>
      <c r="F910" s="66"/>
      <c r="G910" s="66"/>
      <c r="H910" s="66"/>
      <c r="I910" s="66"/>
      <c r="J910" s="66"/>
      <c r="K910" s="66"/>
      <c r="L910" s="66"/>
      <c r="M910" s="66"/>
      <c r="N910" s="66"/>
    </row>
    <row r="911" spans="1:14" x14ac:dyDescent="0.2">
      <c r="A911" s="84"/>
      <c r="B911" s="84"/>
      <c r="C911" s="60"/>
      <c r="D911" s="66"/>
      <c r="E911" s="66"/>
      <c r="F911" s="66"/>
      <c r="G911" s="66"/>
      <c r="H911" s="66"/>
      <c r="I911" s="66"/>
      <c r="J911" s="66"/>
      <c r="K911" s="66"/>
      <c r="L911" s="66"/>
      <c r="M911" s="66"/>
      <c r="N911" s="66"/>
    </row>
    <row r="912" spans="1:14" x14ac:dyDescent="0.2">
      <c r="A912" s="84"/>
      <c r="B912" s="84"/>
      <c r="C912" s="60"/>
      <c r="D912" s="66"/>
      <c r="E912" s="66"/>
      <c r="F912" s="66"/>
      <c r="G912" s="66"/>
      <c r="H912" s="66"/>
      <c r="I912" s="66"/>
      <c r="J912" s="66"/>
      <c r="K912" s="66"/>
      <c r="L912" s="66"/>
      <c r="M912" s="66"/>
      <c r="N912" s="66"/>
    </row>
    <row r="913" spans="1:14" x14ac:dyDescent="0.2">
      <c r="A913" s="84"/>
      <c r="B913" s="84"/>
      <c r="C913" s="60"/>
      <c r="D913" s="66"/>
      <c r="E913" s="66"/>
      <c r="F913" s="66"/>
      <c r="G913" s="66"/>
      <c r="H913" s="66"/>
      <c r="I913" s="66"/>
      <c r="J913" s="66"/>
      <c r="K913" s="66"/>
      <c r="L913" s="66"/>
      <c r="M913" s="66"/>
      <c r="N913" s="66"/>
    </row>
    <row r="914" spans="1:14" x14ac:dyDescent="0.2">
      <c r="A914" s="84"/>
      <c r="B914" s="84"/>
      <c r="C914" s="60"/>
      <c r="D914" s="66"/>
      <c r="E914" s="66"/>
      <c r="F914" s="66"/>
      <c r="G914" s="66"/>
      <c r="H914" s="66"/>
      <c r="I914" s="66"/>
      <c r="J914" s="66"/>
      <c r="K914" s="66"/>
      <c r="L914" s="66"/>
      <c r="M914" s="66"/>
      <c r="N914" s="66"/>
    </row>
    <row r="915" spans="1:14" x14ac:dyDescent="0.2">
      <c r="A915" s="84"/>
      <c r="B915" s="84"/>
      <c r="C915" s="60"/>
      <c r="D915" s="66"/>
      <c r="E915" s="66"/>
      <c r="F915" s="66"/>
      <c r="G915" s="66"/>
      <c r="H915" s="66"/>
      <c r="I915" s="66"/>
      <c r="J915" s="66"/>
      <c r="K915" s="66"/>
      <c r="L915" s="66"/>
      <c r="M915" s="66"/>
      <c r="N915" s="66"/>
    </row>
    <row r="916" spans="1:14" x14ac:dyDescent="0.2">
      <c r="A916" s="84"/>
      <c r="B916" s="84"/>
      <c r="C916" s="60"/>
      <c r="D916" s="66"/>
      <c r="E916" s="66"/>
      <c r="F916" s="66"/>
      <c r="G916" s="66"/>
      <c r="H916" s="66"/>
      <c r="I916" s="66"/>
      <c r="J916" s="66"/>
      <c r="K916" s="66"/>
      <c r="L916" s="66"/>
      <c r="M916" s="66"/>
      <c r="N916" s="66"/>
    </row>
    <row r="917" spans="1:14" x14ac:dyDescent="0.2">
      <c r="A917" s="84"/>
      <c r="B917" s="84"/>
      <c r="C917" s="60"/>
      <c r="D917" s="66"/>
      <c r="E917" s="66"/>
      <c r="F917" s="66"/>
      <c r="G917" s="66"/>
      <c r="H917" s="66"/>
      <c r="I917" s="66"/>
      <c r="J917" s="66"/>
      <c r="K917" s="66"/>
      <c r="L917" s="66"/>
      <c r="M917" s="66"/>
      <c r="N917" s="66"/>
    </row>
    <row r="918" spans="1:14" x14ac:dyDescent="0.2">
      <c r="A918" s="84"/>
      <c r="B918" s="84"/>
      <c r="C918" s="60"/>
      <c r="D918" s="66"/>
      <c r="E918" s="66"/>
      <c r="F918" s="66"/>
      <c r="G918" s="66"/>
      <c r="H918" s="66"/>
      <c r="I918" s="66"/>
      <c r="J918" s="66"/>
      <c r="K918" s="66"/>
      <c r="L918" s="66"/>
      <c r="M918" s="66"/>
      <c r="N918" s="66"/>
    </row>
    <row r="919" spans="1:14" x14ac:dyDescent="0.2">
      <c r="A919" s="84"/>
      <c r="B919" s="84"/>
      <c r="C919" s="60"/>
      <c r="D919" s="66"/>
      <c r="E919" s="66"/>
      <c r="F919" s="66"/>
      <c r="G919" s="66"/>
      <c r="H919" s="66"/>
      <c r="I919" s="66"/>
      <c r="J919" s="66"/>
      <c r="K919" s="66"/>
      <c r="L919" s="66"/>
      <c r="M919" s="66"/>
      <c r="N919" s="66"/>
    </row>
    <row r="920" spans="1:14" x14ac:dyDescent="0.2">
      <c r="A920" s="84"/>
      <c r="B920" s="84"/>
      <c r="C920" s="60"/>
      <c r="D920" s="66"/>
      <c r="E920" s="66"/>
      <c r="F920" s="66"/>
      <c r="G920" s="66"/>
      <c r="H920" s="66"/>
      <c r="I920" s="66"/>
      <c r="J920" s="66"/>
      <c r="K920" s="66"/>
      <c r="L920" s="66"/>
      <c r="M920" s="66"/>
      <c r="N920" s="66"/>
    </row>
    <row r="921" spans="1:14" x14ac:dyDescent="0.2">
      <c r="A921" s="84"/>
      <c r="B921" s="84"/>
      <c r="C921" s="60"/>
      <c r="D921" s="66"/>
      <c r="E921" s="66"/>
      <c r="F921" s="66"/>
      <c r="G921" s="66"/>
      <c r="H921" s="66"/>
      <c r="I921" s="66"/>
      <c r="J921" s="66"/>
      <c r="K921" s="66"/>
      <c r="L921" s="66"/>
      <c r="M921" s="66"/>
      <c r="N921" s="66"/>
    </row>
    <row r="922" spans="1:14" x14ac:dyDescent="0.2">
      <c r="A922" s="84"/>
      <c r="B922" s="84"/>
      <c r="C922" s="60"/>
      <c r="D922" s="66"/>
      <c r="E922" s="66"/>
      <c r="F922" s="66"/>
      <c r="G922" s="66"/>
      <c r="H922" s="66"/>
      <c r="I922" s="66"/>
      <c r="J922" s="66"/>
      <c r="K922" s="66"/>
      <c r="L922" s="66"/>
      <c r="M922" s="66"/>
      <c r="N922" s="66"/>
    </row>
    <row r="923" spans="1:14" x14ac:dyDescent="0.2">
      <c r="A923" s="84"/>
      <c r="B923" s="84"/>
      <c r="C923" s="60"/>
      <c r="D923" s="66"/>
      <c r="E923" s="66"/>
      <c r="F923" s="66"/>
      <c r="G923" s="66"/>
      <c r="H923" s="66"/>
      <c r="I923" s="66"/>
      <c r="J923" s="66"/>
      <c r="K923" s="66"/>
      <c r="L923" s="66"/>
      <c r="M923" s="66"/>
      <c r="N923" s="66"/>
    </row>
    <row r="924" spans="1:14" x14ac:dyDescent="0.2">
      <c r="A924" s="84"/>
      <c r="B924" s="84"/>
      <c r="C924" s="60"/>
      <c r="D924" s="66"/>
      <c r="E924" s="66"/>
      <c r="F924" s="66"/>
      <c r="G924" s="66"/>
      <c r="H924" s="66"/>
      <c r="I924" s="66"/>
      <c r="J924" s="66"/>
      <c r="K924" s="66"/>
      <c r="L924" s="66"/>
      <c r="M924" s="66"/>
      <c r="N924" s="66"/>
    </row>
    <row r="925" spans="1:14" x14ac:dyDescent="0.2">
      <c r="A925" s="84"/>
      <c r="B925" s="84"/>
      <c r="C925" s="60"/>
      <c r="D925" s="66"/>
      <c r="E925" s="66"/>
      <c r="F925" s="66"/>
      <c r="G925" s="66"/>
      <c r="H925" s="66"/>
      <c r="I925" s="66"/>
      <c r="J925" s="66"/>
      <c r="K925" s="66"/>
      <c r="L925" s="66"/>
      <c r="M925" s="66"/>
      <c r="N925" s="66"/>
    </row>
    <row r="926" spans="1:14" x14ac:dyDescent="0.2">
      <c r="A926" s="84"/>
      <c r="B926" s="84"/>
      <c r="C926" s="60"/>
      <c r="D926" s="66"/>
      <c r="E926" s="66"/>
      <c r="F926" s="66"/>
      <c r="G926" s="66"/>
      <c r="H926" s="66"/>
      <c r="I926" s="66"/>
      <c r="J926" s="66"/>
      <c r="K926" s="66"/>
      <c r="L926" s="66"/>
      <c r="M926" s="66"/>
      <c r="N926" s="66"/>
    </row>
    <row r="927" spans="1:14" x14ac:dyDescent="0.2">
      <c r="A927" s="84"/>
      <c r="B927" s="84"/>
      <c r="C927" s="60"/>
      <c r="D927" s="66"/>
      <c r="E927" s="66"/>
      <c r="F927" s="66"/>
      <c r="G927" s="66"/>
      <c r="H927" s="66"/>
      <c r="I927" s="66"/>
      <c r="J927" s="66"/>
      <c r="K927" s="66"/>
      <c r="L927" s="66"/>
      <c r="M927" s="66"/>
      <c r="N927" s="66"/>
    </row>
    <row r="928" spans="1:14" x14ac:dyDescent="0.2">
      <c r="A928" s="84"/>
      <c r="B928" s="84"/>
      <c r="C928" s="60"/>
      <c r="D928" s="66"/>
      <c r="E928" s="66"/>
      <c r="F928" s="66"/>
      <c r="G928" s="66"/>
      <c r="H928" s="66"/>
      <c r="I928" s="66"/>
      <c r="J928" s="66"/>
      <c r="K928" s="66"/>
      <c r="L928" s="66"/>
      <c r="M928" s="66"/>
      <c r="N928" s="66"/>
    </row>
    <row r="929" spans="1:14" x14ac:dyDescent="0.2">
      <c r="A929" s="84"/>
      <c r="B929" s="84"/>
      <c r="C929" s="60"/>
      <c r="D929" s="66"/>
      <c r="E929" s="66"/>
      <c r="F929" s="66"/>
      <c r="G929" s="66"/>
      <c r="H929" s="66"/>
      <c r="I929" s="66"/>
      <c r="J929" s="66"/>
      <c r="K929" s="66"/>
      <c r="L929" s="66"/>
      <c r="M929" s="66"/>
      <c r="N929" s="66"/>
    </row>
    <row r="930" spans="1:14" x14ac:dyDescent="0.2">
      <c r="A930" s="84"/>
      <c r="B930" s="84"/>
      <c r="C930" s="60"/>
      <c r="D930" s="66"/>
      <c r="E930" s="66"/>
      <c r="F930" s="66"/>
      <c r="G930" s="66"/>
      <c r="H930" s="66"/>
      <c r="I930" s="66"/>
      <c r="J930" s="66"/>
      <c r="K930" s="66"/>
      <c r="L930" s="66"/>
      <c r="M930" s="66"/>
      <c r="N930" s="66"/>
    </row>
    <row r="931" spans="1:14" x14ac:dyDescent="0.2">
      <c r="A931" s="84"/>
      <c r="B931" s="84"/>
      <c r="C931" s="60"/>
      <c r="D931" s="66"/>
      <c r="E931" s="66"/>
      <c r="F931" s="66"/>
      <c r="G931" s="66"/>
      <c r="H931" s="66"/>
      <c r="I931" s="66"/>
      <c r="J931" s="66"/>
      <c r="K931" s="66"/>
      <c r="L931" s="66"/>
      <c r="M931" s="66"/>
      <c r="N931" s="66"/>
    </row>
    <row r="932" spans="1:14" x14ac:dyDescent="0.2">
      <c r="A932" s="84"/>
      <c r="B932" s="84"/>
      <c r="C932" s="60"/>
      <c r="D932" s="66"/>
      <c r="E932" s="66"/>
      <c r="F932" s="66"/>
      <c r="G932" s="66"/>
      <c r="H932" s="66"/>
      <c r="I932" s="66"/>
      <c r="J932" s="66"/>
      <c r="K932" s="66"/>
      <c r="L932" s="66"/>
      <c r="M932" s="66"/>
      <c r="N932" s="66"/>
    </row>
    <row r="933" spans="1:14" x14ac:dyDescent="0.2">
      <c r="A933" s="84"/>
      <c r="B933" s="84"/>
      <c r="C933" s="60"/>
      <c r="D933" s="66"/>
      <c r="E933" s="66"/>
      <c r="F933" s="66"/>
      <c r="G933" s="66"/>
      <c r="H933" s="66"/>
      <c r="I933" s="66"/>
      <c r="J933" s="66"/>
      <c r="K933" s="66"/>
      <c r="L933" s="66"/>
      <c r="M933" s="66"/>
      <c r="N933" s="66"/>
    </row>
    <row r="934" spans="1:14" x14ac:dyDescent="0.2">
      <c r="A934" s="84"/>
      <c r="B934" s="84"/>
      <c r="C934" s="60"/>
      <c r="D934" s="66"/>
      <c r="E934" s="66"/>
      <c r="F934" s="66"/>
      <c r="G934" s="66"/>
      <c r="H934" s="66"/>
      <c r="I934" s="66"/>
      <c r="J934" s="66"/>
      <c r="K934" s="66"/>
      <c r="L934" s="66"/>
      <c r="M934" s="66"/>
      <c r="N934" s="66"/>
    </row>
    <row r="935" spans="1:14" x14ac:dyDescent="0.2">
      <c r="A935" s="84"/>
      <c r="B935" s="84"/>
      <c r="C935" s="60"/>
      <c r="D935" s="66"/>
      <c r="E935" s="66"/>
      <c r="F935" s="66"/>
      <c r="G935" s="66"/>
      <c r="H935" s="66"/>
      <c r="I935" s="66"/>
      <c r="J935" s="66"/>
      <c r="K935" s="66"/>
      <c r="L935" s="66"/>
      <c r="M935" s="66"/>
      <c r="N935" s="66"/>
    </row>
    <row r="936" spans="1:14" x14ac:dyDescent="0.2">
      <c r="A936" s="84"/>
      <c r="B936" s="84"/>
      <c r="C936" s="60"/>
      <c r="D936" s="66"/>
      <c r="E936" s="66"/>
      <c r="F936" s="66"/>
      <c r="G936" s="66"/>
      <c r="H936" s="66"/>
      <c r="I936" s="66"/>
      <c r="J936" s="66"/>
      <c r="K936" s="66"/>
      <c r="L936" s="66"/>
      <c r="M936" s="66"/>
      <c r="N936" s="66"/>
    </row>
    <row r="937" spans="1:14" x14ac:dyDescent="0.2">
      <c r="A937" s="84"/>
      <c r="B937" s="84"/>
      <c r="C937" s="60"/>
      <c r="D937" s="66"/>
      <c r="E937" s="66"/>
      <c r="F937" s="66"/>
      <c r="G937" s="66"/>
      <c r="H937" s="66"/>
      <c r="I937" s="66"/>
      <c r="J937" s="66"/>
      <c r="K937" s="66"/>
      <c r="L937" s="66"/>
      <c r="M937" s="66"/>
      <c r="N937" s="66"/>
    </row>
    <row r="938" spans="1:14" x14ac:dyDescent="0.2">
      <c r="A938" s="84"/>
      <c r="B938" s="84"/>
      <c r="C938" s="60"/>
      <c r="D938" s="66"/>
      <c r="E938" s="66"/>
      <c r="F938" s="66"/>
      <c r="G938" s="66"/>
      <c r="H938" s="66"/>
      <c r="I938" s="66"/>
      <c r="J938" s="66"/>
      <c r="K938" s="66"/>
      <c r="L938" s="66"/>
      <c r="M938" s="66"/>
      <c r="N938" s="66"/>
    </row>
    <row r="939" spans="1:14" x14ac:dyDescent="0.2">
      <c r="A939" s="84"/>
      <c r="B939" s="84"/>
      <c r="C939" s="60"/>
      <c r="D939" s="66"/>
      <c r="E939" s="66"/>
      <c r="F939" s="66"/>
      <c r="G939" s="66"/>
      <c r="H939" s="66"/>
      <c r="I939" s="66"/>
      <c r="J939" s="66"/>
      <c r="K939" s="66"/>
      <c r="L939" s="66"/>
      <c r="M939" s="66"/>
      <c r="N939" s="66"/>
    </row>
    <row r="940" spans="1:14" x14ac:dyDescent="0.2">
      <c r="A940" s="84"/>
      <c r="B940" s="84"/>
      <c r="C940" s="60"/>
      <c r="D940" s="66"/>
      <c r="E940" s="66"/>
      <c r="F940" s="66"/>
      <c r="G940" s="66"/>
      <c r="H940" s="66"/>
      <c r="I940" s="66"/>
      <c r="J940" s="66"/>
      <c r="K940" s="66"/>
      <c r="L940" s="66"/>
      <c r="M940" s="66"/>
      <c r="N940" s="66"/>
    </row>
    <row r="941" spans="1:14" x14ac:dyDescent="0.2">
      <c r="A941" s="84"/>
      <c r="B941" s="84"/>
      <c r="C941" s="60"/>
      <c r="D941" s="66"/>
      <c r="E941" s="66"/>
      <c r="F941" s="66"/>
      <c r="G941" s="66"/>
      <c r="H941" s="66"/>
      <c r="I941" s="66"/>
      <c r="J941" s="66"/>
      <c r="K941" s="66"/>
      <c r="L941" s="66"/>
      <c r="M941" s="66"/>
      <c r="N941" s="66"/>
    </row>
    <row r="942" spans="1:14" x14ac:dyDescent="0.2">
      <c r="A942" s="84"/>
      <c r="B942" s="84"/>
      <c r="C942" s="60"/>
      <c r="D942" s="66"/>
      <c r="E942" s="66"/>
      <c r="F942" s="66"/>
      <c r="G942" s="66"/>
      <c r="H942" s="66"/>
      <c r="I942" s="66"/>
      <c r="J942" s="66"/>
      <c r="K942" s="66"/>
      <c r="L942" s="66"/>
      <c r="M942" s="66"/>
      <c r="N942" s="66"/>
    </row>
    <row r="943" spans="1:14" x14ac:dyDescent="0.2">
      <c r="A943" s="84"/>
      <c r="B943" s="84"/>
      <c r="C943" s="60"/>
      <c r="D943" s="66"/>
      <c r="E943" s="66"/>
      <c r="F943" s="66"/>
      <c r="G943" s="66"/>
      <c r="H943" s="66"/>
      <c r="I943" s="66"/>
      <c r="J943" s="66"/>
      <c r="K943" s="66"/>
      <c r="L943" s="66"/>
      <c r="M943" s="66"/>
      <c r="N943" s="66"/>
    </row>
    <row r="944" spans="1:14" x14ac:dyDescent="0.2">
      <c r="A944" s="84"/>
      <c r="B944" s="84"/>
      <c r="C944" s="60"/>
      <c r="D944" s="66"/>
      <c r="E944" s="66"/>
      <c r="F944" s="66"/>
      <c r="G944" s="66"/>
      <c r="H944" s="66"/>
      <c r="I944" s="66"/>
      <c r="J944" s="66"/>
      <c r="K944" s="66"/>
      <c r="L944" s="66"/>
      <c r="M944" s="66"/>
      <c r="N944" s="66"/>
    </row>
    <row r="945" spans="1:14" x14ac:dyDescent="0.2">
      <c r="A945" s="84"/>
      <c r="B945" s="84"/>
      <c r="C945" s="60"/>
      <c r="D945" s="66"/>
      <c r="E945" s="66"/>
      <c r="F945" s="66"/>
      <c r="G945" s="66"/>
      <c r="H945" s="66"/>
      <c r="I945" s="66"/>
      <c r="J945" s="66"/>
      <c r="K945" s="66"/>
      <c r="L945" s="66"/>
      <c r="M945" s="66"/>
      <c r="N945" s="66"/>
    </row>
    <row r="946" spans="1:14" x14ac:dyDescent="0.2">
      <c r="A946" s="84"/>
      <c r="B946" s="84"/>
      <c r="C946" s="60"/>
      <c r="D946" s="66"/>
      <c r="E946" s="66"/>
      <c r="F946" s="66"/>
      <c r="G946" s="66"/>
      <c r="H946" s="66"/>
      <c r="I946" s="66"/>
      <c r="J946" s="66"/>
      <c r="K946" s="66"/>
      <c r="L946" s="66"/>
      <c r="M946" s="66"/>
      <c r="N946" s="66"/>
    </row>
    <row r="947" spans="1:14" x14ac:dyDescent="0.2">
      <c r="A947" s="84"/>
      <c r="B947" s="84"/>
      <c r="C947" s="60"/>
      <c r="D947" s="66"/>
      <c r="E947" s="66"/>
      <c r="F947" s="66"/>
      <c r="G947" s="66"/>
      <c r="H947" s="66"/>
      <c r="I947" s="66"/>
      <c r="J947" s="66"/>
      <c r="K947" s="66"/>
      <c r="L947" s="66"/>
      <c r="M947" s="66"/>
      <c r="N947" s="66"/>
    </row>
    <row r="948" spans="1:14" x14ac:dyDescent="0.2">
      <c r="A948" s="84"/>
      <c r="B948" s="84"/>
      <c r="C948" s="60"/>
      <c r="D948" s="66"/>
      <c r="E948" s="66"/>
      <c r="F948" s="66"/>
      <c r="G948" s="66"/>
      <c r="H948" s="66"/>
      <c r="I948" s="66"/>
      <c r="J948" s="66"/>
      <c r="K948" s="66"/>
      <c r="L948" s="66"/>
      <c r="M948" s="66"/>
      <c r="N948" s="66"/>
    </row>
    <row r="949" spans="1:14" x14ac:dyDescent="0.2">
      <c r="A949" s="84"/>
      <c r="B949" s="84"/>
      <c r="C949" s="60"/>
      <c r="D949" s="66"/>
      <c r="E949" s="66"/>
      <c r="F949" s="66"/>
      <c r="G949" s="66"/>
      <c r="H949" s="66"/>
      <c r="I949" s="66"/>
      <c r="J949" s="66"/>
      <c r="K949" s="66"/>
      <c r="L949" s="66"/>
      <c r="M949" s="66"/>
      <c r="N949" s="66"/>
    </row>
    <row r="950" spans="1:14" x14ac:dyDescent="0.2">
      <c r="A950" s="84"/>
      <c r="B950" s="84"/>
      <c r="C950" s="60"/>
      <c r="D950" s="66"/>
      <c r="E950" s="66"/>
      <c r="F950" s="66"/>
      <c r="G950" s="66"/>
      <c r="H950" s="66"/>
      <c r="I950" s="66"/>
      <c r="J950" s="66"/>
      <c r="K950" s="66"/>
      <c r="L950" s="66"/>
      <c r="M950" s="66"/>
      <c r="N950" s="66"/>
    </row>
    <row r="951" spans="1:14" x14ac:dyDescent="0.2">
      <c r="A951" s="84"/>
      <c r="B951" s="84"/>
      <c r="C951" s="60"/>
      <c r="D951" s="66"/>
      <c r="E951" s="66"/>
      <c r="F951" s="66"/>
      <c r="G951" s="66"/>
      <c r="H951" s="66"/>
      <c r="I951" s="66"/>
      <c r="J951" s="66"/>
      <c r="K951" s="66"/>
      <c r="L951" s="66"/>
      <c r="M951" s="66"/>
      <c r="N951" s="66"/>
    </row>
    <row r="952" spans="1:14" x14ac:dyDescent="0.2">
      <c r="A952" s="84"/>
      <c r="B952" s="84"/>
      <c r="C952" s="60"/>
      <c r="D952" s="66"/>
      <c r="E952" s="66"/>
      <c r="F952" s="66"/>
      <c r="G952" s="66"/>
      <c r="H952" s="66"/>
      <c r="I952" s="66"/>
      <c r="J952" s="66"/>
      <c r="K952" s="66"/>
      <c r="L952" s="66"/>
      <c r="M952" s="66"/>
      <c r="N952" s="66"/>
    </row>
    <row r="953" spans="1:14" x14ac:dyDescent="0.2">
      <c r="A953" s="84"/>
      <c r="B953" s="84"/>
      <c r="C953" s="60"/>
      <c r="D953" s="66"/>
      <c r="E953" s="66"/>
      <c r="F953" s="66"/>
      <c r="G953" s="66"/>
      <c r="H953" s="66"/>
      <c r="I953" s="66"/>
      <c r="J953" s="66"/>
      <c r="K953" s="66"/>
      <c r="L953" s="66"/>
      <c r="M953" s="66"/>
      <c r="N953" s="66"/>
    </row>
    <row r="954" spans="1:14" x14ac:dyDescent="0.2">
      <c r="A954" s="84"/>
      <c r="B954" s="84"/>
      <c r="C954" s="60"/>
      <c r="D954" s="66"/>
      <c r="E954" s="66"/>
      <c r="F954" s="66"/>
      <c r="G954" s="66"/>
      <c r="H954" s="66"/>
      <c r="I954" s="66"/>
      <c r="J954" s="66"/>
      <c r="K954" s="66"/>
      <c r="L954" s="66"/>
      <c r="M954" s="66"/>
      <c r="N954" s="66"/>
    </row>
    <row r="955" spans="1:14" x14ac:dyDescent="0.2">
      <c r="A955" s="84"/>
      <c r="B955" s="84"/>
      <c r="C955" s="60"/>
      <c r="D955" s="66"/>
      <c r="E955" s="66"/>
      <c r="F955" s="66"/>
      <c r="G955" s="66"/>
      <c r="H955" s="66"/>
      <c r="I955" s="66"/>
      <c r="J955" s="66"/>
      <c r="K955" s="66"/>
      <c r="L955" s="66"/>
      <c r="M955" s="66"/>
      <c r="N955" s="66"/>
    </row>
    <row r="956" spans="1:14" x14ac:dyDescent="0.2">
      <c r="A956" s="84"/>
      <c r="B956" s="84"/>
      <c r="C956" s="60"/>
      <c r="D956" s="66"/>
      <c r="E956" s="66"/>
      <c r="F956" s="66"/>
      <c r="G956" s="66"/>
      <c r="H956" s="66"/>
      <c r="I956" s="66"/>
      <c r="J956" s="66"/>
      <c r="K956" s="66"/>
      <c r="L956" s="66"/>
      <c r="M956" s="66"/>
      <c r="N956" s="66"/>
    </row>
    <row r="957" spans="1:14" x14ac:dyDescent="0.2">
      <c r="A957" s="84"/>
      <c r="B957" s="84"/>
      <c r="C957" s="60"/>
      <c r="D957" s="66"/>
      <c r="E957" s="66"/>
      <c r="F957" s="66"/>
      <c r="G957" s="66"/>
      <c r="H957" s="66"/>
      <c r="I957" s="66"/>
      <c r="J957" s="66"/>
      <c r="K957" s="66"/>
      <c r="L957" s="66"/>
      <c r="M957" s="66"/>
      <c r="N957" s="66"/>
    </row>
    <row r="958" spans="1:14" x14ac:dyDescent="0.2">
      <c r="A958" s="84"/>
      <c r="B958" s="84"/>
      <c r="C958" s="60"/>
      <c r="D958" s="66"/>
      <c r="E958" s="66"/>
      <c r="F958" s="66"/>
      <c r="G958" s="66"/>
      <c r="H958" s="66"/>
      <c r="I958" s="66"/>
      <c r="J958" s="66"/>
      <c r="K958" s="66"/>
      <c r="L958" s="66"/>
      <c r="M958" s="66"/>
      <c r="N958" s="66"/>
    </row>
    <row r="959" spans="1:14" x14ac:dyDescent="0.2">
      <c r="A959" s="84"/>
      <c r="B959" s="84"/>
      <c r="C959" s="60"/>
      <c r="D959" s="66"/>
      <c r="E959" s="66"/>
      <c r="F959" s="66"/>
      <c r="G959" s="66"/>
      <c r="H959" s="66"/>
      <c r="I959" s="66"/>
      <c r="J959" s="66"/>
      <c r="K959" s="66"/>
      <c r="L959" s="66"/>
      <c r="M959" s="66"/>
      <c r="N959" s="66"/>
    </row>
    <row r="960" spans="1:14" x14ac:dyDescent="0.2">
      <c r="A960" s="84"/>
      <c r="B960" s="84"/>
      <c r="C960" s="60"/>
      <c r="D960" s="66"/>
      <c r="E960" s="66"/>
      <c r="F960" s="66"/>
      <c r="G960" s="66"/>
      <c r="H960" s="66"/>
      <c r="I960" s="66"/>
      <c r="J960" s="66"/>
      <c r="K960" s="66"/>
      <c r="L960" s="66"/>
      <c r="M960" s="66"/>
      <c r="N960" s="66"/>
    </row>
    <row r="961" spans="1:14" x14ac:dyDescent="0.2">
      <c r="A961" s="84"/>
      <c r="B961" s="84"/>
      <c r="C961" s="60"/>
      <c r="D961" s="66"/>
      <c r="E961" s="66"/>
      <c r="F961" s="66"/>
      <c r="G961" s="66"/>
      <c r="H961" s="66"/>
      <c r="I961" s="66"/>
      <c r="J961" s="66"/>
      <c r="K961" s="66"/>
      <c r="L961" s="66"/>
      <c r="M961" s="66"/>
      <c r="N961" s="66"/>
    </row>
    <row r="962" spans="1:14" x14ac:dyDescent="0.2">
      <c r="A962" s="84"/>
      <c r="B962" s="84"/>
      <c r="C962" s="60"/>
      <c r="D962" s="66"/>
      <c r="E962" s="66"/>
      <c r="F962" s="66"/>
      <c r="G962" s="66"/>
      <c r="H962" s="66"/>
      <c r="I962" s="66"/>
      <c r="J962" s="66"/>
      <c r="K962" s="66"/>
      <c r="L962" s="66"/>
      <c r="M962" s="66"/>
      <c r="N962" s="66"/>
    </row>
    <row r="963" spans="1:14" x14ac:dyDescent="0.2">
      <c r="A963" s="84"/>
      <c r="B963" s="84"/>
      <c r="C963" s="60"/>
      <c r="D963" s="66"/>
      <c r="E963" s="66"/>
      <c r="F963" s="66"/>
      <c r="G963" s="66"/>
      <c r="H963" s="66"/>
      <c r="I963" s="66"/>
      <c r="J963" s="66"/>
      <c r="K963" s="66"/>
      <c r="L963" s="66"/>
      <c r="M963" s="66"/>
      <c r="N963" s="66"/>
    </row>
    <row r="964" spans="1:14" x14ac:dyDescent="0.2">
      <c r="A964" s="84"/>
      <c r="B964" s="84"/>
      <c r="C964" s="60"/>
      <c r="D964" s="66"/>
      <c r="E964" s="66"/>
      <c r="F964" s="66"/>
      <c r="G964" s="66"/>
      <c r="H964" s="66"/>
      <c r="I964" s="66"/>
      <c r="J964" s="66"/>
      <c r="K964" s="66"/>
      <c r="L964" s="66"/>
      <c r="M964" s="66"/>
      <c r="N964" s="66"/>
    </row>
    <row r="965" spans="1:14" x14ac:dyDescent="0.2">
      <c r="A965" s="84"/>
      <c r="B965" s="84"/>
      <c r="C965" s="60"/>
      <c r="D965" s="66"/>
      <c r="E965" s="66"/>
      <c r="F965" s="66"/>
      <c r="G965" s="66"/>
      <c r="H965" s="66"/>
      <c r="I965" s="66"/>
      <c r="J965" s="66"/>
      <c r="K965" s="66"/>
      <c r="L965" s="66"/>
      <c r="M965" s="66"/>
      <c r="N965" s="66"/>
    </row>
    <row r="966" spans="1:14" x14ac:dyDescent="0.2">
      <c r="A966" s="84"/>
      <c r="B966" s="84"/>
      <c r="C966" s="60"/>
      <c r="D966" s="66"/>
      <c r="E966" s="66"/>
      <c r="F966" s="66"/>
      <c r="G966" s="66"/>
      <c r="H966" s="66"/>
      <c r="I966" s="66"/>
      <c r="J966" s="66"/>
      <c r="K966" s="66"/>
      <c r="L966" s="66"/>
      <c r="M966" s="66"/>
      <c r="N966" s="66"/>
    </row>
    <row r="967" spans="1:14" x14ac:dyDescent="0.2">
      <c r="A967" s="84"/>
      <c r="B967" s="84"/>
      <c r="C967" s="60"/>
      <c r="D967" s="66"/>
      <c r="E967" s="66"/>
      <c r="F967" s="66"/>
      <c r="G967" s="66"/>
      <c r="H967" s="66"/>
      <c r="I967" s="66"/>
      <c r="J967" s="66"/>
      <c r="K967" s="66"/>
      <c r="L967" s="66"/>
      <c r="M967" s="66"/>
      <c r="N967" s="66"/>
    </row>
    <row r="968" spans="1:14" x14ac:dyDescent="0.2">
      <c r="A968" s="84"/>
      <c r="B968" s="84"/>
      <c r="C968" s="60"/>
      <c r="D968" s="66"/>
      <c r="E968" s="66"/>
      <c r="F968" s="66"/>
      <c r="G968" s="66"/>
      <c r="H968" s="66"/>
      <c r="I968" s="66"/>
      <c r="J968" s="66"/>
      <c r="K968" s="66"/>
      <c r="L968" s="66"/>
      <c r="M968" s="66"/>
      <c r="N968" s="66"/>
    </row>
    <row r="969" spans="1:14" x14ac:dyDescent="0.2">
      <c r="A969" s="84"/>
      <c r="B969" s="84"/>
      <c r="C969" s="60"/>
      <c r="D969" s="66"/>
      <c r="E969" s="66"/>
      <c r="F969" s="66"/>
      <c r="G969" s="66"/>
      <c r="H969" s="66"/>
      <c r="I969" s="66"/>
      <c r="J969" s="66"/>
      <c r="K969" s="66"/>
      <c r="L969" s="66"/>
      <c r="M969" s="66"/>
      <c r="N969" s="66"/>
    </row>
    <row r="970" spans="1:14" x14ac:dyDescent="0.2">
      <c r="A970" s="84"/>
      <c r="B970" s="84"/>
      <c r="C970" s="60"/>
      <c r="D970" s="66"/>
      <c r="E970" s="66"/>
      <c r="F970" s="66"/>
      <c r="G970" s="66"/>
      <c r="H970" s="66"/>
      <c r="I970" s="66"/>
      <c r="J970" s="66"/>
      <c r="K970" s="66"/>
      <c r="L970" s="66"/>
      <c r="M970" s="66"/>
      <c r="N970" s="66"/>
    </row>
    <row r="971" spans="1:14" x14ac:dyDescent="0.2">
      <c r="A971" s="84"/>
      <c r="B971" s="84"/>
      <c r="C971" s="60"/>
      <c r="D971" s="66"/>
      <c r="E971" s="66"/>
      <c r="F971" s="66"/>
      <c r="G971" s="66"/>
      <c r="H971" s="66"/>
      <c r="I971" s="66"/>
      <c r="J971" s="66"/>
      <c r="K971" s="66"/>
      <c r="L971" s="66"/>
      <c r="M971" s="66"/>
      <c r="N971" s="66"/>
    </row>
    <row r="972" spans="1:14" x14ac:dyDescent="0.2">
      <c r="A972" s="84"/>
      <c r="B972" s="84"/>
      <c r="C972" s="60"/>
      <c r="D972" s="66"/>
      <c r="E972" s="66"/>
      <c r="F972" s="66"/>
      <c r="G972" s="66"/>
      <c r="H972" s="66"/>
      <c r="I972" s="66"/>
      <c r="J972" s="66"/>
      <c r="K972" s="66"/>
      <c r="L972" s="66"/>
      <c r="M972" s="66"/>
      <c r="N972" s="66"/>
    </row>
    <row r="973" spans="1:14" x14ac:dyDescent="0.2">
      <c r="A973" s="84"/>
      <c r="B973" s="84"/>
      <c r="C973" s="60"/>
      <c r="D973" s="66"/>
      <c r="E973" s="66"/>
      <c r="F973" s="66"/>
      <c r="G973" s="66"/>
      <c r="H973" s="66"/>
      <c r="I973" s="66"/>
      <c r="J973" s="66"/>
      <c r="K973" s="66"/>
      <c r="L973" s="66"/>
      <c r="M973" s="66"/>
      <c r="N973" s="66"/>
    </row>
    <row r="974" spans="1:14" x14ac:dyDescent="0.2">
      <c r="A974" s="84"/>
      <c r="B974" s="84"/>
      <c r="C974" s="60"/>
      <c r="D974" s="66"/>
      <c r="E974" s="66"/>
      <c r="F974" s="66"/>
      <c r="G974" s="66"/>
      <c r="H974" s="66"/>
      <c r="I974" s="66"/>
      <c r="J974" s="66"/>
      <c r="K974" s="66"/>
      <c r="L974" s="66"/>
      <c r="M974" s="66"/>
      <c r="N974" s="66"/>
    </row>
    <row r="975" spans="1:14" x14ac:dyDescent="0.2">
      <c r="A975" s="84"/>
      <c r="B975" s="84"/>
      <c r="C975" s="60"/>
      <c r="D975" s="66"/>
      <c r="E975" s="66"/>
      <c r="F975" s="66"/>
      <c r="G975" s="66"/>
      <c r="H975" s="66"/>
      <c r="I975" s="66"/>
      <c r="J975" s="66"/>
      <c r="K975" s="66"/>
      <c r="L975" s="66"/>
      <c r="M975" s="66"/>
      <c r="N975" s="66"/>
    </row>
    <row r="976" spans="1:14" x14ac:dyDescent="0.2">
      <c r="A976" s="84"/>
      <c r="B976" s="84"/>
      <c r="C976" s="60"/>
      <c r="D976" s="66"/>
      <c r="E976" s="66"/>
      <c r="F976" s="66"/>
      <c r="G976" s="66"/>
      <c r="H976" s="66"/>
      <c r="I976" s="66"/>
      <c r="J976" s="66"/>
      <c r="K976" s="66"/>
      <c r="L976" s="66"/>
      <c r="M976" s="66"/>
      <c r="N976" s="66"/>
    </row>
    <row r="977" spans="1:14" x14ac:dyDescent="0.2">
      <c r="A977" s="84"/>
      <c r="B977" s="84"/>
      <c r="C977" s="60"/>
      <c r="D977" s="66"/>
      <c r="E977" s="66"/>
      <c r="F977" s="66"/>
      <c r="G977" s="66"/>
      <c r="H977" s="66"/>
      <c r="I977" s="66"/>
      <c r="J977" s="66"/>
      <c r="K977" s="66"/>
      <c r="L977" s="66"/>
      <c r="M977" s="66"/>
      <c r="N977" s="66"/>
    </row>
    <row r="978" spans="1:14" x14ac:dyDescent="0.2">
      <c r="A978" s="84"/>
      <c r="B978" s="84"/>
      <c r="C978" s="60"/>
      <c r="D978" s="66"/>
      <c r="E978" s="66"/>
      <c r="F978" s="66"/>
      <c r="G978" s="66"/>
      <c r="H978" s="66"/>
      <c r="I978" s="66"/>
      <c r="J978" s="66"/>
      <c r="K978" s="66"/>
      <c r="L978" s="66"/>
      <c r="M978" s="66"/>
      <c r="N978" s="66"/>
    </row>
    <row r="979" spans="1:14" x14ac:dyDescent="0.2">
      <c r="A979" s="84"/>
      <c r="B979" s="84"/>
      <c r="C979" s="60"/>
      <c r="D979" s="66"/>
      <c r="E979" s="66"/>
      <c r="F979" s="66"/>
      <c r="G979" s="66"/>
      <c r="H979" s="66"/>
      <c r="I979" s="66"/>
      <c r="J979" s="66"/>
      <c r="K979" s="66"/>
      <c r="L979" s="66"/>
      <c r="M979" s="66"/>
      <c r="N979" s="66"/>
    </row>
    <row r="980" spans="1:14" x14ac:dyDescent="0.2">
      <c r="A980" s="84"/>
      <c r="B980" s="84"/>
      <c r="C980" s="60"/>
      <c r="D980" s="66"/>
      <c r="E980" s="66"/>
      <c r="F980" s="66"/>
      <c r="G980" s="66"/>
      <c r="H980" s="66"/>
      <c r="I980" s="66"/>
      <c r="J980" s="66"/>
      <c r="K980" s="66"/>
      <c r="L980" s="66"/>
      <c r="M980" s="66"/>
      <c r="N980" s="66"/>
    </row>
    <row r="981" spans="1:14" x14ac:dyDescent="0.2">
      <c r="A981" s="84"/>
      <c r="B981" s="84"/>
      <c r="C981" s="60"/>
      <c r="D981" s="66"/>
      <c r="E981" s="66"/>
      <c r="F981" s="66"/>
      <c r="G981" s="66"/>
      <c r="H981" s="66"/>
      <c r="I981" s="66"/>
      <c r="J981" s="66"/>
      <c r="K981" s="66"/>
      <c r="L981" s="66"/>
      <c r="M981" s="66"/>
      <c r="N981" s="66"/>
    </row>
    <row r="982" spans="1:14" x14ac:dyDescent="0.2">
      <c r="A982" s="84"/>
      <c r="B982" s="84"/>
      <c r="C982" s="60"/>
      <c r="D982" s="66"/>
      <c r="E982" s="66"/>
      <c r="F982" s="66"/>
      <c r="G982" s="66"/>
      <c r="H982" s="66"/>
      <c r="I982" s="66"/>
      <c r="J982" s="66"/>
      <c r="K982" s="66"/>
      <c r="L982" s="66"/>
      <c r="M982" s="66"/>
      <c r="N982" s="66"/>
    </row>
    <row r="983" spans="1:14" x14ac:dyDescent="0.2">
      <c r="A983" s="84"/>
      <c r="B983" s="84"/>
      <c r="C983" s="60"/>
      <c r="D983" s="66"/>
      <c r="E983" s="66"/>
      <c r="F983" s="66"/>
      <c r="G983" s="66"/>
      <c r="H983" s="66"/>
      <c r="I983" s="66"/>
      <c r="J983" s="66"/>
      <c r="K983" s="66"/>
      <c r="L983" s="66"/>
      <c r="M983" s="66"/>
      <c r="N983" s="66"/>
    </row>
    <row r="984" spans="1:14" x14ac:dyDescent="0.2">
      <c r="A984" s="84"/>
      <c r="B984" s="84"/>
      <c r="C984" s="60"/>
      <c r="D984" s="66"/>
      <c r="E984" s="66"/>
      <c r="F984" s="66"/>
      <c r="G984" s="66"/>
      <c r="H984" s="66"/>
      <c r="I984" s="66"/>
      <c r="J984" s="66"/>
      <c r="K984" s="66"/>
      <c r="L984" s="66"/>
      <c r="M984" s="66"/>
      <c r="N984" s="66"/>
    </row>
    <row r="985" spans="1:14" x14ac:dyDescent="0.2">
      <c r="A985" s="84"/>
      <c r="B985" s="84"/>
      <c r="C985" s="60"/>
      <c r="D985" s="66"/>
      <c r="E985" s="66"/>
      <c r="F985" s="66"/>
      <c r="G985" s="66"/>
      <c r="H985" s="66"/>
      <c r="I985" s="66"/>
      <c r="J985" s="66"/>
      <c r="K985" s="66"/>
      <c r="L985" s="66"/>
      <c r="M985" s="66"/>
      <c r="N985" s="66"/>
    </row>
    <row r="986" spans="1:14" x14ac:dyDescent="0.2">
      <c r="A986" s="84"/>
      <c r="B986" s="84"/>
      <c r="C986" s="60"/>
      <c r="D986" s="66"/>
      <c r="E986" s="66"/>
      <c r="F986" s="66"/>
      <c r="G986" s="66"/>
      <c r="H986" s="66"/>
      <c r="I986" s="66"/>
      <c r="J986" s="66"/>
      <c r="K986" s="66"/>
      <c r="L986" s="66"/>
      <c r="M986" s="66"/>
      <c r="N986" s="66"/>
    </row>
    <row r="987" spans="1:14" x14ac:dyDescent="0.2">
      <c r="A987" s="84"/>
      <c r="B987" s="84"/>
      <c r="C987" s="60"/>
      <c r="D987" s="66"/>
      <c r="E987" s="66"/>
      <c r="F987" s="66"/>
      <c r="G987" s="66"/>
      <c r="H987" s="66"/>
      <c r="I987" s="66"/>
      <c r="J987" s="66"/>
      <c r="K987" s="66"/>
      <c r="L987" s="66"/>
      <c r="M987" s="66"/>
      <c r="N987" s="66"/>
    </row>
    <row r="988" spans="1:14" x14ac:dyDescent="0.2">
      <c r="A988" s="84"/>
      <c r="B988" s="84"/>
      <c r="C988" s="60"/>
      <c r="D988" s="66"/>
      <c r="E988" s="66"/>
      <c r="F988" s="66"/>
      <c r="G988" s="66"/>
      <c r="H988" s="66"/>
      <c r="I988" s="66"/>
      <c r="J988" s="66"/>
      <c r="K988" s="66"/>
      <c r="L988" s="66"/>
      <c r="M988" s="66"/>
      <c r="N988" s="66"/>
    </row>
    <row r="989" spans="1:14" x14ac:dyDescent="0.2">
      <c r="A989" s="84"/>
      <c r="B989" s="84"/>
      <c r="C989" s="60"/>
      <c r="D989" s="66"/>
      <c r="E989" s="66"/>
      <c r="F989" s="66"/>
      <c r="G989" s="66"/>
      <c r="H989" s="66"/>
      <c r="I989" s="66"/>
      <c r="J989" s="66"/>
      <c r="K989" s="66"/>
      <c r="L989" s="66"/>
      <c r="M989" s="66"/>
      <c r="N989" s="66"/>
    </row>
    <row r="990" spans="1:14" x14ac:dyDescent="0.2">
      <c r="A990" s="84"/>
      <c r="B990" s="84"/>
      <c r="C990" s="60"/>
      <c r="D990" s="66"/>
      <c r="E990" s="66"/>
      <c r="F990" s="66"/>
      <c r="G990" s="66"/>
      <c r="H990" s="66"/>
      <c r="I990" s="66"/>
      <c r="J990" s="66"/>
      <c r="K990" s="66"/>
      <c r="L990" s="66"/>
      <c r="M990" s="66"/>
      <c r="N990" s="66"/>
    </row>
    <row r="991" spans="1:14" x14ac:dyDescent="0.2">
      <c r="A991" s="84"/>
      <c r="B991" s="84"/>
      <c r="C991" s="60"/>
      <c r="D991" s="66"/>
      <c r="E991" s="66"/>
      <c r="F991" s="66"/>
      <c r="G991" s="66"/>
      <c r="H991" s="66"/>
      <c r="I991" s="66"/>
      <c r="J991" s="66"/>
      <c r="K991" s="66"/>
      <c r="L991" s="66"/>
      <c r="M991" s="66"/>
      <c r="N991" s="66"/>
    </row>
    <row r="992" spans="1:14" x14ac:dyDescent="0.2">
      <c r="A992" s="84"/>
      <c r="B992" s="84"/>
      <c r="C992" s="60"/>
      <c r="D992" s="66"/>
      <c r="E992" s="66"/>
      <c r="F992" s="66"/>
      <c r="G992" s="66"/>
      <c r="H992" s="66"/>
      <c r="I992" s="66"/>
      <c r="J992" s="66"/>
      <c r="K992" s="66"/>
      <c r="L992" s="66"/>
      <c r="M992" s="66"/>
      <c r="N992" s="66"/>
    </row>
    <row r="993" spans="1:14" x14ac:dyDescent="0.2">
      <c r="A993" s="84"/>
      <c r="B993" s="84"/>
      <c r="C993" s="60"/>
      <c r="D993" s="66"/>
      <c r="E993" s="66"/>
      <c r="F993" s="66"/>
      <c r="G993" s="66"/>
      <c r="H993" s="66"/>
      <c r="I993" s="66"/>
      <c r="J993" s="66"/>
      <c r="K993" s="66"/>
      <c r="L993" s="66"/>
      <c r="M993" s="66"/>
      <c r="N993" s="66"/>
    </row>
    <row r="994" spans="1:14" x14ac:dyDescent="0.2">
      <c r="A994" s="84"/>
      <c r="B994" s="84"/>
      <c r="C994" s="60"/>
      <c r="D994" s="66"/>
      <c r="E994" s="66"/>
      <c r="F994" s="66"/>
      <c r="G994" s="66"/>
      <c r="H994" s="66"/>
      <c r="I994" s="66"/>
      <c r="J994" s="66"/>
      <c r="K994" s="66"/>
      <c r="L994" s="66"/>
      <c r="M994" s="66"/>
      <c r="N994" s="66"/>
    </row>
    <row r="995" spans="1:14" x14ac:dyDescent="0.2">
      <c r="A995" s="84"/>
      <c r="B995" s="84"/>
      <c r="C995" s="60"/>
      <c r="D995" s="66"/>
      <c r="E995" s="66"/>
      <c r="F995" s="66"/>
      <c r="G995" s="66"/>
      <c r="H995" s="66"/>
      <c r="I995" s="66"/>
      <c r="J995" s="66"/>
      <c r="K995" s="66"/>
      <c r="L995" s="66"/>
      <c r="M995" s="66"/>
      <c r="N995" s="66"/>
    </row>
    <row r="996" spans="1:14" x14ac:dyDescent="0.2">
      <c r="A996" s="84"/>
      <c r="B996" s="84"/>
      <c r="C996" s="60"/>
      <c r="D996" s="66"/>
      <c r="E996" s="66"/>
      <c r="F996" s="66"/>
      <c r="G996" s="66"/>
      <c r="H996" s="66"/>
      <c r="I996" s="66"/>
      <c r="J996" s="66"/>
      <c r="K996" s="66"/>
      <c r="L996" s="66"/>
      <c r="M996" s="66"/>
      <c r="N996" s="66"/>
    </row>
    <row r="997" spans="1:14" x14ac:dyDescent="0.2">
      <c r="A997" s="84"/>
      <c r="B997" s="84"/>
      <c r="C997" s="60"/>
      <c r="D997" s="66"/>
      <c r="E997" s="66"/>
      <c r="F997" s="66"/>
      <c r="G997" s="66"/>
      <c r="H997" s="66"/>
      <c r="I997" s="66"/>
      <c r="J997" s="66"/>
      <c r="K997" s="66"/>
      <c r="L997" s="66"/>
      <c r="M997" s="66"/>
      <c r="N997" s="66"/>
    </row>
    <row r="998" spans="1:14" x14ac:dyDescent="0.2">
      <c r="A998" s="84"/>
      <c r="B998" s="84"/>
      <c r="C998" s="60"/>
      <c r="D998" s="66"/>
      <c r="E998" s="66"/>
      <c r="F998" s="66"/>
      <c r="G998" s="66"/>
      <c r="H998" s="66"/>
      <c r="I998" s="66"/>
      <c r="J998" s="66"/>
      <c r="K998" s="66"/>
      <c r="L998" s="66"/>
      <c r="M998" s="66"/>
      <c r="N998" s="66"/>
    </row>
    <row r="999" spans="1:14" x14ac:dyDescent="0.2">
      <c r="A999" s="84"/>
      <c r="B999" s="84"/>
      <c r="C999" s="60"/>
      <c r="D999" s="66"/>
      <c r="E999" s="66"/>
      <c r="F999" s="66"/>
      <c r="G999" s="66"/>
      <c r="H999" s="66"/>
      <c r="I999" s="66"/>
      <c r="J999" s="66"/>
      <c r="K999" s="66"/>
      <c r="L999" s="66"/>
      <c r="M999" s="66"/>
      <c r="N999" s="66"/>
    </row>
    <row r="1000" spans="1:14" x14ac:dyDescent="0.2">
      <c r="A1000" s="84"/>
      <c r="B1000" s="84"/>
      <c r="C1000" s="60"/>
      <c r="D1000" s="66"/>
      <c r="E1000" s="66"/>
      <c r="F1000" s="66"/>
      <c r="G1000" s="66"/>
      <c r="H1000" s="66"/>
      <c r="I1000" s="66"/>
      <c r="J1000" s="66"/>
      <c r="K1000" s="66"/>
      <c r="L1000" s="66"/>
      <c r="M1000" s="66"/>
      <c r="N1000" s="66"/>
    </row>
    <row r="1001" spans="1:14" x14ac:dyDescent="0.2">
      <c r="A1001" s="84"/>
      <c r="B1001" s="84"/>
      <c r="C1001" s="60"/>
      <c r="D1001" s="66"/>
      <c r="E1001" s="66"/>
      <c r="F1001" s="66"/>
      <c r="G1001" s="66"/>
      <c r="H1001" s="66"/>
      <c r="I1001" s="66"/>
      <c r="J1001" s="66"/>
      <c r="K1001" s="66"/>
      <c r="L1001" s="66"/>
      <c r="M1001" s="66"/>
      <c r="N1001" s="66"/>
    </row>
    <row r="1002" spans="1:14" x14ac:dyDescent="0.2">
      <c r="A1002" s="84"/>
      <c r="B1002" s="84"/>
      <c r="C1002" s="60"/>
      <c r="D1002" s="66"/>
      <c r="E1002" s="66"/>
      <c r="F1002" s="66"/>
      <c r="G1002" s="66"/>
      <c r="H1002" s="66"/>
      <c r="I1002" s="66"/>
      <c r="J1002" s="66"/>
      <c r="K1002" s="66"/>
      <c r="L1002" s="66"/>
      <c r="M1002" s="66"/>
      <c r="N1002" s="66"/>
    </row>
    <row r="1003" spans="1:14" x14ac:dyDescent="0.2">
      <c r="A1003" s="84"/>
      <c r="B1003" s="84"/>
      <c r="C1003" s="60"/>
      <c r="D1003" s="66"/>
      <c r="E1003" s="66"/>
      <c r="F1003" s="66"/>
      <c r="G1003" s="66"/>
      <c r="H1003" s="66"/>
      <c r="I1003" s="66"/>
      <c r="J1003" s="66"/>
      <c r="K1003" s="66"/>
      <c r="L1003" s="66"/>
      <c r="M1003" s="66"/>
      <c r="N1003" s="66"/>
    </row>
    <row r="1004" spans="1:14" x14ac:dyDescent="0.2">
      <c r="A1004" s="84"/>
      <c r="B1004" s="84"/>
      <c r="C1004" s="60"/>
      <c r="D1004" s="66"/>
      <c r="E1004" s="66"/>
      <c r="F1004" s="66"/>
      <c r="G1004" s="66"/>
      <c r="H1004" s="66"/>
      <c r="I1004" s="66"/>
      <c r="J1004" s="66"/>
      <c r="K1004" s="66"/>
      <c r="L1004" s="66"/>
      <c r="M1004" s="66"/>
      <c r="N1004" s="66"/>
    </row>
    <row r="1005" spans="1:14" x14ac:dyDescent="0.2">
      <c r="A1005" s="84"/>
      <c r="B1005" s="84"/>
      <c r="C1005" s="60"/>
      <c r="D1005" s="66"/>
      <c r="E1005" s="66"/>
      <c r="F1005" s="66"/>
      <c r="G1005" s="66"/>
      <c r="H1005" s="66"/>
      <c r="I1005" s="66"/>
      <c r="J1005" s="66"/>
      <c r="K1005" s="66"/>
      <c r="L1005" s="66"/>
      <c r="M1005" s="66"/>
      <c r="N1005" s="66"/>
    </row>
    <row r="1006" spans="1:14" x14ac:dyDescent="0.2">
      <c r="A1006" s="84"/>
      <c r="B1006" s="84"/>
      <c r="C1006" s="60"/>
      <c r="D1006" s="66"/>
      <c r="E1006" s="66"/>
      <c r="F1006" s="66"/>
      <c r="G1006" s="66"/>
      <c r="H1006" s="66"/>
      <c r="I1006" s="66"/>
      <c r="J1006" s="66"/>
      <c r="K1006" s="66"/>
      <c r="L1006" s="66"/>
      <c r="M1006" s="66"/>
      <c r="N1006" s="66"/>
    </row>
    <row r="1007" spans="1:14" x14ac:dyDescent="0.2">
      <c r="A1007" s="84"/>
      <c r="B1007" s="84"/>
      <c r="C1007" s="60"/>
      <c r="D1007" s="66"/>
      <c r="E1007" s="66"/>
      <c r="F1007" s="66"/>
      <c r="G1007" s="66"/>
      <c r="H1007" s="66"/>
      <c r="I1007" s="66"/>
      <c r="J1007" s="66"/>
      <c r="K1007" s="66"/>
      <c r="L1007" s="66"/>
      <c r="M1007" s="66"/>
      <c r="N1007" s="66"/>
    </row>
    <row r="1008" spans="1:14" x14ac:dyDescent="0.2">
      <c r="A1008" s="84"/>
      <c r="B1008" s="84"/>
      <c r="C1008" s="60"/>
      <c r="D1008" s="66"/>
      <c r="E1008" s="66"/>
      <c r="F1008" s="66"/>
      <c r="G1008" s="66"/>
      <c r="H1008" s="66"/>
      <c r="I1008" s="66"/>
      <c r="J1008" s="66"/>
      <c r="K1008" s="66"/>
      <c r="L1008" s="66"/>
      <c r="M1008" s="66"/>
      <c r="N1008" s="66"/>
    </row>
    <row r="1009" spans="1:14" x14ac:dyDescent="0.2">
      <c r="A1009" s="84"/>
      <c r="B1009" s="84"/>
      <c r="C1009" s="60"/>
      <c r="D1009" s="66"/>
      <c r="E1009" s="66"/>
      <c r="F1009" s="66"/>
      <c r="G1009" s="66"/>
      <c r="H1009" s="66"/>
      <c r="I1009" s="66"/>
      <c r="J1009" s="66"/>
      <c r="K1009" s="66"/>
      <c r="L1009" s="66"/>
      <c r="M1009" s="66"/>
      <c r="N1009" s="66"/>
    </row>
    <row r="1010" spans="1:14" x14ac:dyDescent="0.2">
      <c r="A1010" s="84"/>
      <c r="B1010" s="84"/>
      <c r="C1010" s="60"/>
      <c r="D1010" s="66"/>
      <c r="E1010" s="66"/>
      <c r="F1010" s="66"/>
      <c r="G1010" s="66"/>
      <c r="H1010" s="66"/>
      <c r="I1010" s="66"/>
      <c r="J1010" s="66"/>
      <c r="K1010" s="66"/>
      <c r="L1010" s="66"/>
      <c r="M1010" s="66"/>
      <c r="N1010" s="66"/>
    </row>
    <row r="1011" spans="1:14" x14ac:dyDescent="0.2">
      <c r="A1011" s="84"/>
      <c r="B1011" s="84"/>
      <c r="C1011" s="60"/>
      <c r="D1011" s="66"/>
      <c r="E1011" s="66"/>
      <c r="F1011" s="66"/>
      <c r="G1011" s="66"/>
      <c r="H1011" s="66"/>
      <c r="I1011" s="66"/>
      <c r="J1011" s="66"/>
      <c r="K1011" s="66"/>
      <c r="L1011" s="66"/>
      <c r="M1011" s="66"/>
      <c r="N1011" s="66"/>
    </row>
    <row r="1012" spans="1:14" x14ac:dyDescent="0.2">
      <c r="A1012" s="84"/>
      <c r="B1012" s="84"/>
      <c r="C1012" s="60"/>
      <c r="D1012" s="66"/>
      <c r="E1012" s="66"/>
      <c r="F1012" s="66"/>
      <c r="G1012" s="66"/>
      <c r="H1012" s="66"/>
      <c r="I1012" s="66"/>
      <c r="J1012" s="66"/>
      <c r="K1012" s="66"/>
      <c r="L1012" s="66"/>
      <c r="M1012" s="66"/>
      <c r="N1012" s="66"/>
    </row>
    <row r="1013" spans="1:14" x14ac:dyDescent="0.2">
      <c r="A1013" s="84"/>
      <c r="B1013" s="84"/>
      <c r="C1013" s="60"/>
      <c r="D1013" s="66"/>
      <c r="E1013" s="66"/>
      <c r="F1013" s="66"/>
      <c r="G1013" s="66"/>
      <c r="H1013" s="66"/>
      <c r="I1013" s="66"/>
      <c r="J1013" s="66"/>
      <c r="K1013" s="66"/>
      <c r="L1013" s="66"/>
      <c r="M1013" s="66"/>
      <c r="N1013" s="66"/>
    </row>
    <row r="1014" spans="1:14" x14ac:dyDescent="0.2">
      <c r="A1014" s="84"/>
      <c r="B1014" s="84"/>
      <c r="C1014" s="60"/>
      <c r="D1014" s="66"/>
      <c r="E1014" s="66"/>
      <c r="F1014" s="66"/>
      <c r="G1014" s="66"/>
      <c r="H1014" s="66"/>
      <c r="I1014" s="66"/>
      <c r="J1014" s="66"/>
      <c r="K1014" s="66"/>
      <c r="L1014" s="66"/>
      <c r="M1014" s="66"/>
      <c r="N1014" s="66"/>
    </row>
    <row r="1015" spans="1:14" x14ac:dyDescent="0.2">
      <c r="A1015" s="84"/>
      <c r="B1015" s="84"/>
      <c r="C1015" s="60"/>
      <c r="D1015" s="66"/>
      <c r="E1015" s="66"/>
      <c r="F1015" s="66"/>
      <c r="G1015" s="66"/>
      <c r="H1015" s="66"/>
      <c r="I1015" s="66"/>
      <c r="J1015" s="66"/>
      <c r="K1015" s="66"/>
      <c r="L1015" s="66"/>
      <c r="M1015" s="66"/>
      <c r="N1015" s="66"/>
    </row>
    <row r="1016" spans="1:14" x14ac:dyDescent="0.2">
      <c r="A1016" s="84"/>
      <c r="B1016" s="84"/>
      <c r="C1016" s="60"/>
      <c r="D1016" s="66"/>
      <c r="E1016" s="66"/>
      <c r="F1016" s="66"/>
      <c r="G1016" s="66"/>
      <c r="H1016" s="66"/>
      <c r="I1016" s="66"/>
      <c r="J1016" s="66"/>
      <c r="K1016" s="66"/>
      <c r="L1016" s="66"/>
      <c r="M1016" s="66"/>
      <c r="N1016" s="66"/>
    </row>
    <row r="1017" spans="1:14" x14ac:dyDescent="0.2">
      <c r="A1017" s="84"/>
      <c r="B1017" s="84"/>
      <c r="C1017" s="60"/>
      <c r="D1017" s="66"/>
      <c r="E1017" s="66"/>
      <c r="F1017" s="66"/>
      <c r="G1017" s="66"/>
      <c r="H1017" s="66"/>
      <c r="I1017" s="66"/>
      <c r="J1017" s="66"/>
      <c r="K1017" s="66"/>
      <c r="L1017" s="66"/>
      <c r="M1017" s="66"/>
      <c r="N1017" s="66"/>
    </row>
    <row r="1018" spans="1:14" x14ac:dyDescent="0.2">
      <c r="A1018" s="84"/>
      <c r="B1018" s="84"/>
      <c r="C1018" s="60"/>
      <c r="D1018" s="66"/>
      <c r="E1018" s="66"/>
      <c r="F1018" s="66"/>
      <c r="G1018" s="66"/>
      <c r="H1018" s="66"/>
      <c r="I1018" s="66"/>
      <c r="J1018" s="66"/>
      <c r="K1018" s="66"/>
      <c r="L1018" s="66"/>
      <c r="M1018" s="66"/>
      <c r="N1018" s="66"/>
    </row>
    <row r="1019" spans="1:14" x14ac:dyDescent="0.2">
      <c r="A1019" s="84"/>
      <c r="B1019" s="84"/>
      <c r="C1019" s="60"/>
      <c r="D1019" s="66"/>
      <c r="E1019" s="66"/>
      <c r="F1019" s="66"/>
      <c r="G1019" s="66"/>
      <c r="H1019" s="66"/>
      <c r="I1019" s="66"/>
      <c r="J1019" s="66"/>
      <c r="K1019" s="66"/>
      <c r="L1019" s="66"/>
      <c r="M1019" s="66"/>
      <c r="N1019" s="66"/>
    </row>
    <row r="1020" spans="1:14" x14ac:dyDescent="0.2">
      <c r="A1020" s="84"/>
      <c r="B1020" s="84"/>
      <c r="C1020" s="60"/>
      <c r="D1020" s="66"/>
      <c r="E1020" s="66"/>
      <c r="F1020" s="66"/>
      <c r="G1020" s="66"/>
      <c r="H1020" s="66"/>
      <c r="I1020" s="66"/>
      <c r="J1020" s="66"/>
      <c r="K1020" s="66"/>
      <c r="L1020" s="66"/>
      <c r="M1020" s="66"/>
      <c r="N1020" s="66"/>
    </row>
    <row r="1021" spans="1:14" x14ac:dyDescent="0.2">
      <c r="A1021" s="84"/>
      <c r="B1021" s="84"/>
      <c r="C1021" s="60"/>
      <c r="D1021" s="66"/>
      <c r="E1021" s="66"/>
      <c r="F1021" s="66"/>
      <c r="G1021" s="66"/>
      <c r="H1021" s="66"/>
      <c r="I1021" s="66"/>
      <c r="J1021" s="66"/>
      <c r="K1021" s="66"/>
      <c r="L1021" s="66"/>
      <c r="M1021" s="66"/>
      <c r="N1021" s="66"/>
    </row>
    <row r="1022" spans="1:14" x14ac:dyDescent="0.2">
      <c r="A1022" s="84"/>
      <c r="B1022" s="84"/>
      <c r="C1022" s="60"/>
      <c r="D1022" s="66"/>
      <c r="E1022" s="66"/>
      <c r="F1022" s="66"/>
      <c r="G1022" s="66"/>
      <c r="H1022" s="66"/>
      <c r="I1022" s="66"/>
      <c r="J1022" s="66"/>
      <c r="K1022" s="66"/>
      <c r="L1022" s="66"/>
      <c r="M1022" s="66"/>
      <c r="N1022" s="66"/>
    </row>
    <row r="1023" spans="1:14" x14ac:dyDescent="0.2">
      <c r="A1023" s="84"/>
      <c r="B1023" s="84"/>
      <c r="C1023" s="60"/>
      <c r="D1023" s="66"/>
      <c r="E1023" s="66"/>
      <c r="F1023" s="66"/>
      <c r="G1023" s="66"/>
      <c r="H1023" s="66"/>
      <c r="I1023" s="66"/>
      <c r="J1023" s="66"/>
      <c r="K1023" s="66"/>
      <c r="L1023" s="66"/>
      <c r="M1023" s="66"/>
      <c r="N1023" s="66"/>
    </row>
    <row r="1024" spans="1:14" x14ac:dyDescent="0.2">
      <c r="A1024" s="84"/>
      <c r="B1024" s="84"/>
      <c r="C1024" s="60"/>
      <c r="D1024" s="66"/>
      <c r="E1024" s="66"/>
      <c r="F1024" s="66"/>
      <c r="G1024" s="66"/>
      <c r="H1024" s="66"/>
      <c r="I1024" s="66"/>
      <c r="J1024" s="66"/>
      <c r="K1024" s="66"/>
      <c r="L1024" s="66"/>
      <c r="M1024" s="66"/>
      <c r="N1024" s="66"/>
    </row>
    <row r="1025" spans="1:14" x14ac:dyDescent="0.2">
      <c r="A1025" s="84"/>
      <c r="B1025" s="84"/>
      <c r="C1025" s="60"/>
      <c r="D1025" s="66"/>
      <c r="E1025" s="66"/>
      <c r="F1025" s="66"/>
      <c r="G1025" s="66"/>
      <c r="H1025" s="66"/>
      <c r="I1025" s="66"/>
      <c r="J1025" s="66"/>
      <c r="K1025" s="66"/>
      <c r="L1025" s="66"/>
      <c r="M1025" s="66"/>
      <c r="N1025" s="66"/>
    </row>
    <row r="1026" spans="1:14" x14ac:dyDescent="0.2">
      <c r="A1026" s="84"/>
      <c r="B1026" s="84"/>
      <c r="C1026" s="60"/>
      <c r="D1026" s="66"/>
      <c r="E1026" s="66"/>
      <c r="F1026" s="66"/>
      <c r="G1026" s="66"/>
      <c r="H1026" s="66"/>
      <c r="I1026" s="66"/>
      <c r="J1026" s="66"/>
      <c r="K1026" s="66"/>
      <c r="L1026" s="66"/>
      <c r="M1026" s="66"/>
      <c r="N1026" s="66"/>
    </row>
    <row r="1027" spans="1:14" x14ac:dyDescent="0.2">
      <c r="A1027" s="84"/>
      <c r="B1027" s="84"/>
      <c r="C1027" s="60"/>
      <c r="D1027" s="66"/>
      <c r="E1027" s="66"/>
      <c r="F1027" s="66"/>
      <c r="G1027" s="66"/>
      <c r="H1027" s="66"/>
      <c r="I1027" s="66"/>
      <c r="J1027" s="66"/>
      <c r="K1027" s="66"/>
      <c r="L1027" s="66"/>
      <c r="M1027" s="66"/>
      <c r="N1027" s="66"/>
    </row>
    <row r="1028" spans="1:14" x14ac:dyDescent="0.2">
      <c r="A1028" s="84"/>
      <c r="B1028" s="84"/>
      <c r="C1028" s="60"/>
      <c r="D1028" s="66"/>
      <c r="E1028" s="66"/>
      <c r="F1028" s="66"/>
      <c r="G1028" s="66"/>
      <c r="H1028" s="66"/>
      <c r="I1028" s="66"/>
      <c r="J1028" s="66"/>
      <c r="K1028" s="66"/>
      <c r="L1028" s="66"/>
      <c r="M1028" s="66"/>
      <c r="N1028" s="66"/>
    </row>
    <row r="1029" spans="1:14" x14ac:dyDescent="0.2">
      <c r="A1029" s="84"/>
      <c r="B1029" s="84"/>
      <c r="C1029" s="60"/>
      <c r="D1029" s="66"/>
      <c r="E1029" s="66"/>
      <c r="F1029" s="66"/>
      <c r="G1029" s="66"/>
      <c r="H1029" s="66"/>
      <c r="I1029" s="66"/>
      <c r="J1029" s="66"/>
      <c r="K1029" s="66"/>
      <c r="L1029" s="66"/>
      <c r="M1029" s="66"/>
      <c r="N1029" s="66"/>
    </row>
    <row r="1030" spans="1:14" x14ac:dyDescent="0.2">
      <c r="A1030" s="84"/>
      <c r="B1030" s="84"/>
      <c r="C1030" s="60"/>
      <c r="D1030" s="66"/>
      <c r="E1030" s="66"/>
      <c r="F1030" s="66"/>
      <c r="G1030" s="66"/>
      <c r="H1030" s="66"/>
      <c r="I1030" s="66"/>
      <c r="J1030" s="66"/>
      <c r="K1030" s="66"/>
      <c r="L1030" s="66"/>
      <c r="M1030" s="66"/>
      <c r="N1030" s="66"/>
    </row>
    <row r="1031" spans="1:14" x14ac:dyDescent="0.2">
      <c r="A1031" s="84"/>
      <c r="B1031" s="84"/>
      <c r="C1031" s="60"/>
      <c r="D1031" s="66"/>
      <c r="E1031" s="66"/>
      <c r="F1031" s="66"/>
      <c r="G1031" s="66"/>
      <c r="H1031" s="66"/>
      <c r="I1031" s="66"/>
      <c r="J1031" s="66"/>
      <c r="K1031" s="66"/>
      <c r="L1031" s="66"/>
      <c r="M1031" s="66"/>
      <c r="N1031" s="66"/>
    </row>
    <row r="1032" spans="1:14" x14ac:dyDescent="0.2">
      <c r="A1032" s="84"/>
      <c r="B1032" s="84"/>
      <c r="C1032" s="60"/>
      <c r="D1032" s="66"/>
      <c r="E1032" s="66"/>
      <c r="F1032" s="66"/>
      <c r="G1032" s="66"/>
      <c r="H1032" s="66"/>
      <c r="I1032" s="66"/>
      <c r="J1032" s="66"/>
      <c r="K1032" s="66"/>
      <c r="L1032" s="66"/>
      <c r="M1032" s="66"/>
      <c r="N1032" s="66"/>
    </row>
    <row r="1033" spans="1:14" x14ac:dyDescent="0.2">
      <c r="A1033" s="84"/>
      <c r="B1033" s="84"/>
      <c r="C1033" s="60"/>
      <c r="D1033" s="66"/>
      <c r="E1033" s="66"/>
      <c r="F1033" s="66"/>
      <c r="G1033" s="66"/>
      <c r="H1033" s="66"/>
      <c r="I1033" s="66"/>
      <c r="J1033" s="66"/>
      <c r="K1033" s="66"/>
      <c r="L1033" s="66"/>
      <c r="M1033" s="66"/>
      <c r="N1033" s="66"/>
    </row>
    <row r="1034" spans="1:14" x14ac:dyDescent="0.2">
      <c r="A1034" s="84"/>
      <c r="B1034" s="84"/>
      <c r="C1034" s="60"/>
      <c r="D1034" s="66"/>
      <c r="E1034" s="66"/>
      <c r="F1034" s="66"/>
      <c r="G1034" s="66"/>
      <c r="H1034" s="66"/>
      <c r="I1034" s="66"/>
      <c r="J1034" s="66"/>
      <c r="K1034" s="66"/>
      <c r="L1034" s="66"/>
      <c r="M1034" s="66"/>
      <c r="N1034" s="66"/>
    </row>
    <row r="1035" spans="1:14" x14ac:dyDescent="0.2">
      <c r="A1035" s="84"/>
      <c r="B1035" s="84"/>
      <c r="C1035" s="60"/>
      <c r="D1035" s="66"/>
      <c r="E1035" s="66"/>
      <c r="F1035" s="66"/>
      <c r="G1035" s="66"/>
      <c r="H1035" s="66"/>
      <c r="I1035" s="66"/>
      <c r="J1035" s="66"/>
      <c r="K1035" s="66"/>
      <c r="L1035" s="66"/>
      <c r="M1035" s="66"/>
      <c r="N1035" s="66"/>
    </row>
    <row r="1036" spans="1:14" x14ac:dyDescent="0.2">
      <c r="A1036" s="84"/>
      <c r="B1036" s="84"/>
      <c r="C1036" s="60"/>
      <c r="D1036" s="66"/>
      <c r="E1036" s="66"/>
      <c r="F1036" s="66"/>
      <c r="G1036" s="66"/>
      <c r="H1036" s="66"/>
      <c r="I1036" s="66"/>
      <c r="J1036" s="66"/>
      <c r="K1036" s="66"/>
      <c r="L1036" s="66"/>
      <c r="M1036" s="66"/>
      <c r="N1036" s="66"/>
    </row>
    <row r="1037" spans="1:14" x14ac:dyDescent="0.2">
      <c r="A1037" s="84"/>
      <c r="B1037" s="84"/>
      <c r="C1037" s="60"/>
      <c r="D1037" s="66"/>
      <c r="E1037" s="66"/>
      <c r="F1037" s="66"/>
      <c r="G1037" s="66"/>
      <c r="H1037" s="66"/>
      <c r="I1037" s="66"/>
      <c r="J1037" s="66"/>
      <c r="K1037" s="66"/>
      <c r="L1037" s="66"/>
      <c r="M1037" s="66"/>
      <c r="N1037" s="66"/>
    </row>
    <row r="1038" spans="1:14" x14ac:dyDescent="0.2">
      <c r="A1038" s="84"/>
      <c r="B1038" s="84"/>
      <c r="C1038" s="60"/>
      <c r="D1038" s="66"/>
      <c r="E1038" s="66"/>
      <c r="F1038" s="66"/>
      <c r="G1038" s="66"/>
      <c r="H1038" s="66"/>
      <c r="I1038" s="66"/>
      <c r="J1038" s="66"/>
      <c r="K1038" s="66"/>
      <c r="L1038" s="66"/>
      <c r="M1038" s="66"/>
      <c r="N1038" s="66"/>
    </row>
    <row r="1039" spans="1:14" x14ac:dyDescent="0.2">
      <c r="A1039" s="84"/>
      <c r="B1039" s="84"/>
      <c r="C1039" s="60"/>
      <c r="D1039" s="66"/>
      <c r="E1039" s="66"/>
      <c r="F1039" s="66"/>
      <c r="G1039" s="66"/>
      <c r="H1039" s="66"/>
      <c r="I1039" s="66"/>
      <c r="J1039" s="66"/>
      <c r="K1039" s="66"/>
      <c r="L1039" s="66"/>
      <c r="M1039" s="66"/>
      <c r="N1039" s="66"/>
    </row>
    <row r="1040" spans="1:14" x14ac:dyDescent="0.2">
      <c r="A1040" s="84"/>
      <c r="B1040" s="84"/>
      <c r="C1040" s="60"/>
      <c r="D1040" s="66"/>
      <c r="E1040" s="66"/>
      <c r="F1040" s="66"/>
      <c r="G1040" s="66"/>
      <c r="H1040" s="66"/>
      <c r="I1040" s="66"/>
      <c r="J1040" s="66"/>
      <c r="K1040" s="66"/>
      <c r="L1040" s="66"/>
      <c r="M1040" s="66"/>
      <c r="N1040" s="66"/>
    </row>
    <row r="1041" spans="1:14" x14ac:dyDescent="0.2">
      <c r="A1041" s="84"/>
      <c r="B1041" s="84"/>
      <c r="C1041" s="60"/>
      <c r="D1041" s="66"/>
      <c r="E1041" s="66"/>
      <c r="F1041" s="66"/>
      <c r="G1041" s="66"/>
      <c r="H1041" s="66"/>
      <c r="I1041" s="66"/>
      <c r="J1041" s="66"/>
      <c r="K1041" s="66"/>
      <c r="L1041" s="66"/>
      <c r="M1041" s="66"/>
      <c r="N1041" s="66"/>
    </row>
    <row r="1042" spans="1:14" x14ac:dyDescent="0.2">
      <c r="A1042" s="84"/>
      <c r="B1042" s="84"/>
      <c r="C1042" s="60"/>
      <c r="D1042" s="66"/>
      <c r="E1042" s="66"/>
      <c r="F1042" s="66"/>
      <c r="G1042" s="66"/>
      <c r="H1042" s="66"/>
      <c r="I1042" s="66"/>
      <c r="J1042" s="66"/>
      <c r="K1042" s="66"/>
      <c r="L1042" s="66"/>
      <c r="M1042" s="66"/>
      <c r="N1042" s="66"/>
    </row>
    <row r="1043" spans="1:14" x14ac:dyDescent="0.2">
      <c r="A1043" s="84"/>
      <c r="B1043" s="84"/>
      <c r="C1043" s="60"/>
      <c r="D1043" s="66"/>
      <c r="E1043" s="66"/>
      <c r="F1043" s="66"/>
      <c r="G1043" s="66"/>
      <c r="H1043" s="66"/>
      <c r="I1043" s="66"/>
      <c r="J1043" s="66"/>
      <c r="K1043" s="66"/>
      <c r="L1043" s="66"/>
      <c r="M1043" s="66"/>
      <c r="N1043" s="66"/>
    </row>
    <row r="1044" spans="1:14" x14ac:dyDescent="0.2">
      <c r="A1044" s="84"/>
      <c r="B1044" s="84"/>
      <c r="C1044" s="60"/>
      <c r="D1044" s="66"/>
      <c r="E1044" s="66"/>
      <c r="F1044" s="66"/>
      <c r="G1044" s="66"/>
      <c r="H1044" s="66"/>
      <c r="I1044" s="66"/>
      <c r="J1044" s="66"/>
      <c r="K1044" s="66"/>
      <c r="L1044" s="66"/>
      <c r="M1044" s="66"/>
      <c r="N1044" s="66"/>
    </row>
    <row r="1045" spans="1:14" x14ac:dyDescent="0.2">
      <c r="A1045" s="84"/>
      <c r="B1045" s="84"/>
      <c r="C1045" s="60"/>
      <c r="D1045" s="66"/>
      <c r="E1045" s="66"/>
      <c r="F1045" s="66"/>
      <c r="G1045" s="66"/>
      <c r="H1045" s="66"/>
      <c r="I1045" s="66"/>
      <c r="J1045" s="66"/>
      <c r="K1045" s="66"/>
      <c r="L1045" s="66"/>
      <c r="M1045" s="66"/>
      <c r="N1045" s="66"/>
    </row>
    <row r="1046" spans="1:14" x14ac:dyDescent="0.2">
      <c r="A1046" s="84"/>
      <c r="B1046" s="84"/>
      <c r="C1046" s="60"/>
      <c r="D1046" s="66"/>
      <c r="E1046" s="66"/>
      <c r="F1046" s="66"/>
      <c r="G1046" s="66"/>
      <c r="H1046" s="66"/>
      <c r="I1046" s="66"/>
      <c r="J1046" s="66"/>
      <c r="K1046" s="66"/>
      <c r="L1046" s="66"/>
      <c r="M1046" s="66"/>
      <c r="N1046" s="66"/>
    </row>
    <row r="1047" spans="1:14" x14ac:dyDescent="0.2">
      <c r="A1047" s="84"/>
      <c r="B1047" s="84"/>
      <c r="C1047" s="60"/>
      <c r="D1047" s="66"/>
      <c r="E1047" s="66"/>
      <c r="F1047" s="66"/>
      <c r="G1047" s="66"/>
      <c r="H1047" s="66"/>
      <c r="I1047" s="66"/>
      <c r="J1047" s="66"/>
      <c r="K1047" s="66"/>
      <c r="L1047" s="66"/>
      <c r="M1047" s="66"/>
      <c r="N1047" s="66"/>
    </row>
    <row r="1048" spans="1:14" x14ac:dyDescent="0.2">
      <c r="A1048" s="84"/>
      <c r="B1048" s="84"/>
      <c r="C1048" s="60"/>
      <c r="D1048" s="66"/>
      <c r="E1048" s="66"/>
      <c r="F1048" s="66"/>
      <c r="G1048" s="66"/>
      <c r="H1048" s="66"/>
      <c r="I1048" s="66"/>
      <c r="J1048" s="66"/>
      <c r="K1048" s="66"/>
      <c r="L1048" s="66"/>
      <c r="M1048" s="66"/>
      <c r="N1048" s="66"/>
    </row>
    <row r="1049" spans="1:14" x14ac:dyDescent="0.2">
      <c r="A1049" s="84"/>
      <c r="B1049" s="84"/>
      <c r="C1049" s="60"/>
      <c r="D1049" s="66"/>
      <c r="E1049" s="66"/>
      <c r="F1049" s="66"/>
      <c r="G1049" s="66"/>
      <c r="H1049" s="66"/>
      <c r="I1049" s="66"/>
      <c r="J1049" s="66"/>
      <c r="K1049" s="66"/>
      <c r="L1049" s="66"/>
      <c r="M1049" s="66"/>
      <c r="N1049" s="66"/>
    </row>
    <row r="1050" spans="1:14" x14ac:dyDescent="0.2">
      <c r="A1050" s="84"/>
      <c r="B1050" s="84"/>
      <c r="C1050" s="60"/>
      <c r="D1050" s="66"/>
      <c r="E1050" s="66"/>
      <c r="F1050" s="66"/>
      <c r="G1050" s="66"/>
      <c r="H1050" s="66"/>
      <c r="I1050" s="66"/>
      <c r="J1050" s="66"/>
      <c r="K1050" s="66"/>
      <c r="L1050" s="66"/>
      <c r="M1050" s="66"/>
      <c r="N1050" s="66"/>
    </row>
    <row r="1051" spans="1:14" x14ac:dyDescent="0.2">
      <c r="A1051" s="84"/>
      <c r="B1051" s="84"/>
      <c r="C1051" s="60"/>
      <c r="D1051" s="66"/>
      <c r="E1051" s="66"/>
      <c r="F1051" s="66"/>
      <c r="G1051" s="66"/>
      <c r="H1051" s="66"/>
      <c r="I1051" s="66"/>
      <c r="J1051" s="66"/>
      <c r="K1051" s="66"/>
      <c r="L1051" s="66"/>
      <c r="M1051" s="66"/>
      <c r="N1051" s="66"/>
    </row>
    <row r="1052" spans="1:14" x14ac:dyDescent="0.2">
      <c r="A1052" s="84"/>
      <c r="B1052" s="84"/>
      <c r="C1052" s="60"/>
      <c r="D1052" s="66"/>
      <c r="E1052" s="66"/>
      <c r="F1052" s="66"/>
      <c r="G1052" s="66"/>
      <c r="H1052" s="66"/>
      <c r="I1052" s="66"/>
      <c r="J1052" s="66"/>
      <c r="K1052" s="66"/>
      <c r="L1052" s="66"/>
      <c r="M1052" s="66"/>
      <c r="N1052" s="66"/>
    </row>
    <row r="1053" spans="1:14" x14ac:dyDescent="0.2">
      <c r="A1053" s="84"/>
      <c r="B1053" s="84"/>
      <c r="C1053" s="60"/>
      <c r="D1053" s="66"/>
      <c r="E1053" s="66"/>
      <c r="F1053" s="66"/>
      <c r="G1053" s="66"/>
      <c r="H1053" s="66"/>
      <c r="I1053" s="66"/>
      <c r="J1053" s="66"/>
      <c r="K1053" s="66"/>
      <c r="L1053" s="66"/>
      <c r="M1053" s="66"/>
      <c r="N1053" s="66"/>
    </row>
    <row r="1054" spans="1:14" x14ac:dyDescent="0.2">
      <c r="A1054" s="84"/>
      <c r="B1054" s="84"/>
      <c r="C1054" s="60"/>
      <c r="D1054" s="66"/>
      <c r="E1054" s="66"/>
      <c r="F1054" s="66"/>
      <c r="G1054" s="66"/>
      <c r="H1054" s="66"/>
      <c r="I1054" s="66"/>
      <c r="J1054" s="66"/>
      <c r="K1054" s="66"/>
      <c r="L1054" s="66"/>
      <c r="M1054" s="66"/>
      <c r="N1054" s="66"/>
    </row>
    <row r="1055" spans="1:14" x14ac:dyDescent="0.2">
      <c r="A1055" s="84"/>
      <c r="B1055" s="84"/>
      <c r="C1055" s="60"/>
      <c r="D1055" s="66"/>
      <c r="E1055" s="66"/>
      <c r="F1055" s="66"/>
      <c r="G1055" s="66"/>
      <c r="H1055" s="66"/>
      <c r="I1055" s="66"/>
      <c r="J1055" s="66"/>
      <c r="K1055" s="66"/>
      <c r="L1055" s="66"/>
      <c r="M1055" s="66"/>
      <c r="N1055" s="66"/>
    </row>
    <row r="1056" spans="1:14" x14ac:dyDescent="0.2">
      <c r="A1056" s="84"/>
      <c r="B1056" s="84"/>
      <c r="C1056" s="60"/>
      <c r="D1056" s="66"/>
      <c r="E1056" s="66"/>
      <c r="F1056" s="66"/>
      <c r="G1056" s="66"/>
      <c r="H1056" s="66"/>
      <c r="I1056" s="66"/>
      <c r="J1056" s="66"/>
      <c r="K1056" s="66"/>
      <c r="L1056" s="66"/>
      <c r="M1056" s="66"/>
      <c r="N1056" s="66"/>
    </row>
    <row r="1057" spans="1:14" x14ac:dyDescent="0.2">
      <c r="A1057" s="84"/>
      <c r="B1057" s="84"/>
      <c r="C1057" s="60"/>
      <c r="D1057" s="66"/>
      <c r="E1057" s="66"/>
      <c r="F1057" s="66"/>
      <c r="G1057" s="66"/>
      <c r="H1057" s="66"/>
      <c r="I1057" s="66"/>
      <c r="J1057" s="66"/>
      <c r="K1057" s="66"/>
      <c r="L1057" s="66"/>
      <c r="M1057" s="66"/>
      <c r="N1057" s="66"/>
    </row>
    <row r="1058" spans="1:14" x14ac:dyDescent="0.2">
      <c r="A1058" s="84"/>
      <c r="B1058" s="84"/>
      <c r="C1058" s="60"/>
      <c r="D1058" s="66"/>
      <c r="E1058" s="66"/>
      <c r="F1058" s="66"/>
      <c r="G1058" s="66"/>
      <c r="H1058" s="66"/>
      <c r="I1058" s="66"/>
      <c r="J1058" s="66"/>
      <c r="K1058" s="66"/>
      <c r="L1058" s="66"/>
      <c r="M1058" s="66"/>
      <c r="N1058" s="66"/>
    </row>
    <row r="1059" spans="1:14" x14ac:dyDescent="0.2">
      <c r="A1059" s="84"/>
      <c r="B1059" s="84"/>
      <c r="C1059" s="60"/>
      <c r="D1059" s="66"/>
      <c r="E1059" s="66"/>
      <c r="F1059" s="66"/>
      <c r="G1059" s="66"/>
      <c r="H1059" s="66"/>
      <c r="I1059" s="66"/>
      <c r="J1059" s="66"/>
      <c r="K1059" s="66"/>
      <c r="L1059" s="66"/>
      <c r="M1059" s="66"/>
      <c r="N1059" s="66"/>
    </row>
    <row r="1060" spans="1:14" x14ac:dyDescent="0.2">
      <c r="A1060" s="84"/>
      <c r="B1060" s="84"/>
      <c r="C1060" s="60"/>
      <c r="D1060" s="66"/>
      <c r="E1060" s="66"/>
      <c r="F1060" s="66"/>
      <c r="G1060" s="66"/>
      <c r="H1060" s="66"/>
      <c r="I1060" s="66"/>
      <c r="J1060" s="66"/>
      <c r="K1060" s="66"/>
      <c r="L1060" s="66"/>
      <c r="M1060" s="66"/>
      <c r="N1060" s="66"/>
    </row>
    <row r="1061" spans="1:14" x14ac:dyDescent="0.2">
      <c r="A1061" s="84"/>
      <c r="B1061" s="84"/>
      <c r="C1061" s="60"/>
      <c r="D1061" s="66"/>
      <c r="E1061" s="66"/>
      <c r="F1061" s="66"/>
      <c r="G1061" s="66"/>
      <c r="H1061" s="66"/>
      <c r="I1061" s="66"/>
      <c r="J1061" s="66"/>
      <c r="K1061" s="66"/>
      <c r="L1061" s="66"/>
      <c r="M1061" s="66"/>
      <c r="N1061" s="66"/>
    </row>
    <row r="1062" spans="1:14" x14ac:dyDescent="0.2">
      <c r="A1062" s="84"/>
      <c r="B1062" s="84"/>
      <c r="C1062" s="60"/>
      <c r="D1062" s="66"/>
      <c r="E1062" s="66"/>
      <c r="F1062" s="66"/>
      <c r="G1062" s="66"/>
      <c r="H1062" s="66"/>
      <c r="I1062" s="66"/>
      <c r="J1062" s="66"/>
      <c r="K1062" s="66"/>
      <c r="L1062" s="66"/>
      <c r="M1062" s="66"/>
      <c r="N1062" s="66"/>
    </row>
    <row r="1063" spans="1:14" x14ac:dyDescent="0.2">
      <c r="A1063" s="84"/>
      <c r="B1063" s="84"/>
      <c r="C1063" s="60"/>
      <c r="D1063" s="66"/>
      <c r="E1063" s="66"/>
      <c r="F1063" s="66"/>
      <c r="G1063" s="66"/>
      <c r="H1063" s="66"/>
      <c r="I1063" s="66"/>
      <c r="J1063" s="66"/>
      <c r="K1063" s="66"/>
      <c r="L1063" s="66"/>
      <c r="M1063" s="66"/>
      <c r="N1063" s="66"/>
    </row>
    <row r="1064" spans="1:14" x14ac:dyDescent="0.2">
      <c r="A1064" s="84"/>
      <c r="B1064" s="84"/>
      <c r="C1064" s="60"/>
      <c r="D1064" s="66"/>
      <c r="E1064" s="66"/>
      <c r="F1064" s="66"/>
      <c r="G1064" s="66"/>
      <c r="H1064" s="66"/>
      <c r="I1064" s="66"/>
      <c r="J1064" s="66"/>
      <c r="K1064" s="66"/>
      <c r="L1064" s="66"/>
      <c r="M1064" s="66"/>
      <c r="N1064" s="66"/>
    </row>
    <row r="1065" spans="1:14" x14ac:dyDescent="0.2">
      <c r="A1065" s="84"/>
      <c r="B1065" s="84"/>
      <c r="C1065" s="60"/>
      <c r="D1065" s="66"/>
      <c r="E1065" s="66"/>
      <c r="F1065" s="66"/>
      <c r="G1065" s="66"/>
      <c r="H1065" s="66"/>
      <c r="I1065" s="66"/>
      <c r="J1065" s="66"/>
      <c r="K1065" s="66"/>
      <c r="L1065" s="66"/>
      <c r="M1065" s="66"/>
      <c r="N1065" s="66"/>
    </row>
    <row r="1066" spans="1:14" x14ac:dyDescent="0.2">
      <c r="A1066" s="84"/>
      <c r="B1066" s="84"/>
      <c r="C1066" s="60"/>
      <c r="D1066" s="66"/>
      <c r="E1066" s="66"/>
      <c r="F1066" s="66"/>
      <c r="G1066" s="66"/>
      <c r="H1066" s="66"/>
      <c r="I1066" s="66"/>
      <c r="J1066" s="66"/>
      <c r="K1066" s="66"/>
      <c r="L1066" s="66"/>
      <c r="M1066" s="66"/>
      <c r="N1066" s="66"/>
    </row>
    <row r="1067" spans="1:14" x14ac:dyDescent="0.2">
      <c r="A1067" s="84"/>
      <c r="B1067" s="84"/>
      <c r="C1067" s="60"/>
      <c r="D1067" s="66"/>
      <c r="E1067" s="66"/>
      <c r="F1067" s="66"/>
      <c r="G1067" s="66"/>
      <c r="H1067" s="66"/>
      <c r="I1067" s="66"/>
      <c r="J1067" s="66"/>
      <c r="K1067" s="66"/>
      <c r="L1067" s="66"/>
      <c r="M1067" s="66"/>
      <c r="N1067" s="66"/>
    </row>
    <row r="1068" spans="1:14" x14ac:dyDescent="0.2">
      <c r="A1068" s="84"/>
      <c r="B1068" s="84"/>
      <c r="C1068" s="60"/>
      <c r="D1068" s="66"/>
      <c r="E1068" s="66"/>
      <c r="F1068" s="66"/>
      <c r="G1068" s="66"/>
      <c r="H1068" s="66"/>
      <c r="I1068" s="66"/>
      <c r="J1068" s="66"/>
      <c r="K1068" s="66"/>
      <c r="L1068" s="66"/>
      <c r="M1068" s="66"/>
      <c r="N1068" s="66"/>
    </row>
    <row r="1069" spans="1:14" x14ac:dyDescent="0.2">
      <c r="A1069" s="84"/>
      <c r="B1069" s="84"/>
      <c r="C1069" s="60"/>
      <c r="D1069" s="66"/>
      <c r="E1069" s="66"/>
      <c r="F1069" s="66"/>
      <c r="G1069" s="66"/>
      <c r="H1069" s="66"/>
      <c r="I1069" s="66"/>
      <c r="J1069" s="66"/>
      <c r="K1069" s="66"/>
      <c r="L1069" s="66"/>
      <c r="M1069" s="66"/>
      <c r="N1069" s="66"/>
    </row>
    <row r="1070" spans="1:14" x14ac:dyDescent="0.2">
      <c r="A1070" s="84"/>
      <c r="B1070" s="84"/>
      <c r="C1070" s="60"/>
      <c r="D1070" s="66"/>
      <c r="E1070" s="66"/>
      <c r="F1070" s="66"/>
      <c r="G1070" s="66"/>
      <c r="H1070" s="66"/>
      <c r="I1070" s="66"/>
      <c r="J1070" s="66"/>
      <c r="K1070" s="66"/>
      <c r="L1070" s="66"/>
      <c r="M1070" s="66"/>
      <c r="N1070" s="66"/>
    </row>
    <row r="1071" spans="1:14" x14ac:dyDescent="0.2">
      <c r="A1071" s="84"/>
      <c r="B1071" s="84"/>
      <c r="C1071" s="60"/>
      <c r="D1071" s="66"/>
      <c r="E1071" s="66"/>
      <c r="F1071" s="66"/>
      <c r="G1071" s="66"/>
      <c r="H1071" s="66"/>
      <c r="I1071" s="66"/>
      <c r="J1071" s="66"/>
      <c r="K1071" s="66"/>
      <c r="L1071" s="66"/>
      <c r="M1071" s="66"/>
      <c r="N1071" s="66"/>
    </row>
    <row r="1072" spans="1:14" x14ac:dyDescent="0.2">
      <c r="A1072" s="84"/>
      <c r="B1072" s="84"/>
      <c r="C1072" s="60"/>
      <c r="D1072" s="66"/>
      <c r="E1072" s="66"/>
      <c r="F1072" s="66"/>
      <c r="G1072" s="66"/>
      <c r="H1072" s="66"/>
      <c r="I1072" s="66"/>
      <c r="J1072" s="66"/>
      <c r="K1072" s="66"/>
      <c r="L1072" s="66"/>
      <c r="M1072" s="66"/>
      <c r="N1072" s="66"/>
    </row>
    <row r="1073" spans="1:14" x14ac:dyDescent="0.2">
      <c r="A1073" s="84"/>
      <c r="B1073" s="84"/>
      <c r="C1073" s="60"/>
      <c r="D1073" s="66"/>
      <c r="E1073" s="66"/>
      <c r="F1073" s="66"/>
      <c r="G1073" s="66"/>
      <c r="H1073" s="66"/>
      <c r="I1073" s="66"/>
      <c r="J1073" s="66"/>
      <c r="K1073" s="66"/>
      <c r="L1073" s="66"/>
      <c r="M1073" s="66"/>
      <c r="N1073" s="66"/>
    </row>
    <row r="1074" spans="1:14" x14ac:dyDescent="0.2">
      <c r="A1074" s="84"/>
      <c r="B1074" s="84"/>
      <c r="C1074" s="60"/>
      <c r="D1074" s="66"/>
      <c r="E1074" s="66"/>
      <c r="F1074" s="66"/>
      <c r="G1074" s="66"/>
      <c r="H1074" s="66"/>
      <c r="I1074" s="66"/>
      <c r="J1074" s="66"/>
      <c r="K1074" s="66"/>
      <c r="L1074" s="66"/>
      <c r="M1074" s="66"/>
      <c r="N1074" s="66"/>
    </row>
    <row r="1075" spans="1:14" x14ac:dyDescent="0.2">
      <c r="A1075" s="84"/>
      <c r="B1075" s="84"/>
      <c r="C1075" s="60"/>
      <c r="D1075" s="66"/>
      <c r="E1075" s="66"/>
      <c r="F1075" s="66"/>
      <c r="G1075" s="66"/>
      <c r="H1075" s="66"/>
      <c r="I1075" s="66"/>
      <c r="J1075" s="66"/>
      <c r="K1075" s="66"/>
      <c r="L1075" s="66"/>
      <c r="M1075" s="66"/>
      <c r="N1075" s="66"/>
    </row>
    <row r="1076" spans="1:14" x14ac:dyDescent="0.2">
      <c r="A1076" s="84"/>
      <c r="B1076" s="84"/>
      <c r="C1076" s="60"/>
      <c r="D1076" s="66"/>
      <c r="E1076" s="66"/>
      <c r="F1076" s="66"/>
      <c r="G1076" s="66"/>
      <c r="H1076" s="66"/>
      <c r="I1076" s="66"/>
      <c r="J1076" s="66"/>
      <c r="K1076" s="66"/>
      <c r="L1076" s="66"/>
      <c r="M1076" s="66"/>
      <c r="N1076" s="66"/>
    </row>
    <row r="1077" spans="1:14" x14ac:dyDescent="0.2">
      <c r="A1077" s="84"/>
      <c r="B1077" s="84"/>
      <c r="C1077" s="60"/>
      <c r="D1077" s="66"/>
      <c r="E1077" s="66"/>
      <c r="F1077" s="66"/>
      <c r="G1077" s="66"/>
      <c r="H1077" s="66"/>
      <c r="I1077" s="66"/>
      <c r="J1077" s="66"/>
      <c r="K1077" s="66"/>
      <c r="L1077" s="66"/>
      <c r="M1077" s="66"/>
      <c r="N1077" s="66"/>
    </row>
    <row r="1078" spans="1:14" x14ac:dyDescent="0.2">
      <c r="A1078" s="84"/>
      <c r="B1078" s="84"/>
      <c r="C1078" s="60"/>
      <c r="D1078" s="66"/>
      <c r="E1078" s="66"/>
      <c r="F1078" s="66"/>
      <c r="G1078" s="66"/>
      <c r="H1078" s="66"/>
      <c r="I1078" s="66"/>
      <c r="J1078" s="66"/>
      <c r="K1078" s="66"/>
      <c r="L1078" s="66"/>
      <c r="M1078" s="66"/>
      <c r="N1078" s="66"/>
    </row>
    <row r="1079" spans="1:14" x14ac:dyDescent="0.2">
      <c r="A1079" s="84"/>
      <c r="B1079" s="84"/>
      <c r="C1079" s="60"/>
      <c r="D1079" s="66"/>
      <c r="E1079" s="66"/>
      <c r="F1079" s="66"/>
      <c r="G1079" s="66"/>
      <c r="H1079" s="66"/>
      <c r="I1079" s="66"/>
      <c r="J1079" s="66"/>
      <c r="K1079" s="66"/>
      <c r="L1079" s="66"/>
      <c r="M1079" s="66"/>
      <c r="N1079" s="66"/>
    </row>
    <row r="1080" spans="1:14" x14ac:dyDescent="0.2">
      <c r="A1080" s="84"/>
      <c r="B1080" s="84"/>
      <c r="C1080" s="60"/>
      <c r="D1080" s="66"/>
      <c r="E1080" s="66"/>
      <c r="F1080" s="66"/>
      <c r="G1080" s="66"/>
      <c r="H1080" s="66"/>
      <c r="I1080" s="66"/>
      <c r="J1080" s="66"/>
      <c r="K1080" s="66"/>
      <c r="L1080" s="66"/>
      <c r="M1080" s="66"/>
      <c r="N1080" s="66"/>
    </row>
    <row r="1081" spans="1:14" x14ac:dyDescent="0.2">
      <c r="A1081" s="84"/>
      <c r="B1081" s="84"/>
      <c r="C1081" s="60"/>
      <c r="D1081" s="66"/>
      <c r="E1081" s="66"/>
      <c r="F1081" s="66"/>
      <c r="G1081" s="66"/>
      <c r="H1081" s="66"/>
      <c r="I1081" s="66"/>
      <c r="J1081" s="66"/>
      <c r="K1081" s="66"/>
      <c r="L1081" s="66"/>
      <c r="M1081" s="66"/>
      <c r="N1081" s="66"/>
    </row>
    <row r="1082" spans="1:14" x14ac:dyDescent="0.2">
      <c r="A1082" s="84"/>
      <c r="B1082" s="84"/>
      <c r="C1082" s="60"/>
      <c r="D1082" s="66"/>
      <c r="E1082" s="66"/>
      <c r="F1082" s="66"/>
      <c r="G1082" s="66"/>
      <c r="H1082" s="66"/>
      <c r="I1082" s="66"/>
      <c r="J1082" s="66"/>
      <c r="K1082" s="66"/>
      <c r="L1082" s="66"/>
      <c r="M1082" s="66"/>
      <c r="N1082" s="66"/>
    </row>
    <row r="1083" spans="1:14" x14ac:dyDescent="0.2">
      <c r="A1083" s="84"/>
      <c r="B1083" s="84"/>
      <c r="C1083" s="60"/>
      <c r="D1083" s="66"/>
      <c r="E1083" s="66"/>
      <c r="F1083" s="66"/>
      <c r="G1083" s="66"/>
      <c r="H1083" s="66"/>
      <c r="I1083" s="66"/>
      <c r="J1083" s="66"/>
      <c r="K1083" s="66"/>
      <c r="L1083" s="66"/>
      <c r="M1083" s="66"/>
      <c r="N1083" s="66"/>
    </row>
    <row r="1084" spans="1:14" x14ac:dyDescent="0.2">
      <c r="A1084" s="84"/>
      <c r="B1084" s="84"/>
      <c r="C1084" s="60"/>
      <c r="D1084" s="66"/>
      <c r="E1084" s="66"/>
      <c r="F1084" s="66"/>
      <c r="G1084" s="66"/>
      <c r="H1084" s="66"/>
      <c r="I1084" s="66"/>
      <c r="J1084" s="66"/>
      <c r="K1084" s="66"/>
      <c r="L1084" s="66"/>
      <c r="M1084" s="66"/>
      <c r="N1084" s="66"/>
    </row>
    <row r="1085" spans="1:14" x14ac:dyDescent="0.2">
      <c r="A1085" s="84"/>
      <c r="B1085" s="84"/>
      <c r="C1085" s="60"/>
      <c r="D1085" s="66"/>
      <c r="E1085" s="66"/>
      <c r="F1085" s="66"/>
      <c r="G1085" s="66"/>
      <c r="H1085" s="66"/>
      <c r="I1085" s="66"/>
      <c r="J1085" s="66"/>
      <c r="K1085" s="66"/>
      <c r="L1085" s="66"/>
      <c r="M1085" s="66"/>
      <c r="N1085" s="66"/>
    </row>
    <row r="1086" spans="1:14" x14ac:dyDescent="0.2">
      <c r="A1086" s="84"/>
      <c r="B1086" s="84"/>
      <c r="C1086" s="60"/>
      <c r="D1086" s="66"/>
      <c r="E1086" s="66"/>
      <c r="F1086" s="66"/>
      <c r="G1086" s="66"/>
      <c r="H1086" s="66"/>
      <c r="I1086" s="66"/>
      <c r="J1086" s="66"/>
      <c r="K1086" s="66"/>
      <c r="L1086" s="66"/>
      <c r="M1086" s="66"/>
      <c r="N1086" s="66"/>
    </row>
    <row r="1087" spans="1:14" x14ac:dyDescent="0.2">
      <c r="A1087" s="84"/>
      <c r="B1087" s="84"/>
      <c r="C1087" s="60"/>
      <c r="D1087" s="66"/>
      <c r="E1087" s="66"/>
      <c r="F1087" s="66"/>
      <c r="G1087" s="66"/>
      <c r="H1087" s="66"/>
      <c r="I1087" s="66"/>
      <c r="J1087" s="66"/>
      <c r="K1087" s="66"/>
      <c r="L1087" s="66"/>
      <c r="M1087" s="66"/>
      <c r="N1087" s="66"/>
    </row>
    <row r="1088" spans="1:14" x14ac:dyDescent="0.2">
      <c r="A1088" s="84"/>
      <c r="B1088" s="84"/>
      <c r="C1088" s="60"/>
      <c r="D1088" s="66"/>
      <c r="E1088" s="66"/>
      <c r="F1088" s="66"/>
      <c r="G1088" s="66"/>
      <c r="H1088" s="66"/>
      <c r="I1088" s="66"/>
      <c r="J1088" s="66"/>
      <c r="K1088" s="66"/>
      <c r="L1088" s="66"/>
      <c r="M1088" s="66"/>
      <c r="N1088" s="66"/>
    </row>
    <row r="1089" spans="1:14" x14ac:dyDescent="0.2">
      <c r="A1089" s="84"/>
      <c r="B1089" s="84"/>
      <c r="C1089" s="60"/>
      <c r="D1089" s="66"/>
      <c r="E1089" s="66"/>
      <c r="F1089" s="66"/>
      <c r="G1089" s="66"/>
      <c r="H1089" s="66"/>
      <c r="I1089" s="66"/>
      <c r="J1089" s="66"/>
      <c r="K1089" s="66"/>
      <c r="L1089" s="66"/>
      <c r="M1089" s="66"/>
      <c r="N1089" s="66"/>
    </row>
    <row r="1090" spans="1:14" x14ac:dyDescent="0.2">
      <c r="A1090" s="84"/>
      <c r="B1090" s="84"/>
      <c r="C1090" s="60"/>
      <c r="D1090" s="66"/>
      <c r="E1090" s="66"/>
      <c r="F1090" s="66"/>
      <c r="G1090" s="66"/>
      <c r="H1090" s="66"/>
      <c r="I1090" s="66"/>
      <c r="J1090" s="66"/>
      <c r="K1090" s="66"/>
      <c r="L1090" s="66"/>
      <c r="M1090" s="66"/>
      <c r="N1090" s="66"/>
    </row>
    <row r="1091" spans="1:14" x14ac:dyDescent="0.2">
      <c r="A1091" s="84"/>
      <c r="B1091" s="84"/>
      <c r="C1091" s="60"/>
      <c r="D1091" s="66"/>
      <c r="E1091" s="66"/>
      <c r="F1091" s="66"/>
      <c r="G1091" s="66"/>
      <c r="H1091" s="66"/>
      <c r="I1091" s="66"/>
      <c r="J1091" s="66"/>
      <c r="K1091" s="66"/>
      <c r="L1091" s="66"/>
      <c r="M1091" s="66"/>
      <c r="N1091" s="66"/>
    </row>
    <row r="1092" spans="1:14" x14ac:dyDescent="0.2">
      <c r="A1092" s="84"/>
      <c r="B1092" s="84"/>
      <c r="C1092" s="60"/>
      <c r="D1092" s="66"/>
      <c r="E1092" s="66"/>
      <c r="F1092" s="66"/>
      <c r="G1092" s="66"/>
      <c r="H1092" s="66"/>
      <c r="I1092" s="66"/>
      <c r="J1092" s="66"/>
      <c r="K1092" s="66"/>
      <c r="L1092" s="66"/>
      <c r="M1092" s="66"/>
      <c r="N1092" s="66"/>
    </row>
    <row r="1093" spans="1:14" x14ac:dyDescent="0.2">
      <c r="A1093" s="84"/>
      <c r="B1093" s="84"/>
      <c r="C1093" s="60"/>
      <c r="D1093" s="66"/>
      <c r="E1093" s="66"/>
      <c r="F1093" s="66"/>
      <c r="G1093" s="66"/>
      <c r="H1093" s="66"/>
      <c r="I1093" s="66"/>
      <c r="J1093" s="66"/>
      <c r="K1093" s="66"/>
      <c r="L1093" s="66"/>
      <c r="M1093" s="66"/>
      <c r="N1093" s="66"/>
    </row>
    <row r="1094" spans="1:14" x14ac:dyDescent="0.2">
      <c r="A1094" s="84"/>
      <c r="B1094" s="84"/>
      <c r="C1094" s="60"/>
      <c r="D1094" s="66"/>
      <c r="E1094" s="66"/>
      <c r="F1094" s="66"/>
      <c r="G1094" s="66"/>
      <c r="H1094" s="66"/>
      <c r="I1094" s="66"/>
      <c r="J1094" s="66"/>
      <c r="K1094" s="66"/>
      <c r="L1094" s="66"/>
      <c r="M1094" s="66"/>
      <c r="N1094" s="66"/>
    </row>
    <row r="1095" spans="1:14" x14ac:dyDescent="0.2">
      <c r="A1095" s="84"/>
      <c r="B1095" s="84"/>
      <c r="C1095" s="60"/>
      <c r="D1095" s="66"/>
      <c r="E1095" s="66"/>
      <c r="F1095" s="66"/>
      <c r="G1095" s="66"/>
      <c r="H1095" s="66"/>
      <c r="I1095" s="66"/>
      <c r="J1095" s="66"/>
      <c r="K1095" s="66"/>
      <c r="L1095" s="66"/>
      <c r="M1095" s="66"/>
      <c r="N1095" s="66"/>
    </row>
    <row r="1096" spans="1:14" x14ac:dyDescent="0.2">
      <c r="A1096" s="84"/>
      <c r="B1096" s="84"/>
      <c r="C1096" s="60"/>
      <c r="D1096" s="66"/>
      <c r="E1096" s="66"/>
      <c r="F1096" s="66"/>
      <c r="G1096" s="66"/>
      <c r="H1096" s="66"/>
      <c r="I1096" s="66"/>
      <c r="J1096" s="66"/>
      <c r="K1096" s="66"/>
      <c r="L1096" s="66"/>
      <c r="M1096" s="66"/>
      <c r="N1096" s="66"/>
    </row>
    <row r="1097" spans="1:14" x14ac:dyDescent="0.2">
      <c r="A1097" s="84"/>
      <c r="B1097" s="84"/>
      <c r="C1097" s="60"/>
      <c r="D1097" s="66"/>
      <c r="E1097" s="66"/>
      <c r="F1097" s="66"/>
      <c r="G1097" s="66"/>
      <c r="H1097" s="66"/>
      <c r="I1097" s="66"/>
      <c r="J1097" s="66"/>
      <c r="K1097" s="66"/>
      <c r="L1097" s="66"/>
      <c r="M1097" s="66"/>
      <c r="N1097" s="66"/>
    </row>
    <row r="1098" spans="1:14" x14ac:dyDescent="0.2">
      <c r="A1098" s="84"/>
      <c r="B1098" s="84"/>
      <c r="C1098" s="60"/>
      <c r="D1098" s="66"/>
      <c r="E1098" s="66"/>
      <c r="F1098" s="66"/>
      <c r="G1098" s="66"/>
      <c r="H1098" s="66"/>
      <c r="I1098" s="66"/>
      <c r="J1098" s="66"/>
      <c r="K1098" s="66"/>
      <c r="L1098" s="66"/>
      <c r="M1098" s="66"/>
      <c r="N1098" s="66"/>
    </row>
    <row r="1099" spans="1:14" x14ac:dyDescent="0.2">
      <c r="A1099" s="84"/>
      <c r="B1099" s="84"/>
      <c r="C1099" s="60"/>
      <c r="D1099" s="66"/>
      <c r="E1099" s="66"/>
      <c r="F1099" s="66"/>
      <c r="G1099" s="66"/>
      <c r="H1099" s="66"/>
      <c r="I1099" s="66"/>
      <c r="J1099" s="66"/>
      <c r="K1099" s="66"/>
      <c r="L1099" s="66"/>
      <c r="M1099" s="66"/>
      <c r="N1099" s="66"/>
    </row>
    <row r="1100" spans="1:14" x14ac:dyDescent="0.2">
      <c r="A1100" s="84"/>
      <c r="B1100" s="84"/>
      <c r="C1100" s="60"/>
      <c r="D1100" s="66"/>
      <c r="E1100" s="66"/>
      <c r="F1100" s="66"/>
      <c r="G1100" s="66"/>
      <c r="H1100" s="66"/>
      <c r="I1100" s="66"/>
      <c r="J1100" s="66"/>
      <c r="K1100" s="66"/>
      <c r="L1100" s="66"/>
      <c r="M1100" s="66"/>
      <c r="N1100" s="66"/>
    </row>
    <row r="1101" spans="1:14" x14ac:dyDescent="0.2">
      <c r="A1101" s="84"/>
      <c r="B1101" s="84"/>
      <c r="C1101" s="60"/>
      <c r="D1101" s="66"/>
      <c r="E1101" s="66"/>
      <c r="F1101" s="66"/>
      <c r="G1101" s="66"/>
      <c r="H1101" s="66"/>
      <c r="I1101" s="66"/>
      <c r="J1101" s="66"/>
      <c r="K1101" s="66"/>
      <c r="L1101" s="66"/>
      <c r="M1101" s="66"/>
      <c r="N1101" s="66"/>
    </row>
    <row r="1102" spans="1:14" x14ac:dyDescent="0.2">
      <c r="A1102" s="84"/>
      <c r="B1102" s="84"/>
      <c r="C1102" s="60"/>
      <c r="D1102" s="66"/>
      <c r="E1102" s="66"/>
      <c r="F1102" s="66"/>
      <c r="G1102" s="66"/>
      <c r="H1102" s="66"/>
      <c r="I1102" s="66"/>
      <c r="J1102" s="66"/>
      <c r="K1102" s="66"/>
      <c r="L1102" s="66"/>
      <c r="M1102" s="66"/>
      <c r="N1102" s="66"/>
    </row>
    <row r="1103" spans="1:14" x14ac:dyDescent="0.2">
      <c r="A1103" s="84"/>
      <c r="B1103" s="84"/>
      <c r="C1103" s="60"/>
      <c r="D1103" s="66"/>
      <c r="E1103" s="66"/>
      <c r="F1103" s="66"/>
      <c r="G1103" s="66"/>
      <c r="H1103" s="66"/>
      <c r="I1103" s="66"/>
      <c r="J1103" s="66"/>
      <c r="K1103" s="66"/>
      <c r="L1103" s="66"/>
      <c r="M1103" s="66"/>
      <c r="N1103" s="66"/>
    </row>
    <row r="1104" spans="1:14" x14ac:dyDescent="0.2">
      <c r="A1104" s="84"/>
      <c r="B1104" s="84"/>
      <c r="C1104" s="60"/>
      <c r="D1104" s="66"/>
      <c r="E1104" s="66"/>
      <c r="F1104" s="66"/>
      <c r="G1104" s="66"/>
      <c r="H1104" s="66"/>
      <c r="I1104" s="66"/>
      <c r="J1104" s="66"/>
      <c r="K1104" s="66"/>
      <c r="L1104" s="66"/>
      <c r="M1104" s="66"/>
      <c r="N1104" s="66"/>
    </row>
    <row r="1105" spans="1:14" x14ac:dyDescent="0.2">
      <c r="A1105" s="84"/>
      <c r="B1105" s="84"/>
      <c r="C1105" s="60"/>
      <c r="D1105" s="66"/>
      <c r="E1105" s="66"/>
      <c r="F1105" s="66"/>
      <c r="G1105" s="66"/>
      <c r="H1105" s="66"/>
      <c r="I1105" s="66"/>
      <c r="J1105" s="66"/>
      <c r="K1105" s="66"/>
      <c r="L1105" s="66"/>
      <c r="M1105" s="66"/>
      <c r="N1105" s="66"/>
    </row>
    <row r="1106" spans="1:14" x14ac:dyDescent="0.2">
      <c r="A1106" s="84"/>
      <c r="B1106" s="84"/>
      <c r="C1106" s="60"/>
      <c r="D1106" s="66"/>
      <c r="E1106" s="66"/>
      <c r="F1106" s="66"/>
      <c r="G1106" s="66"/>
      <c r="H1106" s="66"/>
      <c r="I1106" s="66"/>
      <c r="J1106" s="66"/>
      <c r="K1106" s="66"/>
      <c r="L1106" s="66"/>
      <c r="M1106" s="66"/>
      <c r="N1106" s="66"/>
    </row>
    <row r="1107" spans="1:14" x14ac:dyDescent="0.2">
      <c r="A1107" s="84"/>
      <c r="B1107" s="84"/>
      <c r="C1107" s="60"/>
      <c r="D1107" s="66"/>
      <c r="E1107" s="66"/>
      <c r="F1107" s="66"/>
      <c r="G1107" s="66"/>
      <c r="H1107" s="66"/>
      <c r="I1107" s="66"/>
      <c r="J1107" s="66"/>
      <c r="K1107" s="66"/>
      <c r="L1107" s="66"/>
      <c r="M1107" s="66"/>
      <c r="N1107" s="66"/>
    </row>
    <row r="1108" spans="1:14" x14ac:dyDescent="0.2">
      <c r="A1108" s="84"/>
      <c r="B1108" s="84"/>
      <c r="C1108" s="60"/>
      <c r="D1108" s="66"/>
      <c r="E1108" s="66"/>
      <c r="F1108" s="66"/>
      <c r="G1108" s="66"/>
      <c r="H1108" s="66"/>
      <c r="I1108" s="66"/>
      <c r="J1108" s="66"/>
      <c r="K1108" s="66"/>
      <c r="L1108" s="66"/>
      <c r="M1108" s="66"/>
      <c r="N1108" s="66"/>
    </row>
    <row r="1109" spans="1:14" x14ac:dyDescent="0.2">
      <c r="A1109" s="84"/>
      <c r="B1109" s="84"/>
      <c r="C1109" s="60"/>
      <c r="D1109" s="66"/>
      <c r="E1109" s="66"/>
      <c r="F1109" s="66"/>
      <c r="G1109" s="66"/>
      <c r="H1109" s="66"/>
      <c r="I1109" s="66"/>
      <c r="J1109" s="66"/>
      <c r="K1109" s="66"/>
      <c r="L1109" s="66"/>
      <c r="M1109" s="66"/>
      <c r="N1109" s="66"/>
    </row>
    <row r="1110" spans="1:14" x14ac:dyDescent="0.2">
      <c r="A1110" s="84"/>
      <c r="B1110" s="84"/>
      <c r="C1110" s="60"/>
      <c r="D1110" s="66"/>
      <c r="E1110" s="66"/>
      <c r="F1110" s="66"/>
      <c r="G1110" s="66"/>
      <c r="H1110" s="66"/>
      <c r="I1110" s="66"/>
      <c r="J1110" s="66"/>
      <c r="K1110" s="66"/>
      <c r="L1110" s="66"/>
      <c r="M1110" s="66"/>
      <c r="N1110" s="66"/>
    </row>
    <row r="1111" spans="1:14" x14ac:dyDescent="0.2">
      <c r="A1111" s="84"/>
      <c r="B1111" s="84"/>
      <c r="C1111" s="60"/>
      <c r="D1111" s="66"/>
      <c r="E1111" s="66"/>
      <c r="F1111" s="66"/>
      <c r="G1111" s="66"/>
      <c r="H1111" s="66"/>
      <c r="I1111" s="66"/>
      <c r="J1111" s="66"/>
      <c r="K1111" s="66"/>
      <c r="L1111" s="66"/>
      <c r="M1111" s="66"/>
      <c r="N1111" s="66"/>
    </row>
    <row r="1112" spans="1:14" x14ac:dyDescent="0.2">
      <c r="A1112" s="84"/>
      <c r="B1112" s="84"/>
      <c r="C1112" s="60"/>
      <c r="D1112" s="66"/>
      <c r="E1112" s="66"/>
      <c r="F1112" s="66"/>
      <c r="G1112" s="66"/>
      <c r="H1112" s="66"/>
      <c r="I1112" s="66"/>
      <c r="J1112" s="66"/>
      <c r="K1112" s="66"/>
      <c r="L1112" s="66"/>
      <c r="M1112" s="66"/>
      <c r="N1112" s="66"/>
    </row>
    <row r="1113" spans="1:14" x14ac:dyDescent="0.2">
      <c r="A1113" s="84"/>
      <c r="B1113" s="84"/>
      <c r="C1113" s="60"/>
      <c r="D1113" s="66"/>
      <c r="E1113" s="66"/>
      <c r="F1113" s="66"/>
      <c r="G1113" s="66"/>
      <c r="H1113" s="66"/>
      <c r="I1113" s="66"/>
      <c r="J1113" s="66"/>
      <c r="K1113" s="66"/>
      <c r="L1113" s="66"/>
      <c r="M1113" s="66"/>
      <c r="N1113" s="66"/>
    </row>
    <row r="1114" spans="1:14" x14ac:dyDescent="0.2">
      <c r="A1114" s="84"/>
      <c r="B1114" s="84"/>
      <c r="C1114" s="60"/>
      <c r="D1114" s="66"/>
      <c r="E1114" s="66"/>
      <c r="F1114" s="66"/>
      <c r="G1114" s="66"/>
      <c r="H1114" s="66"/>
      <c r="I1114" s="66"/>
      <c r="J1114" s="66"/>
      <c r="K1114" s="66"/>
      <c r="L1114" s="66"/>
      <c r="M1114" s="66"/>
      <c r="N1114" s="66"/>
    </row>
    <row r="1115" spans="1:14" x14ac:dyDescent="0.2">
      <c r="A1115" s="84"/>
      <c r="B1115" s="84"/>
      <c r="C1115" s="60"/>
      <c r="D1115" s="66"/>
      <c r="E1115" s="66"/>
      <c r="F1115" s="66"/>
      <c r="G1115" s="66"/>
      <c r="H1115" s="66"/>
      <c r="I1115" s="66"/>
      <c r="J1115" s="66"/>
      <c r="K1115" s="66"/>
      <c r="L1115" s="66"/>
      <c r="M1115" s="66"/>
      <c r="N1115" s="66"/>
    </row>
    <row r="1116" spans="1:14" x14ac:dyDescent="0.2">
      <c r="A1116" s="84"/>
      <c r="B1116" s="84"/>
      <c r="C1116" s="60"/>
      <c r="D1116" s="66"/>
      <c r="E1116" s="66"/>
      <c r="F1116" s="66"/>
      <c r="G1116" s="66"/>
      <c r="H1116" s="66"/>
      <c r="I1116" s="66"/>
      <c r="J1116" s="66"/>
      <c r="K1116" s="66"/>
      <c r="L1116" s="66"/>
      <c r="M1116" s="66"/>
      <c r="N1116" s="66"/>
    </row>
    <row r="1117" spans="1:14" x14ac:dyDescent="0.2">
      <c r="A1117" s="84"/>
      <c r="B1117" s="84"/>
      <c r="C1117" s="60"/>
      <c r="D1117" s="66"/>
      <c r="E1117" s="66"/>
      <c r="F1117" s="66"/>
      <c r="G1117" s="66"/>
      <c r="H1117" s="66"/>
      <c r="I1117" s="66"/>
      <c r="J1117" s="66"/>
      <c r="K1117" s="66"/>
      <c r="L1117" s="66"/>
      <c r="M1117" s="66"/>
      <c r="N1117" s="66"/>
    </row>
    <row r="1118" spans="1:14" x14ac:dyDescent="0.2">
      <c r="A1118" s="84"/>
      <c r="B1118" s="84"/>
      <c r="C1118" s="60"/>
      <c r="D1118" s="66"/>
      <c r="E1118" s="66"/>
      <c r="F1118" s="66"/>
      <c r="G1118" s="66"/>
      <c r="H1118" s="66"/>
      <c r="I1118" s="66"/>
      <c r="J1118" s="66"/>
      <c r="K1118" s="66"/>
      <c r="L1118" s="66"/>
      <c r="M1118" s="66"/>
      <c r="N1118" s="66"/>
    </row>
    <row r="1119" spans="1:14" x14ac:dyDescent="0.2">
      <c r="A1119" s="84"/>
      <c r="B1119" s="84"/>
      <c r="C1119" s="60"/>
      <c r="D1119" s="66"/>
      <c r="E1119" s="66"/>
      <c r="F1119" s="66"/>
      <c r="G1119" s="66"/>
      <c r="H1119" s="66"/>
      <c r="I1119" s="66"/>
      <c r="J1119" s="66"/>
      <c r="K1119" s="66"/>
      <c r="L1119" s="66"/>
      <c r="M1119" s="66"/>
      <c r="N1119" s="66"/>
    </row>
    <row r="1120" spans="1:14" x14ac:dyDescent="0.2">
      <c r="A1120" s="84"/>
      <c r="B1120" s="84"/>
      <c r="C1120" s="60"/>
      <c r="D1120" s="66"/>
      <c r="E1120" s="66"/>
      <c r="F1120" s="66"/>
      <c r="G1120" s="66"/>
      <c r="H1120" s="66"/>
      <c r="I1120" s="66"/>
      <c r="J1120" s="66"/>
      <c r="K1120" s="66"/>
      <c r="L1120" s="66"/>
      <c r="M1120" s="66"/>
      <c r="N1120" s="66"/>
    </row>
    <row r="1121" spans="1:14" x14ac:dyDescent="0.2">
      <c r="A1121" s="84"/>
      <c r="B1121" s="84"/>
      <c r="C1121" s="60"/>
      <c r="D1121" s="66"/>
      <c r="E1121" s="66"/>
      <c r="F1121" s="66"/>
      <c r="G1121" s="66"/>
      <c r="H1121" s="66"/>
      <c r="I1121" s="66"/>
      <c r="J1121" s="66"/>
      <c r="K1121" s="66"/>
      <c r="L1121" s="66"/>
      <c r="M1121" s="66"/>
      <c r="N1121" s="66"/>
    </row>
    <row r="1122" spans="1:14" x14ac:dyDescent="0.2">
      <c r="A1122" s="84"/>
      <c r="B1122" s="84"/>
      <c r="C1122" s="60"/>
      <c r="D1122" s="66"/>
      <c r="E1122" s="66"/>
      <c r="F1122" s="66"/>
      <c r="G1122" s="66"/>
      <c r="H1122" s="66"/>
      <c r="I1122" s="66"/>
      <c r="J1122" s="66"/>
      <c r="K1122" s="66"/>
      <c r="L1122" s="66"/>
      <c r="M1122" s="66"/>
      <c r="N1122" s="66"/>
    </row>
    <row r="1123" spans="1:14" x14ac:dyDescent="0.2">
      <c r="A1123" s="84"/>
      <c r="B1123" s="84"/>
      <c r="C1123" s="60"/>
      <c r="D1123" s="66"/>
      <c r="E1123" s="66"/>
      <c r="F1123" s="66"/>
      <c r="G1123" s="66"/>
      <c r="H1123" s="66"/>
      <c r="I1123" s="66"/>
      <c r="J1123" s="66"/>
      <c r="K1123" s="66"/>
      <c r="L1123" s="66"/>
      <c r="M1123" s="66"/>
      <c r="N1123" s="66"/>
    </row>
    <row r="1124" spans="1:14" x14ac:dyDescent="0.2">
      <c r="A1124" s="84"/>
      <c r="B1124" s="84"/>
      <c r="C1124" s="60"/>
      <c r="D1124" s="66"/>
      <c r="E1124" s="66"/>
      <c r="F1124" s="66"/>
      <c r="G1124" s="66"/>
      <c r="H1124" s="66"/>
      <c r="I1124" s="66"/>
      <c r="J1124" s="66"/>
      <c r="K1124" s="66"/>
      <c r="L1124" s="66"/>
      <c r="M1124" s="66"/>
      <c r="N1124" s="66"/>
    </row>
    <row r="1125" spans="1:14" x14ac:dyDescent="0.2">
      <c r="A1125" s="84"/>
      <c r="B1125" s="84"/>
      <c r="C1125" s="60"/>
      <c r="D1125" s="66"/>
      <c r="E1125" s="66"/>
      <c r="F1125" s="66"/>
      <c r="G1125" s="66"/>
      <c r="H1125" s="66"/>
      <c r="I1125" s="66"/>
      <c r="J1125" s="66"/>
      <c r="K1125" s="66"/>
      <c r="L1125" s="66"/>
      <c r="M1125" s="66"/>
      <c r="N1125" s="66"/>
    </row>
    <row r="1126" spans="1:14" x14ac:dyDescent="0.2">
      <c r="A1126" s="84"/>
      <c r="B1126" s="84"/>
      <c r="C1126" s="60"/>
      <c r="D1126" s="66"/>
      <c r="E1126" s="66"/>
      <c r="F1126" s="66"/>
      <c r="G1126" s="66"/>
      <c r="H1126" s="66"/>
      <c r="I1126" s="66"/>
      <c r="J1126" s="66"/>
      <c r="K1126" s="66"/>
      <c r="L1126" s="66"/>
      <c r="M1126" s="66"/>
      <c r="N1126" s="66"/>
    </row>
    <row r="1127" spans="1:14" x14ac:dyDescent="0.2">
      <c r="A1127" s="84"/>
      <c r="B1127" s="84"/>
      <c r="C1127" s="60"/>
      <c r="D1127" s="66"/>
      <c r="E1127" s="66"/>
      <c r="F1127" s="66"/>
      <c r="G1127" s="66"/>
      <c r="H1127" s="66"/>
      <c r="I1127" s="66"/>
      <c r="J1127" s="66"/>
      <c r="K1127" s="66"/>
      <c r="L1127" s="66"/>
      <c r="M1127" s="66"/>
      <c r="N1127" s="66"/>
    </row>
    <row r="1128" spans="1:14" x14ac:dyDescent="0.2">
      <c r="A1128" s="84"/>
      <c r="B1128" s="84"/>
      <c r="C1128" s="60"/>
      <c r="D1128" s="66"/>
      <c r="E1128" s="66"/>
      <c r="F1128" s="66"/>
      <c r="G1128" s="66"/>
      <c r="H1128" s="66"/>
      <c r="I1128" s="66"/>
      <c r="J1128" s="66"/>
      <c r="K1128" s="66"/>
      <c r="L1128" s="66"/>
      <c r="M1128" s="66"/>
      <c r="N1128" s="66"/>
    </row>
    <row r="1129" spans="1:14" x14ac:dyDescent="0.2">
      <c r="A1129" s="84"/>
      <c r="B1129" s="84"/>
      <c r="C1129" s="60"/>
      <c r="D1129" s="66"/>
      <c r="E1129" s="66"/>
      <c r="F1129" s="66"/>
      <c r="G1129" s="66"/>
      <c r="H1129" s="66"/>
      <c r="I1129" s="66"/>
      <c r="J1129" s="66"/>
      <c r="K1129" s="66"/>
      <c r="L1129" s="66"/>
      <c r="M1129" s="66"/>
      <c r="N1129" s="66"/>
    </row>
    <row r="1130" spans="1:14" x14ac:dyDescent="0.2">
      <c r="A1130" s="84"/>
      <c r="B1130" s="84"/>
      <c r="C1130" s="60"/>
      <c r="D1130" s="66"/>
      <c r="E1130" s="66"/>
      <c r="F1130" s="66"/>
      <c r="G1130" s="66"/>
      <c r="H1130" s="66"/>
      <c r="I1130" s="66"/>
      <c r="J1130" s="66"/>
      <c r="K1130" s="66"/>
      <c r="L1130" s="66"/>
      <c r="M1130" s="66"/>
      <c r="N1130" s="66"/>
    </row>
    <row r="1131" spans="1:14" x14ac:dyDescent="0.2">
      <c r="A1131" s="84"/>
      <c r="B1131" s="84"/>
      <c r="C1131" s="60"/>
      <c r="D1131" s="66"/>
      <c r="E1131" s="66"/>
      <c r="F1131" s="66"/>
      <c r="G1131" s="66"/>
      <c r="H1131" s="66"/>
      <c r="I1131" s="66"/>
      <c r="J1131" s="66"/>
      <c r="K1131" s="66"/>
      <c r="L1131" s="66"/>
      <c r="M1131" s="66"/>
      <c r="N1131" s="66"/>
    </row>
    <row r="1132" spans="1:14" x14ac:dyDescent="0.2">
      <c r="A1132" s="84"/>
      <c r="B1132" s="84"/>
      <c r="C1132" s="60"/>
      <c r="D1132" s="66"/>
      <c r="E1132" s="66"/>
      <c r="F1132" s="66"/>
      <c r="G1132" s="66"/>
      <c r="H1132" s="66"/>
      <c r="I1132" s="66"/>
      <c r="J1132" s="66"/>
      <c r="K1132" s="66"/>
      <c r="L1132" s="66"/>
      <c r="M1132" s="66"/>
      <c r="N1132" s="66"/>
    </row>
    <row r="1133" spans="1:14" x14ac:dyDescent="0.2">
      <c r="A1133" s="84"/>
      <c r="B1133" s="84"/>
      <c r="C1133" s="60"/>
      <c r="D1133" s="66"/>
      <c r="E1133" s="66"/>
      <c r="F1133" s="66"/>
      <c r="G1133" s="66"/>
      <c r="H1133" s="66"/>
      <c r="I1133" s="66"/>
      <c r="J1133" s="66"/>
      <c r="K1133" s="66"/>
      <c r="L1133" s="66"/>
      <c r="M1133" s="66"/>
      <c r="N1133" s="66"/>
    </row>
    <row r="1134" spans="1:14" x14ac:dyDescent="0.2">
      <c r="A1134" s="84"/>
      <c r="B1134" s="84"/>
      <c r="C1134" s="60"/>
      <c r="D1134" s="66"/>
      <c r="E1134" s="66"/>
      <c r="F1134" s="66"/>
      <c r="G1134" s="66"/>
      <c r="H1134" s="66"/>
      <c r="I1134" s="66"/>
      <c r="J1134" s="66"/>
      <c r="K1134" s="66"/>
      <c r="L1134" s="66"/>
      <c r="M1134" s="66"/>
      <c r="N1134" s="66"/>
    </row>
    <row r="1135" spans="1:14" x14ac:dyDescent="0.2">
      <c r="A1135" s="84"/>
      <c r="B1135" s="84"/>
      <c r="C1135" s="60"/>
      <c r="D1135" s="66"/>
      <c r="E1135" s="66"/>
      <c r="F1135" s="66"/>
      <c r="G1135" s="66"/>
      <c r="H1135" s="66"/>
      <c r="I1135" s="66"/>
      <c r="J1135" s="66"/>
      <c r="K1135" s="66"/>
      <c r="L1135" s="66"/>
      <c r="M1135" s="66"/>
      <c r="N1135" s="66"/>
    </row>
    <row r="1136" spans="1:14" x14ac:dyDescent="0.2">
      <c r="A1136" s="84"/>
      <c r="B1136" s="84"/>
      <c r="C1136" s="60"/>
      <c r="D1136" s="66"/>
      <c r="E1136" s="66"/>
      <c r="F1136" s="66"/>
      <c r="G1136" s="66"/>
      <c r="H1136" s="66"/>
      <c r="I1136" s="66"/>
      <c r="J1136" s="66"/>
      <c r="K1136" s="66"/>
      <c r="L1136" s="66"/>
      <c r="M1136" s="66"/>
      <c r="N1136" s="66"/>
    </row>
    <row r="1137" spans="1:14" x14ac:dyDescent="0.2">
      <c r="A1137" s="84"/>
      <c r="B1137" s="84"/>
      <c r="C1137" s="60"/>
      <c r="D1137" s="66"/>
      <c r="E1137" s="66"/>
      <c r="F1137" s="66"/>
      <c r="G1137" s="66"/>
      <c r="H1137" s="66"/>
      <c r="I1137" s="66"/>
      <c r="J1137" s="66"/>
      <c r="K1137" s="66"/>
      <c r="L1137" s="66"/>
      <c r="M1137" s="66"/>
      <c r="N1137" s="66"/>
    </row>
    <row r="1138" spans="1:14" x14ac:dyDescent="0.2">
      <c r="A1138" s="84"/>
      <c r="B1138" s="84"/>
      <c r="C1138" s="60"/>
      <c r="D1138" s="66"/>
      <c r="E1138" s="66"/>
      <c r="F1138" s="66"/>
      <c r="G1138" s="66"/>
      <c r="H1138" s="66"/>
      <c r="I1138" s="66"/>
      <c r="J1138" s="66"/>
      <c r="K1138" s="66"/>
      <c r="L1138" s="66"/>
      <c r="M1138" s="66"/>
      <c r="N1138" s="66"/>
    </row>
    <row r="1139" spans="1:14" x14ac:dyDescent="0.2">
      <c r="A1139" s="84"/>
      <c r="B1139" s="84"/>
      <c r="C1139" s="60"/>
      <c r="D1139" s="66"/>
      <c r="E1139" s="66"/>
      <c r="F1139" s="66"/>
      <c r="G1139" s="66"/>
      <c r="H1139" s="66"/>
      <c r="I1139" s="66"/>
      <c r="J1139" s="66"/>
      <c r="K1139" s="66"/>
      <c r="L1139" s="66"/>
      <c r="M1139" s="66"/>
      <c r="N1139" s="66"/>
    </row>
    <row r="1140" spans="1:14" x14ac:dyDescent="0.2">
      <c r="A1140" s="84"/>
      <c r="B1140" s="84"/>
      <c r="C1140" s="60"/>
      <c r="D1140" s="66"/>
      <c r="E1140" s="66"/>
      <c r="F1140" s="66"/>
      <c r="G1140" s="66"/>
      <c r="H1140" s="66"/>
      <c r="I1140" s="66"/>
      <c r="J1140" s="66"/>
      <c r="K1140" s="66"/>
      <c r="L1140" s="66"/>
      <c r="M1140" s="66"/>
      <c r="N1140" s="66"/>
    </row>
    <row r="1141" spans="1:14" x14ac:dyDescent="0.2">
      <c r="A1141" s="84"/>
      <c r="B1141" s="84"/>
      <c r="C1141" s="60"/>
      <c r="D1141" s="66"/>
      <c r="E1141" s="66"/>
      <c r="F1141" s="66"/>
      <c r="G1141" s="66"/>
      <c r="H1141" s="66"/>
      <c r="I1141" s="66"/>
      <c r="J1141" s="66"/>
      <c r="K1141" s="66"/>
      <c r="L1141" s="66"/>
      <c r="M1141" s="66"/>
      <c r="N1141" s="66"/>
    </row>
    <row r="1142" spans="1:14" x14ac:dyDescent="0.2">
      <c r="A1142" s="84"/>
      <c r="B1142" s="84"/>
      <c r="C1142" s="60"/>
      <c r="D1142" s="66"/>
      <c r="E1142" s="66"/>
      <c r="F1142" s="66"/>
      <c r="G1142" s="66"/>
      <c r="H1142" s="66"/>
      <c r="I1142" s="66"/>
      <c r="J1142" s="66"/>
      <c r="K1142" s="66"/>
      <c r="L1142" s="66"/>
      <c r="M1142" s="66"/>
      <c r="N1142" s="66"/>
    </row>
    <row r="1143" spans="1:14" x14ac:dyDescent="0.2">
      <c r="A1143" s="84"/>
      <c r="B1143" s="84"/>
      <c r="C1143" s="60"/>
      <c r="D1143" s="66"/>
      <c r="E1143" s="66"/>
      <c r="F1143" s="66"/>
      <c r="G1143" s="66"/>
      <c r="H1143" s="66"/>
      <c r="I1143" s="66"/>
      <c r="J1143" s="66"/>
      <c r="K1143" s="66"/>
      <c r="L1143" s="66"/>
      <c r="M1143" s="66"/>
      <c r="N1143" s="66"/>
    </row>
    <row r="1144" spans="1:14" x14ac:dyDescent="0.2">
      <c r="A1144" s="84"/>
      <c r="B1144" s="84"/>
      <c r="C1144" s="60"/>
      <c r="D1144" s="66"/>
      <c r="E1144" s="66"/>
      <c r="F1144" s="66"/>
      <c r="G1144" s="66"/>
      <c r="H1144" s="66"/>
      <c r="I1144" s="66"/>
      <c r="J1144" s="66"/>
      <c r="K1144" s="66"/>
      <c r="L1144" s="66"/>
      <c r="M1144" s="66"/>
      <c r="N1144" s="66"/>
    </row>
    <row r="1145" spans="1:14" x14ac:dyDescent="0.2">
      <c r="A1145" s="84"/>
      <c r="B1145" s="84"/>
      <c r="C1145" s="60"/>
      <c r="D1145" s="66"/>
      <c r="E1145" s="66"/>
      <c r="F1145" s="66"/>
      <c r="G1145" s="66"/>
      <c r="H1145" s="66"/>
      <c r="I1145" s="66"/>
      <c r="J1145" s="66"/>
      <c r="K1145" s="66"/>
      <c r="L1145" s="66"/>
      <c r="M1145" s="66"/>
      <c r="N1145" s="66"/>
    </row>
    <row r="1146" spans="1:14" x14ac:dyDescent="0.2">
      <c r="A1146" s="84"/>
      <c r="B1146" s="84"/>
      <c r="C1146" s="60"/>
      <c r="D1146" s="66"/>
      <c r="E1146" s="66"/>
      <c r="F1146" s="66"/>
      <c r="G1146" s="66"/>
      <c r="H1146" s="66"/>
      <c r="I1146" s="66"/>
      <c r="J1146" s="66"/>
      <c r="K1146" s="66"/>
      <c r="L1146" s="66"/>
      <c r="M1146" s="66"/>
      <c r="N1146" s="66"/>
    </row>
    <row r="1147" spans="1:14" x14ac:dyDescent="0.2">
      <c r="A1147" s="84"/>
      <c r="B1147" s="84"/>
      <c r="C1147" s="60"/>
      <c r="D1147" s="66"/>
      <c r="E1147" s="66"/>
      <c r="F1147" s="66"/>
      <c r="G1147" s="66"/>
      <c r="H1147" s="66"/>
      <c r="I1147" s="66"/>
      <c r="J1147" s="66"/>
      <c r="K1147" s="66"/>
      <c r="L1147" s="66"/>
      <c r="M1147" s="66"/>
      <c r="N1147" s="66"/>
    </row>
    <row r="1148" spans="1:14" x14ac:dyDescent="0.2">
      <c r="A1148" s="84"/>
      <c r="B1148" s="84"/>
      <c r="C1148" s="60"/>
      <c r="D1148" s="66"/>
      <c r="E1148" s="66"/>
      <c r="F1148" s="66"/>
      <c r="G1148" s="66"/>
      <c r="H1148" s="66"/>
      <c r="I1148" s="66"/>
      <c r="J1148" s="66"/>
      <c r="K1148" s="66"/>
      <c r="L1148" s="66"/>
      <c r="M1148" s="66"/>
      <c r="N1148" s="66"/>
    </row>
    <row r="1149" spans="1:14" x14ac:dyDescent="0.2">
      <c r="A1149" s="84"/>
      <c r="B1149" s="84"/>
      <c r="C1149" s="60"/>
      <c r="D1149" s="66"/>
      <c r="E1149" s="66"/>
      <c r="F1149" s="66"/>
      <c r="G1149" s="66"/>
      <c r="H1149" s="66"/>
      <c r="I1149" s="66"/>
      <c r="J1149" s="66"/>
      <c r="K1149" s="66"/>
      <c r="L1149" s="66"/>
      <c r="M1149" s="66"/>
      <c r="N1149" s="66"/>
    </row>
    <row r="1150" spans="1:14" x14ac:dyDescent="0.2">
      <c r="A1150" s="84"/>
      <c r="B1150" s="84"/>
      <c r="C1150" s="60"/>
      <c r="D1150" s="66"/>
      <c r="E1150" s="66"/>
      <c r="F1150" s="66"/>
      <c r="G1150" s="66"/>
      <c r="H1150" s="66"/>
      <c r="I1150" s="66"/>
      <c r="J1150" s="66"/>
      <c r="K1150" s="66"/>
      <c r="L1150" s="66"/>
      <c r="M1150" s="66"/>
      <c r="N1150" s="66"/>
    </row>
    <row r="1151" spans="1:14" x14ac:dyDescent="0.2">
      <c r="A1151" s="84"/>
      <c r="B1151" s="84"/>
      <c r="C1151" s="60"/>
      <c r="D1151" s="66"/>
      <c r="E1151" s="66"/>
      <c r="F1151" s="66"/>
      <c r="G1151" s="66"/>
      <c r="H1151" s="66"/>
      <c r="I1151" s="66"/>
      <c r="J1151" s="66"/>
      <c r="K1151" s="66"/>
      <c r="L1151" s="66"/>
      <c r="M1151" s="66"/>
      <c r="N1151" s="66"/>
    </row>
    <row r="1152" spans="1:14" x14ac:dyDescent="0.2">
      <c r="A1152" s="84"/>
      <c r="B1152" s="84"/>
      <c r="C1152" s="60"/>
      <c r="D1152" s="66"/>
      <c r="E1152" s="66"/>
      <c r="F1152" s="66"/>
      <c r="G1152" s="66"/>
      <c r="H1152" s="66"/>
      <c r="I1152" s="66"/>
      <c r="J1152" s="66"/>
      <c r="K1152" s="66"/>
      <c r="L1152" s="66"/>
      <c r="M1152" s="66"/>
      <c r="N1152" s="66"/>
    </row>
    <row r="1153" spans="1:14" x14ac:dyDescent="0.2">
      <c r="A1153" s="84"/>
      <c r="B1153" s="84"/>
      <c r="C1153" s="60"/>
      <c r="D1153" s="66"/>
      <c r="E1153" s="66"/>
      <c r="F1153" s="66"/>
      <c r="G1153" s="66"/>
      <c r="H1153" s="66"/>
      <c r="I1153" s="66"/>
      <c r="J1153" s="66"/>
      <c r="K1153" s="66"/>
      <c r="L1153" s="66"/>
      <c r="M1153" s="66"/>
      <c r="N1153" s="66"/>
    </row>
    <row r="1154" spans="1:14" x14ac:dyDescent="0.2">
      <c r="A1154" s="84"/>
      <c r="B1154" s="84"/>
      <c r="C1154" s="60"/>
      <c r="D1154" s="66"/>
      <c r="E1154" s="66"/>
      <c r="F1154" s="66"/>
      <c r="G1154" s="66"/>
      <c r="H1154" s="66"/>
      <c r="I1154" s="66"/>
      <c r="J1154" s="66"/>
      <c r="K1154" s="66"/>
      <c r="L1154" s="66"/>
      <c r="M1154" s="66"/>
      <c r="N1154" s="66"/>
    </row>
    <row r="1155" spans="1:14" x14ac:dyDescent="0.2">
      <c r="A1155" s="84"/>
      <c r="B1155" s="84"/>
      <c r="C1155" s="60"/>
      <c r="D1155" s="66"/>
      <c r="E1155" s="66"/>
      <c r="F1155" s="66"/>
      <c r="G1155" s="66"/>
      <c r="H1155" s="66"/>
      <c r="I1155" s="66"/>
      <c r="J1155" s="66"/>
      <c r="K1155" s="66"/>
      <c r="L1155" s="66"/>
      <c r="M1155" s="66"/>
      <c r="N1155" s="66"/>
    </row>
    <row r="1156" spans="1:14" x14ac:dyDescent="0.2">
      <c r="A1156" s="84"/>
      <c r="B1156" s="84"/>
      <c r="C1156" s="60"/>
      <c r="D1156" s="66"/>
      <c r="E1156" s="66"/>
      <c r="F1156" s="66"/>
      <c r="G1156" s="66"/>
      <c r="H1156" s="66"/>
      <c r="I1156" s="66"/>
      <c r="J1156" s="66"/>
      <c r="K1156" s="66"/>
      <c r="L1156" s="66"/>
      <c r="M1156" s="66"/>
      <c r="N1156" s="66"/>
    </row>
    <row r="1157" spans="1:14" x14ac:dyDescent="0.2">
      <c r="A1157" s="84"/>
      <c r="B1157" s="84"/>
      <c r="C1157" s="60"/>
      <c r="D1157" s="66"/>
      <c r="E1157" s="66"/>
      <c r="F1157" s="66"/>
      <c r="G1157" s="66"/>
      <c r="H1157" s="66"/>
      <c r="I1157" s="66"/>
      <c r="J1157" s="66"/>
      <c r="K1157" s="66"/>
      <c r="L1157" s="66"/>
      <c r="M1157" s="66"/>
      <c r="N1157" s="66"/>
    </row>
    <row r="1158" spans="1:14" x14ac:dyDescent="0.2">
      <c r="A1158" s="84"/>
      <c r="B1158" s="84"/>
      <c r="C1158" s="60"/>
      <c r="D1158" s="66"/>
      <c r="E1158" s="66"/>
      <c r="F1158" s="66"/>
      <c r="G1158" s="66"/>
      <c r="H1158" s="66"/>
      <c r="I1158" s="66"/>
      <c r="J1158" s="66"/>
      <c r="K1158" s="66"/>
      <c r="L1158" s="66"/>
      <c r="M1158" s="66"/>
      <c r="N1158" s="66"/>
    </row>
    <row r="1159" spans="1:14" x14ac:dyDescent="0.2">
      <c r="A1159" s="84"/>
      <c r="B1159" s="84"/>
      <c r="C1159" s="60"/>
      <c r="D1159" s="66"/>
      <c r="E1159" s="66"/>
      <c r="F1159" s="66"/>
      <c r="G1159" s="66"/>
      <c r="H1159" s="66"/>
      <c r="I1159" s="66"/>
      <c r="J1159" s="66"/>
      <c r="K1159" s="66"/>
      <c r="L1159" s="66"/>
      <c r="M1159" s="66"/>
      <c r="N1159" s="66"/>
    </row>
    <row r="1160" spans="1:14" x14ac:dyDescent="0.2">
      <c r="A1160" s="84"/>
      <c r="B1160" s="84"/>
      <c r="C1160" s="60"/>
      <c r="D1160" s="66"/>
      <c r="E1160" s="66"/>
      <c r="F1160" s="66"/>
      <c r="G1160" s="66"/>
      <c r="H1160" s="66"/>
      <c r="I1160" s="66"/>
      <c r="J1160" s="66"/>
      <c r="K1160" s="66"/>
      <c r="L1160" s="66"/>
      <c r="M1160" s="66"/>
      <c r="N1160" s="66"/>
    </row>
    <row r="1161" spans="1:14" x14ac:dyDescent="0.2">
      <c r="A1161" s="84"/>
      <c r="B1161" s="84"/>
      <c r="C1161" s="60"/>
      <c r="D1161" s="66"/>
      <c r="E1161" s="66"/>
      <c r="F1161" s="66"/>
      <c r="G1161" s="66"/>
      <c r="H1161" s="66"/>
      <c r="I1161" s="66"/>
      <c r="J1161" s="66"/>
      <c r="K1161" s="66"/>
      <c r="L1161" s="66"/>
      <c r="M1161" s="66"/>
      <c r="N1161" s="66"/>
    </row>
    <row r="1162" spans="1:14" x14ac:dyDescent="0.2">
      <c r="A1162" s="84"/>
      <c r="B1162" s="84"/>
      <c r="C1162" s="60"/>
      <c r="D1162" s="66"/>
      <c r="E1162" s="66"/>
      <c r="F1162" s="66"/>
      <c r="G1162" s="66"/>
      <c r="H1162" s="66"/>
      <c r="I1162" s="66"/>
      <c r="J1162" s="66"/>
      <c r="K1162" s="66"/>
      <c r="L1162" s="66"/>
      <c r="M1162" s="66"/>
      <c r="N1162" s="66"/>
    </row>
    <row r="1163" spans="1:14" x14ac:dyDescent="0.2">
      <c r="A1163" s="84"/>
      <c r="B1163" s="84"/>
      <c r="C1163" s="60"/>
      <c r="D1163" s="66"/>
      <c r="E1163" s="66"/>
      <c r="F1163" s="66"/>
      <c r="G1163" s="66"/>
      <c r="H1163" s="66"/>
      <c r="I1163" s="66"/>
      <c r="J1163" s="66"/>
      <c r="K1163" s="66"/>
      <c r="L1163" s="66"/>
      <c r="M1163" s="66"/>
      <c r="N1163" s="66"/>
    </row>
    <row r="1164" spans="1:14" x14ac:dyDescent="0.2">
      <c r="A1164" s="84"/>
      <c r="B1164" s="84"/>
      <c r="C1164" s="60"/>
      <c r="D1164" s="66"/>
      <c r="E1164" s="66"/>
      <c r="F1164" s="66"/>
      <c r="G1164" s="66"/>
      <c r="H1164" s="66"/>
      <c r="I1164" s="66"/>
      <c r="J1164" s="66"/>
      <c r="K1164" s="66"/>
      <c r="L1164" s="66"/>
      <c r="M1164" s="66"/>
      <c r="N1164" s="66"/>
    </row>
    <row r="1165" spans="1:14" x14ac:dyDescent="0.2">
      <c r="A1165" s="84"/>
      <c r="B1165" s="84"/>
      <c r="C1165" s="60"/>
      <c r="D1165" s="66"/>
      <c r="E1165" s="66"/>
      <c r="F1165" s="66"/>
      <c r="G1165" s="66"/>
      <c r="H1165" s="66"/>
      <c r="I1165" s="66"/>
      <c r="J1165" s="66"/>
      <c r="K1165" s="66"/>
      <c r="L1165" s="66"/>
      <c r="M1165" s="66"/>
      <c r="N1165" s="66"/>
    </row>
    <row r="1166" spans="1:14" x14ac:dyDescent="0.2">
      <c r="A1166" s="84"/>
      <c r="B1166" s="84"/>
      <c r="C1166" s="60"/>
      <c r="D1166" s="66"/>
      <c r="E1166" s="66"/>
      <c r="F1166" s="66"/>
      <c r="G1166" s="66"/>
      <c r="H1166" s="66"/>
      <c r="I1166" s="66"/>
      <c r="J1166" s="66"/>
      <c r="K1166" s="66"/>
      <c r="L1166" s="66"/>
      <c r="M1166" s="66"/>
      <c r="N1166" s="66"/>
    </row>
    <row r="1167" spans="1:14" x14ac:dyDescent="0.2">
      <c r="A1167" s="84"/>
      <c r="B1167" s="84"/>
      <c r="C1167" s="60"/>
      <c r="D1167" s="66"/>
      <c r="E1167" s="66"/>
      <c r="F1167" s="66"/>
      <c r="G1167" s="66"/>
      <c r="H1167" s="66"/>
      <c r="I1167" s="66"/>
      <c r="J1167" s="66"/>
      <c r="K1167" s="66"/>
      <c r="L1167" s="66"/>
      <c r="M1167" s="66"/>
      <c r="N1167" s="66"/>
    </row>
    <row r="1168" spans="1:14" x14ac:dyDescent="0.2">
      <c r="A1168" s="84"/>
      <c r="B1168" s="84"/>
      <c r="C1168" s="60"/>
      <c r="D1168" s="66"/>
      <c r="E1168" s="66"/>
      <c r="F1168" s="66"/>
      <c r="G1168" s="66"/>
      <c r="H1168" s="66"/>
      <c r="I1168" s="66"/>
      <c r="J1168" s="66"/>
      <c r="K1168" s="66"/>
      <c r="L1168" s="66"/>
      <c r="M1168" s="66"/>
      <c r="N1168" s="66"/>
    </row>
    <row r="1169" spans="1:14" x14ac:dyDescent="0.2">
      <c r="A1169" s="84"/>
      <c r="B1169" s="84"/>
      <c r="C1169" s="60"/>
      <c r="D1169" s="66"/>
      <c r="E1169" s="66"/>
      <c r="F1169" s="66"/>
      <c r="G1169" s="66"/>
      <c r="H1169" s="66"/>
      <c r="I1169" s="66"/>
      <c r="J1169" s="66"/>
      <c r="K1169" s="66"/>
      <c r="L1169" s="66"/>
      <c r="M1169" s="66"/>
      <c r="N1169" s="66"/>
    </row>
    <row r="1170" spans="1:14" x14ac:dyDescent="0.2">
      <c r="A1170" s="84"/>
      <c r="B1170" s="84"/>
      <c r="C1170" s="60"/>
      <c r="D1170" s="66"/>
      <c r="E1170" s="66"/>
      <c r="F1170" s="66"/>
      <c r="G1170" s="66"/>
      <c r="H1170" s="66"/>
      <c r="I1170" s="66"/>
      <c r="J1170" s="66"/>
      <c r="K1170" s="66"/>
      <c r="L1170" s="66"/>
      <c r="M1170" s="66"/>
      <c r="N1170" s="66"/>
    </row>
    <row r="1171" spans="1:14" x14ac:dyDescent="0.2">
      <c r="A1171" s="84"/>
      <c r="B1171" s="84"/>
      <c r="C1171" s="60"/>
      <c r="D1171" s="66"/>
      <c r="E1171" s="66"/>
      <c r="F1171" s="66"/>
      <c r="G1171" s="66"/>
      <c r="H1171" s="66"/>
      <c r="I1171" s="66"/>
      <c r="J1171" s="66"/>
      <c r="K1171" s="66"/>
      <c r="L1171" s="66"/>
      <c r="M1171" s="66"/>
      <c r="N1171" s="66"/>
    </row>
    <row r="1172" spans="1:14" x14ac:dyDescent="0.2">
      <c r="A1172" s="84"/>
      <c r="B1172" s="84"/>
      <c r="C1172" s="60"/>
      <c r="D1172" s="66"/>
      <c r="E1172" s="66"/>
      <c r="F1172" s="66"/>
      <c r="G1172" s="66"/>
      <c r="H1172" s="66"/>
      <c r="I1172" s="66"/>
      <c r="J1172" s="66"/>
      <c r="K1172" s="66"/>
      <c r="L1172" s="66"/>
      <c r="M1172" s="66"/>
      <c r="N1172" s="66"/>
    </row>
    <row r="1173" spans="1:14" x14ac:dyDescent="0.2">
      <c r="A1173" s="84"/>
      <c r="B1173" s="84"/>
      <c r="C1173" s="60"/>
      <c r="D1173" s="66"/>
      <c r="E1173" s="66"/>
      <c r="F1173" s="66"/>
      <c r="G1173" s="66"/>
      <c r="H1173" s="66"/>
      <c r="I1173" s="66"/>
      <c r="J1173" s="66"/>
      <c r="K1173" s="66"/>
      <c r="L1173" s="66"/>
      <c r="M1173" s="66"/>
      <c r="N1173" s="66"/>
    </row>
    <row r="1174" spans="1:14" x14ac:dyDescent="0.2">
      <c r="A1174" s="84"/>
      <c r="B1174" s="84"/>
      <c r="C1174" s="60"/>
      <c r="D1174" s="66"/>
      <c r="E1174" s="66"/>
      <c r="F1174" s="66"/>
      <c r="G1174" s="66"/>
      <c r="H1174" s="66"/>
      <c r="I1174" s="66"/>
      <c r="J1174" s="66"/>
      <c r="K1174" s="66"/>
      <c r="L1174" s="66"/>
      <c r="M1174" s="66"/>
      <c r="N1174" s="66"/>
    </row>
    <row r="1175" spans="1:14" x14ac:dyDescent="0.2">
      <c r="A1175" s="84"/>
      <c r="B1175" s="84"/>
      <c r="C1175" s="60"/>
      <c r="D1175" s="66"/>
      <c r="E1175" s="66"/>
      <c r="F1175" s="66"/>
      <c r="G1175" s="66"/>
      <c r="H1175" s="66"/>
      <c r="I1175" s="66"/>
      <c r="J1175" s="66"/>
      <c r="K1175" s="66"/>
      <c r="L1175" s="66"/>
      <c r="M1175" s="66"/>
      <c r="N1175" s="66"/>
    </row>
    <row r="1176" spans="1:14" x14ac:dyDescent="0.2">
      <c r="A1176" s="84"/>
      <c r="B1176" s="84"/>
      <c r="C1176" s="60"/>
      <c r="D1176" s="66"/>
      <c r="E1176" s="66"/>
      <c r="F1176" s="66"/>
      <c r="G1176" s="66"/>
      <c r="H1176" s="66"/>
      <c r="I1176" s="66"/>
      <c r="J1176" s="66"/>
      <c r="K1176" s="66"/>
      <c r="L1176" s="66"/>
      <c r="M1176" s="66"/>
      <c r="N1176" s="66"/>
    </row>
    <row r="1177" spans="1:14" x14ac:dyDescent="0.2">
      <c r="A1177" s="84"/>
      <c r="B1177" s="84"/>
      <c r="C1177" s="60"/>
      <c r="D1177" s="66"/>
      <c r="E1177" s="66"/>
      <c r="F1177" s="66"/>
      <c r="G1177" s="66"/>
      <c r="H1177" s="66"/>
      <c r="I1177" s="66"/>
      <c r="J1177" s="66"/>
      <c r="K1177" s="66"/>
      <c r="L1177" s="66"/>
      <c r="M1177" s="66"/>
      <c r="N1177" s="66"/>
    </row>
    <row r="1178" spans="1:14" x14ac:dyDescent="0.2">
      <c r="A1178" s="84"/>
      <c r="B1178" s="84"/>
      <c r="C1178" s="60"/>
      <c r="D1178" s="66"/>
      <c r="E1178" s="66"/>
      <c r="F1178" s="66"/>
      <c r="G1178" s="66"/>
      <c r="H1178" s="66"/>
      <c r="I1178" s="66"/>
      <c r="J1178" s="66"/>
      <c r="K1178" s="66"/>
      <c r="L1178" s="66"/>
      <c r="M1178" s="66"/>
      <c r="N1178" s="66"/>
    </row>
    <row r="1179" spans="1:14" x14ac:dyDescent="0.2">
      <c r="A1179" s="84"/>
      <c r="B1179" s="84"/>
      <c r="C1179" s="60"/>
      <c r="D1179" s="66"/>
      <c r="E1179" s="66"/>
      <c r="F1179" s="66"/>
      <c r="G1179" s="66"/>
      <c r="H1179" s="66"/>
      <c r="I1179" s="66"/>
      <c r="J1179" s="66"/>
      <c r="K1179" s="66"/>
      <c r="L1179" s="66"/>
      <c r="M1179" s="66"/>
      <c r="N1179" s="66"/>
    </row>
    <row r="1180" spans="1:14" x14ac:dyDescent="0.2">
      <c r="A1180" s="84"/>
      <c r="B1180" s="84"/>
      <c r="C1180" s="60"/>
      <c r="D1180" s="66"/>
      <c r="E1180" s="66"/>
      <c r="F1180" s="66"/>
      <c r="G1180" s="66"/>
      <c r="H1180" s="66"/>
      <c r="I1180" s="66"/>
      <c r="J1180" s="66"/>
      <c r="K1180" s="66"/>
      <c r="L1180" s="66"/>
      <c r="M1180" s="66"/>
      <c r="N1180" s="66"/>
    </row>
    <row r="1181" spans="1:14" x14ac:dyDescent="0.2">
      <c r="A1181" s="84"/>
      <c r="B1181" s="84"/>
      <c r="C1181" s="60"/>
      <c r="D1181" s="66"/>
      <c r="E1181" s="66"/>
      <c r="F1181" s="66"/>
      <c r="G1181" s="66"/>
      <c r="H1181" s="66"/>
      <c r="I1181" s="66"/>
      <c r="J1181" s="66"/>
      <c r="K1181" s="66"/>
      <c r="L1181" s="66"/>
      <c r="M1181" s="66"/>
      <c r="N1181" s="66"/>
    </row>
    <row r="1182" spans="1:14" x14ac:dyDescent="0.2">
      <c r="A1182" s="84"/>
      <c r="B1182" s="84"/>
      <c r="C1182" s="60"/>
      <c r="D1182" s="66"/>
      <c r="E1182" s="66"/>
      <c r="F1182" s="66"/>
      <c r="G1182" s="66"/>
      <c r="H1182" s="66"/>
      <c r="I1182" s="66"/>
      <c r="J1182" s="66"/>
      <c r="K1182" s="66"/>
      <c r="L1182" s="66"/>
      <c r="M1182" s="66"/>
      <c r="N1182" s="66"/>
    </row>
    <row r="1183" spans="1:14" x14ac:dyDescent="0.2">
      <c r="A1183" s="84"/>
      <c r="B1183" s="84"/>
      <c r="C1183" s="60"/>
      <c r="D1183" s="66"/>
      <c r="E1183" s="66"/>
      <c r="F1183" s="66"/>
      <c r="G1183" s="66"/>
      <c r="H1183" s="66"/>
      <c r="I1183" s="66"/>
      <c r="J1183" s="66"/>
      <c r="K1183" s="66"/>
      <c r="L1183" s="66"/>
      <c r="M1183" s="66"/>
      <c r="N1183" s="66"/>
    </row>
    <row r="1184" spans="1:14" x14ac:dyDescent="0.2">
      <c r="A1184" s="84"/>
      <c r="B1184" s="84"/>
      <c r="C1184" s="60"/>
      <c r="D1184" s="66"/>
      <c r="E1184" s="66"/>
      <c r="F1184" s="66"/>
      <c r="G1184" s="66"/>
      <c r="H1184" s="66"/>
      <c r="I1184" s="66"/>
      <c r="J1184" s="66"/>
      <c r="K1184" s="66"/>
      <c r="L1184" s="66"/>
      <c r="M1184" s="66"/>
      <c r="N1184" s="66"/>
    </row>
    <row r="1185" spans="1:14" x14ac:dyDescent="0.2">
      <c r="A1185" s="84"/>
      <c r="B1185" s="84"/>
      <c r="C1185" s="60"/>
      <c r="D1185" s="66"/>
      <c r="E1185" s="66"/>
      <c r="F1185" s="66"/>
      <c r="G1185" s="66"/>
      <c r="H1185" s="66"/>
      <c r="I1185" s="66"/>
      <c r="J1185" s="66"/>
      <c r="K1185" s="66"/>
      <c r="L1185" s="66"/>
      <c r="M1185" s="66"/>
      <c r="N1185" s="66"/>
    </row>
    <row r="1186" spans="1:14" x14ac:dyDescent="0.2">
      <c r="A1186" s="84"/>
      <c r="B1186" s="84"/>
      <c r="C1186" s="60"/>
      <c r="D1186" s="66"/>
      <c r="E1186" s="66"/>
      <c r="F1186" s="66"/>
      <c r="G1186" s="66"/>
      <c r="H1186" s="66"/>
      <c r="I1186" s="66"/>
      <c r="J1186" s="66"/>
      <c r="K1186" s="66"/>
      <c r="L1186" s="66"/>
      <c r="M1186" s="66"/>
      <c r="N1186" s="66"/>
    </row>
    <row r="1187" spans="1:14" x14ac:dyDescent="0.2">
      <c r="A1187" s="84"/>
      <c r="B1187" s="84"/>
      <c r="C1187" s="60"/>
      <c r="D1187" s="66"/>
      <c r="E1187" s="66"/>
      <c r="F1187" s="66"/>
      <c r="G1187" s="66"/>
      <c r="H1187" s="66"/>
      <c r="I1187" s="66"/>
      <c r="J1187" s="66"/>
      <c r="K1187" s="66"/>
      <c r="L1187" s="66"/>
      <c r="M1187" s="66"/>
      <c r="N1187" s="66"/>
    </row>
    <row r="1188" spans="1:14" x14ac:dyDescent="0.2">
      <c r="A1188" s="84"/>
      <c r="B1188" s="84"/>
      <c r="C1188" s="60"/>
      <c r="D1188" s="66"/>
      <c r="E1188" s="66"/>
      <c r="F1188" s="66"/>
      <c r="G1188" s="66"/>
      <c r="H1188" s="66"/>
      <c r="I1188" s="66"/>
      <c r="J1188" s="66"/>
      <c r="K1188" s="66"/>
      <c r="L1188" s="66"/>
      <c r="M1188" s="66"/>
      <c r="N1188" s="66"/>
    </row>
    <row r="1189" spans="1:14" x14ac:dyDescent="0.2">
      <c r="A1189" s="84"/>
      <c r="B1189" s="84"/>
      <c r="C1189" s="60"/>
      <c r="D1189" s="66"/>
      <c r="E1189" s="66"/>
      <c r="F1189" s="66"/>
      <c r="G1189" s="66"/>
      <c r="H1189" s="66"/>
      <c r="I1189" s="66"/>
      <c r="J1189" s="66"/>
      <c r="K1189" s="66"/>
      <c r="L1189" s="66"/>
      <c r="M1189" s="66"/>
      <c r="N1189" s="66"/>
    </row>
    <row r="1190" spans="1:14" x14ac:dyDescent="0.2">
      <c r="A1190" s="84"/>
      <c r="B1190" s="84"/>
      <c r="C1190" s="60"/>
      <c r="D1190" s="66"/>
      <c r="E1190" s="66"/>
      <c r="F1190" s="66"/>
      <c r="G1190" s="66"/>
      <c r="H1190" s="66"/>
      <c r="I1190" s="66"/>
      <c r="J1190" s="66"/>
      <c r="K1190" s="66"/>
      <c r="L1190" s="66"/>
      <c r="M1190" s="66"/>
      <c r="N1190" s="66"/>
    </row>
    <row r="1191" spans="1:14" x14ac:dyDescent="0.2">
      <c r="A1191" s="84"/>
      <c r="B1191" s="84"/>
      <c r="C1191" s="60"/>
      <c r="D1191" s="66"/>
      <c r="E1191" s="66"/>
      <c r="F1191" s="66"/>
      <c r="G1191" s="66"/>
      <c r="H1191" s="66"/>
      <c r="I1191" s="66"/>
      <c r="J1191" s="66"/>
      <c r="K1191" s="66"/>
      <c r="L1191" s="66"/>
      <c r="M1191" s="66"/>
      <c r="N1191" s="66"/>
    </row>
    <row r="1192" spans="1:14" x14ac:dyDescent="0.2">
      <c r="A1192" s="84"/>
      <c r="B1192" s="84"/>
      <c r="C1192" s="60"/>
      <c r="D1192" s="66"/>
      <c r="E1192" s="66"/>
      <c r="F1192" s="66"/>
      <c r="G1192" s="66"/>
      <c r="H1192" s="66"/>
      <c r="I1192" s="66"/>
      <c r="J1192" s="66"/>
      <c r="K1192" s="66"/>
      <c r="L1192" s="66"/>
      <c r="M1192" s="66"/>
      <c r="N1192" s="66"/>
    </row>
    <row r="1193" spans="1:14" x14ac:dyDescent="0.2">
      <c r="A1193" s="84"/>
      <c r="B1193" s="84"/>
      <c r="C1193" s="60"/>
      <c r="D1193" s="66"/>
      <c r="E1193" s="66"/>
      <c r="F1193" s="66"/>
      <c r="G1193" s="66"/>
      <c r="H1193" s="66"/>
      <c r="I1193" s="66"/>
      <c r="J1193" s="66"/>
      <c r="K1193" s="66"/>
      <c r="L1193" s="66"/>
      <c r="M1193" s="66"/>
      <c r="N1193" s="66"/>
    </row>
    <row r="1194" spans="1:14" x14ac:dyDescent="0.2">
      <c r="A1194" s="84"/>
      <c r="B1194" s="84"/>
      <c r="C1194" s="60"/>
      <c r="D1194" s="66"/>
      <c r="E1194" s="66"/>
      <c r="F1194" s="66"/>
      <c r="G1194" s="66"/>
      <c r="H1194" s="66"/>
      <c r="I1194" s="66"/>
      <c r="J1194" s="66"/>
      <c r="K1194" s="66"/>
      <c r="L1194" s="66"/>
      <c r="M1194" s="66"/>
      <c r="N1194" s="66"/>
    </row>
    <row r="1195" spans="1:14" x14ac:dyDescent="0.2">
      <c r="A1195" s="84"/>
      <c r="B1195" s="84"/>
      <c r="C1195" s="60"/>
      <c r="D1195" s="66"/>
      <c r="E1195" s="66"/>
      <c r="F1195" s="66"/>
      <c r="G1195" s="66"/>
      <c r="H1195" s="66"/>
      <c r="I1195" s="66"/>
      <c r="J1195" s="66"/>
      <c r="K1195" s="66"/>
      <c r="L1195" s="66"/>
      <c r="M1195" s="66"/>
      <c r="N1195" s="66"/>
    </row>
    <row r="1196" spans="1:14" x14ac:dyDescent="0.2">
      <c r="A1196" s="84"/>
      <c r="B1196" s="84"/>
      <c r="C1196" s="60"/>
      <c r="D1196" s="66"/>
      <c r="E1196" s="66"/>
      <c r="F1196" s="66"/>
      <c r="G1196" s="66"/>
      <c r="H1196" s="66"/>
      <c r="I1196" s="66"/>
      <c r="J1196" s="66"/>
      <c r="K1196" s="66"/>
      <c r="L1196" s="66"/>
      <c r="M1196" s="66"/>
      <c r="N1196" s="66"/>
    </row>
    <row r="1197" spans="1:14" x14ac:dyDescent="0.2">
      <c r="A1197" s="84"/>
      <c r="B1197" s="84"/>
      <c r="C1197" s="60"/>
      <c r="D1197" s="66"/>
      <c r="E1197" s="66"/>
      <c r="F1197" s="66"/>
      <c r="G1197" s="66"/>
      <c r="H1197" s="66"/>
      <c r="I1197" s="66"/>
      <c r="J1197" s="66"/>
      <c r="K1197" s="66"/>
      <c r="L1197" s="66"/>
      <c r="M1197" s="66"/>
      <c r="N1197" s="66"/>
    </row>
    <row r="1198" spans="1:14" x14ac:dyDescent="0.2">
      <c r="A1198" s="84"/>
      <c r="B1198" s="84"/>
      <c r="C1198" s="60"/>
      <c r="D1198" s="66"/>
      <c r="E1198" s="66"/>
      <c r="F1198" s="66"/>
      <c r="G1198" s="66"/>
      <c r="H1198" s="66"/>
      <c r="I1198" s="66"/>
      <c r="J1198" s="66"/>
      <c r="K1198" s="66"/>
      <c r="L1198" s="66"/>
      <c r="M1198" s="66"/>
      <c r="N1198" s="66"/>
    </row>
    <row r="1199" spans="1:14" x14ac:dyDescent="0.2">
      <c r="A1199" s="84"/>
      <c r="B1199" s="84"/>
      <c r="C1199" s="60"/>
      <c r="D1199" s="66"/>
      <c r="E1199" s="66"/>
      <c r="F1199" s="66"/>
      <c r="G1199" s="66"/>
      <c r="H1199" s="66"/>
      <c r="I1199" s="66"/>
      <c r="J1199" s="66"/>
      <c r="K1199" s="66"/>
      <c r="L1199" s="66"/>
      <c r="M1199" s="66"/>
      <c r="N1199" s="66"/>
    </row>
    <row r="1200" spans="1:14" x14ac:dyDescent="0.2">
      <c r="A1200" s="84"/>
      <c r="B1200" s="84"/>
      <c r="C1200" s="60"/>
      <c r="D1200" s="66"/>
      <c r="E1200" s="66"/>
      <c r="F1200" s="66"/>
      <c r="G1200" s="66"/>
      <c r="H1200" s="66"/>
      <c r="I1200" s="66"/>
      <c r="J1200" s="66"/>
      <c r="K1200" s="66"/>
      <c r="L1200" s="66"/>
      <c r="M1200" s="66"/>
      <c r="N1200" s="66"/>
    </row>
    <row r="1201" spans="1:14" x14ac:dyDescent="0.2">
      <c r="A1201" s="84"/>
      <c r="B1201" s="84"/>
      <c r="C1201" s="60"/>
      <c r="D1201" s="66"/>
      <c r="E1201" s="66"/>
      <c r="F1201" s="66"/>
      <c r="G1201" s="66"/>
      <c r="H1201" s="66"/>
      <c r="I1201" s="66"/>
      <c r="J1201" s="66"/>
      <c r="K1201" s="66"/>
      <c r="L1201" s="66"/>
      <c r="M1201" s="66"/>
      <c r="N1201" s="66"/>
    </row>
    <row r="1202" spans="1:14" x14ac:dyDescent="0.2">
      <c r="A1202" s="84"/>
      <c r="B1202" s="84"/>
      <c r="C1202" s="60"/>
      <c r="D1202" s="66"/>
      <c r="E1202" s="66"/>
      <c r="F1202" s="66"/>
      <c r="G1202" s="66"/>
      <c r="H1202" s="66"/>
      <c r="I1202" s="66"/>
      <c r="J1202" s="66"/>
      <c r="K1202" s="66"/>
      <c r="L1202" s="66"/>
      <c r="M1202" s="66"/>
      <c r="N1202" s="66"/>
    </row>
    <row r="1203" spans="1:14" x14ac:dyDescent="0.2">
      <c r="A1203" s="84"/>
      <c r="B1203" s="84"/>
      <c r="C1203" s="60"/>
      <c r="D1203" s="66"/>
      <c r="E1203" s="66"/>
      <c r="F1203" s="66"/>
      <c r="G1203" s="66"/>
      <c r="H1203" s="66"/>
      <c r="I1203" s="66"/>
      <c r="J1203" s="66"/>
      <c r="K1203" s="66"/>
      <c r="L1203" s="66"/>
      <c r="M1203" s="66"/>
      <c r="N1203" s="66"/>
    </row>
    <row r="1204" spans="1:14" x14ac:dyDescent="0.2">
      <c r="A1204" s="84"/>
      <c r="B1204" s="84"/>
      <c r="C1204" s="60"/>
      <c r="D1204" s="66"/>
      <c r="E1204" s="66"/>
      <c r="F1204" s="66"/>
      <c r="G1204" s="66"/>
      <c r="H1204" s="66"/>
      <c r="I1204" s="66"/>
      <c r="J1204" s="66"/>
      <c r="K1204" s="66"/>
      <c r="L1204" s="66"/>
      <c r="M1204" s="66"/>
      <c r="N1204" s="66"/>
    </row>
    <row r="1205" spans="1:14" x14ac:dyDescent="0.2">
      <c r="A1205" s="84"/>
      <c r="B1205" s="84"/>
      <c r="C1205" s="60"/>
      <c r="D1205" s="66"/>
      <c r="E1205" s="66"/>
      <c r="F1205" s="66"/>
      <c r="G1205" s="66"/>
      <c r="H1205" s="66"/>
      <c r="I1205" s="66"/>
      <c r="J1205" s="66"/>
      <c r="K1205" s="66"/>
      <c r="L1205" s="66"/>
      <c r="M1205" s="66"/>
      <c r="N1205" s="66"/>
    </row>
    <row r="1206" spans="1:14" x14ac:dyDescent="0.2">
      <c r="A1206" s="84"/>
      <c r="B1206" s="84"/>
      <c r="C1206" s="60"/>
      <c r="D1206" s="66"/>
      <c r="E1206" s="66"/>
      <c r="F1206" s="66"/>
      <c r="G1206" s="66"/>
      <c r="H1206" s="66"/>
      <c r="I1206" s="66"/>
      <c r="J1206" s="66"/>
      <c r="K1206" s="66"/>
      <c r="L1206" s="66"/>
      <c r="M1206" s="66"/>
      <c r="N1206" s="66"/>
    </row>
    <row r="1207" spans="1:14" x14ac:dyDescent="0.2">
      <c r="A1207" s="84"/>
      <c r="B1207" s="84"/>
      <c r="C1207" s="60"/>
      <c r="D1207" s="66"/>
      <c r="E1207" s="66"/>
      <c r="F1207" s="66"/>
      <c r="G1207" s="66"/>
      <c r="H1207" s="66"/>
      <c r="I1207" s="66"/>
      <c r="J1207" s="66"/>
      <c r="K1207" s="66"/>
      <c r="L1207" s="66"/>
      <c r="M1207" s="66"/>
      <c r="N1207" s="66"/>
    </row>
    <row r="1208" spans="1:14" x14ac:dyDescent="0.2">
      <c r="A1208" s="84"/>
      <c r="B1208" s="84"/>
      <c r="C1208" s="60"/>
      <c r="D1208" s="66"/>
      <c r="E1208" s="66"/>
      <c r="F1208" s="66"/>
      <c r="G1208" s="66"/>
      <c r="H1208" s="66"/>
      <c r="I1208" s="66"/>
      <c r="J1208" s="66"/>
      <c r="K1208" s="66"/>
      <c r="L1208" s="66"/>
      <c r="M1208" s="66"/>
      <c r="N1208" s="66"/>
    </row>
    <row r="1209" spans="1:14" x14ac:dyDescent="0.2">
      <c r="A1209" s="84"/>
      <c r="B1209" s="84"/>
      <c r="C1209" s="60"/>
      <c r="D1209" s="66"/>
      <c r="E1209" s="66"/>
      <c r="F1209" s="66"/>
      <c r="G1209" s="66"/>
      <c r="H1209" s="66"/>
      <c r="I1209" s="66"/>
      <c r="J1209" s="66"/>
      <c r="K1209" s="66"/>
      <c r="L1209" s="66"/>
      <c r="M1209" s="66"/>
      <c r="N1209" s="66"/>
    </row>
    <row r="1210" spans="1:14" x14ac:dyDescent="0.2">
      <c r="A1210" s="84"/>
      <c r="B1210" s="84"/>
      <c r="C1210" s="60"/>
      <c r="D1210" s="66"/>
      <c r="E1210" s="66"/>
      <c r="F1210" s="66"/>
      <c r="G1210" s="66"/>
      <c r="H1210" s="66"/>
      <c r="I1210" s="66"/>
      <c r="J1210" s="66"/>
      <c r="K1210" s="66"/>
      <c r="L1210" s="66"/>
      <c r="M1210" s="66"/>
      <c r="N1210" s="66"/>
    </row>
    <row r="1211" spans="1:14" x14ac:dyDescent="0.2">
      <c r="A1211" s="84"/>
      <c r="B1211" s="84"/>
      <c r="C1211" s="60"/>
      <c r="D1211" s="66"/>
      <c r="E1211" s="66"/>
      <c r="F1211" s="66"/>
      <c r="G1211" s="66"/>
      <c r="H1211" s="66"/>
      <c r="I1211" s="66"/>
      <c r="J1211" s="66"/>
      <c r="K1211" s="66"/>
      <c r="L1211" s="66"/>
      <c r="M1211" s="66"/>
      <c r="N1211" s="66"/>
    </row>
    <row r="1212" spans="1:14" x14ac:dyDescent="0.2">
      <c r="A1212" s="84"/>
      <c r="B1212" s="84"/>
      <c r="C1212" s="60"/>
      <c r="D1212" s="66"/>
      <c r="E1212" s="66"/>
      <c r="F1212" s="66"/>
      <c r="G1212" s="66"/>
      <c r="H1212" s="66"/>
      <c r="I1212" s="66"/>
      <c r="J1212" s="66"/>
      <c r="K1212" s="66"/>
      <c r="L1212" s="66"/>
      <c r="M1212" s="66"/>
      <c r="N1212" s="66"/>
    </row>
    <row r="1213" spans="1:14" x14ac:dyDescent="0.2">
      <c r="A1213" s="84"/>
      <c r="B1213" s="84"/>
      <c r="C1213" s="60"/>
      <c r="D1213" s="66"/>
      <c r="E1213" s="66"/>
      <c r="F1213" s="66"/>
      <c r="G1213" s="66"/>
      <c r="H1213" s="66"/>
      <c r="I1213" s="66"/>
      <c r="J1213" s="66"/>
      <c r="K1213" s="66"/>
      <c r="L1213" s="66"/>
      <c r="M1213" s="66"/>
      <c r="N1213" s="66"/>
    </row>
    <row r="1214" spans="1:14" x14ac:dyDescent="0.2">
      <c r="A1214" s="84"/>
      <c r="B1214" s="84"/>
      <c r="C1214" s="60"/>
      <c r="D1214" s="66"/>
      <c r="E1214" s="66"/>
      <c r="F1214" s="66"/>
      <c r="G1214" s="66"/>
      <c r="H1214" s="66"/>
      <c r="I1214" s="66"/>
      <c r="J1214" s="66"/>
      <c r="K1214" s="66"/>
      <c r="L1214" s="66"/>
      <c r="M1214" s="66"/>
      <c r="N1214" s="66"/>
    </row>
    <row r="1215" spans="1:14" x14ac:dyDescent="0.2">
      <c r="A1215" s="84"/>
      <c r="B1215" s="84"/>
      <c r="C1215" s="60"/>
      <c r="D1215" s="66"/>
      <c r="E1215" s="66"/>
      <c r="F1215" s="66"/>
      <c r="G1215" s="66"/>
      <c r="H1215" s="66"/>
      <c r="I1215" s="66"/>
      <c r="J1215" s="66"/>
      <c r="K1215" s="66"/>
      <c r="L1215" s="66"/>
      <c r="M1215" s="66"/>
      <c r="N1215" s="66"/>
    </row>
    <row r="1216" spans="1:14" x14ac:dyDescent="0.2">
      <c r="A1216" s="84"/>
      <c r="B1216" s="84"/>
      <c r="C1216" s="60"/>
      <c r="D1216" s="66"/>
      <c r="E1216" s="66"/>
      <c r="F1216" s="66"/>
      <c r="G1216" s="66"/>
      <c r="H1216" s="66"/>
      <c r="I1216" s="66"/>
      <c r="J1216" s="66"/>
      <c r="K1216" s="66"/>
      <c r="L1216" s="66"/>
      <c r="M1216" s="66"/>
      <c r="N1216" s="66"/>
    </row>
    <row r="1217" spans="1:14" x14ac:dyDescent="0.2">
      <c r="A1217" s="84"/>
      <c r="B1217" s="84"/>
      <c r="C1217" s="60"/>
      <c r="D1217" s="66"/>
      <c r="E1217" s="66"/>
      <c r="F1217" s="66"/>
      <c r="G1217" s="66"/>
      <c r="H1217" s="66"/>
      <c r="I1217" s="66"/>
      <c r="J1217" s="66"/>
      <c r="K1217" s="66"/>
      <c r="L1217" s="66"/>
      <c r="M1217" s="66"/>
      <c r="N1217" s="66"/>
    </row>
    <row r="1218" spans="1:14" x14ac:dyDescent="0.2">
      <c r="A1218" s="84"/>
      <c r="B1218" s="84"/>
      <c r="C1218" s="60"/>
      <c r="D1218" s="66"/>
      <c r="E1218" s="66"/>
      <c r="F1218" s="66"/>
      <c r="G1218" s="66"/>
      <c r="H1218" s="66"/>
      <c r="I1218" s="66"/>
      <c r="J1218" s="66"/>
      <c r="K1218" s="66"/>
      <c r="L1218" s="66"/>
      <c r="M1218" s="66"/>
      <c r="N1218" s="66"/>
    </row>
    <row r="1219" spans="1:14" x14ac:dyDescent="0.2">
      <c r="A1219" s="84"/>
      <c r="B1219" s="84"/>
      <c r="C1219" s="60"/>
      <c r="D1219" s="66"/>
      <c r="E1219" s="66"/>
      <c r="F1219" s="66"/>
      <c r="G1219" s="66"/>
      <c r="H1219" s="66"/>
      <c r="I1219" s="66"/>
      <c r="J1219" s="66"/>
      <c r="K1219" s="66"/>
      <c r="L1219" s="66"/>
      <c r="M1219" s="66"/>
      <c r="N1219" s="66"/>
    </row>
    <row r="1220" spans="1:14" x14ac:dyDescent="0.2">
      <c r="A1220" s="84"/>
      <c r="B1220" s="84"/>
      <c r="C1220" s="60"/>
      <c r="D1220" s="66"/>
      <c r="E1220" s="66"/>
      <c r="F1220" s="66"/>
      <c r="G1220" s="66"/>
      <c r="H1220" s="66"/>
      <c r="I1220" s="66"/>
      <c r="J1220" s="66"/>
      <c r="K1220" s="66"/>
      <c r="L1220" s="66"/>
      <c r="M1220" s="66"/>
      <c r="N1220" s="66"/>
    </row>
    <row r="1221" spans="1:14" x14ac:dyDescent="0.2">
      <c r="A1221" s="84"/>
      <c r="B1221" s="84"/>
      <c r="C1221" s="60"/>
      <c r="D1221" s="66"/>
      <c r="E1221" s="66"/>
      <c r="F1221" s="66"/>
      <c r="G1221" s="66"/>
      <c r="H1221" s="66"/>
      <c r="I1221" s="66"/>
      <c r="J1221" s="66"/>
      <c r="K1221" s="66"/>
      <c r="L1221" s="66"/>
      <c r="M1221" s="66"/>
      <c r="N1221" s="66"/>
    </row>
    <row r="1222" spans="1:14" x14ac:dyDescent="0.2">
      <c r="A1222" s="84"/>
      <c r="B1222" s="84"/>
      <c r="C1222" s="60"/>
      <c r="D1222" s="66"/>
      <c r="E1222" s="66"/>
      <c r="F1222" s="66"/>
      <c r="G1222" s="66"/>
      <c r="H1222" s="66"/>
      <c r="I1222" s="66"/>
      <c r="J1222" s="66"/>
      <c r="K1222" s="66"/>
      <c r="L1222" s="66"/>
      <c r="M1222" s="66"/>
      <c r="N1222" s="66"/>
    </row>
    <row r="1223" spans="1:14" x14ac:dyDescent="0.2">
      <c r="A1223" s="84"/>
      <c r="B1223" s="84"/>
      <c r="C1223" s="60"/>
      <c r="D1223" s="66"/>
      <c r="E1223" s="66"/>
      <c r="F1223" s="66"/>
      <c r="G1223" s="66"/>
      <c r="H1223" s="66"/>
      <c r="I1223" s="66"/>
      <c r="J1223" s="66"/>
      <c r="K1223" s="66"/>
      <c r="L1223" s="66"/>
      <c r="M1223" s="66"/>
      <c r="N1223" s="66"/>
    </row>
    <row r="1224" spans="1:14" x14ac:dyDescent="0.2">
      <c r="A1224" s="84"/>
      <c r="B1224" s="84"/>
      <c r="C1224" s="60"/>
      <c r="D1224" s="66"/>
      <c r="E1224" s="66"/>
      <c r="F1224" s="66"/>
      <c r="G1224" s="66"/>
      <c r="H1224" s="66"/>
      <c r="I1224" s="66"/>
      <c r="J1224" s="66"/>
      <c r="K1224" s="66"/>
      <c r="L1224" s="66"/>
      <c r="M1224" s="66"/>
      <c r="N1224" s="66"/>
    </row>
    <row r="1225" spans="1:14" x14ac:dyDescent="0.2">
      <c r="A1225" s="84"/>
      <c r="B1225" s="84"/>
      <c r="C1225" s="60"/>
      <c r="D1225" s="66"/>
      <c r="E1225" s="66"/>
      <c r="F1225" s="66"/>
      <c r="G1225" s="66"/>
      <c r="H1225" s="66"/>
      <c r="I1225" s="66"/>
      <c r="J1225" s="66"/>
      <c r="K1225" s="66"/>
      <c r="L1225" s="66"/>
      <c r="M1225" s="66"/>
      <c r="N1225" s="66"/>
    </row>
  </sheetData>
  <pageMargins left="0.25" right="0.25" top="0.75" bottom="0.75" header="0.3" footer="0.3"/>
  <pageSetup scale="80" fitToHeight="0" orientation="landscape" r:id="rId1"/>
  <headerFooter>
    <oddFooter>&amp;LRev &amp;D&amp;C&amp;P</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232"/>
  <sheetViews>
    <sheetView topLeftCell="A207" workbookViewId="0">
      <selection sqref="A1:N231"/>
    </sheetView>
  </sheetViews>
  <sheetFormatPr defaultRowHeight="15.75" x14ac:dyDescent="0.25"/>
  <cols>
    <col min="1" max="1" width="28.625" customWidth="1"/>
  </cols>
  <sheetData>
    <row r="1" spans="1:15" ht="16.5" thickBot="1" x14ac:dyDescent="0.3">
      <c r="A1" s="67" t="str">
        <f>CMS!A1</f>
        <v>Northwest Youth Services Budget - 2018 - APPROVED BY BOARD NOV 30, 2017</v>
      </c>
      <c r="B1" s="79"/>
      <c r="C1" s="67"/>
      <c r="D1" s="67"/>
      <c r="E1" s="67"/>
      <c r="F1" s="67"/>
      <c r="G1" s="67"/>
      <c r="H1" s="67"/>
      <c r="I1" s="67"/>
      <c r="J1" s="67"/>
      <c r="K1" s="67"/>
      <c r="L1" s="67"/>
      <c r="M1" s="67"/>
      <c r="N1" s="67"/>
      <c r="O1" s="58"/>
    </row>
    <row r="2" spans="1:15" x14ac:dyDescent="0.25">
      <c r="A2" s="80"/>
      <c r="B2" s="81"/>
      <c r="C2" s="58"/>
      <c r="D2" s="58"/>
      <c r="E2" s="58"/>
      <c r="F2" s="58"/>
      <c r="G2" s="58"/>
      <c r="H2" s="58"/>
      <c r="I2" s="58"/>
      <c r="J2" s="58"/>
      <c r="K2" s="58"/>
      <c r="L2" s="58"/>
      <c r="M2" s="58"/>
      <c r="N2" s="58"/>
      <c r="O2" s="58"/>
    </row>
    <row r="3" spans="1:15" x14ac:dyDescent="0.25">
      <c r="A3" s="81" t="s">
        <v>563</v>
      </c>
      <c r="B3" s="81"/>
      <c r="C3" s="58"/>
      <c r="D3" s="58"/>
      <c r="E3" s="58"/>
      <c r="F3" s="58"/>
      <c r="G3" s="58"/>
      <c r="H3" s="58"/>
      <c r="I3" s="58"/>
      <c r="J3" s="58"/>
      <c r="K3" s="58"/>
      <c r="L3" s="58"/>
      <c r="M3" s="58"/>
      <c r="N3" s="58"/>
      <c r="O3" s="58"/>
    </row>
    <row r="4" spans="1:15" x14ac:dyDescent="0.25">
      <c r="A4" s="59"/>
      <c r="B4" s="60"/>
      <c r="C4" s="84"/>
      <c r="D4" s="84"/>
      <c r="E4" s="84"/>
      <c r="F4" s="84"/>
      <c r="G4" s="84"/>
      <c r="H4" s="84"/>
      <c r="I4" s="84"/>
      <c r="J4" s="84"/>
      <c r="K4" s="84"/>
      <c r="L4" s="84"/>
      <c r="M4" s="84"/>
      <c r="N4" s="84"/>
      <c r="O4" s="84"/>
    </row>
    <row r="5" spans="1:15" ht="16.5" thickBot="1" x14ac:dyDescent="0.3">
      <c r="A5" s="82" t="s">
        <v>143</v>
      </c>
      <c r="B5" s="83" t="s">
        <v>144</v>
      </c>
      <c r="C5" s="83" t="str">
        <f>CMS!C5</f>
        <v>January</v>
      </c>
      <c r="D5" s="83" t="str">
        <f>CMS!D5</f>
        <v>February</v>
      </c>
      <c r="E5" s="83" t="str">
        <f>CMS!E5</f>
        <v>March</v>
      </c>
      <c r="F5" s="83" t="str">
        <f>CMS!F5</f>
        <v>April</v>
      </c>
      <c r="G5" s="83" t="str">
        <f>CMS!G5</f>
        <v>May</v>
      </c>
      <c r="H5" s="83" t="str">
        <f>CMS!H5</f>
        <v>June</v>
      </c>
      <c r="I5" s="83" t="str">
        <f>CMS!I5</f>
        <v>July</v>
      </c>
      <c r="J5" s="83" t="str">
        <f>CMS!J5</f>
        <v>August</v>
      </c>
      <c r="K5" s="83" t="str">
        <f>CMS!K5</f>
        <v>September</v>
      </c>
      <c r="L5" s="83" t="str">
        <f>CMS!L5</f>
        <v>October</v>
      </c>
      <c r="M5" s="83" t="str">
        <f>CMS!M5</f>
        <v>November</v>
      </c>
      <c r="N5" s="83" t="str">
        <f>CMS!N5</f>
        <v>December</v>
      </c>
      <c r="O5" s="70"/>
    </row>
    <row r="6" spans="1:15" x14ac:dyDescent="0.25">
      <c r="A6" s="28"/>
      <c r="B6" s="86"/>
      <c r="C6" s="86"/>
      <c r="D6" s="26"/>
      <c r="E6" s="26"/>
      <c r="F6" s="26"/>
      <c r="G6" s="26"/>
      <c r="H6" s="26"/>
      <c r="I6" s="26"/>
      <c r="J6" s="26"/>
      <c r="K6" s="26"/>
      <c r="L6" s="26"/>
      <c r="M6" s="26"/>
      <c r="N6" s="26"/>
      <c r="O6" s="70"/>
    </row>
    <row r="7" spans="1:15" x14ac:dyDescent="0.25">
      <c r="A7" s="58" t="s">
        <v>14</v>
      </c>
      <c r="B7" s="60"/>
      <c r="C7" s="60"/>
      <c r="D7" s="94"/>
      <c r="E7" s="94"/>
      <c r="F7" s="94"/>
      <c r="G7" s="94"/>
      <c r="H7" s="94"/>
      <c r="I7" s="94"/>
      <c r="J7" s="94"/>
      <c r="K7" s="94"/>
      <c r="L7" s="94"/>
      <c r="M7" s="94"/>
      <c r="N7" s="94"/>
      <c r="O7" s="70"/>
    </row>
    <row r="8" spans="1:15" x14ac:dyDescent="0.25">
      <c r="A8" s="61" t="s">
        <v>400</v>
      </c>
      <c r="B8" s="63">
        <f>SUM(C8:N8)</f>
        <v>0</v>
      </c>
      <c r="C8" s="62"/>
      <c r="D8" s="62"/>
      <c r="E8" s="62"/>
      <c r="F8" s="62"/>
      <c r="G8" s="62"/>
      <c r="H8" s="62"/>
      <c r="I8" s="62"/>
      <c r="J8" s="62"/>
      <c r="K8" s="62"/>
      <c r="L8" s="62"/>
      <c r="M8" s="62"/>
      <c r="N8" s="62"/>
      <c r="O8" s="140">
        <f>SUM(B8:B9)</f>
        <v>0</v>
      </c>
    </row>
    <row r="9" spans="1:15" x14ac:dyDescent="0.25">
      <c r="A9" s="61" t="s">
        <v>401</v>
      </c>
      <c r="B9" s="63">
        <f>SUM(C9:N9)</f>
        <v>0</v>
      </c>
      <c r="C9" s="93"/>
      <c r="D9" s="93"/>
      <c r="E9" s="93"/>
      <c r="F9" s="93"/>
      <c r="G9" s="93"/>
      <c r="H9" s="93"/>
      <c r="I9" s="93"/>
      <c r="J9" s="93"/>
      <c r="K9" s="93"/>
      <c r="L9" s="93"/>
      <c r="M9" s="93"/>
      <c r="N9" s="93"/>
      <c r="O9" s="84"/>
    </row>
    <row r="10" spans="1:15" hidden="1" x14ac:dyDescent="0.25">
      <c r="A10" s="61" t="s">
        <v>145</v>
      </c>
      <c r="B10" s="63">
        <f t="shared" ref="B10:B44" si="0">SUM(C10:N10)</f>
        <v>0</v>
      </c>
      <c r="C10" s="62"/>
      <c r="D10" s="62"/>
      <c r="E10" s="62"/>
      <c r="F10" s="62"/>
      <c r="G10" s="62"/>
      <c r="H10" s="62"/>
      <c r="I10" s="62"/>
      <c r="J10" s="62"/>
      <c r="K10" s="62"/>
      <c r="L10" s="62"/>
      <c r="M10" s="62"/>
      <c r="N10" s="62"/>
      <c r="O10" s="84"/>
    </row>
    <row r="11" spans="1:15" hidden="1" x14ac:dyDescent="0.25">
      <c r="A11" s="61" t="s">
        <v>145</v>
      </c>
      <c r="B11" s="63">
        <f t="shared" si="0"/>
        <v>0</v>
      </c>
      <c r="C11" s="62"/>
      <c r="D11" s="62"/>
      <c r="E11" s="62"/>
      <c r="F11" s="62"/>
      <c r="G11" s="62"/>
      <c r="H11" s="62"/>
      <c r="I11" s="62"/>
      <c r="J11" s="93"/>
      <c r="K11" s="93"/>
      <c r="L11" s="93"/>
      <c r="M11" s="93"/>
      <c r="N11" s="93"/>
      <c r="O11" s="84"/>
    </row>
    <row r="12" spans="1:15" hidden="1" x14ac:dyDescent="0.25">
      <c r="A12" s="61" t="s">
        <v>145</v>
      </c>
      <c r="B12" s="63">
        <f t="shared" si="0"/>
        <v>0</v>
      </c>
      <c r="C12" s="62"/>
      <c r="D12" s="62"/>
      <c r="E12" s="62"/>
      <c r="F12" s="62"/>
      <c r="G12" s="62"/>
      <c r="H12" s="62"/>
      <c r="I12" s="62"/>
      <c r="J12" s="93"/>
      <c r="K12" s="93"/>
      <c r="L12" s="93"/>
      <c r="M12" s="93"/>
      <c r="N12" s="93"/>
      <c r="O12" s="84"/>
    </row>
    <row r="13" spans="1:15" hidden="1" x14ac:dyDescent="0.25">
      <c r="A13" s="61" t="s">
        <v>145</v>
      </c>
      <c r="B13" s="63">
        <f t="shared" si="0"/>
        <v>0</v>
      </c>
      <c r="C13" s="62"/>
      <c r="D13" s="62"/>
      <c r="E13" s="62"/>
      <c r="F13" s="62"/>
      <c r="G13" s="62"/>
      <c r="H13" s="62"/>
      <c r="I13" s="62"/>
      <c r="J13" s="62"/>
      <c r="K13" s="62"/>
      <c r="L13" s="62"/>
      <c r="M13" s="62"/>
      <c r="N13" s="62"/>
      <c r="O13" s="84"/>
    </row>
    <row r="14" spans="1:15" hidden="1" x14ac:dyDescent="0.25">
      <c r="A14" s="61" t="s">
        <v>145</v>
      </c>
      <c r="B14" s="63">
        <f t="shared" si="0"/>
        <v>0</v>
      </c>
      <c r="C14" s="62"/>
      <c r="D14" s="62"/>
      <c r="E14" s="62"/>
      <c r="F14" s="62"/>
      <c r="G14" s="62"/>
      <c r="H14" s="62"/>
      <c r="I14" s="62"/>
      <c r="J14" s="62"/>
      <c r="K14" s="62"/>
      <c r="L14" s="62"/>
      <c r="M14" s="62"/>
      <c r="N14" s="62"/>
      <c r="O14" s="84"/>
    </row>
    <row r="15" spans="1:15" hidden="1" x14ac:dyDescent="0.25">
      <c r="A15" s="61" t="s">
        <v>145</v>
      </c>
      <c r="B15" s="63">
        <f t="shared" si="0"/>
        <v>0</v>
      </c>
      <c r="C15" s="62"/>
      <c r="D15" s="62"/>
      <c r="E15" s="62"/>
      <c r="F15" s="62"/>
      <c r="G15" s="62"/>
      <c r="H15" s="62"/>
      <c r="I15" s="62"/>
      <c r="J15" s="62"/>
      <c r="K15" s="62"/>
      <c r="L15" s="62"/>
      <c r="M15" s="62"/>
      <c r="N15" s="62"/>
      <c r="O15" s="84"/>
    </row>
    <row r="16" spans="1:15" hidden="1" x14ac:dyDescent="0.25">
      <c r="A16" s="61" t="s">
        <v>145</v>
      </c>
      <c r="B16" s="63">
        <f t="shared" si="0"/>
        <v>0</v>
      </c>
      <c r="C16" s="62"/>
      <c r="D16" s="62"/>
      <c r="E16" s="62"/>
      <c r="F16" s="62"/>
      <c r="G16" s="62"/>
      <c r="H16" s="62"/>
      <c r="I16" s="62"/>
      <c r="J16" s="62"/>
      <c r="K16" s="62"/>
      <c r="L16" s="62"/>
      <c r="M16" s="62"/>
      <c r="N16" s="62"/>
      <c r="O16" s="84"/>
    </row>
    <row r="17" spans="1:15" hidden="1" x14ac:dyDescent="0.25">
      <c r="A17" s="61" t="s">
        <v>145</v>
      </c>
      <c r="B17" s="63">
        <f t="shared" si="0"/>
        <v>0</v>
      </c>
      <c r="C17" s="62"/>
      <c r="D17" s="62"/>
      <c r="E17" s="62"/>
      <c r="F17" s="62"/>
      <c r="G17" s="62"/>
      <c r="H17" s="62"/>
      <c r="I17" s="62"/>
      <c r="J17" s="62"/>
      <c r="K17" s="62"/>
      <c r="L17" s="62"/>
      <c r="M17" s="62"/>
      <c r="N17" s="62"/>
      <c r="O17" s="84"/>
    </row>
    <row r="18" spans="1:15" hidden="1" x14ac:dyDescent="0.25">
      <c r="A18" s="61" t="s">
        <v>145</v>
      </c>
      <c r="B18" s="63">
        <f t="shared" si="0"/>
        <v>0</v>
      </c>
      <c r="C18" s="62"/>
      <c r="D18" s="62"/>
      <c r="E18" s="62"/>
      <c r="F18" s="62"/>
      <c r="G18" s="62"/>
      <c r="H18" s="62"/>
      <c r="I18" s="62"/>
      <c r="J18" s="62"/>
      <c r="K18" s="62"/>
      <c r="L18" s="62"/>
      <c r="M18" s="62"/>
      <c r="N18" s="62"/>
      <c r="O18" s="84"/>
    </row>
    <row r="19" spans="1:15" hidden="1" x14ac:dyDescent="0.25">
      <c r="A19" s="61" t="s">
        <v>145</v>
      </c>
      <c r="B19" s="63">
        <f t="shared" si="0"/>
        <v>0</v>
      </c>
      <c r="C19" s="62"/>
      <c r="D19" s="62"/>
      <c r="E19" s="62"/>
      <c r="F19" s="62"/>
      <c r="G19" s="62"/>
      <c r="H19" s="62"/>
      <c r="I19" s="62"/>
      <c r="J19" s="62"/>
      <c r="K19" s="62"/>
      <c r="L19" s="62"/>
      <c r="M19" s="62"/>
      <c r="N19" s="62"/>
      <c r="O19" s="84"/>
    </row>
    <row r="20" spans="1:15" hidden="1" x14ac:dyDescent="0.25">
      <c r="A20" s="61" t="s">
        <v>145</v>
      </c>
      <c r="B20" s="63">
        <f t="shared" si="0"/>
        <v>0</v>
      </c>
      <c r="C20" s="62"/>
      <c r="D20" s="62"/>
      <c r="E20" s="62"/>
      <c r="F20" s="62"/>
      <c r="G20" s="62"/>
      <c r="H20" s="62"/>
      <c r="I20" s="62"/>
      <c r="J20" s="62"/>
      <c r="K20" s="62"/>
      <c r="L20" s="62"/>
      <c r="M20" s="62"/>
      <c r="N20" s="62"/>
      <c r="O20" s="84"/>
    </row>
    <row r="21" spans="1:15" hidden="1" x14ac:dyDescent="0.25">
      <c r="A21" s="61" t="s">
        <v>145</v>
      </c>
      <c r="B21" s="63">
        <f t="shared" si="0"/>
        <v>0</v>
      </c>
      <c r="C21" s="62"/>
      <c r="D21" s="62"/>
      <c r="E21" s="62"/>
      <c r="F21" s="62"/>
      <c r="G21" s="62"/>
      <c r="H21" s="62"/>
      <c r="I21" s="62"/>
      <c r="J21" s="62"/>
      <c r="K21" s="62"/>
      <c r="L21" s="62"/>
      <c r="M21" s="62"/>
      <c r="N21" s="62"/>
      <c r="O21" s="84"/>
    </row>
    <row r="22" spans="1:15" hidden="1" x14ac:dyDescent="0.25">
      <c r="A22" s="61" t="s">
        <v>145</v>
      </c>
      <c r="B22" s="63">
        <f t="shared" si="0"/>
        <v>0</v>
      </c>
      <c r="C22" s="62"/>
      <c r="D22" s="62"/>
      <c r="E22" s="62"/>
      <c r="F22" s="62"/>
      <c r="G22" s="62"/>
      <c r="H22" s="62"/>
      <c r="I22" s="62"/>
      <c r="J22" s="62"/>
      <c r="K22" s="62"/>
      <c r="L22" s="62"/>
      <c r="M22" s="62"/>
      <c r="N22" s="62"/>
      <c r="O22" s="84"/>
    </row>
    <row r="23" spans="1:15" x14ac:dyDescent="0.25">
      <c r="A23" s="61" t="s">
        <v>339</v>
      </c>
      <c r="B23" s="63">
        <f t="shared" si="0"/>
        <v>15000</v>
      </c>
      <c r="C23" s="62">
        <f>SUM(15000/12)</f>
        <v>1250</v>
      </c>
      <c r="D23" s="62">
        <f t="shared" ref="D23:N23" si="1">SUM(15000/12)</f>
        <v>1250</v>
      </c>
      <c r="E23" s="62">
        <f t="shared" si="1"/>
        <v>1250</v>
      </c>
      <c r="F23" s="62">
        <f t="shared" si="1"/>
        <v>1250</v>
      </c>
      <c r="G23" s="62">
        <f t="shared" si="1"/>
        <v>1250</v>
      </c>
      <c r="H23" s="62">
        <f t="shared" si="1"/>
        <v>1250</v>
      </c>
      <c r="I23" s="62">
        <f t="shared" si="1"/>
        <v>1250</v>
      </c>
      <c r="J23" s="62">
        <f t="shared" si="1"/>
        <v>1250</v>
      </c>
      <c r="K23" s="62">
        <f t="shared" si="1"/>
        <v>1250</v>
      </c>
      <c r="L23" s="62">
        <f t="shared" si="1"/>
        <v>1250</v>
      </c>
      <c r="M23" s="62">
        <f t="shared" si="1"/>
        <v>1250</v>
      </c>
      <c r="N23" s="62">
        <f t="shared" si="1"/>
        <v>1250</v>
      </c>
      <c r="O23" s="84"/>
    </row>
    <row r="24" spans="1:15" x14ac:dyDescent="0.25">
      <c r="A24" s="61" t="s">
        <v>398</v>
      </c>
      <c r="B24" s="63">
        <f t="shared" si="0"/>
        <v>5000</v>
      </c>
      <c r="C24" s="62"/>
      <c r="D24" s="62"/>
      <c r="E24" s="62"/>
      <c r="F24" s="62"/>
      <c r="G24" s="62">
        <v>5000</v>
      </c>
      <c r="H24" s="62"/>
      <c r="I24" s="62"/>
      <c r="J24" s="62"/>
      <c r="K24" s="62"/>
      <c r="L24" s="62"/>
      <c r="M24" s="62"/>
      <c r="N24" s="62"/>
      <c r="O24" s="84"/>
    </row>
    <row r="25" spans="1:15" x14ac:dyDescent="0.25">
      <c r="A25" s="61" t="s">
        <v>334</v>
      </c>
      <c r="B25" s="63">
        <f t="shared" si="0"/>
        <v>0</v>
      </c>
      <c r="C25" s="62"/>
      <c r="D25" s="62"/>
      <c r="E25" s="62"/>
      <c r="F25" s="62"/>
      <c r="G25" s="62"/>
      <c r="H25" s="62"/>
      <c r="I25" s="62"/>
      <c r="J25" s="62"/>
      <c r="K25" s="62"/>
      <c r="L25" s="62"/>
      <c r="M25" s="62"/>
      <c r="N25" s="62"/>
      <c r="O25" s="84"/>
    </row>
    <row r="26" spans="1:15" x14ac:dyDescent="0.25">
      <c r="A26" s="61" t="s">
        <v>399</v>
      </c>
      <c r="B26" s="63">
        <f t="shared" si="0"/>
        <v>4000</v>
      </c>
      <c r="C26" s="62"/>
      <c r="D26" s="62"/>
      <c r="E26" s="62"/>
      <c r="F26" s="62"/>
      <c r="G26" s="62"/>
      <c r="H26" s="62"/>
      <c r="I26" s="62"/>
      <c r="J26" s="62"/>
      <c r="K26" s="62">
        <v>4000</v>
      </c>
      <c r="L26" s="62"/>
      <c r="M26" s="62"/>
      <c r="N26" s="62"/>
      <c r="O26" s="84"/>
    </row>
    <row r="27" spans="1:15" x14ac:dyDescent="0.25">
      <c r="A27" s="61" t="s">
        <v>582</v>
      </c>
      <c r="B27" s="63">
        <f t="shared" si="0"/>
        <v>1000</v>
      </c>
      <c r="C27" s="62"/>
      <c r="D27" s="62"/>
      <c r="E27" s="62"/>
      <c r="F27" s="62"/>
      <c r="G27" s="62"/>
      <c r="H27" s="62"/>
      <c r="I27" s="62">
        <v>1000</v>
      </c>
      <c r="J27" s="62"/>
      <c r="K27" s="62"/>
      <c r="L27" s="62"/>
      <c r="M27" s="62"/>
      <c r="N27" s="62"/>
      <c r="O27" s="84"/>
    </row>
    <row r="28" spans="1:15" hidden="1" x14ac:dyDescent="0.25">
      <c r="A28" s="61" t="s">
        <v>146</v>
      </c>
      <c r="B28" s="63">
        <f t="shared" si="0"/>
        <v>0</v>
      </c>
      <c r="C28" s="62"/>
      <c r="D28" s="62"/>
      <c r="E28" s="62"/>
      <c r="F28" s="62"/>
      <c r="G28" s="62"/>
      <c r="H28" s="62"/>
      <c r="I28" s="62"/>
      <c r="J28" s="62"/>
      <c r="K28" s="62"/>
      <c r="L28" s="62"/>
      <c r="M28" s="62"/>
      <c r="N28" s="62"/>
      <c r="O28" s="84"/>
    </row>
    <row r="29" spans="1:15" hidden="1" x14ac:dyDescent="0.25">
      <c r="A29" s="61" t="s">
        <v>146</v>
      </c>
      <c r="B29" s="63">
        <f t="shared" si="0"/>
        <v>0</v>
      </c>
      <c r="C29" s="62"/>
      <c r="D29" s="62"/>
      <c r="E29" s="62"/>
      <c r="F29" s="62"/>
      <c r="G29" s="62"/>
      <c r="H29" s="62"/>
      <c r="I29" s="62"/>
      <c r="J29" s="62"/>
      <c r="K29" s="62"/>
      <c r="L29" s="62"/>
      <c r="M29" s="62"/>
      <c r="N29" s="62"/>
      <c r="O29" s="84"/>
    </row>
    <row r="30" spans="1:15" hidden="1" x14ac:dyDescent="0.25">
      <c r="A30" s="61" t="s">
        <v>146</v>
      </c>
      <c r="B30" s="63">
        <f t="shared" si="0"/>
        <v>0</v>
      </c>
      <c r="C30" s="62"/>
      <c r="D30" s="62"/>
      <c r="E30" s="62"/>
      <c r="F30" s="62"/>
      <c r="G30" s="62"/>
      <c r="H30" s="62"/>
      <c r="I30" s="62"/>
      <c r="J30" s="62"/>
      <c r="K30" s="62"/>
      <c r="L30" s="62"/>
      <c r="M30" s="62"/>
      <c r="N30" s="62"/>
      <c r="O30" s="84"/>
    </row>
    <row r="31" spans="1:15" hidden="1" x14ac:dyDescent="0.25">
      <c r="A31" s="61" t="s">
        <v>146</v>
      </c>
      <c r="B31" s="63">
        <f t="shared" si="0"/>
        <v>0</v>
      </c>
      <c r="C31" s="62"/>
      <c r="D31" s="62"/>
      <c r="E31" s="62"/>
      <c r="F31" s="62"/>
      <c r="G31" s="62"/>
      <c r="H31" s="62"/>
      <c r="I31" s="62"/>
      <c r="J31" s="62"/>
      <c r="K31" s="62"/>
      <c r="L31" s="62"/>
      <c r="M31" s="62"/>
      <c r="N31" s="62"/>
      <c r="O31" s="84"/>
    </row>
    <row r="32" spans="1:15" hidden="1" x14ac:dyDescent="0.25">
      <c r="A32" s="61" t="s">
        <v>146</v>
      </c>
      <c r="B32" s="63">
        <f t="shared" si="0"/>
        <v>0</v>
      </c>
      <c r="C32" s="62"/>
      <c r="D32" s="62"/>
      <c r="E32" s="62"/>
      <c r="F32" s="62"/>
      <c r="G32" s="62"/>
      <c r="H32" s="62"/>
      <c r="I32" s="62"/>
      <c r="J32" s="62"/>
      <c r="K32" s="62"/>
      <c r="L32" s="62"/>
      <c r="M32" s="62"/>
      <c r="N32" s="62"/>
      <c r="O32" s="84"/>
    </row>
    <row r="33" spans="1:15" hidden="1" x14ac:dyDescent="0.25">
      <c r="A33" s="61" t="s">
        <v>146</v>
      </c>
      <c r="B33" s="63">
        <f t="shared" si="0"/>
        <v>0</v>
      </c>
      <c r="C33" s="62"/>
      <c r="D33" s="62"/>
      <c r="E33" s="62"/>
      <c r="F33" s="62"/>
      <c r="G33" s="62"/>
      <c r="H33" s="62"/>
      <c r="I33" s="62"/>
      <c r="J33" s="62"/>
      <c r="K33" s="62"/>
      <c r="L33" s="62"/>
      <c r="M33" s="62"/>
      <c r="N33" s="62"/>
      <c r="O33" s="84"/>
    </row>
    <row r="34" spans="1:15" hidden="1" x14ac:dyDescent="0.25">
      <c r="A34" s="61" t="s">
        <v>146</v>
      </c>
      <c r="B34" s="63">
        <f t="shared" si="0"/>
        <v>0</v>
      </c>
      <c r="C34" s="62"/>
      <c r="D34" s="62"/>
      <c r="E34" s="62"/>
      <c r="F34" s="62"/>
      <c r="G34" s="62"/>
      <c r="H34" s="62"/>
      <c r="I34" s="62"/>
      <c r="J34" s="62"/>
      <c r="K34" s="62"/>
      <c r="L34" s="62"/>
      <c r="M34" s="62"/>
      <c r="N34" s="62"/>
      <c r="O34" s="84"/>
    </row>
    <row r="35" spans="1:15" hidden="1" x14ac:dyDescent="0.25">
      <c r="A35" s="61" t="s">
        <v>146</v>
      </c>
      <c r="B35" s="63">
        <f t="shared" si="0"/>
        <v>0</v>
      </c>
      <c r="C35" s="62"/>
      <c r="D35" s="62"/>
      <c r="E35" s="62"/>
      <c r="F35" s="62"/>
      <c r="G35" s="62"/>
      <c r="H35" s="62"/>
      <c r="I35" s="62"/>
      <c r="J35" s="62"/>
      <c r="K35" s="62"/>
      <c r="L35" s="62"/>
      <c r="M35" s="62"/>
      <c r="N35" s="62"/>
      <c r="O35" s="84"/>
    </row>
    <row r="36" spans="1:15" hidden="1" x14ac:dyDescent="0.25">
      <c r="A36" s="61" t="s">
        <v>146</v>
      </c>
      <c r="B36" s="63">
        <f t="shared" si="0"/>
        <v>0</v>
      </c>
      <c r="C36" s="62"/>
      <c r="D36" s="62"/>
      <c r="E36" s="62"/>
      <c r="F36" s="62"/>
      <c r="G36" s="62"/>
      <c r="H36" s="62"/>
      <c r="I36" s="62"/>
      <c r="J36" s="62"/>
      <c r="K36" s="62"/>
      <c r="L36" s="62"/>
      <c r="M36" s="62"/>
      <c r="N36" s="62"/>
      <c r="O36" s="84"/>
    </row>
    <row r="37" spans="1:15" hidden="1" x14ac:dyDescent="0.25">
      <c r="A37" s="61" t="s">
        <v>146</v>
      </c>
      <c r="B37" s="63">
        <f t="shared" si="0"/>
        <v>0</v>
      </c>
      <c r="C37" s="62"/>
      <c r="D37" s="62"/>
      <c r="E37" s="62"/>
      <c r="F37" s="62"/>
      <c r="G37" s="62"/>
      <c r="H37" s="62"/>
      <c r="I37" s="62"/>
      <c r="J37" s="62"/>
      <c r="K37" s="62"/>
      <c r="L37" s="62"/>
      <c r="M37" s="62"/>
      <c r="N37" s="62"/>
      <c r="O37" s="84"/>
    </row>
    <row r="38" spans="1:15" hidden="1" x14ac:dyDescent="0.25">
      <c r="A38" s="61" t="s">
        <v>146</v>
      </c>
      <c r="B38" s="63">
        <f t="shared" si="0"/>
        <v>0</v>
      </c>
      <c r="C38" s="62"/>
      <c r="D38" s="62"/>
      <c r="E38" s="62"/>
      <c r="F38" s="62"/>
      <c r="G38" s="62"/>
      <c r="H38" s="62"/>
      <c r="I38" s="62"/>
      <c r="J38" s="62"/>
      <c r="K38" s="62"/>
      <c r="L38" s="62"/>
      <c r="M38" s="62"/>
      <c r="N38" s="62"/>
      <c r="O38" s="84"/>
    </row>
    <row r="39" spans="1:15" x14ac:dyDescent="0.25">
      <c r="A39" s="61" t="s">
        <v>16</v>
      </c>
      <c r="B39" s="63">
        <f t="shared" si="0"/>
        <v>0</v>
      </c>
      <c r="C39" s="62"/>
      <c r="D39" s="62"/>
      <c r="E39" s="62"/>
      <c r="F39" s="62"/>
      <c r="G39" s="62"/>
      <c r="H39" s="62"/>
      <c r="I39" s="62"/>
      <c r="J39" s="62"/>
      <c r="K39" s="62"/>
      <c r="L39" s="62"/>
      <c r="M39" s="62"/>
      <c r="N39" s="62"/>
      <c r="O39" s="84"/>
    </row>
    <row r="40" spans="1:15" x14ac:dyDescent="0.25">
      <c r="A40" s="61" t="s">
        <v>17</v>
      </c>
      <c r="B40" s="63">
        <f t="shared" si="0"/>
        <v>0</v>
      </c>
      <c r="C40" s="62"/>
      <c r="D40" s="62"/>
      <c r="E40" s="62"/>
      <c r="F40" s="62"/>
      <c r="G40" s="62"/>
      <c r="H40" s="62"/>
      <c r="I40" s="62"/>
      <c r="J40" s="62"/>
      <c r="K40" s="62"/>
      <c r="L40" s="62"/>
      <c r="M40" s="62"/>
      <c r="N40" s="62"/>
      <c r="O40" s="84"/>
    </row>
    <row r="41" spans="1:15" x14ac:dyDescent="0.25">
      <c r="A41" s="61" t="s">
        <v>147</v>
      </c>
      <c r="B41" s="63">
        <f t="shared" si="0"/>
        <v>0</v>
      </c>
      <c r="C41" s="62"/>
      <c r="D41" s="62"/>
      <c r="E41" s="62"/>
      <c r="F41" s="62"/>
      <c r="G41" s="62"/>
      <c r="H41" s="62"/>
      <c r="I41" s="62"/>
      <c r="J41" s="62"/>
      <c r="K41" s="62"/>
      <c r="L41" s="62"/>
      <c r="M41" s="62"/>
      <c r="N41" s="62"/>
      <c r="O41" s="84"/>
    </row>
    <row r="42" spans="1:15" x14ac:dyDescent="0.25">
      <c r="A42" s="61" t="s">
        <v>148</v>
      </c>
      <c r="B42" s="63">
        <f t="shared" si="0"/>
        <v>0</v>
      </c>
      <c r="C42" s="62"/>
      <c r="D42" s="62"/>
      <c r="E42" s="62"/>
      <c r="F42" s="62"/>
      <c r="G42" s="62"/>
      <c r="H42" s="62"/>
      <c r="I42" s="62"/>
      <c r="J42" s="62"/>
      <c r="K42" s="62"/>
      <c r="L42" s="62"/>
      <c r="M42" s="62"/>
      <c r="N42" s="62"/>
      <c r="O42" s="84"/>
    </row>
    <row r="43" spans="1:15" x14ac:dyDescent="0.25">
      <c r="A43" s="61" t="s">
        <v>149</v>
      </c>
      <c r="B43" s="63">
        <f t="shared" si="0"/>
        <v>0</v>
      </c>
      <c r="C43" s="62"/>
      <c r="D43" s="62"/>
      <c r="E43" s="62"/>
      <c r="F43" s="62"/>
      <c r="G43" s="62"/>
      <c r="H43" s="62"/>
      <c r="I43" s="62"/>
      <c r="J43" s="62"/>
      <c r="K43" s="62"/>
      <c r="L43" s="62"/>
      <c r="M43" s="62"/>
      <c r="N43" s="62"/>
      <c r="O43" s="84"/>
    </row>
    <row r="44" spans="1:15" x14ac:dyDescent="0.25">
      <c r="A44" s="61" t="s">
        <v>150</v>
      </c>
      <c r="B44" s="63">
        <f t="shared" si="0"/>
        <v>0</v>
      </c>
      <c r="C44" s="62"/>
      <c r="D44" s="62"/>
      <c r="E44" s="62"/>
      <c r="F44" s="62"/>
      <c r="G44" s="62"/>
      <c r="H44" s="62"/>
      <c r="I44" s="62"/>
      <c r="J44" s="62"/>
      <c r="K44" s="62"/>
      <c r="L44" s="62"/>
      <c r="M44" s="62"/>
      <c r="N44" s="62"/>
      <c r="O44" s="84"/>
    </row>
    <row r="45" spans="1:15" ht="16.5" thickBot="1" x14ac:dyDescent="0.3">
      <c r="A45" s="61" t="s">
        <v>18</v>
      </c>
      <c r="B45" s="63">
        <f>SUM(C45:N45)</f>
        <v>0</v>
      </c>
      <c r="C45" s="62"/>
      <c r="D45" s="62"/>
      <c r="E45" s="62"/>
      <c r="F45" s="62"/>
      <c r="G45" s="62"/>
      <c r="H45" s="62"/>
      <c r="I45" s="62"/>
      <c r="J45" s="62"/>
      <c r="K45" s="62"/>
      <c r="L45" s="62"/>
      <c r="M45" s="62"/>
      <c r="N45" s="62"/>
      <c r="O45" s="84"/>
    </row>
    <row r="46" spans="1:15" x14ac:dyDescent="0.25">
      <c r="A46" s="64" t="s">
        <v>151</v>
      </c>
      <c r="B46" s="65">
        <f t="shared" ref="B46:N46" si="2">SUM(B8:B45)</f>
        <v>25000</v>
      </c>
      <c r="C46" s="65">
        <f t="shared" si="2"/>
        <v>1250</v>
      </c>
      <c r="D46" s="65">
        <f t="shared" si="2"/>
        <v>1250</v>
      </c>
      <c r="E46" s="65">
        <f t="shared" si="2"/>
        <v>1250</v>
      </c>
      <c r="F46" s="65">
        <f t="shared" si="2"/>
        <v>1250</v>
      </c>
      <c r="G46" s="65">
        <f t="shared" si="2"/>
        <v>6250</v>
      </c>
      <c r="H46" s="65">
        <f t="shared" si="2"/>
        <v>1250</v>
      </c>
      <c r="I46" s="65">
        <f t="shared" si="2"/>
        <v>2250</v>
      </c>
      <c r="J46" s="65">
        <f t="shared" si="2"/>
        <v>1250</v>
      </c>
      <c r="K46" s="65">
        <f t="shared" si="2"/>
        <v>5250</v>
      </c>
      <c r="L46" s="65">
        <f t="shared" si="2"/>
        <v>1250</v>
      </c>
      <c r="M46" s="65">
        <f t="shared" si="2"/>
        <v>1250</v>
      </c>
      <c r="N46" s="65">
        <f t="shared" si="2"/>
        <v>1250</v>
      </c>
      <c r="O46" s="84"/>
    </row>
    <row r="47" spans="1:15" x14ac:dyDescent="0.25">
      <c r="A47" s="59"/>
      <c r="B47" s="60"/>
      <c r="C47" s="60"/>
      <c r="D47" s="66"/>
      <c r="E47" s="66"/>
      <c r="F47" s="66"/>
      <c r="G47" s="66"/>
      <c r="H47" s="66"/>
      <c r="I47" s="66"/>
      <c r="J47" s="66"/>
      <c r="K47" s="66"/>
      <c r="L47" s="66"/>
      <c r="M47" s="66"/>
      <c r="N47" s="66"/>
      <c r="O47" s="84"/>
    </row>
    <row r="48" spans="1:15" x14ac:dyDescent="0.25">
      <c r="A48" s="58"/>
      <c r="B48" s="60"/>
      <c r="C48" s="60"/>
      <c r="D48" s="100"/>
      <c r="E48" s="100"/>
      <c r="F48" s="100"/>
      <c r="G48" s="100"/>
      <c r="H48" s="100"/>
      <c r="I48" s="100"/>
      <c r="J48" s="100"/>
      <c r="K48" s="100"/>
      <c r="L48" s="100"/>
      <c r="M48" s="100"/>
      <c r="N48" s="100"/>
      <c r="O48" s="84"/>
    </row>
    <row r="49" spans="1:15" x14ac:dyDescent="0.25">
      <c r="A49" s="58" t="s">
        <v>152</v>
      </c>
      <c r="B49" s="85"/>
      <c r="C49" s="85"/>
      <c r="D49" s="85"/>
      <c r="E49" s="85"/>
      <c r="F49" s="85"/>
      <c r="G49" s="85"/>
      <c r="H49" s="85"/>
      <c r="I49" s="85"/>
      <c r="J49" s="85"/>
      <c r="K49" s="85"/>
      <c r="L49" s="85"/>
      <c r="M49" s="85"/>
      <c r="N49" s="85"/>
      <c r="O49" s="84"/>
    </row>
    <row r="50" spans="1:15" x14ac:dyDescent="0.25">
      <c r="A50" s="61" t="s">
        <v>153</v>
      </c>
      <c r="B50" s="63">
        <f>SUM(C50:N50)</f>
        <v>19383.739200000007</v>
      </c>
      <c r="C50" s="62">
        <f>SUM(C228)</f>
        <v>1615.3116000000002</v>
      </c>
      <c r="D50" s="62">
        <f t="shared" ref="D50:N52" si="3">SUM(D228)</f>
        <v>1615.3116000000002</v>
      </c>
      <c r="E50" s="62">
        <f t="shared" si="3"/>
        <v>1615.3116000000002</v>
      </c>
      <c r="F50" s="62">
        <f t="shared" si="3"/>
        <v>1615.3116000000002</v>
      </c>
      <c r="G50" s="62">
        <f t="shared" si="3"/>
        <v>1615.3116000000002</v>
      </c>
      <c r="H50" s="62">
        <f t="shared" si="3"/>
        <v>1615.3116000000002</v>
      </c>
      <c r="I50" s="62">
        <f t="shared" si="3"/>
        <v>1615.3116000000002</v>
      </c>
      <c r="J50" s="62">
        <f t="shared" si="3"/>
        <v>1615.3116000000002</v>
      </c>
      <c r="K50" s="62">
        <f t="shared" si="3"/>
        <v>1615.3116000000002</v>
      </c>
      <c r="L50" s="62">
        <f t="shared" si="3"/>
        <v>1615.3116000000002</v>
      </c>
      <c r="M50" s="62">
        <f t="shared" si="3"/>
        <v>1615.3116000000002</v>
      </c>
      <c r="N50" s="62">
        <f t="shared" si="3"/>
        <v>1615.3116000000002</v>
      </c>
      <c r="O50" s="84"/>
    </row>
    <row r="51" spans="1:15" x14ac:dyDescent="0.25">
      <c r="A51" s="61" t="s">
        <v>22</v>
      </c>
      <c r="B51" s="63">
        <f>SUM(C51:N51)</f>
        <v>1683.6849</v>
      </c>
      <c r="C51" s="62">
        <f>SUM(C229)</f>
        <v>140.30707500000003</v>
      </c>
      <c r="D51" s="62">
        <f t="shared" si="3"/>
        <v>140.30707500000003</v>
      </c>
      <c r="E51" s="62">
        <f t="shared" si="3"/>
        <v>140.30707500000003</v>
      </c>
      <c r="F51" s="62">
        <f t="shared" si="3"/>
        <v>140.30707500000003</v>
      </c>
      <c r="G51" s="62">
        <f t="shared" si="3"/>
        <v>140.30707500000003</v>
      </c>
      <c r="H51" s="62">
        <f t="shared" si="3"/>
        <v>140.30707500000003</v>
      </c>
      <c r="I51" s="62">
        <f t="shared" si="3"/>
        <v>140.30707500000003</v>
      </c>
      <c r="J51" s="62">
        <f t="shared" si="3"/>
        <v>140.30707500000003</v>
      </c>
      <c r="K51" s="62">
        <f t="shared" si="3"/>
        <v>140.30707500000003</v>
      </c>
      <c r="L51" s="62">
        <f t="shared" si="3"/>
        <v>140.30707500000003</v>
      </c>
      <c r="M51" s="62">
        <f t="shared" si="3"/>
        <v>140.30707500000003</v>
      </c>
      <c r="N51" s="62">
        <f t="shared" si="3"/>
        <v>140.30707500000003</v>
      </c>
      <c r="O51" s="84"/>
    </row>
    <row r="52" spans="1:15" ht="16.5" thickBot="1" x14ac:dyDescent="0.3">
      <c r="A52" s="90" t="s">
        <v>23</v>
      </c>
      <c r="B52" s="63">
        <f>SUM(C52:N52)</f>
        <v>683.8625760000001</v>
      </c>
      <c r="C52" s="62">
        <f>SUM(C230)</f>
        <v>56.988548000000002</v>
      </c>
      <c r="D52" s="62">
        <f t="shared" si="3"/>
        <v>56.988548000000002</v>
      </c>
      <c r="E52" s="62">
        <f t="shared" si="3"/>
        <v>56.988548000000002</v>
      </c>
      <c r="F52" s="62">
        <f t="shared" si="3"/>
        <v>56.988548000000002</v>
      </c>
      <c r="G52" s="62">
        <f t="shared" si="3"/>
        <v>56.988548000000002</v>
      </c>
      <c r="H52" s="62">
        <f t="shared" si="3"/>
        <v>56.988548000000002</v>
      </c>
      <c r="I52" s="62">
        <f t="shared" si="3"/>
        <v>56.988548000000002</v>
      </c>
      <c r="J52" s="62">
        <f t="shared" si="3"/>
        <v>56.988548000000002</v>
      </c>
      <c r="K52" s="62">
        <f t="shared" si="3"/>
        <v>56.988548000000002</v>
      </c>
      <c r="L52" s="62">
        <f t="shared" si="3"/>
        <v>56.988548000000002</v>
      </c>
      <c r="M52" s="62">
        <f t="shared" si="3"/>
        <v>56.988548000000002</v>
      </c>
      <c r="N52" s="62">
        <f t="shared" si="3"/>
        <v>56.988548000000002</v>
      </c>
      <c r="O52" s="101"/>
    </row>
    <row r="53" spans="1:15" x14ac:dyDescent="0.25">
      <c r="A53" s="64" t="s">
        <v>154</v>
      </c>
      <c r="B53" s="65">
        <f>SUM(B50:B52)</f>
        <v>21751.286676000007</v>
      </c>
      <c r="C53" s="65">
        <f t="shared" ref="C53:N53" si="4">SUM(C50:C52)</f>
        <v>1812.6072230000002</v>
      </c>
      <c r="D53" s="65">
        <f t="shared" si="4"/>
        <v>1812.6072230000002</v>
      </c>
      <c r="E53" s="65">
        <f t="shared" si="4"/>
        <v>1812.6072230000002</v>
      </c>
      <c r="F53" s="65">
        <f t="shared" si="4"/>
        <v>1812.6072230000002</v>
      </c>
      <c r="G53" s="65">
        <f t="shared" si="4"/>
        <v>1812.6072230000002</v>
      </c>
      <c r="H53" s="65">
        <f t="shared" si="4"/>
        <v>1812.6072230000002</v>
      </c>
      <c r="I53" s="65">
        <f t="shared" si="4"/>
        <v>1812.6072230000002</v>
      </c>
      <c r="J53" s="65">
        <f t="shared" si="4"/>
        <v>1812.6072230000002</v>
      </c>
      <c r="K53" s="65">
        <f t="shared" si="4"/>
        <v>1812.6072230000002</v>
      </c>
      <c r="L53" s="65">
        <f t="shared" si="4"/>
        <v>1812.6072230000002</v>
      </c>
      <c r="M53" s="65">
        <f t="shared" si="4"/>
        <v>1812.6072230000002</v>
      </c>
      <c r="N53" s="65">
        <f t="shared" si="4"/>
        <v>1812.6072230000002</v>
      </c>
      <c r="O53" s="140">
        <f>SUM(C231:N231)</f>
        <v>21751.286676000003</v>
      </c>
    </row>
    <row r="54" spans="1:15" x14ac:dyDescent="0.25">
      <c r="A54" s="59"/>
      <c r="B54" s="60"/>
      <c r="C54" s="60"/>
      <c r="D54" s="66"/>
      <c r="E54" s="66"/>
      <c r="F54" s="66"/>
      <c r="G54" s="66"/>
      <c r="H54" s="66"/>
      <c r="I54" s="66"/>
      <c r="J54" s="66"/>
      <c r="K54" s="66"/>
      <c r="L54" s="66"/>
      <c r="M54" s="66"/>
      <c r="N54" s="66"/>
      <c r="O54" s="84"/>
    </row>
    <row r="55" spans="1:15" x14ac:dyDescent="0.25">
      <c r="A55" s="59"/>
      <c r="B55" s="60"/>
      <c r="C55" s="60"/>
      <c r="D55" s="66"/>
      <c r="E55" s="66"/>
      <c r="F55" s="66"/>
      <c r="G55" s="66"/>
      <c r="H55" s="66"/>
      <c r="I55" s="66"/>
      <c r="J55" s="66"/>
      <c r="K55" s="66"/>
      <c r="L55" s="66"/>
      <c r="M55" s="66"/>
      <c r="N55" s="66"/>
      <c r="O55" s="84"/>
    </row>
    <row r="56" spans="1:15" x14ac:dyDescent="0.25">
      <c r="A56" s="58" t="s">
        <v>155</v>
      </c>
      <c r="B56" s="60"/>
      <c r="C56" s="60"/>
      <c r="D56" s="66"/>
      <c r="E56" s="66"/>
      <c r="F56" s="66"/>
      <c r="G56" s="66"/>
      <c r="H56" s="66"/>
      <c r="I56" s="66"/>
      <c r="J56" s="66"/>
      <c r="K56" s="66"/>
      <c r="L56" s="66"/>
      <c r="M56" s="66"/>
      <c r="N56" s="66"/>
      <c r="O56" s="84"/>
    </row>
    <row r="57" spans="1:15" x14ac:dyDescent="0.25">
      <c r="A57" s="61" t="str">
        <f>CMS!A57</f>
        <v>Training</v>
      </c>
      <c r="B57" s="63">
        <f>SUM(C57:N57)</f>
        <v>250.00000000000003</v>
      </c>
      <c r="C57" s="62">
        <f>SUM(250/12)</f>
        <v>20.833333333333332</v>
      </c>
      <c r="D57" s="62">
        <f t="shared" ref="D57:N57" si="5">SUM(250/12)</f>
        <v>20.833333333333332</v>
      </c>
      <c r="E57" s="62">
        <f t="shared" si="5"/>
        <v>20.833333333333332</v>
      </c>
      <c r="F57" s="62">
        <f t="shared" si="5"/>
        <v>20.833333333333332</v>
      </c>
      <c r="G57" s="62">
        <f t="shared" si="5"/>
        <v>20.833333333333332</v>
      </c>
      <c r="H57" s="62">
        <f t="shared" si="5"/>
        <v>20.833333333333332</v>
      </c>
      <c r="I57" s="62">
        <f t="shared" si="5"/>
        <v>20.833333333333332</v>
      </c>
      <c r="J57" s="62">
        <f t="shared" si="5"/>
        <v>20.833333333333332</v>
      </c>
      <c r="K57" s="62">
        <f t="shared" si="5"/>
        <v>20.833333333333332</v>
      </c>
      <c r="L57" s="62">
        <f t="shared" si="5"/>
        <v>20.833333333333332</v>
      </c>
      <c r="M57" s="62">
        <f t="shared" si="5"/>
        <v>20.833333333333332</v>
      </c>
      <c r="N57" s="62">
        <f t="shared" si="5"/>
        <v>20.833333333333332</v>
      </c>
      <c r="O57" s="84"/>
    </row>
    <row r="58" spans="1:15" x14ac:dyDescent="0.25">
      <c r="A58" s="61" t="str">
        <f>CMS!A58</f>
        <v>Travel</v>
      </c>
      <c r="B58" s="419">
        <f>SUM(C58:N58)</f>
        <v>300</v>
      </c>
      <c r="C58" s="62">
        <v>25</v>
      </c>
      <c r="D58" s="62">
        <v>25</v>
      </c>
      <c r="E58" s="62">
        <v>25</v>
      </c>
      <c r="F58" s="62">
        <v>25</v>
      </c>
      <c r="G58" s="62">
        <v>25</v>
      </c>
      <c r="H58" s="62">
        <v>25</v>
      </c>
      <c r="I58" s="62">
        <v>25</v>
      </c>
      <c r="J58" s="62">
        <v>25</v>
      </c>
      <c r="K58" s="62">
        <v>25</v>
      </c>
      <c r="L58" s="62">
        <v>25</v>
      </c>
      <c r="M58" s="62">
        <v>25</v>
      </c>
      <c r="N58" s="62">
        <v>25</v>
      </c>
      <c r="O58" s="84"/>
    </row>
    <row r="59" spans="1:15" x14ac:dyDescent="0.25">
      <c r="A59" s="61" t="str">
        <f>CMS!A59</f>
        <v>Recognition</v>
      </c>
      <c r="B59" s="63">
        <f>SUM(C59:N59)</f>
        <v>0</v>
      </c>
      <c r="C59" s="62"/>
      <c r="D59" s="62"/>
      <c r="E59" s="62"/>
      <c r="F59" s="62"/>
      <c r="G59" s="62"/>
      <c r="H59" s="62"/>
      <c r="I59" s="62"/>
      <c r="J59" s="62"/>
      <c r="K59" s="62"/>
      <c r="L59" s="62"/>
      <c r="M59" s="62"/>
      <c r="N59" s="62"/>
      <c r="O59" s="84"/>
    </row>
    <row r="60" spans="1:15" x14ac:dyDescent="0.25">
      <c r="A60" s="61" t="str">
        <f>CMS!A60</f>
        <v>Communications</v>
      </c>
      <c r="B60" s="63">
        <f t="shared" ref="B60:B82" si="6">SUM(C60:N60)</f>
        <v>0</v>
      </c>
      <c r="C60" s="62"/>
      <c r="D60" s="62"/>
      <c r="E60" s="62"/>
      <c r="F60" s="62"/>
      <c r="G60" s="62"/>
      <c r="H60" s="62"/>
      <c r="I60" s="62"/>
      <c r="J60" s="62"/>
      <c r="K60" s="62"/>
      <c r="L60" s="62"/>
      <c r="M60" s="62"/>
      <c r="N60" s="62"/>
      <c r="O60" s="84"/>
    </row>
    <row r="61" spans="1:15" x14ac:dyDescent="0.25">
      <c r="A61" s="61" t="str">
        <f>CMS!A61</f>
        <v>Dues &amp; Subscriptions</v>
      </c>
      <c r="B61" s="63">
        <f t="shared" si="6"/>
        <v>0</v>
      </c>
      <c r="C61" s="62"/>
      <c r="D61" s="62"/>
      <c r="E61" s="62"/>
      <c r="F61" s="62"/>
      <c r="G61" s="62"/>
      <c r="H61" s="62"/>
      <c r="I61" s="62"/>
      <c r="J61" s="62"/>
      <c r="K61" s="62"/>
      <c r="L61" s="62"/>
      <c r="M61" s="62"/>
      <c r="N61" s="62"/>
      <c r="O61" s="84"/>
    </row>
    <row r="62" spans="1:15" x14ac:dyDescent="0.25">
      <c r="A62" s="61" t="str">
        <f>CMS!A62</f>
        <v>Liability Insurance</v>
      </c>
      <c r="B62" s="63">
        <f t="shared" si="6"/>
        <v>390.02844638949659</v>
      </c>
      <c r="C62" s="62">
        <f>SUM('Data Links'!$B$5/'All Employees'!$I$65)/12*C102</f>
        <v>32.502370532458059</v>
      </c>
      <c r="D62" s="62">
        <f>SUM('Data Links'!$B$5/'All Employees'!$I$65)/12*D102</f>
        <v>32.502370532458059</v>
      </c>
      <c r="E62" s="62">
        <f>SUM('Data Links'!$B$5/'All Employees'!$I$65)/12*E102</f>
        <v>32.502370532458059</v>
      </c>
      <c r="F62" s="62">
        <f>SUM('Data Links'!$B$5/'All Employees'!$I$65)/12*F102</f>
        <v>32.502370532458059</v>
      </c>
      <c r="G62" s="62">
        <f>SUM('Data Links'!$B$5/'All Employees'!$I$65)/12*G102</f>
        <v>32.502370532458059</v>
      </c>
      <c r="H62" s="62">
        <f>SUM('Data Links'!$B$5/'All Employees'!$I$65)/12*H102</f>
        <v>32.502370532458059</v>
      </c>
      <c r="I62" s="62">
        <f>SUM('Data Links'!$B$5/'All Employees'!$I$65)/12*I102</f>
        <v>32.502370532458059</v>
      </c>
      <c r="J62" s="62">
        <f>SUM('Data Links'!$B$5/'All Employees'!$I$65)/12*J102</f>
        <v>32.502370532458059</v>
      </c>
      <c r="K62" s="62">
        <f>SUM('Data Links'!$B$5/'All Employees'!$I$65)/12*K102</f>
        <v>32.502370532458059</v>
      </c>
      <c r="L62" s="62">
        <f>SUM('Data Links'!$B$5/'All Employees'!$I$65)/12*L102</f>
        <v>32.502370532458059</v>
      </c>
      <c r="M62" s="62">
        <f>SUM('Data Links'!$B$5/'All Employees'!$I$65)/12*M102</f>
        <v>32.502370532458059</v>
      </c>
      <c r="N62" s="62">
        <f>SUM('Data Links'!$B$5/'All Employees'!$I$65)/12*N102</f>
        <v>32.502370532458059</v>
      </c>
      <c r="O62" s="84"/>
    </row>
    <row r="63" spans="1:15" x14ac:dyDescent="0.25">
      <c r="A63" s="61" t="str">
        <f>CMS!A63</f>
        <v>Professional Services</v>
      </c>
      <c r="B63" s="63">
        <f t="shared" si="6"/>
        <v>0</v>
      </c>
      <c r="C63" s="62"/>
      <c r="D63" s="62"/>
      <c r="E63" s="62"/>
      <c r="F63" s="62"/>
      <c r="G63" s="62"/>
      <c r="H63" s="62"/>
      <c r="I63" s="62"/>
      <c r="J63" s="62"/>
      <c r="K63" s="62"/>
      <c r="L63" s="62"/>
      <c r="M63" s="62"/>
      <c r="N63" s="62"/>
      <c r="O63" s="84"/>
    </row>
    <row r="64" spans="1:15" x14ac:dyDescent="0.25">
      <c r="A64" s="61" t="str">
        <f>CMS!A64</f>
        <v>Legal Fees</v>
      </c>
      <c r="B64" s="63">
        <f t="shared" si="6"/>
        <v>0</v>
      </c>
      <c r="C64" s="62"/>
      <c r="D64" s="62"/>
      <c r="E64" s="62"/>
      <c r="F64" s="62"/>
      <c r="G64" s="62"/>
      <c r="H64" s="62"/>
      <c r="I64" s="62"/>
      <c r="J64" s="62"/>
      <c r="K64" s="62"/>
      <c r="L64" s="62"/>
      <c r="M64" s="62"/>
      <c r="N64" s="62"/>
      <c r="O64" s="84"/>
    </row>
    <row r="65" spans="1:15" x14ac:dyDescent="0.25">
      <c r="A65" s="61" t="str">
        <f>CMS!A65</f>
        <v>Technical Services</v>
      </c>
      <c r="B65" s="63">
        <f t="shared" si="6"/>
        <v>0</v>
      </c>
      <c r="C65" s="62"/>
      <c r="D65" s="62"/>
      <c r="E65" s="62"/>
      <c r="F65" s="62"/>
      <c r="G65" s="62"/>
      <c r="H65" s="62"/>
      <c r="I65" s="62"/>
      <c r="J65" s="62"/>
      <c r="K65" s="62"/>
      <c r="L65" s="62"/>
      <c r="M65" s="62"/>
      <c r="N65" s="62"/>
      <c r="O65" s="84"/>
    </row>
    <row r="66" spans="1:15" x14ac:dyDescent="0.25">
      <c r="A66" s="61" t="str">
        <f>CMS!A66</f>
        <v>Taxes/Licenses &amp; Permits</v>
      </c>
      <c r="B66" s="63">
        <f t="shared" si="6"/>
        <v>0</v>
      </c>
      <c r="C66" s="62"/>
      <c r="D66" s="62"/>
      <c r="E66" s="62"/>
      <c r="F66" s="62"/>
      <c r="G66" s="62"/>
      <c r="H66" s="62"/>
      <c r="I66" s="62"/>
      <c r="J66" s="62"/>
      <c r="K66" s="62"/>
      <c r="L66" s="62"/>
      <c r="M66" s="62"/>
      <c r="N66" s="62"/>
      <c r="O66" s="84"/>
    </row>
    <row r="67" spans="1:15" x14ac:dyDescent="0.25">
      <c r="A67" s="61" t="str">
        <f>CMS!A67</f>
        <v>Small Tools &amp; Equip</v>
      </c>
      <c r="B67" s="63">
        <f t="shared" si="6"/>
        <v>0</v>
      </c>
      <c r="C67" s="62"/>
      <c r="D67" s="62"/>
      <c r="E67" s="62"/>
      <c r="F67" s="62"/>
      <c r="G67" s="62"/>
      <c r="H67" s="62"/>
      <c r="I67" s="62"/>
      <c r="J67" s="62"/>
      <c r="K67" s="62"/>
      <c r="L67" s="62"/>
      <c r="M67" s="62"/>
      <c r="N67" s="62"/>
      <c r="O67" s="84"/>
    </row>
    <row r="68" spans="1:15" x14ac:dyDescent="0.25">
      <c r="A68" s="61" t="str">
        <f>CMS!A68</f>
        <v>Office Supplies</v>
      </c>
      <c r="B68" s="63">
        <f t="shared" si="6"/>
        <v>120</v>
      </c>
      <c r="C68" s="62">
        <v>10</v>
      </c>
      <c r="D68" s="62">
        <v>10</v>
      </c>
      <c r="E68" s="62">
        <v>10</v>
      </c>
      <c r="F68" s="62">
        <v>10</v>
      </c>
      <c r="G68" s="62">
        <v>10</v>
      </c>
      <c r="H68" s="62">
        <v>10</v>
      </c>
      <c r="I68" s="62">
        <v>10</v>
      </c>
      <c r="J68" s="62">
        <v>10</v>
      </c>
      <c r="K68" s="62">
        <v>10</v>
      </c>
      <c r="L68" s="62">
        <v>10</v>
      </c>
      <c r="M68" s="62">
        <v>10</v>
      </c>
      <c r="N68" s="62">
        <v>10</v>
      </c>
      <c r="O68" s="84"/>
    </row>
    <row r="69" spans="1:15" x14ac:dyDescent="0.25">
      <c r="A69" s="61" t="str">
        <f>CMS!A69</f>
        <v>Program Supplies</v>
      </c>
      <c r="B69" s="63">
        <f t="shared" si="6"/>
        <v>0</v>
      </c>
      <c r="C69" s="62"/>
      <c r="D69" s="62"/>
      <c r="E69" s="62"/>
      <c r="F69" s="62"/>
      <c r="G69" s="62"/>
      <c r="H69" s="62"/>
      <c r="I69" s="62"/>
      <c r="J69" s="62"/>
      <c r="K69" s="62"/>
      <c r="L69" s="62"/>
      <c r="M69" s="62"/>
      <c r="N69" s="62"/>
      <c r="O69" s="84"/>
    </row>
    <row r="70" spans="1:15" x14ac:dyDescent="0.25">
      <c r="A70" s="61" t="str">
        <f>CMS!A70</f>
        <v>Advertising</v>
      </c>
      <c r="B70" s="63">
        <f t="shared" si="6"/>
        <v>0</v>
      </c>
      <c r="C70" s="62"/>
      <c r="D70" s="62"/>
      <c r="E70" s="62"/>
      <c r="F70" s="62"/>
      <c r="G70" s="62"/>
      <c r="H70" s="62"/>
      <c r="I70" s="62"/>
      <c r="J70" s="62"/>
      <c r="K70" s="62"/>
      <c r="L70" s="62"/>
      <c r="M70" s="62"/>
      <c r="N70" s="62"/>
      <c r="O70" s="84"/>
    </row>
    <row r="71" spans="1:15" x14ac:dyDescent="0.25">
      <c r="A71" s="61" t="str">
        <f>CMS!A71</f>
        <v>Repairs &amp; Maintenance</v>
      </c>
      <c r="B71" s="63">
        <f t="shared" si="6"/>
        <v>0</v>
      </c>
      <c r="C71" s="62"/>
      <c r="D71" s="62"/>
      <c r="E71" s="62"/>
      <c r="F71" s="62"/>
      <c r="G71" s="62"/>
      <c r="H71" s="62"/>
      <c r="I71" s="62"/>
      <c r="J71" s="62"/>
      <c r="K71" s="62"/>
      <c r="L71" s="62"/>
      <c r="M71" s="62"/>
      <c r="N71" s="62"/>
      <c r="O71" s="84"/>
    </row>
    <row r="72" spans="1:15" x14ac:dyDescent="0.25">
      <c r="A72" s="61" t="str">
        <f>CMS!A72</f>
        <v>Client Expense</v>
      </c>
      <c r="B72" s="63">
        <f t="shared" si="6"/>
        <v>0</v>
      </c>
      <c r="C72" s="62"/>
      <c r="D72" s="62"/>
      <c r="E72" s="62"/>
      <c r="F72" s="62"/>
      <c r="G72" s="62"/>
      <c r="H72" s="62"/>
      <c r="I72" s="62"/>
      <c r="J72" s="62"/>
      <c r="K72" s="62"/>
      <c r="L72" s="62"/>
      <c r="M72" s="62"/>
      <c r="N72" s="62"/>
      <c r="O72" s="84"/>
    </row>
    <row r="73" spans="1:15" x14ac:dyDescent="0.25">
      <c r="A73" s="61" t="str">
        <f>CMS!A73</f>
        <v>Printing</v>
      </c>
      <c r="B73" s="63">
        <f t="shared" si="6"/>
        <v>0</v>
      </c>
      <c r="C73" s="62"/>
      <c r="D73" s="62"/>
      <c r="E73" s="62"/>
      <c r="F73" s="62"/>
      <c r="G73" s="62"/>
      <c r="H73" s="62"/>
      <c r="I73" s="62"/>
      <c r="J73" s="62"/>
      <c r="K73" s="62"/>
      <c r="L73" s="62"/>
      <c r="M73" s="62"/>
      <c r="N73" s="62"/>
      <c r="O73" s="84"/>
    </row>
    <row r="74" spans="1:15" x14ac:dyDescent="0.25">
      <c r="A74" s="61" t="str">
        <f>CMS!A74</f>
        <v>Postage</v>
      </c>
      <c r="B74" s="63">
        <f t="shared" si="6"/>
        <v>0</v>
      </c>
      <c r="C74" s="62"/>
      <c r="D74" s="62"/>
      <c r="E74" s="62"/>
      <c r="F74" s="62"/>
      <c r="G74" s="62"/>
      <c r="H74" s="62"/>
      <c r="I74" s="62"/>
      <c r="J74" s="62"/>
      <c r="K74" s="62"/>
      <c r="L74" s="62"/>
      <c r="M74" s="62"/>
      <c r="N74" s="62"/>
      <c r="O74" s="84"/>
    </row>
    <row r="75" spans="1:15" x14ac:dyDescent="0.25">
      <c r="A75" s="61" t="str">
        <f>CMS!A75</f>
        <v>Rent/Lease Expense</v>
      </c>
      <c r="B75" s="63">
        <f t="shared" si="6"/>
        <v>0</v>
      </c>
      <c r="C75" s="62"/>
      <c r="D75" s="62"/>
      <c r="E75" s="62"/>
      <c r="F75" s="62"/>
      <c r="G75" s="62"/>
      <c r="H75" s="62"/>
      <c r="I75" s="62"/>
      <c r="J75" s="62"/>
      <c r="K75" s="62"/>
      <c r="L75" s="62"/>
      <c r="M75" s="62"/>
      <c r="N75" s="62"/>
      <c r="O75" s="84"/>
    </row>
    <row r="76" spans="1:15" x14ac:dyDescent="0.25">
      <c r="A76" s="61" t="str">
        <f>CMS!A76</f>
        <v>Utilities</v>
      </c>
      <c r="B76" s="63">
        <f t="shared" si="6"/>
        <v>0</v>
      </c>
      <c r="C76" s="62"/>
      <c r="D76" s="62"/>
      <c r="E76" s="62"/>
      <c r="F76" s="62"/>
      <c r="G76" s="62"/>
      <c r="H76" s="62"/>
      <c r="I76" s="62"/>
      <c r="J76" s="62"/>
      <c r="K76" s="62"/>
      <c r="L76" s="62"/>
      <c r="M76" s="62"/>
      <c r="N76" s="62"/>
      <c r="O76" s="84"/>
    </row>
    <row r="77" spans="1:15" x14ac:dyDescent="0.25">
      <c r="A77" s="61" t="str">
        <f>CMS!A77</f>
        <v>Bank Fees/Late Fees</v>
      </c>
      <c r="B77" s="63">
        <f t="shared" si="6"/>
        <v>0</v>
      </c>
      <c r="C77" s="62"/>
      <c r="D77" s="62"/>
      <c r="E77" s="62"/>
      <c r="F77" s="62"/>
      <c r="G77" s="62"/>
      <c r="H77" s="62"/>
      <c r="I77" s="62"/>
      <c r="J77" s="62"/>
      <c r="K77" s="62"/>
      <c r="L77" s="62"/>
      <c r="M77" s="62"/>
      <c r="N77" s="62"/>
      <c r="O77" s="84"/>
    </row>
    <row r="78" spans="1:15" x14ac:dyDescent="0.25">
      <c r="A78" s="61" t="str">
        <f>CMS!A78</f>
        <v>Bad Debt Expense</v>
      </c>
      <c r="B78" s="63">
        <f t="shared" si="6"/>
        <v>0</v>
      </c>
      <c r="C78" s="62"/>
      <c r="D78" s="62"/>
      <c r="E78" s="62"/>
      <c r="F78" s="62"/>
      <c r="G78" s="62"/>
      <c r="H78" s="62"/>
      <c r="I78" s="62"/>
      <c r="J78" s="62"/>
      <c r="K78" s="62"/>
      <c r="L78" s="62"/>
      <c r="M78" s="62"/>
      <c r="N78" s="62"/>
      <c r="O78" s="84"/>
    </row>
    <row r="79" spans="1:15" x14ac:dyDescent="0.25">
      <c r="A79" s="61" t="str">
        <f>CMS!A79</f>
        <v>Interest Expense</v>
      </c>
      <c r="B79" s="63">
        <f t="shared" si="6"/>
        <v>0</v>
      </c>
      <c r="C79" s="62"/>
      <c r="D79" s="62"/>
      <c r="E79" s="62"/>
      <c r="F79" s="62"/>
      <c r="G79" s="62"/>
      <c r="H79" s="62"/>
      <c r="I79" s="62"/>
      <c r="J79" s="62"/>
      <c r="K79" s="62"/>
      <c r="L79" s="62"/>
      <c r="M79" s="62"/>
      <c r="N79" s="62"/>
      <c r="O79" s="84"/>
    </row>
    <row r="80" spans="1:15" x14ac:dyDescent="0.25">
      <c r="A80" s="61" t="str">
        <f>CMS!A80</f>
        <v>Meeting Expense</v>
      </c>
      <c r="B80" s="63">
        <f t="shared" si="6"/>
        <v>0</v>
      </c>
      <c r="C80" s="62"/>
      <c r="D80" s="62"/>
      <c r="E80" s="62"/>
      <c r="F80" s="62"/>
      <c r="G80" s="62"/>
      <c r="H80" s="62"/>
      <c r="I80" s="62"/>
      <c r="J80" s="62"/>
      <c r="K80" s="62"/>
      <c r="L80" s="62"/>
      <c r="M80" s="62"/>
      <c r="N80" s="62"/>
      <c r="O80" s="84"/>
    </row>
    <row r="81" spans="1:15" x14ac:dyDescent="0.25">
      <c r="A81" s="61" t="s">
        <v>272</v>
      </c>
      <c r="B81" s="63">
        <f t="shared" si="6"/>
        <v>0</v>
      </c>
      <c r="C81" s="62">
        <f>SUM(C41)</f>
        <v>0</v>
      </c>
      <c r="D81" s="62">
        <f t="shared" ref="D81:N81" si="7">SUM(D41)</f>
        <v>0</v>
      </c>
      <c r="E81" s="62">
        <f t="shared" si="7"/>
        <v>0</v>
      </c>
      <c r="F81" s="62">
        <f t="shared" si="7"/>
        <v>0</v>
      </c>
      <c r="G81" s="62">
        <f t="shared" si="7"/>
        <v>0</v>
      </c>
      <c r="H81" s="62">
        <f t="shared" si="7"/>
        <v>0</v>
      </c>
      <c r="I81" s="62">
        <f t="shared" si="7"/>
        <v>0</v>
      </c>
      <c r="J81" s="62">
        <f t="shared" si="7"/>
        <v>0</v>
      </c>
      <c r="K81" s="62">
        <f t="shared" si="7"/>
        <v>0</v>
      </c>
      <c r="L81" s="62">
        <f t="shared" si="7"/>
        <v>0</v>
      </c>
      <c r="M81" s="62">
        <f t="shared" si="7"/>
        <v>0</v>
      </c>
      <c r="N81" s="62">
        <f t="shared" si="7"/>
        <v>0</v>
      </c>
      <c r="O81" s="84"/>
    </row>
    <row r="82" spans="1:15" ht="16.5" thickBot="1" x14ac:dyDescent="0.3">
      <c r="A82" s="61" t="str">
        <f>CMS!A82</f>
        <v>Misc Expense</v>
      </c>
      <c r="B82" s="63">
        <f t="shared" si="6"/>
        <v>0</v>
      </c>
      <c r="C82" s="62"/>
      <c r="D82" s="93"/>
      <c r="E82" s="93"/>
      <c r="F82" s="93"/>
      <c r="G82" s="93"/>
      <c r="H82" s="93"/>
      <c r="I82" s="93"/>
      <c r="J82" s="93"/>
      <c r="K82" s="93"/>
      <c r="L82" s="93"/>
      <c r="M82" s="93"/>
      <c r="N82" s="93"/>
      <c r="O82" s="101"/>
    </row>
    <row r="83" spans="1:15" x14ac:dyDescent="0.25">
      <c r="A83" s="64" t="s">
        <v>24</v>
      </c>
      <c r="B83" s="65">
        <f>SUM(B57:B82)</f>
        <v>1060.0284463894966</v>
      </c>
      <c r="C83" s="65">
        <f t="shared" ref="C83:N83" si="8">SUM(C57:C82)</f>
        <v>88.335703865791388</v>
      </c>
      <c r="D83" s="65">
        <f t="shared" si="8"/>
        <v>88.335703865791388</v>
      </c>
      <c r="E83" s="65">
        <f t="shared" si="8"/>
        <v>88.335703865791388</v>
      </c>
      <c r="F83" s="65">
        <f t="shared" si="8"/>
        <v>88.335703865791388</v>
      </c>
      <c r="G83" s="65">
        <f t="shared" si="8"/>
        <v>88.335703865791388</v>
      </c>
      <c r="H83" s="65">
        <f t="shared" si="8"/>
        <v>88.335703865791388</v>
      </c>
      <c r="I83" s="65">
        <f t="shared" si="8"/>
        <v>88.335703865791388</v>
      </c>
      <c r="J83" s="65">
        <f t="shared" si="8"/>
        <v>88.335703865791388</v>
      </c>
      <c r="K83" s="65">
        <f t="shared" si="8"/>
        <v>88.335703865791388</v>
      </c>
      <c r="L83" s="65">
        <f t="shared" si="8"/>
        <v>88.335703865791388</v>
      </c>
      <c r="M83" s="65">
        <f t="shared" si="8"/>
        <v>88.335703865791388</v>
      </c>
      <c r="N83" s="65">
        <f t="shared" si="8"/>
        <v>88.335703865791388</v>
      </c>
      <c r="O83" s="84"/>
    </row>
    <row r="84" spans="1:15" x14ac:dyDescent="0.25">
      <c r="A84" s="59"/>
      <c r="B84" s="60"/>
      <c r="C84" s="60"/>
      <c r="D84" s="66"/>
      <c r="E84" s="66"/>
      <c r="F84" s="66"/>
      <c r="G84" s="66"/>
      <c r="H84" s="66"/>
      <c r="I84" s="66"/>
      <c r="J84" s="66"/>
      <c r="K84" s="66"/>
      <c r="L84" s="66"/>
      <c r="M84" s="66"/>
      <c r="N84" s="66"/>
      <c r="O84" s="84"/>
    </row>
    <row r="85" spans="1:15" x14ac:dyDescent="0.25">
      <c r="A85" s="28"/>
      <c r="B85" s="86"/>
      <c r="C85" s="86"/>
      <c r="D85" s="86"/>
      <c r="E85" s="86"/>
      <c r="F85" s="86"/>
      <c r="G85" s="86"/>
      <c r="H85" s="86"/>
      <c r="I85" s="86"/>
      <c r="J85" s="86"/>
      <c r="K85" s="86"/>
      <c r="L85" s="86"/>
      <c r="M85" s="86"/>
      <c r="N85" s="86"/>
      <c r="O85" s="84"/>
    </row>
    <row r="86" spans="1:15" x14ac:dyDescent="0.25">
      <c r="A86" s="58" t="s">
        <v>25</v>
      </c>
      <c r="B86" s="60"/>
      <c r="C86" s="60"/>
      <c r="D86" s="66"/>
      <c r="E86" s="66"/>
      <c r="F86" s="66"/>
      <c r="G86" s="66"/>
      <c r="H86" s="66"/>
      <c r="I86" s="66"/>
      <c r="J86" s="66"/>
      <c r="K86" s="66"/>
      <c r="L86" s="66"/>
      <c r="M86" s="66"/>
      <c r="N86" s="66"/>
      <c r="O86" s="84"/>
    </row>
    <row r="87" spans="1:15" x14ac:dyDescent="0.25">
      <c r="A87" s="61" t="s">
        <v>329</v>
      </c>
      <c r="B87" s="63">
        <f>SUM(C87:N87)</f>
        <v>-2135.1499343248147</v>
      </c>
      <c r="C87" s="62">
        <f>SUM('CMS &amp; Fundraising Allocations'!B63)</f>
        <v>-301.54650358458611</v>
      </c>
      <c r="D87" s="62">
        <f>SUM('CMS &amp; Fundraising Allocations'!C63)</f>
        <v>-519.8223575218866</v>
      </c>
      <c r="E87" s="62">
        <f>SUM('CMS &amp; Fundraising Allocations'!D63)</f>
        <v>-778.83734770398553</v>
      </c>
      <c r="F87" s="62">
        <f>SUM('CMS &amp; Fundraising Allocations'!E63)</f>
        <v>-520.39133987167429</v>
      </c>
      <c r="G87" s="62">
        <f>SUM('CMS &amp; Fundraising Allocations'!F63)</f>
        <v>-494.20392722269617</v>
      </c>
      <c r="H87" s="62">
        <f>SUM('CMS &amp; Fundraising Allocations'!G63)</f>
        <v>-590.94515124534723</v>
      </c>
      <c r="I87" s="62">
        <f>SUM('CMS &amp; Fundraising Allocations'!H63)</f>
        <v>-135.75927141519935</v>
      </c>
      <c r="J87" s="62">
        <f>SUM('CMS &amp; Fundraising Allocations'!I63)</f>
        <v>-498.48551940484845</v>
      </c>
      <c r="K87" s="62">
        <f>SUM('CMS &amp; Fundraising Allocations'!J63)</f>
        <v>-510.06431022302786</v>
      </c>
      <c r="L87" s="62">
        <f>SUM('CMS &amp; Fundraising Allocations'!K63)</f>
        <v>-449.97977408544841</v>
      </c>
      <c r="M87" s="62">
        <f>SUM('CMS &amp; Fundraising Allocations'!L63)</f>
        <v>436.30980762008352</v>
      </c>
      <c r="N87" s="62">
        <f>SUM('CMS &amp; Fundraising Allocations'!M63)</f>
        <v>2228.575760333802</v>
      </c>
      <c r="O87" s="84"/>
    </row>
    <row r="88" spans="1:15" x14ac:dyDescent="0.25">
      <c r="A88" s="61" t="s">
        <v>330</v>
      </c>
      <c r="B88" s="63">
        <f>SUM(C88:N88)</f>
        <v>0</v>
      </c>
      <c r="C88" s="63"/>
      <c r="D88" s="62"/>
      <c r="E88" s="62"/>
      <c r="F88" s="62"/>
      <c r="G88" s="62"/>
      <c r="H88" s="62"/>
      <c r="I88" s="62"/>
      <c r="J88" s="62"/>
      <c r="K88" s="62"/>
      <c r="L88" s="62"/>
      <c r="M88" s="62"/>
      <c r="N88" s="62"/>
      <c r="O88" s="84"/>
    </row>
    <row r="89" spans="1:15" ht="16.5" thickBot="1" x14ac:dyDescent="0.3">
      <c r="A89" s="61"/>
      <c r="B89" s="63">
        <f>SUM(C89:N89)</f>
        <v>0</v>
      </c>
      <c r="C89" s="63"/>
      <c r="D89" s="62"/>
      <c r="E89" s="62"/>
      <c r="F89" s="62"/>
      <c r="G89" s="62"/>
      <c r="H89" s="62"/>
      <c r="I89" s="62"/>
      <c r="J89" s="62"/>
      <c r="K89" s="62"/>
      <c r="L89" s="62"/>
      <c r="M89" s="62"/>
      <c r="N89" s="62"/>
      <c r="O89" s="84"/>
    </row>
    <row r="90" spans="1:15" x14ac:dyDescent="0.25">
      <c r="A90" s="64" t="s">
        <v>26</v>
      </c>
      <c r="B90" s="65">
        <f t="shared" ref="B90:N90" si="9">SUM(B87:B89)</f>
        <v>-2135.1499343248147</v>
      </c>
      <c r="C90" s="65">
        <f t="shared" si="9"/>
        <v>-301.54650358458611</v>
      </c>
      <c r="D90" s="65">
        <f t="shared" si="9"/>
        <v>-519.8223575218866</v>
      </c>
      <c r="E90" s="65">
        <f t="shared" si="9"/>
        <v>-778.83734770398553</v>
      </c>
      <c r="F90" s="65">
        <f t="shared" si="9"/>
        <v>-520.39133987167429</v>
      </c>
      <c r="G90" s="65">
        <f t="shared" si="9"/>
        <v>-494.20392722269617</v>
      </c>
      <c r="H90" s="65">
        <f t="shared" si="9"/>
        <v>-590.94515124534723</v>
      </c>
      <c r="I90" s="65">
        <f t="shared" si="9"/>
        <v>-135.75927141519935</v>
      </c>
      <c r="J90" s="65">
        <f t="shared" si="9"/>
        <v>-498.48551940484845</v>
      </c>
      <c r="K90" s="65">
        <f t="shared" si="9"/>
        <v>-510.06431022302786</v>
      </c>
      <c r="L90" s="65">
        <f t="shared" si="9"/>
        <v>-449.97977408544841</v>
      </c>
      <c r="M90" s="65">
        <f t="shared" si="9"/>
        <v>436.30980762008352</v>
      </c>
      <c r="N90" s="65">
        <f t="shared" si="9"/>
        <v>2228.575760333802</v>
      </c>
      <c r="O90" s="84"/>
    </row>
    <row r="91" spans="1:15" x14ac:dyDescent="0.25">
      <c r="A91" s="59"/>
      <c r="B91" s="60"/>
      <c r="C91" s="60"/>
      <c r="D91" s="66"/>
      <c r="E91" s="66"/>
      <c r="F91" s="66"/>
      <c r="G91" s="66"/>
      <c r="H91" s="66"/>
      <c r="I91" s="66"/>
      <c r="J91" s="66"/>
      <c r="K91" s="66"/>
      <c r="L91" s="66"/>
      <c r="M91" s="66"/>
      <c r="N91" s="66"/>
      <c r="O91" s="84"/>
    </row>
    <row r="92" spans="1:15" x14ac:dyDescent="0.25">
      <c r="A92" s="265" t="s">
        <v>405</v>
      </c>
      <c r="B92" s="266"/>
      <c r="C92" s="266">
        <f>SUM(C46-C53-C83-C90)</f>
        <v>-349.3964232812055</v>
      </c>
      <c r="D92" s="266">
        <f t="shared" ref="D92:N92" si="10">SUM(D46-D53-D83-D90)</f>
        <v>-131.120569343905</v>
      </c>
      <c r="E92" s="266">
        <f t="shared" si="10"/>
        <v>127.89442083819392</v>
      </c>
      <c r="F92" s="266">
        <f t="shared" si="10"/>
        <v>-130.55158699411732</v>
      </c>
      <c r="G92" s="266">
        <f t="shared" si="10"/>
        <v>4843.2610003569043</v>
      </c>
      <c r="H92" s="266">
        <f t="shared" si="10"/>
        <v>-59.997775620444372</v>
      </c>
      <c r="I92" s="266">
        <f t="shared" si="10"/>
        <v>484.81634454940775</v>
      </c>
      <c r="J92" s="266">
        <f t="shared" si="10"/>
        <v>-152.45740746094316</v>
      </c>
      <c r="K92" s="266">
        <f t="shared" si="10"/>
        <v>3859.1213833572365</v>
      </c>
      <c r="L92" s="266">
        <f t="shared" si="10"/>
        <v>-200.96315278034319</v>
      </c>
      <c r="M92" s="266">
        <f t="shared" si="10"/>
        <v>-1087.2527344858752</v>
      </c>
      <c r="N92" s="267">
        <f t="shared" si="10"/>
        <v>-2879.5186871995938</v>
      </c>
      <c r="O92" s="84"/>
    </row>
    <row r="93" spans="1:15" x14ac:dyDescent="0.25">
      <c r="A93" s="59"/>
      <c r="B93" s="60"/>
      <c r="C93" s="60"/>
      <c r="D93" s="66"/>
      <c r="E93" s="66"/>
      <c r="F93" s="66"/>
      <c r="G93" s="66"/>
      <c r="H93" s="66"/>
      <c r="I93" s="66"/>
      <c r="J93" s="66"/>
      <c r="K93" s="66"/>
      <c r="L93" s="66"/>
      <c r="M93" s="66"/>
      <c r="N93" s="66"/>
      <c r="O93" s="84"/>
    </row>
    <row r="94" spans="1:15" x14ac:dyDescent="0.25">
      <c r="A94" s="59"/>
      <c r="B94" s="86" t="str">
        <f>B5</f>
        <v>Total</v>
      </c>
      <c r="C94" s="86"/>
      <c r="D94" s="66"/>
      <c r="E94" s="66"/>
      <c r="F94" s="66"/>
      <c r="G94" s="66"/>
      <c r="H94" s="66"/>
      <c r="I94" s="66"/>
      <c r="J94" s="66"/>
      <c r="K94" s="66"/>
      <c r="L94" s="66"/>
      <c r="M94" s="66"/>
      <c r="N94" s="66"/>
      <c r="O94" s="84"/>
    </row>
    <row r="95" spans="1:15" x14ac:dyDescent="0.25">
      <c r="A95" s="58" t="s">
        <v>31</v>
      </c>
      <c r="B95" s="60">
        <f>SUM(B46)</f>
        <v>25000</v>
      </c>
      <c r="C95" s="81"/>
      <c r="D95" s="66"/>
      <c r="E95" s="66"/>
      <c r="F95" s="66"/>
      <c r="G95" s="66"/>
      <c r="H95" s="66"/>
      <c r="I95" s="66"/>
      <c r="J95" s="66"/>
      <c r="K95" s="66"/>
      <c r="L95" s="66"/>
      <c r="M95" s="66"/>
      <c r="N95" s="66"/>
      <c r="O95" s="84"/>
    </row>
    <row r="96" spans="1:15" x14ac:dyDescent="0.25">
      <c r="A96" s="58" t="s">
        <v>32</v>
      </c>
      <c r="B96" s="60">
        <f>-B53</f>
        <v>-21751.286676000007</v>
      </c>
      <c r="C96" s="81"/>
      <c r="D96" s="66"/>
      <c r="E96" s="66"/>
      <c r="F96" s="66"/>
      <c r="G96" s="66"/>
      <c r="H96" s="66"/>
      <c r="I96" s="66"/>
      <c r="J96" s="66"/>
      <c r="K96" s="66"/>
      <c r="L96" s="66"/>
      <c r="M96" s="66"/>
      <c r="N96" s="66"/>
      <c r="O96" s="84"/>
    </row>
    <row r="97" spans="1:15" x14ac:dyDescent="0.25">
      <c r="A97" s="58" t="s">
        <v>33</v>
      </c>
      <c r="B97" s="60">
        <f>SUM(-B83)</f>
        <v>-1060.0284463894966</v>
      </c>
      <c r="C97" s="81"/>
      <c r="D97" s="66"/>
      <c r="E97" s="66"/>
      <c r="F97" s="66"/>
      <c r="G97" s="66"/>
      <c r="H97" s="66"/>
      <c r="I97" s="66"/>
      <c r="J97" s="66"/>
      <c r="K97" s="66"/>
      <c r="L97" s="66"/>
      <c r="M97" s="66"/>
      <c r="N97" s="66"/>
      <c r="O97" s="84"/>
    </row>
    <row r="98" spans="1:15" x14ac:dyDescent="0.25">
      <c r="A98" s="58" t="s">
        <v>182</v>
      </c>
      <c r="B98" s="60">
        <f>SUM(B90)</f>
        <v>-2135.1499343248147</v>
      </c>
      <c r="C98" s="81"/>
      <c r="D98" s="66"/>
      <c r="E98" s="66"/>
      <c r="F98" s="66"/>
      <c r="G98" s="66"/>
      <c r="H98" s="66"/>
      <c r="I98" s="66"/>
      <c r="J98" s="66"/>
      <c r="K98" s="66"/>
      <c r="L98" s="66"/>
      <c r="M98" s="66"/>
      <c r="N98" s="66"/>
      <c r="O98" s="84"/>
    </row>
    <row r="99" spans="1:15" x14ac:dyDescent="0.25">
      <c r="A99" s="87" t="s">
        <v>35</v>
      </c>
      <c r="B99" s="88">
        <f>SUM(B95:B98)</f>
        <v>53.534943285681493</v>
      </c>
      <c r="C99" s="81"/>
      <c r="D99" s="66"/>
      <c r="E99" s="73"/>
      <c r="F99" s="66"/>
      <c r="G99" s="81"/>
      <c r="H99" s="81"/>
      <c r="I99" s="66"/>
      <c r="J99" s="66"/>
      <c r="K99" s="66"/>
      <c r="L99" s="66"/>
      <c r="M99" s="66"/>
      <c r="N99" s="66"/>
      <c r="O99" s="84"/>
    </row>
    <row r="100" spans="1:15" x14ac:dyDescent="0.25">
      <c r="A100" s="59"/>
      <c r="B100" s="60"/>
      <c r="C100" s="81"/>
      <c r="D100" s="66"/>
      <c r="E100" s="66"/>
      <c r="F100" s="66"/>
      <c r="G100" s="66"/>
      <c r="H100" s="66"/>
      <c r="I100" s="66"/>
      <c r="J100" s="66"/>
      <c r="K100" s="66"/>
      <c r="L100" s="66"/>
      <c r="M100" s="66"/>
      <c r="N100" s="66"/>
      <c r="O100" s="84"/>
    </row>
    <row r="101" spans="1:15" x14ac:dyDescent="0.25">
      <c r="A101" s="59"/>
      <c r="B101" s="60"/>
      <c r="C101" s="60"/>
      <c r="D101" s="66"/>
      <c r="E101" s="66"/>
      <c r="F101" s="66"/>
      <c r="G101" s="66"/>
      <c r="H101" s="66"/>
      <c r="I101" s="66"/>
      <c r="J101" s="66"/>
      <c r="K101" s="66"/>
      <c r="L101" s="66"/>
      <c r="M101" s="66"/>
      <c r="N101" s="66"/>
      <c r="O101" s="84"/>
    </row>
    <row r="102" spans="1:15" x14ac:dyDescent="0.25">
      <c r="A102" s="58"/>
      <c r="B102" s="60" t="s">
        <v>183</v>
      </c>
      <c r="C102" s="75">
        <f>SUM(C108+C121+C134+C147+C160+C173+C186+C199+C212)</f>
        <v>0.52</v>
      </c>
      <c r="D102" s="75">
        <f t="shared" ref="D102:N102" si="11">SUM(D108+D121+D134+D147+D160+D173+D186+D199+D212)</f>
        <v>0.52</v>
      </c>
      <c r="E102" s="75">
        <f t="shared" si="11"/>
        <v>0.52</v>
      </c>
      <c r="F102" s="75">
        <f t="shared" si="11"/>
        <v>0.52</v>
      </c>
      <c r="G102" s="75">
        <f t="shared" si="11"/>
        <v>0.52</v>
      </c>
      <c r="H102" s="75">
        <f t="shared" si="11"/>
        <v>0.52</v>
      </c>
      <c r="I102" s="75">
        <f t="shared" si="11"/>
        <v>0.52</v>
      </c>
      <c r="J102" s="75">
        <f t="shared" si="11"/>
        <v>0.52</v>
      </c>
      <c r="K102" s="75">
        <f t="shared" si="11"/>
        <v>0.52</v>
      </c>
      <c r="L102" s="75">
        <f t="shared" si="11"/>
        <v>0.52</v>
      </c>
      <c r="M102" s="75">
        <f t="shared" si="11"/>
        <v>0.52</v>
      </c>
      <c r="N102" s="75">
        <f t="shared" si="11"/>
        <v>0.52</v>
      </c>
      <c r="O102" s="84"/>
    </row>
    <row r="103" spans="1:15" x14ac:dyDescent="0.25">
      <c r="A103" s="58"/>
      <c r="B103" s="60"/>
      <c r="C103" s="73"/>
      <c r="D103" s="66"/>
      <c r="E103" s="66"/>
      <c r="F103" s="66"/>
      <c r="G103" s="66"/>
      <c r="H103" s="66"/>
      <c r="I103" s="66"/>
      <c r="J103" s="66"/>
      <c r="K103" s="66"/>
      <c r="L103" s="66"/>
      <c r="M103" s="66"/>
      <c r="N103" s="84"/>
      <c r="O103" s="84"/>
    </row>
    <row r="104" spans="1:15" x14ac:dyDescent="0.25">
      <c r="A104" s="116" t="s">
        <v>184</v>
      </c>
      <c r="B104" s="92"/>
      <c r="C104" s="25"/>
      <c r="D104" s="91"/>
      <c r="E104" s="91"/>
      <c r="F104" s="91"/>
      <c r="G104" s="91"/>
      <c r="H104" s="91"/>
      <c r="I104" s="91"/>
      <c r="J104" s="91"/>
      <c r="K104" s="91"/>
      <c r="L104" s="91"/>
      <c r="M104" s="91"/>
      <c r="N104" s="27"/>
      <c r="O104" s="84"/>
    </row>
    <row r="105" spans="1:15" x14ac:dyDescent="0.25">
      <c r="A105" s="59"/>
      <c r="B105" s="60"/>
      <c r="C105" s="89" t="str">
        <f t="shared" ref="C105:N105" si="12">C5</f>
        <v>January</v>
      </c>
      <c r="D105" s="89" t="str">
        <f t="shared" si="12"/>
        <v>February</v>
      </c>
      <c r="E105" s="89" t="str">
        <f t="shared" si="12"/>
        <v>March</v>
      </c>
      <c r="F105" s="89" t="str">
        <f t="shared" si="12"/>
        <v>April</v>
      </c>
      <c r="G105" s="89" t="str">
        <f t="shared" si="12"/>
        <v>May</v>
      </c>
      <c r="H105" s="89" t="str">
        <f t="shared" si="12"/>
        <v>June</v>
      </c>
      <c r="I105" s="89" t="str">
        <f t="shared" si="12"/>
        <v>July</v>
      </c>
      <c r="J105" s="89" t="str">
        <f t="shared" si="12"/>
        <v>August</v>
      </c>
      <c r="K105" s="89" t="str">
        <f t="shared" si="12"/>
        <v>September</v>
      </c>
      <c r="L105" s="89" t="str">
        <f t="shared" si="12"/>
        <v>October</v>
      </c>
      <c r="M105" s="89" t="str">
        <f t="shared" si="12"/>
        <v>November</v>
      </c>
      <c r="N105" s="89" t="str">
        <f t="shared" si="12"/>
        <v>December</v>
      </c>
      <c r="O105" s="84"/>
    </row>
    <row r="106" spans="1:15" x14ac:dyDescent="0.25">
      <c r="A106" s="59"/>
      <c r="B106" s="60"/>
      <c r="C106" s="72">
        <v>30</v>
      </c>
      <c r="D106" s="72">
        <v>31</v>
      </c>
      <c r="E106" s="72">
        <v>30</v>
      </c>
      <c r="F106" s="72">
        <v>31</v>
      </c>
      <c r="G106" s="72">
        <v>31</v>
      </c>
      <c r="H106" s="72">
        <v>30</v>
      </c>
      <c r="I106" s="72">
        <v>31</v>
      </c>
      <c r="J106" s="72">
        <v>30</v>
      </c>
      <c r="K106" s="72">
        <v>31</v>
      </c>
      <c r="L106" s="72">
        <v>31</v>
      </c>
      <c r="M106" s="72">
        <v>28</v>
      </c>
      <c r="N106" s="71">
        <v>31</v>
      </c>
      <c r="O106" s="84"/>
    </row>
    <row r="107" spans="1:15" x14ac:dyDescent="0.25">
      <c r="A107" s="59"/>
      <c r="B107" s="89" t="s">
        <v>185</v>
      </c>
      <c r="C107" s="78">
        <f>C94</f>
        <v>0</v>
      </c>
      <c r="D107" s="53">
        <v>1</v>
      </c>
      <c r="E107" s="53"/>
      <c r="F107" s="53">
        <v>1</v>
      </c>
      <c r="G107" s="53"/>
      <c r="H107" s="53">
        <v>1</v>
      </c>
      <c r="I107" s="53">
        <v>1</v>
      </c>
      <c r="J107" s="53">
        <v>1</v>
      </c>
      <c r="K107" s="53">
        <v>1</v>
      </c>
      <c r="L107" s="53">
        <v>2</v>
      </c>
      <c r="M107" s="53">
        <v>1</v>
      </c>
      <c r="N107" s="59"/>
      <c r="O107" s="84"/>
    </row>
    <row r="108" spans="1:15" x14ac:dyDescent="0.25">
      <c r="A108" s="59"/>
      <c r="B108" s="89" t="s">
        <v>44</v>
      </c>
      <c r="C108" s="49"/>
      <c r="D108" s="49"/>
      <c r="E108" s="49"/>
      <c r="F108" s="49"/>
      <c r="G108" s="49"/>
      <c r="H108" s="49"/>
      <c r="I108" s="49"/>
      <c r="J108" s="49"/>
      <c r="K108" s="49"/>
      <c r="L108" s="49"/>
      <c r="M108" s="49"/>
      <c r="N108" s="49"/>
      <c r="O108" s="84"/>
    </row>
    <row r="109" spans="1:15" x14ac:dyDescent="0.25">
      <c r="A109" s="59"/>
      <c r="B109" s="89" t="s">
        <v>186</v>
      </c>
      <c r="C109" s="53">
        <f>SUM(174*C108)</f>
        <v>0</v>
      </c>
      <c r="D109" s="53">
        <f t="shared" ref="D109:N109" si="13">SUM(174*D108)</f>
        <v>0</v>
      </c>
      <c r="E109" s="53">
        <f t="shared" si="13"/>
        <v>0</v>
      </c>
      <c r="F109" s="53">
        <f t="shared" si="13"/>
        <v>0</v>
      </c>
      <c r="G109" s="53">
        <f t="shared" si="13"/>
        <v>0</v>
      </c>
      <c r="H109" s="53">
        <f t="shared" si="13"/>
        <v>0</v>
      </c>
      <c r="I109" s="53">
        <f t="shared" si="13"/>
        <v>0</v>
      </c>
      <c r="J109" s="53">
        <f t="shared" si="13"/>
        <v>0</v>
      </c>
      <c r="K109" s="53">
        <f t="shared" si="13"/>
        <v>0</v>
      </c>
      <c r="L109" s="53">
        <f t="shared" si="13"/>
        <v>0</v>
      </c>
      <c r="M109" s="53">
        <f t="shared" si="13"/>
        <v>0</v>
      </c>
      <c r="N109" s="53">
        <f t="shared" si="13"/>
        <v>0</v>
      </c>
      <c r="O109" s="84"/>
    </row>
    <row r="110" spans="1:15" x14ac:dyDescent="0.25">
      <c r="A110" s="59" t="s">
        <v>623</v>
      </c>
      <c r="B110" s="78" t="s">
        <v>187</v>
      </c>
      <c r="C110" s="66">
        <f>SUM(C109*$B$111)</f>
        <v>0</v>
      </c>
      <c r="D110" s="66">
        <f t="shared" ref="D110:N110" si="14">SUM(D109*$B$111)</f>
        <v>0</v>
      </c>
      <c r="E110" s="66">
        <f t="shared" si="14"/>
        <v>0</v>
      </c>
      <c r="F110" s="66">
        <f t="shared" si="14"/>
        <v>0</v>
      </c>
      <c r="G110" s="66">
        <f t="shared" si="14"/>
        <v>0</v>
      </c>
      <c r="H110" s="66">
        <f t="shared" si="14"/>
        <v>0</v>
      </c>
      <c r="I110" s="66">
        <f t="shared" si="14"/>
        <v>0</v>
      </c>
      <c r="J110" s="66">
        <f t="shared" si="14"/>
        <v>0</v>
      </c>
      <c r="K110" s="66">
        <f t="shared" si="14"/>
        <v>0</v>
      </c>
      <c r="L110" s="66">
        <f t="shared" si="14"/>
        <v>0</v>
      </c>
      <c r="M110" s="66">
        <f t="shared" si="14"/>
        <v>0</v>
      </c>
      <c r="N110" s="66">
        <f t="shared" si="14"/>
        <v>0</v>
      </c>
      <c r="O110" s="140">
        <f>SUM(C110:N110)</f>
        <v>0</v>
      </c>
    </row>
    <row r="111" spans="1:15" x14ac:dyDescent="0.25">
      <c r="A111" s="59" t="s">
        <v>188</v>
      </c>
      <c r="B111" s="74">
        <v>28.53</v>
      </c>
      <c r="C111" s="66">
        <f>SUM(C110)*'Data Links'!$B$15</f>
        <v>0</v>
      </c>
      <c r="D111" s="66">
        <f>SUM(D110)*'Data Links'!$B$15</f>
        <v>0</v>
      </c>
      <c r="E111" s="66">
        <f>SUM(E110)*'Data Links'!$B$15</f>
        <v>0</v>
      </c>
      <c r="F111" s="66">
        <f>SUM(F110)*'Data Links'!$B$15</f>
        <v>0</v>
      </c>
      <c r="G111" s="66">
        <f>SUM(G110)*'Data Links'!$B$15</f>
        <v>0</v>
      </c>
      <c r="H111" s="66">
        <f>SUM(H110)*'Data Links'!$B$15</f>
        <v>0</v>
      </c>
      <c r="I111" s="66">
        <f>SUM(I110)*'Data Links'!$B$15</f>
        <v>0</v>
      </c>
      <c r="J111" s="66">
        <f>SUM(J110)*'Data Links'!$B$15</f>
        <v>0</v>
      </c>
      <c r="K111" s="66">
        <f>SUM(K110)*'Data Links'!$B$15</f>
        <v>0</v>
      </c>
      <c r="L111" s="66">
        <f>SUM(L110)*'Data Links'!$B$15</f>
        <v>0</v>
      </c>
      <c r="M111" s="66">
        <f>SUM(M110)*'Data Links'!$B$15</f>
        <v>0</v>
      </c>
      <c r="N111" s="66">
        <f>SUM(N110)*'Data Links'!$B$15</f>
        <v>0</v>
      </c>
      <c r="O111" s="84"/>
    </row>
    <row r="112" spans="1:15" x14ac:dyDescent="0.25">
      <c r="A112" s="59" t="s">
        <v>189</v>
      </c>
      <c r="B112" s="60"/>
      <c r="C112" s="66">
        <f>SUM(C110*'Data Links'!$B$13)</f>
        <v>0</v>
      </c>
      <c r="D112" s="66">
        <f>SUM(D110*'Data Links'!$B$13)</f>
        <v>0</v>
      </c>
      <c r="E112" s="66">
        <f>SUM(E110*'Data Links'!$B$13)</f>
        <v>0</v>
      </c>
      <c r="F112" s="66">
        <f>SUM(F110*'Data Links'!$B$13)</f>
        <v>0</v>
      </c>
      <c r="G112" s="66">
        <f>SUM(G110*'Data Links'!$B$13)</f>
        <v>0</v>
      </c>
      <c r="H112" s="66">
        <f>SUM(H110*'Data Links'!$B$13)</f>
        <v>0</v>
      </c>
      <c r="I112" s="66">
        <f>SUM(I110*'Data Links'!$B$13)</f>
        <v>0</v>
      </c>
      <c r="J112" s="66">
        <f>SUM(J110*'Data Links'!$B$13)</f>
        <v>0</v>
      </c>
      <c r="K112" s="66">
        <f>SUM(K110*'Data Links'!$B$13)</f>
        <v>0</v>
      </c>
      <c r="L112" s="66">
        <f>SUM(L110*'Data Links'!$B$13)</f>
        <v>0</v>
      </c>
      <c r="M112" s="66">
        <f>SUM(M110*'Data Links'!$B$13)</f>
        <v>0</v>
      </c>
      <c r="N112" s="66">
        <f>SUM(N110*'Data Links'!$B$13)</f>
        <v>0</v>
      </c>
      <c r="O112" s="84"/>
    </row>
    <row r="113" spans="1:15" x14ac:dyDescent="0.25">
      <c r="A113" s="59" t="s">
        <v>190</v>
      </c>
      <c r="B113" s="60"/>
      <c r="C113" s="66">
        <f>SUM(C109*'Data Links'!$B$8)</f>
        <v>0</v>
      </c>
      <c r="D113" s="66">
        <f>SUM(D109*'Data Links'!$B$8)</f>
        <v>0</v>
      </c>
      <c r="E113" s="66">
        <f>SUM(E109*'Data Links'!$B$8)</f>
        <v>0</v>
      </c>
      <c r="F113" s="66">
        <f>SUM(F109*'Data Links'!$B$8)</f>
        <v>0</v>
      </c>
      <c r="G113" s="66">
        <f>SUM(G109*'Data Links'!$B$8)</f>
        <v>0</v>
      </c>
      <c r="H113" s="66">
        <f>SUM(H109*'Data Links'!$B$8)</f>
        <v>0</v>
      </c>
      <c r="I113" s="66">
        <f>SUM(I109*'Data Links'!$B$8)</f>
        <v>0</v>
      </c>
      <c r="J113" s="66">
        <f>SUM(J109*'Data Links'!$B$8)</f>
        <v>0</v>
      </c>
      <c r="K113" s="66">
        <f>SUM(K109*'Data Links'!$B$8)</f>
        <v>0</v>
      </c>
      <c r="L113" s="66">
        <f>SUM(L109*'Data Links'!$B$8)</f>
        <v>0</v>
      </c>
      <c r="M113" s="66">
        <f>SUM(M109*'Data Links'!$B$8)</f>
        <v>0</v>
      </c>
      <c r="N113" s="66">
        <f>SUM(N109*'Data Links'!$B$8)</f>
        <v>0</v>
      </c>
      <c r="O113" s="84"/>
    </row>
    <row r="114" spans="1:15" x14ac:dyDescent="0.25">
      <c r="A114" s="59" t="s">
        <v>191</v>
      </c>
      <c r="B114" s="60"/>
      <c r="C114" s="66">
        <f>SUM('All Employees'!$P$51)*C108</f>
        <v>0</v>
      </c>
      <c r="D114" s="66">
        <f>SUM('All Employees'!$P$51)*D108</f>
        <v>0</v>
      </c>
      <c r="E114" s="66">
        <f>SUM('All Employees'!$P$51)*E108</f>
        <v>0</v>
      </c>
      <c r="F114" s="66">
        <f>SUM('All Employees'!$P$51)*F108</f>
        <v>0</v>
      </c>
      <c r="G114" s="66">
        <f>SUM('All Employees'!$P$51)*G108</f>
        <v>0</v>
      </c>
      <c r="H114" s="66">
        <f>SUM('All Employees'!$P$51)*H108</f>
        <v>0</v>
      </c>
      <c r="I114" s="66">
        <f>SUM('All Employees'!$P$51)*I108</f>
        <v>0</v>
      </c>
      <c r="J114" s="66">
        <f>SUM('All Employees'!$P$51)*J108</f>
        <v>0</v>
      </c>
      <c r="K114" s="66">
        <f>SUM('All Employees'!$P$51)*K108</f>
        <v>0</v>
      </c>
      <c r="L114" s="66">
        <f>SUM('All Employees'!$P$51)*L108</f>
        <v>0</v>
      </c>
      <c r="M114" s="66">
        <f>SUM('All Employees'!$P$51)*M108</f>
        <v>0</v>
      </c>
      <c r="N114" s="66">
        <f>SUM('All Employees'!$P$51)*N108</f>
        <v>0</v>
      </c>
      <c r="O114" s="84"/>
    </row>
    <row r="115" spans="1:15" x14ac:dyDescent="0.25">
      <c r="A115" s="59" t="s">
        <v>192</v>
      </c>
      <c r="B115" s="60"/>
      <c r="C115" s="66">
        <f>SUM(C110*'Data Links'!$B$17)</f>
        <v>0</v>
      </c>
      <c r="D115" s="66">
        <f>SUM(D110*'Data Links'!$B$17)</f>
        <v>0</v>
      </c>
      <c r="E115" s="66">
        <f>SUM(E110*'Data Links'!$B$17)</f>
        <v>0</v>
      </c>
      <c r="F115" s="66">
        <f>SUM(F110*'Data Links'!$B$17)</f>
        <v>0</v>
      </c>
      <c r="G115" s="66">
        <f>SUM(G110*'Data Links'!$B$17)</f>
        <v>0</v>
      </c>
      <c r="H115" s="66">
        <f>SUM(H110*'Data Links'!$B$17)</f>
        <v>0</v>
      </c>
      <c r="I115" s="66">
        <f>SUM(I110*'Data Links'!$B$17)</f>
        <v>0</v>
      </c>
      <c r="J115" s="66">
        <f>SUM(J110*'Data Links'!$B$17)</f>
        <v>0</v>
      </c>
      <c r="K115" s="66">
        <f>SUM(K110*'Data Links'!$B$17)</f>
        <v>0</v>
      </c>
      <c r="L115" s="66">
        <f>SUM(L110*'Data Links'!$B$17)</f>
        <v>0</v>
      </c>
      <c r="M115" s="66">
        <f>SUM(M110*'Data Links'!$B$17)</f>
        <v>0</v>
      </c>
      <c r="N115" s="66">
        <f>SUM(N110*'Data Links'!$B$17)</f>
        <v>0</v>
      </c>
      <c r="O115" s="140">
        <f>SUM(C111:N115)</f>
        <v>0</v>
      </c>
    </row>
    <row r="116" spans="1:15" x14ac:dyDescent="0.25">
      <c r="A116" s="58" t="s">
        <v>144</v>
      </c>
      <c r="B116" s="60"/>
      <c r="C116" s="60">
        <f t="shared" ref="C116:N116" si="15">SUM(C110:C115)</f>
        <v>0</v>
      </c>
      <c r="D116" s="60">
        <f t="shared" si="15"/>
        <v>0</v>
      </c>
      <c r="E116" s="60">
        <f t="shared" si="15"/>
        <v>0</v>
      </c>
      <c r="F116" s="60">
        <f t="shared" si="15"/>
        <v>0</v>
      </c>
      <c r="G116" s="60">
        <f t="shared" si="15"/>
        <v>0</v>
      </c>
      <c r="H116" s="60">
        <f t="shared" si="15"/>
        <v>0</v>
      </c>
      <c r="I116" s="60">
        <f t="shared" si="15"/>
        <v>0</v>
      </c>
      <c r="J116" s="60">
        <f t="shared" si="15"/>
        <v>0</v>
      </c>
      <c r="K116" s="60">
        <f t="shared" si="15"/>
        <v>0</v>
      </c>
      <c r="L116" s="60">
        <f t="shared" si="15"/>
        <v>0</v>
      </c>
      <c r="M116" s="60">
        <f t="shared" si="15"/>
        <v>0</v>
      </c>
      <c r="N116" s="60">
        <f t="shared" si="15"/>
        <v>0</v>
      </c>
      <c r="O116" s="58"/>
    </row>
    <row r="117" spans="1:15" x14ac:dyDescent="0.25">
      <c r="A117" s="59"/>
      <c r="B117" s="60"/>
      <c r="C117" s="60"/>
      <c r="D117" s="66"/>
      <c r="E117" s="66"/>
      <c r="F117" s="66"/>
      <c r="G117" s="66"/>
      <c r="H117" s="66"/>
      <c r="I117" s="66"/>
      <c r="J117" s="66"/>
      <c r="K117" s="66"/>
      <c r="L117" s="66"/>
      <c r="M117" s="66"/>
      <c r="N117" s="66"/>
      <c r="O117" s="84"/>
    </row>
    <row r="118" spans="1:15" x14ac:dyDescent="0.25">
      <c r="A118" s="59"/>
      <c r="B118" s="60"/>
      <c r="C118" s="89" t="str">
        <f>C105</f>
        <v>January</v>
      </c>
      <c r="D118" s="89" t="str">
        <f t="shared" ref="D118:N120" si="16">D105</f>
        <v>February</v>
      </c>
      <c r="E118" s="89" t="str">
        <f t="shared" si="16"/>
        <v>March</v>
      </c>
      <c r="F118" s="89" t="str">
        <f t="shared" si="16"/>
        <v>April</v>
      </c>
      <c r="G118" s="89" t="str">
        <f t="shared" si="16"/>
        <v>May</v>
      </c>
      <c r="H118" s="89" t="str">
        <f t="shared" si="16"/>
        <v>June</v>
      </c>
      <c r="I118" s="89" t="str">
        <f t="shared" si="16"/>
        <v>July</v>
      </c>
      <c r="J118" s="89" t="str">
        <f t="shared" si="16"/>
        <v>August</v>
      </c>
      <c r="K118" s="89" t="str">
        <f t="shared" si="16"/>
        <v>September</v>
      </c>
      <c r="L118" s="89" t="str">
        <f t="shared" si="16"/>
        <v>October</v>
      </c>
      <c r="M118" s="89" t="str">
        <f t="shared" si="16"/>
        <v>November</v>
      </c>
      <c r="N118" s="89" t="str">
        <f t="shared" si="16"/>
        <v>December</v>
      </c>
      <c r="O118" s="84"/>
    </row>
    <row r="119" spans="1:15" x14ac:dyDescent="0.25">
      <c r="A119" s="59"/>
      <c r="B119" s="60"/>
      <c r="C119" s="72">
        <f>C106</f>
        <v>30</v>
      </c>
      <c r="D119" s="72">
        <f t="shared" si="16"/>
        <v>31</v>
      </c>
      <c r="E119" s="72">
        <f t="shared" si="16"/>
        <v>30</v>
      </c>
      <c r="F119" s="72">
        <f t="shared" si="16"/>
        <v>31</v>
      </c>
      <c r="G119" s="72">
        <f t="shared" si="16"/>
        <v>31</v>
      </c>
      <c r="H119" s="72">
        <f t="shared" si="16"/>
        <v>30</v>
      </c>
      <c r="I119" s="72">
        <f t="shared" si="16"/>
        <v>31</v>
      </c>
      <c r="J119" s="72">
        <f t="shared" si="16"/>
        <v>30</v>
      </c>
      <c r="K119" s="72">
        <f t="shared" si="16"/>
        <v>31</v>
      </c>
      <c r="L119" s="72">
        <f t="shared" si="16"/>
        <v>31</v>
      </c>
      <c r="M119" s="72">
        <f t="shared" si="16"/>
        <v>28</v>
      </c>
      <c r="N119" s="72">
        <f t="shared" si="16"/>
        <v>31</v>
      </c>
      <c r="O119" s="84"/>
    </row>
    <row r="120" spans="1:15" x14ac:dyDescent="0.25">
      <c r="A120" s="59"/>
      <c r="B120" s="89" t="s">
        <v>185</v>
      </c>
      <c r="C120" s="53">
        <f>C107</f>
        <v>0</v>
      </c>
      <c r="D120" s="53">
        <f t="shared" si="16"/>
        <v>1</v>
      </c>
      <c r="E120" s="53">
        <f t="shared" si="16"/>
        <v>0</v>
      </c>
      <c r="F120" s="53">
        <f t="shared" si="16"/>
        <v>1</v>
      </c>
      <c r="G120" s="53">
        <f t="shared" si="16"/>
        <v>0</v>
      </c>
      <c r="H120" s="53">
        <f t="shared" si="16"/>
        <v>1</v>
      </c>
      <c r="I120" s="53">
        <f t="shared" si="16"/>
        <v>1</v>
      </c>
      <c r="J120" s="53">
        <f t="shared" si="16"/>
        <v>1</v>
      </c>
      <c r="K120" s="53">
        <f t="shared" si="16"/>
        <v>1</v>
      </c>
      <c r="L120" s="53">
        <f t="shared" si="16"/>
        <v>2</v>
      </c>
      <c r="M120" s="53">
        <f t="shared" si="16"/>
        <v>1</v>
      </c>
      <c r="N120" s="53">
        <f t="shared" si="16"/>
        <v>0</v>
      </c>
      <c r="O120" s="84"/>
    </row>
    <row r="121" spans="1:15" x14ac:dyDescent="0.25">
      <c r="A121" s="59"/>
      <c r="B121" s="89" t="s">
        <v>44</v>
      </c>
      <c r="C121" s="49">
        <v>0.02</v>
      </c>
      <c r="D121" s="49">
        <v>0.02</v>
      </c>
      <c r="E121" s="49">
        <v>0.02</v>
      </c>
      <c r="F121" s="49">
        <v>0.02</v>
      </c>
      <c r="G121" s="49">
        <v>0.02</v>
      </c>
      <c r="H121" s="49">
        <v>0.02</v>
      </c>
      <c r="I121" s="49">
        <v>0.02</v>
      </c>
      <c r="J121" s="49">
        <v>0.02</v>
      </c>
      <c r="K121" s="49">
        <v>0.02</v>
      </c>
      <c r="L121" s="49">
        <v>0.02</v>
      </c>
      <c r="M121" s="49">
        <v>0.02</v>
      </c>
      <c r="N121" s="49">
        <v>0.02</v>
      </c>
      <c r="O121" s="84"/>
    </row>
    <row r="122" spans="1:15" x14ac:dyDescent="0.25">
      <c r="A122" s="59"/>
      <c r="B122" s="89" t="s">
        <v>186</v>
      </c>
      <c r="C122" s="53">
        <f>SUM(174*C121)</f>
        <v>3.48</v>
      </c>
      <c r="D122" s="53">
        <f t="shared" ref="D122:N122" si="17">SUM(174*D121)</f>
        <v>3.48</v>
      </c>
      <c r="E122" s="53">
        <f t="shared" si="17"/>
        <v>3.48</v>
      </c>
      <c r="F122" s="53">
        <f t="shared" si="17"/>
        <v>3.48</v>
      </c>
      <c r="G122" s="53">
        <f t="shared" si="17"/>
        <v>3.48</v>
      </c>
      <c r="H122" s="53">
        <f t="shared" si="17"/>
        <v>3.48</v>
      </c>
      <c r="I122" s="53">
        <f t="shared" si="17"/>
        <v>3.48</v>
      </c>
      <c r="J122" s="53">
        <f t="shared" si="17"/>
        <v>3.48</v>
      </c>
      <c r="K122" s="53">
        <f t="shared" si="17"/>
        <v>3.48</v>
      </c>
      <c r="L122" s="53">
        <f t="shared" si="17"/>
        <v>3.48</v>
      </c>
      <c r="M122" s="53">
        <f t="shared" si="17"/>
        <v>3.48</v>
      </c>
      <c r="N122" s="53">
        <f t="shared" si="17"/>
        <v>3.48</v>
      </c>
      <c r="O122" s="84"/>
    </row>
    <row r="123" spans="1:15" x14ac:dyDescent="0.25">
      <c r="A123" s="59" t="s">
        <v>390</v>
      </c>
      <c r="B123" s="78" t="s">
        <v>391</v>
      </c>
      <c r="C123" s="66">
        <f>SUM(C122*$B$124)</f>
        <v>78.021600000000007</v>
      </c>
      <c r="D123" s="66">
        <f t="shared" ref="D123:N123" si="18">SUM(D122*$B$124)</f>
        <v>78.021600000000007</v>
      </c>
      <c r="E123" s="66">
        <f t="shared" si="18"/>
        <v>78.021600000000007</v>
      </c>
      <c r="F123" s="66">
        <f t="shared" si="18"/>
        <v>78.021600000000007</v>
      </c>
      <c r="G123" s="66">
        <f t="shared" si="18"/>
        <v>78.021600000000007</v>
      </c>
      <c r="H123" s="66">
        <f t="shared" si="18"/>
        <v>78.021600000000007</v>
      </c>
      <c r="I123" s="66">
        <f t="shared" si="18"/>
        <v>78.021600000000007</v>
      </c>
      <c r="J123" s="66">
        <f t="shared" si="18"/>
        <v>78.021600000000007</v>
      </c>
      <c r="K123" s="66">
        <f t="shared" si="18"/>
        <v>78.021600000000007</v>
      </c>
      <c r="L123" s="66">
        <f t="shared" si="18"/>
        <v>78.021600000000007</v>
      </c>
      <c r="M123" s="66">
        <f t="shared" si="18"/>
        <v>78.021600000000007</v>
      </c>
      <c r="N123" s="66">
        <f t="shared" si="18"/>
        <v>78.021600000000007</v>
      </c>
      <c r="O123" s="140">
        <f>SUM(C123:N123)</f>
        <v>936.25920000000031</v>
      </c>
    </row>
    <row r="124" spans="1:15" x14ac:dyDescent="0.25">
      <c r="A124" s="59" t="s">
        <v>188</v>
      </c>
      <c r="B124" s="74">
        <v>22.42</v>
      </c>
      <c r="C124" s="66">
        <f>SUM(C123)*'Data Links'!$B$15</f>
        <v>5.9686524000000007</v>
      </c>
      <c r="D124" s="66">
        <f>SUM(D123)*'Data Links'!$B$15</f>
        <v>5.9686524000000007</v>
      </c>
      <c r="E124" s="66">
        <f>SUM(E123)*'Data Links'!$B$15</f>
        <v>5.9686524000000007</v>
      </c>
      <c r="F124" s="66">
        <f>SUM(F123)*'Data Links'!$B$15</f>
        <v>5.9686524000000007</v>
      </c>
      <c r="G124" s="66">
        <f>SUM(G123)*'Data Links'!$B$15</f>
        <v>5.9686524000000007</v>
      </c>
      <c r="H124" s="66">
        <f>SUM(H123)*'Data Links'!$B$15</f>
        <v>5.9686524000000007</v>
      </c>
      <c r="I124" s="66">
        <f>SUM(I123)*'Data Links'!$B$15</f>
        <v>5.9686524000000007</v>
      </c>
      <c r="J124" s="66">
        <f>SUM(J123)*'Data Links'!$B$15</f>
        <v>5.9686524000000007</v>
      </c>
      <c r="K124" s="66">
        <f>SUM(K123)*'Data Links'!$B$15</f>
        <v>5.9686524000000007</v>
      </c>
      <c r="L124" s="66">
        <f>SUM(L123)*'Data Links'!$B$15</f>
        <v>5.9686524000000007</v>
      </c>
      <c r="M124" s="66">
        <f>SUM(M123)*'Data Links'!$B$15</f>
        <v>5.9686524000000007</v>
      </c>
      <c r="N124" s="66">
        <f>SUM(N123)*'Data Links'!$B$15</f>
        <v>5.9686524000000007</v>
      </c>
      <c r="O124" s="84"/>
    </row>
    <row r="125" spans="1:15" x14ac:dyDescent="0.25">
      <c r="A125" s="59" t="s">
        <v>189</v>
      </c>
      <c r="B125" s="60"/>
      <c r="C125" s="66">
        <f>SUM(C123*'Data Links'!$B$13)</f>
        <v>0.46812960000000003</v>
      </c>
      <c r="D125" s="66">
        <f>SUM(D123*'Data Links'!$B$13)</f>
        <v>0.46812960000000003</v>
      </c>
      <c r="E125" s="66">
        <f>SUM(E123*'Data Links'!$B$13)</f>
        <v>0.46812960000000003</v>
      </c>
      <c r="F125" s="66">
        <f>SUM(F123*'Data Links'!$B$13)</f>
        <v>0.46812960000000003</v>
      </c>
      <c r="G125" s="66">
        <f>SUM(G123*'Data Links'!$B$13)</f>
        <v>0.46812960000000003</v>
      </c>
      <c r="H125" s="66">
        <f>SUM(H123*'Data Links'!$B$13)</f>
        <v>0.46812960000000003</v>
      </c>
      <c r="I125" s="66">
        <f>SUM(I123*'Data Links'!$B$13)</f>
        <v>0.46812960000000003</v>
      </c>
      <c r="J125" s="66">
        <f>SUM(J123*'Data Links'!$B$13)</f>
        <v>0.46812960000000003</v>
      </c>
      <c r="K125" s="66">
        <f>SUM(K123*'Data Links'!$B$13)</f>
        <v>0.46812960000000003</v>
      </c>
      <c r="L125" s="66">
        <f>SUM(L123*'Data Links'!$B$13)</f>
        <v>0.46812960000000003</v>
      </c>
      <c r="M125" s="66">
        <f>SUM(M123*'Data Links'!$B$13)</f>
        <v>0.46812960000000003</v>
      </c>
      <c r="N125" s="66">
        <f>SUM(N123*'Data Links'!$B$13)</f>
        <v>0.46812960000000003</v>
      </c>
      <c r="O125" s="84"/>
    </row>
    <row r="126" spans="1:15" x14ac:dyDescent="0.25">
      <c r="A126" s="59" t="s">
        <v>190</v>
      </c>
      <c r="B126" s="60"/>
      <c r="C126" s="66">
        <f>SUM(C122*'Data Links'!$B$8)</f>
        <v>0.27091799999999999</v>
      </c>
      <c r="D126" s="66">
        <f>SUM(D122*'Data Links'!$B$8)</f>
        <v>0.27091799999999999</v>
      </c>
      <c r="E126" s="66">
        <f>SUM(E122*'Data Links'!$B$8)</f>
        <v>0.27091799999999999</v>
      </c>
      <c r="F126" s="66">
        <f>SUM(F122*'Data Links'!$B$8)</f>
        <v>0.27091799999999999</v>
      </c>
      <c r="G126" s="66">
        <f>SUM(G122*'Data Links'!$B$8)</f>
        <v>0.27091799999999999</v>
      </c>
      <c r="H126" s="66">
        <f>SUM(H122*'Data Links'!$B$8)</f>
        <v>0.27091799999999999</v>
      </c>
      <c r="I126" s="66">
        <f>SUM(I122*'Data Links'!$B$8)</f>
        <v>0.27091799999999999</v>
      </c>
      <c r="J126" s="66">
        <f>SUM(J122*'Data Links'!$B$8)</f>
        <v>0.27091799999999999</v>
      </c>
      <c r="K126" s="66">
        <f>SUM(K122*'Data Links'!$B$8)</f>
        <v>0.27091799999999999</v>
      </c>
      <c r="L126" s="66">
        <f>SUM(L122*'Data Links'!$B$8)</f>
        <v>0.27091799999999999</v>
      </c>
      <c r="M126" s="66">
        <f>SUM(M122*'Data Links'!$B$8)</f>
        <v>0.27091799999999999</v>
      </c>
      <c r="N126" s="66">
        <f>SUM(N122*'Data Links'!$B$8)</f>
        <v>0.27091799999999999</v>
      </c>
      <c r="O126" s="84"/>
    </row>
    <row r="127" spans="1:15" x14ac:dyDescent="0.25">
      <c r="A127" s="59" t="s">
        <v>191</v>
      </c>
      <c r="B127" s="60"/>
      <c r="C127" s="66">
        <f>SUM(C121*'Data Links'!$B$26)</f>
        <v>8.5291999999999994</v>
      </c>
      <c r="D127" s="66">
        <f>SUM(D121*'Data Links'!$B$26)</f>
        <v>8.5291999999999994</v>
      </c>
      <c r="E127" s="66">
        <f>SUM(E121*'Data Links'!$B$26)</f>
        <v>8.5291999999999994</v>
      </c>
      <c r="F127" s="66">
        <f>SUM(F121*'Data Links'!$B$26)</f>
        <v>8.5291999999999994</v>
      </c>
      <c r="G127" s="66">
        <f>SUM(G121*'Data Links'!$B$26)</f>
        <v>8.5291999999999994</v>
      </c>
      <c r="H127" s="66">
        <f>SUM(H121*'Data Links'!$B$26)</f>
        <v>8.5291999999999994</v>
      </c>
      <c r="I127" s="66">
        <f>SUM(I121*'Data Links'!$B$26)</f>
        <v>8.5291999999999994</v>
      </c>
      <c r="J127" s="66">
        <f>SUM(J121*'Data Links'!$B$26)</f>
        <v>8.5291999999999994</v>
      </c>
      <c r="K127" s="66">
        <f>SUM(K121*'Data Links'!$B$26)</f>
        <v>8.5291999999999994</v>
      </c>
      <c r="L127" s="66">
        <f>SUM(L121*'Data Links'!$B$26)</f>
        <v>8.5291999999999994</v>
      </c>
      <c r="M127" s="66">
        <f>SUM(M121*'Data Links'!$B$26)</f>
        <v>8.5291999999999994</v>
      </c>
      <c r="N127" s="66">
        <f>SUM(N121*'Data Links'!$B$26)</f>
        <v>8.5291999999999994</v>
      </c>
      <c r="O127" s="84"/>
    </row>
    <row r="128" spans="1:15" x14ac:dyDescent="0.25">
      <c r="A128" s="59" t="s">
        <v>192</v>
      </c>
      <c r="B128" s="60"/>
      <c r="C128" s="66">
        <f>SUM(C123*'Data Links'!$B$17)</f>
        <v>2.3406480000000003</v>
      </c>
      <c r="D128" s="66">
        <f>SUM(D123*'Data Links'!$B$17)</f>
        <v>2.3406480000000003</v>
      </c>
      <c r="E128" s="66">
        <f>SUM(E123*'Data Links'!$B$17)</f>
        <v>2.3406480000000003</v>
      </c>
      <c r="F128" s="66">
        <f>SUM(F123*'Data Links'!$B$17)</f>
        <v>2.3406480000000003</v>
      </c>
      <c r="G128" s="66">
        <f>SUM(G123*'Data Links'!$B$17)</f>
        <v>2.3406480000000003</v>
      </c>
      <c r="H128" s="66">
        <f>SUM(H123*'Data Links'!$B$17)</f>
        <v>2.3406480000000003</v>
      </c>
      <c r="I128" s="66">
        <f>SUM(I123*'Data Links'!$B$17)</f>
        <v>2.3406480000000003</v>
      </c>
      <c r="J128" s="66">
        <f>SUM(J123*'Data Links'!$B$17)</f>
        <v>2.3406480000000003</v>
      </c>
      <c r="K128" s="66">
        <f>SUM(K123*'Data Links'!$B$17)</f>
        <v>2.3406480000000003</v>
      </c>
      <c r="L128" s="66">
        <f>SUM(L123*'Data Links'!$B$17)</f>
        <v>2.3406480000000003</v>
      </c>
      <c r="M128" s="66">
        <f>SUM(M123*'Data Links'!$B$17)</f>
        <v>2.3406480000000003</v>
      </c>
      <c r="N128" s="66">
        <f>SUM(N123*'Data Links'!$B$17)</f>
        <v>2.3406480000000003</v>
      </c>
      <c r="O128" s="140">
        <f>SUM(C124:N128)</f>
        <v>210.9305759999998</v>
      </c>
    </row>
    <row r="129" spans="1:15" x14ac:dyDescent="0.25">
      <c r="A129" s="58" t="s">
        <v>144</v>
      </c>
      <c r="B129" s="60"/>
      <c r="C129" s="60">
        <f t="shared" ref="C129:N129" si="19">SUM(C123:C128)</f>
        <v>95.599148</v>
      </c>
      <c r="D129" s="60">
        <f t="shared" si="19"/>
        <v>95.599148</v>
      </c>
      <c r="E129" s="60">
        <f t="shared" si="19"/>
        <v>95.599148</v>
      </c>
      <c r="F129" s="60">
        <f t="shared" si="19"/>
        <v>95.599148</v>
      </c>
      <c r="G129" s="60">
        <f t="shared" si="19"/>
        <v>95.599148</v>
      </c>
      <c r="H129" s="60">
        <f t="shared" si="19"/>
        <v>95.599148</v>
      </c>
      <c r="I129" s="60">
        <f t="shared" si="19"/>
        <v>95.599148</v>
      </c>
      <c r="J129" s="60">
        <f t="shared" si="19"/>
        <v>95.599148</v>
      </c>
      <c r="K129" s="60">
        <f t="shared" si="19"/>
        <v>95.599148</v>
      </c>
      <c r="L129" s="60">
        <f t="shared" si="19"/>
        <v>95.599148</v>
      </c>
      <c r="M129" s="60">
        <f t="shared" si="19"/>
        <v>95.599148</v>
      </c>
      <c r="N129" s="60">
        <f t="shared" si="19"/>
        <v>95.599148</v>
      </c>
      <c r="O129" s="58"/>
    </row>
    <row r="130" spans="1:15" x14ac:dyDescent="0.25">
      <c r="A130" s="59"/>
      <c r="B130" s="60"/>
      <c r="C130" s="60"/>
      <c r="D130" s="66"/>
      <c r="E130" s="66"/>
      <c r="F130" s="66"/>
      <c r="G130" s="66"/>
      <c r="H130" s="66"/>
      <c r="I130" s="66"/>
      <c r="J130" s="66"/>
      <c r="K130" s="66"/>
      <c r="L130" s="66"/>
      <c r="M130" s="66"/>
      <c r="N130" s="66"/>
      <c r="O130" s="84"/>
    </row>
    <row r="131" spans="1:15" hidden="1" x14ac:dyDescent="0.25">
      <c r="A131" s="59"/>
      <c r="B131" s="60"/>
      <c r="C131" s="89" t="str">
        <f>C118</f>
        <v>January</v>
      </c>
      <c r="D131" s="89" t="str">
        <f t="shared" ref="D131:N131" si="20">D118</f>
        <v>February</v>
      </c>
      <c r="E131" s="89" t="str">
        <f t="shared" si="20"/>
        <v>March</v>
      </c>
      <c r="F131" s="89" t="str">
        <f t="shared" si="20"/>
        <v>April</v>
      </c>
      <c r="G131" s="89" t="str">
        <f t="shared" si="20"/>
        <v>May</v>
      </c>
      <c r="H131" s="89" t="str">
        <f t="shared" si="20"/>
        <v>June</v>
      </c>
      <c r="I131" s="89" t="str">
        <f t="shared" si="20"/>
        <v>July</v>
      </c>
      <c r="J131" s="89" t="str">
        <f t="shared" si="20"/>
        <v>August</v>
      </c>
      <c r="K131" s="89" t="str">
        <f t="shared" si="20"/>
        <v>September</v>
      </c>
      <c r="L131" s="89" t="str">
        <f t="shared" si="20"/>
        <v>October</v>
      </c>
      <c r="M131" s="89" t="str">
        <f t="shared" si="20"/>
        <v>November</v>
      </c>
      <c r="N131" s="89" t="str">
        <f t="shared" si="20"/>
        <v>December</v>
      </c>
      <c r="O131" s="84"/>
    </row>
    <row r="132" spans="1:15" hidden="1" x14ac:dyDescent="0.25">
      <c r="A132" s="59"/>
      <c r="B132" s="60"/>
      <c r="C132" s="89">
        <f t="shared" ref="C132:N133" si="21">C119</f>
        <v>30</v>
      </c>
      <c r="D132" s="89">
        <f t="shared" si="21"/>
        <v>31</v>
      </c>
      <c r="E132" s="89">
        <f t="shared" si="21"/>
        <v>30</v>
      </c>
      <c r="F132" s="89">
        <f t="shared" si="21"/>
        <v>31</v>
      </c>
      <c r="G132" s="89">
        <f t="shared" si="21"/>
        <v>31</v>
      </c>
      <c r="H132" s="89">
        <f t="shared" si="21"/>
        <v>30</v>
      </c>
      <c r="I132" s="89">
        <f t="shared" si="21"/>
        <v>31</v>
      </c>
      <c r="J132" s="89">
        <f t="shared" si="21"/>
        <v>30</v>
      </c>
      <c r="K132" s="89">
        <f t="shared" si="21"/>
        <v>31</v>
      </c>
      <c r="L132" s="89">
        <f t="shared" si="21"/>
        <v>31</v>
      </c>
      <c r="M132" s="89">
        <f t="shared" si="21"/>
        <v>28</v>
      </c>
      <c r="N132" s="89">
        <f t="shared" si="21"/>
        <v>31</v>
      </c>
      <c r="O132" s="84"/>
    </row>
    <row r="133" spans="1:15" hidden="1" x14ac:dyDescent="0.25">
      <c r="A133" s="59"/>
      <c r="B133" s="89" t="s">
        <v>185</v>
      </c>
      <c r="C133" s="53">
        <f>C120</f>
        <v>0</v>
      </c>
      <c r="D133" s="78">
        <f t="shared" si="21"/>
        <v>1</v>
      </c>
      <c r="E133" s="78">
        <f t="shared" si="21"/>
        <v>0</v>
      </c>
      <c r="F133" s="78">
        <f t="shared" si="21"/>
        <v>1</v>
      </c>
      <c r="G133" s="78">
        <f t="shared" si="21"/>
        <v>0</v>
      </c>
      <c r="H133" s="78">
        <f t="shared" si="21"/>
        <v>1</v>
      </c>
      <c r="I133" s="78">
        <f t="shared" si="21"/>
        <v>1</v>
      </c>
      <c r="J133" s="78">
        <f t="shared" si="21"/>
        <v>1</v>
      </c>
      <c r="K133" s="78">
        <f t="shared" si="21"/>
        <v>1</v>
      </c>
      <c r="L133" s="78">
        <f t="shared" si="21"/>
        <v>2</v>
      </c>
      <c r="M133" s="78">
        <f t="shared" si="21"/>
        <v>1</v>
      </c>
      <c r="N133" s="78">
        <f t="shared" si="21"/>
        <v>0</v>
      </c>
      <c r="O133" s="84"/>
    </row>
    <row r="134" spans="1:15" hidden="1" x14ac:dyDescent="0.25">
      <c r="A134" s="59"/>
      <c r="B134" s="89" t="s">
        <v>44</v>
      </c>
      <c r="C134" s="49"/>
      <c r="D134" s="49"/>
      <c r="E134" s="49"/>
      <c r="F134" s="49"/>
      <c r="G134" s="49"/>
      <c r="H134" s="49"/>
      <c r="I134" s="49"/>
      <c r="J134" s="49"/>
      <c r="K134" s="49"/>
      <c r="L134" s="49"/>
      <c r="M134" s="49"/>
      <c r="N134" s="49"/>
      <c r="O134" s="84"/>
    </row>
    <row r="135" spans="1:15" hidden="1" x14ac:dyDescent="0.25">
      <c r="A135" s="59"/>
      <c r="B135" s="89" t="s">
        <v>186</v>
      </c>
      <c r="C135" s="53">
        <f>SUM(174*C134)</f>
        <v>0</v>
      </c>
      <c r="D135" s="53">
        <f t="shared" ref="D135:N135" si="22">SUM(174*D134)</f>
        <v>0</v>
      </c>
      <c r="E135" s="53">
        <f t="shared" si="22"/>
        <v>0</v>
      </c>
      <c r="F135" s="53">
        <f t="shared" si="22"/>
        <v>0</v>
      </c>
      <c r="G135" s="53">
        <f t="shared" si="22"/>
        <v>0</v>
      </c>
      <c r="H135" s="53">
        <f t="shared" si="22"/>
        <v>0</v>
      </c>
      <c r="I135" s="53">
        <f t="shared" si="22"/>
        <v>0</v>
      </c>
      <c r="J135" s="53">
        <f t="shared" si="22"/>
        <v>0</v>
      </c>
      <c r="K135" s="53">
        <f t="shared" si="22"/>
        <v>0</v>
      </c>
      <c r="L135" s="53">
        <f t="shared" si="22"/>
        <v>0</v>
      </c>
      <c r="M135" s="53">
        <f t="shared" si="22"/>
        <v>0</v>
      </c>
      <c r="N135" s="53">
        <f t="shared" si="22"/>
        <v>0</v>
      </c>
      <c r="O135" s="84"/>
    </row>
    <row r="136" spans="1:15" hidden="1" x14ac:dyDescent="0.25">
      <c r="A136" s="59" t="s">
        <v>349</v>
      </c>
      <c r="B136" s="78" t="s">
        <v>348</v>
      </c>
      <c r="C136" s="66">
        <f>SUM(C135*$B$137)</f>
        <v>0</v>
      </c>
      <c r="D136" s="66">
        <f t="shared" ref="D136:N136" si="23">SUM(D135*$B$137)</f>
        <v>0</v>
      </c>
      <c r="E136" s="66">
        <f t="shared" si="23"/>
        <v>0</v>
      </c>
      <c r="F136" s="66">
        <f t="shared" si="23"/>
        <v>0</v>
      </c>
      <c r="G136" s="66">
        <f t="shared" si="23"/>
        <v>0</v>
      </c>
      <c r="H136" s="66">
        <f t="shared" si="23"/>
        <v>0</v>
      </c>
      <c r="I136" s="66">
        <f t="shared" si="23"/>
        <v>0</v>
      </c>
      <c r="J136" s="66">
        <f t="shared" si="23"/>
        <v>0</v>
      </c>
      <c r="K136" s="66">
        <f t="shared" si="23"/>
        <v>0</v>
      </c>
      <c r="L136" s="66">
        <f t="shared" si="23"/>
        <v>0</v>
      </c>
      <c r="M136" s="66">
        <f t="shared" si="23"/>
        <v>0</v>
      </c>
      <c r="N136" s="66">
        <f t="shared" si="23"/>
        <v>0</v>
      </c>
      <c r="O136" s="140">
        <f>SUM(C136:N136)</f>
        <v>0</v>
      </c>
    </row>
    <row r="137" spans="1:15" hidden="1" x14ac:dyDescent="0.25">
      <c r="A137" s="59" t="s">
        <v>188</v>
      </c>
      <c r="B137" s="74">
        <v>15.75</v>
      </c>
      <c r="C137" s="66">
        <f>SUM(C136)*'Data Links'!$B$15</f>
        <v>0</v>
      </c>
      <c r="D137" s="66">
        <f>SUM(D136)*'Data Links'!$B$15</f>
        <v>0</v>
      </c>
      <c r="E137" s="66">
        <f>SUM(E136)*'Data Links'!$B$15</f>
        <v>0</v>
      </c>
      <c r="F137" s="66">
        <f>SUM(F136)*'Data Links'!$B$15</f>
        <v>0</v>
      </c>
      <c r="G137" s="66">
        <f>SUM(G136)*'Data Links'!$B$15</f>
        <v>0</v>
      </c>
      <c r="H137" s="66">
        <f>SUM(H136)*'Data Links'!$B$15</f>
        <v>0</v>
      </c>
      <c r="I137" s="66">
        <f>SUM(I136)*'Data Links'!$B$15</f>
        <v>0</v>
      </c>
      <c r="J137" s="66">
        <f>SUM(J136)*'Data Links'!$B$15</f>
        <v>0</v>
      </c>
      <c r="K137" s="66">
        <f>SUM(K136)*'Data Links'!$B$15</f>
        <v>0</v>
      </c>
      <c r="L137" s="66">
        <f>SUM(L136)*'Data Links'!$B$15</f>
        <v>0</v>
      </c>
      <c r="M137" s="66">
        <f>SUM(M136)*'Data Links'!$B$15</f>
        <v>0</v>
      </c>
      <c r="N137" s="66">
        <f>SUM(N136)*'Data Links'!$B$15</f>
        <v>0</v>
      </c>
      <c r="O137" s="84"/>
    </row>
    <row r="138" spans="1:15" hidden="1" x14ac:dyDescent="0.25">
      <c r="A138" s="59" t="s">
        <v>189</v>
      </c>
      <c r="B138" s="74">
        <v>14.66</v>
      </c>
      <c r="C138" s="66">
        <f>SUM(C136*'Data Links'!$B$13)</f>
        <v>0</v>
      </c>
      <c r="D138" s="66">
        <f>SUM(D136*'Data Links'!$B$13)</f>
        <v>0</v>
      </c>
      <c r="E138" s="66">
        <f>SUM(E136*'Data Links'!$B$13)</f>
        <v>0</v>
      </c>
      <c r="F138" s="66">
        <f>SUM(F136*'Data Links'!$B$13)</f>
        <v>0</v>
      </c>
      <c r="G138" s="66">
        <f>SUM(G136*'Data Links'!$B$13)</f>
        <v>0</v>
      </c>
      <c r="H138" s="66">
        <f>SUM(H136*'Data Links'!$B$13)</f>
        <v>0</v>
      </c>
      <c r="I138" s="66">
        <f>SUM(I136*'Data Links'!$B$13)</f>
        <v>0</v>
      </c>
      <c r="J138" s="66">
        <f>SUM(J136*'Data Links'!$B$13)</f>
        <v>0</v>
      </c>
      <c r="K138" s="66">
        <f>SUM(K136*'Data Links'!$B$13)</f>
        <v>0</v>
      </c>
      <c r="L138" s="66">
        <f>SUM(L136*'Data Links'!$B$13)</f>
        <v>0</v>
      </c>
      <c r="M138" s="66">
        <f>SUM(M136*'Data Links'!$B$13)</f>
        <v>0</v>
      </c>
      <c r="N138" s="66">
        <f>SUM(N136*'Data Links'!$B$13)</f>
        <v>0</v>
      </c>
      <c r="O138" s="84"/>
    </row>
    <row r="139" spans="1:15" hidden="1" x14ac:dyDescent="0.25">
      <c r="A139" s="59" t="s">
        <v>190</v>
      </c>
      <c r="B139" s="60"/>
      <c r="C139" s="66">
        <f>SUM(C135*'Data Links'!$B$8)</f>
        <v>0</v>
      </c>
      <c r="D139" s="66">
        <f>SUM(D135*'Data Links'!$B$8)</f>
        <v>0</v>
      </c>
      <c r="E139" s="66">
        <f>SUM(E135*'Data Links'!$B$8)</f>
        <v>0</v>
      </c>
      <c r="F139" s="66">
        <f>SUM(F135*'Data Links'!$B$8)</f>
        <v>0</v>
      </c>
      <c r="G139" s="66">
        <f>SUM(G135*'Data Links'!$B$8)</f>
        <v>0</v>
      </c>
      <c r="H139" s="66">
        <f>SUM(H135*'Data Links'!$B$8)</f>
        <v>0</v>
      </c>
      <c r="I139" s="66">
        <f>SUM(I135*'Data Links'!$B$8)</f>
        <v>0</v>
      </c>
      <c r="J139" s="66">
        <f>SUM(J135*'Data Links'!$B$8)</f>
        <v>0</v>
      </c>
      <c r="K139" s="66">
        <f>SUM(K135*'Data Links'!$B$8)</f>
        <v>0</v>
      </c>
      <c r="L139" s="66">
        <f>SUM(L135*'Data Links'!$B$8)</f>
        <v>0</v>
      </c>
      <c r="M139" s="66">
        <f>SUM(M135*'Data Links'!$B$8)</f>
        <v>0</v>
      </c>
      <c r="N139" s="66">
        <f>SUM(N135*'Data Links'!$B$8)</f>
        <v>0</v>
      </c>
      <c r="O139" s="84"/>
    </row>
    <row r="140" spans="1:15" hidden="1" x14ac:dyDescent="0.25">
      <c r="A140" s="59" t="s">
        <v>191</v>
      </c>
      <c r="B140" s="60"/>
      <c r="C140" s="66">
        <f>SUM(C134*'Data Links'!$B$25)</f>
        <v>0</v>
      </c>
      <c r="D140" s="66">
        <f>SUM(D134*'Data Links'!$B$25)</f>
        <v>0</v>
      </c>
      <c r="E140" s="66">
        <f>SUM(E134*'Data Links'!$B$25)</f>
        <v>0</v>
      </c>
      <c r="F140" s="66">
        <f>SUM(F134*'Data Links'!$B$25)</f>
        <v>0</v>
      </c>
      <c r="G140" s="66">
        <f>SUM(G134*'Data Links'!$B$25)</f>
        <v>0</v>
      </c>
      <c r="H140" s="66">
        <f>SUM(H134*'Data Links'!$B$25)</f>
        <v>0</v>
      </c>
      <c r="I140" s="66">
        <f>SUM(I134*'Data Links'!$B$25)</f>
        <v>0</v>
      </c>
      <c r="J140" s="66">
        <f>SUM(J134*'Data Links'!$B$25)</f>
        <v>0</v>
      </c>
      <c r="K140" s="66">
        <f>SUM(K134*'Data Links'!$B$25)</f>
        <v>0</v>
      </c>
      <c r="L140" s="66">
        <f>SUM(L134*'Data Links'!$B$25)</f>
        <v>0</v>
      </c>
      <c r="M140" s="66">
        <f>SUM(M134*'Data Links'!$B$25)</f>
        <v>0</v>
      </c>
      <c r="N140" s="66">
        <f>SUM(N134*'Data Links'!$B$25)</f>
        <v>0</v>
      </c>
      <c r="O140" s="84"/>
    </row>
    <row r="141" spans="1:15" hidden="1" x14ac:dyDescent="0.25">
      <c r="A141" s="59" t="s">
        <v>192</v>
      </c>
      <c r="B141" s="60"/>
      <c r="C141" s="66">
        <f>SUM(C136*'Data Links'!$B$17)</f>
        <v>0</v>
      </c>
      <c r="D141" s="66">
        <f>SUM(D136*'Data Links'!$B$17)</f>
        <v>0</v>
      </c>
      <c r="E141" s="66">
        <f>SUM(E136*'Data Links'!$B$17)</f>
        <v>0</v>
      </c>
      <c r="F141" s="66">
        <f>SUM(F136*'Data Links'!$B$17)</f>
        <v>0</v>
      </c>
      <c r="G141" s="66">
        <f>SUM(G136*'Data Links'!$B$17)</f>
        <v>0</v>
      </c>
      <c r="H141" s="66">
        <f>SUM(H136*'Data Links'!$B$17)</f>
        <v>0</v>
      </c>
      <c r="I141" s="66">
        <f>SUM(I136*'Data Links'!$B$17)</f>
        <v>0</v>
      </c>
      <c r="J141" s="66">
        <f>SUM(J136*'Data Links'!$B$17)</f>
        <v>0</v>
      </c>
      <c r="K141" s="66">
        <f>SUM(K136*'Data Links'!$B$17)</f>
        <v>0</v>
      </c>
      <c r="L141" s="66">
        <f>SUM(L136*'Data Links'!$B$17)</f>
        <v>0</v>
      </c>
      <c r="M141" s="66">
        <f>SUM(M136*'Data Links'!$B$17)</f>
        <v>0</v>
      </c>
      <c r="N141" s="66">
        <f>SUM(N136*'Data Links'!$B$17)</f>
        <v>0</v>
      </c>
      <c r="O141" s="140">
        <f>SUM(C137:N141)</f>
        <v>0</v>
      </c>
    </row>
    <row r="142" spans="1:15" hidden="1" x14ac:dyDescent="0.25">
      <c r="A142" s="58" t="s">
        <v>144</v>
      </c>
      <c r="B142" s="60"/>
      <c r="C142" s="60">
        <f t="shared" ref="C142:N142" si="24">SUM(C136:C141)</f>
        <v>0</v>
      </c>
      <c r="D142" s="60">
        <f t="shared" si="24"/>
        <v>0</v>
      </c>
      <c r="E142" s="60">
        <f t="shared" si="24"/>
        <v>0</v>
      </c>
      <c r="F142" s="60">
        <f t="shared" si="24"/>
        <v>0</v>
      </c>
      <c r="G142" s="60">
        <f t="shared" si="24"/>
        <v>0</v>
      </c>
      <c r="H142" s="60">
        <f t="shared" si="24"/>
        <v>0</v>
      </c>
      <c r="I142" s="60">
        <f t="shared" si="24"/>
        <v>0</v>
      </c>
      <c r="J142" s="60">
        <f t="shared" si="24"/>
        <v>0</v>
      </c>
      <c r="K142" s="60">
        <f t="shared" si="24"/>
        <v>0</v>
      </c>
      <c r="L142" s="60">
        <f t="shared" si="24"/>
        <v>0</v>
      </c>
      <c r="M142" s="60">
        <f t="shared" si="24"/>
        <v>0</v>
      </c>
      <c r="N142" s="60">
        <f t="shared" si="24"/>
        <v>0</v>
      </c>
      <c r="O142" s="58"/>
    </row>
    <row r="143" spans="1:15" hidden="1" x14ac:dyDescent="0.25">
      <c r="A143" s="59"/>
      <c r="B143" s="60"/>
      <c r="C143" s="60"/>
      <c r="D143" s="66"/>
      <c r="E143" s="66"/>
      <c r="F143" s="66"/>
      <c r="G143" s="66"/>
      <c r="H143" s="66"/>
      <c r="I143" s="66"/>
      <c r="J143" s="66"/>
      <c r="K143" s="66"/>
      <c r="L143" s="66"/>
      <c r="M143" s="66"/>
      <c r="N143" s="66"/>
      <c r="O143" s="84"/>
    </row>
    <row r="144" spans="1:15" hidden="1" x14ac:dyDescent="0.25">
      <c r="A144" s="59"/>
      <c r="B144" s="60"/>
      <c r="C144" s="89" t="str">
        <f>C131</f>
        <v>January</v>
      </c>
      <c r="D144" s="89" t="str">
        <f t="shared" ref="D144:N144" si="25">D131</f>
        <v>February</v>
      </c>
      <c r="E144" s="89" t="str">
        <f t="shared" si="25"/>
        <v>March</v>
      </c>
      <c r="F144" s="89" t="str">
        <f t="shared" si="25"/>
        <v>April</v>
      </c>
      <c r="G144" s="89" t="str">
        <f t="shared" si="25"/>
        <v>May</v>
      </c>
      <c r="H144" s="89" t="str">
        <f t="shared" si="25"/>
        <v>June</v>
      </c>
      <c r="I144" s="89" t="str">
        <f t="shared" si="25"/>
        <v>July</v>
      </c>
      <c r="J144" s="89" t="str">
        <f t="shared" si="25"/>
        <v>August</v>
      </c>
      <c r="K144" s="89" t="str">
        <f t="shared" si="25"/>
        <v>September</v>
      </c>
      <c r="L144" s="89" t="str">
        <f t="shared" si="25"/>
        <v>October</v>
      </c>
      <c r="M144" s="89" t="str">
        <f t="shared" si="25"/>
        <v>November</v>
      </c>
      <c r="N144" s="89" t="str">
        <f t="shared" si="25"/>
        <v>December</v>
      </c>
      <c r="O144" s="84"/>
    </row>
    <row r="145" spans="1:15" hidden="1" x14ac:dyDescent="0.25">
      <c r="A145" s="59"/>
      <c r="B145" s="60"/>
      <c r="C145" s="89">
        <f t="shared" ref="C145:N146" si="26">C132</f>
        <v>30</v>
      </c>
      <c r="D145" s="89">
        <f t="shared" si="26"/>
        <v>31</v>
      </c>
      <c r="E145" s="89">
        <f t="shared" si="26"/>
        <v>30</v>
      </c>
      <c r="F145" s="89">
        <f t="shared" si="26"/>
        <v>31</v>
      </c>
      <c r="G145" s="89">
        <f t="shared" si="26"/>
        <v>31</v>
      </c>
      <c r="H145" s="89">
        <f t="shared" si="26"/>
        <v>30</v>
      </c>
      <c r="I145" s="89">
        <f t="shared" si="26"/>
        <v>31</v>
      </c>
      <c r="J145" s="89">
        <f t="shared" si="26"/>
        <v>30</v>
      </c>
      <c r="K145" s="89">
        <f t="shared" si="26"/>
        <v>31</v>
      </c>
      <c r="L145" s="89">
        <f t="shared" si="26"/>
        <v>31</v>
      </c>
      <c r="M145" s="89">
        <f t="shared" si="26"/>
        <v>28</v>
      </c>
      <c r="N145" s="89">
        <f t="shared" si="26"/>
        <v>31</v>
      </c>
      <c r="O145" s="84"/>
    </row>
    <row r="146" spans="1:15" hidden="1" x14ac:dyDescent="0.25">
      <c r="A146" s="59"/>
      <c r="B146" s="89" t="s">
        <v>185</v>
      </c>
      <c r="C146" s="78">
        <f t="shared" si="26"/>
        <v>0</v>
      </c>
      <c r="D146" s="78">
        <f t="shared" si="26"/>
        <v>1</v>
      </c>
      <c r="E146" s="78">
        <f t="shared" si="26"/>
        <v>0</v>
      </c>
      <c r="F146" s="78">
        <f t="shared" si="26"/>
        <v>1</v>
      </c>
      <c r="G146" s="78">
        <f t="shared" si="26"/>
        <v>0</v>
      </c>
      <c r="H146" s="78">
        <f t="shared" si="26"/>
        <v>1</v>
      </c>
      <c r="I146" s="78">
        <f t="shared" si="26"/>
        <v>1</v>
      </c>
      <c r="J146" s="78">
        <f t="shared" si="26"/>
        <v>1</v>
      </c>
      <c r="K146" s="78">
        <f t="shared" si="26"/>
        <v>1</v>
      </c>
      <c r="L146" s="78">
        <f t="shared" si="26"/>
        <v>2</v>
      </c>
      <c r="M146" s="78">
        <f t="shared" si="26"/>
        <v>1</v>
      </c>
      <c r="N146" s="78">
        <f t="shared" si="26"/>
        <v>0</v>
      </c>
      <c r="O146" s="84"/>
    </row>
    <row r="147" spans="1:15" hidden="1" x14ac:dyDescent="0.25">
      <c r="A147" s="59"/>
      <c r="B147" s="89" t="s">
        <v>44</v>
      </c>
      <c r="C147" s="49">
        <f>C134</f>
        <v>0</v>
      </c>
      <c r="D147" s="49">
        <f t="shared" ref="D147:N147" si="27">D134</f>
        <v>0</v>
      </c>
      <c r="E147" s="49">
        <f t="shared" si="27"/>
        <v>0</v>
      </c>
      <c r="F147" s="49">
        <f t="shared" si="27"/>
        <v>0</v>
      </c>
      <c r="G147" s="49">
        <f t="shared" si="27"/>
        <v>0</v>
      </c>
      <c r="H147" s="49">
        <f t="shared" si="27"/>
        <v>0</v>
      </c>
      <c r="I147" s="49">
        <f t="shared" si="27"/>
        <v>0</v>
      </c>
      <c r="J147" s="49">
        <f t="shared" si="27"/>
        <v>0</v>
      </c>
      <c r="K147" s="49">
        <f t="shared" si="27"/>
        <v>0</v>
      </c>
      <c r="L147" s="49">
        <f t="shared" si="27"/>
        <v>0</v>
      </c>
      <c r="M147" s="49">
        <f t="shared" si="27"/>
        <v>0</v>
      </c>
      <c r="N147" s="49">
        <f t="shared" si="27"/>
        <v>0</v>
      </c>
      <c r="O147" s="84"/>
    </row>
    <row r="148" spans="1:15" hidden="1" x14ac:dyDescent="0.25">
      <c r="A148" s="59"/>
      <c r="B148" s="89" t="s">
        <v>186</v>
      </c>
      <c r="C148" s="53">
        <f>SUM(174*C147)</f>
        <v>0</v>
      </c>
      <c r="D148" s="53">
        <f t="shared" ref="D148:N148" si="28">SUM(174*D147)</f>
        <v>0</v>
      </c>
      <c r="E148" s="53">
        <f t="shared" si="28"/>
        <v>0</v>
      </c>
      <c r="F148" s="53">
        <f t="shared" si="28"/>
        <v>0</v>
      </c>
      <c r="G148" s="53">
        <f t="shared" si="28"/>
        <v>0</v>
      </c>
      <c r="H148" s="53">
        <f t="shared" si="28"/>
        <v>0</v>
      </c>
      <c r="I148" s="53">
        <f t="shared" si="28"/>
        <v>0</v>
      </c>
      <c r="J148" s="53">
        <f t="shared" si="28"/>
        <v>0</v>
      </c>
      <c r="K148" s="53">
        <f t="shared" si="28"/>
        <v>0</v>
      </c>
      <c r="L148" s="53">
        <f t="shared" si="28"/>
        <v>0</v>
      </c>
      <c r="M148" s="53">
        <f t="shared" si="28"/>
        <v>0</v>
      </c>
      <c r="N148" s="53">
        <f t="shared" si="28"/>
        <v>0</v>
      </c>
      <c r="O148" s="84"/>
    </row>
    <row r="149" spans="1:15" hidden="1" x14ac:dyDescent="0.25">
      <c r="A149" s="59" t="s">
        <v>557</v>
      </c>
      <c r="B149" s="78" t="s">
        <v>187</v>
      </c>
      <c r="C149" s="66">
        <f>SUM(C148*$B$150)</f>
        <v>0</v>
      </c>
      <c r="D149" s="66">
        <f t="shared" ref="D149:N149" si="29">SUM(D148*$B$150)</f>
        <v>0</v>
      </c>
      <c r="E149" s="66">
        <f t="shared" si="29"/>
        <v>0</v>
      </c>
      <c r="F149" s="66">
        <f t="shared" si="29"/>
        <v>0</v>
      </c>
      <c r="G149" s="66">
        <f t="shared" si="29"/>
        <v>0</v>
      </c>
      <c r="H149" s="66">
        <f t="shared" si="29"/>
        <v>0</v>
      </c>
      <c r="I149" s="66">
        <f t="shared" si="29"/>
        <v>0</v>
      </c>
      <c r="J149" s="66">
        <f t="shared" si="29"/>
        <v>0</v>
      </c>
      <c r="K149" s="66">
        <f t="shared" si="29"/>
        <v>0</v>
      </c>
      <c r="L149" s="66">
        <f t="shared" si="29"/>
        <v>0</v>
      </c>
      <c r="M149" s="66">
        <f t="shared" si="29"/>
        <v>0</v>
      </c>
      <c r="N149" s="66">
        <f t="shared" si="29"/>
        <v>0</v>
      </c>
      <c r="O149" s="140"/>
    </row>
    <row r="150" spans="1:15" hidden="1" x14ac:dyDescent="0.25">
      <c r="A150" s="59" t="s">
        <v>188</v>
      </c>
      <c r="B150" s="74">
        <v>18</v>
      </c>
      <c r="C150" s="66">
        <f>SUM(C149)*'Data Links'!$B$15</f>
        <v>0</v>
      </c>
      <c r="D150" s="66">
        <f>SUM(D149)*'Data Links'!$B$15</f>
        <v>0</v>
      </c>
      <c r="E150" s="66">
        <f>SUM(E149)*'Data Links'!$B$15</f>
        <v>0</v>
      </c>
      <c r="F150" s="66">
        <f>SUM(F149)*'Data Links'!$B$15</f>
        <v>0</v>
      </c>
      <c r="G150" s="66">
        <f>SUM(G149)*'Data Links'!$B$15</f>
        <v>0</v>
      </c>
      <c r="H150" s="66">
        <f>SUM(H149)*'Data Links'!$B$15</f>
        <v>0</v>
      </c>
      <c r="I150" s="66">
        <f>SUM(I149)*'Data Links'!$B$15</f>
        <v>0</v>
      </c>
      <c r="J150" s="66">
        <f>SUM(J149)*'Data Links'!$B$15</f>
        <v>0</v>
      </c>
      <c r="K150" s="66">
        <f>SUM(K149)*'Data Links'!$B$15</f>
        <v>0</v>
      </c>
      <c r="L150" s="66">
        <f>SUM(L149)*'Data Links'!$B$15</f>
        <v>0</v>
      </c>
      <c r="M150" s="66">
        <f>SUM(M149)*'Data Links'!$B$15</f>
        <v>0</v>
      </c>
      <c r="N150" s="66">
        <f>SUM(N149)*'Data Links'!$B$15</f>
        <v>0</v>
      </c>
      <c r="O150" s="84"/>
    </row>
    <row r="151" spans="1:15" hidden="1" x14ac:dyDescent="0.25">
      <c r="A151" s="59" t="s">
        <v>189</v>
      </c>
      <c r="B151" s="60"/>
      <c r="C151" s="66">
        <f>SUM(C149*'Data Links'!$B$13)</f>
        <v>0</v>
      </c>
      <c r="D151" s="66">
        <f>SUM(D149*'Data Links'!$B$13)</f>
        <v>0</v>
      </c>
      <c r="E151" s="66">
        <f>SUM(E149*'Data Links'!$B$13)</f>
        <v>0</v>
      </c>
      <c r="F151" s="66">
        <f>SUM(F149*'Data Links'!$B$13)</f>
        <v>0</v>
      </c>
      <c r="G151" s="66">
        <f>SUM(G149*'Data Links'!$B$13)</f>
        <v>0</v>
      </c>
      <c r="H151" s="66">
        <f>SUM(H149*'Data Links'!$B$13)</f>
        <v>0</v>
      </c>
      <c r="I151" s="66">
        <f>SUM(I149*'Data Links'!$B$13)</f>
        <v>0</v>
      </c>
      <c r="J151" s="66">
        <f>SUM(J149*'Data Links'!$B$13)</f>
        <v>0</v>
      </c>
      <c r="K151" s="66">
        <f>SUM(K149*'Data Links'!$B$13)</f>
        <v>0</v>
      </c>
      <c r="L151" s="66">
        <f>SUM(L149*'Data Links'!$B$13)</f>
        <v>0</v>
      </c>
      <c r="M151" s="66">
        <f>SUM(M149*'Data Links'!$B$13)</f>
        <v>0</v>
      </c>
      <c r="N151" s="66">
        <f>SUM(N149*'Data Links'!$B$13)</f>
        <v>0</v>
      </c>
      <c r="O151" s="84"/>
    </row>
    <row r="152" spans="1:15" hidden="1" x14ac:dyDescent="0.25">
      <c r="A152" s="59" t="s">
        <v>190</v>
      </c>
      <c r="B152" s="60"/>
      <c r="C152" s="66">
        <f>SUM(C148*'Data Links'!$B$8)</f>
        <v>0</v>
      </c>
      <c r="D152" s="66">
        <f>SUM(D148*'Data Links'!$B$8)</f>
        <v>0</v>
      </c>
      <c r="E152" s="66">
        <f>SUM(E148*'Data Links'!$B$8)</f>
        <v>0</v>
      </c>
      <c r="F152" s="66">
        <f>SUM(F148*'Data Links'!$B$8)</f>
        <v>0</v>
      </c>
      <c r="G152" s="66">
        <f>SUM(G148*'Data Links'!$B$8)</f>
        <v>0</v>
      </c>
      <c r="H152" s="66">
        <f>SUM(H148*'Data Links'!$B$8)</f>
        <v>0</v>
      </c>
      <c r="I152" s="66">
        <f>SUM(I148*'Data Links'!$B$8)</f>
        <v>0</v>
      </c>
      <c r="J152" s="66">
        <f>SUM(J148*'Data Links'!$B$8)</f>
        <v>0</v>
      </c>
      <c r="K152" s="66">
        <f>SUM(K148*'Data Links'!$B$8)</f>
        <v>0</v>
      </c>
      <c r="L152" s="66">
        <f>SUM(L148*'Data Links'!$B$8)</f>
        <v>0</v>
      </c>
      <c r="M152" s="66">
        <f>SUM(M148*'Data Links'!$B$8)</f>
        <v>0</v>
      </c>
      <c r="N152" s="66">
        <f>SUM(N148*'Data Links'!$B$8)</f>
        <v>0</v>
      </c>
      <c r="O152" s="84"/>
    </row>
    <row r="153" spans="1:15" hidden="1" x14ac:dyDescent="0.25">
      <c r="A153" s="59" t="s">
        <v>191</v>
      </c>
      <c r="B153" s="60"/>
      <c r="C153" s="66">
        <f>SUM('All Employees'!$P$50)*C147</f>
        <v>0</v>
      </c>
      <c r="D153" s="66">
        <f>SUM('All Employees'!$P$50)*D147</f>
        <v>0</v>
      </c>
      <c r="E153" s="66">
        <f>SUM('All Employees'!$P$50)*E147</f>
        <v>0</v>
      </c>
      <c r="F153" s="66">
        <f>SUM('All Employees'!$P$50)*F147</f>
        <v>0</v>
      </c>
      <c r="G153" s="66">
        <f>SUM('All Employees'!$P$50)*G147</f>
        <v>0</v>
      </c>
      <c r="H153" s="66">
        <f>SUM('All Employees'!$P$50)*H147</f>
        <v>0</v>
      </c>
      <c r="I153" s="66">
        <f>SUM('All Employees'!$P$50)*I147</f>
        <v>0</v>
      </c>
      <c r="J153" s="66">
        <f>SUM('All Employees'!$P$50)*J147</f>
        <v>0</v>
      </c>
      <c r="K153" s="66">
        <f>SUM('All Employees'!$P$50)*K147</f>
        <v>0</v>
      </c>
      <c r="L153" s="66">
        <f>SUM('All Employees'!$P$50)*L147</f>
        <v>0</v>
      </c>
      <c r="M153" s="66">
        <f>SUM('All Employees'!$P$50)*M147</f>
        <v>0</v>
      </c>
      <c r="N153" s="66">
        <f>SUM('All Employees'!$P$50)*N147</f>
        <v>0</v>
      </c>
      <c r="O153" s="84"/>
    </row>
    <row r="154" spans="1:15" hidden="1" x14ac:dyDescent="0.25">
      <c r="A154" s="59" t="s">
        <v>192</v>
      </c>
      <c r="B154" s="60"/>
      <c r="C154" s="66">
        <f>SUM(C149*'Data Links'!$B$17)</f>
        <v>0</v>
      </c>
      <c r="D154" s="66">
        <f>SUM(D149*'Data Links'!$B$17)</f>
        <v>0</v>
      </c>
      <c r="E154" s="66">
        <f>SUM(E149*'Data Links'!$B$17)</f>
        <v>0</v>
      </c>
      <c r="F154" s="66">
        <f>SUM(F149*'Data Links'!$B$17)</f>
        <v>0</v>
      </c>
      <c r="G154" s="66">
        <f>SUM(G149*'Data Links'!$B$17)</f>
        <v>0</v>
      </c>
      <c r="H154" s="66">
        <f>SUM(H149*'Data Links'!$B$17)</f>
        <v>0</v>
      </c>
      <c r="I154" s="66">
        <f>SUM(I149*'Data Links'!$B$17)</f>
        <v>0</v>
      </c>
      <c r="J154" s="66">
        <f>SUM(J149*'Data Links'!$B$17)</f>
        <v>0</v>
      </c>
      <c r="K154" s="66">
        <f>SUM(K149*'Data Links'!$B$17)</f>
        <v>0</v>
      </c>
      <c r="L154" s="66">
        <f>SUM(L149*'Data Links'!$B$17)</f>
        <v>0</v>
      </c>
      <c r="M154" s="66">
        <f>SUM(M149*'Data Links'!$B$17)</f>
        <v>0</v>
      </c>
      <c r="N154" s="66">
        <f>SUM(N149*'Data Links'!$B$17)</f>
        <v>0</v>
      </c>
      <c r="O154" s="140">
        <f>SUM(C150:N154)</f>
        <v>0</v>
      </c>
    </row>
    <row r="155" spans="1:15" hidden="1" x14ac:dyDescent="0.25">
      <c r="A155" s="58" t="s">
        <v>144</v>
      </c>
      <c r="B155" s="60"/>
      <c r="C155" s="60">
        <f t="shared" ref="C155:N155" si="30">SUM(C149:C154)</f>
        <v>0</v>
      </c>
      <c r="D155" s="60">
        <f t="shared" si="30"/>
        <v>0</v>
      </c>
      <c r="E155" s="60">
        <f t="shared" si="30"/>
        <v>0</v>
      </c>
      <c r="F155" s="60">
        <f t="shared" si="30"/>
        <v>0</v>
      </c>
      <c r="G155" s="60">
        <f t="shared" si="30"/>
        <v>0</v>
      </c>
      <c r="H155" s="60">
        <f t="shared" si="30"/>
        <v>0</v>
      </c>
      <c r="I155" s="60">
        <f t="shared" si="30"/>
        <v>0</v>
      </c>
      <c r="J155" s="60">
        <f t="shared" si="30"/>
        <v>0</v>
      </c>
      <c r="K155" s="60">
        <f t="shared" si="30"/>
        <v>0</v>
      </c>
      <c r="L155" s="60">
        <f t="shared" si="30"/>
        <v>0</v>
      </c>
      <c r="M155" s="60">
        <f t="shared" si="30"/>
        <v>0</v>
      </c>
      <c r="N155" s="60">
        <f t="shared" si="30"/>
        <v>0</v>
      </c>
      <c r="O155" s="58"/>
    </row>
    <row r="156" spans="1:15" hidden="1" x14ac:dyDescent="0.25">
      <c r="A156" s="59"/>
      <c r="B156" s="60"/>
      <c r="C156" s="60"/>
      <c r="D156" s="66"/>
      <c r="E156" s="66"/>
      <c r="F156" s="66"/>
      <c r="G156" s="66"/>
      <c r="H156" s="66"/>
      <c r="I156" s="66"/>
      <c r="J156" s="66"/>
      <c r="K156" s="66"/>
      <c r="L156" s="66"/>
      <c r="M156" s="66"/>
      <c r="N156" s="66"/>
      <c r="O156" s="84"/>
    </row>
    <row r="157" spans="1:15" hidden="1" x14ac:dyDescent="0.25">
      <c r="A157" s="59"/>
      <c r="B157" s="60"/>
      <c r="C157" s="89" t="str">
        <f>C144</f>
        <v>January</v>
      </c>
      <c r="D157" s="89" t="str">
        <f t="shared" ref="D157:N157" si="31">D144</f>
        <v>February</v>
      </c>
      <c r="E157" s="89" t="str">
        <f t="shared" si="31"/>
        <v>March</v>
      </c>
      <c r="F157" s="89" t="str">
        <f t="shared" si="31"/>
        <v>April</v>
      </c>
      <c r="G157" s="89" t="str">
        <f t="shared" si="31"/>
        <v>May</v>
      </c>
      <c r="H157" s="89" t="str">
        <f t="shared" si="31"/>
        <v>June</v>
      </c>
      <c r="I157" s="89" t="str">
        <f t="shared" si="31"/>
        <v>July</v>
      </c>
      <c r="J157" s="89" t="str">
        <f t="shared" si="31"/>
        <v>August</v>
      </c>
      <c r="K157" s="89" t="str">
        <f t="shared" si="31"/>
        <v>September</v>
      </c>
      <c r="L157" s="89" t="str">
        <f t="shared" si="31"/>
        <v>October</v>
      </c>
      <c r="M157" s="89" t="str">
        <f t="shared" si="31"/>
        <v>November</v>
      </c>
      <c r="N157" s="89" t="str">
        <f t="shared" si="31"/>
        <v>December</v>
      </c>
      <c r="O157" s="84"/>
    </row>
    <row r="158" spans="1:15" hidden="1" x14ac:dyDescent="0.25">
      <c r="A158" s="59"/>
      <c r="B158" s="60"/>
      <c r="C158" s="89">
        <f t="shared" ref="C158:N159" si="32">C145</f>
        <v>30</v>
      </c>
      <c r="D158" s="89">
        <f t="shared" si="32"/>
        <v>31</v>
      </c>
      <c r="E158" s="89">
        <f t="shared" si="32"/>
        <v>30</v>
      </c>
      <c r="F158" s="89">
        <f t="shared" si="32"/>
        <v>31</v>
      </c>
      <c r="G158" s="89">
        <f t="shared" si="32"/>
        <v>31</v>
      </c>
      <c r="H158" s="89">
        <f t="shared" si="32"/>
        <v>30</v>
      </c>
      <c r="I158" s="89">
        <f t="shared" si="32"/>
        <v>31</v>
      </c>
      <c r="J158" s="89">
        <f t="shared" si="32"/>
        <v>30</v>
      </c>
      <c r="K158" s="89">
        <f t="shared" si="32"/>
        <v>31</v>
      </c>
      <c r="L158" s="89">
        <f t="shared" si="32"/>
        <v>31</v>
      </c>
      <c r="M158" s="89">
        <f t="shared" si="32"/>
        <v>28</v>
      </c>
      <c r="N158" s="89">
        <f t="shared" si="32"/>
        <v>31</v>
      </c>
      <c r="O158" s="84"/>
    </row>
    <row r="159" spans="1:15" hidden="1" x14ac:dyDescent="0.25">
      <c r="A159" s="59"/>
      <c r="B159" s="89" t="s">
        <v>185</v>
      </c>
      <c r="C159" s="78">
        <f t="shared" si="32"/>
        <v>0</v>
      </c>
      <c r="D159" s="78">
        <f t="shared" si="32"/>
        <v>1</v>
      </c>
      <c r="E159" s="78">
        <f t="shared" si="32"/>
        <v>0</v>
      </c>
      <c r="F159" s="78">
        <f t="shared" si="32"/>
        <v>1</v>
      </c>
      <c r="G159" s="78">
        <f t="shared" si="32"/>
        <v>0</v>
      </c>
      <c r="H159" s="78">
        <f t="shared" si="32"/>
        <v>1</v>
      </c>
      <c r="I159" s="78">
        <f t="shared" si="32"/>
        <v>1</v>
      </c>
      <c r="J159" s="78">
        <f t="shared" si="32"/>
        <v>1</v>
      </c>
      <c r="K159" s="78">
        <f t="shared" si="32"/>
        <v>1</v>
      </c>
      <c r="L159" s="78">
        <f t="shared" si="32"/>
        <v>2</v>
      </c>
      <c r="M159" s="78">
        <f t="shared" si="32"/>
        <v>1</v>
      </c>
      <c r="N159" s="78">
        <f t="shared" si="32"/>
        <v>0</v>
      </c>
      <c r="O159" s="84"/>
    </row>
    <row r="160" spans="1:15" hidden="1" x14ac:dyDescent="0.25">
      <c r="A160" s="59"/>
      <c r="B160" s="89" t="s">
        <v>44</v>
      </c>
      <c r="C160" s="49"/>
      <c r="D160" s="49"/>
      <c r="E160" s="49"/>
      <c r="F160" s="49"/>
      <c r="G160" s="49"/>
      <c r="H160" s="49"/>
      <c r="I160" s="49"/>
      <c r="J160" s="49"/>
      <c r="K160" s="49"/>
      <c r="L160" s="49"/>
      <c r="M160" s="49"/>
      <c r="N160" s="49"/>
      <c r="O160" s="84"/>
    </row>
    <row r="161" spans="1:15" hidden="1" x14ac:dyDescent="0.25">
      <c r="A161" s="59"/>
      <c r="B161" s="78" t="s">
        <v>186</v>
      </c>
      <c r="C161" s="53">
        <f>SUM(174*C160)</f>
        <v>0</v>
      </c>
      <c r="D161" s="53">
        <f t="shared" ref="D161:N161" si="33">SUM(174*D160)</f>
        <v>0</v>
      </c>
      <c r="E161" s="53">
        <f t="shared" si="33"/>
        <v>0</v>
      </c>
      <c r="F161" s="53">
        <f t="shared" si="33"/>
        <v>0</v>
      </c>
      <c r="G161" s="53">
        <f t="shared" si="33"/>
        <v>0</v>
      </c>
      <c r="H161" s="53">
        <f t="shared" si="33"/>
        <v>0</v>
      </c>
      <c r="I161" s="53">
        <f t="shared" si="33"/>
        <v>0</v>
      </c>
      <c r="J161" s="53">
        <f t="shared" si="33"/>
        <v>0</v>
      </c>
      <c r="K161" s="53">
        <f t="shared" si="33"/>
        <v>0</v>
      </c>
      <c r="L161" s="53">
        <f t="shared" si="33"/>
        <v>0</v>
      </c>
      <c r="M161" s="53">
        <f t="shared" si="33"/>
        <v>0</v>
      </c>
      <c r="N161" s="53">
        <f t="shared" si="33"/>
        <v>0</v>
      </c>
      <c r="O161" s="84"/>
    </row>
    <row r="162" spans="1:15" hidden="1" x14ac:dyDescent="0.25">
      <c r="A162" s="59" t="s">
        <v>193</v>
      </c>
      <c r="B162" s="78" t="s">
        <v>187</v>
      </c>
      <c r="C162" s="66">
        <f>SUM(C161*$B$163)</f>
        <v>0</v>
      </c>
      <c r="D162" s="66">
        <f t="shared" ref="D162:N162" si="34">SUM(D161*$B$163)</f>
        <v>0</v>
      </c>
      <c r="E162" s="66">
        <f t="shared" si="34"/>
        <v>0</v>
      </c>
      <c r="F162" s="66">
        <f t="shared" si="34"/>
        <v>0</v>
      </c>
      <c r="G162" s="66">
        <f t="shared" si="34"/>
        <v>0</v>
      </c>
      <c r="H162" s="66">
        <f t="shared" si="34"/>
        <v>0</v>
      </c>
      <c r="I162" s="66">
        <f t="shared" si="34"/>
        <v>0</v>
      </c>
      <c r="J162" s="66">
        <f t="shared" si="34"/>
        <v>0</v>
      </c>
      <c r="K162" s="66">
        <f t="shared" si="34"/>
        <v>0</v>
      </c>
      <c r="L162" s="66">
        <f t="shared" si="34"/>
        <v>0</v>
      </c>
      <c r="M162" s="66">
        <f t="shared" si="34"/>
        <v>0</v>
      </c>
      <c r="N162" s="66">
        <f t="shared" si="34"/>
        <v>0</v>
      </c>
      <c r="O162" s="140">
        <f>SUM(C162:N162)</f>
        <v>0</v>
      </c>
    </row>
    <row r="163" spans="1:15" hidden="1" x14ac:dyDescent="0.25">
      <c r="A163" s="59" t="s">
        <v>188</v>
      </c>
      <c r="B163" s="74">
        <v>0</v>
      </c>
      <c r="C163" s="66">
        <f>SUM(C162)*'Data Links'!$B$15</f>
        <v>0</v>
      </c>
      <c r="D163" s="66">
        <f>SUM(D162)*'Data Links'!$B$15</f>
        <v>0</v>
      </c>
      <c r="E163" s="66">
        <f>SUM(E162)*'Data Links'!$B$15</f>
        <v>0</v>
      </c>
      <c r="F163" s="66">
        <f>SUM(F162)*'Data Links'!$B$15</f>
        <v>0</v>
      </c>
      <c r="G163" s="66">
        <f>SUM(G162)*'Data Links'!$B$15</f>
        <v>0</v>
      </c>
      <c r="H163" s="66">
        <f>SUM(H162)*'Data Links'!$B$15</f>
        <v>0</v>
      </c>
      <c r="I163" s="66">
        <f>SUM(I162)*'Data Links'!$B$15</f>
        <v>0</v>
      </c>
      <c r="J163" s="66">
        <f>SUM(J162)*'Data Links'!$B$15</f>
        <v>0</v>
      </c>
      <c r="K163" s="66">
        <f>SUM(K162)*'Data Links'!$B$15</f>
        <v>0</v>
      </c>
      <c r="L163" s="66">
        <f>SUM(L162)*'Data Links'!$B$15</f>
        <v>0</v>
      </c>
      <c r="M163" s="66">
        <f>SUM(M162)*'Data Links'!$B$15</f>
        <v>0</v>
      </c>
      <c r="N163" s="66">
        <f>SUM(N162)*'Data Links'!$B$15</f>
        <v>0</v>
      </c>
      <c r="O163" s="84"/>
    </row>
    <row r="164" spans="1:15" hidden="1" x14ac:dyDescent="0.25">
      <c r="A164" s="59" t="s">
        <v>189</v>
      </c>
      <c r="B164" s="60"/>
      <c r="C164" s="66">
        <f>SUM(C162*'Data Links'!$B$13)</f>
        <v>0</v>
      </c>
      <c r="D164" s="66">
        <f>SUM(D162*'Data Links'!$B$13)</f>
        <v>0</v>
      </c>
      <c r="E164" s="66">
        <f>SUM(E162*'Data Links'!$B$13)</f>
        <v>0</v>
      </c>
      <c r="F164" s="66">
        <f>SUM(F162*'Data Links'!$B$13)</f>
        <v>0</v>
      </c>
      <c r="G164" s="66">
        <f>SUM(G162*'Data Links'!$B$13)</f>
        <v>0</v>
      </c>
      <c r="H164" s="66">
        <f>SUM(H162*'Data Links'!$B$13)</f>
        <v>0</v>
      </c>
      <c r="I164" s="66">
        <f>SUM(I162*'Data Links'!$B$13)</f>
        <v>0</v>
      </c>
      <c r="J164" s="66">
        <f>SUM(J162*'Data Links'!$B$13)</f>
        <v>0</v>
      </c>
      <c r="K164" s="66">
        <f>SUM(K162*'Data Links'!$B$13)</f>
        <v>0</v>
      </c>
      <c r="L164" s="66">
        <f>SUM(L162*'Data Links'!$B$13)</f>
        <v>0</v>
      </c>
      <c r="M164" s="66">
        <f>SUM(M162*'Data Links'!$B$13)</f>
        <v>0</v>
      </c>
      <c r="N164" s="66">
        <f>SUM(N162*'Data Links'!$B$13)</f>
        <v>0</v>
      </c>
      <c r="O164" s="84"/>
    </row>
    <row r="165" spans="1:15" hidden="1" x14ac:dyDescent="0.25">
      <c r="A165" s="59" t="s">
        <v>190</v>
      </c>
      <c r="B165" s="60"/>
      <c r="C165" s="66">
        <f>SUM(C161*'Data Links'!$B$8)</f>
        <v>0</v>
      </c>
      <c r="D165" s="66">
        <f>SUM(D161*'Data Links'!$B$8)</f>
        <v>0</v>
      </c>
      <c r="E165" s="66">
        <f>SUM(E161*'Data Links'!$B$8)</f>
        <v>0</v>
      </c>
      <c r="F165" s="66">
        <f>SUM(F161*'Data Links'!$B$8)</f>
        <v>0</v>
      </c>
      <c r="G165" s="66">
        <f>SUM(G161*'Data Links'!$B$8)</f>
        <v>0</v>
      </c>
      <c r="H165" s="66">
        <f>SUM(H161*'Data Links'!$B$8)</f>
        <v>0</v>
      </c>
      <c r="I165" s="66">
        <f>SUM(I161*'Data Links'!$B$8)</f>
        <v>0</v>
      </c>
      <c r="J165" s="66">
        <f>SUM(J161*'Data Links'!$B$8)</f>
        <v>0</v>
      </c>
      <c r="K165" s="66">
        <f>SUM(K161*'Data Links'!$B$8)</f>
        <v>0</v>
      </c>
      <c r="L165" s="66">
        <f>SUM(L161*'Data Links'!$B$8)</f>
        <v>0</v>
      </c>
      <c r="M165" s="66">
        <f>SUM(M161*'Data Links'!$B$8)</f>
        <v>0</v>
      </c>
      <c r="N165" s="66">
        <f>SUM(N161*'Data Links'!$B$8)</f>
        <v>0</v>
      </c>
      <c r="O165" s="84"/>
    </row>
    <row r="166" spans="1:15" hidden="1" x14ac:dyDescent="0.25">
      <c r="A166" s="59" t="s">
        <v>191</v>
      </c>
      <c r="B166" s="60"/>
      <c r="C166" s="66"/>
      <c r="D166" s="66"/>
      <c r="E166" s="66"/>
      <c r="F166" s="66"/>
      <c r="G166" s="66"/>
      <c r="H166" s="66"/>
      <c r="I166" s="66"/>
      <c r="J166" s="66"/>
      <c r="K166" s="66"/>
      <c r="L166" s="66"/>
      <c r="M166" s="66"/>
      <c r="N166" s="66"/>
      <c r="O166" s="84"/>
    </row>
    <row r="167" spans="1:15" hidden="1" x14ac:dyDescent="0.25">
      <c r="A167" s="59" t="s">
        <v>192</v>
      </c>
      <c r="B167" s="60"/>
      <c r="C167" s="66">
        <f>SUM(C162*'Data Links'!$B$17)</f>
        <v>0</v>
      </c>
      <c r="D167" s="66">
        <f>SUM(D162*'Data Links'!$B$17)</f>
        <v>0</v>
      </c>
      <c r="E167" s="66">
        <f>SUM(E162*'Data Links'!$B$17)</f>
        <v>0</v>
      </c>
      <c r="F167" s="66">
        <f>SUM(F162*'Data Links'!$B$17)</f>
        <v>0</v>
      </c>
      <c r="G167" s="66">
        <f>SUM(G162*'Data Links'!$B$17)</f>
        <v>0</v>
      </c>
      <c r="H167" s="66">
        <f>SUM(H162*'Data Links'!$B$17)</f>
        <v>0</v>
      </c>
      <c r="I167" s="66">
        <f>SUM(I162*'Data Links'!$B$17)</f>
        <v>0</v>
      </c>
      <c r="J167" s="66">
        <f>SUM(J162*'Data Links'!$B$17)</f>
        <v>0</v>
      </c>
      <c r="K167" s="66">
        <f>SUM(K162*'Data Links'!$B$17)</f>
        <v>0</v>
      </c>
      <c r="L167" s="66">
        <f>SUM(L162*'Data Links'!$B$17)</f>
        <v>0</v>
      </c>
      <c r="M167" s="66">
        <f>SUM(M162*'Data Links'!$B$17)</f>
        <v>0</v>
      </c>
      <c r="N167" s="66">
        <f>SUM(N162*'Data Links'!$B$17)</f>
        <v>0</v>
      </c>
      <c r="O167" s="140">
        <f>SUM(C163:N167)</f>
        <v>0</v>
      </c>
    </row>
    <row r="168" spans="1:15" hidden="1" x14ac:dyDescent="0.25">
      <c r="A168" s="58" t="s">
        <v>144</v>
      </c>
      <c r="B168" s="60"/>
      <c r="C168" s="60">
        <f t="shared" ref="C168:N168" si="35">SUM(C162:C167)</f>
        <v>0</v>
      </c>
      <c r="D168" s="60">
        <f t="shared" si="35"/>
        <v>0</v>
      </c>
      <c r="E168" s="60">
        <f t="shared" si="35"/>
        <v>0</v>
      </c>
      <c r="F168" s="60">
        <f t="shared" si="35"/>
        <v>0</v>
      </c>
      <c r="G168" s="60">
        <f t="shared" si="35"/>
        <v>0</v>
      </c>
      <c r="H168" s="60">
        <f t="shared" si="35"/>
        <v>0</v>
      </c>
      <c r="I168" s="60">
        <f t="shared" si="35"/>
        <v>0</v>
      </c>
      <c r="J168" s="60">
        <f t="shared" si="35"/>
        <v>0</v>
      </c>
      <c r="K168" s="60">
        <f t="shared" si="35"/>
        <v>0</v>
      </c>
      <c r="L168" s="60">
        <f t="shared" si="35"/>
        <v>0</v>
      </c>
      <c r="M168" s="60">
        <f t="shared" si="35"/>
        <v>0</v>
      </c>
      <c r="N168" s="60">
        <f t="shared" si="35"/>
        <v>0</v>
      </c>
      <c r="O168" s="58"/>
    </row>
    <row r="169" spans="1:15" hidden="1" x14ac:dyDescent="0.25">
      <c r="A169" s="59"/>
      <c r="B169" s="60"/>
      <c r="C169" s="60"/>
      <c r="D169" s="66"/>
      <c r="E169" s="66"/>
      <c r="F169" s="66"/>
      <c r="G169" s="66"/>
      <c r="H169" s="66"/>
      <c r="I169" s="66"/>
      <c r="J169" s="66"/>
      <c r="K169" s="66"/>
      <c r="L169" s="66"/>
      <c r="M169" s="66"/>
      <c r="N169" s="66"/>
      <c r="O169" s="84"/>
    </row>
    <row r="170" spans="1:15" hidden="1" x14ac:dyDescent="0.25">
      <c r="A170" s="59"/>
      <c r="B170" s="60"/>
      <c r="C170" s="89" t="str">
        <f>C157</f>
        <v>January</v>
      </c>
      <c r="D170" s="89" t="str">
        <f t="shared" ref="D170:N170" si="36">D157</f>
        <v>February</v>
      </c>
      <c r="E170" s="89" t="str">
        <f t="shared" si="36"/>
        <v>March</v>
      </c>
      <c r="F170" s="89" t="str">
        <f t="shared" si="36"/>
        <v>April</v>
      </c>
      <c r="G170" s="89" t="str">
        <f t="shared" si="36"/>
        <v>May</v>
      </c>
      <c r="H170" s="89" t="str">
        <f t="shared" si="36"/>
        <v>June</v>
      </c>
      <c r="I170" s="89" t="str">
        <f t="shared" si="36"/>
        <v>July</v>
      </c>
      <c r="J170" s="89" t="str">
        <f t="shared" si="36"/>
        <v>August</v>
      </c>
      <c r="K170" s="89" t="str">
        <f t="shared" si="36"/>
        <v>September</v>
      </c>
      <c r="L170" s="89" t="str">
        <f t="shared" si="36"/>
        <v>October</v>
      </c>
      <c r="M170" s="89" t="str">
        <f t="shared" si="36"/>
        <v>November</v>
      </c>
      <c r="N170" s="89" t="str">
        <f t="shared" si="36"/>
        <v>December</v>
      </c>
      <c r="O170" s="84"/>
    </row>
    <row r="171" spans="1:15" hidden="1" x14ac:dyDescent="0.25">
      <c r="A171" s="59"/>
      <c r="B171" s="60"/>
      <c r="C171" s="89">
        <f t="shared" ref="C171:N172" si="37">C158</f>
        <v>30</v>
      </c>
      <c r="D171" s="89">
        <f t="shared" si="37"/>
        <v>31</v>
      </c>
      <c r="E171" s="89">
        <f t="shared" si="37"/>
        <v>30</v>
      </c>
      <c r="F171" s="89">
        <f t="shared" si="37"/>
        <v>31</v>
      </c>
      <c r="G171" s="89">
        <f t="shared" si="37"/>
        <v>31</v>
      </c>
      <c r="H171" s="89">
        <f t="shared" si="37"/>
        <v>30</v>
      </c>
      <c r="I171" s="89">
        <f t="shared" si="37"/>
        <v>31</v>
      </c>
      <c r="J171" s="89">
        <f t="shared" si="37"/>
        <v>30</v>
      </c>
      <c r="K171" s="89">
        <f t="shared" si="37"/>
        <v>31</v>
      </c>
      <c r="L171" s="89">
        <f t="shared" si="37"/>
        <v>31</v>
      </c>
      <c r="M171" s="89">
        <f t="shared" si="37"/>
        <v>28</v>
      </c>
      <c r="N171" s="89">
        <f t="shared" si="37"/>
        <v>31</v>
      </c>
      <c r="O171" s="84"/>
    </row>
    <row r="172" spans="1:15" hidden="1" x14ac:dyDescent="0.25">
      <c r="A172" s="59"/>
      <c r="B172" s="89" t="s">
        <v>185</v>
      </c>
      <c r="C172" s="78">
        <f t="shared" si="37"/>
        <v>0</v>
      </c>
      <c r="D172" s="78">
        <f t="shared" si="37"/>
        <v>1</v>
      </c>
      <c r="E172" s="78">
        <f t="shared" si="37"/>
        <v>0</v>
      </c>
      <c r="F172" s="78">
        <f t="shared" si="37"/>
        <v>1</v>
      </c>
      <c r="G172" s="78">
        <f t="shared" si="37"/>
        <v>0</v>
      </c>
      <c r="H172" s="78">
        <f t="shared" si="37"/>
        <v>1</v>
      </c>
      <c r="I172" s="78">
        <f t="shared" si="37"/>
        <v>1</v>
      </c>
      <c r="J172" s="78">
        <f t="shared" si="37"/>
        <v>1</v>
      </c>
      <c r="K172" s="78">
        <f t="shared" si="37"/>
        <v>1</v>
      </c>
      <c r="L172" s="78">
        <f t="shared" si="37"/>
        <v>2</v>
      </c>
      <c r="M172" s="78">
        <f t="shared" si="37"/>
        <v>1</v>
      </c>
      <c r="N172" s="78">
        <f t="shared" si="37"/>
        <v>0</v>
      </c>
      <c r="O172" s="84"/>
    </row>
    <row r="173" spans="1:15" hidden="1" x14ac:dyDescent="0.25">
      <c r="A173" s="59"/>
      <c r="B173" s="89" t="s">
        <v>44</v>
      </c>
      <c r="C173" s="49"/>
      <c r="D173" s="49"/>
      <c r="E173" s="49"/>
      <c r="F173" s="49"/>
      <c r="G173" s="49"/>
      <c r="H173" s="49"/>
      <c r="I173" s="49"/>
      <c r="J173" s="49"/>
      <c r="K173" s="49"/>
      <c r="L173" s="49"/>
      <c r="M173" s="49"/>
      <c r="N173" s="49"/>
      <c r="O173" s="84"/>
    </row>
    <row r="174" spans="1:15" hidden="1" x14ac:dyDescent="0.25">
      <c r="A174" s="59"/>
      <c r="B174" s="89" t="s">
        <v>186</v>
      </c>
      <c r="C174" s="53">
        <f>SUM(174*C173)</f>
        <v>0</v>
      </c>
      <c r="D174" s="53">
        <f t="shared" ref="D174:N174" si="38">SUM(174*D173)</f>
        <v>0</v>
      </c>
      <c r="E174" s="53">
        <f t="shared" si="38"/>
        <v>0</v>
      </c>
      <c r="F174" s="53">
        <f t="shared" si="38"/>
        <v>0</v>
      </c>
      <c r="G174" s="53">
        <f t="shared" si="38"/>
        <v>0</v>
      </c>
      <c r="H174" s="53">
        <f t="shared" si="38"/>
        <v>0</v>
      </c>
      <c r="I174" s="53">
        <f t="shared" si="38"/>
        <v>0</v>
      </c>
      <c r="J174" s="53">
        <f t="shared" si="38"/>
        <v>0</v>
      </c>
      <c r="K174" s="53">
        <f t="shared" si="38"/>
        <v>0</v>
      </c>
      <c r="L174" s="53">
        <f t="shared" si="38"/>
        <v>0</v>
      </c>
      <c r="M174" s="53">
        <f t="shared" si="38"/>
        <v>0</v>
      </c>
      <c r="N174" s="53">
        <f t="shared" si="38"/>
        <v>0</v>
      </c>
      <c r="O174" s="84"/>
    </row>
    <row r="175" spans="1:15" hidden="1" x14ac:dyDescent="0.25">
      <c r="A175" s="59" t="s">
        <v>193</v>
      </c>
      <c r="B175" s="78" t="s">
        <v>187</v>
      </c>
      <c r="C175" s="66">
        <f>SUM(C174*$B$176)</f>
        <v>0</v>
      </c>
      <c r="D175" s="66">
        <f t="shared" ref="D175:N175" si="39">SUM(D174*$B$176)</f>
        <v>0</v>
      </c>
      <c r="E175" s="66">
        <f t="shared" si="39"/>
        <v>0</v>
      </c>
      <c r="F175" s="66">
        <f t="shared" si="39"/>
        <v>0</v>
      </c>
      <c r="G175" s="66">
        <f t="shared" si="39"/>
        <v>0</v>
      </c>
      <c r="H175" s="66">
        <f t="shared" si="39"/>
        <v>0</v>
      </c>
      <c r="I175" s="66">
        <f t="shared" si="39"/>
        <v>0</v>
      </c>
      <c r="J175" s="66">
        <f t="shared" si="39"/>
        <v>0</v>
      </c>
      <c r="K175" s="66">
        <f t="shared" si="39"/>
        <v>0</v>
      </c>
      <c r="L175" s="66">
        <f t="shared" si="39"/>
        <v>0</v>
      </c>
      <c r="M175" s="66">
        <f t="shared" si="39"/>
        <v>0</v>
      </c>
      <c r="N175" s="66">
        <f t="shared" si="39"/>
        <v>0</v>
      </c>
      <c r="O175" s="140">
        <f>SUM(C175:N175)</f>
        <v>0</v>
      </c>
    </row>
    <row r="176" spans="1:15" hidden="1" x14ac:dyDescent="0.25">
      <c r="A176" s="59" t="s">
        <v>188</v>
      </c>
      <c r="B176" s="74">
        <v>0</v>
      </c>
      <c r="C176" s="66">
        <f>SUM(C175)*'Data Links'!$B$15</f>
        <v>0</v>
      </c>
      <c r="D176" s="66">
        <f>SUM(D175)*'Data Links'!$B$15</f>
        <v>0</v>
      </c>
      <c r="E176" s="66">
        <f>SUM(E175)*'Data Links'!$B$15</f>
        <v>0</v>
      </c>
      <c r="F176" s="66">
        <f>SUM(F175)*'Data Links'!$B$15</f>
        <v>0</v>
      </c>
      <c r="G176" s="66">
        <f>SUM(G175)*'Data Links'!$B$15</f>
        <v>0</v>
      </c>
      <c r="H176" s="66">
        <f>SUM(H175)*'Data Links'!$B$15</f>
        <v>0</v>
      </c>
      <c r="I176" s="66">
        <f>SUM(I175)*'Data Links'!$B$15</f>
        <v>0</v>
      </c>
      <c r="J176" s="66">
        <f>SUM(J175)*'Data Links'!$B$15</f>
        <v>0</v>
      </c>
      <c r="K176" s="66">
        <f>SUM(K175)*'Data Links'!$B$15</f>
        <v>0</v>
      </c>
      <c r="L176" s="66">
        <f>SUM(L175)*'Data Links'!$B$15</f>
        <v>0</v>
      </c>
      <c r="M176" s="66">
        <f>SUM(M175)*'Data Links'!$B$15</f>
        <v>0</v>
      </c>
      <c r="N176" s="66">
        <f>SUM(N175)*'Data Links'!$B$15</f>
        <v>0</v>
      </c>
      <c r="O176" s="84"/>
    </row>
    <row r="177" spans="1:15" hidden="1" x14ac:dyDescent="0.25">
      <c r="A177" s="59" t="s">
        <v>189</v>
      </c>
      <c r="B177" s="60"/>
      <c r="C177" s="66">
        <f>SUM(C175*'Data Links'!$B$13)</f>
        <v>0</v>
      </c>
      <c r="D177" s="66">
        <f>SUM(D175*'Data Links'!$B$13)</f>
        <v>0</v>
      </c>
      <c r="E177" s="66">
        <f>SUM(E175*'Data Links'!$B$13)</f>
        <v>0</v>
      </c>
      <c r="F177" s="66">
        <f>SUM(F175*'Data Links'!$B$13)</f>
        <v>0</v>
      </c>
      <c r="G177" s="66">
        <f>SUM(G175*'Data Links'!$B$13)</f>
        <v>0</v>
      </c>
      <c r="H177" s="66">
        <f>SUM(H175*'Data Links'!$B$13)</f>
        <v>0</v>
      </c>
      <c r="I177" s="66">
        <f>SUM(I175*'Data Links'!$B$13)</f>
        <v>0</v>
      </c>
      <c r="J177" s="66">
        <f>SUM(J175*'Data Links'!$B$13)</f>
        <v>0</v>
      </c>
      <c r="K177" s="66">
        <f>SUM(K175*'Data Links'!$B$13)</f>
        <v>0</v>
      </c>
      <c r="L177" s="66">
        <f>SUM(L175*'Data Links'!$B$13)</f>
        <v>0</v>
      </c>
      <c r="M177" s="66">
        <f>SUM(M175*'Data Links'!$B$13)</f>
        <v>0</v>
      </c>
      <c r="N177" s="66">
        <f>SUM(N175*'Data Links'!$B$13)</f>
        <v>0</v>
      </c>
      <c r="O177" s="84"/>
    </row>
    <row r="178" spans="1:15" hidden="1" x14ac:dyDescent="0.25">
      <c r="A178" s="59" t="s">
        <v>190</v>
      </c>
      <c r="B178" s="60"/>
      <c r="C178" s="66">
        <f>SUM(C174*'Data Links'!$B$8)</f>
        <v>0</v>
      </c>
      <c r="D178" s="66">
        <f>SUM(D174*'Data Links'!$B$8)</f>
        <v>0</v>
      </c>
      <c r="E178" s="66">
        <f>SUM(E174*'Data Links'!$B$8)</f>
        <v>0</v>
      </c>
      <c r="F178" s="66">
        <f>SUM(F174*'Data Links'!$B$8)</f>
        <v>0</v>
      </c>
      <c r="G178" s="66">
        <f>SUM(G174*'Data Links'!$B$8)</f>
        <v>0</v>
      </c>
      <c r="H178" s="66">
        <f>SUM(H174*'Data Links'!$B$8)</f>
        <v>0</v>
      </c>
      <c r="I178" s="66">
        <f>SUM(I174*'Data Links'!$B$8)</f>
        <v>0</v>
      </c>
      <c r="J178" s="66">
        <f>SUM(J174*'Data Links'!$B$8)</f>
        <v>0</v>
      </c>
      <c r="K178" s="66">
        <f>SUM(K174*'Data Links'!$B$8)</f>
        <v>0</v>
      </c>
      <c r="L178" s="66">
        <f>SUM(L174*'Data Links'!$B$8)</f>
        <v>0</v>
      </c>
      <c r="M178" s="66">
        <f>SUM(M174*'Data Links'!$B$8)</f>
        <v>0</v>
      </c>
      <c r="N178" s="66">
        <f>SUM(N174*'Data Links'!$B$8)</f>
        <v>0</v>
      </c>
      <c r="O178" s="84"/>
    </row>
    <row r="179" spans="1:15" hidden="1" x14ac:dyDescent="0.25">
      <c r="A179" s="59" t="s">
        <v>191</v>
      </c>
      <c r="B179" s="60"/>
      <c r="C179" s="66">
        <f>SUM(C173*'Data Links'!$B$24)</f>
        <v>0</v>
      </c>
      <c r="D179" s="66">
        <f>SUM(D173*'Data Links'!$B$24)</f>
        <v>0</v>
      </c>
      <c r="E179" s="66">
        <f>SUM(E173*'Data Links'!$B$24)</f>
        <v>0</v>
      </c>
      <c r="F179" s="66">
        <f>SUM(F173*'Data Links'!$B$24)</f>
        <v>0</v>
      </c>
      <c r="G179" s="66">
        <f>SUM(G173*'Data Links'!$B$24)</f>
        <v>0</v>
      </c>
      <c r="H179" s="66">
        <f>SUM(H173*'Data Links'!$B$24)</f>
        <v>0</v>
      </c>
      <c r="I179" s="66">
        <f>SUM(I173*'Data Links'!$B$24)</f>
        <v>0</v>
      </c>
      <c r="J179" s="66">
        <f>SUM(J173*'Data Links'!$B$24)</f>
        <v>0</v>
      </c>
      <c r="K179" s="66">
        <f>SUM(K173*'Data Links'!$B$24)</f>
        <v>0</v>
      </c>
      <c r="L179" s="66">
        <f>SUM(L173*'Data Links'!$B$24)</f>
        <v>0</v>
      </c>
      <c r="M179" s="66">
        <f>SUM(M173*'Data Links'!$B$24)</f>
        <v>0</v>
      </c>
      <c r="N179" s="66">
        <f>SUM(N173*'Data Links'!$B$24)</f>
        <v>0</v>
      </c>
      <c r="O179" s="84"/>
    </row>
    <row r="180" spans="1:15" hidden="1" x14ac:dyDescent="0.25">
      <c r="A180" s="59" t="s">
        <v>192</v>
      </c>
      <c r="B180" s="60"/>
      <c r="C180" s="66">
        <f>SUM(C175*'Data Links'!$B$17)</f>
        <v>0</v>
      </c>
      <c r="D180" s="66">
        <f>SUM(D175*'Data Links'!$B$17)</f>
        <v>0</v>
      </c>
      <c r="E180" s="66">
        <f>SUM(E175*'Data Links'!$B$17)</f>
        <v>0</v>
      </c>
      <c r="F180" s="66">
        <f>SUM(F175*'Data Links'!$B$17)</f>
        <v>0</v>
      </c>
      <c r="G180" s="66">
        <f>SUM(G175*'Data Links'!$B$17)</f>
        <v>0</v>
      </c>
      <c r="H180" s="66">
        <f>SUM(H175*'Data Links'!$B$17)</f>
        <v>0</v>
      </c>
      <c r="I180" s="66">
        <f>SUM(I175*'Data Links'!$B$17)</f>
        <v>0</v>
      </c>
      <c r="J180" s="66">
        <f>SUM(J175*'Data Links'!$B$17)</f>
        <v>0</v>
      </c>
      <c r="K180" s="66">
        <f>SUM(K175*'Data Links'!$B$17)</f>
        <v>0</v>
      </c>
      <c r="L180" s="66">
        <f>SUM(L175*'Data Links'!$B$17)</f>
        <v>0</v>
      </c>
      <c r="M180" s="66">
        <f>SUM(M175*'Data Links'!$B$17)</f>
        <v>0</v>
      </c>
      <c r="N180" s="66">
        <f>SUM(N175*'Data Links'!$B$17)</f>
        <v>0</v>
      </c>
      <c r="O180" s="140">
        <f>SUM(C176:N180)</f>
        <v>0</v>
      </c>
    </row>
    <row r="181" spans="1:15" hidden="1" x14ac:dyDescent="0.25">
      <c r="A181" s="58" t="s">
        <v>144</v>
      </c>
      <c r="B181" s="60"/>
      <c r="C181" s="60">
        <f t="shared" ref="C181:N181" si="40">SUM(C175:C180)</f>
        <v>0</v>
      </c>
      <c r="D181" s="60">
        <f t="shared" si="40"/>
        <v>0</v>
      </c>
      <c r="E181" s="60">
        <f t="shared" si="40"/>
        <v>0</v>
      </c>
      <c r="F181" s="60">
        <f t="shared" si="40"/>
        <v>0</v>
      </c>
      <c r="G181" s="60">
        <f t="shared" si="40"/>
        <v>0</v>
      </c>
      <c r="H181" s="60">
        <f t="shared" si="40"/>
        <v>0</v>
      </c>
      <c r="I181" s="60">
        <f t="shared" si="40"/>
        <v>0</v>
      </c>
      <c r="J181" s="60">
        <f t="shared" si="40"/>
        <v>0</v>
      </c>
      <c r="K181" s="60">
        <f t="shared" si="40"/>
        <v>0</v>
      </c>
      <c r="L181" s="60">
        <f t="shared" si="40"/>
        <v>0</v>
      </c>
      <c r="M181" s="60">
        <f t="shared" si="40"/>
        <v>0</v>
      </c>
      <c r="N181" s="60">
        <f t="shared" si="40"/>
        <v>0</v>
      </c>
      <c r="O181" s="58"/>
    </row>
    <row r="182" spans="1:15" hidden="1" x14ac:dyDescent="0.25">
      <c r="A182" s="59"/>
      <c r="B182" s="60"/>
      <c r="C182" s="60"/>
      <c r="D182" s="66"/>
      <c r="E182" s="66"/>
      <c r="F182" s="66"/>
      <c r="G182" s="66"/>
      <c r="H182" s="66"/>
      <c r="I182" s="66"/>
      <c r="J182" s="66"/>
      <c r="K182" s="66"/>
      <c r="L182" s="66"/>
      <c r="M182" s="66"/>
      <c r="N182" s="66"/>
      <c r="O182" s="84"/>
    </row>
    <row r="183" spans="1:15" hidden="1" x14ac:dyDescent="0.25">
      <c r="A183" s="59"/>
      <c r="B183" s="60"/>
      <c r="C183" s="89" t="str">
        <f>C170</f>
        <v>January</v>
      </c>
      <c r="D183" s="89" t="str">
        <f t="shared" ref="D183:N183" si="41">D170</f>
        <v>February</v>
      </c>
      <c r="E183" s="89" t="str">
        <f t="shared" si="41"/>
        <v>March</v>
      </c>
      <c r="F183" s="89" t="str">
        <f t="shared" si="41"/>
        <v>April</v>
      </c>
      <c r="G183" s="89" t="str">
        <f t="shared" si="41"/>
        <v>May</v>
      </c>
      <c r="H183" s="89" t="str">
        <f t="shared" si="41"/>
        <v>June</v>
      </c>
      <c r="I183" s="89" t="str">
        <f t="shared" si="41"/>
        <v>July</v>
      </c>
      <c r="J183" s="89" t="str">
        <f t="shared" si="41"/>
        <v>August</v>
      </c>
      <c r="K183" s="89" t="str">
        <f t="shared" si="41"/>
        <v>September</v>
      </c>
      <c r="L183" s="89" t="str">
        <f t="shared" si="41"/>
        <v>October</v>
      </c>
      <c r="M183" s="89" t="str">
        <f t="shared" si="41"/>
        <v>November</v>
      </c>
      <c r="N183" s="89" t="str">
        <f t="shared" si="41"/>
        <v>December</v>
      </c>
      <c r="O183" s="84"/>
    </row>
    <row r="184" spans="1:15" hidden="1" x14ac:dyDescent="0.25">
      <c r="A184" s="59"/>
      <c r="B184" s="60"/>
      <c r="C184" s="89">
        <f t="shared" ref="C184:N185" si="42">C171</f>
        <v>30</v>
      </c>
      <c r="D184" s="89">
        <f t="shared" si="42"/>
        <v>31</v>
      </c>
      <c r="E184" s="89">
        <f t="shared" si="42"/>
        <v>30</v>
      </c>
      <c r="F184" s="89">
        <f t="shared" si="42"/>
        <v>31</v>
      </c>
      <c r="G184" s="89">
        <f t="shared" si="42"/>
        <v>31</v>
      </c>
      <c r="H184" s="89">
        <f t="shared" si="42"/>
        <v>30</v>
      </c>
      <c r="I184" s="89">
        <f t="shared" si="42"/>
        <v>31</v>
      </c>
      <c r="J184" s="89">
        <f t="shared" si="42"/>
        <v>30</v>
      </c>
      <c r="K184" s="89">
        <f t="shared" si="42"/>
        <v>31</v>
      </c>
      <c r="L184" s="89">
        <f t="shared" si="42"/>
        <v>31</v>
      </c>
      <c r="M184" s="89">
        <f t="shared" si="42"/>
        <v>28</v>
      </c>
      <c r="N184" s="89">
        <f t="shared" si="42"/>
        <v>31</v>
      </c>
      <c r="O184" s="84"/>
    </row>
    <row r="185" spans="1:15" hidden="1" x14ac:dyDescent="0.25">
      <c r="A185" s="59"/>
      <c r="B185" s="78" t="s">
        <v>185</v>
      </c>
      <c r="C185" s="78">
        <f t="shared" si="42"/>
        <v>0</v>
      </c>
      <c r="D185" s="78">
        <f t="shared" si="42"/>
        <v>1</v>
      </c>
      <c r="E185" s="78">
        <f t="shared" si="42"/>
        <v>0</v>
      </c>
      <c r="F185" s="78">
        <f t="shared" si="42"/>
        <v>1</v>
      </c>
      <c r="G185" s="78">
        <f t="shared" si="42"/>
        <v>0</v>
      </c>
      <c r="H185" s="78">
        <f t="shared" si="42"/>
        <v>1</v>
      </c>
      <c r="I185" s="78">
        <f t="shared" si="42"/>
        <v>1</v>
      </c>
      <c r="J185" s="78">
        <f t="shared" si="42"/>
        <v>1</v>
      </c>
      <c r="K185" s="78">
        <f t="shared" si="42"/>
        <v>1</v>
      </c>
      <c r="L185" s="78">
        <f t="shared" si="42"/>
        <v>2</v>
      </c>
      <c r="M185" s="78">
        <f t="shared" si="42"/>
        <v>1</v>
      </c>
      <c r="N185" s="78">
        <f t="shared" si="42"/>
        <v>0</v>
      </c>
      <c r="O185" s="84"/>
    </row>
    <row r="186" spans="1:15" hidden="1" x14ac:dyDescent="0.25">
      <c r="A186" s="59"/>
      <c r="B186" s="78" t="s">
        <v>44</v>
      </c>
      <c r="C186" s="49"/>
      <c r="D186" s="49"/>
      <c r="E186" s="49"/>
      <c r="F186" s="49"/>
      <c r="G186" s="49"/>
      <c r="H186" s="49"/>
      <c r="I186" s="49"/>
      <c r="J186" s="49"/>
      <c r="K186" s="49"/>
      <c r="L186" s="49"/>
      <c r="M186" s="49"/>
      <c r="N186" s="49"/>
      <c r="O186" s="84"/>
    </row>
    <row r="187" spans="1:15" hidden="1" x14ac:dyDescent="0.25">
      <c r="A187" s="59"/>
      <c r="B187" s="78" t="s">
        <v>186</v>
      </c>
      <c r="C187" s="53">
        <f>SUM(174*C186)</f>
        <v>0</v>
      </c>
      <c r="D187" s="53">
        <f t="shared" ref="D187:N187" si="43">SUM(174*D186)</f>
        <v>0</v>
      </c>
      <c r="E187" s="53">
        <f t="shared" si="43"/>
        <v>0</v>
      </c>
      <c r="F187" s="53">
        <f t="shared" si="43"/>
        <v>0</v>
      </c>
      <c r="G187" s="53">
        <f t="shared" si="43"/>
        <v>0</v>
      </c>
      <c r="H187" s="53">
        <f t="shared" si="43"/>
        <v>0</v>
      </c>
      <c r="I187" s="53">
        <f t="shared" si="43"/>
        <v>0</v>
      </c>
      <c r="J187" s="53">
        <f t="shared" si="43"/>
        <v>0</v>
      </c>
      <c r="K187" s="53">
        <f t="shared" si="43"/>
        <v>0</v>
      </c>
      <c r="L187" s="53">
        <f t="shared" si="43"/>
        <v>0</v>
      </c>
      <c r="M187" s="53">
        <f t="shared" si="43"/>
        <v>0</v>
      </c>
      <c r="N187" s="53">
        <f t="shared" si="43"/>
        <v>0</v>
      </c>
      <c r="O187" s="84"/>
    </row>
    <row r="188" spans="1:15" hidden="1" x14ac:dyDescent="0.25">
      <c r="A188" s="59" t="s">
        <v>193</v>
      </c>
      <c r="B188" s="78" t="s">
        <v>187</v>
      </c>
      <c r="C188" s="66">
        <f>SUM(C187*$B$189)</f>
        <v>0</v>
      </c>
      <c r="D188" s="66">
        <f t="shared" ref="D188:N188" si="44">SUM(D187*$B$189)</f>
        <v>0</v>
      </c>
      <c r="E188" s="66">
        <f t="shared" si="44"/>
        <v>0</v>
      </c>
      <c r="F188" s="66">
        <f t="shared" si="44"/>
        <v>0</v>
      </c>
      <c r="G188" s="66">
        <f t="shared" si="44"/>
        <v>0</v>
      </c>
      <c r="H188" s="66">
        <f t="shared" si="44"/>
        <v>0</v>
      </c>
      <c r="I188" s="66">
        <f t="shared" si="44"/>
        <v>0</v>
      </c>
      <c r="J188" s="66">
        <f t="shared" si="44"/>
        <v>0</v>
      </c>
      <c r="K188" s="66">
        <f t="shared" si="44"/>
        <v>0</v>
      </c>
      <c r="L188" s="66">
        <f t="shared" si="44"/>
        <v>0</v>
      </c>
      <c r="M188" s="66">
        <f t="shared" si="44"/>
        <v>0</v>
      </c>
      <c r="N188" s="66">
        <f t="shared" si="44"/>
        <v>0</v>
      </c>
      <c r="O188" s="140">
        <f>SUM(C188:N188)</f>
        <v>0</v>
      </c>
    </row>
    <row r="189" spans="1:15" hidden="1" x14ac:dyDescent="0.25">
      <c r="A189" s="59" t="s">
        <v>188</v>
      </c>
      <c r="B189" s="74">
        <v>0</v>
      </c>
      <c r="C189" s="66">
        <f>SUM(C188)*'Data Links'!$B$15</f>
        <v>0</v>
      </c>
      <c r="D189" s="66">
        <f>SUM(D188)*'Data Links'!$B$15</f>
        <v>0</v>
      </c>
      <c r="E189" s="66">
        <f>SUM(E188)*'Data Links'!$B$15</f>
        <v>0</v>
      </c>
      <c r="F189" s="66">
        <f>SUM(F188)*'Data Links'!$B$15</f>
        <v>0</v>
      </c>
      <c r="G189" s="66">
        <f>SUM(G188)*'Data Links'!$B$15</f>
        <v>0</v>
      </c>
      <c r="H189" s="66">
        <f>SUM(H188)*'Data Links'!$B$15</f>
        <v>0</v>
      </c>
      <c r="I189" s="66">
        <f>SUM(I188)*'Data Links'!$B$15</f>
        <v>0</v>
      </c>
      <c r="J189" s="66">
        <f>SUM(J188)*'Data Links'!$B$15</f>
        <v>0</v>
      </c>
      <c r="K189" s="66">
        <f>SUM(K188)*'Data Links'!$B$15</f>
        <v>0</v>
      </c>
      <c r="L189" s="66">
        <f>SUM(L188)*'Data Links'!$B$15</f>
        <v>0</v>
      </c>
      <c r="M189" s="66">
        <f>SUM(M188)*'Data Links'!$B$15</f>
        <v>0</v>
      </c>
      <c r="N189" s="66">
        <f>SUM(N188)*'Data Links'!$B$15</f>
        <v>0</v>
      </c>
      <c r="O189" s="84"/>
    </row>
    <row r="190" spans="1:15" hidden="1" x14ac:dyDescent="0.25">
      <c r="A190" s="59" t="s">
        <v>189</v>
      </c>
      <c r="B190" s="60"/>
      <c r="C190" s="66">
        <f>SUM(C188*'Data Links'!$B$13)</f>
        <v>0</v>
      </c>
      <c r="D190" s="66">
        <f>SUM(D188*'Data Links'!$B$13)</f>
        <v>0</v>
      </c>
      <c r="E190" s="66">
        <f>SUM(E188*'Data Links'!$B$13)</f>
        <v>0</v>
      </c>
      <c r="F190" s="66">
        <f>SUM(F188*'Data Links'!$B$13)</f>
        <v>0</v>
      </c>
      <c r="G190" s="66">
        <f>SUM(G188*'Data Links'!$B$13)</f>
        <v>0</v>
      </c>
      <c r="H190" s="66">
        <f>SUM(H188*'Data Links'!$B$13)</f>
        <v>0</v>
      </c>
      <c r="I190" s="66">
        <f>SUM(I188*'Data Links'!$B$13)</f>
        <v>0</v>
      </c>
      <c r="J190" s="66">
        <f>SUM(J188*'Data Links'!$B$13)</f>
        <v>0</v>
      </c>
      <c r="K190" s="66">
        <f>SUM(K188*'Data Links'!$B$13)</f>
        <v>0</v>
      </c>
      <c r="L190" s="66">
        <f>SUM(L188*'Data Links'!$B$13)</f>
        <v>0</v>
      </c>
      <c r="M190" s="66">
        <f>SUM(M188*'Data Links'!$B$13)</f>
        <v>0</v>
      </c>
      <c r="N190" s="66">
        <f>SUM(N188*'Data Links'!$B$13)</f>
        <v>0</v>
      </c>
      <c r="O190" s="84"/>
    </row>
    <row r="191" spans="1:15" hidden="1" x14ac:dyDescent="0.25">
      <c r="A191" s="59" t="s">
        <v>190</v>
      </c>
      <c r="B191" s="60"/>
      <c r="C191" s="66">
        <f>SUM(C187*'Data Links'!$B$8)</f>
        <v>0</v>
      </c>
      <c r="D191" s="66">
        <f>SUM(D187*'Data Links'!$B$8)</f>
        <v>0</v>
      </c>
      <c r="E191" s="66">
        <f>SUM(E187*'Data Links'!$B$8)</f>
        <v>0</v>
      </c>
      <c r="F191" s="66">
        <f>SUM(F187*'Data Links'!$B$8)</f>
        <v>0</v>
      </c>
      <c r="G191" s="66">
        <f>SUM(G187*'Data Links'!$B$8)</f>
        <v>0</v>
      </c>
      <c r="H191" s="66">
        <f>SUM(H187*'Data Links'!$B$8)</f>
        <v>0</v>
      </c>
      <c r="I191" s="66">
        <f>SUM(I187*'Data Links'!$B$8)</f>
        <v>0</v>
      </c>
      <c r="J191" s="66">
        <f>SUM(J187*'Data Links'!$B$8)</f>
        <v>0</v>
      </c>
      <c r="K191" s="66">
        <f>SUM(K187*'Data Links'!$B$8)</f>
        <v>0</v>
      </c>
      <c r="L191" s="66">
        <f>SUM(L187*'Data Links'!$B$8)</f>
        <v>0</v>
      </c>
      <c r="M191" s="66">
        <f>SUM(M187*'Data Links'!$B$8)</f>
        <v>0</v>
      </c>
      <c r="N191" s="66">
        <f>SUM(N187*'Data Links'!$B$8)</f>
        <v>0</v>
      </c>
      <c r="O191" s="84"/>
    </row>
    <row r="192" spans="1:15" hidden="1" x14ac:dyDescent="0.25">
      <c r="A192" s="59" t="s">
        <v>191</v>
      </c>
      <c r="B192" s="60"/>
      <c r="C192" s="66"/>
      <c r="D192" s="66"/>
      <c r="E192" s="66"/>
      <c r="F192" s="66"/>
      <c r="G192" s="66"/>
      <c r="H192" s="66"/>
      <c r="I192" s="66"/>
      <c r="J192" s="66"/>
      <c r="K192" s="66"/>
      <c r="L192" s="66"/>
      <c r="M192" s="66"/>
      <c r="N192" s="66"/>
      <c r="O192" s="84"/>
    </row>
    <row r="193" spans="1:15" hidden="1" x14ac:dyDescent="0.25">
      <c r="A193" s="59" t="s">
        <v>192</v>
      </c>
      <c r="B193" s="60"/>
      <c r="C193" s="66"/>
      <c r="D193" s="66"/>
      <c r="E193" s="66"/>
      <c r="F193" s="66"/>
      <c r="G193" s="66"/>
      <c r="H193" s="66"/>
      <c r="I193" s="66"/>
      <c r="J193" s="66"/>
      <c r="K193" s="66"/>
      <c r="L193" s="66"/>
      <c r="M193" s="66"/>
      <c r="N193" s="66"/>
      <c r="O193" s="140">
        <f>SUM(C189:N193)</f>
        <v>0</v>
      </c>
    </row>
    <row r="194" spans="1:15" hidden="1" x14ac:dyDescent="0.25">
      <c r="A194" s="58" t="s">
        <v>144</v>
      </c>
      <c r="B194" s="60"/>
      <c r="C194" s="60">
        <f t="shared" ref="C194:N194" si="45">SUM(C188:C193)</f>
        <v>0</v>
      </c>
      <c r="D194" s="60">
        <f t="shared" si="45"/>
        <v>0</v>
      </c>
      <c r="E194" s="60">
        <f t="shared" si="45"/>
        <v>0</v>
      </c>
      <c r="F194" s="60">
        <f t="shared" si="45"/>
        <v>0</v>
      </c>
      <c r="G194" s="60">
        <f t="shared" si="45"/>
        <v>0</v>
      </c>
      <c r="H194" s="60">
        <f t="shared" si="45"/>
        <v>0</v>
      </c>
      <c r="I194" s="60">
        <f t="shared" si="45"/>
        <v>0</v>
      </c>
      <c r="J194" s="60">
        <f t="shared" si="45"/>
        <v>0</v>
      </c>
      <c r="K194" s="60">
        <f t="shared" si="45"/>
        <v>0</v>
      </c>
      <c r="L194" s="60">
        <f t="shared" si="45"/>
        <v>0</v>
      </c>
      <c r="M194" s="60">
        <f t="shared" si="45"/>
        <v>0</v>
      </c>
      <c r="N194" s="60">
        <f t="shared" si="45"/>
        <v>0</v>
      </c>
      <c r="O194" s="58"/>
    </row>
    <row r="195" spans="1:15" x14ac:dyDescent="0.25">
      <c r="A195" s="59"/>
      <c r="B195" s="60"/>
      <c r="C195" s="60"/>
      <c r="D195" s="66"/>
      <c r="E195" s="66"/>
      <c r="F195" s="66"/>
      <c r="G195" s="66"/>
      <c r="H195" s="66"/>
      <c r="I195" s="66"/>
      <c r="J195" s="66"/>
      <c r="K195" s="66"/>
      <c r="L195" s="66"/>
      <c r="M195" s="66"/>
      <c r="N195" s="66"/>
      <c r="O195" s="84"/>
    </row>
    <row r="196" spans="1:15" x14ac:dyDescent="0.25">
      <c r="A196" s="59"/>
      <c r="B196" s="60"/>
      <c r="C196" s="89" t="str">
        <f>C183</f>
        <v>January</v>
      </c>
      <c r="D196" s="89" t="str">
        <f t="shared" ref="D196:M196" si="46">D183</f>
        <v>February</v>
      </c>
      <c r="E196" s="89" t="str">
        <f t="shared" si="46"/>
        <v>March</v>
      </c>
      <c r="F196" s="89" t="str">
        <f t="shared" si="46"/>
        <v>April</v>
      </c>
      <c r="G196" s="89" t="str">
        <f t="shared" si="46"/>
        <v>May</v>
      </c>
      <c r="H196" s="89" t="str">
        <f t="shared" si="46"/>
        <v>June</v>
      </c>
      <c r="I196" s="89" t="str">
        <f t="shared" si="46"/>
        <v>July</v>
      </c>
      <c r="J196" s="89" t="str">
        <f t="shared" si="46"/>
        <v>August</v>
      </c>
      <c r="K196" s="89" t="str">
        <f t="shared" si="46"/>
        <v>September</v>
      </c>
      <c r="L196" s="89" t="str">
        <f t="shared" si="46"/>
        <v>October</v>
      </c>
      <c r="M196" s="89" t="str">
        <f t="shared" si="46"/>
        <v>November</v>
      </c>
      <c r="N196" s="89" t="str">
        <f>N183</f>
        <v>December</v>
      </c>
      <c r="O196" s="84"/>
    </row>
    <row r="197" spans="1:15" x14ac:dyDescent="0.25">
      <c r="A197" s="59"/>
      <c r="B197" s="60"/>
      <c r="C197" s="89">
        <f t="shared" ref="C197:N198" si="47">C184</f>
        <v>30</v>
      </c>
      <c r="D197" s="89">
        <f t="shared" si="47"/>
        <v>31</v>
      </c>
      <c r="E197" s="89">
        <f t="shared" si="47"/>
        <v>30</v>
      </c>
      <c r="F197" s="89">
        <f t="shared" si="47"/>
        <v>31</v>
      </c>
      <c r="G197" s="89">
        <f t="shared" si="47"/>
        <v>31</v>
      </c>
      <c r="H197" s="89">
        <f t="shared" si="47"/>
        <v>30</v>
      </c>
      <c r="I197" s="89">
        <f t="shared" si="47"/>
        <v>31</v>
      </c>
      <c r="J197" s="89">
        <f t="shared" si="47"/>
        <v>30</v>
      </c>
      <c r="K197" s="89">
        <f t="shared" si="47"/>
        <v>31</v>
      </c>
      <c r="L197" s="89">
        <f t="shared" si="47"/>
        <v>31</v>
      </c>
      <c r="M197" s="89">
        <f t="shared" si="47"/>
        <v>28</v>
      </c>
      <c r="N197" s="89">
        <f t="shared" si="47"/>
        <v>31</v>
      </c>
      <c r="O197" s="84"/>
    </row>
    <row r="198" spans="1:15" x14ac:dyDescent="0.25">
      <c r="A198" s="59"/>
      <c r="B198" s="89" t="s">
        <v>185</v>
      </c>
      <c r="C198" s="78">
        <f t="shared" si="47"/>
        <v>0</v>
      </c>
      <c r="D198" s="78">
        <f t="shared" si="47"/>
        <v>1</v>
      </c>
      <c r="E198" s="78">
        <f t="shared" si="47"/>
        <v>0</v>
      </c>
      <c r="F198" s="78">
        <f t="shared" si="47"/>
        <v>1</v>
      </c>
      <c r="G198" s="78">
        <f t="shared" si="47"/>
        <v>0</v>
      </c>
      <c r="H198" s="78">
        <f t="shared" si="47"/>
        <v>1</v>
      </c>
      <c r="I198" s="78">
        <f t="shared" si="47"/>
        <v>1</v>
      </c>
      <c r="J198" s="78">
        <f t="shared" si="47"/>
        <v>1</v>
      </c>
      <c r="K198" s="78">
        <f t="shared" si="47"/>
        <v>1</v>
      </c>
      <c r="L198" s="78">
        <f t="shared" si="47"/>
        <v>2</v>
      </c>
      <c r="M198" s="78">
        <f t="shared" si="47"/>
        <v>1</v>
      </c>
      <c r="N198" s="78">
        <f t="shared" si="47"/>
        <v>0</v>
      </c>
      <c r="O198" s="84"/>
    </row>
    <row r="199" spans="1:15" x14ac:dyDescent="0.25">
      <c r="A199" s="59"/>
      <c r="B199" s="89" t="s">
        <v>44</v>
      </c>
      <c r="C199" s="49">
        <v>0.5</v>
      </c>
      <c r="D199" s="49">
        <v>0.5</v>
      </c>
      <c r="E199" s="49">
        <v>0.5</v>
      </c>
      <c r="F199" s="49">
        <v>0.5</v>
      </c>
      <c r="G199" s="49">
        <v>0.5</v>
      </c>
      <c r="H199" s="49">
        <v>0.5</v>
      </c>
      <c r="I199" s="49">
        <v>0.5</v>
      </c>
      <c r="J199" s="49">
        <v>0.5</v>
      </c>
      <c r="K199" s="49">
        <v>0.5</v>
      </c>
      <c r="L199" s="49">
        <v>0.5</v>
      </c>
      <c r="M199" s="49">
        <v>0.5</v>
      </c>
      <c r="N199" s="49">
        <v>0.5</v>
      </c>
      <c r="O199" s="84"/>
    </row>
    <row r="200" spans="1:15" x14ac:dyDescent="0.25">
      <c r="A200" s="59"/>
      <c r="B200" s="89" t="s">
        <v>186</v>
      </c>
      <c r="C200" s="53">
        <f>SUM(174*C199)</f>
        <v>87</v>
      </c>
      <c r="D200" s="53">
        <f t="shared" ref="D200:N200" si="48">SUM(174*D199)</f>
        <v>87</v>
      </c>
      <c r="E200" s="53">
        <f t="shared" si="48"/>
        <v>87</v>
      </c>
      <c r="F200" s="53">
        <f t="shared" si="48"/>
        <v>87</v>
      </c>
      <c r="G200" s="53">
        <f t="shared" si="48"/>
        <v>87</v>
      </c>
      <c r="H200" s="53">
        <f t="shared" si="48"/>
        <v>87</v>
      </c>
      <c r="I200" s="53">
        <f t="shared" si="48"/>
        <v>87</v>
      </c>
      <c r="J200" s="53">
        <f t="shared" si="48"/>
        <v>87</v>
      </c>
      <c r="K200" s="53">
        <f t="shared" si="48"/>
        <v>87</v>
      </c>
      <c r="L200" s="53">
        <f t="shared" si="48"/>
        <v>87</v>
      </c>
      <c r="M200" s="53">
        <f t="shared" si="48"/>
        <v>87</v>
      </c>
      <c r="N200" s="53">
        <f t="shared" si="48"/>
        <v>87</v>
      </c>
      <c r="O200" s="84"/>
    </row>
    <row r="201" spans="1:15" x14ac:dyDescent="0.25">
      <c r="A201" s="59" t="s">
        <v>553</v>
      </c>
      <c r="B201" s="78" t="s">
        <v>396</v>
      </c>
      <c r="C201" s="66">
        <f>SUM(C200*$B$202)</f>
        <v>1537.2900000000002</v>
      </c>
      <c r="D201" s="66">
        <f t="shared" ref="D201:N201" si="49">SUM(D200*$B$202)</f>
        <v>1537.2900000000002</v>
      </c>
      <c r="E201" s="66">
        <f t="shared" si="49"/>
        <v>1537.2900000000002</v>
      </c>
      <c r="F201" s="66">
        <f t="shared" si="49"/>
        <v>1537.2900000000002</v>
      </c>
      <c r="G201" s="66">
        <f t="shared" si="49"/>
        <v>1537.2900000000002</v>
      </c>
      <c r="H201" s="66">
        <f t="shared" si="49"/>
        <v>1537.2900000000002</v>
      </c>
      <c r="I201" s="66">
        <f t="shared" si="49"/>
        <v>1537.2900000000002</v>
      </c>
      <c r="J201" s="66">
        <f t="shared" si="49"/>
        <v>1537.2900000000002</v>
      </c>
      <c r="K201" s="66">
        <f t="shared" si="49"/>
        <v>1537.2900000000002</v>
      </c>
      <c r="L201" s="66">
        <f t="shared" si="49"/>
        <v>1537.2900000000002</v>
      </c>
      <c r="M201" s="66">
        <f t="shared" si="49"/>
        <v>1537.2900000000002</v>
      </c>
      <c r="N201" s="66">
        <f t="shared" si="49"/>
        <v>1537.2900000000002</v>
      </c>
      <c r="O201" s="140"/>
    </row>
    <row r="202" spans="1:15" x14ac:dyDescent="0.25">
      <c r="A202" s="59" t="s">
        <v>188</v>
      </c>
      <c r="B202" s="74">
        <v>17.670000000000002</v>
      </c>
      <c r="C202" s="66">
        <f>SUM(C201)*'Data Links'!$B$15</f>
        <v>117.60268500000001</v>
      </c>
      <c r="D202" s="66">
        <f>SUM(D201)*'Data Links'!$B$15</f>
        <v>117.60268500000001</v>
      </c>
      <c r="E202" s="66">
        <f>SUM(E201)*'Data Links'!$B$15</f>
        <v>117.60268500000001</v>
      </c>
      <c r="F202" s="66">
        <f>SUM(F201)*'Data Links'!$B$15</f>
        <v>117.60268500000001</v>
      </c>
      <c r="G202" s="66">
        <f>SUM(G201)*'Data Links'!$B$15</f>
        <v>117.60268500000001</v>
      </c>
      <c r="H202" s="66">
        <f>SUM(H201)*'Data Links'!$B$15</f>
        <v>117.60268500000001</v>
      </c>
      <c r="I202" s="66">
        <f>SUM(I201)*'Data Links'!$B$15</f>
        <v>117.60268500000001</v>
      </c>
      <c r="J202" s="66">
        <f>SUM(J201)*'Data Links'!$B$15</f>
        <v>117.60268500000001</v>
      </c>
      <c r="K202" s="66">
        <f>SUM(K201)*'Data Links'!$B$15</f>
        <v>117.60268500000001</v>
      </c>
      <c r="L202" s="66">
        <f>SUM(L201)*'Data Links'!$B$15</f>
        <v>117.60268500000001</v>
      </c>
      <c r="M202" s="66">
        <f>SUM(M201)*'Data Links'!$B$15</f>
        <v>117.60268500000001</v>
      </c>
      <c r="N202" s="66">
        <f>SUM(N201)*'Data Links'!$B$15</f>
        <v>117.60268500000001</v>
      </c>
      <c r="O202" s="84"/>
    </row>
    <row r="203" spans="1:15" x14ac:dyDescent="0.25">
      <c r="A203" s="59" t="s">
        <v>189</v>
      </c>
      <c r="B203" s="74">
        <v>16.75</v>
      </c>
      <c r="C203" s="66">
        <f>SUM(C201*'Data Links'!$B$13)</f>
        <v>9.2237400000000012</v>
      </c>
      <c r="D203" s="66">
        <f>SUM(D201*'Data Links'!$B$13)</f>
        <v>9.2237400000000012</v>
      </c>
      <c r="E203" s="66">
        <f>SUM(E201*'Data Links'!$B$13)</f>
        <v>9.2237400000000012</v>
      </c>
      <c r="F203" s="66">
        <f>SUM(F201*'Data Links'!$B$13)</f>
        <v>9.2237400000000012</v>
      </c>
      <c r="G203" s="66">
        <f>SUM(G201*'Data Links'!$B$13)</f>
        <v>9.2237400000000012</v>
      </c>
      <c r="H203" s="66">
        <f>SUM(H201*'Data Links'!$B$13)</f>
        <v>9.2237400000000012</v>
      </c>
      <c r="I203" s="66">
        <f>SUM(I201*'Data Links'!$B$13)</f>
        <v>9.2237400000000012</v>
      </c>
      <c r="J203" s="66">
        <f>SUM(J201*'Data Links'!$B$13)</f>
        <v>9.2237400000000012</v>
      </c>
      <c r="K203" s="66">
        <f>SUM(K201*'Data Links'!$B$13)</f>
        <v>9.2237400000000012</v>
      </c>
      <c r="L203" s="66">
        <f>SUM(L201*'Data Links'!$B$13)</f>
        <v>9.2237400000000012</v>
      </c>
      <c r="M203" s="66">
        <f>SUM(M201*'Data Links'!$B$13)</f>
        <v>9.2237400000000012</v>
      </c>
      <c r="N203" s="66">
        <f>SUM(N201*'Data Links'!$B$13)</f>
        <v>9.2237400000000012</v>
      </c>
      <c r="O203" s="84"/>
    </row>
    <row r="204" spans="1:15" x14ac:dyDescent="0.25">
      <c r="A204" s="59" t="s">
        <v>190</v>
      </c>
      <c r="B204" s="60"/>
      <c r="C204" s="66">
        <f>SUM(C200*'Data Links'!$B$8)</f>
        <v>6.7729499999999998</v>
      </c>
      <c r="D204" s="66">
        <f>SUM(D200*'Data Links'!$B$8)</f>
        <v>6.7729499999999998</v>
      </c>
      <c r="E204" s="66">
        <f>SUM(E200*'Data Links'!$B$8)</f>
        <v>6.7729499999999998</v>
      </c>
      <c r="F204" s="66">
        <f>SUM(F200*'Data Links'!$B$8)</f>
        <v>6.7729499999999998</v>
      </c>
      <c r="G204" s="66">
        <f>SUM(G200*'Data Links'!$B$8)</f>
        <v>6.7729499999999998</v>
      </c>
      <c r="H204" s="66">
        <f>SUM(H200*'Data Links'!$B$8)</f>
        <v>6.7729499999999998</v>
      </c>
      <c r="I204" s="66">
        <f>SUM(I200*'Data Links'!$B$8)</f>
        <v>6.7729499999999998</v>
      </c>
      <c r="J204" s="66">
        <f>SUM(J200*'Data Links'!$B$8)</f>
        <v>6.7729499999999998</v>
      </c>
      <c r="K204" s="66">
        <f>SUM(K200*'Data Links'!$B$8)</f>
        <v>6.7729499999999998</v>
      </c>
      <c r="L204" s="66">
        <f>SUM(L200*'Data Links'!$B$8)</f>
        <v>6.7729499999999998</v>
      </c>
      <c r="M204" s="66">
        <f>SUM(M200*'Data Links'!$B$8)</f>
        <v>6.7729499999999998</v>
      </c>
      <c r="N204" s="66">
        <f>SUM(N200*'Data Links'!$B$8)</f>
        <v>6.7729499999999998</v>
      </c>
      <c r="O204" s="84"/>
    </row>
    <row r="205" spans="1:15" x14ac:dyDescent="0.25">
      <c r="A205" s="59" t="s">
        <v>191</v>
      </c>
      <c r="B205" s="60"/>
      <c r="C205" s="66"/>
      <c r="D205" s="66"/>
      <c r="E205" s="66"/>
      <c r="F205" s="66"/>
      <c r="G205" s="66"/>
      <c r="H205" s="66"/>
      <c r="I205" s="66"/>
      <c r="J205" s="66"/>
      <c r="K205" s="66"/>
      <c r="L205" s="66"/>
      <c r="M205" s="66"/>
      <c r="N205" s="66"/>
      <c r="O205" s="84"/>
    </row>
    <row r="206" spans="1:15" x14ac:dyDescent="0.25">
      <c r="A206" s="59" t="s">
        <v>192</v>
      </c>
      <c r="B206" s="60"/>
      <c r="C206" s="66">
        <f>SUM(C201*'Data Links'!$B$17)</f>
        <v>46.118700000000004</v>
      </c>
      <c r="D206" s="66">
        <f>SUM(D201*'Data Links'!$B$17)</f>
        <v>46.118700000000004</v>
      </c>
      <c r="E206" s="66">
        <f>SUM(E201*'Data Links'!$B$17)</f>
        <v>46.118700000000004</v>
      </c>
      <c r="F206" s="66">
        <f>SUM(F201*'Data Links'!$B$17)</f>
        <v>46.118700000000004</v>
      </c>
      <c r="G206" s="66">
        <f>SUM(G201*'Data Links'!$B$17)</f>
        <v>46.118700000000004</v>
      </c>
      <c r="H206" s="66">
        <f>SUM(H201*'Data Links'!$B$17)</f>
        <v>46.118700000000004</v>
      </c>
      <c r="I206" s="66">
        <f>SUM(I201*'Data Links'!$B$17)</f>
        <v>46.118700000000004</v>
      </c>
      <c r="J206" s="66">
        <f>SUM(J201*'Data Links'!$B$17)</f>
        <v>46.118700000000004</v>
      </c>
      <c r="K206" s="66">
        <f>SUM(K201*'Data Links'!$B$17)</f>
        <v>46.118700000000004</v>
      </c>
      <c r="L206" s="66">
        <f>SUM(L201*'Data Links'!$B$17)</f>
        <v>46.118700000000004</v>
      </c>
      <c r="M206" s="66">
        <f>SUM(M201*'Data Links'!$B$17)</f>
        <v>46.118700000000004</v>
      </c>
      <c r="N206" s="66">
        <f>SUM(N201*'Data Links'!$B$17)</f>
        <v>46.118700000000004</v>
      </c>
      <c r="O206" s="140"/>
    </row>
    <row r="207" spans="1:15" x14ac:dyDescent="0.25">
      <c r="A207" s="58" t="s">
        <v>144</v>
      </c>
      <c r="B207" s="60"/>
      <c r="C207" s="60">
        <f t="shared" ref="C207:N207" si="50">SUM(C201:C206)</f>
        <v>1717.0080750000002</v>
      </c>
      <c r="D207" s="60">
        <f t="shared" si="50"/>
        <v>1717.0080750000002</v>
      </c>
      <c r="E207" s="60">
        <f t="shared" si="50"/>
        <v>1717.0080750000002</v>
      </c>
      <c r="F207" s="60">
        <f t="shared" si="50"/>
        <v>1717.0080750000002</v>
      </c>
      <c r="G207" s="60">
        <f t="shared" si="50"/>
        <v>1717.0080750000002</v>
      </c>
      <c r="H207" s="60">
        <f t="shared" si="50"/>
        <v>1717.0080750000002</v>
      </c>
      <c r="I207" s="60">
        <f t="shared" si="50"/>
        <v>1717.0080750000002</v>
      </c>
      <c r="J207" s="60">
        <f t="shared" si="50"/>
        <v>1717.0080750000002</v>
      </c>
      <c r="K207" s="60">
        <f t="shared" si="50"/>
        <v>1717.0080750000002</v>
      </c>
      <c r="L207" s="60">
        <f t="shared" si="50"/>
        <v>1717.0080750000002</v>
      </c>
      <c r="M207" s="60">
        <f t="shared" si="50"/>
        <v>1717.0080750000002</v>
      </c>
      <c r="N207" s="60">
        <f t="shared" si="50"/>
        <v>1717.0080750000002</v>
      </c>
      <c r="O207" s="58"/>
    </row>
    <row r="208" spans="1:15" x14ac:dyDescent="0.25">
      <c r="A208" s="59"/>
      <c r="B208" s="60"/>
      <c r="C208" s="60"/>
      <c r="D208" s="66"/>
      <c r="E208" s="66"/>
      <c r="F208" s="66"/>
      <c r="G208" s="66"/>
      <c r="H208" s="66"/>
      <c r="I208" s="66"/>
      <c r="J208" s="66"/>
      <c r="K208" s="66"/>
      <c r="L208" s="66"/>
      <c r="M208" s="66"/>
      <c r="N208" s="66"/>
      <c r="O208" s="84"/>
    </row>
    <row r="209" spans="1:15" hidden="1" x14ac:dyDescent="0.25">
      <c r="A209" s="59"/>
      <c r="B209" s="60"/>
      <c r="C209" s="89" t="str">
        <f>C196</f>
        <v>January</v>
      </c>
      <c r="D209" s="89" t="str">
        <f t="shared" ref="D209:M209" si="51">D196</f>
        <v>February</v>
      </c>
      <c r="E209" s="89" t="str">
        <f t="shared" si="51"/>
        <v>March</v>
      </c>
      <c r="F209" s="89" t="str">
        <f t="shared" si="51"/>
        <v>April</v>
      </c>
      <c r="G209" s="89" t="str">
        <f t="shared" si="51"/>
        <v>May</v>
      </c>
      <c r="H209" s="89" t="str">
        <f t="shared" si="51"/>
        <v>June</v>
      </c>
      <c r="I209" s="89" t="str">
        <f t="shared" si="51"/>
        <v>July</v>
      </c>
      <c r="J209" s="89" t="str">
        <f t="shared" si="51"/>
        <v>August</v>
      </c>
      <c r="K209" s="89" t="str">
        <f t="shared" si="51"/>
        <v>September</v>
      </c>
      <c r="L209" s="89" t="str">
        <f t="shared" si="51"/>
        <v>October</v>
      </c>
      <c r="M209" s="89" t="str">
        <f t="shared" si="51"/>
        <v>November</v>
      </c>
      <c r="N209" s="89" t="str">
        <f>N196</f>
        <v>December</v>
      </c>
      <c r="O209" s="84"/>
    </row>
    <row r="210" spans="1:15" hidden="1" x14ac:dyDescent="0.25">
      <c r="A210" s="59"/>
      <c r="B210" s="60"/>
      <c r="C210" s="89">
        <f t="shared" ref="C210:N211" si="52">C197</f>
        <v>30</v>
      </c>
      <c r="D210" s="89">
        <f t="shared" si="52"/>
        <v>31</v>
      </c>
      <c r="E210" s="89">
        <f t="shared" si="52"/>
        <v>30</v>
      </c>
      <c r="F210" s="89">
        <f t="shared" si="52"/>
        <v>31</v>
      </c>
      <c r="G210" s="89">
        <f t="shared" si="52"/>
        <v>31</v>
      </c>
      <c r="H210" s="89">
        <f t="shared" si="52"/>
        <v>30</v>
      </c>
      <c r="I210" s="89">
        <f t="shared" si="52"/>
        <v>31</v>
      </c>
      <c r="J210" s="89">
        <f t="shared" si="52"/>
        <v>30</v>
      </c>
      <c r="K210" s="89">
        <f t="shared" si="52"/>
        <v>31</v>
      </c>
      <c r="L210" s="89">
        <f t="shared" si="52"/>
        <v>31</v>
      </c>
      <c r="M210" s="89">
        <f t="shared" si="52"/>
        <v>28</v>
      </c>
      <c r="N210" s="89">
        <f t="shared" si="52"/>
        <v>31</v>
      </c>
      <c r="O210" s="84"/>
    </row>
    <row r="211" spans="1:15" hidden="1" x14ac:dyDescent="0.25">
      <c r="A211" s="59"/>
      <c r="B211" s="89" t="s">
        <v>185</v>
      </c>
      <c r="C211" s="78">
        <f t="shared" si="52"/>
        <v>0</v>
      </c>
      <c r="D211" s="78">
        <f t="shared" si="52"/>
        <v>1</v>
      </c>
      <c r="E211" s="78">
        <f t="shared" si="52"/>
        <v>0</v>
      </c>
      <c r="F211" s="78">
        <f t="shared" si="52"/>
        <v>1</v>
      </c>
      <c r="G211" s="78">
        <f t="shared" si="52"/>
        <v>0</v>
      </c>
      <c r="H211" s="78">
        <f t="shared" si="52"/>
        <v>1</v>
      </c>
      <c r="I211" s="78">
        <f t="shared" si="52"/>
        <v>1</v>
      </c>
      <c r="J211" s="78">
        <f t="shared" si="52"/>
        <v>1</v>
      </c>
      <c r="K211" s="78">
        <f t="shared" si="52"/>
        <v>1</v>
      </c>
      <c r="L211" s="78">
        <f t="shared" si="52"/>
        <v>2</v>
      </c>
      <c r="M211" s="78">
        <f t="shared" si="52"/>
        <v>1</v>
      </c>
      <c r="N211" s="78">
        <f t="shared" si="52"/>
        <v>0</v>
      </c>
      <c r="O211" s="84"/>
    </row>
    <row r="212" spans="1:15" hidden="1" x14ac:dyDescent="0.25">
      <c r="A212" s="59"/>
      <c r="B212" s="89" t="s">
        <v>44</v>
      </c>
      <c r="C212" s="49"/>
      <c r="D212" s="49"/>
      <c r="E212" s="49"/>
      <c r="F212" s="49"/>
      <c r="G212" s="49"/>
      <c r="H212" s="49"/>
      <c r="I212" s="49"/>
      <c r="J212" s="49"/>
      <c r="K212" s="49"/>
      <c r="L212" s="49"/>
      <c r="M212" s="49"/>
      <c r="N212" s="49"/>
      <c r="O212" s="84"/>
    </row>
    <row r="213" spans="1:15" hidden="1" x14ac:dyDescent="0.25">
      <c r="A213" s="59"/>
      <c r="B213" s="89" t="s">
        <v>186</v>
      </c>
      <c r="C213" s="53">
        <f t="shared" ref="C213:N213" si="53">SUM(174*C212)</f>
        <v>0</v>
      </c>
      <c r="D213" s="53">
        <f t="shared" si="53"/>
        <v>0</v>
      </c>
      <c r="E213" s="53">
        <f t="shared" si="53"/>
        <v>0</v>
      </c>
      <c r="F213" s="53">
        <f t="shared" si="53"/>
        <v>0</v>
      </c>
      <c r="G213" s="53">
        <f t="shared" si="53"/>
        <v>0</v>
      </c>
      <c r="H213" s="53">
        <f t="shared" si="53"/>
        <v>0</v>
      </c>
      <c r="I213" s="53">
        <f t="shared" si="53"/>
        <v>0</v>
      </c>
      <c r="J213" s="53">
        <f t="shared" si="53"/>
        <v>0</v>
      </c>
      <c r="K213" s="53">
        <f t="shared" si="53"/>
        <v>0</v>
      </c>
      <c r="L213" s="53">
        <f t="shared" si="53"/>
        <v>0</v>
      </c>
      <c r="M213" s="53">
        <f t="shared" si="53"/>
        <v>0</v>
      </c>
      <c r="N213" s="53">
        <f t="shared" si="53"/>
        <v>0</v>
      </c>
      <c r="O213" s="84"/>
    </row>
    <row r="214" spans="1:15" hidden="1" x14ac:dyDescent="0.25">
      <c r="A214" s="59" t="s">
        <v>193</v>
      </c>
      <c r="B214" s="78" t="s">
        <v>187</v>
      </c>
      <c r="C214" s="66">
        <f>SUM(C213*$B$215)</f>
        <v>0</v>
      </c>
      <c r="D214" s="66">
        <f t="shared" ref="D214:N214" si="54">SUM(D213*$B$215)</f>
        <v>0</v>
      </c>
      <c r="E214" s="66">
        <f t="shared" si="54"/>
        <v>0</v>
      </c>
      <c r="F214" s="66">
        <f t="shared" si="54"/>
        <v>0</v>
      </c>
      <c r="G214" s="66">
        <f t="shared" si="54"/>
        <v>0</v>
      </c>
      <c r="H214" s="66">
        <f t="shared" si="54"/>
        <v>0</v>
      </c>
      <c r="I214" s="66">
        <f t="shared" si="54"/>
        <v>0</v>
      </c>
      <c r="J214" s="66">
        <f t="shared" si="54"/>
        <v>0</v>
      </c>
      <c r="K214" s="66">
        <f t="shared" si="54"/>
        <v>0</v>
      </c>
      <c r="L214" s="66">
        <f t="shared" si="54"/>
        <v>0</v>
      </c>
      <c r="M214" s="66">
        <f t="shared" si="54"/>
        <v>0</v>
      </c>
      <c r="N214" s="66">
        <f t="shared" si="54"/>
        <v>0</v>
      </c>
      <c r="O214" s="84"/>
    </row>
    <row r="215" spans="1:15" hidden="1" x14ac:dyDescent="0.25">
      <c r="A215" s="59" t="s">
        <v>188</v>
      </c>
      <c r="B215" s="367">
        <v>0</v>
      </c>
      <c r="C215" s="66">
        <f>SUM(C214)*'Data Links'!$B$15</f>
        <v>0</v>
      </c>
      <c r="D215" s="66">
        <f>SUM(D214)*'Data Links'!$B$15</f>
        <v>0</v>
      </c>
      <c r="E215" s="66">
        <f>SUM(E214)*'Data Links'!$B$15</f>
        <v>0</v>
      </c>
      <c r="F215" s="66">
        <f>SUM(F214)*'Data Links'!$B$15</f>
        <v>0</v>
      </c>
      <c r="G215" s="66">
        <f>SUM(G214)*'Data Links'!$B$15</f>
        <v>0</v>
      </c>
      <c r="H215" s="66">
        <f>SUM(H214)*'Data Links'!$B$15</f>
        <v>0</v>
      </c>
      <c r="I215" s="66">
        <f>SUM(I214)*'Data Links'!$B$15</f>
        <v>0</v>
      </c>
      <c r="J215" s="66">
        <f>SUM(J214)*'Data Links'!$B$15</f>
        <v>0</v>
      </c>
      <c r="K215" s="66">
        <f>SUM(K214)*'Data Links'!$B$15</f>
        <v>0</v>
      </c>
      <c r="L215" s="66">
        <f>SUM(L214)*'Data Links'!$B$15</f>
        <v>0</v>
      </c>
      <c r="M215" s="66">
        <f>SUM(M214)*'Data Links'!$B$15</f>
        <v>0</v>
      </c>
      <c r="N215" s="66">
        <f>SUM(N214)*'Data Links'!$B$15</f>
        <v>0</v>
      </c>
      <c r="O215" s="84"/>
    </row>
    <row r="216" spans="1:15" hidden="1" x14ac:dyDescent="0.25">
      <c r="A216" s="59" t="s">
        <v>189</v>
      </c>
      <c r="B216" s="60"/>
      <c r="C216" s="66">
        <f>SUM(C214*'Data Links'!$B$13)</f>
        <v>0</v>
      </c>
      <c r="D216" s="66">
        <f>SUM(D214*'Data Links'!$B$13)</f>
        <v>0</v>
      </c>
      <c r="E216" s="66">
        <f>SUM(E214*'Data Links'!$B$13)</f>
        <v>0</v>
      </c>
      <c r="F216" s="66">
        <f>SUM(F214*'Data Links'!$B$13)</f>
        <v>0</v>
      </c>
      <c r="G216" s="66">
        <f>SUM(G214*'Data Links'!$B$13)</f>
        <v>0</v>
      </c>
      <c r="H216" s="66">
        <f>SUM(H214*'Data Links'!$B$13)</f>
        <v>0</v>
      </c>
      <c r="I216" s="66">
        <f>SUM(I214*'Data Links'!$B$13)</f>
        <v>0</v>
      </c>
      <c r="J216" s="66">
        <f>SUM(J214*'Data Links'!$B$13)</f>
        <v>0</v>
      </c>
      <c r="K216" s="66">
        <f>SUM(K214*'Data Links'!$B$13)</f>
        <v>0</v>
      </c>
      <c r="L216" s="66">
        <f>SUM(L214*'Data Links'!$B$13)</f>
        <v>0</v>
      </c>
      <c r="M216" s="66">
        <f>SUM(M214*'Data Links'!$B$13)</f>
        <v>0</v>
      </c>
      <c r="N216" s="66">
        <f>SUM(N214*'Data Links'!$B$13)</f>
        <v>0</v>
      </c>
      <c r="O216" s="84"/>
    </row>
    <row r="217" spans="1:15" hidden="1" x14ac:dyDescent="0.25">
      <c r="A217" s="59" t="s">
        <v>190</v>
      </c>
      <c r="B217" s="60"/>
      <c r="C217" s="66">
        <f>SUM(C213*'Data Links'!$B$8)</f>
        <v>0</v>
      </c>
      <c r="D217" s="66">
        <f>SUM(D213*'Data Links'!$B$8)</f>
        <v>0</v>
      </c>
      <c r="E217" s="66">
        <f>SUM(E213*'Data Links'!$B$8)</f>
        <v>0</v>
      </c>
      <c r="F217" s="66">
        <f>SUM(F213*'Data Links'!$B$8)</f>
        <v>0</v>
      </c>
      <c r="G217" s="66">
        <f>SUM(G213*'Data Links'!$B$8)</f>
        <v>0</v>
      </c>
      <c r="H217" s="66">
        <f>SUM(H213*'Data Links'!$B$8)</f>
        <v>0</v>
      </c>
      <c r="I217" s="66">
        <f>SUM(I213*'Data Links'!$B$8)</f>
        <v>0</v>
      </c>
      <c r="J217" s="66">
        <f>SUM(J213*'Data Links'!$B$8)</f>
        <v>0</v>
      </c>
      <c r="K217" s="66">
        <f>SUM(K213*'Data Links'!$B$8)</f>
        <v>0</v>
      </c>
      <c r="L217" s="66">
        <f>SUM(L213*'Data Links'!$B$8)</f>
        <v>0</v>
      </c>
      <c r="M217" s="66">
        <f>SUM(M213*'Data Links'!$B$8)</f>
        <v>0</v>
      </c>
      <c r="N217" s="66">
        <f>SUM(N213*'Data Links'!$B$8)</f>
        <v>0</v>
      </c>
      <c r="O217" s="84"/>
    </row>
    <row r="218" spans="1:15" hidden="1" x14ac:dyDescent="0.25">
      <c r="A218" s="59" t="s">
        <v>191</v>
      </c>
      <c r="B218" s="60"/>
      <c r="C218" s="66"/>
      <c r="D218" s="66"/>
      <c r="E218" s="66"/>
      <c r="F218" s="66"/>
      <c r="G218" s="66"/>
      <c r="H218" s="66"/>
      <c r="I218" s="66"/>
      <c r="J218" s="66"/>
      <c r="K218" s="66"/>
      <c r="L218" s="66"/>
      <c r="M218" s="66"/>
      <c r="N218" s="66"/>
      <c r="O218" s="84"/>
    </row>
    <row r="219" spans="1:15" hidden="1" x14ac:dyDescent="0.25">
      <c r="A219" s="59" t="s">
        <v>192</v>
      </c>
      <c r="B219" s="60"/>
      <c r="C219" s="66"/>
      <c r="D219" s="66"/>
      <c r="E219" s="66"/>
      <c r="F219" s="66"/>
      <c r="G219" s="66"/>
      <c r="H219" s="66"/>
      <c r="I219" s="66"/>
      <c r="J219" s="66"/>
      <c r="K219" s="66">
        <f>SUM(K214*'Data Links'!$B$17)</f>
        <v>0</v>
      </c>
      <c r="L219" s="66">
        <f>SUM(L214*'Data Links'!$B$17)</f>
        <v>0</v>
      </c>
      <c r="M219" s="66">
        <f>SUM(M214*'Data Links'!$B$17)</f>
        <v>0</v>
      </c>
      <c r="N219" s="66">
        <f>SUM(N214*'Data Links'!$B$17)</f>
        <v>0</v>
      </c>
      <c r="O219" s="84"/>
    </row>
    <row r="220" spans="1:15" hidden="1" x14ac:dyDescent="0.25">
      <c r="A220" s="58" t="s">
        <v>144</v>
      </c>
      <c r="B220" s="60"/>
      <c r="C220" s="60">
        <f t="shared" ref="C220:N220" si="55">SUM(C214:C219)</f>
        <v>0</v>
      </c>
      <c r="D220" s="60">
        <f t="shared" si="55"/>
        <v>0</v>
      </c>
      <c r="E220" s="60">
        <f t="shared" si="55"/>
        <v>0</v>
      </c>
      <c r="F220" s="60">
        <f t="shared" si="55"/>
        <v>0</v>
      </c>
      <c r="G220" s="60">
        <f t="shared" si="55"/>
        <v>0</v>
      </c>
      <c r="H220" s="60">
        <f t="shared" si="55"/>
        <v>0</v>
      </c>
      <c r="I220" s="60">
        <f t="shared" si="55"/>
        <v>0</v>
      </c>
      <c r="J220" s="60">
        <f t="shared" si="55"/>
        <v>0</v>
      </c>
      <c r="K220" s="60">
        <f t="shared" si="55"/>
        <v>0</v>
      </c>
      <c r="L220" s="60">
        <f t="shared" si="55"/>
        <v>0</v>
      </c>
      <c r="M220" s="60">
        <f t="shared" si="55"/>
        <v>0</v>
      </c>
      <c r="N220" s="60">
        <f t="shared" si="55"/>
        <v>0</v>
      </c>
      <c r="O220" s="58"/>
    </row>
    <row r="221" spans="1:15" hidden="1" x14ac:dyDescent="0.25">
      <c r="A221" s="59"/>
      <c r="B221" s="60"/>
      <c r="C221" s="60"/>
      <c r="D221" s="66"/>
      <c r="E221" s="66"/>
      <c r="F221" s="66"/>
      <c r="G221" s="66"/>
      <c r="H221" s="66"/>
      <c r="I221" s="66"/>
      <c r="J221" s="66"/>
      <c r="K221" s="66"/>
      <c r="L221" s="66"/>
      <c r="M221" s="66"/>
      <c r="N221" s="66"/>
      <c r="O221" s="84"/>
    </row>
    <row r="222" spans="1:15" hidden="1" x14ac:dyDescent="0.25">
      <c r="A222" s="59"/>
      <c r="B222" s="60"/>
      <c r="C222" s="60"/>
      <c r="D222" s="66"/>
      <c r="E222" s="66"/>
      <c r="F222" s="66"/>
      <c r="G222" s="66"/>
      <c r="H222" s="66"/>
      <c r="I222" s="66"/>
      <c r="J222" s="66"/>
      <c r="K222" s="66"/>
      <c r="L222" s="66"/>
      <c r="M222" s="66"/>
      <c r="N222" s="66"/>
      <c r="O222" s="84"/>
    </row>
    <row r="223" spans="1:15" hidden="1" x14ac:dyDescent="0.25">
      <c r="A223" s="59"/>
      <c r="B223" s="60"/>
      <c r="C223" s="60"/>
      <c r="D223" s="66"/>
      <c r="E223" s="66"/>
      <c r="F223" s="66"/>
      <c r="G223" s="66"/>
      <c r="H223" s="66"/>
      <c r="I223" s="66"/>
      <c r="J223" s="66"/>
      <c r="K223" s="66"/>
      <c r="L223" s="66"/>
      <c r="M223" s="66"/>
      <c r="N223" s="66"/>
      <c r="O223" s="84"/>
    </row>
    <row r="224" spans="1:15" hidden="1" x14ac:dyDescent="0.25">
      <c r="A224" s="59"/>
      <c r="B224" s="60"/>
      <c r="C224" s="60"/>
      <c r="D224" s="66"/>
      <c r="E224" s="66"/>
      <c r="F224" s="66"/>
      <c r="G224" s="66"/>
      <c r="H224" s="66"/>
      <c r="I224" s="66"/>
      <c r="J224" s="66"/>
      <c r="K224" s="66"/>
      <c r="L224" s="66"/>
      <c r="M224" s="66"/>
      <c r="N224" s="66"/>
      <c r="O224" s="84"/>
    </row>
    <row r="225" spans="1:15" x14ac:dyDescent="0.25">
      <c r="A225" s="59"/>
      <c r="B225" s="60"/>
      <c r="C225" s="60"/>
      <c r="D225" s="66"/>
      <c r="E225" s="66"/>
      <c r="F225" s="66"/>
      <c r="G225" s="66"/>
      <c r="H225" s="66"/>
      <c r="I225" s="66"/>
      <c r="J225" s="66"/>
      <c r="K225" s="66"/>
      <c r="L225" s="66"/>
      <c r="M225" s="66"/>
      <c r="N225" s="66"/>
      <c r="O225" s="84"/>
    </row>
    <row r="226" spans="1:15" x14ac:dyDescent="0.25">
      <c r="A226" s="59"/>
      <c r="B226" s="60"/>
      <c r="C226" s="60"/>
      <c r="D226" s="66"/>
      <c r="E226" s="66"/>
      <c r="F226" s="66"/>
      <c r="G226" s="66"/>
      <c r="H226" s="66"/>
      <c r="I226" s="66"/>
      <c r="J226" s="66"/>
      <c r="K226" s="66"/>
      <c r="L226" s="66"/>
      <c r="M226" s="66"/>
      <c r="N226" s="66"/>
      <c r="O226" s="84"/>
    </row>
    <row r="227" spans="1:15" x14ac:dyDescent="0.25">
      <c r="A227" s="58" t="s">
        <v>194</v>
      </c>
      <c r="B227" s="60"/>
      <c r="C227" s="60"/>
      <c r="D227" s="66"/>
      <c r="E227" s="66"/>
      <c r="F227" s="66"/>
      <c r="G227" s="66"/>
      <c r="H227" s="66"/>
      <c r="I227" s="66"/>
      <c r="J227" s="66"/>
      <c r="K227" s="66"/>
      <c r="L227" s="66"/>
      <c r="M227" s="66"/>
      <c r="N227" s="66"/>
      <c r="O227" s="84"/>
    </row>
    <row r="228" spans="1:15" x14ac:dyDescent="0.25">
      <c r="A228" s="59" t="s">
        <v>195</v>
      </c>
      <c r="B228" s="60"/>
      <c r="C228" s="66">
        <f>SUM(C110+C123+C136+C149+C162+C175+C188+C201+C214)</f>
        <v>1615.3116000000002</v>
      </c>
      <c r="D228" s="66">
        <f t="shared" ref="D228:N228" si="56">SUM(D110+D123+D136+D149+D162+D175+D188+D201+D214)</f>
        <v>1615.3116000000002</v>
      </c>
      <c r="E228" s="66">
        <f t="shared" si="56"/>
        <v>1615.3116000000002</v>
      </c>
      <c r="F228" s="66">
        <f t="shared" si="56"/>
        <v>1615.3116000000002</v>
      </c>
      <c r="G228" s="66">
        <f t="shared" si="56"/>
        <v>1615.3116000000002</v>
      </c>
      <c r="H228" s="66">
        <f t="shared" si="56"/>
        <v>1615.3116000000002</v>
      </c>
      <c r="I228" s="66">
        <f t="shared" si="56"/>
        <v>1615.3116000000002</v>
      </c>
      <c r="J228" s="66">
        <f t="shared" si="56"/>
        <v>1615.3116000000002</v>
      </c>
      <c r="K228" s="66">
        <f t="shared" si="56"/>
        <v>1615.3116000000002</v>
      </c>
      <c r="L228" s="66">
        <f t="shared" si="56"/>
        <v>1615.3116000000002</v>
      </c>
      <c r="M228" s="66">
        <f t="shared" si="56"/>
        <v>1615.3116000000002</v>
      </c>
      <c r="N228" s="66">
        <f t="shared" si="56"/>
        <v>1615.3116000000002</v>
      </c>
      <c r="O228" s="84"/>
    </row>
    <row r="229" spans="1:15" x14ac:dyDescent="0.25">
      <c r="A229" s="59" t="s">
        <v>22</v>
      </c>
      <c r="B229" s="60"/>
      <c r="C229" s="66">
        <f>SUM(C111+C112+C113+C124+C125+C126+C137+C138+C139+C150+C151+C152+C163+C164+C165+C176+C177+C178+C189+C190+C191+C202+C203+C204+C215+C216+C217)</f>
        <v>140.30707500000003</v>
      </c>
      <c r="D229" s="66">
        <f t="shared" ref="D229:N229" si="57">SUM(D111+D112+D113+D124+D125+D126+D137+D138+D139+D150+D151+D152+D163+D164+D165+D176+D177+D178+D189+D190+D191+D202+D203+D204+D215+D216+D217)</f>
        <v>140.30707500000003</v>
      </c>
      <c r="E229" s="66">
        <f t="shared" si="57"/>
        <v>140.30707500000003</v>
      </c>
      <c r="F229" s="66">
        <f t="shared" si="57"/>
        <v>140.30707500000003</v>
      </c>
      <c r="G229" s="66">
        <f t="shared" si="57"/>
        <v>140.30707500000003</v>
      </c>
      <c r="H229" s="66">
        <f t="shared" si="57"/>
        <v>140.30707500000003</v>
      </c>
      <c r="I229" s="66">
        <f t="shared" si="57"/>
        <v>140.30707500000003</v>
      </c>
      <c r="J229" s="66">
        <f t="shared" si="57"/>
        <v>140.30707500000003</v>
      </c>
      <c r="K229" s="66">
        <f t="shared" si="57"/>
        <v>140.30707500000003</v>
      </c>
      <c r="L229" s="66">
        <f t="shared" si="57"/>
        <v>140.30707500000003</v>
      </c>
      <c r="M229" s="66">
        <f t="shared" si="57"/>
        <v>140.30707500000003</v>
      </c>
      <c r="N229" s="66">
        <f t="shared" si="57"/>
        <v>140.30707500000003</v>
      </c>
      <c r="O229" s="84"/>
    </row>
    <row r="230" spans="1:15" x14ac:dyDescent="0.25">
      <c r="A230" s="59" t="s">
        <v>23</v>
      </c>
      <c r="B230" s="60"/>
      <c r="C230" s="66">
        <f>SUM(C114+C115+C127+C128+C140+C141+C153+C154+C167+C166+C179+C180+C192+C193+C205+C206+C218+C219)</f>
        <v>56.988548000000002</v>
      </c>
      <c r="D230" s="66">
        <f t="shared" ref="D230:N230" si="58">SUM(D114+D115+D127+D128+D140+D141+D153+D154+D167+D166+D179+D180+D192+D193+D205+D206+D218+D219)</f>
        <v>56.988548000000002</v>
      </c>
      <c r="E230" s="66">
        <f t="shared" si="58"/>
        <v>56.988548000000002</v>
      </c>
      <c r="F230" s="66">
        <f t="shared" si="58"/>
        <v>56.988548000000002</v>
      </c>
      <c r="G230" s="66">
        <f t="shared" si="58"/>
        <v>56.988548000000002</v>
      </c>
      <c r="H230" s="66">
        <f t="shared" si="58"/>
        <v>56.988548000000002</v>
      </c>
      <c r="I230" s="66">
        <f t="shared" si="58"/>
        <v>56.988548000000002</v>
      </c>
      <c r="J230" s="66">
        <f t="shared" si="58"/>
        <v>56.988548000000002</v>
      </c>
      <c r="K230" s="66">
        <f t="shared" si="58"/>
        <v>56.988548000000002</v>
      </c>
      <c r="L230" s="66">
        <f t="shared" si="58"/>
        <v>56.988548000000002</v>
      </c>
      <c r="M230" s="66">
        <f t="shared" si="58"/>
        <v>56.988548000000002</v>
      </c>
      <c r="N230" s="66">
        <f t="shared" si="58"/>
        <v>56.988548000000002</v>
      </c>
      <c r="O230" s="84"/>
    </row>
    <row r="231" spans="1:15" x14ac:dyDescent="0.25">
      <c r="A231" s="58" t="s">
        <v>196</v>
      </c>
      <c r="B231" s="60"/>
      <c r="C231" s="60">
        <f>SUM(C228:C230)</f>
        <v>1812.6072230000002</v>
      </c>
      <c r="D231" s="60">
        <f t="shared" ref="D231:N231" si="59">SUM(D228:D230)</f>
        <v>1812.6072230000002</v>
      </c>
      <c r="E231" s="60">
        <f t="shared" si="59"/>
        <v>1812.6072230000002</v>
      </c>
      <c r="F231" s="60">
        <f t="shared" si="59"/>
        <v>1812.6072230000002</v>
      </c>
      <c r="G231" s="60">
        <f t="shared" si="59"/>
        <v>1812.6072230000002</v>
      </c>
      <c r="H231" s="60">
        <f t="shared" si="59"/>
        <v>1812.6072230000002</v>
      </c>
      <c r="I231" s="60">
        <f t="shared" si="59"/>
        <v>1812.6072230000002</v>
      </c>
      <c r="J231" s="60">
        <f t="shared" si="59"/>
        <v>1812.6072230000002</v>
      </c>
      <c r="K231" s="60">
        <f t="shared" si="59"/>
        <v>1812.6072230000002</v>
      </c>
      <c r="L231" s="60">
        <f t="shared" si="59"/>
        <v>1812.6072230000002</v>
      </c>
      <c r="M231" s="60">
        <f t="shared" si="59"/>
        <v>1812.6072230000002</v>
      </c>
      <c r="N231" s="60">
        <f t="shared" si="59"/>
        <v>1812.6072230000002</v>
      </c>
      <c r="O231" s="58"/>
    </row>
    <row r="232" spans="1:15" x14ac:dyDescent="0.25">
      <c r="A232" s="59"/>
      <c r="B232" s="60"/>
      <c r="C232" s="60"/>
      <c r="D232" s="66"/>
      <c r="E232" s="66"/>
      <c r="F232" s="66"/>
      <c r="G232" s="66"/>
      <c r="H232" s="66"/>
      <c r="I232" s="66"/>
      <c r="J232" s="66"/>
      <c r="K232" s="66"/>
      <c r="L232" s="66"/>
      <c r="M232" s="66"/>
      <c r="N232" s="66"/>
      <c r="O232" s="84"/>
    </row>
  </sheetData>
  <pageMargins left="0.25" right="0.25" top="0.75" bottom="0.75" header="0.3" footer="0.3"/>
  <pageSetup scale="80"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I39"/>
  <sheetViews>
    <sheetView workbookViewId="0">
      <selection activeCell="C38" sqref="C38"/>
    </sheetView>
  </sheetViews>
  <sheetFormatPr defaultRowHeight="15.75" x14ac:dyDescent="0.25"/>
  <cols>
    <col min="1" max="1" width="33.625" customWidth="1"/>
    <col min="2" max="2" width="10.625" customWidth="1"/>
    <col min="3" max="3" width="9.125" customWidth="1"/>
    <col min="5" max="5" width="33.625" customWidth="1"/>
    <col min="6" max="6" width="10.625" customWidth="1"/>
    <col min="7" max="7" width="9.125" customWidth="1"/>
  </cols>
  <sheetData>
    <row r="1" spans="1:9" s="55" customFormat="1" x14ac:dyDescent="0.25">
      <c r="A1" s="55" t="s">
        <v>656</v>
      </c>
    </row>
    <row r="3" spans="1:9" x14ac:dyDescent="0.25">
      <c r="A3" s="55" t="s">
        <v>659</v>
      </c>
      <c r="B3" s="54"/>
      <c r="C3" s="54"/>
      <c r="E3" s="55" t="s">
        <v>490</v>
      </c>
      <c r="F3" s="475" t="s">
        <v>657</v>
      </c>
      <c r="G3" s="475" t="s">
        <v>658</v>
      </c>
      <c r="I3" s="55"/>
    </row>
    <row r="4" spans="1:9" x14ac:dyDescent="0.25">
      <c r="A4" s="54" t="s">
        <v>660</v>
      </c>
      <c r="B4" s="250">
        <f>SUM('Summary by Month'!O90:O92)</f>
        <v>2428312.2216675426</v>
      </c>
      <c r="C4" s="486">
        <f>SUM(B4/$F$7)</f>
        <v>0.68673275729855088</v>
      </c>
      <c r="E4" t="s">
        <v>654</v>
      </c>
      <c r="F4" s="250">
        <f>SUM('Summary by Month'!O35)</f>
        <v>2607938.0169771509</v>
      </c>
      <c r="G4" s="486">
        <f>SUM(F4/$F$7)</f>
        <v>0.73753138055392609</v>
      </c>
    </row>
    <row r="5" spans="1:9" x14ac:dyDescent="0.25">
      <c r="A5" s="54" t="s">
        <v>661</v>
      </c>
      <c r="B5" s="250">
        <f>SUM('Summary by Month'!O93:O118)</f>
        <v>1044809.2020006477</v>
      </c>
      <c r="C5" s="486">
        <f>SUM(B5/$F$7)</f>
        <v>0.29547465014531238</v>
      </c>
      <c r="E5" t="s">
        <v>15</v>
      </c>
      <c r="F5" s="250">
        <f>SUM('Summary by Month'!O78)</f>
        <v>444918</v>
      </c>
      <c r="G5" s="486">
        <f>SUM(F5/$F$7)</f>
        <v>0.12582392090500616</v>
      </c>
    </row>
    <row r="6" spans="1:9" x14ac:dyDescent="0.25">
      <c r="A6" s="69" t="s">
        <v>144</v>
      </c>
      <c r="B6" s="485">
        <f>SUM(B4:B5)</f>
        <v>3473121.4236681904</v>
      </c>
      <c r="C6" s="487">
        <f>SUM(C4:C5)</f>
        <v>0.98220740744386326</v>
      </c>
      <c r="E6" t="s">
        <v>655</v>
      </c>
      <c r="F6" s="250">
        <f>SUM('Summary by Month'!O79:O86)</f>
        <v>483180.66666666657</v>
      </c>
      <c r="G6" s="486">
        <f>SUM(F6/$F$7)</f>
        <v>0.13664469854106781</v>
      </c>
    </row>
    <row r="7" spans="1:9" x14ac:dyDescent="0.25">
      <c r="E7" s="69" t="s">
        <v>144</v>
      </c>
      <c r="F7" s="485">
        <f>SUM(F4:F6)</f>
        <v>3536036.6836438174</v>
      </c>
      <c r="G7" s="487">
        <f>SUM(G4:G6)</f>
        <v>1</v>
      </c>
    </row>
    <row r="10" spans="1:9" s="54" customFormat="1" x14ac:dyDescent="0.25"/>
    <row r="11" spans="1:9" s="54" customFormat="1" x14ac:dyDescent="0.25"/>
    <row r="12" spans="1:9" s="54" customFormat="1" x14ac:dyDescent="0.25"/>
    <row r="13" spans="1:9" s="54" customFormat="1" x14ac:dyDescent="0.25"/>
    <row r="14" spans="1:9" s="54" customFormat="1" x14ac:dyDescent="0.25"/>
    <row r="15" spans="1:9" s="54" customFormat="1" x14ac:dyDescent="0.25"/>
    <row r="16" spans="1:9" s="54" customFormat="1" x14ac:dyDescent="0.25"/>
    <row r="17" spans="1:2" s="54" customFormat="1" x14ac:dyDescent="0.25"/>
    <row r="18" spans="1:2" s="54" customFormat="1" x14ac:dyDescent="0.25"/>
    <row r="19" spans="1:2" s="54" customFormat="1" x14ac:dyDescent="0.25"/>
    <row r="20" spans="1:2" s="54" customFormat="1" x14ac:dyDescent="0.25"/>
    <row r="21" spans="1:2" s="54" customFormat="1" x14ac:dyDescent="0.25"/>
    <row r="22" spans="1:2" s="54" customFormat="1" ht="9.75" customHeight="1" x14ac:dyDescent="0.25"/>
    <row r="24" spans="1:2" ht="15.75" customHeight="1" x14ac:dyDescent="0.25"/>
    <row r="25" spans="1:2" x14ac:dyDescent="0.25">
      <c r="A25" s="55" t="s">
        <v>665</v>
      </c>
      <c r="B25" s="489">
        <f>'All Employees'!A73-1</f>
        <v>59</v>
      </c>
    </row>
    <row r="26" spans="1:2" x14ac:dyDescent="0.25">
      <c r="A26" s="489" t="s">
        <v>666</v>
      </c>
      <c r="B26" s="499">
        <f>SUM('All Employees'!J74)</f>
        <v>46.02879310344828</v>
      </c>
    </row>
    <row r="31" spans="1:2" s="54" customFormat="1" x14ac:dyDescent="0.25"/>
    <row r="32" spans="1:2" s="54" customFormat="1" x14ac:dyDescent="0.25"/>
    <row r="33" spans="1:5" s="54" customFormat="1" x14ac:dyDescent="0.25"/>
    <row r="35" spans="1:5" s="54" customFormat="1" x14ac:dyDescent="0.25"/>
    <row r="36" spans="1:5" x14ac:dyDescent="0.25">
      <c r="A36" s="55" t="s">
        <v>662</v>
      </c>
      <c r="B36" s="475" t="s">
        <v>657</v>
      </c>
      <c r="C36" s="475" t="s">
        <v>658</v>
      </c>
      <c r="E36" s="55" t="s">
        <v>594</v>
      </c>
    </row>
    <row r="37" spans="1:5" x14ac:dyDescent="0.25">
      <c r="A37" t="s">
        <v>663</v>
      </c>
      <c r="B37" s="250">
        <f>SUM('Summary - All Cost Ctrs'!B25+'Summary - All Cost Ctrs'!B26+'Summary - All Cost Ctrs'!B33+'Summary - All Cost Ctrs'!B34+'Summary - All Cost Ctrs'!B57+'Summary - All Cost Ctrs'!B58+'Summary - All Cost Ctrs'!B67+'Summary - All Cost Ctrs'!B68+'Summary - All Cost Ctrs'!B75+'Summary - All Cost Ctrs'!B76+'Summary - All Cost Ctrs'!B83+'Summary - All Cost Ctrs'!B84+'Summary - All Cost Ctrs'!B101+'Summary - All Cost Ctrs'!B102+'Summary - All Cost Ctrs'!B109+'Summary - All Cost Ctrs'!B110+'Summary - All Cost Ctrs'!B120+'Summary - All Cost Ctrs'!B121+'Summary - All Cost Ctrs'!B128+'Summary - All Cost Ctrs'!B129+'Summary - All Cost Ctrs'!B136+'Summary - All Cost Ctrs'!B137+'Summary - All Cost Ctrs'!B144+'Summary - All Cost Ctrs'!B145+'Summary - All Cost Ctrs'!B153+'Summary - All Cost Ctrs'!B154+'Summary - All Cost Ctrs'!B163+'Summary - All Cost Ctrs'!B164+'Summary - All Cost Ctrs'!B171+'Summary - All Cost Ctrs'!B172)*-1</f>
        <v>2684830.3538544038</v>
      </c>
      <c r="C37" s="486">
        <v>0.85</v>
      </c>
    </row>
    <row r="38" spans="1:5" x14ac:dyDescent="0.25">
      <c r="A38" t="s">
        <v>664</v>
      </c>
      <c r="B38" s="250">
        <v>521155</v>
      </c>
      <c r="C38" s="486">
        <f>SUM(B38/$B$6)</f>
        <v>0.15005378056997909</v>
      </c>
    </row>
    <row r="39" spans="1:5" x14ac:dyDescent="0.25">
      <c r="A39" s="69" t="s">
        <v>144</v>
      </c>
      <c r="B39" s="474">
        <v>3474364</v>
      </c>
      <c r="C39" s="488">
        <f>SUM(C37:C38)</f>
        <v>1.0000537805699792</v>
      </c>
    </row>
  </sheetData>
  <pageMargins left="0.25" right="0.25" top="0.75" bottom="0.75" header="0.3" footer="0.3"/>
  <pageSetup scale="76" orientation="portrait" verticalDpi="599"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1225"/>
  <sheetViews>
    <sheetView topLeftCell="A164" workbookViewId="0">
      <selection sqref="A1:N231"/>
    </sheetView>
  </sheetViews>
  <sheetFormatPr defaultColWidth="9" defaultRowHeight="12.75" x14ac:dyDescent="0.2"/>
  <cols>
    <col min="1" max="1" width="29.375" style="59" customWidth="1"/>
    <col min="2" max="2" width="9.5" style="60" customWidth="1"/>
    <col min="3" max="4" width="9" style="84" customWidth="1"/>
    <col min="5" max="16384" width="9" style="84"/>
  </cols>
  <sheetData>
    <row r="1" spans="1:14" s="58" customFormat="1" ht="13.5" thickBot="1" x14ac:dyDescent="0.25">
      <c r="A1" s="67" t="str">
        <f>CMS!A1</f>
        <v>Northwest Youth Services Budget - 2018 - APPROVED BY BOARD NOV 30, 2017</v>
      </c>
      <c r="B1" s="79"/>
      <c r="C1" s="67"/>
      <c r="D1" s="67"/>
      <c r="E1" s="67"/>
      <c r="F1" s="67"/>
      <c r="G1" s="67"/>
      <c r="H1" s="67"/>
      <c r="I1" s="67"/>
      <c r="J1" s="67"/>
      <c r="K1" s="67"/>
      <c r="L1" s="67"/>
      <c r="M1" s="67"/>
      <c r="N1" s="67"/>
    </row>
    <row r="2" spans="1:14" s="58" customFormat="1" x14ac:dyDescent="0.2">
      <c r="A2" s="80"/>
      <c r="B2" s="81"/>
    </row>
    <row r="3" spans="1:14" s="58" customFormat="1" x14ac:dyDescent="0.2">
      <c r="A3" s="81" t="s">
        <v>691</v>
      </c>
      <c r="B3" s="81"/>
      <c r="D3" s="213"/>
      <c r="E3" s="213"/>
      <c r="F3" s="213"/>
      <c r="G3" s="213"/>
      <c r="H3" s="213"/>
      <c r="I3" s="213"/>
      <c r="J3" s="213"/>
    </row>
    <row r="5" spans="1:14" s="70" customFormat="1" ht="13.5" thickBot="1" x14ac:dyDescent="0.25">
      <c r="A5" s="82" t="s">
        <v>143</v>
      </c>
      <c r="B5" s="83" t="s">
        <v>144</v>
      </c>
      <c r="C5" s="83" t="str">
        <f>CMS!C5</f>
        <v>January</v>
      </c>
      <c r="D5" s="83" t="str">
        <f>CMS!D5</f>
        <v>February</v>
      </c>
      <c r="E5" s="83" t="str">
        <f>CMS!E5</f>
        <v>March</v>
      </c>
      <c r="F5" s="83" t="str">
        <f>CMS!F5</f>
        <v>April</v>
      </c>
      <c r="G5" s="83" t="str">
        <f>CMS!G5</f>
        <v>May</v>
      </c>
      <c r="H5" s="83" t="str">
        <f>CMS!H5</f>
        <v>June</v>
      </c>
      <c r="I5" s="83" t="str">
        <f>CMS!I5</f>
        <v>July</v>
      </c>
      <c r="J5" s="83" t="str">
        <f>CMS!J5</f>
        <v>August</v>
      </c>
      <c r="K5" s="83" t="str">
        <f>CMS!K5</f>
        <v>September</v>
      </c>
      <c r="L5" s="83" t="str">
        <f>CMS!L5</f>
        <v>October</v>
      </c>
      <c r="M5" s="83" t="str">
        <f>CMS!M5</f>
        <v>November</v>
      </c>
      <c r="N5" s="83" t="str">
        <f>CMS!N5</f>
        <v>December</v>
      </c>
    </row>
    <row r="6" spans="1:14" s="70" customFormat="1" x14ac:dyDescent="0.2">
      <c r="A6" s="28"/>
      <c r="B6" s="86"/>
      <c r="C6" s="86"/>
      <c r="D6" s="26"/>
      <c r="E6" s="26"/>
      <c r="F6" s="26"/>
      <c r="G6" s="26"/>
      <c r="H6" s="26"/>
      <c r="I6" s="26"/>
      <c r="J6" s="26"/>
      <c r="K6" s="26"/>
      <c r="L6" s="26"/>
      <c r="M6" s="26"/>
      <c r="N6" s="26"/>
    </row>
    <row r="7" spans="1:14" s="70" customFormat="1" x14ac:dyDescent="0.2">
      <c r="A7" s="58" t="s">
        <v>14</v>
      </c>
      <c r="B7" s="60"/>
      <c r="C7" s="60"/>
      <c r="D7" s="94"/>
      <c r="E7" s="94"/>
      <c r="F7" s="94"/>
      <c r="G7" s="94"/>
      <c r="H7" s="94"/>
      <c r="I7" s="94"/>
      <c r="J7" s="94"/>
      <c r="K7" s="94"/>
      <c r="L7" s="94"/>
      <c r="M7" s="94"/>
      <c r="N7" s="94"/>
    </row>
    <row r="8" spans="1:14" x14ac:dyDescent="0.2">
      <c r="A8" s="61" t="s">
        <v>692</v>
      </c>
      <c r="B8" s="63">
        <f>SUM(C8:N8)</f>
        <v>126150.33333333333</v>
      </c>
      <c r="C8" s="62">
        <v>92</v>
      </c>
      <c r="D8" s="62">
        <v>126</v>
      </c>
      <c r="E8" s="62">
        <v>113</v>
      </c>
      <c r="F8" s="62">
        <v>126</v>
      </c>
      <c r="G8" s="62">
        <f>1789+25</f>
        <v>1814</v>
      </c>
      <c r="H8" s="62"/>
      <c r="I8" s="62">
        <f>SUM(836000/36)-3757+990</f>
        <v>20455.222222222223</v>
      </c>
      <c r="J8" s="62">
        <f>SUM(836000/36)-7940</f>
        <v>15282.222222222223</v>
      </c>
      <c r="K8" s="62">
        <f>SUM(836000/36)-4747</f>
        <v>18475.222222222223</v>
      </c>
      <c r="L8" s="62">
        <f t="shared" ref="L8:N8" si="0">SUM(836000/36)</f>
        <v>23222.222222222223</v>
      </c>
      <c r="M8" s="62">
        <f t="shared" si="0"/>
        <v>23222.222222222223</v>
      </c>
      <c r="N8" s="62">
        <f t="shared" si="0"/>
        <v>23222.222222222223</v>
      </c>
    </row>
    <row r="9" spans="1:14" x14ac:dyDescent="0.2">
      <c r="A9" s="61" t="s">
        <v>401</v>
      </c>
      <c r="B9" s="63">
        <f>SUM(C9:N9)</f>
        <v>27274.333333333336</v>
      </c>
      <c r="C9" s="62"/>
      <c r="D9" s="62"/>
      <c r="E9" s="62"/>
      <c r="F9" s="62"/>
      <c r="G9" s="62">
        <f>SUM(41600/12)</f>
        <v>3466.6666666666665</v>
      </c>
      <c r="H9" s="62">
        <f>SUM(41600/12)-459</f>
        <v>3007.6666666666665</v>
      </c>
      <c r="I9" s="62">
        <f t="shared" ref="I9:N9" si="1">SUM(41600/12)</f>
        <v>3466.6666666666665</v>
      </c>
      <c r="J9" s="62">
        <f t="shared" si="1"/>
        <v>3466.6666666666665</v>
      </c>
      <c r="K9" s="62">
        <f t="shared" si="1"/>
        <v>3466.6666666666665</v>
      </c>
      <c r="L9" s="62">
        <f t="shared" si="1"/>
        <v>3466.6666666666665</v>
      </c>
      <c r="M9" s="62">
        <f t="shared" si="1"/>
        <v>3466.6666666666665</v>
      </c>
      <c r="N9" s="62">
        <f t="shared" si="1"/>
        <v>3466.6666666666665</v>
      </c>
    </row>
    <row r="10" spans="1:14" hidden="1" x14ac:dyDescent="0.2">
      <c r="A10" s="61" t="s">
        <v>145</v>
      </c>
      <c r="B10" s="63">
        <f t="shared" ref="B10:B44" si="2">SUM(C10:N10)</f>
        <v>0</v>
      </c>
      <c r="C10" s="63"/>
      <c r="D10" s="62"/>
      <c r="E10" s="62"/>
      <c r="F10" s="62"/>
      <c r="G10" s="62"/>
      <c r="H10" s="62"/>
      <c r="I10" s="62"/>
      <c r="J10" s="62"/>
      <c r="K10" s="62"/>
      <c r="L10" s="62"/>
      <c r="M10" s="62"/>
      <c r="N10" s="62"/>
    </row>
    <row r="11" spans="1:14" hidden="1" x14ac:dyDescent="0.2">
      <c r="A11" s="61" t="s">
        <v>145</v>
      </c>
      <c r="B11" s="63">
        <f t="shared" si="2"/>
        <v>0</v>
      </c>
      <c r="C11" s="63"/>
      <c r="D11" s="62"/>
      <c r="E11" s="62"/>
      <c r="F11" s="62"/>
      <c r="G11" s="62"/>
      <c r="H11" s="62"/>
      <c r="I11" s="62"/>
      <c r="J11" s="93"/>
      <c r="K11" s="93"/>
      <c r="L11" s="93"/>
      <c r="M11" s="93"/>
      <c r="N11" s="93"/>
    </row>
    <row r="12" spans="1:14" hidden="1" x14ac:dyDescent="0.2">
      <c r="A12" s="61" t="s">
        <v>145</v>
      </c>
      <c r="B12" s="63">
        <f t="shared" si="2"/>
        <v>0</v>
      </c>
      <c r="C12" s="63"/>
      <c r="D12" s="62"/>
      <c r="E12" s="62"/>
      <c r="F12" s="62"/>
      <c r="G12" s="62"/>
      <c r="H12" s="62"/>
      <c r="I12" s="62"/>
      <c r="J12" s="93"/>
      <c r="K12" s="93"/>
      <c r="L12" s="93"/>
      <c r="M12" s="93"/>
      <c r="N12" s="93"/>
    </row>
    <row r="13" spans="1:14" hidden="1" x14ac:dyDescent="0.2">
      <c r="A13" s="61" t="s">
        <v>145</v>
      </c>
      <c r="B13" s="63">
        <f t="shared" si="2"/>
        <v>0</v>
      </c>
      <c r="C13" s="63"/>
      <c r="D13" s="62"/>
      <c r="E13" s="62"/>
      <c r="F13" s="62"/>
      <c r="G13" s="62"/>
      <c r="H13" s="62"/>
      <c r="I13" s="62"/>
      <c r="J13" s="62"/>
      <c r="K13" s="62"/>
      <c r="L13" s="62"/>
      <c r="M13" s="62"/>
      <c r="N13" s="62"/>
    </row>
    <row r="14" spans="1:14" hidden="1" x14ac:dyDescent="0.2">
      <c r="A14" s="61" t="s">
        <v>145</v>
      </c>
      <c r="B14" s="63">
        <f t="shared" si="2"/>
        <v>0</v>
      </c>
      <c r="C14" s="63"/>
      <c r="D14" s="62"/>
      <c r="E14" s="62"/>
      <c r="F14" s="62"/>
      <c r="G14" s="62"/>
      <c r="H14" s="62"/>
      <c r="I14" s="62"/>
      <c r="J14" s="62"/>
      <c r="K14" s="62"/>
      <c r="L14" s="62"/>
      <c r="M14" s="62"/>
      <c r="N14" s="62"/>
    </row>
    <row r="15" spans="1:14" hidden="1" x14ac:dyDescent="0.2">
      <c r="A15" s="61" t="s">
        <v>145</v>
      </c>
      <c r="B15" s="63">
        <f t="shared" si="2"/>
        <v>0</v>
      </c>
      <c r="C15" s="63"/>
      <c r="D15" s="62"/>
      <c r="E15" s="62"/>
      <c r="F15" s="62"/>
      <c r="G15" s="62"/>
      <c r="H15" s="62"/>
      <c r="I15" s="62"/>
      <c r="J15" s="62"/>
      <c r="K15" s="62"/>
      <c r="L15" s="62"/>
      <c r="M15" s="62"/>
      <c r="N15" s="62"/>
    </row>
    <row r="16" spans="1:14" hidden="1" x14ac:dyDescent="0.2">
      <c r="A16" s="61" t="s">
        <v>145</v>
      </c>
      <c r="B16" s="63">
        <f t="shared" si="2"/>
        <v>0</v>
      </c>
      <c r="C16" s="63"/>
      <c r="D16" s="62"/>
      <c r="E16" s="62"/>
      <c r="F16" s="62"/>
      <c r="G16" s="62"/>
      <c r="H16" s="62"/>
      <c r="I16" s="62"/>
      <c r="J16" s="62"/>
      <c r="K16" s="62"/>
      <c r="L16" s="62"/>
      <c r="M16" s="62"/>
      <c r="N16" s="62"/>
    </row>
    <row r="17" spans="1:14" hidden="1" x14ac:dyDescent="0.2">
      <c r="A17" s="61" t="s">
        <v>145</v>
      </c>
      <c r="B17" s="63">
        <f t="shared" si="2"/>
        <v>0</v>
      </c>
      <c r="C17" s="63"/>
      <c r="D17" s="62"/>
      <c r="E17" s="62"/>
      <c r="F17" s="62"/>
      <c r="G17" s="62"/>
      <c r="H17" s="62"/>
      <c r="I17" s="62"/>
      <c r="J17" s="62"/>
      <c r="K17" s="62"/>
      <c r="L17" s="62"/>
      <c r="M17" s="62"/>
      <c r="N17" s="62"/>
    </row>
    <row r="18" spans="1:14" hidden="1" x14ac:dyDescent="0.2">
      <c r="A18" s="61" t="s">
        <v>145</v>
      </c>
      <c r="B18" s="63">
        <f t="shared" si="2"/>
        <v>0</v>
      </c>
      <c r="C18" s="63"/>
      <c r="D18" s="62"/>
      <c r="E18" s="62"/>
      <c r="F18" s="62"/>
      <c r="G18" s="62"/>
      <c r="H18" s="62"/>
      <c r="I18" s="62"/>
      <c r="J18" s="62"/>
      <c r="K18" s="62"/>
      <c r="L18" s="62"/>
      <c r="M18" s="62"/>
      <c r="N18" s="62"/>
    </row>
    <row r="19" spans="1:14" hidden="1" x14ac:dyDescent="0.2">
      <c r="A19" s="61" t="s">
        <v>145</v>
      </c>
      <c r="B19" s="63">
        <f t="shared" si="2"/>
        <v>0</v>
      </c>
      <c r="C19" s="63"/>
      <c r="D19" s="62"/>
      <c r="E19" s="62"/>
      <c r="F19" s="62"/>
      <c r="G19" s="62"/>
      <c r="H19" s="62"/>
      <c r="I19" s="62"/>
      <c r="J19" s="62"/>
      <c r="K19" s="62"/>
      <c r="L19" s="62"/>
      <c r="M19" s="62"/>
      <c r="N19" s="62"/>
    </row>
    <row r="20" spans="1:14" hidden="1" x14ac:dyDescent="0.2">
      <c r="A20" s="61" t="s">
        <v>145</v>
      </c>
      <c r="B20" s="63">
        <f t="shared" si="2"/>
        <v>0</v>
      </c>
      <c r="C20" s="63"/>
      <c r="D20" s="62"/>
      <c r="E20" s="62"/>
      <c r="F20" s="62"/>
      <c r="G20" s="62"/>
      <c r="H20" s="62"/>
      <c r="I20" s="62"/>
      <c r="J20" s="62"/>
      <c r="K20" s="62"/>
      <c r="L20" s="62"/>
      <c r="M20" s="62"/>
      <c r="N20" s="62"/>
    </row>
    <row r="21" spans="1:14" hidden="1" x14ac:dyDescent="0.2">
      <c r="A21" s="61" t="s">
        <v>145</v>
      </c>
      <c r="B21" s="63">
        <f t="shared" si="2"/>
        <v>0</v>
      </c>
      <c r="C21" s="63"/>
      <c r="D21" s="62"/>
      <c r="E21" s="62"/>
      <c r="F21" s="62"/>
      <c r="G21" s="62"/>
      <c r="H21" s="62"/>
      <c r="I21" s="62"/>
      <c r="J21" s="62"/>
      <c r="K21" s="62"/>
      <c r="L21" s="62"/>
      <c r="M21" s="62"/>
      <c r="N21" s="62"/>
    </row>
    <row r="22" spans="1:14" hidden="1" x14ac:dyDescent="0.2">
      <c r="A22" s="61" t="s">
        <v>145</v>
      </c>
      <c r="B22" s="63">
        <f t="shared" si="2"/>
        <v>0</v>
      </c>
      <c r="C22" s="63"/>
      <c r="D22" s="62"/>
      <c r="E22" s="62"/>
      <c r="F22" s="62"/>
      <c r="G22" s="62"/>
      <c r="H22" s="62"/>
      <c r="I22" s="62"/>
      <c r="J22" s="62"/>
      <c r="K22" s="62"/>
      <c r="L22" s="62"/>
      <c r="M22" s="62"/>
      <c r="N22" s="62"/>
    </row>
    <row r="23" spans="1:14" hidden="1" x14ac:dyDescent="0.2">
      <c r="A23" s="61" t="s">
        <v>146</v>
      </c>
      <c r="B23" s="63">
        <f t="shared" si="2"/>
        <v>0</v>
      </c>
      <c r="C23" s="63"/>
      <c r="D23" s="62"/>
      <c r="E23" s="62"/>
      <c r="F23" s="62"/>
      <c r="G23" s="62"/>
      <c r="H23" s="62"/>
      <c r="I23" s="62"/>
      <c r="J23" s="62"/>
      <c r="K23" s="62"/>
      <c r="L23" s="93"/>
      <c r="M23" s="93"/>
      <c r="N23" s="93"/>
    </row>
    <row r="24" spans="1:14" hidden="1" x14ac:dyDescent="0.2">
      <c r="A24" s="61" t="s">
        <v>146</v>
      </c>
      <c r="B24" s="63">
        <f t="shared" si="2"/>
        <v>0</v>
      </c>
      <c r="C24" s="63"/>
      <c r="D24" s="62"/>
      <c r="E24" s="62"/>
      <c r="F24" s="62"/>
      <c r="G24" s="62"/>
      <c r="H24" s="62"/>
      <c r="I24" s="62"/>
      <c r="J24" s="62"/>
      <c r="K24" s="62"/>
      <c r="L24" s="62"/>
      <c r="M24" s="62"/>
      <c r="N24" s="62"/>
    </row>
    <row r="25" spans="1:14" hidden="1" x14ac:dyDescent="0.2">
      <c r="A25" s="61" t="s">
        <v>146</v>
      </c>
      <c r="B25" s="63">
        <f t="shared" si="2"/>
        <v>0</v>
      </c>
      <c r="C25" s="63"/>
      <c r="D25" s="62"/>
      <c r="E25" s="62"/>
      <c r="F25" s="62"/>
      <c r="G25" s="62"/>
      <c r="H25" s="62"/>
      <c r="I25" s="62"/>
      <c r="J25" s="62"/>
      <c r="K25" s="62"/>
      <c r="L25" s="62"/>
      <c r="M25" s="62"/>
      <c r="N25" s="62"/>
    </row>
    <row r="26" spans="1:14" hidden="1" x14ac:dyDescent="0.2">
      <c r="A26" s="61" t="s">
        <v>146</v>
      </c>
      <c r="B26" s="63">
        <f t="shared" si="2"/>
        <v>0</v>
      </c>
      <c r="C26" s="63"/>
      <c r="D26" s="62"/>
      <c r="E26" s="62"/>
      <c r="F26" s="62"/>
      <c r="G26" s="62"/>
      <c r="H26" s="62"/>
      <c r="I26" s="62"/>
      <c r="J26" s="62"/>
      <c r="K26" s="62"/>
      <c r="L26" s="62"/>
      <c r="M26" s="62"/>
      <c r="N26" s="62"/>
    </row>
    <row r="27" spans="1:14" hidden="1" x14ac:dyDescent="0.2">
      <c r="A27" s="61" t="s">
        <v>146</v>
      </c>
      <c r="B27" s="63">
        <f t="shared" si="2"/>
        <v>0</v>
      </c>
      <c r="C27" s="63"/>
      <c r="D27" s="62"/>
      <c r="E27" s="62"/>
      <c r="F27" s="62"/>
      <c r="G27" s="62"/>
      <c r="H27" s="62"/>
      <c r="I27" s="62"/>
      <c r="J27" s="62"/>
      <c r="K27" s="62"/>
      <c r="L27" s="62"/>
      <c r="M27" s="62"/>
      <c r="N27" s="62"/>
    </row>
    <row r="28" spans="1:14" hidden="1" x14ac:dyDescent="0.2">
      <c r="A28" s="61" t="s">
        <v>146</v>
      </c>
      <c r="B28" s="63">
        <f t="shared" si="2"/>
        <v>0</v>
      </c>
      <c r="C28" s="63"/>
      <c r="D28" s="62"/>
      <c r="E28" s="62"/>
      <c r="F28" s="62"/>
      <c r="G28" s="62"/>
      <c r="H28" s="62"/>
      <c r="I28" s="62"/>
      <c r="J28" s="62"/>
      <c r="K28" s="62"/>
      <c r="L28" s="62"/>
      <c r="M28" s="62"/>
      <c r="N28" s="62"/>
    </row>
    <row r="29" spans="1:14" hidden="1" x14ac:dyDescent="0.2">
      <c r="A29" s="61" t="s">
        <v>146</v>
      </c>
      <c r="B29" s="63">
        <f t="shared" si="2"/>
        <v>0</v>
      </c>
      <c r="C29" s="63"/>
      <c r="D29" s="62"/>
      <c r="E29" s="62"/>
      <c r="F29" s="62"/>
      <c r="G29" s="62"/>
      <c r="H29" s="62"/>
      <c r="I29" s="62"/>
      <c r="J29" s="62"/>
      <c r="K29" s="62"/>
      <c r="L29" s="62"/>
      <c r="M29" s="62"/>
      <c r="N29" s="62"/>
    </row>
    <row r="30" spans="1:14" hidden="1" x14ac:dyDescent="0.2">
      <c r="A30" s="61" t="s">
        <v>146</v>
      </c>
      <c r="B30" s="63">
        <f t="shared" si="2"/>
        <v>0</v>
      </c>
      <c r="C30" s="63"/>
      <c r="D30" s="62"/>
      <c r="E30" s="62"/>
      <c r="F30" s="62"/>
      <c r="G30" s="62"/>
      <c r="H30" s="62"/>
      <c r="I30" s="62"/>
      <c r="J30" s="62"/>
      <c r="K30" s="62"/>
      <c r="L30" s="62"/>
      <c r="M30" s="62"/>
      <c r="N30" s="62"/>
    </row>
    <row r="31" spans="1:14" hidden="1" x14ac:dyDescent="0.2">
      <c r="A31" s="61" t="s">
        <v>146</v>
      </c>
      <c r="B31" s="63">
        <f t="shared" si="2"/>
        <v>0</v>
      </c>
      <c r="C31" s="63"/>
      <c r="D31" s="62"/>
      <c r="E31" s="62"/>
      <c r="F31" s="62"/>
      <c r="G31" s="62"/>
      <c r="H31" s="62"/>
      <c r="I31" s="62"/>
      <c r="J31" s="62"/>
      <c r="K31" s="62"/>
      <c r="L31" s="62"/>
      <c r="M31" s="62"/>
      <c r="N31" s="62"/>
    </row>
    <row r="32" spans="1:14" hidden="1" x14ac:dyDescent="0.2">
      <c r="A32" s="61" t="s">
        <v>146</v>
      </c>
      <c r="B32" s="63">
        <f t="shared" si="2"/>
        <v>0</v>
      </c>
      <c r="C32" s="63"/>
      <c r="D32" s="62"/>
      <c r="E32" s="62"/>
      <c r="F32" s="62"/>
      <c r="G32" s="62"/>
      <c r="H32" s="62"/>
      <c r="I32" s="62"/>
      <c r="J32" s="62"/>
      <c r="K32" s="62"/>
      <c r="L32" s="62"/>
      <c r="M32" s="62"/>
      <c r="N32" s="62"/>
    </row>
    <row r="33" spans="1:14" hidden="1" x14ac:dyDescent="0.2">
      <c r="A33" s="61" t="s">
        <v>146</v>
      </c>
      <c r="B33" s="63">
        <f t="shared" si="2"/>
        <v>0</v>
      </c>
      <c r="C33" s="63"/>
      <c r="D33" s="62"/>
      <c r="E33" s="62"/>
      <c r="F33" s="62"/>
      <c r="G33" s="62"/>
      <c r="H33" s="62"/>
      <c r="I33" s="62"/>
      <c r="J33" s="62"/>
      <c r="K33" s="62"/>
      <c r="L33" s="62"/>
      <c r="M33" s="62"/>
      <c r="N33" s="62"/>
    </row>
    <row r="34" spans="1:14" hidden="1" x14ac:dyDescent="0.2">
      <c r="A34" s="61" t="s">
        <v>146</v>
      </c>
      <c r="B34" s="63">
        <f t="shared" si="2"/>
        <v>0</v>
      </c>
      <c r="C34" s="63"/>
      <c r="D34" s="62"/>
      <c r="E34" s="62"/>
      <c r="F34" s="62"/>
      <c r="G34" s="62"/>
      <c r="H34" s="62"/>
      <c r="I34" s="62"/>
      <c r="J34" s="62"/>
      <c r="K34" s="62"/>
      <c r="L34" s="62"/>
      <c r="M34" s="62"/>
      <c r="N34" s="62"/>
    </row>
    <row r="35" spans="1:14" hidden="1" x14ac:dyDescent="0.2">
      <c r="A35" s="61" t="s">
        <v>146</v>
      </c>
      <c r="B35" s="63">
        <f t="shared" si="2"/>
        <v>0</v>
      </c>
      <c r="C35" s="63"/>
      <c r="D35" s="62"/>
      <c r="E35" s="62"/>
      <c r="F35" s="62"/>
      <c r="G35" s="62"/>
      <c r="H35" s="62"/>
      <c r="I35" s="62"/>
      <c r="J35" s="62"/>
      <c r="K35" s="62"/>
      <c r="L35" s="62"/>
      <c r="M35" s="62"/>
      <c r="N35" s="62"/>
    </row>
    <row r="36" spans="1:14" hidden="1" x14ac:dyDescent="0.2">
      <c r="A36" s="61" t="s">
        <v>146</v>
      </c>
      <c r="B36" s="63">
        <f t="shared" si="2"/>
        <v>0</v>
      </c>
      <c r="C36" s="62"/>
      <c r="D36" s="62"/>
      <c r="E36" s="62"/>
      <c r="F36" s="62"/>
      <c r="G36" s="62"/>
      <c r="H36" s="62"/>
      <c r="I36" s="62"/>
      <c r="J36" s="62"/>
      <c r="K36" s="62"/>
      <c r="L36" s="62"/>
      <c r="M36" s="62"/>
      <c r="N36" s="62"/>
    </row>
    <row r="37" spans="1:14" hidden="1" x14ac:dyDescent="0.2">
      <c r="A37" s="61" t="s">
        <v>146</v>
      </c>
      <c r="B37" s="63">
        <f t="shared" si="2"/>
        <v>0</v>
      </c>
      <c r="C37" s="63"/>
      <c r="D37" s="62"/>
      <c r="E37" s="62"/>
      <c r="F37" s="62"/>
      <c r="G37" s="62"/>
      <c r="H37" s="62"/>
      <c r="I37" s="62"/>
      <c r="J37" s="62"/>
      <c r="K37" s="62"/>
      <c r="L37" s="62"/>
      <c r="M37" s="62"/>
      <c r="N37" s="62"/>
    </row>
    <row r="38" spans="1:14" x14ac:dyDescent="0.2">
      <c r="A38" s="61" t="s">
        <v>146</v>
      </c>
      <c r="B38" s="63">
        <f t="shared" si="2"/>
        <v>0</v>
      </c>
      <c r="C38" s="63"/>
      <c r="D38" s="62"/>
      <c r="E38" s="62"/>
      <c r="F38" s="62"/>
      <c r="G38" s="62"/>
      <c r="H38" s="62"/>
      <c r="I38" s="62"/>
      <c r="J38" s="62"/>
      <c r="K38" s="62"/>
      <c r="L38" s="62"/>
      <c r="M38" s="62"/>
      <c r="N38" s="62"/>
    </row>
    <row r="39" spans="1:14" x14ac:dyDescent="0.2">
      <c r="A39" s="61" t="s">
        <v>16</v>
      </c>
      <c r="B39" s="63">
        <f t="shared" si="2"/>
        <v>0</v>
      </c>
      <c r="C39" s="63"/>
      <c r="D39" s="62"/>
      <c r="E39" s="62"/>
      <c r="F39" s="62"/>
      <c r="G39" s="62"/>
      <c r="H39" s="62"/>
      <c r="I39" s="62"/>
      <c r="J39" s="62"/>
      <c r="K39" s="62"/>
      <c r="L39" s="62"/>
      <c r="M39" s="62"/>
      <c r="N39" s="62"/>
    </row>
    <row r="40" spans="1:14" x14ac:dyDescent="0.2">
      <c r="A40" s="61" t="s">
        <v>17</v>
      </c>
      <c r="B40" s="63">
        <f t="shared" si="2"/>
        <v>0</v>
      </c>
      <c r="C40" s="63"/>
      <c r="D40" s="62"/>
      <c r="E40" s="62"/>
      <c r="F40" s="62"/>
      <c r="G40" s="62"/>
      <c r="H40" s="62"/>
      <c r="I40" s="62"/>
      <c r="J40" s="62"/>
      <c r="K40" s="62"/>
      <c r="L40" s="62"/>
      <c r="M40" s="62"/>
      <c r="N40" s="62"/>
    </row>
    <row r="41" spans="1:14" x14ac:dyDescent="0.2">
      <c r="A41" s="61" t="s">
        <v>147</v>
      </c>
      <c r="B41" s="63">
        <f t="shared" si="2"/>
        <v>0</v>
      </c>
      <c r="C41" s="62"/>
      <c r="D41" s="62"/>
      <c r="E41" s="62"/>
      <c r="F41" s="62"/>
      <c r="G41" s="62"/>
      <c r="H41" s="62"/>
      <c r="I41" s="62"/>
      <c r="J41" s="62"/>
      <c r="K41" s="62"/>
      <c r="L41" s="62"/>
      <c r="M41" s="62"/>
      <c r="N41" s="62"/>
    </row>
    <row r="42" spans="1:14" x14ac:dyDescent="0.2">
      <c r="A42" s="61" t="s">
        <v>148</v>
      </c>
      <c r="B42" s="63">
        <f t="shared" si="2"/>
        <v>9266.6666666666661</v>
      </c>
      <c r="C42" s="63"/>
      <c r="D42" s="62"/>
      <c r="E42" s="62"/>
      <c r="F42" s="62"/>
      <c r="G42" s="62">
        <f>SUM(13900/12)</f>
        <v>1158.3333333333333</v>
      </c>
      <c r="H42" s="62">
        <f t="shared" ref="H42:N42" si="3">SUM(13900/12)</f>
        <v>1158.3333333333333</v>
      </c>
      <c r="I42" s="62">
        <f t="shared" si="3"/>
        <v>1158.3333333333333</v>
      </c>
      <c r="J42" s="62">
        <f t="shared" si="3"/>
        <v>1158.3333333333333</v>
      </c>
      <c r="K42" s="62">
        <f t="shared" si="3"/>
        <v>1158.3333333333333</v>
      </c>
      <c r="L42" s="62">
        <f t="shared" si="3"/>
        <v>1158.3333333333333</v>
      </c>
      <c r="M42" s="62">
        <f t="shared" si="3"/>
        <v>1158.3333333333333</v>
      </c>
      <c r="N42" s="62">
        <f t="shared" si="3"/>
        <v>1158.3333333333333</v>
      </c>
    </row>
    <row r="43" spans="1:14" x14ac:dyDescent="0.2">
      <c r="A43" s="61" t="s">
        <v>149</v>
      </c>
      <c r="B43" s="63">
        <f t="shared" si="2"/>
        <v>0</v>
      </c>
      <c r="C43" s="63"/>
      <c r="D43" s="62"/>
      <c r="E43" s="62"/>
      <c r="F43" s="62"/>
      <c r="G43" s="62"/>
      <c r="H43" s="62"/>
      <c r="I43" s="62"/>
      <c r="J43" s="62"/>
      <c r="K43" s="62"/>
      <c r="L43" s="62"/>
      <c r="M43" s="62"/>
      <c r="N43" s="62"/>
    </row>
    <row r="44" spans="1:14" x14ac:dyDescent="0.2">
      <c r="A44" s="61" t="s">
        <v>150</v>
      </c>
      <c r="B44" s="63">
        <f t="shared" si="2"/>
        <v>0</v>
      </c>
      <c r="C44" s="63"/>
      <c r="D44" s="62"/>
      <c r="E44" s="62"/>
      <c r="F44" s="62"/>
      <c r="G44" s="62"/>
      <c r="H44" s="62"/>
      <c r="I44" s="62"/>
      <c r="J44" s="62"/>
      <c r="K44" s="62"/>
      <c r="L44" s="62"/>
      <c r="M44" s="62"/>
      <c r="N44" s="62"/>
    </row>
    <row r="45" spans="1:14" ht="13.5" thickBot="1" x14ac:dyDescent="0.25">
      <c r="A45" s="61" t="s">
        <v>18</v>
      </c>
      <c r="B45" s="63">
        <f>SUM(C45:N45)</f>
        <v>0</v>
      </c>
      <c r="C45" s="63"/>
      <c r="D45" s="62"/>
      <c r="E45" s="62"/>
      <c r="F45" s="62"/>
      <c r="G45" s="62"/>
      <c r="H45" s="62"/>
      <c r="I45" s="62"/>
      <c r="J45" s="62"/>
      <c r="K45" s="62"/>
      <c r="L45" s="62"/>
      <c r="M45" s="62"/>
      <c r="N45" s="62"/>
    </row>
    <row r="46" spans="1:14" x14ac:dyDescent="0.2">
      <c r="A46" s="64" t="s">
        <v>151</v>
      </c>
      <c r="B46" s="65">
        <f t="shared" ref="B46:N46" si="4">SUM(B8:B45)</f>
        <v>162691.33333333331</v>
      </c>
      <c r="C46" s="65">
        <f t="shared" si="4"/>
        <v>92</v>
      </c>
      <c r="D46" s="65">
        <f t="shared" si="4"/>
        <v>126</v>
      </c>
      <c r="E46" s="65">
        <f t="shared" si="4"/>
        <v>113</v>
      </c>
      <c r="F46" s="65">
        <f t="shared" si="4"/>
        <v>126</v>
      </c>
      <c r="G46" s="65">
        <f t="shared" si="4"/>
        <v>6438.9999999999991</v>
      </c>
      <c r="H46" s="65">
        <f t="shared" si="4"/>
        <v>4166</v>
      </c>
      <c r="I46" s="65">
        <f t="shared" si="4"/>
        <v>25080.222222222223</v>
      </c>
      <c r="J46" s="65">
        <f t="shared" si="4"/>
        <v>19907.222222222223</v>
      </c>
      <c r="K46" s="65">
        <f t="shared" si="4"/>
        <v>23100.222222222223</v>
      </c>
      <c r="L46" s="65">
        <f t="shared" si="4"/>
        <v>27847.222222222223</v>
      </c>
      <c r="M46" s="65">
        <f t="shared" si="4"/>
        <v>27847.222222222223</v>
      </c>
      <c r="N46" s="65">
        <f t="shared" si="4"/>
        <v>27847.222222222223</v>
      </c>
    </row>
    <row r="47" spans="1:14" x14ac:dyDescent="0.2">
      <c r="C47" s="60"/>
      <c r="D47" s="66"/>
      <c r="E47" s="66"/>
      <c r="F47" s="66"/>
      <c r="G47" s="66"/>
      <c r="H47" s="66"/>
      <c r="I47" s="66"/>
      <c r="J47" s="66"/>
      <c r="K47" s="66"/>
      <c r="L47" s="66"/>
      <c r="M47" s="66"/>
      <c r="N47" s="66"/>
    </row>
    <row r="48" spans="1:14" x14ac:dyDescent="0.2">
      <c r="A48" s="58"/>
      <c r="C48" s="60"/>
      <c r="D48" s="100"/>
      <c r="E48" s="100"/>
      <c r="F48" s="100"/>
      <c r="G48" s="100"/>
      <c r="H48" s="100"/>
      <c r="I48" s="100"/>
      <c r="J48" s="100"/>
      <c r="K48" s="100"/>
      <c r="L48" s="100"/>
      <c r="M48" s="100"/>
      <c r="N48" s="100"/>
    </row>
    <row r="49" spans="1:15" x14ac:dyDescent="0.2">
      <c r="A49" s="58" t="s">
        <v>152</v>
      </c>
      <c r="B49" s="85"/>
      <c r="C49" s="85"/>
      <c r="D49" s="85"/>
      <c r="E49" s="85"/>
      <c r="F49" s="85"/>
      <c r="G49" s="85"/>
      <c r="H49" s="85"/>
      <c r="I49" s="85"/>
      <c r="J49" s="85"/>
      <c r="K49" s="85"/>
      <c r="L49" s="85"/>
      <c r="M49" s="85"/>
      <c r="N49" s="85"/>
    </row>
    <row r="50" spans="1:15" x14ac:dyDescent="0.2">
      <c r="A50" s="61" t="s">
        <v>153</v>
      </c>
      <c r="B50" s="63">
        <f>SUM(C50:N50)</f>
        <v>58615.99500000001</v>
      </c>
      <c r="C50" s="62">
        <f>SUM(C228)</f>
        <v>238.995</v>
      </c>
      <c r="D50" s="62">
        <f t="shared" ref="D50:N52" si="5">SUM(D228)</f>
        <v>281.88</v>
      </c>
      <c r="E50" s="62">
        <f t="shared" si="5"/>
        <v>281.88</v>
      </c>
      <c r="F50" s="62">
        <f t="shared" si="5"/>
        <v>281.88</v>
      </c>
      <c r="G50" s="62">
        <f t="shared" si="5"/>
        <v>2232.42</v>
      </c>
      <c r="H50" s="62">
        <f t="shared" si="5"/>
        <v>2232.42</v>
      </c>
      <c r="I50" s="62">
        <f t="shared" si="5"/>
        <v>8844.4200000000019</v>
      </c>
      <c r="J50" s="62">
        <f t="shared" si="5"/>
        <v>8844.4200000000019</v>
      </c>
      <c r="K50" s="62">
        <f t="shared" si="5"/>
        <v>8844.4200000000019</v>
      </c>
      <c r="L50" s="62">
        <f t="shared" si="5"/>
        <v>8844.4200000000019</v>
      </c>
      <c r="M50" s="62">
        <f t="shared" si="5"/>
        <v>8844.4200000000019</v>
      </c>
      <c r="N50" s="62">
        <f t="shared" si="5"/>
        <v>8844.4200000000019</v>
      </c>
    </row>
    <row r="51" spans="1:15" x14ac:dyDescent="0.2">
      <c r="A51" s="61" t="s">
        <v>22</v>
      </c>
      <c r="B51" s="63">
        <f>SUM(C51:N51)</f>
        <v>5065.1656875000008</v>
      </c>
      <c r="C51" s="62">
        <f>SUM(C229)</f>
        <v>20.768062500000003</v>
      </c>
      <c r="D51" s="62">
        <f t="shared" si="5"/>
        <v>24.306074999999996</v>
      </c>
      <c r="E51" s="62">
        <f t="shared" si="5"/>
        <v>24.306074999999996</v>
      </c>
      <c r="F51" s="62">
        <f t="shared" si="5"/>
        <v>24.306074999999996</v>
      </c>
      <c r="G51" s="62">
        <f t="shared" si="5"/>
        <v>191.99857500000002</v>
      </c>
      <c r="H51" s="62">
        <f t="shared" si="5"/>
        <v>191.99857500000002</v>
      </c>
      <c r="I51" s="62">
        <f t="shared" si="5"/>
        <v>764.58037500000012</v>
      </c>
      <c r="J51" s="62">
        <f t="shared" si="5"/>
        <v>764.58037500000012</v>
      </c>
      <c r="K51" s="62">
        <f t="shared" si="5"/>
        <v>764.58037500000012</v>
      </c>
      <c r="L51" s="62">
        <f t="shared" si="5"/>
        <v>764.58037500000012</v>
      </c>
      <c r="M51" s="62">
        <f t="shared" si="5"/>
        <v>764.58037500000012</v>
      </c>
      <c r="N51" s="62">
        <f t="shared" si="5"/>
        <v>764.58037500000012</v>
      </c>
    </row>
    <row r="52" spans="1:15" s="101" customFormat="1" ht="13.5" thickBot="1" x14ac:dyDescent="0.25">
      <c r="A52" s="90" t="s">
        <v>23</v>
      </c>
      <c r="B52" s="63">
        <f>SUM(C52:N52)</f>
        <v>6914.5368982758609</v>
      </c>
      <c r="C52" s="62">
        <f>SUM(C230)</f>
        <v>40.233470689655178</v>
      </c>
      <c r="D52" s="62">
        <f t="shared" si="5"/>
        <v>41.520020689655169</v>
      </c>
      <c r="E52" s="62">
        <f t="shared" si="5"/>
        <v>41.520020689655169</v>
      </c>
      <c r="F52" s="62">
        <f t="shared" si="5"/>
        <v>41.520020689655169</v>
      </c>
      <c r="G52" s="62">
        <f t="shared" si="5"/>
        <v>100.03622068965518</v>
      </c>
      <c r="H52" s="62">
        <f t="shared" si="5"/>
        <v>100.03622068965518</v>
      </c>
      <c r="I52" s="62">
        <f t="shared" si="5"/>
        <v>1091.6118206896549</v>
      </c>
      <c r="J52" s="62">
        <f t="shared" si="5"/>
        <v>1091.6118206896549</v>
      </c>
      <c r="K52" s="62">
        <f t="shared" si="5"/>
        <v>1091.6118206896549</v>
      </c>
      <c r="L52" s="62">
        <f t="shared" si="5"/>
        <v>1091.6118206896549</v>
      </c>
      <c r="M52" s="62">
        <f t="shared" si="5"/>
        <v>1091.6118206896549</v>
      </c>
      <c r="N52" s="62">
        <f t="shared" si="5"/>
        <v>1091.6118206896549</v>
      </c>
    </row>
    <row r="53" spans="1:15" x14ac:dyDescent="0.2">
      <c r="A53" s="64" t="s">
        <v>154</v>
      </c>
      <c r="B53" s="65">
        <f>SUM(B50:B52)</f>
        <v>70595.697585775881</v>
      </c>
      <c r="C53" s="65">
        <f t="shared" ref="C53:N53" si="6">SUM(C50:C52)</f>
        <v>299.99653318965517</v>
      </c>
      <c r="D53" s="65">
        <f t="shared" si="6"/>
        <v>347.70609568965517</v>
      </c>
      <c r="E53" s="65">
        <f t="shared" si="6"/>
        <v>347.70609568965517</v>
      </c>
      <c r="F53" s="65">
        <f t="shared" si="6"/>
        <v>347.70609568965517</v>
      </c>
      <c r="G53" s="65">
        <f t="shared" si="6"/>
        <v>2524.4547956896554</v>
      </c>
      <c r="H53" s="65">
        <f t="shared" si="6"/>
        <v>2524.4547956896554</v>
      </c>
      <c r="I53" s="65">
        <f t="shared" si="6"/>
        <v>10700.612195689657</v>
      </c>
      <c r="J53" s="65">
        <f t="shared" si="6"/>
        <v>10700.612195689657</v>
      </c>
      <c r="K53" s="65">
        <f t="shared" si="6"/>
        <v>10700.612195689657</v>
      </c>
      <c r="L53" s="65">
        <f t="shared" si="6"/>
        <v>10700.612195689657</v>
      </c>
      <c r="M53" s="65">
        <f t="shared" si="6"/>
        <v>10700.612195689657</v>
      </c>
      <c r="N53" s="65">
        <f t="shared" si="6"/>
        <v>10700.612195689657</v>
      </c>
      <c r="O53" s="140"/>
    </row>
    <row r="54" spans="1:15" x14ac:dyDescent="0.2">
      <c r="C54" s="60"/>
      <c r="D54" s="66"/>
      <c r="E54" s="66"/>
      <c r="F54" s="66"/>
      <c r="G54" s="66"/>
      <c r="H54" s="66"/>
      <c r="I54" s="66"/>
      <c r="J54" s="66"/>
      <c r="K54" s="66"/>
      <c r="L54" s="66"/>
      <c r="M54" s="66"/>
      <c r="N54" s="66"/>
    </row>
    <row r="55" spans="1:15" x14ac:dyDescent="0.2">
      <c r="C55" s="60"/>
      <c r="D55" s="66"/>
      <c r="E55" s="66"/>
      <c r="F55" s="66"/>
      <c r="G55" s="66"/>
      <c r="H55" s="66"/>
      <c r="I55" s="66"/>
      <c r="J55" s="66"/>
      <c r="K55" s="66"/>
      <c r="L55" s="66"/>
      <c r="M55" s="66"/>
      <c r="N55" s="66"/>
    </row>
    <row r="56" spans="1:15" x14ac:dyDescent="0.2">
      <c r="A56" s="58" t="s">
        <v>155</v>
      </c>
      <c r="C56" s="60"/>
      <c r="D56" s="66"/>
      <c r="E56" s="66"/>
      <c r="F56" s="66"/>
      <c r="G56" s="66"/>
      <c r="H56" s="66"/>
      <c r="I56" s="66"/>
      <c r="J56" s="66"/>
      <c r="K56" s="66"/>
      <c r="L56" s="66"/>
      <c r="M56" s="66"/>
      <c r="N56" s="66"/>
    </row>
    <row r="57" spans="1:15" x14ac:dyDescent="0.2">
      <c r="A57" s="61" t="str">
        <f>CMS!A57</f>
        <v>Training</v>
      </c>
      <c r="B57" s="63">
        <f>SUM(C57:N57)</f>
        <v>1000</v>
      </c>
      <c r="C57" s="62"/>
      <c r="D57" s="62"/>
      <c r="E57" s="62"/>
      <c r="F57" s="62"/>
      <c r="G57" s="62">
        <v>125</v>
      </c>
      <c r="H57" s="62">
        <v>125</v>
      </c>
      <c r="I57" s="62">
        <v>125</v>
      </c>
      <c r="J57" s="62">
        <f t="shared" ref="J57:N57" si="7">SUM(1500/12)</f>
        <v>125</v>
      </c>
      <c r="K57" s="62">
        <f t="shared" si="7"/>
        <v>125</v>
      </c>
      <c r="L57" s="62">
        <f t="shared" si="7"/>
        <v>125</v>
      </c>
      <c r="M57" s="62">
        <f t="shared" si="7"/>
        <v>125</v>
      </c>
      <c r="N57" s="62">
        <f t="shared" si="7"/>
        <v>125</v>
      </c>
    </row>
    <row r="58" spans="1:15" x14ac:dyDescent="0.2">
      <c r="A58" s="61" t="str">
        <f>CMS!A58</f>
        <v>Travel</v>
      </c>
      <c r="B58" s="63">
        <f>SUM(C58:N58)</f>
        <v>80</v>
      </c>
      <c r="C58" s="62"/>
      <c r="D58" s="62"/>
      <c r="E58" s="62"/>
      <c r="F58" s="62"/>
      <c r="G58" s="62">
        <v>10</v>
      </c>
      <c r="H58" s="62">
        <v>10</v>
      </c>
      <c r="I58" s="62">
        <v>10</v>
      </c>
      <c r="J58" s="62">
        <v>10</v>
      </c>
      <c r="K58" s="62">
        <v>10</v>
      </c>
      <c r="L58" s="62">
        <v>10</v>
      </c>
      <c r="M58" s="62">
        <v>10</v>
      </c>
      <c r="N58" s="62">
        <v>10</v>
      </c>
    </row>
    <row r="59" spans="1:15" x14ac:dyDescent="0.2">
      <c r="A59" s="61" t="str">
        <f>CMS!A59</f>
        <v>Recognition</v>
      </c>
      <c r="B59" s="63">
        <f>SUM(C59:N59)</f>
        <v>0</v>
      </c>
      <c r="C59" s="62"/>
      <c r="D59" s="62"/>
      <c r="E59" s="62"/>
      <c r="F59" s="62"/>
      <c r="G59" s="62"/>
      <c r="H59" s="62"/>
      <c r="I59" s="62"/>
      <c r="J59" s="62"/>
      <c r="K59" s="62"/>
      <c r="L59" s="62"/>
      <c r="M59" s="62"/>
      <c r="N59" s="62"/>
    </row>
    <row r="60" spans="1:15" x14ac:dyDescent="0.2">
      <c r="A60" s="61" t="str">
        <f>CMS!A60</f>
        <v>Communications</v>
      </c>
      <c r="B60" s="63">
        <f t="shared" ref="B60:B82" si="8">SUM(C60:N60)</f>
        <v>800</v>
      </c>
      <c r="C60" s="63"/>
      <c r="D60" s="62"/>
      <c r="E60" s="62"/>
      <c r="F60" s="62"/>
      <c r="G60" s="62">
        <v>40</v>
      </c>
      <c r="H60" s="62">
        <v>40</v>
      </c>
      <c r="I60" s="62">
        <v>120</v>
      </c>
      <c r="J60" s="62">
        <v>120</v>
      </c>
      <c r="K60" s="62">
        <v>120</v>
      </c>
      <c r="L60" s="62">
        <v>120</v>
      </c>
      <c r="M60" s="62">
        <v>120</v>
      </c>
      <c r="N60" s="62">
        <v>120</v>
      </c>
    </row>
    <row r="61" spans="1:15" x14ac:dyDescent="0.2">
      <c r="A61" s="61" t="str">
        <f>CMS!A61</f>
        <v>Dues &amp; Subscriptions</v>
      </c>
      <c r="B61" s="63">
        <f t="shared" si="8"/>
        <v>0</v>
      </c>
      <c r="C61" s="63"/>
      <c r="D61" s="62"/>
      <c r="E61" s="62"/>
      <c r="F61" s="62"/>
      <c r="G61" s="62"/>
      <c r="H61" s="62"/>
      <c r="I61" s="62"/>
      <c r="J61" s="62"/>
      <c r="K61" s="62"/>
      <c r="L61" s="62"/>
      <c r="M61" s="62"/>
      <c r="N61" s="62"/>
    </row>
    <row r="62" spans="1:15" x14ac:dyDescent="0.2">
      <c r="A62" s="61" t="str">
        <f>CMS!A62</f>
        <v>Liability Insurance</v>
      </c>
      <c r="B62" s="63">
        <f t="shared" si="8"/>
        <v>966.66533049120949</v>
      </c>
      <c r="C62" s="62"/>
      <c r="D62" s="62"/>
      <c r="E62" s="62"/>
      <c r="F62" s="62"/>
      <c r="G62" s="62">
        <f>SUM('Data Links'!$B$5/'All Employees'!$I$65)/12*I102</f>
        <v>161.1108884152016</v>
      </c>
      <c r="H62" s="62">
        <f>SUM('Data Links'!$B$5/'All Employees'!$I$65)/12*J102</f>
        <v>161.1108884152016</v>
      </c>
      <c r="I62" s="62">
        <f>SUM('Data Links'!$B$5/'All Employees'!$I$65)/12*K102</f>
        <v>161.1108884152016</v>
      </c>
      <c r="J62" s="62">
        <f>SUM('Data Links'!$B$5/'All Employees'!$I$65)/12*L102</f>
        <v>161.1108884152016</v>
      </c>
      <c r="K62" s="62">
        <f>SUM('Data Links'!$B$5/'All Employees'!$I$65)/12*M102</f>
        <v>161.1108884152016</v>
      </c>
      <c r="L62" s="62">
        <f>SUM('Data Links'!$B$5/'All Employees'!$I$65)/12*N102</f>
        <v>161.1108884152016</v>
      </c>
      <c r="M62" s="62">
        <f>SUM('Data Links'!$B$5/'All Employees'!$I$65)/12*O102</f>
        <v>0</v>
      </c>
      <c r="N62" s="62">
        <f>SUM('Data Links'!$B$5/'All Employees'!$I$65)/12*P102</f>
        <v>0</v>
      </c>
    </row>
    <row r="63" spans="1:15" x14ac:dyDescent="0.2">
      <c r="A63" s="61" t="str">
        <f>CMS!A63</f>
        <v>Professional Services</v>
      </c>
      <c r="B63" s="63">
        <f t="shared" si="8"/>
        <v>42879</v>
      </c>
      <c r="C63" s="62"/>
      <c r="D63" s="62"/>
      <c r="E63" s="62"/>
      <c r="F63" s="62"/>
      <c r="G63" s="62"/>
      <c r="H63" s="62"/>
      <c r="I63" s="62">
        <f t="shared" ref="I63:N63" si="9">SUM(85758/12)</f>
        <v>7146.5</v>
      </c>
      <c r="J63" s="62">
        <f t="shared" si="9"/>
        <v>7146.5</v>
      </c>
      <c r="K63" s="62">
        <f t="shared" si="9"/>
        <v>7146.5</v>
      </c>
      <c r="L63" s="62">
        <f t="shared" si="9"/>
        <v>7146.5</v>
      </c>
      <c r="M63" s="62">
        <f t="shared" si="9"/>
        <v>7146.5</v>
      </c>
      <c r="N63" s="62">
        <f t="shared" si="9"/>
        <v>7146.5</v>
      </c>
    </row>
    <row r="64" spans="1:15" x14ac:dyDescent="0.2">
      <c r="A64" s="61" t="str">
        <f>CMS!A64</f>
        <v>Legal Fees</v>
      </c>
      <c r="B64" s="63">
        <f t="shared" si="8"/>
        <v>0</v>
      </c>
      <c r="C64" s="63"/>
      <c r="D64" s="62"/>
      <c r="E64" s="62"/>
      <c r="F64" s="62"/>
      <c r="G64" s="62"/>
      <c r="H64" s="62"/>
      <c r="I64" s="62"/>
      <c r="J64" s="62"/>
      <c r="K64" s="62"/>
      <c r="L64" s="62"/>
      <c r="M64" s="62"/>
      <c r="N64" s="62"/>
    </row>
    <row r="65" spans="1:14" x14ac:dyDescent="0.2">
      <c r="A65" s="61" t="str">
        <f>CMS!A65</f>
        <v>Technical Services</v>
      </c>
      <c r="B65" s="63">
        <f t="shared" si="8"/>
        <v>0</v>
      </c>
      <c r="C65" s="63"/>
      <c r="D65" s="62"/>
      <c r="E65" s="62"/>
      <c r="F65" s="62"/>
      <c r="G65" s="62"/>
      <c r="H65" s="62"/>
      <c r="I65" s="62"/>
      <c r="J65" s="62"/>
      <c r="K65" s="62"/>
      <c r="L65" s="62"/>
      <c r="M65" s="62"/>
      <c r="N65" s="62"/>
    </row>
    <row r="66" spans="1:14" x14ac:dyDescent="0.2">
      <c r="A66" s="61" t="str">
        <f>CMS!A66</f>
        <v>Taxes/Licenses &amp; Permits</v>
      </c>
      <c r="B66" s="63">
        <f t="shared" si="8"/>
        <v>0</v>
      </c>
      <c r="C66" s="63"/>
      <c r="D66" s="62"/>
      <c r="E66" s="62"/>
      <c r="F66" s="62"/>
      <c r="G66" s="62"/>
      <c r="H66" s="62"/>
      <c r="I66" s="62"/>
      <c r="J66" s="62"/>
      <c r="K66" s="62"/>
      <c r="L66" s="62"/>
      <c r="M66" s="62"/>
      <c r="N66" s="62"/>
    </row>
    <row r="67" spans="1:14" x14ac:dyDescent="0.2">
      <c r="A67" s="61" t="str">
        <f>CMS!A67</f>
        <v>Small Tools &amp; Equip</v>
      </c>
      <c r="B67" s="63">
        <f t="shared" si="8"/>
        <v>9167.3333333333303</v>
      </c>
      <c r="C67" s="63"/>
      <c r="D67" s="62"/>
      <c r="E67" s="62"/>
      <c r="F67" s="62"/>
      <c r="G67" s="62">
        <v>3500</v>
      </c>
      <c r="H67" s="62">
        <v>167</v>
      </c>
      <c r="I67" s="62">
        <v>4667</v>
      </c>
      <c r="J67" s="62">
        <f>SUM(2000/12)</f>
        <v>166.66666666666666</v>
      </c>
      <c r="K67" s="62">
        <f t="shared" ref="K67:N67" si="10">SUM(2000/12)</f>
        <v>166.66666666666666</v>
      </c>
      <c r="L67" s="62">
        <f t="shared" si="10"/>
        <v>166.66666666666666</v>
      </c>
      <c r="M67" s="62">
        <f t="shared" si="10"/>
        <v>166.66666666666666</v>
      </c>
      <c r="N67" s="62">
        <f t="shared" si="10"/>
        <v>166.66666666666666</v>
      </c>
    </row>
    <row r="68" spans="1:14" x14ac:dyDescent="0.2">
      <c r="A68" s="61" t="str">
        <f>CMS!A68</f>
        <v>Office Supplies</v>
      </c>
      <c r="B68" s="63">
        <f t="shared" si="8"/>
        <v>1000</v>
      </c>
      <c r="C68" s="63"/>
      <c r="D68" s="62"/>
      <c r="E68" s="62"/>
      <c r="F68" s="62"/>
      <c r="G68" s="62">
        <v>125</v>
      </c>
      <c r="H68" s="62">
        <v>125</v>
      </c>
      <c r="I68" s="62">
        <v>125</v>
      </c>
      <c r="J68" s="62">
        <v>125</v>
      </c>
      <c r="K68" s="62">
        <v>125</v>
      </c>
      <c r="L68" s="62">
        <v>125</v>
      </c>
      <c r="M68" s="62">
        <v>125</v>
      </c>
      <c r="N68" s="62">
        <v>125</v>
      </c>
    </row>
    <row r="69" spans="1:14" x14ac:dyDescent="0.2">
      <c r="A69" s="61" t="str">
        <f>CMS!A69</f>
        <v>Program Supplies</v>
      </c>
      <c r="B69" s="63">
        <f t="shared" si="8"/>
        <v>80</v>
      </c>
      <c r="C69" s="62"/>
      <c r="D69" s="62"/>
      <c r="E69" s="62"/>
      <c r="F69" s="62"/>
      <c r="G69" s="62">
        <v>10</v>
      </c>
      <c r="H69" s="62">
        <v>10</v>
      </c>
      <c r="I69" s="62">
        <v>10</v>
      </c>
      <c r="J69" s="62">
        <v>10</v>
      </c>
      <c r="K69" s="62">
        <v>10</v>
      </c>
      <c r="L69" s="62">
        <v>10</v>
      </c>
      <c r="M69" s="62">
        <v>10</v>
      </c>
      <c r="N69" s="62">
        <v>10</v>
      </c>
    </row>
    <row r="70" spans="1:14" x14ac:dyDescent="0.2">
      <c r="A70" s="61" t="str">
        <f>CMS!A70</f>
        <v>Advertising</v>
      </c>
      <c r="B70" s="63">
        <f t="shared" si="8"/>
        <v>0</v>
      </c>
      <c r="C70" s="63"/>
      <c r="D70" s="62"/>
      <c r="E70" s="62"/>
      <c r="F70" s="62"/>
      <c r="G70" s="62"/>
      <c r="H70" s="62"/>
      <c r="I70" s="62"/>
      <c r="J70" s="62"/>
      <c r="K70" s="62"/>
      <c r="L70" s="62"/>
      <c r="M70" s="62"/>
      <c r="N70" s="62"/>
    </row>
    <row r="71" spans="1:14" x14ac:dyDescent="0.2">
      <c r="A71" s="61" t="str">
        <f>CMS!A71</f>
        <v>Repairs &amp; Maintenance</v>
      </c>
      <c r="B71" s="63">
        <f t="shared" si="8"/>
        <v>2000</v>
      </c>
      <c r="C71" s="63"/>
      <c r="D71" s="62"/>
      <c r="E71" s="62"/>
      <c r="F71" s="62"/>
      <c r="G71" s="62"/>
      <c r="H71" s="62"/>
      <c r="I71" s="62"/>
      <c r="J71" s="62"/>
      <c r="K71" s="62">
        <v>500</v>
      </c>
      <c r="L71" s="62">
        <v>500</v>
      </c>
      <c r="M71" s="62">
        <v>500</v>
      </c>
      <c r="N71" s="62">
        <v>500</v>
      </c>
    </row>
    <row r="72" spans="1:14" x14ac:dyDescent="0.2">
      <c r="A72" s="61" t="str">
        <f>CMS!A72</f>
        <v>Client Expense</v>
      </c>
      <c r="B72" s="63">
        <f t="shared" si="8"/>
        <v>9584</v>
      </c>
      <c r="C72" s="63"/>
      <c r="D72" s="62"/>
      <c r="E72" s="62"/>
      <c r="F72" s="62"/>
      <c r="G72" s="62">
        <v>417</v>
      </c>
      <c r="H72" s="62">
        <v>417</v>
      </c>
      <c r="I72" s="62">
        <f>SUM(5000/12)</f>
        <v>416.66666666666669</v>
      </c>
      <c r="J72" s="62">
        <v>2500</v>
      </c>
      <c r="K72" s="62">
        <v>2500</v>
      </c>
      <c r="L72" s="62">
        <v>2500</v>
      </c>
      <c r="M72" s="62">
        <f t="shared" ref="M72:N72" si="11">SUM(5000/12)</f>
        <v>416.66666666666669</v>
      </c>
      <c r="N72" s="62">
        <f t="shared" si="11"/>
        <v>416.66666666666669</v>
      </c>
    </row>
    <row r="73" spans="1:14" x14ac:dyDescent="0.2">
      <c r="A73" s="61" t="str">
        <f>CMS!A73</f>
        <v>Printing</v>
      </c>
      <c r="B73" s="63">
        <f t="shared" si="8"/>
        <v>1000</v>
      </c>
      <c r="C73" s="63"/>
      <c r="D73" s="62"/>
      <c r="E73" s="62"/>
      <c r="F73" s="62"/>
      <c r="G73" s="62">
        <v>250</v>
      </c>
      <c r="H73" s="62">
        <v>250</v>
      </c>
      <c r="I73" s="62">
        <v>250</v>
      </c>
      <c r="J73" s="62">
        <v>250</v>
      </c>
      <c r="K73" s="62"/>
      <c r="L73" s="62"/>
      <c r="M73" s="62"/>
      <c r="N73" s="62"/>
    </row>
    <row r="74" spans="1:14" x14ac:dyDescent="0.2">
      <c r="A74" s="61" t="str">
        <f>CMS!A74</f>
        <v>Postage</v>
      </c>
      <c r="B74" s="63">
        <f t="shared" si="8"/>
        <v>80</v>
      </c>
      <c r="C74" s="63"/>
      <c r="D74" s="62"/>
      <c r="E74" s="62"/>
      <c r="F74" s="62"/>
      <c r="G74" s="62">
        <v>10</v>
      </c>
      <c r="H74" s="62">
        <v>10</v>
      </c>
      <c r="I74" s="62">
        <v>10</v>
      </c>
      <c r="J74" s="62">
        <v>10</v>
      </c>
      <c r="K74" s="62">
        <v>10</v>
      </c>
      <c r="L74" s="62">
        <v>10</v>
      </c>
      <c r="M74" s="62">
        <v>10</v>
      </c>
      <c r="N74" s="62">
        <v>10</v>
      </c>
    </row>
    <row r="75" spans="1:14" ht="15.75" customHeight="1" x14ac:dyDescent="0.2">
      <c r="A75" s="61" t="str">
        <f>CMS!A75</f>
        <v>Rent/Lease Expense</v>
      </c>
      <c r="B75" s="63">
        <f t="shared" si="8"/>
        <v>12000</v>
      </c>
      <c r="C75" s="63"/>
      <c r="D75" s="62"/>
      <c r="E75" s="62"/>
      <c r="F75" s="62"/>
      <c r="G75" s="62"/>
      <c r="H75" s="62"/>
      <c r="I75" s="62"/>
      <c r="J75" s="62"/>
      <c r="K75" s="62">
        <v>3000</v>
      </c>
      <c r="L75" s="62">
        <v>3000</v>
      </c>
      <c r="M75" s="62">
        <v>3000</v>
      </c>
      <c r="N75" s="62">
        <v>3000</v>
      </c>
    </row>
    <row r="76" spans="1:14" x14ac:dyDescent="0.2">
      <c r="A76" s="61" t="str">
        <f>CMS!A76</f>
        <v>Utilities</v>
      </c>
      <c r="B76" s="63">
        <f t="shared" si="8"/>
        <v>0</v>
      </c>
      <c r="C76" s="63"/>
      <c r="D76" s="62"/>
      <c r="E76" s="62"/>
      <c r="F76" s="62"/>
      <c r="G76" s="62"/>
      <c r="H76" s="62"/>
      <c r="I76" s="62"/>
      <c r="J76" s="62"/>
      <c r="K76" s="62"/>
      <c r="L76" s="62"/>
      <c r="M76" s="62"/>
      <c r="N76" s="62"/>
    </row>
    <row r="77" spans="1:14" x14ac:dyDescent="0.2">
      <c r="A77" s="61" t="str">
        <f>CMS!A77</f>
        <v>Bank Fees/Late Fees</v>
      </c>
      <c r="B77" s="63">
        <f t="shared" si="8"/>
        <v>0</v>
      </c>
      <c r="C77" s="63"/>
      <c r="D77" s="62"/>
      <c r="E77" s="62"/>
      <c r="F77" s="62"/>
      <c r="G77" s="62"/>
      <c r="H77" s="62"/>
      <c r="I77" s="62"/>
      <c r="J77" s="62"/>
      <c r="K77" s="62"/>
      <c r="L77" s="62"/>
      <c r="M77" s="62"/>
      <c r="N77" s="62"/>
    </row>
    <row r="78" spans="1:14" x14ac:dyDescent="0.2">
      <c r="A78" s="61" t="str">
        <f>CMS!A78</f>
        <v>Bad Debt Expense</v>
      </c>
      <c r="B78" s="63">
        <f t="shared" si="8"/>
        <v>0</v>
      </c>
      <c r="C78" s="62"/>
      <c r="D78" s="62"/>
      <c r="E78" s="62"/>
      <c r="F78" s="62"/>
      <c r="G78" s="62"/>
      <c r="H78" s="62"/>
      <c r="I78" s="62"/>
      <c r="J78" s="62"/>
      <c r="K78" s="62"/>
      <c r="L78" s="62"/>
      <c r="M78" s="62"/>
      <c r="N78" s="62"/>
    </row>
    <row r="79" spans="1:14" x14ac:dyDescent="0.2">
      <c r="A79" s="61" t="str">
        <f>CMS!A79</f>
        <v>Interest Expense</v>
      </c>
      <c r="B79" s="63">
        <f t="shared" si="8"/>
        <v>0</v>
      </c>
      <c r="C79" s="62"/>
      <c r="D79" s="62"/>
      <c r="E79" s="62"/>
      <c r="F79" s="62"/>
      <c r="G79" s="62"/>
      <c r="H79" s="62"/>
      <c r="I79" s="62"/>
      <c r="J79" s="62"/>
      <c r="K79" s="62"/>
      <c r="L79" s="62"/>
      <c r="M79" s="62"/>
      <c r="N79" s="62"/>
    </row>
    <row r="80" spans="1:14" x14ac:dyDescent="0.2">
      <c r="A80" s="61" t="str">
        <f>CMS!A80</f>
        <v>Meeting Expense</v>
      </c>
      <c r="B80" s="63">
        <f t="shared" si="8"/>
        <v>0</v>
      </c>
      <c r="C80" s="63"/>
      <c r="D80" s="62"/>
      <c r="E80" s="62"/>
      <c r="F80" s="62"/>
      <c r="G80" s="62"/>
      <c r="H80" s="62"/>
      <c r="I80" s="62"/>
      <c r="J80" s="62"/>
      <c r="K80" s="62"/>
      <c r="L80" s="62"/>
      <c r="M80" s="62"/>
      <c r="N80" s="62"/>
    </row>
    <row r="81" spans="1:14" x14ac:dyDescent="0.2">
      <c r="A81" s="61" t="str">
        <f>CMS!A81</f>
        <v>In Kind Expense</v>
      </c>
      <c r="B81" s="63">
        <f t="shared" si="8"/>
        <v>0</v>
      </c>
      <c r="C81" s="63"/>
      <c r="D81" s="62"/>
      <c r="E81" s="62"/>
      <c r="F81" s="62"/>
      <c r="G81" s="62"/>
      <c r="H81" s="62"/>
      <c r="I81" s="62"/>
      <c r="J81" s="62"/>
      <c r="K81" s="62"/>
      <c r="L81" s="62"/>
      <c r="M81" s="62"/>
      <c r="N81" s="62"/>
    </row>
    <row r="82" spans="1:14" s="101" customFormat="1" ht="13.5" thickBot="1" x14ac:dyDescent="0.25">
      <c r="A82" s="61" t="str">
        <f>CMS!A82</f>
        <v>Misc Expense</v>
      </c>
      <c r="B82" s="63">
        <f t="shared" si="8"/>
        <v>0</v>
      </c>
      <c r="C82" s="63"/>
      <c r="D82" s="93"/>
      <c r="E82" s="93"/>
      <c r="F82" s="93"/>
      <c r="G82" s="93"/>
      <c r="H82" s="93"/>
      <c r="I82" s="93"/>
      <c r="J82" s="93"/>
      <c r="K82" s="93"/>
      <c r="L82" s="93"/>
      <c r="M82" s="93"/>
      <c r="N82" s="93"/>
    </row>
    <row r="83" spans="1:14" x14ac:dyDescent="0.2">
      <c r="A83" s="64" t="s">
        <v>24</v>
      </c>
      <c r="B83" s="65">
        <f>SUM(B57:B82)</f>
        <v>80636.998663824546</v>
      </c>
      <c r="C83" s="65">
        <f t="shared" ref="C83:N83" si="12">SUM(C57:C82)</f>
        <v>0</v>
      </c>
      <c r="D83" s="65">
        <f t="shared" si="12"/>
        <v>0</v>
      </c>
      <c r="E83" s="65">
        <f t="shared" si="12"/>
        <v>0</v>
      </c>
      <c r="F83" s="65">
        <f t="shared" si="12"/>
        <v>0</v>
      </c>
      <c r="G83" s="65">
        <f t="shared" si="12"/>
        <v>4648.1108884152018</v>
      </c>
      <c r="H83" s="65">
        <f t="shared" si="12"/>
        <v>1315.1108884152015</v>
      </c>
      <c r="I83" s="65">
        <f t="shared" si="12"/>
        <v>13041.277555081868</v>
      </c>
      <c r="J83" s="65">
        <f t="shared" si="12"/>
        <v>10624.27755508187</v>
      </c>
      <c r="K83" s="65">
        <f t="shared" si="12"/>
        <v>13874.27755508187</v>
      </c>
      <c r="L83" s="65">
        <f t="shared" si="12"/>
        <v>13874.27755508187</v>
      </c>
      <c r="M83" s="65">
        <f t="shared" si="12"/>
        <v>11629.833333333334</v>
      </c>
      <c r="N83" s="65">
        <f t="shared" si="12"/>
        <v>11629.833333333334</v>
      </c>
    </row>
    <row r="84" spans="1:14" x14ac:dyDescent="0.2">
      <c r="C84" s="60"/>
      <c r="D84" s="66"/>
      <c r="E84" s="66"/>
      <c r="F84" s="66"/>
      <c r="G84" s="66"/>
      <c r="H84" s="66"/>
      <c r="I84" s="66"/>
      <c r="J84" s="66"/>
      <c r="K84" s="66"/>
      <c r="L84" s="66"/>
      <c r="M84" s="66"/>
      <c r="N84" s="66"/>
    </row>
    <row r="85" spans="1:14" x14ac:dyDescent="0.2">
      <c r="A85" s="28"/>
      <c r="B85" s="86"/>
      <c r="C85" s="86"/>
      <c r="D85" s="86"/>
      <c r="E85" s="86"/>
      <c r="F85" s="86"/>
      <c r="G85" s="86"/>
      <c r="H85" s="86"/>
      <c r="I85" s="86"/>
      <c r="J85" s="86"/>
      <c r="K85" s="86"/>
      <c r="L85" s="86"/>
      <c r="M85" s="86"/>
      <c r="N85" s="86"/>
    </row>
    <row r="86" spans="1:14" x14ac:dyDescent="0.2">
      <c r="A86" s="58" t="s">
        <v>25</v>
      </c>
      <c r="C86" s="60"/>
      <c r="D86" s="66"/>
      <c r="E86" s="66"/>
      <c r="F86" s="66"/>
      <c r="G86" s="66"/>
      <c r="H86" s="66"/>
      <c r="I86" s="66"/>
      <c r="J86" s="66"/>
      <c r="K86" s="66"/>
      <c r="L86" s="66"/>
      <c r="M86" s="66"/>
      <c r="N86" s="66"/>
    </row>
    <row r="87" spans="1:14" x14ac:dyDescent="0.2">
      <c r="A87" s="61" t="s">
        <v>329</v>
      </c>
      <c r="B87" s="63">
        <f>SUM(C87:N87)</f>
        <v>3785.1134774417278</v>
      </c>
      <c r="C87" s="62">
        <f>SUM('CMS &amp; Fundraising Allocations'!B64)</f>
        <v>-44.992018107779749</v>
      </c>
      <c r="D87" s="62">
        <f>SUM('CMS &amp; Fundraising Allocations'!C64)</f>
        <v>-77.559701884896867</v>
      </c>
      <c r="E87" s="62">
        <f>SUM('CMS &amp; Fundraising Allocations'!D64)</f>
        <v>-116.20583768792886</v>
      </c>
      <c r="F87" s="62">
        <f>SUM('CMS &amp; Fundraising Allocations'!E64)</f>
        <v>-77.644596466264403</v>
      </c>
      <c r="G87" s="62">
        <f>SUM('CMS &amp; Fundraising Allocations'!F64)</f>
        <v>-548.93340722680102</v>
      </c>
      <c r="H87" s="62">
        <f>SUM('CMS &amp; Fundraising Allocations'!G64)</f>
        <v>-656.38801613790224</v>
      </c>
      <c r="I87" s="62">
        <f>SUM('CMS &amp; Fundraising Allocations'!H64)</f>
        <v>-672.944664342583</v>
      </c>
      <c r="J87" s="62">
        <f>SUM('CMS &amp; Fundraising Allocations'!I64)</f>
        <v>-2470.9411522223095</v>
      </c>
      <c r="K87" s="62">
        <f>SUM('CMS &amp; Fundraising Allocations'!J64)</f>
        <v>-2528.3360205020776</v>
      </c>
      <c r="L87" s="62">
        <f>SUM('CMS &amp; Fundraising Allocations'!K64)</f>
        <v>-2230.5031905097658</v>
      </c>
      <c r="M87" s="62">
        <f>SUM('CMS &amp; Fundraising Allocations'!L64)</f>
        <v>2162.7425808754142</v>
      </c>
      <c r="N87" s="62">
        <f>SUM('CMS &amp; Fundraising Allocations'!M64)</f>
        <v>11046.819501654623</v>
      </c>
    </row>
    <row r="88" spans="1:14" x14ac:dyDescent="0.2">
      <c r="A88" s="61" t="s">
        <v>330</v>
      </c>
      <c r="B88" s="63">
        <f>SUM(C88:N88)</f>
        <v>0</v>
      </c>
      <c r="C88" s="63"/>
      <c r="D88" s="62"/>
      <c r="E88" s="62"/>
      <c r="F88" s="62"/>
      <c r="G88" s="62"/>
      <c r="H88" s="62"/>
      <c r="I88" s="62"/>
      <c r="J88" s="62"/>
      <c r="K88" s="62"/>
      <c r="L88" s="62"/>
      <c r="M88" s="62"/>
      <c r="N88" s="62"/>
    </row>
    <row r="89" spans="1:14" ht="13.5" thickBot="1" x14ac:dyDescent="0.25">
      <c r="A89" s="61"/>
      <c r="B89" s="63">
        <f>SUM(C89:N89)</f>
        <v>0</v>
      </c>
      <c r="C89" s="63"/>
      <c r="D89" s="62"/>
      <c r="E89" s="62"/>
      <c r="F89" s="62"/>
      <c r="G89" s="62"/>
      <c r="H89" s="62"/>
      <c r="I89" s="62"/>
      <c r="J89" s="62"/>
      <c r="K89" s="62"/>
      <c r="L89" s="62"/>
      <c r="M89" s="62"/>
      <c r="N89" s="62"/>
    </row>
    <row r="90" spans="1:14" x14ac:dyDescent="0.2">
      <c r="A90" s="64" t="s">
        <v>26</v>
      </c>
      <c r="B90" s="65">
        <f t="shared" ref="B90:N90" si="13">SUM(B87:B89)</f>
        <v>3785.1134774417278</v>
      </c>
      <c r="C90" s="65">
        <f t="shared" si="13"/>
        <v>-44.992018107779749</v>
      </c>
      <c r="D90" s="65">
        <f t="shared" si="13"/>
        <v>-77.559701884896867</v>
      </c>
      <c r="E90" s="65">
        <f t="shared" si="13"/>
        <v>-116.20583768792886</v>
      </c>
      <c r="F90" s="65">
        <f t="shared" si="13"/>
        <v>-77.644596466264403</v>
      </c>
      <c r="G90" s="65">
        <f t="shared" si="13"/>
        <v>-548.93340722680102</v>
      </c>
      <c r="H90" s="65">
        <f t="shared" si="13"/>
        <v>-656.38801613790224</v>
      </c>
      <c r="I90" s="65">
        <f t="shared" si="13"/>
        <v>-672.944664342583</v>
      </c>
      <c r="J90" s="65">
        <f t="shared" si="13"/>
        <v>-2470.9411522223095</v>
      </c>
      <c r="K90" s="65">
        <f t="shared" si="13"/>
        <v>-2528.3360205020776</v>
      </c>
      <c r="L90" s="65">
        <f t="shared" si="13"/>
        <v>-2230.5031905097658</v>
      </c>
      <c r="M90" s="65">
        <f t="shared" si="13"/>
        <v>2162.7425808754142</v>
      </c>
      <c r="N90" s="65">
        <f t="shared" si="13"/>
        <v>11046.819501654623</v>
      </c>
    </row>
    <row r="91" spans="1:14" x14ac:dyDescent="0.2">
      <c r="C91" s="60"/>
      <c r="D91" s="66"/>
      <c r="E91" s="66"/>
      <c r="F91" s="66"/>
      <c r="G91" s="66"/>
      <c r="H91" s="66"/>
      <c r="I91" s="66"/>
      <c r="J91" s="66"/>
      <c r="K91" s="66"/>
      <c r="L91" s="66"/>
      <c r="M91" s="66"/>
      <c r="N91" s="66"/>
    </row>
    <row r="92" spans="1:14" x14ac:dyDescent="0.2">
      <c r="A92" s="265" t="s">
        <v>405</v>
      </c>
      <c r="B92" s="266"/>
      <c r="C92" s="266">
        <f>SUM(C46-C53-C83-C90)</f>
        <v>-163.00451508187541</v>
      </c>
      <c r="D92" s="266">
        <f t="shared" ref="D92:N92" si="14">SUM(D46-D53-D83-D90)</f>
        <v>-144.1463938047583</v>
      </c>
      <c r="E92" s="266">
        <f t="shared" si="14"/>
        <v>-118.50025800172631</v>
      </c>
      <c r="F92" s="266">
        <f t="shared" si="14"/>
        <v>-144.06149922339077</v>
      </c>
      <c r="G92" s="266">
        <f t="shared" si="14"/>
        <v>-184.63227687805704</v>
      </c>
      <c r="H92" s="266">
        <f t="shared" si="14"/>
        <v>982.82233203304531</v>
      </c>
      <c r="I92" s="266">
        <f t="shared" si="14"/>
        <v>2011.2771357932811</v>
      </c>
      <c r="J92" s="266">
        <f t="shared" si="14"/>
        <v>1053.2736236730057</v>
      </c>
      <c r="K92" s="266">
        <f t="shared" si="14"/>
        <v>1053.6684919527738</v>
      </c>
      <c r="L92" s="266">
        <f t="shared" si="14"/>
        <v>5502.8356619604619</v>
      </c>
      <c r="M92" s="266">
        <f t="shared" si="14"/>
        <v>3354.0341123238177</v>
      </c>
      <c r="N92" s="267">
        <f t="shared" si="14"/>
        <v>-5530.0428084553914</v>
      </c>
    </row>
    <row r="93" spans="1:14" x14ac:dyDescent="0.2">
      <c r="C93" s="60"/>
      <c r="D93" s="66"/>
      <c r="E93" s="66"/>
      <c r="F93" s="66"/>
      <c r="G93" s="66"/>
      <c r="H93" s="66"/>
      <c r="I93" s="66"/>
      <c r="J93" s="66"/>
      <c r="K93" s="66"/>
      <c r="L93" s="66"/>
      <c r="M93" s="66"/>
      <c r="N93" s="66"/>
    </row>
    <row r="94" spans="1:14" x14ac:dyDescent="0.2">
      <c r="B94" s="86" t="str">
        <f>B5</f>
        <v>Total</v>
      </c>
      <c r="C94" s="86"/>
      <c r="D94" s="66"/>
      <c r="E94" s="66"/>
      <c r="F94" s="66"/>
      <c r="G94" s="66"/>
      <c r="H94" s="66"/>
      <c r="I94" s="66"/>
      <c r="J94" s="66"/>
      <c r="K94" s="66"/>
      <c r="L94" s="66"/>
      <c r="M94" s="66"/>
      <c r="N94" s="66"/>
    </row>
    <row r="95" spans="1:14" x14ac:dyDescent="0.2">
      <c r="A95" s="58" t="s">
        <v>31</v>
      </c>
      <c r="B95" s="60">
        <f>SUM(B46)</f>
        <v>162691.33333333331</v>
      </c>
      <c r="C95" s="81"/>
      <c r="D95" s="66"/>
      <c r="E95" s="66"/>
      <c r="F95" s="66"/>
      <c r="G95" s="66"/>
      <c r="H95" s="66"/>
      <c r="I95" s="66"/>
      <c r="J95" s="66"/>
      <c r="K95" s="66"/>
      <c r="L95" s="66"/>
      <c r="M95" s="66"/>
      <c r="N95" s="66"/>
    </row>
    <row r="96" spans="1:14" x14ac:dyDescent="0.2">
      <c r="A96" s="58" t="s">
        <v>32</v>
      </c>
      <c r="B96" s="60">
        <f>-B53</f>
        <v>-70595.697585775881</v>
      </c>
      <c r="C96" s="81"/>
      <c r="D96" s="66"/>
      <c r="E96" s="66"/>
      <c r="F96" s="66"/>
      <c r="G96" s="66"/>
      <c r="H96" s="66"/>
      <c r="I96" s="66"/>
      <c r="J96" s="66"/>
      <c r="K96" s="66"/>
      <c r="L96" s="66"/>
      <c r="M96" s="66"/>
      <c r="N96" s="66"/>
    </row>
    <row r="97" spans="1:14" x14ac:dyDescent="0.2">
      <c r="A97" s="58" t="s">
        <v>33</v>
      </c>
      <c r="B97" s="60">
        <f>SUM(-B83)</f>
        <v>-80636.998663824546</v>
      </c>
      <c r="C97" s="81"/>
      <c r="D97" s="66"/>
      <c r="E97" s="66"/>
      <c r="F97" s="66"/>
      <c r="G97" s="66"/>
      <c r="H97" s="66"/>
      <c r="I97" s="66"/>
      <c r="J97" s="66"/>
      <c r="K97" s="66"/>
      <c r="L97" s="66"/>
      <c r="M97" s="66"/>
      <c r="N97" s="66"/>
    </row>
    <row r="98" spans="1:14" x14ac:dyDescent="0.2">
      <c r="A98" s="58" t="s">
        <v>182</v>
      </c>
      <c r="B98" s="60">
        <f>SUM(B90)*-1</f>
        <v>-3785.1134774417278</v>
      </c>
      <c r="C98" s="81"/>
      <c r="D98" s="66"/>
      <c r="E98" s="66"/>
      <c r="F98" s="66"/>
      <c r="G98" s="66"/>
      <c r="H98" s="66"/>
      <c r="I98" s="66"/>
      <c r="J98" s="66"/>
      <c r="K98" s="66"/>
      <c r="L98" s="66"/>
      <c r="M98" s="66"/>
      <c r="N98" s="66"/>
    </row>
    <row r="99" spans="1:14" x14ac:dyDescent="0.2">
      <c r="A99" s="87" t="s">
        <v>35</v>
      </c>
      <c r="B99" s="88">
        <f>SUM(B95:B98)</f>
        <v>7673.523606291159</v>
      </c>
      <c r="C99" s="81"/>
      <c r="D99" s="66"/>
      <c r="E99" s="73"/>
      <c r="F99" s="66"/>
      <c r="G99" s="81"/>
      <c r="H99" s="81"/>
      <c r="I99" s="66"/>
      <c r="J99" s="66"/>
      <c r="K99" s="66"/>
      <c r="L99" s="66"/>
      <c r="M99" s="66"/>
      <c r="N99" s="66"/>
    </row>
    <row r="100" spans="1:14" x14ac:dyDescent="0.2">
      <c r="C100" s="81"/>
      <c r="D100" s="66"/>
      <c r="E100" s="66"/>
      <c r="F100" s="66"/>
      <c r="G100" s="66"/>
      <c r="H100" s="66"/>
      <c r="I100" s="66"/>
      <c r="J100" s="66"/>
      <c r="K100" s="66"/>
      <c r="L100" s="66"/>
      <c r="M100" s="66"/>
      <c r="N100" s="66"/>
    </row>
    <row r="101" spans="1:14" x14ac:dyDescent="0.2">
      <c r="C101" s="60"/>
      <c r="D101" s="66"/>
      <c r="E101" s="66"/>
      <c r="F101" s="66"/>
      <c r="G101" s="66"/>
      <c r="H101" s="66"/>
      <c r="I101" s="66"/>
      <c r="J101" s="66"/>
      <c r="K101" s="66"/>
      <c r="L101" s="66"/>
      <c r="M101" s="66"/>
      <c r="N101" s="66"/>
    </row>
    <row r="102" spans="1:14" x14ac:dyDescent="0.2">
      <c r="A102" s="58"/>
      <c r="B102" s="60" t="s">
        <v>183</v>
      </c>
      <c r="C102" s="75">
        <f>SUM(C108+C121+C134+C147+C160+C173+C186+C199+C212)</f>
        <v>7.7586206896551727E-2</v>
      </c>
      <c r="D102" s="75">
        <f t="shared" ref="D102:N102" si="15">SUM(D108+D121+D134+D147+D160+D173+D186+D199+D212)</f>
        <v>7.7586206896551727E-2</v>
      </c>
      <c r="E102" s="75">
        <f t="shared" si="15"/>
        <v>7.7586206896551727E-2</v>
      </c>
      <c r="F102" s="75">
        <f t="shared" si="15"/>
        <v>7.7586206896551727E-2</v>
      </c>
      <c r="G102" s="75">
        <f t="shared" si="15"/>
        <v>0.57758620689655171</v>
      </c>
      <c r="H102" s="75">
        <f t="shared" si="15"/>
        <v>0.57758620689655171</v>
      </c>
      <c r="I102" s="75">
        <f t="shared" si="15"/>
        <v>2.577586206896552</v>
      </c>
      <c r="J102" s="75">
        <f t="shared" si="15"/>
        <v>2.577586206896552</v>
      </c>
      <c r="K102" s="75">
        <f t="shared" si="15"/>
        <v>2.577586206896552</v>
      </c>
      <c r="L102" s="75">
        <f t="shared" si="15"/>
        <v>2.577586206896552</v>
      </c>
      <c r="M102" s="75">
        <f t="shared" si="15"/>
        <v>2.577586206896552</v>
      </c>
      <c r="N102" s="75">
        <f t="shared" si="15"/>
        <v>2.577586206896552</v>
      </c>
    </row>
    <row r="103" spans="1:14" x14ac:dyDescent="0.2">
      <c r="A103" s="58"/>
      <c r="C103" s="73"/>
      <c r="D103" s="66"/>
      <c r="E103" s="66"/>
      <c r="F103" s="66"/>
      <c r="G103" s="66"/>
      <c r="H103" s="66"/>
      <c r="I103" s="66"/>
      <c r="J103" s="66"/>
      <c r="K103" s="66"/>
      <c r="L103" s="66"/>
      <c r="M103" s="66"/>
    </row>
    <row r="104" spans="1:14" x14ac:dyDescent="0.2">
      <c r="A104" s="116" t="s">
        <v>184</v>
      </c>
      <c r="B104" s="92"/>
      <c r="C104" s="25"/>
      <c r="D104" s="91"/>
      <c r="E104" s="91"/>
      <c r="F104" s="91"/>
      <c r="G104" s="91"/>
      <c r="H104" s="91"/>
      <c r="I104" s="91"/>
      <c r="J104" s="91"/>
      <c r="K104" s="91"/>
      <c r="L104" s="91"/>
      <c r="M104" s="91"/>
      <c r="N104" s="27"/>
    </row>
    <row r="105" spans="1:14" x14ac:dyDescent="0.2">
      <c r="C105" s="89" t="str">
        <f t="shared" ref="C105:N105" si="16">C5</f>
        <v>January</v>
      </c>
      <c r="D105" s="89" t="str">
        <f t="shared" si="16"/>
        <v>February</v>
      </c>
      <c r="E105" s="89" t="str">
        <f t="shared" si="16"/>
        <v>March</v>
      </c>
      <c r="F105" s="89" t="str">
        <f t="shared" si="16"/>
        <v>April</v>
      </c>
      <c r="G105" s="89" t="str">
        <f t="shared" si="16"/>
        <v>May</v>
      </c>
      <c r="H105" s="89" t="str">
        <f t="shared" si="16"/>
        <v>June</v>
      </c>
      <c r="I105" s="89" t="str">
        <f t="shared" si="16"/>
        <v>July</v>
      </c>
      <c r="J105" s="89" t="str">
        <f t="shared" si="16"/>
        <v>August</v>
      </c>
      <c r="K105" s="89" t="str">
        <f t="shared" si="16"/>
        <v>September</v>
      </c>
      <c r="L105" s="89" t="str">
        <f t="shared" si="16"/>
        <v>October</v>
      </c>
      <c r="M105" s="89" t="str">
        <f t="shared" si="16"/>
        <v>November</v>
      </c>
      <c r="N105" s="89" t="str">
        <f t="shared" si="16"/>
        <v>December</v>
      </c>
    </row>
    <row r="106" spans="1:14" x14ac:dyDescent="0.2">
      <c r="C106" s="72">
        <v>30</v>
      </c>
      <c r="D106" s="72">
        <v>31</v>
      </c>
      <c r="E106" s="72">
        <v>30</v>
      </c>
      <c r="F106" s="72">
        <v>31</v>
      </c>
      <c r="G106" s="72">
        <v>31</v>
      </c>
      <c r="H106" s="72">
        <v>30</v>
      </c>
      <c r="I106" s="72">
        <v>31</v>
      </c>
      <c r="J106" s="72">
        <v>30</v>
      </c>
      <c r="K106" s="72">
        <v>31</v>
      </c>
      <c r="L106" s="72">
        <v>31</v>
      </c>
      <c r="M106" s="72">
        <v>28</v>
      </c>
      <c r="N106" s="71">
        <v>31</v>
      </c>
    </row>
    <row r="107" spans="1:14" x14ac:dyDescent="0.2">
      <c r="B107" s="89" t="s">
        <v>185</v>
      </c>
      <c r="C107" s="78">
        <f>C94</f>
        <v>0</v>
      </c>
      <c r="D107" s="53">
        <v>1</v>
      </c>
      <c r="E107" s="53"/>
      <c r="F107" s="53">
        <v>1</v>
      </c>
      <c r="G107" s="53"/>
      <c r="H107" s="53">
        <v>1</v>
      </c>
      <c r="I107" s="53">
        <v>1</v>
      </c>
      <c r="J107" s="53">
        <v>1</v>
      </c>
      <c r="K107" s="53">
        <v>1</v>
      </c>
      <c r="L107" s="53">
        <v>2</v>
      </c>
      <c r="M107" s="53">
        <v>1</v>
      </c>
      <c r="N107" s="59"/>
    </row>
    <row r="108" spans="1:14" x14ac:dyDescent="0.2">
      <c r="B108" s="89" t="s">
        <v>44</v>
      </c>
      <c r="C108" s="49"/>
      <c r="D108" s="49"/>
      <c r="E108" s="49"/>
      <c r="F108" s="49"/>
      <c r="G108" s="49"/>
      <c r="H108" s="49"/>
      <c r="I108" s="49">
        <v>1</v>
      </c>
      <c r="J108" s="49">
        <v>1</v>
      </c>
      <c r="K108" s="49">
        <v>1</v>
      </c>
      <c r="L108" s="49">
        <v>1</v>
      </c>
      <c r="M108" s="49">
        <v>1</v>
      </c>
      <c r="N108" s="49">
        <v>1</v>
      </c>
    </row>
    <row r="109" spans="1:14" x14ac:dyDescent="0.2">
      <c r="B109" s="89" t="s">
        <v>186</v>
      </c>
      <c r="C109" s="53">
        <f>SUM(174*C108)</f>
        <v>0</v>
      </c>
      <c r="D109" s="53">
        <f t="shared" ref="D109:N109" si="17">SUM(174*D108)</f>
        <v>0</v>
      </c>
      <c r="E109" s="53">
        <f t="shared" si="17"/>
        <v>0</v>
      </c>
      <c r="F109" s="53">
        <f t="shared" si="17"/>
        <v>0</v>
      </c>
      <c r="G109" s="53">
        <f t="shared" si="17"/>
        <v>0</v>
      </c>
      <c r="H109" s="53">
        <f t="shared" si="17"/>
        <v>0</v>
      </c>
      <c r="I109" s="53">
        <f t="shared" si="17"/>
        <v>174</v>
      </c>
      <c r="J109" s="53">
        <f t="shared" si="17"/>
        <v>174</v>
      </c>
      <c r="K109" s="53">
        <f t="shared" si="17"/>
        <v>174</v>
      </c>
      <c r="L109" s="53">
        <f t="shared" si="17"/>
        <v>174</v>
      </c>
      <c r="M109" s="53">
        <f t="shared" si="17"/>
        <v>174</v>
      </c>
      <c r="N109" s="53">
        <f t="shared" si="17"/>
        <v>174</v>
      </c>
    </row>
    <row r="110" spans="1:14" x14ac:dyDescent="0.2">
      <c r="A110" s="59" t="s">
        <v>319</v>
      </c>
      <c r="B110" s="78" t="s">
        <v>187</v>
      </c>
      <c r="C110" s="66">
        <f>SUM(C109*$B$111)</f>
        <v>0</v>
      </c>
      <c r="D110" s="66">
        <f t="shared" ref="D110:N110" si="18">SUM(D109*$B$111)</f>
        <v>0</v>
      </c>
      <c r="E110" s="66">
        <f t="shared" si="18"/>
        <v>0</v>
      </c>
      <c r="F110" s="66">
        <f t="shared" si="18"/>
        <v>0</v>
      </c>
      <c r="G110" s="66">
        <f t="shared" si="18"/>
        <v>0</v>
      </c>
      <c r="H110" s="66">
        <f t="shared" si="18"/>
        <v>0</v>
      </c>
      <c r="I110" s="66">
        <f t="shared" si="18"/>
        <v>3306</v>
      </c>
      <c r="J110" s="66">
        <f t="shared" si="18"/>
        <v>3306</v>
      </c>
      <c r="K110" s="66">
        <f t="shared" si="18"/>
        <v>3306</v>
      </c>
      <c r="L110" s="66">
        <f t="shared" si="18"/>
        <v>3306</v>
      </c>
      <c r="M110" s="66">
        <f t="shared" si="18"/>
        <v>3306</v>
      </c>
      <c r="N110" s="66">
        <f t="shared" si="18"/>
        <v>3306</v>
      </c>
    </row>
    <row r="111" spans="1:14" x14ac:dyDescent="0.2">
      <c r="A111" s="59" t="s">
        <v>188</v>
      </c>
      <c r="B111" s="74">
        <v>19</v>
      </c>
      <c r="C111" s="66">
        <f>SUM(C110)*'Data Links'!$B$15</f>
        <v>0</v>
      </c>
      <c r="D111" s="66">
        <f>SUM(D110)*'Data Links'!$B$15</f>
        <v>0</v>
      </c>
      <c r="E111" s="66">
        <f>SUM(E110)*'Data Links'!$B$15</f>
        <v>0</v>
      </c>
      <c r="F111" s="66">
        <f>SUM(F110)*'Data Links'!$B$15</f>
        <v>0</v>
      </c>
      <c r="G111" s="66">
        <f>SUM(G110)*'Data Links'!$B$15</f>
        <v>0</v>
      </c>
      <c r="H111" s="66">
        <f>SUM(H110)*'Data Links'!$B$15</f>
        <v>0</v>
      </c>
      <c r="I111" s="66">
        <f>SUM(I110)*'Data Links'!$B$15</f>
        <v>252.90899999999999</v>
      </c>
      <c r="J111" s="66">
        <f>SUM(J110)*'Data Links'!$B$15</f>
        <v>252.90899999999999</v>
      </c>
      <c r="K111" s="66">
        <f>SUM(K110)*'Data Links'!$B$15</f>
        <v>252.90899999999999</v>
      </c>
      <c r="L111" s="66">
        <f>SUM(L110)*'Data Links'!$B$15</f>
        <v>252.90899999999999</v>
      </c>
      <c r="M111" s="66">
        <f>SUM(M110)*'Data Links'!$B$15</f>
        <v>252.90899999999999</v>
      </c>
      <c r="N111" s="66">
        <f>SUM(N110)*'Data Links'!$B$15</f>
        <v>252.90899999999999</v>
      </c>
    </row>
    <row r="112" spans="1:14" x14ac:dyDescent="0.2">
      <c r="A112" s="59" t="s">
        <v>189</v>
      </c>
      <c r="C112" s="66">
        <f>SUM(C110*'Data Links'!$B$13)</f>
        <v>0</v>
      </c>
      <c r="D112" s="66">
        <f>SUM(D110*'Data Links'!$B$13)</f>
        <v>0</v>
      </c>
      <c r="E112" s="66">
        <f>SUM(E110*'Data Links'!$B$13)</f>
        <v>0</v>
      </c>
      <c r="F112" s="66">
        <f>SUM(F110*'Data Links'!$B$13)</f>
        <v>0</v>
      </c>
      <c r="G112" s="66">
        <f>SUM(G110*'Data Links'!$B$13)</f>
        <v>0</v>
      </c>
      <c r="H112" s="66">
        <f>SUM(H110*'Data Links'!$B$13)</f>
        <v>0</v>
      </c>
      <c r="I112" s="66">
        <f>SUM(I110*'Data Links'!$B$13)</f>
        <v>19.836000000000002</v>
      </c>
      <c r="J112" s="66">
        <f>SUM(J110*'Data Links'!$B$13)</f>
        <v>19.836000000000002</v>
      </c>
      <c r="K112" s="66">
        <f>SUM(K110*'Data Links'!$B$13)</f>
        <v>19.836000000000002</v>
      </c>
      <c r="L112" s="66">
        <f>SUM(L110*'Data Links'!$B$13)</f>
        <v>19.836000000000002</v>
      </c>
      <c r="M112" s="66">
        <f>SUM(M110*'Data Links'!$B$13)</f>
        <v>19.836000000000002</v>
      </c>
      <c r="N112" s="66">
        <f>SUM(N110*'Data Links'!$B$13)</f>
        <v>19.836000000000002</v>
      </c>
    </row>
    <row r="113" spans="1:14" x14ac:dyDescent="0.2">
      <c r="A113" s="59" t="s">
        <v>190</v>
      </c>
      <c r="C113" s="66">
        <f>SUM(C109*'Data Links'!$B$8)</f>
        <v>0</v>
      </c>
      <c r="D113" s="66">
        <f>SUM(D109*'Data Links'!$B$8)</f>
        <v>0</v>
      </c>
      <c r="E113" s="66">
        <f>SUM(E109*'Data Links'!$B$8)</f>
        <v>0</v>
      </c>
      <c r="F113" s="66">
        <f>SUM(F109*'Data Links'!$B$8)</f>
        <v>0</v>
      </c>
      <c r="G113" s="66">
        <f>SUM(G109*'Data Links'!$B$8)</f>
        <v>0</v>
      </c>
      <c r="H113" s="66">
        <f>SUM(H109*'Data Links'!$B$8)</f>
        <v>0</v>
      </c>
      <c r="I113" s="66">
        <f>SUM(I109*'Data Links'!$B$8)</f>
        <v>13.5459</v>
      </c>
      <c r="J113" s="66">
        <f>SUM(J109*'Data Links'!$B$8)</f>
        <v>13.5459</v>
      </c>
      <c r="K113" s="66">
        <f>SUM(K109*'Data Links'!$B$8)</f>
        <v>13.5459</v>
      </c>
      <c r="L113" s="66">
        <f>SUM(L109*'Data Links'!$B$8)</f>
        <v>13.5459</v>
      </c>
      <c r="M113" s="66">
        <f>SUM(M109*'Data Links'!$B$8)</f>
        <v>13.5459</v>
      </c>
      <c r="N113" s="66">
        <f>SUM(N109*'Data Links'!$B$8)</f>
        <v>13.5459</v>
      </c>
    </row>
    <row r="114" spans="1:14" x14ac:dyDescent="0.2">
      <c r="A114" s="59" t="s">
        <v>191</v>
      </c>
      <c r="C114" s="66">
        <f>SUM('Data Links'!$F$24)*C108</f>
        <v>0</v>
      </c>
      <c r="D114" s="66">
        <f>SUM('Data Links'!$F$24)*D108</f>
        <v>0</v>
      </c>
      <c r="E114" s="66">
        <f>SUM('Data Links'!$F$24)*E108</f>
        <v>0</v>
      </c>
      <c r="F114" s="66">
        <f>SUM('Data Links'!$F$24)*F108</f>
        <v>0</v>
      </c>
      <c r="G114" s="66">
        <f>SUM('Data Links'!$F$24)*G108</f>
        <v>0</v>
      </c>
      <c r="H114" s="66">
        <f>SUM('Data Links'!$F$24)*H108</f>
        <v>0</v>
      </c>
      <c r="I114" s="66">
        <f>SUM('Data Links'!$F$24)</f>
        <v>396.6078</v>
      </c>
      <c r="J114" s="66">
        <f>SUM('Data Links'!$F$24)</f>
        <v>396.6078</v>
      </c>
      <c r="K114" s="66">
        <f>SUM('Data Links'!$F$24)</f>
        <v>396.6078</v>
      </c>
      <c r="L114" s="66">
        <f>SUM('Data Links'!$F$24)</f>
        <v>396.6078</v>
      </c>
      <c r="M114" s="66">
        <f>SUM('Data Links'!$F$24)</f>
        <v>396.6078</v>
      </c>
      <c r="N114" s="66">
        <f>SUM('Data Links'!$F$24)</f>
        <v>396.6078</v>
      </c>
    </row>
    <row r="115" spans="1:14" x14ac:dyDescent="0.2">
      <c r="A115" s="59" t="s">
        <v>192</v>
      </c>
      <c r="C115" s="66">
        <f>SUM(C110*'Data Links'!$B$17)</f>
        <v>0</v>
      </c>
      <c r="D115" s="66">
        <f>SUM(D110*'Data Links'!$B$17)</f>
        <v>0</v>
      </c>
      <c r="E115" s="66">
        <f>SUM(E110*'Data Links'!$B$17)</f>
        <v>0</v>
      </c>
      <c r="F115" s="66">
        <f>SUM(F110*'Data Links'!$B$17)</f>
        <v>0</v>
      </c>
      <c r="G115" s="66">
        <f>SUM(G110*'Data Links'!$B$17)</f>
        <v>0</v>
      </c>
      <c r="H115" s="66">
        <f>SUM(H110*'Data Links'!$B$17)</f>
        <v>0</v>
      </c>
      <c r="I115" s="66">
        <f>SUM(I110*'Data Links'!$B$17)</f>
        <v>99.179999999999993</v>
      </c>
      <c r="J115" s="66">
        <f>SUM(J110*'Data Links'!$B$17)</f>
        <v>99.179999999999993</v>
      </c>
      <c r="K115" s="66">
        <f>SUM(K110*'Data Links'!$B$17)</f>
        <v>99.179999999999993</v>
      </c>
      <c r="L115" s="66">
        <f>SUM(L110*'Data Links'!$B$17)</f>
        <v>99.179999999999993</v>
      </c>
      <c r="M115" s="66">
        <f>SUM(M110*'Data Links'!$B$17)</f>
        <v>99.179999999999993</v>
      </c>
      <c r="N115" s="66">
        <f>SUM(N110*'Data Links'!$B$17)</f>
        <v>99.179999999999993</v>
      </c>
    </row>
    <row r="116" spans="1:14" s="58" customFormat="1" x14ac:dyDescent="0.2">
      <c r="A116" s="58" t="s">
        <v>144</v>
      </c>
      <c r="B116" s="60"/>
      <c r="C116" s="60">
        <f t="shared" ref="C116:N116" si="19">SUM(C110:C115)</f>
        <v>0</v>
      </c>
      <c r="D116" s="60">
        <f t="shared" si="19"/>
        <v>0</v>
      </c>
      <c r="E116" s="60">
        <f t="shared" si="19"/>
        <v>0</v>
      </c>
      <c r="F116" s="60">
        <f t="shared" si="19"/>
        <v>0</v>
      </c>
      <c r="G116" s="60">
        <f t="shared" si="19"/>
        <v>0</v>
      </c>
      <c r="H116" s="60">
        <f t="shared" si="19"/>
        <v>0</v>
      </c>
      <c r="I116" s="60">
        <f t="shared" si="19"/>
        <v>4088.0786999999996</v>
      </c>
      <c r="J116" s="60">
        <f t="shared" si="19"/>
        <v>4088.0786999999996</v>
      </c>
      <c r="K116" s="60">
        <f t="shared" si="19"/>
        <v>4088.0786999999996</v>
      </c>
      <c r="L116" s="60">
        <f t="shared" si="19"/>
        <v>4088.0786999999996</v>
      </c>
      <c r="M116" s="60">
        <f t="shared" si="19"/>
        <v>4088.0786999999996</v>
      </c>
      <c r="N116" s="60">
        <f t="shared" si="19"/>
        <v>4088.0786999999996</v>
      </c>
    </row>
    <row r="117" spans="1:14" x14ac:dyDescent="0.2">
      <c r="C117" s="60"/>
      <c r="D117" s="66"/>
      <c r="E117" s="66"/>
      <c r="F117" s="66"/>
      <c r="G117" s="66"/>
      <c r="H117" s="66"/>
      <c r="I117" s="66"/>
      <c r="J117" s="66"/>
      <c r="K117" s="66"/>
      <c r="L117" s="66"/>
      <c r="M117" s="66"/>
      <c r="N117" s="66"/>
    </row>
    <row r="118" spans="1:14" x14ac:dyDescent="0.2">
      <c r="C118" s="89" t="str">
        <f>C105</f>
        <v>January</v>
      </c>
      <c r="D118" s="89" t="str">
        <f t="shared" ref="D118:N120" si="20">D105</f>
        <v>February</v>
      </c>
      <c r="E118" s="89" t="str">
        <f t="shared" si="20"/>
        <v>March</v>
      </c>
      <c r="F118" s="89" t="str">
        <f t="shared" si="20"/>
        <v>April</v>
      </c>
      <c r="G118" s="89" t="str">
        <f t="shared" si="20"/>
        <v>May</v>
      </c>
      <c r="H118" s="89" t="str">
        <f t="shared" si="20"/>
        <v>June</v>
      </c>
      <c r="I118" s="89" t="str">
        <f t="shared" si="20"/>
        <v>July</v>
      </c>
      <c r="J118" s="89" t="str">
        <f t="shared" si="20"/>
        <v>August</v>
      </c>
      <c r="K118" s="89" t="str">
        <f t="shared" si="20"/>
        <v>September</v>
      </c>
      <c r="L118" s="89" t="str">
        <f t="shared" si="20"/>
        <v>October</v>
      </c>
      <c r="M118" s="89" t="str">
        <f t="shared" si="20"/>
        <v>November</v>
      </c>
      <c r="N118" s="89" t="str">
        <f t="shared" si="20"/>
        <v>December</v>
      </c>
    </row>
    <row r="119" spans="1:14" x14ac:dyDescent="0.2">
      <c r="C119" s="72">
        <f>C106</f>
        <v>30</v>
      </c>
      <c r="D119" s="72">
        <f t="shared" si="20"/>
        <v>31</v>
      </c>
      <c r="E119" s="72">
        <f t="shared" si="20"/>
        <v>30</v>
      </c>
      <c r="F119" s="72">
        <f t="shared" si="20"/>
        <v>31</v>
      </c>
      <c r="G119" s="72">
        <f t="shared" si="20"/>
        <v>31</v>
      </c>
      <c r="H119" s="72">
        <f t="shared" si="20"/>
        <v>30</v>
      </c>
      <c r="I119" s="72">
        <f t="shared" si="20"/>
        <v>31</v>
      </c>
      <c r="J119" s="72">
        <f t="shared" si="20"/>
        <v>30</v>
      </c>
      <c r="K119" s="72">
        <f t="shared" si="20"/>
        <v>31</v>
      </c>
      <c r="L119" s="72">
        <f t="shared" si="20"/>
        <v>31</v>
      </c>
      <c r="M119" s="72">
        <f t="shared" si="20"/>
        <v>28</v>
      </c>
      <c r="N119" s="72">
        <f t="shared" si="20"/>
        <v>31</v>
      </c>
    </row>
    <row r="120" spans="1:14" x14ac:dyDescent="0.2">
      <c r="B120" s="89" t="s">
        <v>185</v>
      </c>
      <c r="C120" s="53">
        <f>C107</f>
        <v>0</v>
      </c>
      <c r="D120" s="53">
        <f t="shared" si="20"/>
        <v>1</v>
      </c>
      <c r="E120" s="53">
        <f t="shared" si="20"/>
        <v>0</v>
      </c>
      <c r="F120" s="53">
        <f t="shared" si="20"/>
        <v>1</v>
      </c>
      <c r="G120" s="53">
        <f t="shared" si="20"/>
        <v>0</v>
      </c>
      <c r="H120" s="53">
        <f t="shared" si="20"/>
        <v>1</v>
      </c>
      <c r="I120" s="53">
        <f t="shared" si="20"/>
        <v>1</v>
      </c>
      <c r="J120" s="53">
        <f t="shared" si="20"/>
        <v>1</v>
      </c>
      <c r="K120" s="53">
        <f t="shared" si="20"/>
        <v>1</v>
      </c>
      <c r="L120" s="53">
        <f t="shared" si="20"/>
        <v>2</v>
      </c>
      <c r="M120" s="53">
        <f t="shared" si="20"/>
        <v>1</v>
      </c>
      <c r="N120" s="53">
        <f t="shared" si="20"/>
        <v>0</v>
      </c>
    </row>
    <row r="121" spans="1:14" x14ac:dyDescent="0.2">
      <c r="B121" s="89" t="s">
        <v>44</v>
      </c>
      <c r="C121" s="49"/>
      <c r="D121" s="49"/>
      <c r="E121" s="49"/>
      <c r="F121" s="49"/>
      <c r="G121" s="49"/>
      <c r="H121" s="49"/>
      <c r="I121" s="49">
        <v>1</v>
      </c>
      <c r="J121" s="49">
        <v>1</v>
      </c>
      <c r="K121" s="49">
        <v>1</v>
      </c>
      <c r="L121" s="49">
        <v>1</v>
      </c>
      <c r="M121" s="49">
        <v>1</v>
      </c>
      <c r="N121" s="49">
        <v>1</v>
      </c>
    </row>
    <row r="122" spans="1:14" x14ac:dyDescent="0.2">
      <c r="B122" s="89" t="s">
        <v>186</v>
      </c>
      <c r="C122" s="53">
        <f>SUM(174*C121)</f>
        <v>0</v>
      </c>
      <c r="D122" s="53">
        <f t="shared" ref="D122:N122" si="21">SUM(174*D121)</f>
        <v>0</v>
      </c>
      <c r="E122" s="53">
        <f t="shared" si="21"/>
        <v>0</v>
      </c>
      <c r="F122" s="53">
        <f t="shared" si="21"/>
        <v>0</v>
      </c>
      <c r="G122" s="53">
        <f t="shared" si="21"/>
        <v>0</v>
      </c>
      <c r="H122" s="53">
        <f t="shared" si="21"/>
        <v>0</v>
      </c>
      <c r="I122" s="53">
        <f t="shared" si="21"/>
        <v>174</v>
      </c>
      <c r="J122" s="53">
        <f t="shared" si="21"/>
        <v>174</v>
      </c>
      <c r="K122" s="53">
        <f t="shared" si="21"/>
        <v>174</v>
      </c>
      <c r="L122" s="53">
        <f t="shared" si="21"/>
        <v>174</v>
      </c>
      <c r="M122" s="53">
        <f t="shared" si="21"/>
        <v>174</v>
      </c>
      <c r="N122" s="53">
        <f t="shared" si="21"/>
        <v>174</v>
      </c>
    </row>
    <row r="123" spans="1:14" x14ac:dyDescent="0.2">
      <c r="A123" s="59" t="s">
        <v>319</v>
      </c>
      <c r="B123" s="78" t="s">
        <v>187</v>
      </c>
      <c r="C123" s="66">
        <f>SUM(C122*$B$124)</f>
        <v>0</v>
      </c>
      <c r="D123" s="66">
        <f t="shared" ref="D123:N123" si="22">SUM(D122*$B$124)</f>
        <v>0</v>
      </c>
      <c r="E123" s="66">
        <f t="shared" si="22"/>
        <v>0</v>
      </c>
      <c r="F123" s="66">
        <f t="shared" si="22"/>
        <v>0</v>
      </c>
      <c r="G123" s="66">
        <f t="shared" si="22"/>
        <v>0</v>
      </c>
      <c r="H123" s="66">
        <f t="shared" si="22"/>
        <v>0</v>
      </c>
      <c r="I123" s="66">
        <f t="shared" si="22"/>
        <v>3306</v>
      </c>
      <c r="J123" s="66">
        <f t="shared" si="22"/>
        <v>3306</v>
      </c>
      <c r="K123" s="66">
        <f t="shared" si="22"/>
        <v>3306</v>
      </c>
      <c r="L123" s="66">
        <f t="shared" si="22"/>
        <v>3306</v>
      </c>
      <c r="M123" s="66">
        <f t="shared" si="22"/>
        <v>3306</v>
      </c>
      <c r="N123" s="66">
        <f t="shared" si="22"/>
        <v>3306</v>
      </c>
    </row>
    <row r="124" spans="1:14" x14ac:dyDescent="0.2">
      <c r="A124" s="59" t="s">
        <v>188</v>
      </c>
      <c r="B124" s="74">
        <v>19</v>
      </c>
      <c r="C124" s="66">
        <f>SUM(C123)*'Data Links'!$B$15</f>
        <v>0</v>
      </c>
      <c r="D124" s="66">
        <f>SUM(D123)*'Data Links'!$B$15</f>
        <v>0</v>
      </c>
      <c r="E124" s="66">
        <f>SUM(E123)*'Data Links'!$B$15</f>
        <v>0</v>
      </c>
      <c r="F124" s="66">
        <f>SUM(F123)*'Data Links'!$B$15</f>
        <v>0</v>
      </c>
      <c r="G124" s="66">
        <f>SUM(G123)*'Data Links'!$B$15</f>
        <v>0</v>
      </c>
      <c r="H124" s="66">
        <f>SUM(H123)*'Data Links'!$B$15</f>
        <v>0</v>
      </c>
      <c r="I124" s="66">
        <f>SUM(I123)*'Data Links'!$B$15</f>
        <v>252.90899999999999</v>
      </c>
      <c r="J124" s="66">
        <f>SUM(J123)*'Data Links'!$B$15</f>
        <v>252.90899999999999</v>
      </c>
      <c r="K124" s="66">
        <f>SUM(K123)*'Data Links'!$B$15</f>
        <v>252.90899999999999</v>
      </c>
      <c r="L124" s="66">
        <f>SUM(L123)*'Data Links'!$B$15</f>
        <v>252.90899999999999</v>
      </c>
      <c r="M124" s="66">
        <f>SUM(M123)*'Data Links'!$B$15</f>
        <v>252.90899999999999</v>
      </c>
      <c r="N124" s="66">
        <f>SUM(N123)*'Data Links'!$B$15</f>
        <v>252.90899999999999</v>
      </c>
    </row>
    <row r="125" spans="1:14" x14ac:dyDescent="0.2">
      <c r="A125" s="59" t="s">
        <v>189</v>
      </c>
      <c r="C125" s="66">
        <f>SUM(C123*'Data Links'!$B$13)</f>
        <v>0</v>
      </c>
      <c r="D125" s="66">
        <f>SUM(D123*'Data Links'!$B$13)</f>
        <v>0</v>
      </c>
      <c r="E125" s="66">
        <f>SUM(E123*'Data Links'!$B$13)</f>
        <v>0</v>
      </c>
      <c r="F125" s="66">
        <f>SUM(F123*'Data Links'!$B$13)</f>
        <v>0</v>
      </c>
      <c r="G125" s="66">
        <f>SUM(G123*'Data Links'!$B$13)</f>
        <v>0</v>
      </c>
      <c r="H125" s="66">
        <f>SUM(H123*'Data Links'!$B$13)</f>
        <v>0</v>
      </c>
      <c r="I125" s="66">
        <f>SUM(I123*'Data Links'!$B$13)</f>
        <v>19.836000000000002</v>
      </c>
      <c r="J125" s="66">
        <f>SUM(J123*'Data Links'!$B$13)</f>
        <v>19.836000000000002</v>
      </c>
      <c r="K125" s="66">
        <f>SUM(K123*'Data Links'!$B$13)</f>
        <v>19.836000000000002</v>
      </c>
      <c r="L125" s="66">
        <f>SUM(L123*'Data Links'!$B$13)</f>
        <v>19.836000000000002</v>
      </c>
      <c r="M125" s="66">
        <f>SUM(M123*'Data Links'!$B$13)</f>
        <v>19.836000000000002</v>
      </c>
      <c r="N125" s="66">
        <f>SUM(N123*'Data Links'!$B$13)</f>
        <v>19.836000000000002</v>
      </c>
    </row>
    <row r="126" spans="1:14" x14ac:dyDescent="0.2">
      <c r="A126" s="59" t="s">
        <v>190</v>
      </c>
      <c r="C126" s="66">
        <f>SUM(C122*'Data Links'!$B$8)</f>
        <v>0</v>
      </c>
      <c r="D126" s="66">
        <f>SUM(D122*'Data Links'!$B$8)</f>
        <v>0</v>
      </c>
      <c r="E126" s="66">
        <f>SUM(E122*'Data Links'!$B$8)</f>
        <v>0</v>
      </c>
      <c r="F126" s="66">
        <f>SUM(F122*'Data Links'!$B$8)</f>
        <v>0</v>
      </c>
      <c r="G126" s="66">
        <f>SUM(G122*'Data Links'!$B$8)</f>
        <v>0</v>
      </c>
      <c r="H126" s="66">
        <f>SUM(H122*'Data Links'!$B$8)</f>
        <v>0</v>
      </c>
      <c r="I126" s="66">
        <f>SUM(I122*'Data Links'!$B$8)</f>
        <v>13.5459</v>
      </c>
      <c r="J126" s="66">
        <f>SUM(J122*'Data Links'!$B$8)</f>
        <v>13.5459</v>
      </c>
      <c r="K126" s="66">
        <f>SUM(K122*'Data Links'!$B$8)</f>
        <v>13.5459</v>
      </c>
      <c r="L126" s="66">
        <f>SUM(L122*'Data Links'!$B$8)</f>
        <v>13.5459</v>
      </c>
      <c r="M126" s="66">
        <f>SUM(M122*'Data Links'!$B$8)</f>
        <v>13.5459</v>
      </c>
      <c r="N126" s="66">
        <f>SUM(N122*'Data Links'!$B$8)</f>
        <v>13.5459</v>
      </c>
    </row>
    <row r="127" spans="1:14" x14ac:dyDescent="0.2">
      <c r="A127" s="59" t="s">
        <v>191</v>
      </c>
      <c r="C127" s="66">
        <f>SUM('Data Links'!$F$24)*C121</f>
        <v>0</v>
      </c>
      <c r="D127" s="66">
        <f>SUM('Data Links'!$F$24)*D121</f>
        <v>0</v>
      </c>
      <c r="E127" s="66">
        <f>SUM('Data Links'!$F$24)*E121</f>
        <v>0</v>
      </c>
      <c r="F127" s="66">
        <f>SUM('Data Links'!$F$24)*F121</f>
        <v>0</v>
      </c>
      <c r="G127" s="66">
        <f>SUM('Data Links'!$F$24)*G121</f>
        <v>0</v>
      </c>
      <c r="H127" s="66">
        <f>SUM('Data Links'!$F$24)*H121</f>
        <v>0</v>
      </c>
      <c r="I127" s="66">
        <f>SUM('Data Links'!$F$24)*I121</f>
        <v>396.6078</v>
      </c>
      <c r="J127" s="66">
        <f>SUM('Data Links'!$F$24)*J121</f>
        <v>396.6078</v>
      </c>
      <c r="K127" s="66">
        <f>SUM('Data Links'!$F$24)*K121</f>
        <v>396.6078</v>
      </c>
      <c r="L127" s="66">
        <f>SUM('Data Links'!$F$24)*L121</f>
        <v>396.6078</v>
      </c>
      <c r="M127" s="66">
        <f>SUM('Data Links'!$F$24)*M121</f>
        <v>396.6078</v>
      </c>
      <c r="N127" s="66">
        <f>SUM('Data Links'!$F$24)*N121</f>
        <v>396.6078</v>
      </c>
    </row>
    <row r="128" spans="1:14" x14ac:dyDescent="0.2">
      <c r="A128" s="59" t="s">
        <v>192</v>
      </c>
      <c r="C128" s="66">
        <f>SUM(C123*'Data Links'!$B$17)</f>
        <v>0</v>
      </c>
      <c r="D128" s="66">
        <f>SUM(D123*'Data Links'!$B$17)</f>
        <v>0</v>
      </c>
      <c r="E128" s="66">
        <f>SUM(E123*'Data Links'!$B$17)</f>
        <v>0</v>
      </c>
      <c r="F128" s="66">
        <f>SUM(F123*'Data Links'!$B$17)</f>
        <v>0</v>
      </c>
      <c r="G128" s="66">
        <f>SUM(G123*'Data Links'!$B$17)</f>
        <v>0</v>
      </c>
      <c r="H128" s="66">
        <f>SUM(H123*'Data Links'!$B$17)</f>
        <v>0</v>
      </c>
      <c r="I128" s="66">
        <f>SUM(I123*'Data Links'!$B$17)</f>
        <v>99.179999999999993</v>
      </c>
      <c r="J128" s="66">
        <f>SUM(J123*'Data Links'!$B$17)</f>
        <v>99.179999999999993</v>
      </c>
      <c r="K128" s="66">
        <f>SUM(K123*'Data Links'!$B$17)</f>
        <v>99.179999999999993</v>
      </c>
      <c r="L128" s="66">
        <f>SUM(L123*'Data Links'!$B$17)</f>
        <v>99.179999999999993</v>
      </c>
      <c r="M128" s="66">
        <f>SUM(M123*'Data Links'!$B$17)</f>
        <v>99.179999999999993</v>
      </c>
      <c r="N128" s="66">
        <f>SUM(N123*'Data Links'!$B$17)</f>
        <v>99.179999999999993</v>
      </c>
    </row>
    <row r="129" spans="1:14" s="58" customFormat="1" x14ac:dyDescent="0.2">
      <c r="A129" s="58" t="s">
        <v>144</v>
      </c>
      <c r="B129" s="60"/>
      <c r="C129" s="60">
        <f t="shared" ref="C129:N129" si="23">SUM(C123:C128)</f>
        <v>0</v>
      </c>
      <c r="D129" s="60">
        <f t="shared" si="23"/>
        <v>0</v>
      </c>
      <c r="E129" s="60">
        <f t="shared" si="23"/>
        <v>0</v>
      </c>
      <c r="F129" s="60">
        <f t="shared" si="23"/>
        <v>0</v>
      </c>
      <c r="G129" s="60">
        <f t="shared" si="23"/>
        <v>0</v>
      </c>
      <c r="H129" s="60">
        <f t="shared" si="23"/>
        <v>0</v>
      </c>
      <c r="I129" s="60">
        <f t="shared" si="23"/>
        <v>4088.0786999999996</v>
      </c>
      <c r="J129" s="60">
        <f t="shared" si="23"/>
        <v>4088.0786999999996</v>
      </c>
      <c r="K129" s="60">
        <f t="shared" si="23"/>
        <v>4088.0786999999996</v>
      </c>
      <c r="L129" s="60">
        <f t="shared" si="23"/>
        <v>4088.0786999999996</v>
      </c>
      <c r="M129" s="60">
        <f t="shared" si="23"/>
        <v>4088.0786999999996</v>
      </c>
      <c r="N129" s="60">
        <f t="shared" si="23"/>
        <v>4088.0786999999996</v>
      </c>
    </row>
    <row r="130" spans="1:14" x14ac:dyDescent="0.2">
      <c r="C130" s="60"/>
      <c r="D130" s="66"/>
      <c r="E130" s="66"/>
      <c r="F130" s="66"/>
      <c r="G130" s="66"/>
      <c r="H130" s="66"/>
      <c r="I130" s="66"/>
      <c r="J130" s="66"/>
      <c r="K130" s="66"/>
      <c r="L130" s="66"/>
      <c r="M130" s="66"/>
      <c r="N130" s="66"/>
    </row>
    <row r="131" spans="1:14" x14ac:dyDescent="0.2">
      <c r="C131" s="89" t="str">
        <f>C118</f>
        <v>January</v>
      </c>
      <c r="D131" s="89" t="str">
        <f t="shared" ref="D131:N131" si="24">D118</f>
        <v>February</v>
      </c>
      <c r="E131" s="89" t="str">
        <f t="shared" si="24"/>
        <v>March</v>
      </c>
      <c r="F131" s="89" t="str">
        <f t="shared" si="24"/>
        <v>April</v>
      </c>
      <c r="G131" s="89" t="str">
        <f t="shared" si="24"/>
        <v>May</v>
      </c>
      <c r="H131" s="89" t="str">
        <f t="shared" si="24"/>
        <v>June</v>
      </c>
      <c r="I131" s="89" t="str">
        <f t="shared" si="24"/>
        <v>July</v>
      </c>
      <c r="J131" s="89" t="str">
        <f t="shared" si="24"/>
        <v>August</v>
      </c>
      <c r="K131" s="89" t="str">
        <f t="shared" si="24"/>
        <v>September</v>
      </c>
      <c r="L131" s="89" t="str">
        <f t="shared" si="24"/>
        <v>October</v>
      </c>
      <c r="M131" s="89" t="str">
        <f t="shared" si="24"/>
        <v>November</v>
      </c>
      <c r="N131" s="89" t="str">
        <f t="shared" si="24"/>
        <v>December</v>
      </c>
    </row>
    <row r="132" spans="1:14" x14ac:dyDescent="0.2">
      <c r="C132" s="89">
        <f t="shared" ref="C132:N133" si="25">C119</f>
        <v>30</v>
      </c>
      <c r="D132" s="89">
        <f t="shared" si="25"/>
        <v>31</v>
      </c>
      <c r="E132" s="89">
        <f t="shared" si="25"/>
        <v>30</v>
      </c>
      <c r="F132" s="89">
        <f t="shared" si="25"/>
        <v>31</v>
      </c>
      <c r="G132" s="89">
        <f t="shared" si="25"/>
        <v>31</v>
      </c>
      <c r="H132" s="89">
        <f t="shared" si="25"/>
        <v>30</v>
      </c>
      <c r="I132" s="89">
        <f t="shared" si="25"/>
        <v>31</v>
      </c>
      <c r="J132" s="89">
        <f t="shared" si="25"/>
        <v>30</v>
      </c>
      <c r="K132" s="89">
        <f t="shared" si="25"/>
        <v>31</v>
      </c>
      <c r="L132" s="89">
        <f t="shared" si="25"/>
        <v>31</v>
      </c>
      <c r="M132" s="89">
        <f t="shared" si="25"/>
        <v>28</v>
      </c>
      <c r="N132" s="89">
        <f t="shared" si="25"/>
        <v>31</v>
      </c>
    </row>
    <row r="133" spans="1:14" x14ac:dyDescent="0.2">
      <c r="B133" s="89" t="s">
        <v>185</v>
      </c>
      <c r="C133" s="53">
        <f>C120</f>
        <v>0</v>
      </c>
      <c r="D133" s="78">
        <f t="shared" si="25"/>
        <v>1</v>
      </c>
      <c r="E133" s="78">
        <f t="shared" si="25"/>
        <v>0</v>
      </c>
      <c r="F133" s="78">
        <f t="shared" si="25"/>
        <v>1</v>
      </c>
      <c r="G133" s="78">
        <f t="shared" si="25"/>
        <v>0</v>
      </c>
      <c r="H133" s="78">
        <f t="shared" si="25"/>
        <v>1</v>
      </c>
      <c r="I133" s="78">
        <f t="shared" si="25"/>
        <v>1</v>
      </c>
      <c r="J133" s="78">
        <f t="shared" si="25"/>
        <v>1</v>
      </c>
      <c r="K133" s="78">
        <f t="shared" si="25"/>
        <v>1</v>
      </c>
      <c r="L133" s="78">
        <f t="shared" si="25"/>
        <v>2</v>
      </c>
      <c r="M133" s="78">
        <f t="shared" si="25"/>
        <v>1</v>
      </c>
      <c r="N133" s="78">
        <f t="shared" si="25"/>
        <v>0</v>
      </c>
    </row>
    <row r="134" spans="1:14" x14ac:dyDescent="0.2">
      <c r="B134" s="89" t="s">
        <v>44</v>
      </c>
      <c r="C134" s="49"/>
      <c r="D134" s="49"/>
      <c r="E134" s="49"/>
      <c r="F134" s="49"/>
      <c r="G134" s="49">
        <v>0.5</v>
      </c>
      <c r="H134" s="49">
        <v>0.5</v>
      </c>
      <c r="I134" s="49">
        <v>0.5</v>
      </c>
      <c r="J134" s="49">
        <v>0.5</v>
      </c>
      <c r="K134" s="49">
        <v>0.5</v>
      </c>
      <c r="L134" s="49">
        <v>0.5</v>
      </c>
      <c r="M134" s="49">
        <v>0.5</v>
      </c>
      <c r="N134" s="49">
        <v>0.5</v>
      </c>
    </row>
    <row r="135" spans="1:14" x14ac:dyDescent="0.2">
      <c r="B135" s="89" t="s">
        <v>186</v>
      </c>
      <c r="C135" s="53">
        <f>SUM(174*C134)</f>
        <v>0</v>
      </c>
      <c r="D135" s="53">
        <f t="shared" ref="D135:N135" si="26">SUM(174*D134)</f>
        <v>0</v>
      </c>
      <c r="E135" s="53">
        <f t="shared" si="26"/>
        <v>0</v>
      </c>
      <c r="F135" s="53">
        <f t="shared" si="26"/>
        <v>0</v>
      </c>
      <c r="G135" s="53">
        <f t="shared" si="26"/>
        <v>87</v>
      </c>
      <c r="H135" s="53">
        <f t="shared" si="26"/>
        <v>87</v>
      </c>
      <c r="I135" s="53">
        <f t="shared" si="26"/>
        <v>87</v>
      </c>
      <c r="J135" s="53">
        <f t="shared" si="26"/>
        <v>87</v>
      </c>
      <c r="K135" s="53">
        <f t="shared" si="26"/>
        <v>87</v>
      </c>
      <c r="L135" s="53">
        <f t="shared" si="26"/>
        <v>87</v>
      </c>
      <c r="M135" s="53">
        <f t="shared" si="26"/>
        <v>87</v>
      </c>
      <c r="N135" s="53">
        <f t="shared" si="26"/>
        <v>87</v>
      </c>
    </row>
    <row r="136" spans="1:14" x14ac:dyDescent="0.2">
      <c r="A136" s="59" t="s">
        <v>694</v>
      </c>
      <c r="B136" s="78" t="s">
        <v>187</v>
      </c>
      <c r="C136" s="66">
        <f>SUM(C135*$B$137)</f>
        <v>0</v>
      </c>
      <c r="D136" s="66">
        <f t="shared" ref="D136:N136" si="27">SUM(D135*$B$137)</f>
        <v>0</v>
      </c>
      <c r="E136" s="66">
        <f t="shared" si="27"/>
        <v>0</v>
      </c>
      <c r="F136" s="66">
        <f t="shared" si="27"/>
        <v>0</v>
      </c>
      <c r="G136" s="66">
        <f t="shared" si="27"/>
        <v>1950.5400000000002</v>
      </c>
      <c r="H136" s="66">
        <f t="shared" si="27"/>
        <v>1950.5400000000002</v>
      </c>
      <c r="I136" s="66">
        <f t="shared" si="27"/>
        <v>1950.5400000000002</v>
      </c>
      <c r="J136" s="66">
        <f t="shared" si="27"/>
        <v>1950.5400000000002</v>
      </c>
      <c r="K136" s="66">
        <f t="shared" si="27"/>
        <v>1950.5400000000002</v>
      </c>
      <c r="L136" s="66">
        <f t="shared" si="27"/>
        <v>1950.5400000000002</v>
      </c>
      <c r="M136" s="66">
        <f t="shared" si="27"/>
        <v>1950.5400000000002</v>
      </c>
      <c r="N136" s="66">
        <f t="shared" si="27"/>
        <v>1950.5400000000002</v>
      </c>
    </row>
    <row r="137" spans="1:14" x14ac:dyDescent="0.2">
      <c r="A137" s="59" t="s">
        <v>188</v>
      </c>
      <c r="B137" s="74">
        <v>22.42</v>
      </c>
      <c r="C137" s="66">
        <f>SUM(C136)*'Data Links'!$B$15</f>
        <v>0</v>
      </c>
      <c r="D137" s="66">
        <f>SUM(D136)*'Data Links'!$B$15</f>
        <v>0</v>
      </c>
      <c r="E137" s="66">
        <f>SUM(E136)*'Data Links'!$B$15</f>
        <v>0</v>
      </c>
      <c r="F137" s="66">
        <f>SUM(F136)*'Data Links'!$B$15</f>
        <v>0</v>
      </c>
      <c r="G137" s="66">
        <f>SUM(G136)*'Data Links'!$B$15</f>
        <v>149.21631000000002</v>
      </c>
      <c r="H137" s="66">
        <f>SUM(H136)*'Data Links'!$B$15</f>
        <v>149.21631000000002</v>
      </c>
      <c r="I137" s="66">
        <f>SUM(I136)*'Data Links'!$B$15</f>
        <v>149.21631000000002</v>
      </c>
      <c r="J137" s="66">
        <f>SUM(J136)*'Data Links'!$B$15</f>
        <v>149.21631000000002</v>
      </c>
      <c r="K137" s="66">
        <f>SUM(K136)*'Data Links'!$B$15</f>
        <v>149.21631000000002</v>
      </c>
      <c r="L137" s="66">
        <f>SUM(L136)*'Data Links'!$B$15</f>
        <v>149.21631000000002</v>
      </c>
      <c r="M137" s="66">
        <f>SUM(M136)*'Data Links'!$B$15</f>
        <v>149.21631000000002</v>
      </c>
      <c r="N137" s="66">
        <f>SUM(N136)*'Data Links'!$B$15</f>
        <v>149.21631000000002</v>
      </c>
    </row>
    <row r="138" spans="1:14" x14ac:dyDescent="0.2">
      <c r="A138" s="59" t="s">
        <v>189</v>
      </c>
      <c r="C138" s="66">
        <f>SUM(C136*'Data Links'!$B$13)</f>
        <v>0</v>
      </c>
      <c r="D138" s="66">
        <f>SUM(D136*'Data Links'!$B$13)</f>
        <v>0</v>
      </c>
      <c r="E138" s="66">
        <f>SUM(E136*'Data Links'!$B$13)</f>
        <v>0</v>
      </c>
      <c r="F138" s="66">
        <f>SUM(F136*'Data Links'!$B$13)</f>
        <v>0</v>
      </c>
      <c r="G138" s="66">
        <f>SUM(G136*'Data Links'!$B$13)</f>
        <v>11.703240000000001</v>
      </c>
      <c r="H138" s="66">
        <f>SUM(H136*'Data Links'!$B$13)</f>
        <v>11.703240000000001</v>
      </c>
      <c r="I138" s="66">
        <f>SUM(I136*'Data Links'!$B$13)</f>
        <v>11.703240000000001</v>
      </c>
      <c r="J138" s="66">
        <f>SUM(J136*'Data Links'!$B$13)</f>
        <v>11.703240000000001</v>
      </c>
      <c r="K138" s="66">
        <f>SUM(K136*'Data Links'!$B$13)</f>
        <v>11.703240000000001</v>
      </c>
      <c r="L138" s="66">
        <f>SUM(L136*'Data Links'!$B$13)</f>
        <v>11.703240000000001</v>
      </c>
      <c r="M138" s="66">
        <f>SUM(M136*'Data Links'!$B$13)</f>
        <v>11.703240000000001</v>
      </c>
      <c r="N138" s="66">
        <f>SUM(N136*'Data Links'!$B$13)</f>
        <v>11.703240000000001</v>
      </c>
    </row>
    <row r="139" spans="1:14" x14ac:dyDescent="0.2">
      <c r="A139" s="59" t="s">
        <v>190</v>
      </c>
      <c r="C139" s="66">
        <f>SUM(C135*'Data Links'!$B$8)</f>
        <v>0</v>
      </c>
      <c r="D139" s="66">
        <f>SUM(D135*'Data Links'!$B$8)</f>
        <v>0</v>
      </c>
      <c r="E139" s="66">
        <f>SUM(E135*'Data Links'!$B$8)</f>
        <v>0</v>
      </c>
      <c r="F139" s="66">
        <f>SUM(F135*'Data Links'!$B$8)</f>
        <v>0</v>
      </c>
      <c r="G139" s="66">
        <f>SUM(G135*'Data Links'!$B$8)</f>
        <v>6.7729499999999998</v>
      </c>
      <c r="H139" s="66">
        <f>SUM(H135*'Data Links'!$B$8)</f>
        <v>6.7729499999999998</v>
      </c>
      <c r="I139" s="66">
        <f>SUM(I135*'Data Links'!$B$8)</f>
        <v>6.7729499999999998</v>
      </c>
      <c r="J139" s="66">
        <f>SUM(J135*'Data Links'!$B$8)</f>
        <v>6.7729499999999998</v>
      </c>
      <c r="K139" s="66">
        <f>SUM(K135*'Data Links'!$B$8)</f>
        <v>6.7729499999999998</v>
      </c>
      <c r="L139" s="66">
        <f>SUM(L135*'Data Links'!$B$8)</f>
        <v>6.7729499999999998</v>
      </c>
      <c r="M139" s="66">
        <f>SUM(M135*'Data Links'!$B$8)</f>
        <v>6.7729499999999998</v>
      </c>
      <c r="N139" s="66">
        <f>SUM(N135*'Data Links'!$B$8)</f>
        <v>6.7729499999999998</v>
      </c>
    </row>
    <row r="140" spans="1:14" x14ac:dyDescent="0.2">
      <c r="A140" s="59" t="s">
        <v>191</v>
      </c>
      <c r="C140" s="66"/>
      <c r="D140" s="66"/>
      <c r="E140" s="66"/>
      <c r="F140" s="66"/>
      <c r="G140" s="66"/>
      <c r="H140" s="66"/>
      <c r="I140" s="66"/>
      <c r="J140" s="66"/>
      <c r="K140" s="66"/>
      <c r="L140" s="66"/>
      <c r="M140" s="66"/>
      <c r="N140" s="66"/>
    </row>
    <row r="141" spans="1:14" x14ac:dyDescent="0.2">
      <c r="A141" s="59" t="s">
        <v>192</v>
      </c>
      <c r="C141" s="66">
        <f>SUM(C136*'Data Links'!$B$17)</f>
        <v>0</v>
      </c>
      <c r="D141" s="66">
        <f>SUM(D136*'Data Links'!$B$17)</f>
        <v>0</v>
      </c>
      <c r="E141" s="66">
        <f>SUM(E136*'Data Links'!$B$17)</f>
        <v>0</v>
      </c>
      <c r="F141" s="66">
        <f>SUM(F136*'Data Links'!$B$17)</f>
        <v>0</v>
      </c>
      <c r="G141" s="66">
        <f>SUM(G136*'Data Links'!$B$17)</f>
        <v>58.516200000000005</v>
      </c>
      <c r="H141" s="66">
        <f>SUM(H136*'Data Links'!$B$17)</f>
        <v>58.516200000000005</v>
      </c>
      <c r="I141" s="66">
        <f>SUM(I136*'Data Links'!$B$17)</f>
        <v>58.516200000000005</v>
      </c>
      <c r="J141" s="66">
        <f>SUM(J136*'Data Links'!$B$17)</f>
        <v>58.516200000000005</v>
      </c>
      <c r="K141" s="66">
        <f>SUM(K136*'Data Links'!$B$17)</f>
        <v>58.516200000000005</v>
      </c>
      <c r="L141" s="66">
        <f>SUM(L136*'Data Links'!$B$17)</f>
        <v>58.516200000000005</v>
      </c>
      <c r="M141" s="66">
        <f>SUM(M136*'Data Links'!$B$17)</f>
        <v>58.516200000000005</v>
      </c>
      <c r="N141" s="66">
        <f>SUM(N136*'Data Links'!$B$17)</f>
        <v>58.516200000000005</v>
      </c>
    </row>
    <row r="142" spans="1:14" s="58" customFormat="1" x14ac:dyDescent="0.2">
      <c r="A142" s="58" t="s">
        <v>144</v>
      </c>
      <c r="B142" s="60"/>
      <c r="C142" s="60">
        <f t="shared" ref="C142:N142" si="28">SUM(C136:C141)</f>
        <v>0</v>
      </c>
      <c r="D142" s="60">
        <f t="shared" si="28"/>
        <v>0</v>
      </c>
      <c r="E142" s="60">
        <f t="shared" si="28"/>
        <v>0</v>
      </c>
      <c r="F142" s="60">
        <f t="shared" si="28"/>
        <v>0</v>
      </c>
      <c r="G142" s="60">
        <f t="shared" si="28"/>
        <v>2176.7487000000001</v>
      </c>
      <c r="H142" s="60">
        <f t="shared" si="28"/>
        <v>2176.7487000000001</v>
      </c>
      <c r="I142" s="60">
        <f t="shared" si="28"/>
        <v>2176.7487000000001</v>
      </c>
      <c r="J142" s="60">
        <f t="shared" si="28"/>
        <v>2176.7487000000001</v>
      </c>
      <c r="K142" s="60">
        <f t="shared" si="28"/>
        <v>2176.7487000000001</v>
      </c>
      <c r="L142" s="60">
        <f t="shared" si="28"/>
        <v>2176.7487000000001</v>
      </c>
      <c r="M142" s="60">
        <f t="shared" si="28"/>
        <v>2176.7487000000001</v>
      </c>
      <c r="N142" s="60">
        <f t="shared" si="28"/>
        <v>2176.7487000000001</v>
      </c>
    </row>
    <row r="143" spans="1:14" x14ac:dyDescent="0.2">
      <c r="C143" s="60"/>
      <c r="D143" s="66"/>
      <c r="E143" s="66"/>
      <c r="F143" s="66"/>
      <c r="G143" s="66"/>
      <c r="H143" s="66"/>
      <c r="I143" s="66"/>
      <c r="J143" s="66"/>
      <c r="K143" s="66"/>
      <c r="L143" s="66"/>
      <c r="M143" s="66"/>
      <c r="N143" s="66"/>
    </row>
    <row r="144" spans="1:14" x14ac:dyDescent="0.2">
      <c r="C144" s="89" t="str">
        <f>C131</f>
        <v>January</v>
      </c>
      <c r="D144" s="89" t="str">
        <f t="shared" ref="D144:N144" si="29">D131</f>
        <v>February</v>
      </c>
      <c r="E144" s="89" t="str">
        <f t="shared" si="29"/>
        <v>March</v>
      </c>
      <c r="F144" s="89" t="str">
        <f t="shared" si="29"/>
        <v>April</v>
      </c>
      <c r="G144" s="89" t="str">
        <f t="shared" si="29"/>
        <v>May</v>
      </c>
      <c r="H144" s="89" t="str">
        <f t="shared" si="29"/>
        <v>June</v>
      </c>
      <c r="I144" s="89" t="str">
        <f t="shared" si="29"/>
        <v>July</v>
      </c>
      <c r="J144" s="89" t="str">
        <f t="shared" si="29"/>
        <v>August</v>
      </c>
      <c r="K144" s="89" t="str">
        <f t="shared" si="29"/>
        <v>September</v>
      </c>
      <c r="L144" s="89" t="str">
        <f t="shared" si="29"/>
        <v>October</v>
      </c>
      <c r="M144" s="89" t="str">
        <f t="shared" si="29"/>
        <v>November</v>
      </c>
      <c r="N144" s="89" t="str">
        <f t="shared" si="29"/>
        <v>December</v>
      </c>
    </row>
    <row r="145" spans="1:14" x14ac:dyDescent="0.2">
      <c r="C145" s="89">
        <f t="shared" ref="C145:N146" si="30">C132</f>
        <v>30</v>
      </c>
      <c r="D145" s="89">
        <f t="shared" si="30"/>
        <v>31</v>
      </c>
      <c r="E145" s="89">
        <f t="shared" si="30"/>
        <v>30</v>
      </c>
      <c r="F145" s="89">
        <f t="shared" si="30"/>
        <v>31</v>
      </c>
      <c r="G145" s="89">
        <f t="shared" si="30"/>
        <v>31</v>
      </c>
      <c r="H145" s="89">
        <f t="shared" si="30"/>
        <v>30</v>
      </c>
      <c r="I145" s="89">
        <f t="shared" si="30"/>
        <v>31</v>
      </c>
      <c r="J145" s="89">
        <f t="shared" si="30"/>
        <v>30</v>
      </c>
      <c r="K145" s="89">
        <f t="shared" si="30"/>
        <v>31</v>
      </c>
      <c r="L145" s="89">
        <f t="shared" si="30"/>
        <v>31</v>
      </c>
      <c r="M145" s="89">
        <f t="shared" si="30"/>
        <v>28</v>
      </c>
      <c r="N145" s="89">
        <f t="shared" si="30"/>
        <v>31</v>
      </c>
    </row>
    <row r="146" spans="1:14" x14ac:dyDescent="0.2">
      <c r="B146" s="89" t="s">
        <v>185</v>
      </c>
      <c r="C146" s="78">
        <f t="shared" si="30"/>
        <v>0</v>
      </c>
      <c r="D146" s="78">
        <f t="shared" si="30"/>
        <v>1</v>
      </c>
      <c r="E146" s="78">
        <f t="shared" si="30"/>
        <v>0</v>
      </c>
      <c r="F146" s="78">
        <f t="shared" si="30"/>
        <v>1</v>
      </c>
      <c r="G146" s="78">
        <f t="shared" si="30"/>
        <v>0</v>
      </c>
      <c r="H146" s="78">
        <f t="shared" si="30"/>
        <v>1</v>
      </c>
      <c r="I146" s="78">
        <f t="shared" si="30"/>
        <v>1</v>
      </c>
      <c r="J146" s="78">
        <f t="shared" si="30"/>
        <v>1</v>
      </c>
      <c r="K146" s="78">
        <f t="shared" si="30"/>
        <v>1</v>
      </c>
      <c r="L146" s="78">
        <f t="shared" si="30"/>
        <v>2</v>
      </c>
      <c r="M146" s="78">
        <f t="shared" si="30"/>
        <v>1</v>
      </c>
      <c r="N146" s="78">
        <f t="shared" si="30"/>
        <v>0</v>
      </c>
    </row>
    <row r="147" spans="1:14" x14ac:dyDescent="0.2">
      <c r="B147" s="89" t="s">
        <v>44</v>
      </c>
      <c r="C147" s="49">
        <f>SUM('Program Support Allocations'!$C$40)</f>
        <v>2.5862068965517241E-2</v>
      </c>
      <c r="D147" s="49">
        <f>SUM('Program Support Allocations'!$C$40)</f>
        <v>2.5862068965517241E-2</v>
      </c>
      <c r="E147" s="49">
        <f>SUM('Program Support Allocations'!$C$40)</f>
        <v>2.5862068965517241E-2</v>
      </c>
      <c r="F147" s="49">
        <f>SUM('Program Support Allocations'!$C$40)</f>
        <v>2.5862068965517241E-2</v>
      </c>
      <c r="G147" s="49">
        <f>SUM('Program Support Allocations'!$C$40)</f>
        <v>2.5862068965517241E-2</v>
      </c>
      <c r="H147" s="49">
        <f>SUM('Program Support Allocations'!$C$40)</f>
        <v>2.5862068965517241E-2</v>
      </c>
      <c r="I147" s="49">
        <f>SUM('Program Support Allocations'!$C$40)</f>
        <v>2.5862068965517241E-2</v>
      </c>
      <c r="J147" s="49">
        <f>SUM('Program Support Allocations'!$C$40)</f>
        <v>2.5862068965517241E-2</v>
      </c>
      <c r="K147" s="49">
        <f>SUM('Program Support Allocations'!$C$40)</f>
        <v>2.5862068965517241E-2</v>
      </c>
      <c r="L147" s="49">
        <f>SUM('Program Support Allocations'!$C$40)</f>
        <v>2.5862068965517241E-2</v>
      </c>
      <c r="M147" s="49">
        <f>SUM('Program Support Allocations'!$C$40)</f>
        <v>2.5862068965517241E-2</v>
      </c>
      <c r="N147" s="49">
        <f>SUM('Program Support Allocations'!$C$40)</f>
        <v>2.5862068965517241E-2</v>
      </c>
    </row>
    <row r="148" spans="1:14" x14ac:dyDescent="0.2">
      <c r="B148" s="89" t="s">
        <v>186</v>
      </c>
      <c r="C148" s="53">
        <f>SUM(174*C147)</f>
        <v>4.5</v>
      </c>
      <c r="D148" s="53">
        <f t="shared" ref="D148:N148" si="31">SUM(174*D147)</f>
        <v>4.5</v>
      </c>
      <c r="E148" s="53">
        <f t="shared" si="31"/>
        <v>4.5</v>
      </c>
      <c r="F148" s="53">
        <f t="shared" si="31"/>
        <v>4.5</v>
      </c>
      <c r="G148" s="53">
        <f t="shared" si="31"/>
        <v>4.5</v>
      </c>
      <c r="H148" s="53">
        <f t="shared" si="31"/>
        <v>4.5</v>
      </c>
      <c r="I148" s="53">
        <f t="shared" si="31"/>
        <v>4.5</v>
      </c>
      <c r="J148" s="53">
        <f t="shared" si="31"/>
        <v>4.5</v>
      </c>
      <c r="K148" s="53">
        <f t="shared" si="31"/>
        <v>4.5</v>
      </c>
      <c r="L148" s="53">
        <f t="shared" si="31"/>
        <v>4.5</v>
      </c>
      <c r="M148" s="53">
        <f t="shared" si="31"/>
        <v>4.5</v>
      </c>
      <c r="N148" s="53">
        <f t="shared" si="31"/>
        <v>4.5</v>
      </c>
    </row>
    <row r="149" spans="1:14" x14ac:dyDescent="0.2">
      <c r="A149" s="59" t="s">
        <v>623</v>
      </c>
      <c r="B149" s="78" t="s">
        <v>187</v>
      </c>
      <c r="C149" s="66">
        <f>SUM(C148*$B$111)</f>
        <v>85.5</v>
      </c>
      <c r="D149" s="66">
        <f t="shared" ref="D149:N149" si="32">SUM(D148*$B$150)</f>
        <v>128.38499999999999</v>
      </c>
      <c r="E149" s="66">
        <f t="shared" si="32"/>
        <v>128.38499999999999</v>
      </c>
      <c r="F149" s="66">
        <f t="shared" si="32"/>
        <v>128.38499999999999</v>
      </c>
      <c r="G149" s="66">
        <f t="shared" si="32"/>
        <v>128.38499999999999</v>
      </c>
      <c r="H149" s="66">
        <f t="shared" si="32"/>
        <v>128.38499999999999</v>
      </c>
      <c r="I149" s="66">
        <f t="shared" si="32"/>
        <v>128.38499999999999</v>
      </c>
      <c r="J149" s="66">
        <f t="shared" si="32"/>
        <v>128.38499999999999</v>
      </c>
      <c r="K149" s="66">
        <f t="shared" si="32"/>
        <v>128.38499999999999</v>
      </c>
      <c r="L149" s="66">
        <f t="shared" si="32"/>
        <v>128.38499999999999</v>
      </c>
      <c r="M149" s="66">
        <f t="shared" si="32"/>
        <v>128.38499999999999</v>
      </c>
      <c r="N149" s="66">
        <f t="shared" si="32"/>
        <v>128.38499999999999</v>
      </c>
    </row>
    <row r="150" spans="1:14" x14ac:dyDescent="0.2">
      <c r="A150" s="59" t="s">
        <v>188</v>
      </c>
      <c r="B150" s="74">
        <v>28.53</v>
      </c>
      <c r="C150" s="66">
        <f>SUM(C149)*'Data Links'!$B$15</f>
        <v>6.5407500000000001</v>
      </c>
      <c r="D150" s="66">
        <f>SUM(D149)*'Data Links'!$B$15</f>
        <v>9.8214524999999995</v>
      </c>
      <c r="E150" s="66">
        <f>SUM(E149)*'Data Links'!$B$15</f>
        <v>9.8214524999999995</v>
      </c>
      <c r="F150" s="66">
        <f>SUM(F149)*'Data Links'!$B$15</f>
        <v>9.8214524999999995</v>
      </c>
      <c r="G150" s="66">
        <f>SUM(G149)*'Data Links'!$B$15</f>
        <v>9.8214524999999995</v>
      </c>
      <c r="H150" s="66">
        <f>SUM(H149)*'Data Links'!$B$15</f>
        <v>9.8214524999999995</v>
      </c>
      <c r="I150" s="66">
        <f>SUM(I149)*'Data Links'!$B$15</f>
        <v>9.8214524999999995</v>
      </c>
      <c r="J150" s="66">
        <f>SUM(J149)*'Data Links'!$B$15</f>
        <v>9.8214524999999995</v>
      </c>
      <c r="K150" s="66">
        <f>SUM(K149)*'Data Links'!$B$15</f>
        <v>9.8214524999999995</v>
      </c>
      <c r="L150" s="66">
        <f>SUM(L149)*'Data Links'!$B$15</f>
        <v>9.8214524999999995</v>
      </c>
      <c r="M150" s="66">
        <f>SUM(M149)*'Data Links'!$B$15</f>
        <v>9.8214524999999995</v>
      </c>
      <c r="N150" s="66">
        <f>SUM(N149)*'Data Links'!$B$15</f>
        <v>9.8214524999999995</v>
      </c>
    </row>
    <row r="151" spans="1:14" x14ac:dyDescent="0.2">
      <c r="A151" s="59" t="s">
        <v>189</v>
      </c>
      <c r="C151" s="66">
        <f>SUM(C149*'Data Links'!$B$13)</f>
        <v>0.51300000000000001</v>
      </c>
      <c r="D151" s="66">
        <f>SUM(D149*'Data Links'!$B$13)</f>
        <v>0.77030999999999994</v>
      </c>
      <c r="E151" s="66">
        <f>SUM(E149*'Data Links'!$B$13)</f>
        <v>0.77030999999999994</v>
      </c>
      <c r="F151" s="66">
        <f>SUM(F149*'Data Links'!$B$13)</f>
        <v>0.77030999999999994</v>
      </c>
      <c r="G151" s="66">
        <f>SUM(G149*'Data Links'!$B$13)</f>
        <v>0.77030999999999994</v>
      </c>
      <c r="H151" s="66">
        <f>SUM(H149*'Data Links'!$B$13)</f>
        <v>0.77030999999999994</v>
      </c>
      <c r="I151" s="66">
        <f>SUM(I149*'Data Links'!$B$13)</f>
        <v>0.77030999999999994</v>
      </c>
      <c r="J151" s="66">
        <f>SUM(J149*'Data Links'!$B$13)</f>
        <v>0.77030999999999994</v>
      </c>
      <c r="K151" s="66">
        <f>SUM(K149*'Data Links'!$B$13)</f>
        <v>0.77030999999999994</v>
      </c>
      <c r="L151" s="66">
        <f>SUM(L149*'Data Links'!$B$13)</f>
        <v>0.77030999999999994</v>
      </c>
      <c r="M151" s="66">
        <f>SUM(M149*'Data Links'!$B$13)</f>
        <v>0.77030999999999994</v>
      </c>
      <c r="N151" s="66">
        <f>SUM(N149*'Data Links'!$B$13)</f>
        <v>0.77030999999999994</v>
      </c>
    </row>
    <row r="152" spans="1:14" x14ac:dyDescent="0.2">
      <c r="A152" s="59" t="s">
        <v>190</v>
      </c>
      <c r="C152" s="66">
        <f>SUM(C148*'Data Links'!$B$8)</f>
        <v>0.350325</v>
      </c>
      <c r="D152" s="66">
        <f>SUM(D148*'Data Links'!$B$8)</f>
        <v>0.350325</v>
      </c>
      <c r="E152" s="66">
        <f>SUM(E148*'Data Links'!$B$8)</f>
        <v>0.350325</v>
      </c>
      <c r="F152" s="66">
        <f>SUM(F148*'Data Links'!$B$8)</f>
        <v>0.350325</v>
      </c>
      <c r="G152" s="66">
        <f>SUM(G148*'Data Links'!$B$8)</f>
        <v>0.350325</v>
      </c>
      <c r="H152" s="66">
        <f>SUM(H148*'Data Links'!$B$8)</f>
        <v>0.350325</v>
      </c>
      <c r="I152" s="66">
        <f>SUM(I148*'Data Links'!$B$8)</f>
        <v>0.350325</v>
      </c>
      <c r="J152" s="66">
        <f>SUM(J148*'Data Links'!$B$8)</f>
        <v>0.350325</v>
      </c>
      <c r="K152" s="66">
        <f>SUM(K148*'Data Links'!$B$8)</f>
        <v>0.350325</v>
      </c>
      <c r="L152" s="66">
        <f>SUM(L148*'Data Links'!$B$8)</f>
        <v>0.350325</v>
      </c>
      <c r="M152" s="66">
        <f>SUM(M148*'Data Links'!$B$8)</f>
        <v>0.350325</v>
      </c>
      <c r="N152" s="66">
        <f>SUM(N148*'Data Links'!$B$8)</f>
        <v>0.350325</v>
      </c>
    </row>
    <row r="153" spans="1:14" x14ac:dyDescent="0.2">
      <c r="A153" s="59" t="s">
        <v>191</v>
      </c>
      <c r="C153" s="66">
        <f>SUM('All Employees'!$P$51)*C147</f>
        <v>11.017241379310345</v>
      </c>
      <c r="D153" s="66">
        <f>SUM('All Employees'!$P$51)*D147</f>
        <v>11.017241379310345</v>
      </c>
      <c r="E153" s="66">
        <f>SUM('All Employees'!$P$51)*E147</f>
        <v>11.017241379310345</v>
      </c>
      <c r="F153" s="66">
        <f>SUM('All Employees'!$P$51)*F147</f>
        <v>11.017241379310345</v>
      </c>
      <c r="G153" s="66">
        <f>SUM('All Employees'!$P$51)*G147</f>
        <v>11.017241379310345</v>
      </c>
      <c r="H153" s="66">
        <f>SUM('All Employees'!$P$51)*H147</f>
        <v>11.017241379310345</v>
      </c>
      <c r="I153" s="66">
        <f>SUM('All Employees'!$P$51)*I147</f>
        <v>11.017241379310345</v>
      </c>
      <c r="J153" s="66">
        <f>SUM('All Employees'!$P$51)*J147</f>
        <v>11.017241379310345</v>
      </c>
      <c r="K153" s="66">
        <f>SUM('All Employees'!$P$51)*K147</f>
        <v>11.017241379310345</v>
      </c>
      <c r="L153" s="66">
        <f>SUM('All Employees'!$P$51)*L147</f>
        <v>11.017241379310345</v>
      </c>
      <c r="M153" s="66">
        <f>SUM('All Employees'!$P$51)*M147</f>
        <v>11.017241379310345</v>
      </c>
      <c r="N153" s="66">
        <f>SUM('All Employees'!$P$51)*N147</f>
        <v>11.017241379310345</v>
      </c>
    </row>
    <row r="154" spans="1:14" x14ac:dyDescent="0.2">
      <c r="A154" s="59" t="s">
        <v>192</v>
      </c>
      <c r="C154" s="66">
        <f>SUM(C149*'Data Links'!$B$17)</f>
        <v>2.5649999999999999</v>
      </c>
      <c r="D154" s="66">
        <f>SUM(D149*'Data Links'!$B$17)</f>
        <v>3.8515499999999996</v>
      </c>
      <c r="E154" s="66">
        <f>SUM(E149*'Data Links'!$B$17)</f>
        <v>3.8515499999999996</v>
      </c>
      <c r="F154" s="66">
        <f>SUM(F149*'Data Links'!$B$17)</f>
        <v>3.8515499999999996</v>
      </c>
      <c r="G154" s="66">
        <f>SUM(G149*'Data Links'!$B$17)</f>
        <v>3.8515499999999996</v>
      </c>
      <c r="H154" s="66">
        <f>SUM(H149*'Data Links'!$B$17)</f>
        <v>3.8515499999999996</v>
      </c>
      <c r="I154" s="66">
        <f>SUM(I149*'Data Links'!$B$17)</f>
        <v>3.8515499999999996</v>
      </c>
      <c r="J154" s="66">
        <f>SUM(J149*'Data Links'!$B$17)</f>
        <v>3.8515499999999996</v>
      </c>
      <c r="K154" s="66">
        <f>SUM(K149*'Data Links'!$B$17)</f>
        <v>3.8515499999999996</v>
      </c>
      <c r="L154" s="66">
        <f>SUM(L149*'Data Links'!$B$17)</f>
        <v>3.8515499999999996</v>
      </c>
      <c r="M154" s="66">
        <f>SUM(M149*'Data Links'!$B$17)</f>
        <v>3.8515499999999996</v>
      </c>
      <c r="N154" s="66">
        <f>SUM(N149*'Data Links'!$B$17)</f>
        <v>3.8515499999999996</v>
      </c>
    </row>
    <row r="155" spans="1:14" s="58" customFormat="1" x14ac:dyDescent="0.2">
      <c r="A155" s="58" t="s">
        <v>144</v>
      </c>
      <c r="B155" s="60"/>
      <c r="C155" s="60">
        <f t="shared" ref="C155:N155" si="33">SUM(C149:C154)</f>
        <v>106.48631637931035</v>
      </c>
      <c r="D155" s="60">
        <f t="shared" si="33"/>
        <v>154.19587887931033</v>
      </c>
      <c r="E155" s="60">
        <f t="shared" si="33"/>
        <v>154.19587887931033</v>
      </c>
      <c r="F155" s="60">
        <f t="shared" si="33"/>
        <v>154.19587887931033</v>
      </c>
      <c r="G155" s="60">
        <f t="shared" si="33"/>
        <v>154.19587887931033</v>
      </c>
      <c r="H155" s="60">
        <f t="shared" si="33"/>
        <v>154.19587887931033</v>
      </c>
      <c r="I155" s="60">
        <f t="shared" si="33"/>
        <v>154.19587887931033</v>
      </c>
      <c r="J155" s="60">
        <f t="shared" si="33"/>
        <v>154.19587887931033</v>
      </c>
      <c r="K155" s="60">
        <f t="shared" si="33"/>
        <v>154.19587887931033</v>
      </c>
      <c r="L155" s="60">
        <f t="shared" si="33"/>
        <v>154.19587887931033</v>
      </c>
      <c r="M155" s="60">
        <f t="shared" si="33"/>
        <v>154.19587887931033</v>
      </c>
      <c r="N155" s="60">
        <f t="shared" si="33"/>
        <v>154.19587887931033</v>
      </c>
    </row>
    <row r="156" spans="1:14" x14ac:dyDescent="0.2">
      <c r="C156" s="60"/>
      <c r="D156" s="66"/>
      <c r="E156" s="66"/>
      <c r="F156" s="66"/>
      <c r="G156" s="66"/>
      <c r="H156" s="66"/>
      <c r="I156" s="66"/>
      <c r="J156" s="66"/>
      <c r="K156" s="66"/>
      <c r="L156" s="66"/>
      <c r="M156" s="66"/>
      <c r="N156" s="66"/>
    </row>
    <row r="157" spans="1:14" x14ac:dyDescent="0.2">
      <c r="C157" s="89" t="str">
        <f>C144</f>
        <v>January</v>
      </c>
      <c r="D157" s="89" t="str">
        <f t="shared" ref="D157:N157" si="34">D144</f>
        <v>February</v>
      </c>
      <c r="E157" s="89" t="str">
        <f t="shared" si="34"/>
        <v>March</v>
      </c>
      <c r="F157" s="89" t="str">
        <f t="shared" si="34"/>
        <v>April</v>
      </c>
      <c r="G157" s="89" t="str">
        <f t="shared" si="34"/>
        <v>May</v>
      </c>
      <c r="H157" s="89" t="str">
        <f t="shared" si="34"/>
        <v>June</v>
      </c>
      <c r="I157" s="89" t="str">
        <f t="shared" si="34"/>
        <v>July</v>
      </c>
      <c r="J157" s="89" t="str">
        <f t="shared" si="34"/>
        <v>August</v>
      </c>
      <c r="K157" s="89" t="str">
        <f t="shared" si="34"/>
        <v>September</v>
      </c>
      <c r="L157" s="89" t="str">
        <f t="shared" si="34"/>
        <v>October</v>
      </c>
      <c r="M157" s="89" t="str">
        <f t="shared" si="34"/>
        <v>November</v>
      </c>
      <c r="N157" s="89" t="str">
        <f t="shared" si="34"/>
        <v>December</v>
      </c>
    </row>
    <row r="158" spans="1:14" x14ac:dyDescent="0.2">
      <c r="C158" s="89">
        <f t="shared" ref="C158" si="35">C145</f>
        <v>30</v>
      </c>
      <c r="D158" s="89">
        <f t="shared" ref="D158:N159" si="36">D145</f>
        <v>31</v>
      </c>
      <c r="E158" s="89">
        <f t="shared" si="36"/>
        <v>30</v>
      </c>
      <c r="F158" s="89">
        <f t="shared" si="36"/>
        <v>31</v>
      </c>
      <c r="G158" s="89">
        <f t="shared" si="36"/>
        <v>31</v>
      </c>
      <c r="H158" s="89">
        <f t="shared" si="36"/>
        <v>30</v>
      </c>
      <c r="I158" s="89">
        <f t="shared" si="36"/>
        <v>31</v>
      </c>
      <c r="J158" s="89">
        <f t="shared" si="36"/>
        <v>30</v>
      </c>
      <c r="K158" s="89">
        <f t="shared" si="36"/>
        <v>31</v>
      </c>
      <c r="L158" s="89">
        <f t="shared" si="36"/>
        <v>31</v>
      </c>
      <c r="M158" s="89">
        <f t="shared" si="36"/>
        <v>28</v>
      </c>
      <c r="N158" s="89">
        <f t="shared" si="36"/>
        <v>31</v>
      </c>
    </row>
    <row r="159" spans="1:14" x14ac:dyDescent="0.2">
      <c r="B159" s="89" t="s">
        <v>185</v>
      </c>
      <c r="C159" s="53">
        <f>C146</f>
        <v>0</v>
      </c>
      <c r="D159" s="78">
        <f t="shared" si="36"/>
        <v>1</v>
      </c>
      <c r="E159" s="78">
        <f t="shared" si="36"/>
        <v>0</v>
      </c>
      <c r="F159" s="78">
        <f t="shared" si="36"/>
        <v>1</v>
      </c>
      <c r="G159" s="78">
        <f t="shared" si="36"/>
        <v>0</v>
      </c>
      <c r="H159" s="78">
        <f t="shared" si="36"/>
        <v>1</v>
      </c>
      <c r="I159" s="78">
        <f t="shared" si="36"/>
        <v>1</v>
      </c>
      <c r="J159" s="78">
        <f t="shared" si="36"/>
        <v>1</v>
      </c>
      <c r="K159" s="78">
        <f t="shared" si="36"/>
        <v>1</v>
      </c>
      <c r="L159" s="78">
        <f t="shared" si="36"/>
        <v>2</v>
      </c>
      <c r="M159" s="78">
        <f t="shared" si="36"/>
        <v>1</v>
      </c>
      <c r="N159" s="78">
        <f t="shared" si="36"/>
        <v>0</v>
      </c>
    </row>
    <row r="160" spans="1:14" x14ac:dyDescent="0.2">
      <c r="B160" s="89" t="s">
        <v>44</v>
      </c>
      <c r="C160" s="49">
        <f>SUM('Program Support Allocations'!$C$20)</f>
        <v>2.5862068965517241E-2</v>
      </c>
      <c r="D160" s="49">
        <f>SUM('Program Support Allocations'!$C$20)</f>
        <v>2.5862068965517241E-2</v>
      </c>
      <c r="E160" s="49">
        <f>SUM('Program Support Allocations'!$C$20)</f>
        <v>2.5862068965517241E-2</v>
      </c>
      <c r="F160" s="49">
        <f>SUM('Program Support Allocations'!$C$20)</f>
        <v>2.5862068965517241E-2</v>
      </c>
      <c r="G160" s="49">
        <f>SUM('Program Support Allocations'!$C$20)</f>
        <v>2.5862068965517241E-2</v>
      </c>
      <c r="H160" s="49">
        <f>SUM('Program Support Allocations'!$C$20)</f>
        <v>2.5862068965517241E-2</v>
      </c>
      <c r="I160" s="49">
        <f>SUM('Program Support Allocations'!$C$20)</f>
        <v>2.5862068965517241E-2</v>
      </c>
      <c r="J160" s="49">
        <f>SUM('Program Support Allocations'!$C$20)</f>
        <v>2.5862068965517241E-2</v>
      </c>
      <c r="K160" s="49">
        <f>SUM('Program Support Allocations'!$C$20)</f>
        <v>2.5862068965517241E-2</v>
      </c>
      <c r="L160" s="49">
        <f>SUM('Program Support Allocations'!$C$20)</f>
        <v>2.5862068965517241E-2</v>
      </c>
      <c r="M160" s="49">
        <f>SUM('Program Support Allocations'!$C$20)</f>
        <v>2.5862068965517241E-2</v>
      </c>
      <c r="N160" s="49">
        <f>SUM('Program Support Allocations'!$C$20)</f>
        <v>2.5862068965517241E-2</v>
      </c>
    </row>
    <row r="161" spans="1:14" x14ac:dyDescent="0.2">
      <c r="B161" s="89" t="s">
        <v>186</v>
      </c>
      <c r="C161" s="53">
        <f>SUM(174*C160)</f>
        <v>4.5</v>
      </c>
      <c r="D161" s="53">
        <f t="shared" ref="D161:N161" si="37">SUM(174*D160)</f>
        <v>4.5</v>
      </c>
      <c r="E161" s="53">
        <f t="shared" si="37"/>
        <v>4.5</v>
      </c>
      <c r="F161" s="53">
        <f t="shared" si="37"/>
        <v>4.5</v>
      </c>
      <c r="G161" s="53">
        <f t="shared" si="37"/>
        <v>4.5</v>
      </c>
      <c r="H161" s="53">
        <f t="shared" si="37"/>
        <v>4.5</v>
      </c>
      <c r="I161" s="53">
        <f t="shared" si="37"/>
        <v>4.5</v>
      </c>
      <c r="J161" s="53">
        <f t="shared" si="37"/>
        <v>4.5</v>
      </c>
      <c r="K161" s="53">
        <f t="shared" si="37"/>
        <v>4.5</v>
      </c>
      <c r="L161" s="53">
        <f t="shared" si="37"/>
        <v>4.5</v>
      </c>
      <c r="M161" s="53">
        <f t="shared" si="37"/>
        <v>4.5</v>
      </c>
      <c r="N161" s="53">
        <f t="shared" si="37"/>
        <v>4.5</v>
      </c>
    </row>
    <row r="162" spans="1:14" x14ac:dyDescent="0.2">
      <c r="A162" s="59" t="s">
        <v>349</v>
      </c>
      <c r="B162" s="78" t="s">
        <v>348</v>
      </c>
      <c r="C162" s="66">
        <f>SUM(C161*$B$163)</f>
        <v>70.875</v>
      </c>
      <c r="D162" s="66">
        <f t="shared" ref="D162:N162" si="38">SUM(D161*$B$163)</f>
        <v>70.875</v>
      </c>
      <c r="E162" s="66">
        <f t="shared" si="38"/>
        <v>70.875</v>
      </c>
      <c r="F162" s="66">
        <f t="shared" si="38"/>
        <v>70.875</v>
      </c>
      <c r="G162" s="66">
        <f t="shared" si="38"/>
        <v>70.875</v>
      </c>
      <c r="H162" s="66">
        <f t="shared" si="38"/>
        <v>70.875</v>
      </c>
      <c r="I162" s="66">
        <f t="shared" si="38"/>
        <v>70.875</v>
      </c>
      <c r="J162" s="66">
        <f t="shared" si="38"/>
        <v>70.875</v>
      </c>
      <c r="K162" s="66">
        <f t="shared" si="38"/>
        <v>70.875</v>
      </c>
      <c r="L162" s="66">
        <f t="shared" si="38"/>
        <v>70.875</v>
      </c>
      <c r="M162" s="66">
        <f t="shared" si="38"/>
        <v>70.875</v>
      </c>
      <c r="N162" s="66">
        <f t="shared" si="38"/>
        <v>70.875</v>
      </c>
    </row>
    <row r="163" spans="1:14" x14ac:dyDescent="0.2">
      <c r="A163" s="59" t="s">
        <v>188</v>
      </c>
      <c r="B163" s="74">
        <v>15.75</v>
      </c>
      <c r="C163" s="66">
        <f>SUM(C162)*'Data Links'!$B$15</f>
        <v>5.4219375000000003</v>
      </c>
      <c r="D163" s="66">
        <f>SUM(D162)*'Data Links'!$B$15</f>
        <v>5.4219375000000003</v>
      </c>
      <c r="E163" s="66">
        <f>SUM(E162)*'Data Links'!$B$15</f>
        <v>5.4219375000000003</v>
      </c>
      <c r="F163" s="66">
        <f>SUM(F162)*'Data Links'!$B$15</f>
        <v>5.4219375000000003</v>
      </c>
      <c r="G163" s="66">
        <f>SUM(G162)*'Data Links'!$B$15</f>
        <v>5.4219375000000003</v>
      </c>
      <c r="H163" s="66">
        <f>SUM(H162)*'Data Links'!$B$15</f>
        <v>5.4219375000000003</v>
      </c>
      <c r="I163" s="66">
        <f>SUM(I162)*'Data Links'!$B$15</f>
        <v>5.4219375000000003</v>
      </c>
      <c r="J163" s="66">
        <f>SUM(J162)*'Data Links'!$B$15</f>
        <v>5.4219375000000003</v>
      </c>
      <c r="K163" s="66">
        <f>SUM(K162)*'Data Links'!$B$15</f>
        <v>5.4219375000000003</v>
      </c>
      <c r="L163" s="66">
        <f>SUM(L162)*'Data Links'!$B$15</f>
        <v>5.4219375000000003</v>
      </c>
      <c r="M163" s="66">
        <f>SUM(M162)*'Data Links'!$B$15</f>
        <v>5.4219375000000003</v>
      </c>
      <c r="N163" s="66">
        <f>SUM(N162)*'Data Links'!$B$15</f>
        <v>5.4219375000000003</v>
      </c>
    </row>
    <row r="164" spans="1:14" x14ac:dyDescent="0.2">
      <c r="A164" s="59" t="s">
        <v>189</v>
      </c>
      <c r="B164" s="74">
        <v>14.66</v>
      </c>
      <c r="C164" s="66">
        <f>SUM(C162*'Data Links'!$B$13)</f>
        <v>0.42525000000000002</v>
      </c>
      <c r="D164" s="66">
        <f>SUM(D162*'Data Links'!$B$13)</f>
        <v>0.42525000000000002</v>
      </c>
      <c r="E164" s="66">
        <f>SUM(E162*'Data Links'!$B$13)</f>
        <v>0.42525000000000002</v>
      </c>
      <c r="F164" s="66">
        <f>SUM(F162*'Data Links'!$B$13)</f>
        <v>0.42525000000000002</v>
      </c>
      <c r="G164" s="66">
        <f>SUM(G162*'Data Links'!$B$13)</f>
        <v>0.42525000000000002</v>
      </c>
      <c r="H164" s="66">
        <f>SUM(H162*'Data Links'!$B$13)</f>
        <v>0.42525000000000002</v>
      </c>
      <c r="I164" s="66">
        <f>SUM(I162*'Data Links'!$B$13)</f>
        <v>0.42525000000000002</v>
      </c>
      <c r="J164" s="66">
        <f>SUM(J162*'Data Links'!$B$13)</f>
        <v>0.42525000000000002</v>
      </c>
      <c r="K164" s="66">
        <f>SUM(K162*'Data Links'!$B$13)</f>
        <v>0.42525000000000002</v>
      </c>
      <c r="L164" s="66">
        <f>SUM(L162*'Data Links'!$B$13)</f>
        <v>0.42525000000000002</v>
      </c>
      <c r="M164" s="66">
        <f>SUM(M162*'Data Links'!$B$13)</f>
        <v>0.42525000000000002</v>
      </c>
      <c r="N164" s="66">
        <f>SUM(N162*'Data Links'!$B$13)</f>
        <v>0.42525000000000002</v>
      </c>
    </row>
    <row r="165" spans="1:14" x14ac:dyDescent="0.2">
      <c r="A165" s="59" t="s">
        <v>190</v>
      </c>
      <c r="C165" s="66">
        <f>SUM(C161*'Data Links'!$B$8)</f>
        <v>0.350325</v>
      </c>
      <c r="D165" s="66">
        <f>SUM(D161*'Data Links'!$B$8)</f>
        <v>0.350325</v>
      </c>
      <c r="E165" s="66">
        <f>SUM(E161*'Data Links'!$B$8)</f>
        <v>0.350325</v>
      </c>
      <c r="F165" s="66">
        <f>SUM(F161*'Data Links'!$B$8)</f>
        <v>0.350325</v>
      </c>
      <c r="G165" s="66">
        <f>SUM(G161*'Data Links'!$B$8)</f>
        <v>0.350325</v>
      </c>
      <c r="H165" s="66">
        <f>SUM(H161*'Data Links'!$B$8)</f>
        <v>0.350325</v>
      </c>
      <c r="I165" s="66">
        <f>SUM(I161*'Data Links'!$B$8)</f>
        <v>0.350325</v>
      </c>
      <c r="J165" s="66">
        <f>SUM(J161*'Data Links'!$B$8)</f>
        <v>0.350325</v>
      </c>
      <c r="K165" s="66">
        <f>SUM(K161*'Data Links'!$B$8)</f>
        <v>0.350325</v>
      </c>
      <c r="L165" s="66">
        <f>SUM(L161*'Data Links'!$B$8)</f>
        <v>0.350325</v>
      </c>
      <c r="M165" s="66">
        <f>SUM(M161*'Data Links'!$B$8)</f>
        <v>0.350325</v>
      </c>
      <c r="N165" s="66">
        <f>SUM(N161*'Data Links'!$B$8)</f>
        <v>0.350325</v>
      </c>
    </row>
    <row r="166" spans="1:14" x14ac:dyDescent="0.2">
      <c r="A166" s="59" t="s">
        <v>191</v>
      </c>
      <c r="C166" s="66">
        <f>SUM(C160*'Data Links'!$B$25)</f>
        <v>11.029137931034482</v>
      </c>
      <c r="D166" s="66">
        <f>SUM(D160*'Data Links'!$B$25)</f>
        <v>11.029137931034482</v>
      </c>
      <c r="E166" s="66">
        <f>SUM(E160*'Data Links'!$B$25)</f>
        <v>11.029137931034482</v>
      </c>
      <c r="F166" s="66">
        <f>SUM(F160*'Data Links'!$B$25)</f>
        <v>11.029137931034482</v>
      </c>
      <c r="G166" s="66">
        <f>SUM(G160*'Data Links'!$B$25)</f>
        <v>11.029137931034482</v>
      </c>
      <c r="H166" s="66">
        <f>SUM(H160*'Data Links'!$B$25)</f>
        <v>11.029137931034482</v>
      </c>
      <c r="I166" s="66">
        <f>SUM(I160*'Data Links'!$B$25)</f>
        <v>11.029137931034482</v>
      </c>
      <c r="J166" s="66">
        <f>SUM(J160*'Data Links'!$B$25)</f>
        <v>11.029137931034482</v>
      </c>
      <c r="K166" s="66">
        <f>SUM(K160*'Data Links'!$B$25)</f>
        <v>11.029137931034482</v>
      </c>
      <c r="L166" s="66">
        <f>SUM(L160*'Data Links'!$B$25)</f>
        <v>11.029137931034482</v>
      </c>
      <c r="M166" s="66">
        <f>SUM(M160*'Data Links'!$B$25)</f>
        <v>11.029137931034482</v>
      </c>
      <c r="N166" s="66">
        <f>SUM(N160*'Data Links'!$B$25)</f>
        <v>11.029137931034482</v>
      </c>
    </row>
    <row r="167" spans="1:14" x14ac:dyDescent="0.2">
      <c r="A167" s="59" t="s">
        <v>192</v>
      </c>
      <c r="C167" s="66">
        <f>SUM(C162*'Data Links'!$B$17)</f>
        <v>2.1262499999999998</v>
      </c>
      <c r="D167" s="66">
        <f>SUM(D162*'Data Links'!$B$17)</f>
        <v>2.1262499999999998</v>
      </c>
      <c r="E167" s="66">
        <f>SUM(E162*'Data Links'!$B$17)</f>
        <v>2.1262499999999998</v>
      </c>
      <c r="F167" s="66">
        <f>SUM(F162*'Data Links'!$B$17)</f>
        <v>2.1262499999999998</v>
      </c>
      <c r="G167" s="66">
        <f>SUM(G162*'Data Links'!$B$17)</f>
        <v>2.1262499999999998</v>
      </c>
      <c r="H167" s="66">
        <f>SUM(H162*'Data Links'!$B$17)</f>
        <v>2.1262499999999998</v>
      </c>
      <c r="I167" s="66">
        <f>SUM(I162*'Data Links'!$B$17)</f>
        <v>2.1262499999999998</v>
      </c>
      <c r="J167" s="66">
        <f>SUM(J162*'Data Links'!$B$17)</f>
        <v>2.1262499999999998</v>
      </c>
      <c r="K167" s="66">
        <f>SUM(K162*'Data Links'!$B$17)</f>
        <v>2.1262499999999998</v>
      </c>
      <c r="L167" s="66">
        <f>SUM(L162*'Data Links'!$B$17)</f>
        <v>2.1262499999999998</v>
      </c>
      <c r="M167" s="66">
        <f>SUM(M162*'Data Links'!$B$17)</f>
        <v>2.1262499999999998</v>
      </c>
      <c r="N167" s="66">
        <f>SUM(N162*'Data Links'!$B$17)</f>
        <v>2.1262499999999998</v>
      </c>
    </row>
    <row r="168" spans="1:14" s="58" customFormat="1" x14ac:dyDescent="0.2">
      <c r="A168" s="58" t="s">
        <v>144</v>
      </c>
      <c r="B168" s="60"/>
      <c r="C168" s="60">
        <f t="shared" ref="C168" si="39">SUM(C162:C167)</f>
        <v>90.227900431034485</v>
      </c>
      <c r="D168" s="60">
        <f t="shared" ref="D168:N168" si="40">SUM(D162:D167)</f>
        <v>90.227900431034485</v>
      </c>
      <c r="E168" s="60">
        <f t="shared" si="40"/>
        <v>90.227900431034485</v>
      </c>
      <c r="F168" s="60">
        <f t="shared" si="40"/>
        <v>90.227900431034485</v>
      </c>
      <c r="G168" s="60">
        <f t="shared" si="40"/>
        <v>90.227900431034485</v>
      </c>
      <c r="H168" s="60">
        <f t="shared" si="40"/>
        <v>90.227900431034485</v>
      </c>
      <c r="I168" s="60">
        <f t="shared" si="40"/>
        <v>90.227900431034485</v>
      </c>
      <c r="J168" s="60">
        <f t="shared" si="40"/>
        <v>90.227900431034485</v>
      </c>
      <c r="K168" s="60">
        <f t="shared" si="40"/>
        <v>90.227900431034485</v>
      </c>
      <c r="L168" s="60">
        <f t="shared" si="40"/>
        <v>90.227900431034485</v>
      </c>
      <c r="M168" s="60">
        <f t="shared" si="40"/>
        <v>90.227900431034485</v>
      </c>
      <c r="N168" s="60">
        <f t="shared" si="40"/>
        <v>90.227900431034485</v>
      </c>
    </row>
    <row r="169" spans="1:14" x14ac:dyDescent="0.2">
      <c r="C169" s="60"/>
      <c r="D169" s="66"/>
      <c r="E169" s="66"/>
      <c r="F169" s="66"/>
      <c r="G169" s="66"/>
      <c r="H169" s="66"/>
      <c r="I169" s="66"/>
      <c r="J169" s="66"/>
      <c r="K169" s="66"/>
      <c r="L169" s="66"/>
      <c r="M169" s="66"/>
      <c r="N169" s="66"/>
    </row>
    <row r="170" spans="1:14" x14ac:dyDescent="0.2">
      <c r="C170" s="89" t="str">
        <f>C157</f>
        <v>January</v>
      </c>
      <c r="D170" s="89" t="str">
        <f t="shared" ref="D170:N170" si="41">D157</f>
        <v>February</v>
      </c>
      <c r="E170" s="89" t="str">
        <f t="shared" si="41"/>
        <v>March</v>
      </c>
      <c r="F170" s="89" t="str">
        <f t="shared" si="41"/>
        <v>April</v>
      </c>
      <c r="G170" s="89" t="str">
        <f t="shared" si="41"/>
        <v>May</v>
      </c>
      <c r="H170" s="89" t="str">
        <f t="shared" si="41"/>
        <v>June</v>
      </c>
      <c r="I170" s="89" t="str">
        <f t="shared" si="41"/>
        <v>July</v>
      </c>
      <c r="J170" s="89" t="str">
        <f t="shared" si="41"/>
        <v>August</v>
      </c>
      <c r="K170" s="89" t="str">
        <f t="shared" si="41"/>
        <v>September</v>
      </c>
      <c r="L170" s="89" t="str">
        <f t="shared" si="41"/>
        <v>October</v>
      </c>
      <c r="M170" s="89" t="str">
        <f t="shared" si="41"/>
        <v>November</v>
      </c>
      <c r="N170" s="89" t="str">
        <f t="shared" si="41"/>
        <v>December</v>
      </c>
    </row>
    <row r="171" spans="1:14" x14ac:dyDescent="0.2">
      <c r="C171" s="89">
        <f t="shared" ref="C171:C172" si="42">C158</f>
        <v>30</v>
      </c>
      <c r="D171" s="89">
        <f t="shared" ref="D171:N172" si="43">D158</f>
        <v>31</v>
      </c>
      <c r="E171" s="89">
        <f t="shared" si="43"/>
        <v>30</v>
      </c>
      <c r="F171" s="89">
        <f t="shared" si="43"/>
        <v>31</v>
      </c>
      <c r="G171" s="89">
        <f t="shared" si="43"/>
        <v>31</v>
      </c>
      <c r="H171" s="89">
        <f t="shared" si="43"/>
        <v>30</v>
      </c>
      <c r="I171" s="89">
        <f t="shared" si="43"/>
        <v>31</v>
      </c>
      <c r="J171" s="89">
        <f t="shared" si="43"/>
        <v>30</v>
      </c>
      <c r="K171" s="89">
        <f t="shared" si="43"/>
        <v>31</v>
      </c>
      <c r="L171" s="89">
        <f t="shared" si="43"/>
        <v>31</v>
      </c>
      <c r="M171" s="89">
        <f t="shared" si="43"/>
        <v>28</v>
      </c>
      <c r="N171" s="89">
        <f t="shared" si="43"/>
        <v>31</v>
      </c>
    </row>
    <row r="172" spans="1:14" x14ac:dyDescent="0.2">
      <c r="B172" s="89" t="s">
        <v>185</v>
      </c>
      <c r="C172" s="78">
        <f t="shared" si="42"/>
        <v>0</v>
      </c>
      <c r="D172" s="78">
        <f t="shared" si="43"/>
        <v>1</v>
      </c>
      <c r="E172" s="78">
        <f t="shared" si="43"/>
        <v>0</v>
      </c>
      <c r="F172" s="78">
        <f t="shared" si="43"/>
        <v>1</v>
      </c>
      <c r="G172" s="78">
        <f t="shared" si="43"/>
        <v>0</v>
      </c>
      <c r="H172" s="78">
        <f t="shared" si="43"/>
        <v>1</v>
      </c>
      <c r="I172" s="78">
        <f t="shared" si="43"/>
        <v>1</v>
      </c>
      <c r="J172" s="78">
        <f t="shared" si="43"/>
        <v>1</v>
      </c>
      <c r="K172" s="78">
        <f t="shared" si="43"/>
        <v>1</v>
      </c>
      <c r="L172" s="78">
        <f t="shared" si="43"/>
        <v>2</v>
      </c>
      <c r="M172" s="78">
        <f t="shared" si="43"/>
        <v>1</v>
      </c>
      <c r="N172" s="78">
        <f t="shared" si="43"/>
        <v>0</v>
      </c>
    </row>
    <row r="173" spans="1:14" x14ac:dyDescent="0.2">
      <c r="B173" s="89" t="s">
        <v>44</v>
      </c>
      <c r="C173" s="49">
        <f>C160</f>
        <v>2.5862068965517241E-2</v>
      </c>
      <c r="D173" s="49">
        <f t="shared" ref="D173:N173" si="44">D160</f>
        <v>2.5862068965517241E-2</v>
      </c>
      <c r="E173" s="49">
        <f t="shared" si="44"/>
        <v>2.5862068965517241E-2</v>
      </c>
      <c r="F173" s="49">
        <f t="shared" si="44"/>
        <v>2.5862068965517241E-2</v>
      </c>
      <c r="G173" s="49">
        <f t="shared" si="44"/>
        <v>2.5862068965517241E-2</v>
      </c>
      <c r="H173" s="49">
        <f t="shared" si="44"/>
        <v>2.5862068965517241E-2</v>
      </c>
      <c r="I173" s="49">
        <f t="shared" si="44"/>
        <v>2.5862068965517241E-2</v>
      </c>
      <c r="J173" s="49">
        <f t="shared" si="44"/>
        <v>2.5862068965517241E-2</v>
      </c>
      <c r="K173" s="49">
        <f t="shared" si="44"/>
        <v>2.5862068965517241E-2</v>
      </c>
      <c r="L173" s="49">
        <f t="shared" si="44"/>
        <v>2.5862068965517241E-2</v>
      </c>
      <c r="M173" s="49">
        <f t="shared" si="44"/>
        <v>2.5862068965517241E-2</v>
      </c>
      <c r="N173" s="49">
        <f t="shared" si="44"/>
        <v>2.5862068965517241E-2</v>
      </c>
    </row>
    <row r="174" spans="1:14" x14ac:dyDescent="0.2">
      <c r="B174" s="89" t="s">
        <v>186</v>
      </c>
      <c r="C174" s="53">
        <f>SUM(174*C173)</f>
        <v>4.5</v>
      </c>
      <c r="D174" s="53">
        <f t="shared" ref="D174:N174" si="45">SUM(174*D173)</f>
        <v>4.5</v>
      </c>
      <c r="E174" s="53">
        <f t="shared" si="45"/>
        <v>4.5</v>
      </c>
      <c r="F174" s="53">
        <f t="shared" si="45"/>
        <v>4.5</v>
      </c>
      <c r="G174" s="53">
        <f t="shared" si="45"/>
        <v>4.5</v>
      </c>
      <c r="H174" s="53">
        <f t="shared" si="45"/>
        <v>4.5</v>
      </c>
      <c r="I174" s="53">
        <f t="shared" si="45"/>
        <v>4.5</v>
      </c>
      <c r="J174" s="53">
        <f t="shared" si="45"/>
        <v>4.5</v>
      </c>
      <c r="K174" s="53">
        <f t="shared" si="45"/>
        <v>4.5</v>
      </c>
      <c r="L174" s="53">
        <f t="shared" si="45"/>
        <v>4.5</v>
      </c>
      <c r="M174" s="53">
        <f t="shared" si="45"/>
        <v>4.5</v>
      </c>
      <c r="N174" s="53">
        <f t="shared" si="45"/>
        <v>4.5</v>
      </c>
    </row>
    <row r="175" spans="1:14" x14ac:dyDescent="0.2">
      <c r="A175" s="59" t="s">
        <v>557</v>
      </c>
      <c r="B175" s="78" t="s">
        <v>187</v>
      </c>
      <c r="C175" s="66">
        <f>SUM(C174*$B$176)</f>
        <v>82.62</v>
      </c>
      <c r="D175" s="66">
        <f t="shared" ref="D175:N175" si="46">SUM(D174*$B$176)</f>
        <v>82.62</v>
      </c>
      <c r="E175" s="66">
        <f t="shared" si="46"/>
        <v>82.62</v>
      </c>
      <c r="F175" s="66">
        <f t="shared" si="46"/>
        <v>82.62</v>
      </c>
      <c r="G175" s="66">
        <f t="shared" si="46"/>
        <v>82.62</v>
      </c>
      <c r="H175" s="66">
        <f t="shared" si="46"/>
        <v>82.62</v>
      </c>
      <c r="I175" s="66">
        <f t="shared" si="46"/>
        <v>82.62</v>
      </c>
      <c r="J175" s="66">
        <f t="shared" si="46"/>
        <v>82.62</v>
      </c>
      <c r="K175" s="66">
        <f t="shared" si="46"/>
        <v>82.62</v>
      </c>
      <c r="L175" s="66">
        <f t="shared" si="46"/>
        <v>82.62</v>
      </c>
      <c r="M175" s="66">
        <f t="shared" si="46"/>
        <v>82.62</v>
      </c>
      <c r="N175" s="66">
        <f t="shared" si="46"/>
        <v>82.62</v>
      </c>
    </row>
    <row r="176" spans="1:14" x14ac:dyDescent="0.2">
      <c r="A176" s="59" t="s">
        <v>188</v>
      </c>
      <c r="B176" s="74">
        <v>18.36</v>
      </c>
      <c r="C176" s="66">
        <f>SUM(C175)*'Data Links'!$B$15</f>
        <v>6.32043</v>
      </c>
      <c r="D176" s="66">
        <f>SUM(D175)*'Data Links'!$B$15</f>
        <v>6.32043</v>
      </c>
      <c r="E176" s="66">
        <f>SUM(E175)*'Data Links'!$B$15</f>
        <v>6.32043</v>
      </c>
      <c r="F176" s="66">
        <f>SUM(F175)*'Data Links'!$B$15</f>
        <v>6.32043</v>
      </c>
      <c r="G176" s="66">
        <f>SUM(G175)*'Data Links'!$B$15</f>
        <v>6.32043</v>
      </c>
      <c r="H176" s="66">
        <f>SUM(H175)*'Data Links'!$B$15</f>
        <v>6.32043</v>
      </c>
      <c r="I176" s="66">
        <f>SUM(I175)*'Data Links'!$B$15</f>
        <v>6.32043</v>
      </c>
      <c r="J176" s="66">
        <f>SUM(J175)*'Data Links'!$B$15</f>
        <v>6.32043</v>
      </c>
      <c r="K176" s="66">
        <f>SUM(K175)*'Data Links'!$B$15</f>
        <v>6.32043</v>
      </c>
      <c r="L176" s="66">
        <f>SUM(L175)*'Data Links'!$B$15</f>
        <v>6.32043</v>
      </c>
      <c r="M176" s="66">
        <f>SUM(M175)*'Data Links'!$B$15</f>
        <v>6.32043</v>
      </c>
      <c r="N176" s="66">
        <f>SUM(N175)*'Data Links'!$B$15</f>
        <v>6.32043</v>
      </c>
    </row>
    <row r="177" spans="1:14" x14ac:dyDescent="0.2">
      <c r="A177" s="59" t="s">
        <v>189</v>
      </c>
      <c r="C177" s="66">
        <f>SUM(C175*'Data Links'!$B$13)</f>
        <v>0.49572000000000005</v>
      </c>
      <c r="D177" s="66">
        <f>SUM(D175*'Data Links'!$B$13)</f>
        <v>0.49572000000000005</v>
      </c>
      <c r="E177" s="66">
        <f>SUM(E175*'Data Links'!$B$13)</f>
        <v>0.49572000000000005</v>
      </c>
      <c r="F177" s="66">
        <f>SUM(F175*'Data Links'!$B$13)</f>
        <v>0.49572000000000005</v>
      </c>
      <c r="G177" s="66">
        <f>SUM(G175*'Data Links'!$B$13)</f>
        <v>0.49572000000000005</v>
      </c>
      <c r="H177" s="66">
        <f>SUM(H175*'Data Links'!$B$13)</f>
        <v>0.49572000000000005</v>
      </c>
      <c r="I177" s="66">
        <f>SUM(I175*'Data Links'!$B$13)</f>
        <v>0.49572000000000005</v>
      </c>
      <c r="J177" s="66">
        <f>SUM(J175*'Data Links'!$B$13)</f>
        <v>0.49572000000000005</v>
      </c>
      <c r="K177" s="66">
        <f>SUM(K175*'Data Links'!$B$13)</f>
        <v>0.49572000000000005</v>
      </c>
      <c r="L177" s="66">
        <f>SUM(L175*'Data Links'!$B$13)</f>
        <v>0.49572000000000005</v>
      </c>
      <c r="M177" s="66">
        <f>SUM(M175*'Data Links'!$B$13)</f>
        <v>0.49572000000000005</v>
      </c>
      <c r="N177" s="66">
        <f>SUM(N175*'Data Links'!$B$13)</f>
        <v>0.49572000000000005</v>
      </c>
    </row>
    <row r="178" spans="1:14" x14ac:dyDescent="0.2">
      <c r="A178" s="59" t="s">
        <v>190</v>
      </c>
      <c r="C178" s="66">
        <f>SUM(C174*'Data Links'!$B$8)</f>
        <v>0.350325</v>
      </c>
      <c r="D178" s="66">
        <f>SUM(D174*'Data Links'!$B$8)</f>
        <v>0.350325</v>
      </c>
      <c r="E178" s="66">
        <f>SUM(E174*'Data Links'!$B$8)</f>
        <v>0.350325</v>
      </c>
      <c r="F178" s="66">
        <f>SUM(F174*'Data Links'!$B$8)</f>
        <v>0.350325</v>
      </c>
      <c r="G178" s="66">
        <f>SUM(G174*'Data Links'!$B$8)</f>
        <v>0.350325</v>
      </c>
      <c r="H178" s="66">
        <f>SUM(H174*'Data Links'!$B$8)</f>
        <v>0.350325</v>
      </c>
      <c r="I178" s="66">
        <f>SUM(I174*'Data Links'!$B$8)</f>
        <v>0.350325</v>
      </c>
      <c r="J178" s="66">
        <f>SUM(J174*'Data Links'!$B$8)</f>
        <v>0.350325</v>
      </c>
      <c r="K178" s="66">
        <f>SUM(K174*'Data Links'!$B$8)</f>
        <v>0.350325</v>
      </c>
      <c r="L178" s="66">
        <f>SUM(L174*'Data Links'!$B$8)</f>
        <v>0.350325</v>
      </c>
      <c r="M178" s="66">
        <f>SUM(M174*'Data Links'!$B$8)</f>
        <v>0.350325</v>
      </c>
      <c r="N178" s="66">
        <f>SUM(N174*'Data Links'!$B$8)</f>
        <v>0.350325</v>
      </c>
    </row>
    <row r="179" spans="1:14" x14ac:dyDescent="0.2">
      <c r="A179" s="59" t="s">
        <v>191</v>
      </c>
      <c r="C179" s="66">
        <f>SUM('All Employees'!$P$50)*C173</f>
        <v>11.017241379310345</v>
      </c>
      <c r="D179" s="66">
        <f>SUM('All Employees'!$P$50)*D173</f>
        <v>11.017241379310345</v>
      </c>
      <c r="E179" s="66">
        <f>SUM('All Employees'!$P$50)*E173</f>
        <v>11.017241379310345</v>
      </c>
      <c r="F179" s="66">
        <f>SUM('All Employees'!$P$50)*F173</f>
        <v>11.017241379310345</v>
      </c>
      <c r="G179" s="66">
        <f>SUM('All Employees'!$P$50)*G173</f>
        <v>11.017241379310345</v>
      </c>
      <c r="H179" s="66">
        <f>SUM('All Employees'!$P$50)*H173</f>
        <v>11.017241379310345</v>
      </c>
      <c r="I179" s="66">
        <f>SUM('All Employees'!$P$50)*I173</f>
        <v>11.017241379310345</v>
      </c>
      <c r="J179" s="66">
        <f>SUM('All Employees'!$P$50)*J173</f>
        <v>11.017241379310345</v>
      </c>
      <c r="K179" s="66">
        <f>SUM('All Employees'!$P$50)*K173</f>
        <v>11.017241379310345</v>
      </c>
      <c r="L179" s="66">
        <f>SUM('All Employees'!$P$50)*L173</f>
        <v>11.017241379310345</v>
      </c>
      <c r="M179" s="66">
        <f>SUM('All Employees'!$P$50)*M173</f>
        <v>11.017241379310345</v>
      </c>
      <c r="N179" s="66">
        <f>SUM('All Employees'!$P$50)*N173</f>
        <v>11.017241379310345</v>
      </c>
    </row>
    <row r="180" spans="1:14" x14ac:dyDescent="0.2">
      <c r="A180" s="59" t="s">
        <v>192</v>
      </c>
      <c r="C180" s="66">
        <f>SUM(C175*'Data Links'!$B$17)</f>
        <v>2.4786000000000001</v>
      </c>
      <c r="D180" s="66">
        <f>SUM(D175*'Data Links'!$B$17)</f>
        <v>2.4786000000000001</v>
      </c>
      <c r="E180" s="66">
        <f>SUM(E175*'Data Links'!$B$17)</f>
        <v>2.4786000000000001</v>
      </c>
      <c r="F180" s="66">
        <f>SUM(F175*'Data Links'!$B$17)</f>
        <v>2.4786000000000001</v>
      </c>
      <c r="G180" s="66">
        <f>SUM(G175*'Data Links'!$B$17)</f>
        <v>2.4786000000000001</v>
      </c>
      <c r="H180" s="66">
        <f>SUM(H175*'Data Links'!$B$17)</f>
        <v>2.4786000000000001</v>
      </c>
      <c r="I180" s="66">
        <f>SUM(I175*'Data Links'!$B$17)</f>
        <v>2.4786000000000001</v>
      </c>
      <c r="J180" s="66">
        <f>SUM(J175*'Data Links'!$B$17)</f>
        <v>2.4786000000000001</v>
      </c>
      <c r="K180" s="66">
        <f>SUM(K175*'Data Links'!$B$17)</f>
        <v>2.4786000000000001</v>
      </c>
      <c r="L180" s="66">
        <f>SUM(L175*'Data Links'!$B$17)</f>
        <v>2.4786000000000001</v>
      </c>
      <c r="M180" s="66">
        <f>SUM(M175*'Data Links'!$B$17)</f>
        <v>2.4786000000000001</v>
      </c>
      <c r="N180" s="66">
        <f>SUM(N175*'Data Links'!$B$17)</f>
        <v>2.4786000000000001</v>
      </c>
    </row>
    <row r="181" spans="1:14" s="58" customFormat="1" x14ac:dyDescent="0.2">
      <c r="A181" s="58" t="s">
        <v>144</v>
      </c>
      <c r="B181" s="60"/>
      <c r="C181" s="60">
        <f t="shared" ref="C181" si="47">SUM(C175:C180)</f>
        <v>103.28231637931036</v>
      </c>
      <c r="D181" s="60">
        <f t="shared" ref="D181:N181" si="48">SUM(D175:D180)</f>
        <v>103.28231637931036</v>
      </c>
      <c r="E181" s="60">
        <f t="shared" si="48"/>
        <v>103.28231637931036</v>
      </c>
      <c r="F181" s="60">
        <f t="shared" si="48"/>
        <v>103.28231637931036</v>
      </c>
      <c r="G181" s="60">
        <f t="shared" si="48"/>
        <v>103.28231637931036</v>
      </c>
      <c r="H181" s="60">
        <f t="shared" si="48"/>
        <v>103.28231637931036</v>
      </c>
      <c r="I181" s="60">
        <f t="shared" si="48"/>
        <v>103.28231637931036</v>
      </c>
      <c r="J181" s="60">
        <f t="shared" si="48"/>
        <v>103.28231637931036</v>
      </c>
      <c r="K181" s="60">
        <f t="shared" si="48"/>
        <v>103.28231637931036</v>
      </c>
      <c r="L181" s="60">
        <f t="shared" si="48"/>
        <v>103.28231637931036</v>
      </c>
      <c r="M181" s="60">
        <f t="shared" si="48"/>
        <v>103.28231637931036</v>
      </c>
      <c r="N181" s="60">
        <f t="shared" si="48"/>
        <v>103.28231637931036</v>
      </c>
    </row>
    <row r="182" spans="1:14" x14ac:dyDescent="0.2">
      <c r="C182" s="60"/>
      <c r="D182" s="66"/>
      <c r="E182" s="66"/>
      <c r="F182" s="66"/>
      <c r="G182" s="66"/>
      <c r="H182" s="66"/>
      <c r="I182" s="66"/>
      <c r="J182" s="66"/>
      <c r="K182" s="66"/>
      <c r="L182" s="66"/>
      <c r="M182" s="66"/>
      <c r="N182" s="66"/>
    </row>
    <row r="183" spans="1:14" hidden="1" x14ac:dyDescent="0.2">
      <c r="C183" s="89" t="str">
        <f>C170</f>
        <v>January</v>
      </c>
      <c r="D183" s="89" t="str">
        <f t="shared" ref="D183:N183" si="49">D170</f>
        <v>February</v>
      </c>
      <c r="E183" s="89" t="str">
        <f t="shared" si="49"/>
        <v>March</v>
      </c>
      <c r="F183" s="89" t="str">
        <f t="shared" si="49"/>
        <v>April</v>
      </c>
      <c r="G183" s="89" t="str">
        <f t="shared" si="49"/>
        <v>May</v>
      </c>
      <c r="H183" s="89" t="str">
        <f t="shared" si="49"/>
        <v>June</v>
      </c>
      <c r="I183" s="89" t="str">
        <f t="shared" si="49"/>
        <v>July</v>
      </c>
      <c r="J183" s="89" t="str">
        <f t="shared" si="49"/>
        <v>August</v>
      </c>
      <c r="K183" s="89" t="str">
        <f t="shared" si="49"/>
        <v>September</v>
      </c>
      <c r="L183" s="89" t="str">
        <f t="shared" si="49"/>
        <v>October</v>
      </c>
      <c r="M183" s="89" t="str">
        <f t="shared" si="49"/>
        <v>November</v>
      </c>
      <c r="N183" s="89" t="str">
        <f t="shared" si="49"/>
        <v>December</v>
      </c>
    </row>
    <row r="184" spans="1:14" hidden="1" x14ac:dyDescent="0.2">
      <c r="C184" s="89">
        <f t="shared" ref="C184:N185" si="50">C171</f>
        <v>30</v>
      </c>
      <c r="D184" s="89">
        <f t="shared" si="50"/>
        <v>31</v>
      </c>
      <c r="E184" s="89">
        <f t="shared" si="50"/>
        <v>30</v>
      </c>
      <c r="F184" s="89">
        <f t="shared" si="50"/>
        <v>31</v>
      </c>
      <c r="G184" s="89">
        <f t="shared" si="50"/>
        <v>31</v>
      </c>
      <c r="H184" s="89">
        <f t="shared" si="50"/>
        <v>30</v>
      </c>
      <c r="I184" s="89">
        <f t="shared" si="50"/>
        <v>31</v>
      </c>
      <c r="J184" s="89">
        <f t="shared" si="50"/>
        <v>30</v>
      </c>
      <c r="K184" s="89">
        <f t="shared" si="50"/>
        <v>31</v>
      </c>
      <c r="L184" s="89">
        <f t="shared" si="50"/>
        <v>31</v>
      </c>
      <c r="M184" s="89">
        <f t="shared" si="50"/>
        <v>28</v>
      </c>
      <c r="N184" s="89">
        <f t="shared" si="50"/>
        <v>31</v>
      </c>
    </row>
    <row r="185" spans="1:14" hidden="1" x14ac:dyDescent="0.2">
      <c r="B185" s="78" t="s">
        <v>185</v>
      </c>
      <c r="C185" s="78">
        <f t="shared" si="50"/>
        <v>0</v>
      </c>
      <c r="D185" s="78">
        <f t="shared" si="50"/>
        <v>1</v>
      </c>
      <c r="E185" s="78">
        <f t="shared" si="50"/>
        <v>0</v>
      </c>
      <c r="F185" s="78">
        <f t="shared" si="50"/>
        <v>1</v>
      </c>
      <c r="G185" s="78">
        <f t="shared" si="50"/>
        <v>0</v>
      </c>
      <c r="H185" s="78">
        <f t="shared" si="50"/>
        <v>1</v>
      </c>
      <c r="I185" s="78">
        <f t="shared" si="50"/>
        <v>1</v>
      </c>
      <c r="J185" s="78">
        <f t="shared" si="50"/>
        <v>1</v>
      </c>
      <c r="K185" s="78">
        <f t="shared" si="50"/>
        <v>1</v>
      </c>
      <c r="L185" s="78">
        <f t="shared" si="50"/>
        <v>2</v>
      </c>
      <c r="M185" s="78">
        <f t="shared" si="50"/>
        <v>1</v>
      </c>
      <c r="N185" s="78">
        <f t="shared" si="50"/>
        <v>0</v>
      </c>
    </row>
    <row r="186" spans="1:14" hidden="1" x14ac:dyDescent="0.2">
      <c r="B186" s="78" t="s">
        <v>44</v>
      </c>
      <c r="C186" s="49"/>
      <c r="D186" s="49"/>
      <c r="E186" s="49"/>
      <c r="F186" s="49"/>
      <c r="G186" s="49"/>
      <c r="H186" s="49"/>
      <c r="I186" s="49"/>
      <c r="J186" s="49"/>
      <c r="K186" s="49"/>
      <c r="L186" s="49"/>
      <c r="M186" s="49"/>
      <c r="N186" s="49"/>
    </row>
    <row r="187" spans="1:14" hidden="1" x14ac:dyDescent="0.2">
      <c r="B187" s="78" t="s">
        <v>186</v>
      </c>
      <c r="C187" s="53">
        <f>SUM(174*C186)</f>
        <v>0</v>
      </c>
      <c r="D187" s="53">
        <f t="shared" ref="D187:N187" si="51">SUM(174*D186)</f>
        <v>0</v>
      </c>
      <c r="E187" s="53">
        <f t="shared" si="51"/>
        <v>0</v>
      </c>
      <c r="F187" s="53">
        <f t="shared" si="51"/>
        <v>0</v>
      </c>
      <c r="G187" s="53">
        <f t="shared" si="51"/>
        <v>0</v>
      </c>
      <c r="H187" s="53">
        <f t="shared" si="51"/>
        <v>0</v>
      </c>
      <c r="I187" s="53">
        <f t="shared" si="51"/>
        <v>0</v>
      </c>
      <c r="J187" s="53">
        <f t="shared" si="51"/>
        <v>0</v>
      </c>
      <c r="K187" s="53">
        <f t="shared" si="51"/>
        <v>0</v>
      </c>
      <c r="L187" s="53">
        <f t="shared" si="51"/>
        <v>0</v>
      </c>
      <c r="M187" s="53">
        <f t="shared" si="51"/>
        <v>0</v>
      </c>
      <c r="N187" s="53">
        <f t="shared" si="51"/>
        <v>0</v>
      </c>
    </row>
    <row r="188" spans="1:14" hidden="1" x14ac:dyDescent="0.2">
      <c r="A188" s="59" t="s">
        <v>193</v>
      </c>
      <c r="B188" s="78" t="s">
        <v>187</v>
      </c>
      <c r="C188" s="66">
        <f>SUM(C187*$B$189)</f>
        <v>0</v>
      </c>
      <c r="D188" s="66">
        <f t="shared" ref="D188:N188" si="52">SUM(D187*$B$189)</f>
        <v>0</v>
      </c>
      <c r="E188" s="66">
        <f t="shared" si="52"/>
        <v>0</v>
      </c>
      <c r="F188" s="66">
        <f t="shared" si="52"/>
        <v>0</v>
      </c>
      <c r="G188" s="66">
        <f t="shared" si="52"/>
        <v>0</v>
      </c>
      <c r="H188" s="66">
        <f t="shared" si="52"/>
        <v>0</v>
      </c>
      <c r="I188" s="66">
        <f t="shared" si="52"/>
        <v>0</v>
      </c>
      <c r="J188" s="66">
        <f t="shared" si="52"/>
        <v>0</v>
      </c>
      <c r="K188" s="66">
        <f t="shared" si="52"/>
        <v>0</v>
      </c>
      <c r="L188" s="66">
        <f t="shared" si="52"/>
        <v>0</v>
      </c>
      <c r="M188" s="66">
        <f t="shared" si="52"/>
        <v>0</v>
      </c>
      <c r="N188" s="66">
        <f t="shared" si="52"/>
        <v>0</v>
      </c>
    </row>
    <row r="189" spans="1:14" hidden="1" x14ac:dyDescent="0.2">
      <c r="A189" s="59" t="s">
        <v>188</v>
      </c>
      <c r="B189" s="74">
        <v>0</v>
      </c>
      <c r="C189" s="66">
        <f>SUM(C188)*'Data Links'!$B$15</f>
        <v>0</v>
      </c>
      <c r="D189" s="66">
        <f>SUM(D188)*'Data Links'!$B$15</f>
        <v>0</v>
      </c>
      <c r="E189" s="66">
        <f>SUM(E188)*'Data Links'!$B$15</f>
        <v>0</v>
      </c>
      <c r="F189" s="66">
        <f>SUM(F188)*'Data Links'!$B$15</f>
        <v>0</v>
      </c>
      <c r="G189" s="66">
        <f>SUM(G188)*'Data Links'!$B$15</f>
        <v>0</v>
      </c>
      <c r="H189" s="66">
        <f>SUM(H188)*'Data Links'!$B$15</f>
        <v>0</v>
      </c>
      <c r="I189" s="66">
        <f>SUM(I188)*'Data Links'!$B$15</f>
        <v>0</v>
      </c>
      <c r="J189" s="66">
        <f>SUM(J188)*'Data Links'!$B$15</f>
        <v>0</v>
      </c>
      <c r="K189" s="66">
        <f>SUM(K188)*'Data Links'!$B$15</f>
        <v>0</v>
      </c>
      <c r="L189" s="66">
        <f>SUM(L188)*'Data Links'!$B$15</f>
        <v>0</v>
      </c>
      <c r="M189" s="66">
        <f>SUM(M188)*'Data Links'!$B$15</f>
        <v>0</v>
      </c>
      <c r="N189" s="66">
        <f>SUM(N188)*'Data Links'!$B$15</f>
        <v>0</v>
      </c>
    </row>
    <row r="190" spans="1:14" hidden="1" x14ac:dyDescent="0.2">
      <c r="A190" s="59" t="s">
        <v>189</v>
      </c>
      <c r="C190" s="66">
        <f>SUM(C188*'Data Links'!$B$13)</f>
        <v>0</v>
      </c>
      <c r="D190" s="66">
        <f>SUM(D188*'Data Links'!$B$13)</f>
        <v>0</v>
      </c>
      <c r="E190" s="66">
        <f>SUM(E188*'Data Links'!$B$13)</f>
        <v>0</v>
      </c>
      <c r="F190" s="66">
        <f>SUM(F188*'Data Links'!$B$13)</f>
        <v>0</v>
      </c>
      <c r="G190" s="66">
        <f>SUM(G188*'Data Links'!$B$13)</f>
        <v>0</v>
      </c>
      <c r="H190" s="66">
        <f>SUM(H188*'Data Links'!$B$13)</f>
        <v>0</v>
      </c>
      <c r="I190" s="66">
        <f>SUM(I188*'Data Links'!$B$13)</f>
        <v>0</v>
      </c>
      <c r="J190" s="66">
        <f>SUM(J188*'Data Links'!$B$13)</f>
        <v>0</v>
      </c>
      <c r="K190" s="66">
        <f>SUM(K188*'Data Links'!$B$13)</f>
        <v>0</v>
      </c>
      <c r="L190" s="66">
        <f>SUM(L188*'Data Links'!$B$13)</f>
        <v>0</v>
      </c>
      <c r="M190" s="66">
        <f>SUM(M188*'Data Links'!$B$13)</f>
        <v>0</v>
      </c>
      <c r="N190" s="66">
        <f>SUM(N188*'Data Links'!$B$13)</f>
        <v>0</v>
      </c>
    </row>
    <row r="191" spans="1:14" hidden="1" x14ac:dyDescent="0.2">
      <c r="A191" s="59" t="s">
        <v>190</v>
      </c>
      <c r="C191" s="66">
        <f>SUM(C187*'Data Links'!$B$8)</f>
        <v>0</v>
      </c>
      <c r="D191" s="66">
        <f>SUM(D187*'Data Links'!$B$8)</f>
        <v>0</v>
      </c>
      <c r="E191" s="66">
        <f>SUM(E187*'Data Links'!$B$8)</f>
        <v>0</v>
      </c>
      <c r="F191" s="66">
        <f>SUM(F187*'Data Links'!$B$8)</f>
        <v>0</v>
      </c>
      <c r="G191" s="66">
        <f>SUM(G187*'Data Links'!$B$8)</f>
        <v>0</v>
      </c>
      <c r="H191" s="66">
        <f>SUM(H187*'Data Links'!$B$8)</f>
        <v>0</v>
      </c>
      <c r="I191" s="66">
        <f>SUM(I187*'Data Links'!$B$8)</f>
        <v>0</v>
      </c>
      <c r="J191" s="66">
        <f>SUM(J187*'Data Links'!$B$8)</f>
        <v>0</v>
      </c>
      <c r="K191" s="66">
        <f>SUM(K187*'Data Links'!$B$8)</f>
        <v>0</v>
      </c>
      <c r="L191" s="66">
        <f>SUM(L187*'Data Links'!$B$8)</f>
        <v>0</v>
      </c>
      <c r="M191" s="66">
        <f>SUM(M187*'Data Links'!$B$8)</f>
        <v>0</v>
      </c>
      <c r="N191" s="66">
        <f>SUM(N187*'Data Links'!$B$8)</f>
        <v>0</v>
      </c>
    </row>
    <row r="192" spans="1:14" hidden="1" x14ac:dyDescent="0.2">
      <c r="A192" s="59" t="s">
        <v>191</v>
      </c>
      <c r="C192" s="66"/>
      <c r="D192" s="66"/>
      <c r="E192" s="66"/>
      <c r="F192" s="66"/>
      <c r="G192" s="66"/>
      <c r="H192" s="66"/>
      <c r="I192" s="66"/>
      <c r="J192" s="66"/>
      <c r="K192" s="66"/>
      <c r="L192" s="66"/>
      <c r="M192" s="66"/>
      <c r="N192" s="66"/>
    </row>
    <row r="193" spans="1:14" hidden="1" x14ac:dyDescent="0.2">
      <c r="A193" s="59" t="s">
        <v>192</v>
      </c>
      <c r="C193" s="66"/>
      <c r="D193" s="66"/>
      <c r="E193" s="66"/>
      <c r="F193" s="66"/>
      <c r="G193" s="66"/>
      <c r="H193" s="66"/>
      <c r="I193" s="66"/>
      <c r="J193" s="66"/>
      <c r="K193" s="66"/>
      <c r="L193" s="66"/>
      <c r="M193" s="66"/>
      <c r="N193" s="66"/>
    </row>
    <row r="194" spans="1:14" s="58" customFormat="1" hidden="1" x14ac:dyDescent="0.2">
      <c r="A194" s="58" t="s">
        <v>144</v>
      </c>
      <c r="B194" s="60"/>
      <c r="C194" s="60">
        <f t="shared" ref="C194:N194" si="53">SUM(C188:C193)</f>
        <v>0</v>
      </c>
      <c r="D194" s="60">
        <f t="shared" si="53"/>
        <v>0</v>
      </c>
      <c r="E194" s="60">
        <f t="shared" si="53"/>
        <v>0</v>
      </c>
      <c r="F194" s="60">
        <f t="shared" si="53"/>
        <v>0</v>
      </c>
      <c r="G194" s="60">
        <f t="shared" si="53"/>
        <v>0</v>
      </c>
      <c r="H194" s="60">
        <f t="shared" si="53"/>
        <v>0</v>
      </c>
      <c r="I194" s="60">
        <f t="shared" si="53"/>
        <v>0</v>
      </c>
      <c r="J194" s="60">
        <f t="shared" si="53"/>
        <v>0</v>
      </c>
      <c r="K194" s="60">
        <f t="shared" si="53"/>
        <v>0</v>
      </c>
      <c r="L194" s="60">
        <f t="shared" si="53"/>
        <v>0</v>
      </c>
      <c r="M194" s="60">
        <f t="shared" si="53"/>
        <v>0</v>
      </c>
      <c r="N194" s="60">
        <f t="shared" si="53"/>
        <v>0</v>
      </c>
    </row>
    <row r="195" spans="1:14" hidden="1" x14ac:dyDescent="0.2">
      <c r="C195" s="60"/>
      <c r="D195" s="66"/>
      <c r="E195" s="66"/>
      <c r="F195" s="66"/>
      <c r="G195" s="66"/>
      <c r="H195" s="66"/>
      <c r="I195" s="66"/>
      <c r="J195" s="66"/>
      <c r="K195" s="66"/>
      <c r="L195" s="66"/>
      <c r="M195" s="66"/>
      <c r="N195" s="66"/>
    </row>
    <row r="196" spans="1:14" hidden="1" x14ac:dyDescent="0.2">
      <c r="C196" s="89" t="str">
        <f>C183</f>
        <v>January</v>
      </c>
      <c r="D196" s="89" t="str">
        <f t="shared" ref="D196:M196" si="54">D183</f>
        <v>February</v>
      </c>
      <c r="E196" s="89" t="str">
        <f t="shared" si="54"/>
        <v>March</v>
      </c>
      <c r="F196" s="89" t="str">
        <f t="shared" si="54"/>
        <v>April</v>
      </c>
      <c r="G196" s="89" t="str">
        <f t="shared" si="54"/>
        <v>May</v>
      </c>
      <c r="H196" s="89" t="str">
        <f t="shared" si="54"/>
        <v>June</v>
      </c>
      <c r="I196" s="89" t="str">
        <f t="shared" si="54"/>
        <v>July</v>
      </c>
      <c r="J196" s="89" t="str">
        <f t="shared" si="54"/>
        <v>August</v>
      </c>
      <c r="K196" s="89" t="str">
        <f t="shared" si="54"/>
        <v>September</v>
      </c>
      <c r="L196" s="89" t="str">
        <f t="shared" si="54"/>
        <v>October</v>
      </c>
      <c r="M196" s="89" t="str">
        <f t="shared" si="54"/>
        <v>November</v>
      </c>
      <c r="N196" s="89" t="str">
        <f>N183</f>
        <v>December</v>
      </c>
    </row>
    <row r="197" spans="1:14" hidden="1" x14ac:dyDescent="0.2">
      <c r="C197" s="89">
        <f t="shared" ref="C197:N198" si="55">C184</f>
        <v>30</v>
      </c>
      <c r="D197" s="89">
        <f t="shared" si="55"/>
        <v>31</v>
      </c>
      <c r="E197" s="89">
        <f t="shared" si="55"/>
        <v>30</v>
      </c>
      <c r="F197" s="89">
        <f t="shared" si="55"/>
        <v>31</v>
      </c>
      <c r="G197" s="89">
        <f t="shared" si="55"/>
        <v>31</v>
      </c>
      <c r="H197" s="89">
        <f t="shared" si="55"/>
        <v>30</v>
      </c>
      <c r="I197" s="89">
        <f t="shared" si="55"/>
        <v>31</v>
      </c>
      <c r="J197" s="89">
        <f t="shared" si="55"/>
        <v>30</v>
      </c>
      <c r="K197" s="89">
        <f t="shared" si="55"/>
        <v>31</v>
      </c>
      <c r="L197" s="89">
        <f t="shared" si="55"/>
        <v>31</v>
      </c>
      <c r="M197" s="89">
        <f t="shared" si="55"/>
        <v>28</v>
      </c>
      <c r="N197" s="89">
        <f t="shared" si="55"/>
        <v>31</v>
      </c>
    </row>
    <row r="198" spans="1:14" hidden="1" x14ac:dyDescent="0.2">
      <c r="B198" s="89" t="s">
        <v>185</v>
      </c>
      <c r="C198" s="78">
        <f t="shared" si="55"/>
        <v>0</v>
      </c>
      <c r="D198" s="78">
        <f t="shared" si="55"/>
        <v>1</v>
      </c>
      <c r="E198" s="78">
        <f t="shared" si="55"/>
        <v>0</v>
      </c>
      <c r="F198" s="78">
        <f t="shared" si="55"/>
        <v>1</v>
      </c>
      <c r="G198" s="78">
        <f t="shared" si="55"/>
        <v>0</v>
      </c>
      <c r="H198" s="78">
        <f t="shared" si="55"/>
        <v>1</v>
      </c>
      <c r="I198" s="78">
        <f t="shared" si="55"/>
        <v>1</v>
      </c>
      <c r="J198" s="78">
        <f t="shared" si="55"/>
        <v>1</v>
      </c>
      <c r="K198" s="78">
        <f t="shared" si="55"/>
        <v>1</v>
      </c>
      <c r="L198" s="78">
        <f t="shared" si="55"/>
        <v>2</v>
      </c>
      <c r="M198" s="78">
        <f t="shared" si="55"/>
        <v>1</v>
      </c>
      <c r="N198" s="78">
        <f t="shared" si="55"/>
        <v>0</v>
      </c>
    </row>
    <row r="199" spans="1:14" hidden="1" x14ac:dyDescent="0.2">
      <c r="B199" s="89" t="s">
        <v>44</v>
      </c>
      <c r="C199" s="49"/>
      <c r="D199" s="49"/>
      <c r="E199" s="49"/>
      <c r="F199" s="49"/>
      <c r="G199" s="49"/>
      <c r="H199" s="49"/>
      <c r="I199" s="49"/>
      <c r="J199" s="49"/>
      <c r="K199" s="49"/>
      <c r="L199" s="49"/>
      <c r="M199" s="49"/>
      <c r="N199" s="49"/>
    </row>
    <row r="200" spans="1:14" hidden="1" x14ac:dyDescent="0.2">
      <c r="B200" s="89" t="s">
        <v>186</v>
      </c>
      <c r="C200" s="53">
        <f>SUM(174*C199)</f>
        <v>0</v>
      </c>
      <c r="D200" s="53">
        <f t="shared" ref="D200:N200" si="56">SUM(174*D199)</f>
        <v>0</v>
      </c>
      <c r="E200" s="53">
        <f t="shared" si="56"/>
        <v>0</v>
      </c>
      <c r="F200" s="53">
        <f t="shared" si="56"/>
        <v>0</v>
      </c>
      <c r="G200" s="53">
        <f t="shared" si="56"/>
        <v>0</v>
      </c>
      <c r="H200" s="53">
        <f t="shared" si="56"/>
        <v>0</v>
      </c>
      <c r="I200" s="53">
        <f t="shared" si="56"/>
        <v>0</v>
      </c>
      <c r="J200" s="53">
        <f t="shared" si="56"/>
        <v>0</v>
      </c>
      <c r="K200" s="53">
        <f t="shared" si="56"/>
        <v>0</v>
      </c>
      <c r="L200" s="53">
        <f t="shared" si="56"/>
        <v>0</v>
      </c>
      <c r="M200" s="53">
        <f t="shared" si="56"/>
        <v>0</v>
      </c>
      <c r="N200" s="53">
        <f t="shared" si="56"/>
        <v>0</v>
      </c>
    </row>
    <row r="201" spans="1:14" hidden="1" x14ac:dyDescent="0.2">
      <c r="A201" s="59" t="s">
        <v>193</v>
      </c>
      <c r="B201" s="78" t="s">
        <v>187</v>
      </c>
      <c r="C201" s="66">
        <f>SUM(C200*$B$202)</f>
        <v>0</v>
      </c>
      <c r="D201" s="66">
        <f t="shared" ref="D201:N201" si="57">SUM(D200*$B$202)</f>
        <v>0</v>
      </c>
      <c r="E201" s="66">
        <f t="shared" si="57"/>
        <v>0</v>
      </c>
      <c r="F201" s="66">
        <f t="shared" si="57"/>
        <v>0</v>
      </c>
      <c r="G201" s="66">
        <f t="shared" si="57"/>
        <v>0</v>
      </c>
      <c r="H201" s="66">
        <f t="shared" si="57"/>
        <v>0</v>
      </c>
      <c r="I201" s="66">
        <f t="shared" si="57"/>
        <v>0</v>
      </c>
      <c r="J201" s="66">
        <f t="shared" si="57"/>
        <v>0</v>
      </c>
      <c r="K201" s="66">
        <f t="shared" si="57"/>
        <v>0</v>
      </c>
      <c r="L201" s="66">
        <f t="shared" si="57"/>
        <v>0</v>
      </c>
      <c r="M201" s="66">
        <f t="shared" si="57"/>
        <v>0</v>
      </c>
      <c r="N201" s="66">
        <f t="shared" si="57"/>
        <v>0</v>
      </c>
    </row>
    <row r="202" spans="1:14" hidden="1" x14ac:dyDescent="0.2">
      <c r="A202" s="59" t="s">
        <v>188</v>
      </c>
      <c r="B202" s="74">
        <v>0</v>
      </c>
      <c r="C202" s="66">
        <f>SUM(C201)*'Data Links'!$B$15</f>
        <v>0</v>
      </c>
      <c r="D202" s="66">
        <f>SUM(D201)*'Data Links'!$B$15</f>
        <v>0</v>
      </c>
      <c r="E202" s="66">
        <f>SUM(E201)*'Data Links'!$B$15</f>
        <v>0</v>
      </c>
      <c r="F202" s="66">
        <f>SUM(F201)*'Data Links'!$B$15</f>
        <v>0</v>
      </c>
      <c r="G202" s="66">
        <f>SUM(G201)*'Data Links'!$B$15</f>
        <v>0</v>
      </c>
      <c r="H202" s="66">
        <f>SUM(H201)*'Data Links'!$B$15</f>
        <v>0</v>
      </c>
      <c r="I202" s="66">
        <f>SUM(I201)*'Data Links'!$B$15</f>
        <v>0</v>
      </c>
      <c r="J202" s="66">
        <f>SUM(J201)*'Data Links'!$B$15</f>
        <v>0</v>
      </c>
      <c r="K202" s="66">
        <f>SUM(K201)*'Data Links'!$B$15</f>
        <v>0</v>
      </c>
      <c r="L202" s="66">
        <f>SUM(L201)*'Data Links'!$B$15</f>
        <v>0</v>
      </c>
      <c r="M202" s="66">
        <f>SUM(M201)*'Data Links'!$B$15</f>
        <v>0</v>
      </c>
      <c r="N202" s="66">
        <f>SUM(N201)*'Data Links'!$B$15</f>
        <v>0</v>
      </c>
    </row>
    <row r="203" spans="1:14" hidden="1" x14ac:dyDescent="0.2">
      <c r="A203" s="59" t="s">
        <v>189</v>
      </c>
      <c r="C203" s="66">
        <f>SUM(C201*'Data Links'!$B$13)</f>
        <v>0</v>
      </c>
      <c r="D203" s="66">
        <f>SUM(D201*'Data Links'!$B$13)</f>
        <v>0</v>
      </c>
      <c r="E203" s="66">
        <f>SUM(E201*'Data Links'!$B$13)</f>
        <v>0</v>
      </c>
      <c r="F203" s="66">
        <f>SUM(F201*'Data Links'!$B$13)</f>
        <v>0</v>
      </c>
      <c r="G203" s="66">
        <f>SUM(G201*'Data Links'!$B$13)</f>
        <v>0</v>
      </c>
      <c r="H203" s="66">
        <f>SUM(H201*'Data Links'!$B$13)</f>
        <v>0</v>
      </c>
      <c r="I203" s="66">
        <f>SUM(I201*'Data Links'!$B$13)</f>
        <v>0</v>
      </c>
      <c r="J203" s="66">
        <f>SUM(J201*'Data Links'!$B$13)</f>
        <v>0</v>
      </c>
      <c r="K203" s="66">
        <f>SUM(K201*'Data Links'!$B$13)</f>
        <v>0</v>
      </c>
      <c r="L203" s="66">
        <f>SUM(L201*'Data Links'!$B$13)</f>
        <v>0</v>
      </c>
      <c r="M203" s="66">
        <f>SUM(M201*'Data Links'!$B$13)</f>
        <v>0</v>
      </c>
      <c r="N203" s="66">
        <f>SUM(N201*'Data Links'!$B$13)</f>
        <v>0</v>
      </c>
    </row>
    <row r="204" spans="1:14" hidden="1" x14ac:dyDescent="0.2">
      <c r="A204" s="59" t="s">
        <v>190</v>
      </c>
      <c r="C204" s="66">
        <f>SUM(C200*'Data Links'!$B$8)</f>
        <v>0</v>
      </c>
      <c r="D204" s="66">
        <f>SUM(D200*'Data Links'!$B$8)</f>
        <v>0</v>
      </c>
      <c r="E204" s="66">
        <f>SUM(E200*'Data Links'!$B$8)</f>
        <v>0</v>
      </c>
      <c r="F204" s="66">
        <f>SUM(F200*'Data Links'!$B$8)</f>
        <v>0</v>
      </c>
      <c r="G204" s="66">
        <f>SUM(G200*'Data Links'!$B$8)</f>
        <v>0</v>
      </c>
      <c r="H204" s="66">
        <f>SUM(H200*'Data Links'!$B$8)</f>
        <v>0</v>
      </c>
      <c r="I204" s="66">
        <f>SUM(I200*'Data Links'!$B$8)</f>
        <v>0</v>
      </c>
      <c r="J204" s="66">
        <f>SUM(J200*'Data Links'!$B$8)</f>
        <v>0</v>
      </c>
      <c r="K204" s="66">
        <f>SUM(K200*'Data Links'!$B$8)</f>
        <v>0</v>
      </c>
      <c r="L204" s="66">
        <f>SUM(L200*'Data Links'!$B$8)</f>
        <v>0</v>
      </c>
      <c r="M204" s="66">
        <f>SUM(M200*'Data Links'!$B$8)</f>
        <v>0</v>
      </c>
      <c r="N204" s="66">
        <f>SUM(N200*'Data Links'!$B$8)</f>
        <v>0</v>
      </c>
    </row>
    <row r="205" spans="1:14" hidden="1" x14ac:dyDescent="0.2">
      <c r="A205" s="59" t="s">
        <v>191</v>
      </c>
      <c r="C205" s="66"/>
      <c r="D205" s="66"/>
      <c r="E205" s="66"/>
      <c r="F205" s="66"/>
      <c r="G205" s="66"/>
      <c r="H205" s="66"/>
      <c r="I205" s="66"/>
      <c r="J205" s="66"/>
      <c r="K205" s="66"/>
      <c r="L205" s="66"/>
      <c r="M205" s="66"/>
      <c r="N205" s="66"/>
    </row>
    <row r="206" spans="1:14" hidden="1" x14ac:dyDescent="0.2">
      <c r="A206" s="59" t="s">
        <v>192</v>
      </c>
      <c r="C206" s="66"/>
      <c r="D206" s="66"/>
      <c r="E206" s="66"/>
      <c r="F206" s="66"/>
      <c r="G206" s="66"/>
      <c r="H206" s="66"/>
      <c r="I206" s="66"/>
      <c r="J206" s="66"/>
      <c r="K206" s="66"/>
      <c r="L206" s="66"/>
      <c r="M206" s="66"/>
      <c r="N206" s="66"/>
    </row>
    <row r="207" spans="1:14" s="58" customFormat="1" hidden="1" x14ac:dyDescent="0.2">
      <c r="A207" s="58" t="s">
        <v>144</v>
      </c>
      <c r="B207" s="60"/>
      <c r="C207" s="60">
        <f t="shared" ref="C207:N207" si="58">SUM(C201:C206)</f>
        <v>0</v>
      </c>
      <c r="D207" s="60">
        <f t="shared" si="58"/>
        <v>0</v>
      </c>
      <c r="E207" s="60">
        <f t="shared" si="58"/>
        <v>0</v>
      </c>
      <c r="F207" s="60">
        <f t="shared" si="58"/>
        <v>0</v>
      </c>
      <c r="G207" s="60">
        <f t="shared" si="58"/>
        <v>0</v>
      </c>
      <c r="H207" s="60">
        <f t="shared" si="58"/>
        <v>0</v>
      </c>
      <c r="I207" s="60">
        <f t="shared" si="58"/>
        <v>0</v>
      </c>
      <c r="J207" s="60">
        <f t="shared" si="58"/>
        <v>0</v>
      </c>
      <c r="K207" s="60">
        <f t="shared" si="58"/>
        <v>0</v>
      </c>
      <c r="L207" s="60">
        <f t="shared" si="58"/>
        <v>0</v>
      </c>
      <c r="M207" s="60">
        <f t="shared" si="58"/>
        <v>0</v>
      </c>
      <c r="N207" s="60">
        <f t="shared" si="58"/>
        <v>0</v>
      </c>
    </row>
    <row r="208" spans="1:14" hidden="1" x14ac:dyDescent="0.2">
      <c r="C208" s="60"/>
      <c r="D208" s="66"/>
      <c r="E208" s="66"/>
      <c r="F208" s="66"/>
      <c r="G208" s="66"/>
      <c r="H208" s="66"/>
      <c r="I208" s="66"/>
      <c r="J208" s="66"/>
      <c r="K208" s="66"/>
      <c r="L208" s="66"/>
      <c r="M208" s="66"/>
      <c r="N208" s="66"/>
    </row>
    <row r="209" spans="1:14" hidden="1" x14ac:dyDescent="0.2">
      <c r="C209" s="89" t="str">
        <f>C196</f>
        <v>January</v>
      </c>
      <c r="D209" s="89" t="str">
        <f t="shared" ref="D209:M209" si="59">D196</f>
        <v>February</v>
      </c>
      <c r="E209" s="89" t="str">
        <f t="shared" si="59"/>
        <v>March</v>
      </c>
      <c r="F209" s="89" t="str">
        <f t="shared" si="59"/>
        <v>April</v>
      </c>
      <c r="G209" s="89" t="str">
        <f t="shared" si="59"/>
        <v>May</v>
      </c>
      <c r="H209" s="89" t="str">
        <f t="shared" si="59"/>
        <v>June</v>
      </c>
      <c r="I209" s="89" t="str">
        <f t="shared" si="59"/>
        <v>July</v>
      </c>
      <c r="J209" s="89" t="str">
        <f t="shared" si="59"/>
        <v>August</v>
      </c>
      <c r="K209" s="89" t="str">
        <f t="shared" si="59"/>
        <v>September</v>
      </c>
      <c r="L209" s="89" t="str">
        <f t="shared" si="59"/>
        <v>October</v>
      </c>
      <c r="M209" s="89" t="str">
        <f t="shared" si="59"/>
        <v>November</v>
      </c>
      <c r="N209" s="89" t="str">
        <f>N196</f>
        <v>December</v>
      </c>
    </row>
    <row r="210" spans="1:14" hidden="1" x14ac:dyDescent="0.2">
      <c r="C210" s="89">
        <f t="shared" ref="C210:N211" si="60">C197</f>
        <v>30</v>
      </c>
      <c r="D210" s="89">
        <f t="shared" si="60"/>
        <v>31</v>
      </c>
      <c r="E210" s="89">
        <f t="shared" si="60"/>
        <v>30</v>
      </c>
      <c r="F210" s="89">
        <f t="shared" si="60"/>
        <v>31</v>
      </c>
      <c r="G210" s="89">
        <f t="shared" si="60"/>
        <v>31</v>
      </c>
      <c r="H210" s="89">
        <f t="shared" si="60"/>
        <v>30</v>
      </c>
      <c r="I210" s="89">
        <f t="shared" si="60"/>
        <v>31</v>
      </c>
      <c r="J210" s="89">
        <f t="shared" si="60"/>
        <v>30</v>
      </c>
      <c r="K210" s="89">
        <f t="shared" si="60"/>
        <v>31</v>
      </c>
      <c r="L210" s="89">
        <f t="shared" si="60"/>
        <v>31</v>
      </c>
      <c r="M210" s="89">
        <f t="shared" si="60"/>
        <v>28</v>
      </c>
      <c r="N210" s="89">
        <f t="shared" si="60"/>
        <v>31</v>
      </c>
    </row>
    <row r="211" spans="1:14" hidden="1" x14ac:dyDescent="0.2">
      <c r="B211" s="89" t="s">
        <v>185</v>
      </c>
      <c r="C211" s="78">
        <f t="shared" si="60"/>
        <v>0</v>
      </c>
      <c r="D211" s="78">
        <f t="shared" si="60"/>
        <v>1</v>
      </c>
      <c r="E211" s="78">
        <f t="shared" si="60"/>
        <v>0</v>
      </c>
      <c r="F211" s="78">
        <f t="shared" si="60"/>
        <v>1</v>
      </c>
      <c r="G211" s="78">
        <f t="shared" si="60"/>
        <v>0</v>
      </c>
      <c r="H211" s="78">
        <f t="shared" si="60"/>
        <v>1</v>
      </c>
      <c r="I211" s="78">
        <f t="shared" si="60"/>
        <v>1</v>
      </c>
      <c r="J211" s="78">
        <f t="shared" si="60"/>
        <v>1</v>
      </c>
      <c r="K211" s="78">
        <f t="shared" si="60"/>
        <v>1</v>
      </c>
      <c r="L211" s="78">
        <f t="shared" si="60"/>
        <v>2</v>
      </c>
      <c r="M211" s="78">
        <f t="shared" si="60"/>
        <v>1</v>
      </c>
      <c r="N211" s="78">
        <f t="shared" si="60"/>
        <v>0</v>
      </c>
    </row>
    <row r="212" spans="1:14" hidden="1" x14ac:dyDescent="0.2">
      <c r="B212" s="89" t="s">
        <v>44</v>
      </c>
      <c r="C212" s="49"/>
      <c r="D212" s="49"/>
      <c r="E212" s="49"/>
      <c r="F212" s="49"/>
      <c r="G212" s="49"/>
      <c r="H212" s="49"/>
      <c r="I212" s="49"/>
      <c r="J212" s="49"/>
      <c r="K212" s="49"/>
      <c r="L212" s="49"/>
      <c r="M212" s="49"/>
      <c r="N212" s="49"/>
    </row>
    <row r="213" spans="1:14" hidden="1" x14ac:dyDescent="0.2">
      <c r="B213" s="89" t="s">
        <v>186</v>
      </c>
      <c r="C213" s="53">
        <f>SUM(174*C212)</f>
        <v>0</v>
      </c>
      <c r="D213" s="53">
        <f t="shared" ref="D213:N213" si="61">SUM(174*D212)</f>
        <v>0</v>
      </c>
      <c r="E213" s="53">
        <f t="shared" si="61"/>
        <v>0</v>
      </c>
      <c r="F213" s="53">
        <f t="shared" si="61"/>
        <v>0</v>
      </c>
      <c r="G213" s="53">
        <f t="shared" si="61"/>
        <v>0</v>
      </c>
      <c r="H213" s="53">
        <f t="shared" si="61"/>
        <v>0</v>
      </c>
      <c r="I213" s="53">
        <f t="shared" si="61"/>
        <v>0</v>
      </c>
      <c r="J213" s="53">
        <f t="shared" si="61"/>
        <v>0</v>
      </c>
      <c r="K213" s="53">
        <f t="shared" si="61"/>
        <v>0</v>
      </c>
      <c r="L213" s="53">
        <f t="shared" si="61"/>
        <v>0</v>
      </c>
      <c r="M213" s="53">
        <f t="shared" si="61"/>
        <v>0</v>
      </c>
      <c r="N213" s="53">
        <f t="shared" si="61"/>
        <v>0</v>
      </c>
    </row>
    <row r="214" spans="1:14" hidden="1" x14ac:dyDescent="0.2">
      <c r="A214" s="59" t="s">
        <v>193</v>
      </c>
      <c r="B214" s="78" t="s">
        <v>187</v>
      </c>
      <c r="C214" s="66">
        <f>SUM(C213*$B$215)</f>
        <v>0</v>
      </c>
      <c r="D214" s="66">
        <f t="shared" ref="D214:N214" si="62">SUM(D213*$B$215)</f>
        <v>0</v>
      </c>
      <c r="E214" s="66">
        <f t="shared" si="62"/>
        <v>0</v>
      </c>
      <c r="F214" s="66">
        <f t="shared" si="62"/>
        <v>0</v>
      </c>
      <c r="G214" s="66">
        <f t="shared" si="62"/>
        <v>0</v>
      </c>
      <c r="H214" s="66">
        <f t="shared" si="62"/>
        <v>0</v>
      </c>
      <c r="I214" s="66">
        <f t="shared" si="62"/>
        <v>0</v>
      </c>
      <c r="J214" s="66">
        <f t="shared" si="62"/>
        <v>0</v>
      </c>
      <c r="K214" s="66">
        <f t="shared" si="62"/>
        <v>0</v>
      </c>
      <c r="L214" s="66">
        <f t="shared" si="62"/>
        <v>0</v>
      </c>
      <c r="M214" s="66">
        <f t="shared" si="62"/>
        <v>0</v>
      </c>
      <c r="N214" s="66">
        <f t="shared" si="62"/>
        <v>0</v>
      </c>
    </row>
    <row r="215" spans="1:14" hidden="1" x14ac:dyDescent="0.2">
      <c r="A215" s="59" t="s">
        <v>188</v>
      </c>
      <c r="B215" s="74">
        <v>0</v>
      </c>
      <c r="C215" s="66">
        <f>SUM(C214)*'Data Links'!$B$15</f>
        <v>0</v>
      </c>
      <c r="D215" s="66">
        <f>SUM(D214)*'Data Links'!$B$15</f>
        <v>0</v>
      </c>
      <c r="E215" s="66">
        <f>SUM(E214)*'Data Links'!$B$15</f>
        <v>0</v>
      </c>
      <c r="F215" s="66">
        <f>SUM(F214)*'Data Links'!$B$15</f>
        <v>0</v>
      </c>
      <c r="G215" s="66">
        <f>SUM(G214)*'Data Links'!$B$15</f>
        <v>0</v>
      </c>
      <c r="H215" s="66">
        <f>SUM(H214)*'Data Links'!$B$15</f>
        <v>0</v>
      </c>
      <c r="I215" s="66">
        <f>SUM(I214)*'Data Links'!$B$15</f>
        <v>0</v>
      </c>
      <c r="J215" s="66">
        <f>SUM(J214)*'Data Links'!$B$15</f>
        <v>0</v>
      </c>
      <c r="K215" s="66">
        <f>SUM(K214)*'Data Links'!$B$15</f>
        <v>0</v>
      </c>
      <c r="L215" s="66">
        <f>SUM(L214)*'Data Links'!$B$15</f>
        <v>0</v>
      </c>
      <c r="M215" s="66">
        <f>SUM(M214)*'Data Links'!$B$15</f>
        <v>0</v>
      </c>
      <c r="N215" s="66">
        <f>SUM(N214)*'Data Links'!$B$15</f>
        <v>0</v>
      </c>
    </row>
    <row r="216" spans="1:14" hidden="1" x14ac:dyDescent="0.2">
      <c r="A216" s="59" t="s">
        <v>189</v>
      </c>
      <c r="C216" s="66">
        <f>SUM(C214*'Data Links'!$B$13)</f>
        <v>0</v>
      </c>
      <c r="D216" s="66">
        <f>SUM(D214*'Data Links'!$B$13)</f>
        <v>0</v>
      </c>
      <c r="E216" s="66">
        <f>SUM(E214*'Data Links'!$B$13)</f>
        <v>0</v>
      </c>
      <c r="F216" s="66">
        <f>SUM(F214*'Data Links'!$B$13)</f>
        <v>0</v>
      </c>
      <c r="G216" s="66">
        <f>SUM(G214*'Data Links'!$B$13)</f>
        <v>0</v>
      </c>
      <c r="H216" s="66">
        <f>SUM(H214*'Data Links'!$B$13)</f>
        <v>0</v>
      </c>
      <c r="I216" s="66">
        <f>SUM(I214*'Data Links'!$B$13)</f>
        <v>0</v>
      </c>
      <c r="J216" s="66">
        <f>SUM(J214*'Data Links'!$B$13)</f>
        <v>0</v>
      </c>
      <c r="K216" s="66">
        <f>SUM(K214*'Data Links'!$B$13)</f>
        <v>0</v>
      </c>
      <c r="L216" s="66">
        <f>SUM(L214*'Data Links'!$B$13)</f>
        <v>0</v>
      </c>
      <c r="M216" s="66">
        <f>SUM(M214*'Data Links'!$B$13)</f>
        <v>0</v>
      </c>
      <c r="N216" s="66">
        <f>SUM(N214*'Data Links'!$B$13)</f>
        <v>0</v>
      </c>
    </row>
    <row r="217" spans="1:14" hidden="1" x14ac:dyDescent="0.2">
      <c r="A217" s="59" t="s">
        <v>190</v>
      </c>
      <c r="C217" s="66">
        <f>SUM(C213*'Data Links'!$B$8)</f>
        <v>0</v>
      </c>
      <c r="D217" s="66">
        <f>SUM(D213*'Data Links'!$B$8)</f>
        <v>0</v>
      </c>
      <c r="E217" s="66">
        <f>SUM(E213*'Data Links'!$B$8)</f>
        <v>0</v>
      </c>
      <c r="F217" s="66">
        <f>SUM(F213*'Data Links'!$B$8)</f>
        <v>0</v>
      </c>
      <c r="G217" s="66">
        <f>SUM(G213*'Data Links'!$B$8)</f>
        <v>0</v>
      </c>
      <c r="H217" s="66">
        <f>SUM(H213*'Data Links'!$B$8)</f>
        <v>0</v>
      </c>
      <c r="I217" s="66">
        <f>SUM(I213*'Data Links'!$B$8)</f>
        <v>0</v>
      </c>
      <c r="J217" s="66">
        <f>SUM(J213*'Data Links'!$B$8)</f>
        <v>0</v>
      </c>
      <c r="K217" s="66">
        <f>SUM(K213*'Data Links'!$B$8)</f>
        <v>0</v>
      </c>
      <c r="L217" s="66">
        <f>SUM(L213*'Data Links'!$B$8)</f>
        <v>0</v>
      </c>
      <c r="M217" s="66">
        <f>SUM(M213*'Data Links'!$B$8)</f>
        <v>0</v>
      </c>
      <c r="N217" s="66">
        <f>SUM(N213*'Data Links'!$B$8)</f>
        <v>0</v>
      </c>
    </row>
    <row r="218" spans="1:14" hidden="1" x14ac:dyDescent="0.2">
      <c r="A218" s="59" t="s">
        <v>191</v>
      </c>
      <c r="C218" s="66"/>
      <c r="D218" s="66"/>
      <c r="E218" s="66"/>
      <c r="F218" s="66"/>
      <c r="G218" s="66"/>
      <c r="H218" s="66"/>
      <c r="I218" s="66"/>
      <c r="J218" s="66"/>
      <c r="K218" s="66"/>
      <c r="L218" s="66"/>
      <c r="M218" s="66"/>
      <c r="N218" s="66"/>
    </row>
    <row r="219" spans="1:14" hidden="1" x14ac:dyDescent="0.2">
      <c r="A219" s="59" t="s">
        <v>192</v>
      </c>
      <c r="C219" s="66"/>
      <c r="D219" s="66"/>
      <c r="E219" s="66"/>
      <c r="F219" s="66"/>
      <c r="G219" s="66"/>
      <c r="H219" s="66"/>
      <c r="I219" s="66"/>
      <c r="J219" s="66"/>
      <c r="K219" s="66"/>
      <c r="L219" s="66"/>
      <c r="M219" s="66"/>
      <c r="N219" s="66"/>
    </row>
    <row r="220" spans="1:14" s="58" customFormat="1" hidden="1" x14ac:dyDescent="0.2">
      <c r="A220" s="58" t="s">
        <v>144</v>
      </c>
      <c r="B220" s="60"/>
      <c r="C220" s="60">
        <f t="shared" ref="C220:N220" si="63">SUM(C214:C219)</f>
        <v>0</v>
      </c>
      <c r="D220" s="60">
        <f t="shared" si="63"/>
        <v>0</v>
      </c>
      <c r="E220" s="60">
        <f t="shared" si="63"/>
        <v>0</v>
      </c>
      <c r="F220" s="60">
        <f t="shared" si="63"/>
        <v>0</v>
      </c>
      <c r="G220" s="60">
        <f t="shared" si="63"/>
        <v>0</v>
      </c>
      <c r="H220" s="60">
        <f t="shared" si="63"/>
        <v>0</v>
      </c>
      <c r="I220" s="60">
        <f t="shared" si="63"/>
        <v>0</v>
      </c>
      <c r="J220" s="60">
        <f t="shared" si="63"/>
        <v>0</v>
      </c>
      <c r="K220" s="60">
        <f t="shared" si="63"/>
        <v>0</v>
      </c>
      <c r="L220" s="60">
        <f t="shared" si="63"/>
        <v>0</v>
      </c>
      <c r="M220" s="60">
        <f t="shared" si="63"/>
        <v>0</v>
      </c>
      <c r="N220" s="60">
        <f t="shared" si="63"/>
        <v>0</v>
      </c>
    </row>
    <row r="221" spans="1:14" hidden="1" x14ac:dyDescent="0.2">
      <c r="C221" s="60"/>
      <c r="D221" s="66"/>
      <c r="E221" s="66"/>
      <c r="F221" s="66"/>
      <c r="G221" s="66"/>
      <c r="H221" s="66"/>
      <c r="I221" s="66"/>
      <c r="J221" s="66"/>
      <c r="K221" s="66"/>
      <c r="L221" s="66"/>
      <c r="M221" s="66"/>
      <c r="N221" s="66"/>
    </row>
    <row r="222" spans="1:14" hidden="1" x14ac:dyDescent="0.2">
      <c r="C222" s="60"/>
      <c r="D222" s="66"/>
      <c r="E222" s="66"/>
      <c r="F222" s="66"/>
      <c r="G222" s="66"/>
      <c r="H222" s="66"/>
      <c r="I222" s="66"/>
      <c r="J222" s="66"/>
      <c r="K222" s="66"/>
      <c r="L222" s="66"/>
      <c r="M222" s="66"/>
      <c r="N222" s="66"/>
    </row>
    <row r="223" spans="1:14" hidden="1" x14ac:dyDescent="0.2">
      <c r="C223" s="60"/>
      <c r="D223" s="66"/>
      <c r="E223" s="66"/>
      <c r="F223" s="66"/>
      <c r="G223" s="66"/>
      <c r="H223" s="66"/>
      <c r="I223" s="66"/>
      <c r="J223" s="66"/>
      <c r="K223" s="66"/>
      <c r="L223" s="66"/>
      <c r="M223" s="66"/>
      <c r="N223" s="66"/>
    </row>
    <row r="224" spans="1:14" hidden="1" x14ac:dyDescent="0.2">
      <c r="C224" s="60"/>
      <c r="D224" s="66"/>
      <c r="E224" s="66"/>
      <c r="F224" s="66"/>
      <c r="G224" s="66"/>
      <c r="H224" s="66"/>
      <c r="I224" s="66"/>
      <c r="J224" s="66"/>
      <c r="K224" s="66"/>
      <c r="L224" s="66"/>
      <c r="M224" s="66"/>
      <c r="N224" s="66"/>
    </row>
    <row r="225" spans="1:14" x14ac:dyDescent="0.2">
      <c r="C225" s="60"/>
      <c r="D225" s="66"/>
      <c r="E225" s="66"/>
      <c r="F225" s="66"/>
      <c r="G225" s="66"/>
      <c r="H225" s="66"/>
      <c r="I225" s="66"/>
      <c r="J225" s="66"/>
      <c r="K225" s="66"/>
      <c r="L225" s="66"/>
      <c r="M225" s="66"/>
      <c r="N225" s="66"/>
    </row>
    <row r="226" spans="1:14" x14ac:dyDescent="0.2">
      <c r="C226" s="60"/>
      <c r="D226" s="66"/>
      <c r="E226" s="66"/>
      <c r="F226" s="66"/>
      <c r="G226" s="66"/>
      <c r="H226" s="66"/>
      <c r="I226" s="66"/>
      <c r="J226" s="66"/>
      <c r="K226" s="66"/>
      <c r="L226" s="66"/>
      <c r="M226" s="66"/>
      <c r="N226" s="66"/>
    </row>
    <row r="227" spans="1:14" x14ac:dyDescent="0.2">
      <c r="A227" s="58" t="s">
        <v>194</v>
      </c>
      <c r="C227" s="60"/>
      <c r="D227" s="66"/>
      <c r="E227" s="66"/>
      <c r="F227" s="66"/>
      <c r="G227" s="66"/>
      <c r="H227" s="66"/>
      <c r="I227" s="66"/>
      <c r="J227" s="66"/>
      <c r="K227" s="66"/>
      <c r="L227" s="66"/>
      <c r="M227" s="66"/>
      <c r="N227" s="66"/>
    </row>
    <row r="228" spans="1:14" x14ac:dyDescent="0.2">
      <c r="A228" s="59" t="s">
        <v>195</v>
      </c>
      <c r="C228" s="66">
        <f>SUM(C110+C123+C136+C149+C162+C175+C188+C201+C214)</f>
        <v>238.995</v>
      </c>
      <c r="D228" s="66">
        <f t="shared" ref="D228:N228" si="64">SUM(D110+D123+D136+D149+D162+D175+D188+D201+D214)</f>
        <v>281.88</v>
      </c>
      <c r="E228" s="66">
        <f t="shared" si="64"/>
        <v>281.88</v>
      </c>
      <c r="F228" s="66">
        <f t="shared" si="64"/>
        <v>281.88</v>
      </c>
      <c r="G228" s="66">
        <f t="shared" si="64"/>
        <v>2232.42</v>
      </c>
      <c r="H228" s="66">
        <f t="shared" si="64"/>
        <v>2232.42</v>
      </c>
      <c r="I228" s="66">
        <f t="shared" si="64"/>
        <v>8844.4200000000019</v>
      </c>
      <c r="J228" s="66">
        <f t="shared" si="64"/>
        <v>8844.4200000000019</v>
      </c>
      <c r="K228" s="66">
        <f t="shared" si="64"/>
        <v>8844.4200000000019</v>
      </c>
      <c r="L228" s="66">
        <f t="shared" si="64"/>
        <v>8844.4200000000019</v>
      </c>
      <c r="M228" s="66">
        <f t="shared" si="64"/>
        <v>8844.4200000000019</v>
      </c>
      <c r="N228" s="66">
        <f t="shared" si="64"/>
        <v>8844.4200000000019</v>
      </c>
    </row>
    <row r="229" spans="1:14" x14ac:dyDescent="0.2">
      <c r="A229" s="59" t="s">
        <v>22</v>
      </c>
      <c r="C229" s="66">
        <f>SUM(C111+C112+C113+C124+C125+C126+C137+C138+C139+C150+C151+C152+C163+C164+C165+C176+C177+C178+C189+C190+C191+C202+C203+C204+C215+C216+C217)</f>
        <v>20.768062500000003</v>
      </c>
      <c r="D229" s="66">
        <f t="shared" ref="D229:N229" si="65">SUM(D111+D112+D113+D124+D125+D126+D137+D138+D139+D150+D151+D152+D163+D164+D165+D176+D177+D178+D189+D190+D191+D202+D203+D204+D215+D216+D217)</f>
        <v>24.306074999999996</v>
      </c>
      <c r="E229" s="66">
        <f t="shared" si="65"/>
        <v>24.306074999999996</v>
      </c>
      <c r="F229" s="66">
        <f t="shared" si="65"/>
        <v>24.306074999999996</v>
      </c>
      <c r="G229" s="66">
        <f t="shared" si="65"/>
        <v>191.99857500000002</v>
      </c>
      <c r="H229" s="66">
        <f t="shared" si="65"/>
        <v>191.99857500000002</v>
      </c>
      <c r="I229" s="66">
        <f t="shared" si="65"/>
        <v>764.58037500000012</v>
      </c>
      <c r="J229" s="66">
        <f t="shared" si="65"/>
        <v>764.58037500000012</v>
      </c>
      <c r="K229" s="66">
        <f t="shared" si="65"/>
        <v>764.58037500000012</v>
      </c>
      <c r="L229" s="66">
        <f t="shared" si="65"/>
        <v>764.58037500000012</v>
      </c>
      <c r="M229" s="66">
        <f t="shared" si="65"/>
        <v>764.58037500000012</v>
      </c>
      <c r="N229" s="66">
        <f t="shared" si="65"/>
        <v>764.58037500000012</v>
      </c>
    </row>
    <row r="230" spans="1:14" x14ac:dyDescent="0.2">
      <c r="A230" s="59" t="s">
        <v>23</v>
      </c>
      <c r="C230" s="66">
        <f>SUM(C114+C115+C127+C128+C140+C141+C153+C154+C167+C166+C179+C180+C192+C193+C205+C206+C218+C219)</f>
        <v>40.233470689655178</v>
      </c>
      <c r="D230" s="66">
        <f t="shared" ref="D230:N230" si="66">SUM(D114+D115+D127+D128+D140+D141+D153+D154+D167+D166+D179+D180+D192+D193+D205+D206+D218+D219)</f>
        <v>41.520020689655169</v>
      </c>
      <c r="E230" s="66">
        <f t="shared" si="66"/>
        <v>41.520020689655169</v>
      </c>
      <c r="F230" s="66">
        <f t="shared" si="66"/>
        <v>41.520020689655169</v>
      </c>
      <c r="G230" s="66">
        <f t="shared" si="66"/>
        <v>100.03622068965518</v>
      </c>
      <c r="H230" s="66">
        <f t="shared" si="66"/>
        <v>100.03622068965518</v>
      </c>
      <c r="I230" s="66">
        <f t="shared" si="66"/>
        <v>1091.6118206896549</v>
      </c>
      <c r="J230" s="66">
        <f t="shared" si="66"/>
        <v>1091.6118206896549</v>
      </c>
      <c r="K230" s="66">
        <f t="shared" si="66"/>
        <v>1091.6118206896549</v>
      </c>
      <c r="L230" s="66">
        <f t="shared" si="66"/>
        <v>1091.6118206896549</v>
      </c>
      <c r="M230" s="66">
        <f t="shared" si="66"/>
        <v>1091.6118206896549</v>
      </c>
      <c r="N230" s="66">
        <f t="shared" si="66"/>
        <v>1091.6118206896549</v>
      </c>
    </row>
    <row r="231" spans="1:14" s="58" customFormat="1" x14ac:dyDescent="0.2">
      <c r="A231" s="58" t="s">
        <v>196</v>
      </c>
      <c r="B231" s="60"/>
      <c r="C231" s="60">
        <f>SUM(C228:C230)</f>
        <v>299.99653318965517</v>
      </c>
      <c r="D231" s="60">
        <f t="shared" ref="D231:N231" si="67">SUM(D228:D230)</f>
        <v>347.70609568965517</v>
      </c>
      <c r="E231" s="60">
        <f t="shared" si="67"/>
        <v>347.70609568965517</v>
      </c>
      <c r="F231" s="60">
        <f t="shared" si="67"/>
        <v>347.70609568965517</v>
      </c>
      <c r="G231" s="60">
        <f t="shared" si="67"/>
        <v>2524.4547956896554</v>
      </c>
      <c r="H231" s="60">
        <f t="shared" si="67"/>
        <v>2524.4547956896554</v>
      </c>
      <c r="I231" s="60">
        <f t="shared" si="67"/>
        <v>10700.612195689657</v>
      </c>
      <c r="J231" s="60">
        <f t="shared" si="67"/>
        <v>10700.612195689657</v>
      </c>
      <c r="K231" s="60">
        <f t="shared" si="67"/>
        <v>10700.612195689657</v>
      </c>
      <c r="L231" s="60">
        <f t="shared" si="67"/>
        <v>10700.612195689657</v>
      </c>
      <c r="M231" s="60">
        <f t="shared" si="67"/>
        <v>10700.612195689657</v>
      </c>
      <c r="N231" s="60">
        <f t="shared" si="67"/>
        <v>10700.612195689657</v>
      </c>
    </row>
    <row r="232" spans="1:14" x14ac:dyDescent="0.2">
      <c r="C232" s="60"/>
      <c r="D232" s="66"/>
      <c r="E232" s="66"/>
      <c r="F232" s="66"/>
      <c r="G232" s="66"/>
      <c r="H232" s="66"/>
      <c r="I232" s="66"/>
      <c r="J232" s="66"/>
      <c r="K232" s="66"/>
      <c r="L232" s="66"/>
      <c r="M232" s="66"/>
      <c r="N232" s="66"/>
    </row>
    <row r="233" spans="1:14" x14ac:dyDescent="0.2">
      <c r="C233" s="60"/>
      <c r="D233" s="66"/>
      <c r="E233" s="66"/>
      <c r="F233" s="66"/>
      <c r="G233" s="66"/>
      <c r="H233" s="66"/>
      <c r="I233" s="66"/>
      <c r="J233" s="66"/>
      <c r="K233" s="66"/>
      <c r="L233" s="66"/>
      <c r="M233" s="66"/>
      <c r="N233" s="66"/>
    </row>
    <row r="234" spans="1:14" x14ac:dyDescent="0.2">
      <c r="C234" s="60"/>
      <c r="D234" s="66"/>
      <c r="E234" s="66"/>
      <c r="F234" s="66"/>
      <c r="G234" s="66"/>
      <c r="H234" s="66"/>
      <c r="I234" s="66"/>
      <c r="J234" s="66"/>
      <c r="K234" s="66"/>
      <c r="L234" s="66"/>
      <c r="M234" s="66"/>
      <c r="N234" s="66"/>
    </row>
    <row r="235" spans="1:14" x14ac:dyDescent="0.2">
      <c r="C235" s="60"/>
      <c r="D235" s="66"/>
      <c r="E235" s="66"/>
      <c r="F235" s="66"/>
      <c r="G235" s="66"/>
      <c r="H235" s="66"/>
      <c r="I235" s="66"/>
      <c r="J235" s="66"/>
      <c r="K235" s="66"/>
      <c r="L235" s="66"/>
      <c r="M235" s="66"/>
      <c r="N235" s="66"/>
    </row>
    <row r="236" spans="1:14" x14ac:dyDescent="0.2">
      <c r="A236" s="84"/>
      <c r="B236" s="84"/>
      <c r="C236" s="60"/>
      <c r="D236" s="66"/>
      <c r="E236" s="66"/>
      <c r="F236" s="66"/>
      <c r="G236" s="66"/>
      <c r="H236" s="66"/>
      <c r="I236" s="66"/>
      <c r="J236" s="66"/>
      <c r="K236" s="66"/>
      <c r="L236" s="66"/>
      <c r="M236" s="66"/>
      <c r="N236" s="66"/>
    </row>
    <row r="237" spans="1:14" x14ac:dyDescent="0.2">
      <c r="A237" s="84"/>
      <c r="B237" s="84"/>
      <c r="C237" s="60"/>
      <c r="D237" s="66"/>
      <c r="E237" s="66"/>
      <c r="F237" s="66"/>
      <c r="G237" s="66"/>
      <c r="H237" s="66"/>
      <c r="I237" s="66"/>
      <c r="J237" s="66"/>
      <c r="K237" s="66"/>
      <c r="L237" s="66"/>
      <c r="M237" s="66"/>
      <c r="N237" s="66"/>
    </row>
    <row r="238" spans="1:14" x14ac:dyDescent="0.2">
      <c r="A238" s="84"/>
      <c r="B238" s="84"/>
      <c r="C238" s="60"/>
      <c r="D238" s="66"/>
      <c r="E238" s="66"/>
      <c r="F238" s="66"/>
      <c r="G238" s="66"/>
      <c r="H238" s="66"/>
      <c r="I238" s="66"/>
      <c r="J238" s="66"/>
      <c r="K238" s="66"/>
      <c r="L238" s="66"/>
      <c r="M238" s="66"/>
      <c r="N238" s="66"/>
    </row>
    <row r="239" spans="1:14" x14ac:dyDescent="0.2">
      <c r="A239" s="84"/>
      <c r="B239" s="84"/>
      <c r="C239" s="60"/>
      <c r="D239" s="66"/>
      <c r="E239" s="66"/>
      <c r="F239" s="66"/>
      <c r="G239" s="66"/>
      <c r="H239" s="66"/>
      <c r="I239" s="66"/>
      <c r="J239" s="66"/>
      <c r="K239" s="66"/>
      <c r="L239" s="66"/>
      <c r="M239" s="66"/>
      <c r="N239" s="66"/>
    </row>
    <row r="240" spans="1:14" x14ac:dyDescent="0.2">
      <c r="A240" s="84"/>
      <c r="B240" s="84"/>
      <c r="C240" s="60"/>
      <c r="D240" s="66"/>
      <c r="E240" s="66"/>
      <c r="F240" s="66"/>
      <c r="G240" s="66"/>
      <c r="H240" s="66"/>
      <c r="I240" s="66"/>
      <c r="J240" s="66"/>
      <c r="K240" s="66"/>
      <c r="L240" s="66"/>
      <c r="M240" s="66"/>
      <c r="N240" s="66"/>
    </row>
    <row r="241" spans="1:14" x14ac:dyDescent="0.2">
      <c r="A241" s="84"/>
      <c r="B241" s="84"/>
      <c r="C241" s="60"/>
      <c r="D241" s="66"/>
      <c r="E241" s="66"/>
      <c r="F241" s="66"/>
      <c r="G241" s="66"/>
      <c r="H241" s="66"/>
      <c r="I241" s="66"/>
      <c r="J241" s="66"/>
      <c r="K241" s="66"/>
      <c r="L241" s="66"/>
      <c r="M241" s="66"/>
      <c r="N241" s="66"/>
    </row>
    <row r="242" spans="1:14" x14ac:dyDescent="0.2">
      <c r="A242" s="84"/>
      <c r="B242" s="84"/>
      <c r="C242" s="60"/>
      <c r="D242" s="66"/>
      <c r="E242" s="66"/>
      <c r="F242" s="66"/>
      <c r="G242" s="66"/>
      <c r="H242" s="66"/>
      <c r="I242" s="66"/>
      <c r="J242" s="66"/>
      <c r="K242" s="66"/>
      <c r="L242" s="66"/>
      <c r="M242" s="66"/>
      <c r="N242" s="66"/>
    </row>
    <row r="243" spans="1:14" x14ac:dyDescent="0.2">
      <c r="A243" s="84"/>
      <c r="B243" s="84"/>
      <c r="C243" s="60"/>
      <c r="D243" s="66"/>
      <c r="E243" s="66"/>
      <c r="F243" s="66"/>
      <c r="G243" s="66"/>
      <c r="H243" s="66"/>
      <c r="I243" s="66"/>
      <c r="J243" s="66"/>
      <c r="K243" s="66"/>
      <c r="L243" s="66"/>
      <c r="M243" s="66"/>
      <c r="N243" s="66"/>
    </row>
    <row r="244" spans="1:14" x14ac:dyDescent="0.2">
      <c r="A244" s="84"/>
      <c r="B244" s="84"/>
      <c r="C244" s="60"/>
      <c r="D244" s="66"/>
      <c r="E244" s="66"/>
      <c r="F244" s="66"/>
      <c r="G244" s="66"/>
      <c r="H244" s="66"/>
      <c r="I244" s="66"/>
      <c r="J244" s="66"/>
      <c r="K244" s="66"/>
      <c r="L244" s="66"/>
      <c r="M244" s="66"/>
      <c r="N244" s="66"/>
    </row>
    <row r="245" spans="1:14" x14ac:dyDescent="0.2">
      <c r="A245" s="84"/>
      <c r="B245" s="84"/>
      <c r="C245" s="60"/>
      <c r="D245" s="66"/>
      <c r="E245" s="66"/>
      <c r="F245" s="66"/>
      <c r="G245" s="66"/>
      <c r="H245" s="66"/>
      <c r="I245" s="66"/>
      <c r="J245" s="66"/>
      <c r="K245" s="66"/>
      <c r="L245" s="66"/>
      <c r="M245" s="66"/>
      <c r="N245" s="66"/>
    </row>
    <row r="246" spans="1:14" x14ac:dyDescent="0.2">
      <c r="A246" s="84"/>
      <c r="B246" s="84"/>
      <c r="C246" s="60"/>
      <c r="D246" s="66"/>
      <c r="E246" s="66"/>
      <c r="F246" s="66"/>
      <c r="G246" s="66"/>
      <c r="H246" s="66"/>
      <c r="I246" s="66"/>
      <c r="J246" s="66"/>
      <c r="K246" s="66"/>
      <c r="L246" s="66"/>
      <c r="M246" s="66"/>
      <c r="N246" s="66"/>
    </row>
    <row r="247" spans="1:14" x14ac:dyDescent="0.2">
      <c r="A247" s="84"/>
      <c r="B247" s="84"/>
      <c r="C247" s="60"/>
      <c r="D247" s="66"/>
      <c r="E247" s="66"/>
      <c r="F247" s="66"/>
      <c r="G247" s="66"/>
      <c r="H247" s="66"/>
      <c r="I247" s="66"/>
      <c r="J247" s="66"/>
      <c r="K247" s="66"/>
      <c r="L247" s="66"/>
      <c r="M247" s="66"/>
      <c r="N247" s="66"/>
    </row>
    <row r="248" spans="1:14" x14ac:dyDescent="0.2">
      <c r="A248" s="84"/>
      <c r="B248" s="84"/>
      <c r="C248" s="60"/>
      <c r="D248" s="66"/>
      <c r="E248" s="66"/>
      <c r="F248" s="66"/>
      <c r="G248" s="66"/>
      <c r="H248" s="66"/>
      <c r="I248" s="66"/>
      <c r="J248" s="66"/>
      <c r="K248" s="66"/>
      <c r="L248" s="66"/>
      <c r="M248" s="66"/>
      <c r="N248" s="66"/>
    </row>
    <row r="249" spans="1:14" x14ac:dyDescent="0.2">
      <c r="A249" s="84"/>
      <c r="B249" s="84"/>
      <c r="C249" s="60"/>
      <c r="D249" s="66"/>
      <c r="E249" s="66"/>
      <c r="F249" s="66"/>
      <c r="G249" s="66"/>
      <c r="H249" s="66"/>
      <c r="I249" s="66"/>
      <c r="J249" s="66"/>
      <c r="K249" s="66"/>
      <c r="L249" s="66"/>
      <c r="M249" s="66"/>
      <c r="N249" s="66"/>
    </row>
    <row r="250" spans="1:14" x14ac:dyDescent="0.2">
      <c r="A250" s="84"/>
      <c r="B250" s="84"/>
      <c r="C250" s="60"/>
      <c r="D250" s="66"/>
      <c r="E250" s="66"/>
      <c r="F250" s="66"/>
      <c r="G250" s="66"/>
      <c r="H250" s="66"/>
      <c r="I250" s="66"/>
      <c r="J250" s="66"/>
      <c r="K250" s="66"/>
      <c r="L250" s="66"/>
      <c r="M250" s="66"/>
      <c r="N250" s="66"/>
    </row>
    <row r="251" spans="1:14" x14ac:dyDescent="0.2">
      <c r="A251" s="84"/>
      <c r="B251" s="84"/>
      <c r="C251" s="60"/>
      <c r="D251" s="66"/>
      <c r="E251" s="66"/>
      <c r="F251" s="66"/>
      <c r="G251" s="66"/>
      <c r="H251" s="66"/>
      <c r="I251" s="66"/>
      <c r="J251" s="66"/>
      <c r="K251" s="66"/>
      <c r="L251" s="66"/>
      <c r="M251" s="66"/>
      <c r="N251" s="66"/>
    </row>
    <row r="252" spans="1:14" x14ac:dyDescent="0.2">
      <c r="A252" s="84"/>
      <c r="B252" s="84"/>
      <c r="C252" s="60"/>
      <c r="D252" s="66"/>
      <c r="E252" s="66"/>
      <c r="F252" s="66"/>
      <c r="G252" s="66"/>
      <c r="H252" s="66"/>
      <c r="I252" s="66"/>
      <c r="J252" s="66"/>
      <c r="K252" s="66"/>
      <c r="L252" s="66"/>
      <c r="M252" s="66"/>
      <c r="N252" s="66"/>
    </row>
    <row r="253" spans="1:14" x14ac:dyDescent="0.2">
      <c r="A253" s="84"/>
      <c r="B253" s="84"/>
      <c r="C253" s="60"/>
      <c r="D253" s="66"/>
      <c r="E253" s="66"/>
      <c r="F253" s="66"/>
      <c r="G253" s="66"/>
      <c r="H253" s="66"/>
      <c r="I253" s="66"/>
      <c r="J253" s="66"/>
      <c r="K253" s="66"/>
      <c r="L253" s="66"/>
      <c r="M253" s="66"/>
      <c r="N253" s="66"/>
    </row>
    <row r="254" spans="1:14" x14ac:dyDescent="0.2">
      <c r="A254" s="84"/>
      <c r="B254" s="84"/>
      <c r="C254" s="60"/>
      <c r="D254" s="66"/>
      <c r="E254" s="66"/>
      <c r="F254" s="66"/>
      <c r="G254" s="66"/>
      <c r="H254" s="66"/>
      <c r="I254" s="66"/>
      <c r="J254" s="66"/>
      <c r="K254" s="66"/>
      <c r="L254" s="66"/>
      <c r="M254" s="66"/>
      <c r="N254" s="66"/>
    </row>
    <row r="255" spans="1:14" x14ac:dyDescent="0.2">
      <c r="A255" s="84"/>
      <c r="B255" s="84"/>
      <c r="C255" s="60"/>
      <c r="D255" s="66"/>
      <c r="E255" s="66"/>
      <c r="F255" s="66"/>
      <c r="G255" s="66"/>
      <c r="H255" s="66"/>
      <c r="I255" s="66"/>
      <c r="J255" s="66"/>
      <c r="K255" s="66"/>
      <c r="L255" s="66"/>
      <c r="M255" s="66"/>
      <c r="N255" s="66"/>
    </row>
    <row r="256" spans="1:14" x14ac:dyDescent="0.2">
      <c r="A256" s="84"/>
      <c r="B256" s="84"/>
      <c r="C256" s="60"/>
      <c r="D256" s="66"/>
      <c r="E256" s="66"/>
      <c r="F256" s="66"/>
      <c r="G256" s="66"/>
      <c r="H256" s="66"/>
      <c r="I256" s="66"/>
      <c r="J256" s="66"/>
      <c r="K256" s="66"/>
      <c r="L256" s="66"/>
      <c r="M256" s="66"/>
      <c r="N256" s="66"/>
    </row>
    <row r="257" spans="1:14" x14ac:dyDescent="0.2">
      <c r="A257" s="84"/>
      <c r="B257" s="84"/>
      <c r="C257" s="60"/>
      <c r="D257" s="66"/>
      <c r="E257" s="66"/>
      <c r="F257" s="66"/>
      <c r="G257" s="66"/>
      <c r="H257" s="66"/>
      <c r="I257" s="66"/>
      <c r="J257" s="66"/>
      <c r="K257" s="66"/>
      <c r="L257" s="66"/>
      <c r="M257" s="66"/>
      <c r="N257" s="66"/>
    </row>
    <row r="258" spans="1:14" x14ac:dyDescent="0.2">
      <c r="A258" s="84"/>
      <c r="B258" s="84"/>
      <c r="C258" s="60"/>
      <c r="D258" s="66"/>
      <c r="E258" s="66"/>
      <c r="F258" s="66"/>
      <c r="G258" s="66"/>
      <c r="H258" s="66"/>
      <c r="I258" s="66"/>
      <c r="J258" s="66"/>
      <c r="K258" s="66"/>
      <c r="L258" s="66"/>
      <c r="M258" s="66"/>
      <c r="N258" s="66"/>
    </row>
    <row r="259" spans="1:14" x14ac:dyDescent="0.2">
      <c r="A259" s="84"/>
      <c r="B259" s="84"/>
      <c r="C259" s="60"/>
      <c r="D259" s="66"/>
      <c r="E259" s="66"/>
      <c r="F259" s="66"/>
      <c r="G259" s="66"/>
      <c r="H259" s="66"/>
      <c r="I259" s="66"/>
      <c r="J259" s="66"/>
      <c r="K259" s="66"/>
      <c r="L259" s="66"/>
      <c r="M259" s="66"/>
      <c r="N259" s="66"/>
    </row>
    <row r="260" spans="1:14" x14ac:dyDescent="0.2">
      <c r="A260" s="84"/>
      <c r="B260" s="84"/>
      <c r="C260" s="60"/>
      <c r="D260" s="66"/>
      <c r="E260" s="66"/>
      <c r="F260" s="66"/>
      <c r="G260" s="66"/>
      <c r="H260" s="66"/>
      <c r="I260" s="66"/>
      <c r="J260" s="66"/>
      <c r="K260" s="66"/>
      <c r="L260" s="66"/>
      <c r="M260" s="66"/>
      <c r="N260" s="66"/>
    </row>
    <row r="261" spans="1:14" x14ac:dyDescent="0.2">
      <c r="A261" s="84"/>
      <c r="B261" s="84"/>
      <c r="C261" s="60"/>
      <c r="D261" s="66"/>
      <c r="E261" s="66"/>
      <c r="F261" s="66"/>
      <c r="G261" s="66"/>
      <c r="H261" s="66"/>
      <c r="I261" s="66"/>
      <c r="J261" s="66"/>
      <c r="K261" s="66"/>
      <c r="L261" s="66"/>
      <c r="M261" s="66"/>
      <c r="N261" s="66"/>
    </row>
    <row r="262" spans="1:14" x14ac:dyDescent="0.2">
      <c r="A262" s="84"/>
      <c r="B262" s="84"/>
      <c r="C262" s="60"/>
      <c r="D262" s="66"/>
      <c r="E262" s="66"/>
      <c r="F262" s="66"/>
      <c r="G262" s="66"/>
      <c r="H262" s="66"/>
      <c r="I262" s="66"/>
      <c r="J262" s="66"/>
      <c r="K262" s="66"/>
      <c r="L262" s="66"/>
      <c r="M262" s="66"/>
      <c r="N262" s="66"/>
    </row>
    <row r="263" spans="1:14" x14ac:dyDescent="0.2">
      <c r="A263" s="84"/>
      <c r="B263" s="84"/>
      <c r="C263" s="60"/>
      <c r="D263" s="66"/>
      <c r="E263" s="66"/>
      <c r="F263" s="66"/>
      <c r="G263" s="66"/>
      <c r="H263" s="66"/>
      <c r="I263" s="66"/>
      <c r="J263" s="66"/>
      <c r="K263" s="66"/>
      <c r="L263" s="66"/>
      <c r="M263" s="66"/>
      <c r="N263" s="66"/>
    </row>
    <row r="264" spans="1:14" x14ac:dyDescent="0.2">
      <c r="A264" s="84"/>
      <c r="B264" s="84"/>
      <c r="C264" s="60"/>
      <c r="D264" s="66"/>
      <c r="E264" s="66"/>
      <c r="F264" s="66"/>
      <c r="G264" s="66"/>
      <c r="H264" s="66"/>
      <c r="I264" s="66"/>
      <c r="J264" s="66"/>
      <c r="K264" s="66"/>
      <c r="L264" s="66"/>
      <c r="M264" s="66"/>
      <c r="N264" s="66"/>
    </row>
    <row r="265" spans="1:14" x14ac:dyDescent="0.2">
      <c r="A265" s="84"/>
      <c r="B265" s="84"/>
      <c r="C265" s="60"/>
      <c r="D265" s="66"/>
      <c r="E265" s="66"/>
      <c r="F265" s="66"/>
      <c r="G265" s="66"/>
      <c r="H265" s="66"/>
      <c r="I265" s="66"/>
      <c r="J265" s="66"/>
      <c r="K265" s="66"/>
      <c r="L265" s="66"/>
      <c r="M265" s="66"/>
      <c r="N265" s="66"/>
    </row>
    <row r="266" spans="1:14" x14ac:dyDescent="0.2">
      <c r="A266" s="84"/>
      <c r="B266" s="84"/>
      <c r="C266" s="60"/>
      <c r="D266" s="66"/>
      <c r="E266" s="66"/>
      <c r="F266" s="66"/>
      <c r="G266" s="66"/>
      <c r="H266" s="66"/>
      <c r="I266" s="66"/>
      <c r="J266" s="66"/>
      <c r="K266" s="66"/>
      <c r="L266" s="66"/>
      <c r="M266" s="66"/>
      <c r="N266" s="66"/>
    </row>
    <row r="267" spans="1:14" x14ac:dyDescent="0.2">
      <c r="A267" s="84"/>
      <c r="B267" s="84"/>
      <c r="C267" s="60"/>
      <c r="D267" s="66"/>
      <c r="E267" s="66"/>
      <c r="F267" s="66"/>
      <c r="G267" s="66"/>
      <c r="H267" s="66"/>
      <c r="I267" s="66"/>
      <c r="J267" s="66"/>
      <c r="K267" s="66"/>
      <c r="L267" s="66"/>
      <c r="M267" s="66"/>
      <c r="N267" s="66"/>
    </row>
    <row r="268" spans="1:14" x14ac:dyDescent="0.2">
      <c r="A268" s="84"/>
      <c r="B268" s="84"/>
      <c r="C268" s="60"/>
      <c r="D268" s="66"/>
      <c r="E268" s="66"/>
      <c r="F268" s="66"/>
      <c r="G268" s="66"/>
      <c r="H268" s="66"/>
      <c r="I268" s="66"/>
      <c r="J268" s="66"/>
      <c r="K268" s="66"/>
      <c r="L268" s="66"/>
      <c r="M268" s="66"/>
      <c r="N268" s="66"/>
    </row>
    <row r="269" spans="1:14" x14ac:dyDescent="0.2">
      <c r="A269" s="84"/>
      <c r="B269" s="84"/>
      <c r="C269" s="60"/>
      <c r="D269" s="66"/>
      <c r="E269" s="66"/>
      <c r="F269" s="66"/>
      <c r="G269" s="66"/>
      <c r="H269" s="66"/>
      <c r="I269" s="66"/>
      <c r="J269" s="66"/>
      <c r="K269" s="66"/>
      <c r="L269" s="66"/>
      <c r="M269" s="66"/>
      <c r="N269" s="66"/>
    </row>
    <row r="270" spans="1:14" x14ac:dyDescent="0.2">
      <c r="A270" s="84"/>
      <c r="B270" s="84"/>
      <c r="C270" s="60"/>
      <c r="D270" s="66"/>
      <c r="E270" s="66"/>
      <c r="F270" s="66"/>
      <c r="G270" s="66"/>
      <c r="H270" s="66"/>
      <c r="I270" s="66"/>
      <c r="J270" s="66"/>
      <c r="K270" s="66"/>
      <c r="L270" s="66"/>
      <c r="M270" s="66"/>
      <c r="N270" s="66"/>
    </row>
    <row r="271" spans="1:14" x14ac:dyDescent="0.2">
      <c r="A271" s="84"/>
      <c r="B271" s="84"/>
      <c r="C271" s="60"/>
      <c r="D271" s="66"/>
      <c r="E271" s="66"/>
      <c r="F271" s="66"/>
      <c r="G271" s="66"/>
      <c r="H271" s="66"/>
      <c r="I271" s="66"/>
      <c r="J271" s="66"/>
      <c r="K271" s="66"/>
      <c r="L271" s="66"/>
      <c r="M271" s="66"/>
      <c r="N271" s="66"/>
    </row>
    <row r="272" spans="1:14" x14ac:dyDescent="0.2">
      <c r="A272" s="84"/>
      <c r="B272" s="84"/>
      <c r="C272" s="60"/>
      <c r="D272" s="66"/>
      <c r="E272" s="66"/>
      <c r="F272" s="66"/>
      <c r="G272" s="66"/>
      <c r="H272" s="66"/>
      <c r="I272" s="66"/>
      <c r="J272" s="66"/>
      <c r="K272" s="66"/>
      <c r="L272" s="66"/>
      <c r="M272" s="66"/>
      <c r="N272" s="66"/>
    </row>
    <row r="273" spans="1:14" x14ac:dyDescent="0.2">
      <c r="A273" s="84"/>
      <c r="B273" s="84"/>
      <c r="C273" s="60"/>
      <c r="D273" s="66"/>
      <c r="E273" s="66"/>
      <c r="F273" s="66"/>
      <c r="G273" s="66"/>
      <c r="H273" s="66"/>
      <c r="I273" s="66"/>
      <c r="J273" s="66"/>
      <c r="K273" s="66"/>
      <c r="L273" s="66"/>
      <c r="M273" s="66"/>
      <c r="N273" s="66"/>
    </row>
    <row r="274" spans="1:14" x14ac:dyDescent="0.2">
      <c r="A274" s="84"/>
      <c r="B274" s="84"/>
      <c r="C274" s="60"/>
      <c r="D274" s="66"/>
      <c r="E274" s="66"/>
      <c r="F274" s="66"/>
      <c r="G274" s="66"/>
      <c r="H274" s="66"/>
      <c r="I274" s="66"/>
      <c r="J274" s="66"/>
      <c r="K274" s="66"/>
      <c r="L274" s="66"/>
      <c r="M274" s="66"/>
      <c r="N274" s="66"/>
    </row>
    <row r="275" spans="1:14" x14ac:dyDescent="0.2">
      <c r="A275" s="84"/>
      <c r="B275" s="84"/>
      <c r="C275" s="60"/>
      <c r="D275" s="66"/>
      <c r="E275" s="66"/>
      <c r="F275" s="66"/>
      <c r="G275" s="66"/>
      <c r="H275" s="66"/>
      <c r="I275" s="66"/>
      <c r="J275" s="66"/>
      <c r="K275" s="66"/>
      <c r="L275" s="66"/>
      <c r="M275" s="66"/>
      <c r="N275" s="66"/>
    </row>
    <row r="276" spans="1:14" x14ac:dyDescent="0.2">
      <c r="A276" s="84"/>
      <c r="B276" s="84"/>
      <c r="C276" s="60"/>
      <c r="D276" s="66"/>
      <c r="E276" s="66"/>
      <c r="F276" s="66"/>
      <c r="G276" s="66"/>
      <c r="H276" s="66"/>
      <c r="I276" s="66"/>
      <c r="J276" s="66"/>
      <c r="K276" s="66"/>
      <c r="L276" s="66"/>
      <c r="M276" s="66"/>
      <c r="N276" s="66"/>
    </row>
    <row r="277" spans="1:14" x14ac:dyDescent="0.2">
      <c r="A277" s="84"/>
      <c r="B277" s="84"/>
      <c r="C277" s="60"/>
      <c r="D277" s="66"/>
      <c r="E277" s="66"/>
      <c r="F277" s="66"/>
      <c r="G277" s="66"/>
      <c r="H277" s="66"/>
      <c r="I277" s="66"/>
      <c r="J277" s="66"/>
      <c r="K277" s="66"/>
      <c r="L277" s="66"/>
      <c r="M277" s="66"/>
      <c r="N277" s="66"/>
    </row>
    <row r="278" spans="1:14" x14ac:dyDescent="0.2">
      <c r="A278" s="84"/>
      <c r="B278" s="84"/>
      <c r="C278" s="60"/>
      <c r="D278" s="66"/>
      <c r="E278" s="66"/>
      <c r="F278" s="66"/>
      <c r="G278" s="66"/>
      <c r="H278" s="66"/>
      <c r="I278" s="66"/>
      <c r="J278" s="66"/>
      <c r="K278" s="66"/>
      <c r="L278" s="66"/>
      <c r="M278" s="66"/>
      <c r="N278" s="66"/>
    </row>
    <row r="279" spans="1:14" x14ac:dyDescent="0.2">
      <c r="A279" s="84"/>
      <c r="B279" s="84"/>
      <c r="C279" s="60"/>
      <c r="D279" s="66"/>
      <c r="E279" s="66"/>
      <c r="F279" s="66"/>
      <c r="G279" s="66"/>
      <c r="H279" s="66"/>
      <c r="I279" s="66"/>
      <c r="J279" s="66"/>
      <c r="K279" s="66"/>
      <c r="L279" s="66"/>
      <c r="M279" s="66"/>
      <c r="N279" s="66"/>
    </row>
    <row r="280" spans="1:14" x14ac:dyDescent="0.2">
      <c r="A280" s="84"/>
      <c r="B280" s="84"/>
      <c r="C280" s="60"/>
      <c r="D280" s="66"/>
      <c r="E280" s="66"/>
      <c r="F280" s="66"/>
      <c r="G280" s="66"/>
      <c r="H280" s="66"/>
      <c r="I280" s="66"/>
      <c r="J280" s="66"/>
      <c r="K280" s="66"/>
      <c r="L280" s="66"/>
      <c r="M280" s="66"/>
      <c r="N280" s="66"/>
    </row>
    <row r="281" spans="1:14" x14ac:dyDescent="0.2">
      <c r="A281" s="84"/>
      <c r="B281" s="84"/>
      <c r="C281" s="60"/>
      <c r="D281" s="66"/>
      <c r="E281" s="66"/>
      <c r="F281" s="66"/>
      <c r="G281" s="66"/>
      <c r="H281" s="66"/>
      <c r="I281" s="66"/>
      <c r="J281" s="66"/>
      <c r="K281" s="66"/>
      <c r="L281" s="66"/>
      <c r="M281" s="66"/>
      <c r="N281" s="66"/>
    </row>
    <row r="282" spans="1:14" x14ac:dyDescent="0.2">
      <c r="A282" s="84"/>
      <c r="B282" s="84"/>
      <c r="C282" s="60"/>
      <c r="D282" s="66"/>
      <c r="E282" s="66"/>
      <c r="F282" s="66"/>
      <c r="G282" s="66"/>
      <c r="H282" s="66"/>
      <c r="I282" s="66"/>
      <c r="J282" s="66"/>
      <c r="K282" s="66"/>
      <c r="L282" s="66"/>
      <c r="M282" s="66"/>
      <c r="N282" s="66"/>
    </row>
    <row r="283" spans="1:14" x14ac:dyDescent="0.2">
      <c r="A283" s="84"/>
      <c r="B283" s="84"/>
      <c r="C283" s="60"/>
      <c r="D283" s="66"/>
      <c r="E283" s="66"/>
      <c r="F283" s="66"/>
      <c r="G283" s="66"/>
      <c r="H283" s="66"/>
      <c r="I283" s="66"/>
      <c r="J283" s="66"/>
      <c r="K283" s="66"/>
      <c r="L283" s="66"/>
      <c r="M283" s="66"/>
      <c r="N283" s="66"/>
    </row>
    <row r="284" spans="1:14" x14ac:dyDescent="0.2">
      <c r="A284" s="84"/>
      <c r="B284" s="84"/>
      <c r="C284" s="60"/>
      <c r="D284" s="66"/>
      <c r="E284" s="66"/>
      <c r="F284" s="66"/>
      <c r="G284" s="66"/>
      <c r="H284" s="66"/>
      <c r="I284" s="66"/>
      <c r="J284" s="66"/>
      <c r="K284" s="66"/>
      <c r="L284" s="66"/>
      <c r="M284" s="66"/>
      <c r="N284" s="66"/>
    </row>
    <row r="285" spans="1:14" x14ac:dyDescent="0.2">
      <c r="A285" s="84"/>
      <c r="B285" s="84"/>
      <c r="C285" s="60"/>
      <c r="D285" s="66"/>
      <c r="E285" s="66"/>
      <c r="F285" s="66"/>
      <c r="G285" s="66"/>
      <c r="H285" s="66"/>
      <c r="I285" s="66"/>
      <c r="J285" s="66"/>
      <c r="K285" s="66"/>
      <c r="L285" s="66"/>
      <c r="M285" s="66"/>
      <c r="N285" s="66"/>
    </row>
    <row r="286" spans="1:14" x14ac:dyDescent="0.2">
      <c r="A286" s="84"/>
      <c r="B286" s="84"/>
      <c r="C286" s="60"/>
      <c r="D286" s="66"/>
      <c r="E286" s="66"/>
      <c r="F286" s="66"/>
      <c r="G286" s="66"/>
      <c r="H286" s="66"/>
      <c r="I286" s="66"/>
      <c r="J286" s="66"/>
      <c r="K286" s="66"/>
      <c r="L286" s="66"/>
      <c r="M286" s="66"/>
      <c r="N286" s="66"/>
    </row>
    <row r="287" spans="1:14" x14ac:dyDescent="0.2">
      <c r="A287" s="84"/>
      <c r="B287" s="84"/>
      <c r="C287" s="60"/>
      <c r="D287" s="66"/>
      <c r="E287" s="66"/>
      <c r="F287" s="66"/>
      <c r="G287" s="66"/>
      <c r="H287" s="66"/>
      <c r="I287" s="66"/>
      <c r="J287" s="66"/>
      <c r="K287" s="66"/>
      <c r="L287" s="66"/>
      <c r="M287" s="66"/>
      <c r="N287" s="66"/>
    </row>
    <row r="288" spans="1:14" x14ac:dyDescent="0.2">
      <c r="A288" s="84"/>
      <c r="B288" s="84"/>
      <c r="C288" s="60"/>
      <c r="D288" s="66"/>
      <c r="E288" s="66"/>
      <c r="F288" s="66"/>
      <c r="G288" s="66"/>
      <c r="H288" s="66"/>
      <c r="I288" s="66"/>
      <c r="J288" s="66"/>
      <c r="K288" s="66"/>
      <c r="L288" s="66"/>
      <c r="M288" s="66"/>
      <c r="N288" s="66"/>
    </row>
    <row r="289" spans="1:14" x14ac:dyDescent="0.2">
      <c r="A289" s="84"/>
      <c r="B289" s="84"/>
      <c r="C289" s="60"/>
      <c r="D289" s="66"/>
      <c r="E289" s="66"/>
      <c r="F289" s="66"/>
      <c r="G289" s="66"/>
      <c r="H289" s="66"/>
      <c r="I289" s="66"/>
      <c r="J289" s="66"/>
      <c r="K289" s="66"/>
      <c r="L289" s="66"/>
      <c r="M289" s="66"/>
      <c r="N289" s="66"/>
    </row>
    <row r="290" spans="1:14" x14ac:dyDescent="0.2">
      <c r="A290" s="84"/>
      <c r="B290" s="84"/>
      <c r="C290" s="60"/>
      <c r="D290" s="66"/>
      <c r="E290" s="66"/>
      <c r="F290" s="66"/>
      <c r="G290" s="66"/>
      <c r="H290" s="66"/>
      <c r="I290" s="66"/>
      <c r="J290" s="66"/>
      <c r="K290" s="66"/>
      <c r="L290" s="66"/>
      <c r="M290" s="66"/>
      <c r="N290" s="66"/>
    </row>
    <row r="291" spans="1:14" x14ac:dyDescent="0.2">
      <c r="A291" s="84"/>
      <c r="B291" s="84"/>
      <c r="C291" s="60"/>
      <c r="D291" s="66"/>
      <c r="E291" s="66"/>
      <c r="F291" s="66"/>
      <c r="G291" s="66"/>
      <c r="H291" s="66"/>
      <c r="I291" s="66"/>
      <c r="J291" s="66"/>
      <c r="K291" s="66"/>
      <c r="L291" s="66"/>
      <c r="M291" s="66"/>
      <c r="N291" s="66"/>
    </row>
    <row r="292" spans="1:14" x14ac:dyDescent="0.2">
      <c r="A292" s="84"/>
      <c r="B292" s="84"/>
      <c r="C292" s="60"/>
      <c r="D292" s="66"/>
      <c r="E292" s="66"/>
      <c r="F292" s="66"/>
      <c r="G292" s="66"/>
      <c r="H292" s="66"/>
      <c r="I292" s="66"/>
      <c r="J292" s="66"/>
      <c r="K292" s="66"/>
      <c r="L292" s="66"/>
      <c r="M292" s="66"/>
      <c r="N292" s="66"/>
    </row>
    <row r="293" spans="1:14" x14ac:dyDescent="0.2">
      <c r="A293" s="84"/>
      <c r="B293" s="84"/>
      <c r="C293" s="60"/>
      <c r="D293" s="66"/>
      <c r="E293" s="66"/>
      <c r="F293" s="66"/>
      <c r="G293" s="66"/>
      <c r="H293" s="66"/>
      <c r="I293" s="66"/>
      <c r="J293" s="66"/>
      <c r="K293" s="66"/>
      <c r="L293" s="66"/>
      <c r="M293" s="66"/>
      <c r="N293" s="66"/>
    </row>
    <row r="294" spans="1:14" x14ac:dyDescent="0.2">
      <c r="A294" s="84"/>
      <c r="B294" s="84"/>
      <c r="C294" s="60"/>
      <c r="D294" s="66"/>
      <c r="E294" s="66"/>
      <c r="F294" s="66"/>
      <c r="G294" s="66"/>
      <c r="H294" s="66"/>
      <c r="I294" s="66"/>
      <c r="J294" s="66"/>
      <c r="K294" s="66"/>
      <c r="L294" s="66"/>
      <c r="M294" s="66"/>
      <c r="N294" s="66"/>
    </row>
    <row r="295" spans="1:14" x14ac:dyDescent="0.2">
      <c r="A295" s="84"/>
      <c r="B295" s="84"/>
      <c r="C295" s="60"/>
      <c r="D295" s="66"/>
      <c r="E295" s="66"/>
      <c r="F295" s="66"/>
      <c r="G295" s="66"/>
      <c r="H295" s="66"/>
      <c r="I295" s="66"/>
      <c r="J295" s="66"/>
      <c r="K295" s="66"/>
      <c r="L295" s="66"/>
      <c r="M295" s="66"/>
      <c r="N295" s="66"/>
    </row>
    <row r="296" spans="1:14" x14ac:dyDescent="0.2">
      <c r="A296" s="84"/>
      <c r="B296" s="84"/>
      <c r="C296" s="60"/>
      <c r="D296" s="66"/>
      <c r="E296" s="66"/>
      <c r="F296" s="66"/>
      <c r="G296" s="66"/>
      <c r="H296" s="66"/>
      <c r="I296" s="66"/>
      <c r="J296" s="66"/>
      <c r="K296" s="66"/>
      <c r="L296" s="66"/>
      <c r="M296" s="66"/>
      <c r="N296" s="66"/>
    </row>
    <row r="297" spans="1:14" x14ac:dyDescent="0.2">
      <c r="A297" s="84"/>
      <c r="B297" s="84"/>
      <c r="C297" s="60"/>
      <c r="D297" s="66"/>
      <c r="E297" s="66"/>
      <c r="F297" s="66"/>
      <c r="G297" s="66"/>
      <c r="H297" s="66"/>
      <c r="I297" s="66"/>
      <c r="J297" s="66"/>
      <c r="K297" s="66"/>
      <c r="L297" s="66"/>
      <c r="M297" s="66"/>
      <c r="N297" s="66"/>
    </row>
    <row r="298" spans="1:14" x14ac:dyDescent="0.2">
      <c r="A298" s="84"/>
      <c r="B298" s="84"/>
      <c r="C298" s="60"/>
      <c r="D298" s="66"/>
      <c r="E298" s="66"/>
      <c r="F298" s="66"/>
      <c r="G298" s="66"/>
      <c r="H298" s="66"/>
      <c r="I298" s="66"/>
      <c r="J298" s="66"/>
      <c r="K298" s="66"/>
      <c r="L298" s="66"/>
      <c r="M298" s="66"/>
      <c r="N298" s="66"/>
    </row>
    <row r="299" spans="1:14" x14ac:dyDescent="0.2">
      <c r="A299" s="84"/>
      <c r="B299" s="84"/>
      <c r="C299" s="60"/>
      <c r="D299" s="66"/>
      <c r="E299" s="66"/>
      <c r="F299" s="66"/>
      <c r="G299" s="66"/>
      <c r="H299" s="66"/>
      <c r="I299" s="66"/>
      <c r="J299" s="66"/>
      <c r="K299" s="66"/>
      <c r="L299" s="66"/>
      <c r="M299" s="66"/>
      <c r="N299" s="66"/>
    </row>
    <row r="300" spans="1:14" x14ac:dyDescent="0.2">
      <c r="A300" s="84"/>
      <c r="B300" s="84"/>
      <c r="C300" s="60"/>
      <c r="D300" s="66"/>
      <c r="E300" s="66"/>
      <c r="F300" s="66"/>
      <c r="G300" s="66"/>
      <c r="H300" s="66"/>
      <c r="I300" s="66"/>
      <c r="J300" s="66"/>
      <c r="K300" s="66"/>
      <c r="L300" s="66"/>
      <c r="M300" s="66"/>
      <c r="N300" s="66"/>
    </row>
    <row r="301" spans="1:14" x14ac:dyDescent="0.2">
      <c r="A301" s="84"/>
      <c r="B301" s="84"/>
      <c r="C301" s="60"/>
      <c r="D301" s="66"/>
      <c r="E301" s="66"/>
      <c r="F301" s="66"/>
      <c r="G301" s="66"/>
      <c r="H301" s="66"/>
      <c r="I301" s="66"/>
      <c r="J301" s="66"/>
      <c r="K301" s="66"/>
      <c r="L301" s="66"/>
      <c r="M301" s="66"/>
      <c r="N301" s="66"/>
    </row>
    <row r="302" spans="1:14" x14ac:dyDescent="0.2">
      <c r="A302" s="84"/>
      <c r="B302" s="84"/>
      <c r="C302" s="60"/>
      <c r="D302" s="66"/>
      <c r="E302" s="66"/>
      <c r="F302" s="66"/>
      <c r="G302" s="66"/>
      <c r="H302" s="66"/>
      <c r="I302" s="66"/>
      <c r="J302" s="66"/>
      <c r="K302" s="66"/>
      <c r="L302" s="66"/>
      <c r="M302" s="66"/>
      <c r="N302" s="66"/>
    </row>
    <row r="303" spans="1:14" x14ac:dyDescent="0.2">
      <c r="A303" s="84"/>
      <c r="B303" s="84"/>
      <c r="C303" s="60"/>
      <c r="D303" s="66"/>
      <c r="E303" s="66"/>
      <c r="F303" s="66"/>
      <c r="G303" s="66"/>
      <c r="H303" s="66"/>
      <c r="I303" s="66"/>
      <c r="J303" s="66"/>
      <c r="K303" s="66"/>
      <c r="L303" s="66"/>
      <c r="M303" s="66"/>
      <c r="N303" s="66"/>
    </row>
    <row r="304" spans="1:14" x14ac:dyDescent="0.2">
      <c r="A304" s="84"/>
      <c r="B304" s="84"/>
      <c r="C304" s="60"/>
      <c r="D304" s="66"/>
      <c r="E304" s="66"/>
      <c r="F304" s="66"/>
      <c r="G304" s="66"/>
      <c r="H304" s="66"/>
      <c r="I304" s="66"/>
      <c r="J304" s="66"/>
      <c r="K304" s="66"/>
      <c r="L304" s="66"/>
      <c r="M304" s="66"/>
      <c r="N304" s="66"/>
    </row>
    <row r="305" spans="1:14" x14ac:dyDescent="0.2">
      <c r="A305" s="84"/>
      <c r="B305" s="84"/>
      <c r="C305" s="60"/>
      <c r="D305" s="66"/>
      <c r="E305" s="66"/>
      <c r="F305" s="66"/>
      <c r="G305" s="66"/>
      <c r="H305" s="66"/>
      <c r="I305" s="66"/>
      <c r="J305" s="66"/>
      <c r="K305" s="66"/>
      <c r="L305" s="66"/>
      <c r="M305" s="66"/>
      <c r="N305" s="66"/>
    </row>
    <row r="306" spans="1:14" x14ac:dyDescent="0.2">
      <c r="A306" s="84"/>
      <c r="B306" s="84"/>
      <c r="C306" s="60"/>
      <c r="D306" s="66"/>
      <c r="E306" s="66"/>
      <c r="F306" s="66"/>
      <c r="G306" s="66"/>
      <c r="H306" s="66"/>
      <c r="I306" s="66"/>
      <c r="J306" s="66"/>
      <c r="K306" s="66"/>
      <c r="L306" s="66"/>
      <c r="M306" s="66"/>
      <c r="N306" s="66"/>
    </row>
    <row r="307" spans="1:14" x14ac:dyDescent="0.2">
      <c r="A307" s="84"/>
      <c r="B307" s="84"/>
      <c r="C307" s="60"/>
      <c r="D307" s="66"/>
      <c r="E307" s="66"/>
      <c r="F307" s="66"/>
      <c r="G307" s="66"/>
      <c r="H307" s="66"/>
      <c r="I307" s="66"/>
      <c r="J307" s="66"/>
      <c r="K307" s="66"/>
      <c r="L307" s="66"/>
      <c r="M307" s="66"/>
      <c r="N307" s="66"/>
    </row>
    <row r="308" spans="1:14" x14ac:dyDescent="0.2">
      <c r="A308" s="84"/>
      <c r="B308" s="84"/>
      <c r="C308" s="60"/>
      <c r="D308" s="66"/>
      <c r="E308" s="66"/>
      <c r="F308" s="66"/>
      <c r="G308" s="66"/>
      <c r="H308" s="66"/>
      <c r="I308" s="66"/>
      <c r="J308" s="66"/>
      <c r="K308" s="66"/>
      <c r="L308" s="66"/>
      <c r="M308" s="66"/>
      <c r="N308" s="66"/>
    </row>
    <row r="309" spans="1:14" x14ac:dyDescent="0.2">
      <c r="A309" s="84"/>
      <c r="B309" s="84"/>
      <c r="C309" s="60"/>
      <c r="D309" s="66"/>
      <c r="E309" s="66"/>
      <c r="F309" s="66"/>
      <c r="G309" s="66"/>
      <c r="H309" s="66"/>
      <c r="I309" s="66"/>
      <c r="J309" s="66"/>
      <c r="K309" s="66"/>
      <c r="L309" s="66"/>
      <c r="M309" s="66"/>
      <c r="N309" s="66"/>
    </row>
    <row r="310" spans="1:14" x14ac:dyDescent="0.2">
      <c r="A310" s="84"/>
      <c r="B310" s="84"/>
      <c r="C310" s="60"/>
      <c r="D310" s="66"/>
      <c r="E310" s="66"/>
      <c r="F310" s="66"/>
      <c r="G310" s="66"/>
      <c r="H310" s="66"/>
      <c r="I310" s="66"/>
      <c r="J310" s="66"/>
      <c r="K310" s="66"/>
      <c r="L310" s="66"/>
      <c r="M310" s="66"/>
      <c r="N310" s="66"/>
    </row>
    <row r="311" spans="1:14" x14ac:dyDescent="0.2">
      <c r="A311" s="84"/>
      <c r="B311" s="84"/>
      <c r="C311" s="60"/>
      <c r="D311" s="66"/>
      <c r="E311" s="66"/>
      <c r="F311" s="66"/>
      <c r="G311" s="66"/>
      <c r="H311" s="66"/>
      <c r="I311" s="66"/>
      <c r="J311" s="66"/>
      <c r="K311" s="66"/>
      <c r="L311" s="66"/>
      <c r="M311" s="66"/>
      <c r="N311" s="66"/>
    </row>
    <row r="312" spans="1:14" x14ac:dyDescent="0.2">
      <c r="A312" s="84"/>
      <c r="B312" s="84"/>
      <c r="C312" s="60"/>
      <c r="D312" s="66"/>
      <c r="E312" s="66"/>
      <c r="F312" s="66"/>
      <c r="G312" s="66"/>
      <c r="H312" s="66"/>
      <c r="I312" s="66"/>
      <c r="J312" s="66"/>
      <c r="K312" s="66"/>
      <c r="L312" s="66"/>
      <c r="M312" s="66"/>
      <c r="N312" s="66"/>
    </row>
    <row r="313" spans="1:14" x14ac:dyDescent="0.2">
      <c r="A313" s="84"/>
      <c r="B313" s="84"/>
      <c r="C313" s="60"/>
      <c r="D313" s="66"/>
      <c r="E313" s="66"/>
      <c r="F313" s="66"/>
      <c r="G313" s="66"/>
      <c r="H313" s="66"/>
      <c r="I313" s="66"/>
      <c r="J313" s="66"/>
      <c r="K313" s="66"/>
      <c r="L313" s="66"/>
      <c r="M313" s="66"/>
      <c r="N313" s="66"/>
    </row>
    <row r="314" spans="1:14" x14ac:dyDescent="0.2">
      <c r="A314" s="84"/>
      <c r="B314" s="84"/>
      <c r="C314" s="60"/>
      <c r="D314" s="66"/>
      <c r="E314" s="66"/>
      <c r="F314" s="66"/>
      <c r="G314" s="66"/>
      <c r="H314" s="66"/>
      <c r="I314" s="66"/>
      <c r="J314" s="66"/>
      <c r="K314" s="66"/>
      <c r="L314" s="66"/>
      <c r="M314" s="66"/>
      <c r="N314" s="66"/>
    </row>
    <row r="315" spans="1:14" x14ac:dyDescent="0.2">
      <c r="A315" s="84"/>
      <c r="B315" s="84"/>
      <c r="C315" s="60"/>
      <c r="D315" s="66"/>
      <c r="E315" s="66"/>
      <c r="F315" s="66"/>
      <c r="G315" s="66"/>
      <c r="H315" s="66"/>
      <c r="I315" s="66"/>
      <c r="J315" s="66"/>
      <c r="K315" s="66"/>
      <c r="L315" s="66"/>
      <c r="M315" s="66"/>
      <c r="N315" s="66"/>
    </row>
    <row r="316" spans="1:14" x14ac:dyDescent="0.2">
      <c r="A316" s="84"/>
      <c r="B316" s="84"/>
      <c r="C316" s="60"/>
      <c r="D316" s="66"/>
      <c r="E316" s="66"/>
      <c r="F316" s="66"/>
      <c r="G316" s="66"/>
      <c r="H316" s="66"/>
      <c r="I316" s="66"/>
      <c r="J316" s="66"/>
      <c r="K316" s="66"/>
      <c r="L316" s="66"/>
      <c r="M316" s="66"/>
      <c r="N316" s="66"/>
    </row>
    <row r="317" spans="1:14" x14ac:dyDescent="0.2">
      <c r="A317" s="84"/>
      <c r="B317" s="84"/>
      <c r="C317" s="60"/>
      <c r="D317" s="66"/>
      <c r="E317" s="66"/>
      <c r="F317" s="66"/>
      <c r="G317" s="66"/>
      <c r="H317" s="66"/>
      <c r="I317" s="66"/>
      <c r="J317" s="66"/>
      <c r="K317" s="66"/>
      <c r="L317" s="66"/>
      <c r="M317" s="66"/>
      <c r="N317" s="66"/>
    </row>
    <row r="318" spans="1:14" x14ac:dyDescent="0.2">
      <c r="A318" s="84"/>
      <c r="B318" s="84"/>
      <c r="C318" s="60"/>
      <c r="D318" s="66"/>
      <c r="E318" s="66"/>
      <c r="F318" s="66"/>
      <c r="G318" s="66"/>
      <c r="H318" s="66"/>
      <c r="I318" s="66"/>
      <c r="J318" s="66"/>
      <c r="K318" s="66"/>
      <c r="L318" s="66"/>
      <c r="M318" s="66"/>
      <c r="N318" s="66"/>
    </row>
    <row r="319" spans="1:14" x14ac:dyDescent="0.2">
      <c r="A319" s="84"/>
      <c r="B319" s="84"/>
      <c r="C319" s="60"/>
      <c r="D319" s="66"/>
      <c r="E319" s="66"/>
      <c r="F319" s="66"/>
      <c r="G319" s="66"/>
      <c r="H319" s="66"/>
      <c r="I319" s="66"/>
      <c r="J319" s="66"/>
      <c r="K319" s="66"/>
      <c r="L319" s="66"/>
      <c r="M319" s="66"/>
      <c r="N319" s="66"/>
    </row>
    <row r="320" spans="1:14" x14ac:dyDescent="0.2">
      <c r="A320" s="84"/>
      <c r="B320" s="84"/>
      <c r="C320" s="60"/>
      <c r="D320" s="66"/>
      <c r="E320" s="66"/>
      <c r="F320" s="66"/>
      <c r="G320" s="66"/>
      <c r="H320" s="66"/>
      <c r="I320" s="66"/>
      <c r="J320" s="66"/>
      <c r="K320" s="66"/>
      <c r="L320" s="66"/>
      <c r="M320" s="66"/>
      <c r="N320" s="66"/>
    </row>
    <row r="321" spans="1:14" x14ac:dyDescent="0.2">
      <c r="A321" s="84"/>
      <c r="B321" s="84"/>
      <c r="C321" s="60"/>
      <c r="D321" s="66"/>
      <c r="E321" s="66"/>
      <c r="F321" s="66"/>
      <c r="G321" s="66"/>
      <c r="H321" s="66"/>
      <c r="I321" s="66"/>
      <c r="J321" s="66"/>
      <c r="K321" s="66"/>
      <c r="L321" s="66"/>
      <c r="M321" s="66"/>
      <c r="N321" s="66"/>
    </row>
    <row r="322" spans="1:14" x14ac:dyDescent="0.2">
      <c r="A322" s="84"/>
      <c r="B322" s="84"/>
      <c r="C322" s="60"/>
      <c r="D322" s="66"/>
      <c r="E322" s="66"/>
      <c r="F322" s="66"/>
      <c r="G322" s="66"/>
      <c r="H322" s="66"/>
      <c r="I322" s="66"/>
      <c r="J322" s="66"/>
      <c r="K322" s="66"/>
      <c r="L322" s="66"/>
      <c r="M322" s="66"/>
      <c r="N322" s="66"/>
    </row>
    <row r="323" spans="1:14" x14ac:dyDescent="0.2">
      <c r="A323" s="84"/>
      <c r="B323" s="84"/>
      <c r="C323" s="60"/>
      <c r="D323" s="66"/>
      <c r="E323" s="66"/>
      <c r="F323" s="66"/>
      <c r="G323" s="66"/>
      <c r="H323" s="66"/>
      <c r="I323" s="66"/>
      <c r="J323" s="66"/>
      <c r="K323" s="66"/>
      <c r="L323" s="66"/>
      <c r="M323" s="66"/>
      <c r="N323" s="66"/>
    </row>
    <row r="324" spans="1:14" x14ac:dyDescent="0.2">
      <c r="A324" s="84"/>
      <c r="B324" s="84"/>
      <c r="C324" s="60"/>
      <c r="D324" s="66"/>
      <c r="E324" s="66"/>
      <c r="F324" s="66"/>
      <c r="G324" s="66"/>
      <c r="H324" s="66"/>
      <c r="I324" s="66"/>
      <c r="J324" s="66"/>
      <c r="K324" s="66"/>
      <c r="L324" s="66"/>
      <c r="M324" s="66"/>
      <c r="N324" s="66"/>
    </row>
    <row r="325" spans="1:14" x14ac:dyDescent="0.2">
      <c r="A325" s="84"/>
      <c r="B325" s="84"/>
      <c r="C325" s="60"/>
      <c r="D325" s="66"/>
      <c r="E325" s="66"/>
      <c r="F325" s="66"/>
      <c r="G325" s="66"/>
      <c r="H325" s="66"/>
      <c r="I325" s="66"/>
      <c r="J325" s="66"/>
      <c r="K325" s="66"/>
      <c r="L325" s="66"/>
      <c r="M325" s="66"/>
      <c r="N325" s="66"/>
    </row>
    <row r="326" spans="1:14" x14ac:dyDescent="0.2">
      <c r="A326" s="84"/>
      <c r="B326" s="84"/>
      <c r="C326" s="60"/>
      <c r="D326" s="66"/>
      <c r="E326" s="66"/>
      <c r="F326" s="66"/>
      <c r="G326" s="66"/>
      <c r="H326" s="66"/>
      <c r="I326" s="66"/>
      <c r="J326" s="66"/>
      <c r="K326" s="66"/>
      <c r="L326" s="66"/>
      <c r="M326" s="66"/>
      <c r="N326" s="66"/>
    </row>
    <row r="327" spans="1:14" x14ac:dyDescent="0.2">
      <c r="A327" s="84"/>
      <c r="B327" s="84"/>
      <c r="C327" s="60"/>
      <c r="D327" s="66"/>
      <c r="E327" s="66"/>
      <c r="F327" s="66"/>
      <c r="G327" s="66"/>
      <c r="H327" s="66"/>
      <c r="I327" s="66"/>
      <c r="J327" s="66"/>
      <c r="K327" s="66"/>
      <c r="L327" s="66"/>
      <c r="M327" s="66"/>
      <c r="N327" s="66"/>
    </row>
    <row r="328" spans="1:14" x14ac:dyDescent="0.2">
      <c r="A328" s="84"/>
      <c r="B328" s="84"/>
      <c r="C328" s="60"/>
      <c r="D328" s="66"/>
      <c r="E328" s="66"/>
      <c r="F328" s="66"/>
      <c r="G328" s="66"/>
      <c r="H328" s="66"/>
      <c r="I328" s="66"/>
      <c r="J328" s="66"/>
      <c r="K328" s="66"/>
      <c r="L328" s="66"/>
      <c r="M328" s="66"/>
      <c r="N328" s="66"/>
    </row>
    <row r="329" spans="1:14" x14ac:dyDescent="0.2">
      <c r="A329" s="84"/>
      <c r="B329" s="84"/>
      <c r="C329" s="60"/>
      <c r="D329" s="66"/>
      <c r="E329" s="66"/>
      <c r="F329" s="66"/>
      <c r="G329" s="66"/>
      <c r="H329" s="66"/>
      <c r="I329" s="66"/>
      <c r="J329" s="66"/>
      <c r="K329" s="66"/>
      <c r="L329" s="66"/>
      <c r="M329" s="66"/>
      <c r="N329" s="66"/>
    </row>
    <row r="330" spans="1:14" x14ac:dyDescent="0.2">
      <c r="A330" s="84"/>
      <c r="B330" s="84"/>
      <c r="C330" s="60"/>
      <c r="D330" s="66"/>
      <c r="E330" s="66"/>
      <c r="F330" s="66"/>
      <c r="G330" s="66"/>
      <c r="H330" s="66"/>
      <c r="I330" s="66"/>
      <c r="J330" s="66"/>
      <c r="K330" s="66"/>
      <c r="L330" s="66"/>
      <c r="M330" s="66"/>
      <c r="N330" s="66"/>
    </row>
    <row r="331" spans="1:14" x14ac:dyDescent="0.2">
      <c r="A331" s="84"/>
      <c r="B331" s="84"/>
      <c r="C331" s="60"/>
      <c r="D331" s="66"/>
      <c r="E331" s="66"/>
      <c r="F331" s="66"/>
      <c r="G331" s="66"/>
      <c r="H331" s="66"/>
      <c r="I331" s="66"/>
      <c r="J331" s="66"/>
      <c r="K331" s="66"/>
      <c r="L331" s="66"/>
      <c r="M331" s="66"/>
      <c r="N331" s="66"/>
    </row>
    <row r="332" spans="1:14" x14ac:dyDescent="0.2">
      <c r="A332" s="84"/>
      <c r="B332" s="84"/>
      <c r="C332" s="60"/>
      <c r="D332" s="66"/>
      <c r="E332" s="66"/>
      <c r="F332" s="66"/>
      <c r="G332" s="66"/>
      <c r="H332" s="66"/>
      <c r="I332" s="66"/>
      <c r="J332" s="66"/>
      <c r="K332" s="66"/>
      <c r="L332" s="66"/>
      <c r="M332" s="66"/>
      <c r="N332" s="66"/>
    </row>
    <row r="333" spans="1:14" x14ac:dyDescent="0.2">
      <c r="A333" s="84"/>
      <c r="B333" s="84"/>
      <c r="C333" s="60"/>
      <c r="D333" s="66"/>
      <c r="E333" s="66"/>
      <c r="F333" s="66"/>
      <c r="G333" s="66"/>
      <c r="H333" s="66"/>
      <c r="I333" s="66"/>
      <c r="J333" s="66"/>
      <c r="K333" s="66"/>
      <c r="L333" s="66"/>
      <c r="M333" s="66"/>
      <c r="N333" s="66"/>
    </row>
    <row r="334" spans="1:14" x14ac:dyDescent="0.2">
      <c r="A334" s="84"/>
      <c r="B334" s="84"/>
      <c r="C334" s="60"/>
      <c r="D334" s="66"/>
      <c r="E334" s="66"/>
      <c r="F334" s="66"/>
      <c r="G334" s="66"/>
      <c r="H334" s="66"/>
      <c r="I334" s="66"/>
      <c r="J334" s="66"/>
      <c r="K334" s="66"/>
      <c r="L334" s="66"/>
      <c r="M334" s="66"/>
      <c r="N334" s="66"/>
    </row>
    <row r="335" spans="1:14" x14ac:dyDescent="0.2">
      <c r="A335" s="84"/>
      <c r="B335" s="84"/>
      <c r="C335" s="60"/>
      <c r="D335" s="66"/>
      <c r="E335" s="66"/>
      <c r="F335" s="66"/>
      <c r="G335" s="66"/>
      <c r="H335" s="66"/>
      <c r="I335" s="66"/>
      <c r="J335" s="66"/>
      <c r="K335" s="66"/>
      <c r="L335" s="66"/>
      <c r="M335" s="66"/>
      <c r="N335" s="66"/>
    </row>
    <row r="336" spans="1:14" x14ac:dyDescent="0.2">
      <c r="A336" s="84"/>
      <c r="B336" s="84"/>
      <c r="C336" s="60"/>
      <c r="D336" s="66"/>
      <c r="E336" s="66"/>
      <c r="F336" s="66"/>
      <c r="G336" s="66"/>
      <c r="H336" s="66"/>
      <c r="I336" s="66"/>
      <c r="J336" s="66"/>
      <c r="K336" s="66"/>
      <c r="L336" s="66"/>
      <c r="M336" s="66"/>
      <c r="N336" s="66"/>
    </row>
    <row r="337" spans="1:14" x14ac:dyDescent="0.2">
      <c r="A337" s="84"/>
      <c r="B337" s="84"/>
      <c r="C337" s="60"/>
      <c r="D337" s="66"/>
      <c r="E337" s="66"/>
      <c r="F337" s="66"/>
      <c r="G337" s="66"/>
      <c r="H337" s="66"/>
      <c r="I337" s="66"/>
      <c r="J337" s="66"/>
      <c r="K337" s="66"/>
      <c r="L337" s="66"/>
      <c r="M337" s="66"/>
      <c r="N337" s="66"/>
    </row>
    <row r="338" spans="1:14" x14ac:dyDescent="0.2">
      <c r="A338" s="84"/>
      <c r="B338" s="84"/>
      <c r="C338" s="60"/>
      <c r="D338" s="66"/>
      <c r="E338" s="66"/>
      <c r="F338" s="66"/>
      <c r="G338" s="66"/>
      <c r="H338" s="66"/>
      <c r="I338" s="66"/>
      <c r="J338" s="66"/>
      <c r="K338" s="66"/>
      <c r="L338" s="66"/>
      <c r="M338" s="66"/>
      <c r="N338" s="66"/>
    </row>
    <row r="339" spans="1:14" x14ac:dyDescent="0.2">
      <c r="A339" s="84"/>
      <c r="B339" s="84"/>
      <c r="C339" s="60"/>
      <c r="D339" s="66"/>
      <c r="E339" s="66"/>
      <c r="F339" s="66"/>
      <c r="G339" s="66"/>
      <c r="H339" s="66"/>
      <c r="I339" s="66"/>
      <c r="J339" s="66"/>
      <c r="K339" s="66"/>
      <c r="L339" s="66"/>
      <c r="M339" s="66"/>
      <c r="N339" s="66"/>
    </row>
    <row r="340" spans="1:14" x14ac:dyDescent="0.2">
      <c r="A340" s="84"/>
      <c r="B340" s="84"/>
      <c r="C340" s="60"/>
      <c r="D340" s="66"/>
      <c r="E340" s="66"/>
      <c r="F340" s="66"/>
      <c r="G340" s="66"/>
      <c r="H340" s="66"/>
      <c r="I340" s="66"/>
      <c r="J340" s="66"/>
      <c r="K340" s="66"/>
      <c r="L340" s="66"/>
      <c r="M340" s="66"/>
      <c r="N340" s="66"/>
    </row>
    <row r="341" spans="1:14" x14ac:dyDescent="0.2">
      <c r="A341" s="84"/>
      <c r="B341" s="84"/>
      <c r="C341" s="60"/>
      <c r="D341" s="66"/>
      <c r="E341" s="66"/>
      <c r="F341" s="66"/>
      <c r="G341" s="66"/>
      <c r="H341" s="66"/>
      <c r="I341" s="66"/>
      <c r="J341" s="66"/>
      <c r="K341" s="66"/>
      <c r="L341" s="66"/>
      <c r="M341" s="66"/>
      <c r="N341" s="66"/>
    </row>
    <row r="342" spans="1:14" x14ac:dyDescent="0.2">
      <c r="A342" s="84"/>
      <c r="B342" s="84"/>
      <c r="C342" s="60"/>
      <c r="D342" s="66"/>
      <c r="E342" s="66"/>
      <c r="F342" s="66"/>
      <c r="G342" s="66"/>
      <c r="H342" s="66"/>
      <c r="I342" s="66"/>
      <c r="J342" s="66"/>
      <c r="K342" s="66"/>
      <c r="L342" s="66"/>
      <c r="M342" s="66"/>
      <c r="N342" s="66"/>
    </row>
    <row r="343" spans="1:14" x14ac:dyDescent="0.2">
      <c r="A343" s="84"/>
      <c r="B343" s="84"/>
      <c r="C343" s="60"/>
      <c r="D343" s="66"/>
      <c r="E343" s="66"/>
      <c r="F343" s="66"/>
      <c r="G343" s="66"/>
      <c r="H343" s="66"/>
      <c r="I343" s="66"/>
      <c r="J343" s="66"/>
      <c r="K343" s="66"/>
      <c r="L343" s="66"/>
      <c r="M343" s="66"/>
      <c r="N343" s="66"/>
    </row>
    <row r="344" spans="1:14" x14ac:dyDescent="0.2">
      <c r="A344" s="84"/>
      <c r="B344" s="84"/>
      <c r="C344" s="60"/>
      <c r="D344" s="66"/>
      <c r="E344" s="66"/>
      <c r="F344" s="66"/>
      <c r="G344" s="66"/>
      <c r="H344" s="66"/>
      <c r="I344" s="66"/>
      <c r="J344" s="66"/>
      <c r="K344" s="66"/>
      <c r="L344" s="66"/>
      <c r="M344" s="66"/>
      <c r="N344" s="66"/>
    </row>
    <row r="345" spans="1:14" x14ac:dyDescent="0.2">
      <c r="A345" s="84"/>
      <c r="B345" s="84"/>
      <c r="C345" s="60"/>
      <c r="D345" s="66"/>
      <c r="E345" s="66"/>
      <c r="F345" s="66"/>
      <c r="G345" s="66"/>
      <c r="H345" s="66"/>
      <c r="I345" s="66"/>
      <c r="J345" s="66"/>
      <c r="K345" s="66"/>
      <c r="L345" s="66"/>
      <c r="M345" s="66"/>
      <c r="N345" s="66"/>
    </row>
    <row r="346" spans="1:14" x14ac:dyDescent="0.2">
      <c r="A346" s="84"/>
      <c r="B346" s="84"/>
      <c r="C346" s="60"/>
      <c r="D346" s="66"/>
      <c r="E346" s="66"/>
      <c r="F346" s="66"/>
      <c r="G346" s="66"/>
      <c r="H346" s="66"/>
      <c r="I346" s="66"/>
      <c r="J346" s="66"/>
      <c r="K346" s="66"/>
      <c r="L346" s="66"/>
      <c r="M346" s="66"/>
      <c r="N346" s="66"/>
    </row>
    <row r="347" spans="1:14" x14ac:dyDescent="0.2">
      <c r="A347" s="84"/>
      <c r="B347" s="84"/>
      <c r="C347" s="60"/>
      <c r="D347" s="66"/>
      <c r="E347" s="66"/>
      <c r="F347" s="66"/>
      <c r="G347" s="66"/>
      <c r="H347" s="66"/>
      <c r="I347" s="66"/>
      <c r="J347" s="66"/>
      <c r="K347" s="66"/>
      <c r="L347" s="66"/>
      <c r="M347" s="66"/>
      <c r="N347" s="66"/>
    </row>
    <row r="348" spans="1:14" x14ac:dyDescent="0.2">
      <c r="A348" s="84"/>
      <c r="B348" s="84"/>
      <c r="C348" s="60"/>
      <c r="D348" s="66"/>
      <c r="E348" s="66"/>
      <c r="F348" s="66"/>
      <c r="G348" s="66"/>
      <c r="H348" s="66"/>
      <c r="I348" s="66"/>
      <c r="J348" s="66"/>
      <c r="K348" s="66"/>
      <c r="L348" s="66"/>
      <c r="M348" s="66"/>
      <c r="N348" s="66"/>
    </row>
    <row r="349" spans="1:14" x14ac:dyDescent="0.2">
      <c r="A349" s="84"/>
      <c r="B349" s="84"/>
      <c r="C349" s="60"/>
      <c r="D349" s="66"/>
      <c r="E349" s="66"/>
      <c r="F349" s="66"/>
      <c r="G349" s="66"/>
      <c r="H349" s="66"/>
      <c r="I349" s="66"/>
      <c r="J349" s="66"/>
      <c r="K349" s="66"/>
      <c r="L349" s="66"/>
      <c r="M349" s="66"/>
      <c r="N349" s="66"/>
    </row>
    <row r="350" spans="1:14" x14ac:dyDescent="0.2">
      <c r="A350" s="84"/>
      <c r="B350" s="84"/>
      <c r="C350" s="60"/>
      <c r="D350" s="66"/>
      <c r="E350" s="66"/>
      <c r="F350" s="66"/>
      <c r="G350" s="66"/>
      <c r="H350" s="66"/>
      <c r="I350" s="66"/>
      <c r="J350" s="66"/>
      <c r="K350" s="66"/>
      <c r="L350" s="66"/>
      <c r="M350" s="66"/>
      <c r="N350" s="66"/>
    </row>
    <row r="351" spans="1:14" x14ac:dyDescent="0.2">
      <c r="A351" s="84"/>
      <c r="B351" s="84"/>
      <c r="C351" s="60"/>
      <c r="D351" s="66"/>
      <c r="E351" s="66"/>
      <c r="F351" s="66"/>
      <c r="G351" s="66"/>
      <c r="H351" s="66"/>
      <c r="I351" s="66"/>
      <c r="J351" s="66"/>
      <c r="K351" s="66"/>
      <c r="L351" s="66"/>
      <c r="M351" s="66"/>
      <c r="N351" s="66"/>
    </row>
    <row r="352" spans="1:14" x14ac:dyDescent="0.2">
      <c r="A352" s="84"/>
      <c r="B352" s="84"/>
      <c r="C352" s="60"/>
      <c r="D352" s="66"/>
      <c r="E352" s="66"/>
      <c r="F352" s="66"/>
      <c r="G352" s="66"/>
      <c r="H352" s="66"/>
      <c r="I352" s="66"/>
      <c r="J352" s="66"/>
      <c r="K352" s="66"/>
      <c r="L352" s="66"/>
      <c r="M352" s="66"/>
      <c r="N352" s="66"/>
    </row>
    <row r="353" spans="1:14" x14ac:dyDescent="0.2">
      <c r="A353" s="84"/>
      <c r="B353" s="84"/>
      <c r="C353" s="60"/>
      <c r="D353" s="66"/>
      <c r="E353" s="66"/>
      <c r="F353" s="66"/>
      <c r="G353" s="66"/>
      <c r="H353" s="66"/>
      <c r="I353" s="66"/>
      <c r="J353" s="66"/>
      <c r="K353" s="66"/>
      <c r="L353" s="66"/>
      <c r="M353" s="66"/>
      <c r="N353" s="66"/>
    </row>
    <row r="354" spans="1:14" x14ac:dyDescent="0.2">
      <c r="A354" s="84"/>
      <c r="B354" s="84"/>
      <c r="C354" s="60"/>
      <c r="D354" s="66"/>
      <c r="E354" s="66"/>
      <c r="F354" s="66"/>
      <c r="G354" s="66"/>
      <c r="H354" s="66"/>
      <c r="I354" s="66"/>
      <c r="J354" s="66"/>
      <c r="K354" s="66"/>
      <c r="L354" s="66"/>
      <c r="M354" s="66"/>
      <c r="N354" s="66"/>
    </row>
    <row r="355" spans="1:14" x14ac:dyDescent="0.2">
      <c r="A355" s="84"/>
      <c r="B355" s="84"/>
      <c r="C355" s="60"/>
      <c r="D355" s="66"/>
      <c r="E355" s="66"/>
      <c r="F355" s="66"/>
      <c r="G355" s="66"/>
      <c r="H355" s="66"/>
      <c r="I355" s="66"/>
      <c r="J355" s="66"/>
      <c r="K355" s="66"/>
      <c r="L355" s="66"/>
      <c r="M355" s="66"/>
      <c r="N355" s="66"/>
    </row>
    <row r="356" spans="1:14" x14ac:dyDescent="0.2">
      <c r="A356" s="84"/>
      <c r="B356" s="84"/>
      <c r="C356" s="60"/>
      <c r="D356" s="66"/>
      <c r="E356" s="66"/>
      <c r="F356" s="66"/>
      <c r="G356" s="66"/>
      <c r="H356" s="66"/>
      <c r="I356" s="66"/>
      <c r="J356" s="66"/>
      <c r="K356" s="66"/>
      <c r="L356" s="66"/>
      <c r="M356" s="66"/>
      <c r="N356" s="66"/>
    </row>
    <row r="357" spans="1:14" x14ac:dyDescent="0.2">
      <c r="A357" s="84"/>
      <c r="B357" s="84"/>
      <c r="C357" s="60"/>
      <c r="D357" s="66"/>
      <c r="E357" s="66"/>
      <c r="F357" s="66"/>
      <c r="G357" s="66"/>
      <c r="H357" s="66"/>
      <c r="I357" s="66"/>
      <c r="J357" s="66"/>
      <c r="K357" s="66"/>
      <c r="L357" s="66"/>
      <c r="M357" s="66"/>
      <c r="N357" s="66"/>
    </row>
    <row r="358" spans="1:14" x14ac:dyDescent="0.2">
      <c r="A358" s="84"/>
      <c r="B358" s="84"/>
      <c r="C358" s="60"/>
      <c r="D358" s="66"/>
      <c r="E358" s="66"/>
      <c r="F358" s="66"/>
      <c r="G358" s="66"/>
      <c r="H358" s="66"/>
      <c r="I358" s="66"/>
      <c r="J358" s="66"/>
      <c r="K358" s="66"/>
      <c r="L358" s="66"/>
      <c r="M358" s="66"/>
      <c r="N358" s="66"/>
    </row>
    <row r="359" spans="1:14" x14ac:dyDescent="0.2">
      <c r="A359" s="84"/>
      <c r="B359" s="84"/>
      <c r="C359" s="60"/>
      <c r="D359" s="66"/>
      <c r="E359" s="66"/>
      <c r="F359" s="66"/>
      <c r="G359" s="66"/>
      <c r="H359" s="66"/>
      <c r="I359" s="66"/>
      <c r="J359" s="66"/>
      <c r="K359" s="66"/>
      <c r="L359" s="66"/>
      <c r="M359" s="66"/>
      <c r="N359" s="66"/>
    </row>
    <row r="360" spans="1:14" x14ac:dyDescent="0.2">
      <c r="A360" s="84"/>
      <c r="B360" s="84"/>
      <c r="C360" s="60"/>
      <c r="D360" s="66"/>
      <c r="E360" s="66"/>
      <c r="F360" s="66"/>
      <c r="G360" s="66"/>
      <c r="H360" s="66"/>
      <c r="I360" s="66"/>
      <c r="J360" s="66"/>
      <c r="K360" s="66"/>
      <c r="L360" s="66"/>
      <c r="M360" s="66"/>
      <c r="N360" s="66"/>
    </row>
    <row r="361" spans="1:14" x14ac:dyDescent="0.2">
      <c r="A361" s="84"/>
      <c r="B361" s="84"/>
      <c r="C361" s="60"/>
      <c r="D361" s="66"/>
      <c r="E361" s="66"/>
      <c r="F361" s="66"/>
      <c r="G361" s="66"/>
      <c r="H361" s="66"/>
      <c r="I361" s="66"/>
      <c r="J361" s="66"/>
      <c r="K361" s="66"/>
      <c r="L361" s="66"/>
      <c r="M361" s="66"/>
      <c r="N361" s="66"/>
    </row>
    <row r="362" spans="1:14" x14ac:dyDescent="0.2">
      <c r="A362" s="84"/>
      <c r="B362" s="84"/>
      <c r="C362" s="60"/>
      <c r="D362" s="66"/>
      <c r="E362" s="66"/>
      <c r="F362" s="66"/>
      <c r="G362" s="66"/>
      <c r="H362" s="66"/>
      <c r="I362" s="66"/>
      <c r="J362" s="66"/>
      <c r="K362" s="66"/>
      <c r="L362" s="66"/>
      <c r="M362" s="66"/>
      <c r="N362" s="66"/>
    </row>
    <row r="363" spans="1:14" x14ac:dyDescent="0.2">
      <c r="A363" s="84"/>
      <c r="B363" s="84"/>
      <c r="C363" s="60"/>
      <c r="D363" s="66"/>
      <c r="E363" s="66"/>
      <c r="F363" s="66"/>
      <c r="G363" s="66"/>
      <c r="H363" s="66"/>
      <c r="I363" s="66"/>
      <c r="J363" s="66"/>
      <c r="K363" s="66"/>
      <c r="L363" s="66"/>
      <c r="M363" s="66"/>
      <c r="N363" s="66"/>
    </row>
    <row r="364" spans="1:14" x14ac:dyDescent="0.2">
      <c r="A364" s="84"/>
      <c r="B364" s="84"/>
      <c r="C364" s="60"/>
      <c r="D364" s="66"/>
      <c r="E364" s="66"/>
      <c r="F364" s="66"/>
      <c r="G364" s="66"/>
      <c r="H364" s="66"/>
      <c r="I364" s="66"/>
      <c r="J364" s="66"/>
      <c r="K364" s="66"/>
      <c r="L364" s="66"/>
      <c r="M364" s="66"/>
      <c r="N364" s="66"/>
    </row>
    <row r="365" spans="1:14" x14ac:dyDescent="0.2">
      <c r="A365" s="84"/>
      <c r="B365" s="84"/>
      <c r="C365" s="60"/>
      <c r="D365" s="66"/>
      <c r="E365" s="66"/>
      <c r="F365" s="66"/>
      <c r="G365" s="66"/>
      <c r="H365" s="66"/>
      <c r="I365" s="66"/>
      <c r="J365" s="66"/>
      <c r="K365" s="66"/>
      <c r="L365" s="66"/>
      <c r="M365" s="66"/>
      <c r="N365" s="66"/>
    </row>
    <row r="366" spans="1:14" x14ac:dyDescent="0.2">
      <c r="A366" s="84"/>
      <c r="B366" s="84"/>
      <c r="C366" s="60"/>
      <c r="D366" s="66"/>
      <c r="E366" s="66"/>
      <c r="F366" s="66"/>
      <c r="G366" s="66"/>
      <c r="H366" s="66"/>
      <c r="I366" s="66"/>
      <c r="J366" s="66"/>
      <c r="K366" s="66"/>
      <c r="L366" s="66"/>
      <c r="M366" s="66"/>
      <c r="N366" s="66"/>
    </row>
    <row r="367" spans="1:14" x14ac:dyDescent="0.2">
      <c r="A367" s="84"/>
      <c r="B367" s="84"/>
      <c r="C367" s="60"/>
      <c r="D367" s="66"/>
      <c r="E367" s="66"/>
      <c r="F367" s="66"/>
      <c r="G367" s="66"/>
      <c r="H367" s="66"/>
      <c r="I367" s="66"/>
      <c r="J367" s="66"/>
      <c r="K367" s="66"/>
      <c r="L367" s="66"/>
      <c r="M367" s="66"/>
      <c r="N367" s="66"/>
    </row>
    <row r="368" spans="1:14" x14ac:dyDescent="0.2">
      <c r="A368" s="84"/>
      <c r="B368" s="84"/>
      <c r="C368" s="60"/>
      <c r="D368" s="66"/>
      <c r="E368" s="66"/>
      <c r="F368" s="66"/>
      <c r="G368" s="66"/>
      <c r="H368" s="66"/>
      <c r="I368" s="66"/>
      <c r="J368" s="66"/>
      <c r="K368" s="66"/>
      <c r="L368" s="66"/>
      <c r="M368" s="66"/>
      <c r="N368" s="66"/>
    </row>
    <row r="369" spans="1:14" x14ac:dyDescent="0.2">
      <c r="A369" s="84"/>
      <c r="B369" s="84"/>
      <c r="C369" s="60"/>
      <c r="D369" s="66"/>
      <c r="E369" s="66"/>
      <c r="F369" s="66"/>
      <c r="G369" s="66"/>
      <c r="H369" s="66"/>
      <c r="I369" s="66"/>
      <c r="J369" s="66"/>
      <c r="K369" s="66"/>
      <c r="L369" s="66"/>
      <c r="M369" s="66"/>
      <c r="N369" s="66"/>
    </row>
    <row r="370" spans="1:14" x14ac:dyDescent="0.2">
      <c r="A370" s="84"/>
      <c r="B370" s="84"/>
      <c r="C370" s="60"/>
      <c r="D370" s="66"/>
      <c r="E370" s="66"/>
      <c r="F370" s="66"/>
      <c r="G370" s="66"/>
      <c r="H370" s="66"/>
      <c r="I370" s="66"/>
      <c r="J370" s="66"/>
      <c r="K370" s="66"/>
      <c r="L370" s="66"/>
      <c r="M370" s="66"/>
      <c r="N370" s="66"/>
    </row>
    <row r="371" spans="1:14" x14ac:dyDescent="0.2">
      <c r="A371" s="84"/>
      <c r="B371" s="84"/>
      <c r="C371" s="60"/>
      <c r="D371" s="66"/>
      <c r="E371" s="66"/>
      <c r="F371" s="66"/>
      <c r="G371" s="66"/>
      <c r="H371" s="66"/>
      <c r="I371" s="66"/>
      <c r="J371" s="66"/>
      <c r="K371" s="66"/>
      <c r="L371" s="66"/>
      <c r="M371" s="66"/>
      <c r="N371" s="66"/>
    </row>
    <row r="372" spans="1:14" x14ac:dyDescent="0.2">
      <c r="A372" s="84"/>
      <c r="B372" s="84"/>
      <c r="C372" s="60"/>
      <c r="D372" s="66"/>
      <c r="E372" s="66"/>
      <c r="F372" s="66"/>
      <c r="G372" s="66"/>
      <c r="H372" s="66"/>
      <c r="I372" s="66"/>
      <c r="J372" s="66"/>
      <c r="K372" s="66"/>
      <c r="L372" s="66"/>
      <c r="M372" s="66"/>
      <c r="N372" s="66"/>
    </row>
    <row r="373" spans="1:14" x14ac:dyDescent="0.2">
      <c r="A373" s="84"/>
      <c r="B373" s="84"/>
      <c r="C373" s="60"/>
      <c r="D373" s="66"/>
      <c r="E373" s="66"/>
      <c r="F373" s="66"/>
      <c r="G373" s="66"/>
      <c r="H373" s="66"/>
      <c r="I373" s="66"/>
      <c r="J373" s="66"/>
      <c r="K373" s="66"/>
      <c r="L373" s="66"/>
      <c r="M373" s="66"/>
      <c r="N373" s="66"/>
    </row>
    <row r="374" spans="1:14" x14ac:dyDescent="0.2">
      <c r="A374" s="84"/>
      <c r="B374" s="84"/>
      <c r="C374" s="60"/>
      <c r="D374" s="66"/>
      <c r="E374" s="66"/>
      <c r="F374" s="66"/>
      <c r="G374" s="66"/>
      <c r="H374" s="66"/>
      <c r="I374" s="66"/>
      <c r="J374" s="66"/>
      <c r="K374" s="66"/>
      <c r="L374" s="66"/>
      <c r="M374" s="66"/>
      <c r="N374" s="66"/>
    </row>
    <row r="375" spans="1:14" x14ac:dyDescent="0.2">
      <c r="A375" s="84"/>
      <c r="B375" s="84"/>
      <c r="C375" s="60"/>
      <c r="D375" s="66"/>
      <c r="E375" s="66"/>
      <c r="F375" s="66"/>
      <c r="G375" s="66"/>
      <c r="H375" s="66"/>
      <c r="I375" s="66"/>
      <c r="J375" s="66"/>
      <c r="K375" s="66"/>
      <c r="L375" s="66"/>
      <c r="M375" s="66"/>
      <c r="N375" s="66"/>
    </row>
    <row r="376" spans="1:14" x14ac:dyDescent="0.2">
      <c r="A376" s="84"/>
      <c r="B376" s="84"/>
      <c r="C376" s="60"/>
      <c r="D376" s="66"/>
      <c r="E376" s="66"/>
      <c r="F376" s="66"/>
      <c r="G376" s="66"/>
      <c r="H376" s="66"/>
      <c r="I376" s="66"/>
      <c r="J376" s="66"/>
      <c r="K376" s="66"/>
      <c r="L376" s="66"/>
      <c r="M376" s="66"/>
      <c r="N376" s="66"/>
    </row>
    <row r="377" spans="1:14" x14ac:dyDescent="0.2">
      <c r="A377" s="84"/>
      <c r="B377" s="84"/>
      <c r="C377" s="60"/>
      <c r="D377" s="66"/>
      <c r="E377" s="66"/>
      <c r="F377" s="66"/>
      <c r="G377" s="66"/>
      <c r="H377" s="66"/>
      <c r="I377" s="66"/>
      <c r="J377" s="66"/>
      <c r="K377" s="66"/>
      <c r="L377" s="66"/>
      <c r="M377" s="66"/>
      <c r="N377" s="66"/>
    </row>
    <row r="378" spans="1:14" x14ac:dyDescent="0.2">
      <c r="A378" s="84"/>
      <c r="B378" s="84"/>
      <c r="C378" s="60"/>
      <c r="D378" s="66"/>
      <c r="E378" s="66"/>
      <c r="F378" s="66"/>
      <c r="G378" s="66"/>
      <c r="H378" s="66"/>
      <c r="I378" s="66"/>
      <c r="J378" s="66"/>
      <c r="K378" s="66"/>
      <c r="L378" s="66"/>
      <c r="M378" s="66"/>
      <c r="N378" s="66"/>
    </row>
    <row r="379" spans="1:14" x14ac:dyDescent="0.2">
      <c r="A379" s="84"/>
      <c r="B379" s="84"/>
      <c r="C379" s="60"/>
      <c r="D379" s="66"/>
      <c r="E379" s="66"/>
      <c r="F379" s="66"/>
      <c r="G379" s="66"/>
      <c r="H379" s="66"/>
      <c r="I379" s="66"/>
      <c r="J379" s="66"/>
      <c r="K379" s="66"/>
      <c r="L379" s="66"/>
      <c r="M379" s="66"/>
      <c r="N379" s="66"/>
    </row>
    <row r="380" spans="1:14" x14ac:dyDescent="0.2">
      <c r="A380" s="84"/>
      <c r="B380" s="84"/>
      <c r="C380" s="60"/>
      <c r="D380" s="66"/>
      <c r="E380" s="66"/>
      <c r="F380" s="66"/>
      <c r="G380" s="66"/>
      <c r="H380" s="66"/>
      <c r="I380" s="66"/>
      <c r="J380" s="66"/>
      <c r="K380" s="66"/>
      <c r="L380" s="66"/>
      <c r="M380" s="66"/>
      <c r="N380" s="66"/>
    </row>
    <row r="381" spans="1:14" x14ac:dyDescent="0.2">
      <c r="A381" s="84"/>
      <c r="B381" s="84"/>
      <c r="C381" s="60"/>
      <c r="D381" s="66"/>
      <c r="E381" s="66"/>
      <c r="F381" s="66"/>
      <c r="G381" s="66"/>
      <c r="H381" s="66"/>
      <c r="I381" s="66"/>
      <c r="J381" s="66"/>
      <c r="K381" s="66"/>
      <c r="L381" s="66"/>
      <c r="M381" s="66"/>
      <c r="N381" s="66"/>
    </row>
    <row r="382" spans="1:14" x14ac:dyDescent="0.2">
      <c r="A382" s="84"/>
      <c r="B382" s="84"/>
      <c r="C382" s="60"/>
      <c r="D382" s="66"/>
      <c r="E382" s="66"/>
      <c r="F382" s="66"/>
      <c r="G382" s="66"/>
      <c r="H382" s="66"/>
      <c r="I382" s="66"/>
      <c r="J382" s="66"/>
      <c r="K382" s="66"/>
      <c r="L382" s="66"/>
      <c r="M382" s="66"/>
      <c r="N382" s="66"/>
    </row>
    <row r="383" spans="1:14" x14ac:dyDescent="0.2">
      <c r="A383" s="84"/>
      <c r="B383" s="84"/>
      <c r="C383" s="60"/>
      <c r="D383" s="66"/>
      <c r="E383" s="66"/>
      <c r="F383" s="66"/>
      <c r="G383" s="66"/>
      <c r="H383" s="66"/>
      <c r="I383" s="66"/>
      <c r="J383" s="66"/>
      <c r="K383" s="66"/>
      <c r="L383" s="66"/>
      <c r="M383" s="66"/>
      <c r="N383" s="66"/>
    </row>
    <row r="384" spans="1:14" x14ac:dyDescent="0.2">
      <c r="A384" s="84"/>
      <c r="B384" s="84"/>
      <c r="C384" s="60"/>
      <c r="D384" s="66"/>
      <c r="E384" s="66"/>
      <c r="F384" s="66"/>
      <c r="G384" s="66"/>
      <c r="H384" s="66"/>
      <c r="I384" s="66"/>
      <c r="J384" s="66"/>
      <c r="K384" s="66"/>
      <c r="L384" s="66"/>
      <c r="M384" s="66"/>
      <c r="N384" s="66"/>
    </row>
    <row r="385" spans="1:14" x14ac:dyDescent="0.2">
      <c r="A385" s="84"/>
      <c r="B385" s="84"/>
      <c r="C385" s="60"/>
      <c r="D385" s="66"/>
      <c r="E385" s="66"/>
      <c r="F385" s="66"/>
      <c r="G385" s="66"/>
      <c r="H385" s="66"/>
      <c r="I385" s="66"/>
      <c r="J385" s="66"/>
      <c r="K385" s="66"/>
      <c r="L385" s="66"/>
      <c r="M385" s="66"/>
      <c r="N385" s="66"/>
    </row>
    <row r="386" spans="1:14" x14ac:dyDescent="0.2">
      <c r="A386" s="84"/>
      <c r="B386" s="84"/>
      <c r="C386" s="60"/>
      <c r="D386" s="66"/>
      <c r="E386" s="66"/>
      <c r="F386" s="66"/>
      <c r="G386" s="66"/>
      <c r="H386" s="66"/>
      <c r="I386" s="66"/>
      <c r="J386" s="66"/>
      <c r="K386" s="66"/>
      <c r="L386" s="66"/>
      <c r="M386" s="66"/>
      <c r="N386" s="66"/>
    </row>
    <row r="387" spans="1:14" x14ac:dyDescent="0.2">
      <c r="A387" s="84"/>
      <c r="B387" s="84"/>
      <c r="C387" s="60"/>
      <c r="D387" s="66"/>
      <c r="E387" s="66"/>
      <c r="F387" s="66"/>
      <c r="G387" s="66"/>
      <c r="H387" s="66"/>
      <c r="I387" s="66"/>
      <c r="J387" s="66"/>
      <c r="K387" s="66"/>
      <c r="L387" s="66"/>
      <c r="M387" s="66"/>
      <c r="N387" s="66"/>
    </row>
    <row r="388" spans="1:14" x14ac:dyDescent="0.2">
      <c r="A388" s="84"/>
      <c r="B388" s="84"/>
      <c r="C388" s="60"/>
      <c r="D388" s="66"/>
      <c r="E388" s="66"/>
      <c r="F388" s="66"/>
      <c r="G388" s="66"/>
      <c r="H388" s="66"/>
      <c r="I388" s="66"/>
      <c r="J388" s="66"/>
      <c r="K388" s="66"/>
      <c r="L388" s="66"/>
      <c r="M388" s="66"/>
      <c r="N388" s="66"/>
    </row>
    <row r="389" spans="1:14" x14ac:dyDescent="0.2">
      <c r="A389" s="84"/>
      <c r="B389" s="84"/>
      <c r="C389" s="60"/>
      <c r="D389" s="66"/>
      <c r="E389" s="66"/>
      <c r="F389" s="66"/>
      <c r="G389" s="66"/>
      <c r="H389" s="66"/>
      <c r="I389" s="66"/>
      <c r="J389" s="66"/>
      <c r="K389" s="66"/>
      <c r="L389" s="66"/>
      <c r="M389" s="66"/>
      <c r="N389" s="66"/>
    </row>
    <row r="390" spans="1:14" x14ac:dyDescent="0.2">
      <c r="A390" s="84"/>
      <c r="B390" s="84"/>
      <c r="C390" s="60"/>
      <c r="D390" s="66"/>
      <c r="E390" s="66"/>
      <c r="F390" s="66"/>
      <c r="G390" s="66"/>
      <c r="H390" s="66"/>
      <c r="I390" s="66"/>
      <c r="J390" s="66"/>
      <c r="K390" s="66"/>
      <c r="L390" s="66"/>
      <c r="M390" s="66"/>
      <c r="N390" s="66"/>
    </row>
    <row r="391" spans="1:14" x14ac:dyDescent="0.2">
      <c r="A391" s="84"/>
      <c r="B391" s="84"/>
      <c r="C391" s="60"/>
      <c r="D391" s="66"/>
      <c r="E391" s="66"/>
      <c r="F391" s="66"/>
      <c r="G391" s="66"/>
      <c r="H391" s="66"/>
      <c r="I391" s="66"/>
      <c r="J391" s="66"/>
      <c r="K391" s="66"/>
      <c r="L391" s="66"/>
      <c r="M391" s="66"/>
      <c r="N391" s="66"/>
    </row>
    <row r="392" spans="1:14" x14ac:dyDescent="0.2">
      <c r="A392" s="84"/>
      <c r="B392" s="84"/>
      <c r="C392" s="60"/>
      <c r="D392" s="66"/>
      <c r="E392" s="66"/>
      <c r="F392" s="66"/>
      <c r="G392" s="66"/>
      <c r="H392" s="66"/>
      <c r="I392" s="66"/>
      <c r="J392" s="66"/>
      <c r="K392" s="66"/>
      <c r="L392" s="66"/>
      <c r="M392" s="66"/>
      <c r="N392" s="66"/>
    </row>
    <row r="393" spans="1:14" x14ac:dyDescent="0.2">
      <c r="A393" s="84"/>
      <c r="B393" s="84"/>
      <c r="C393" s="60"/>
      <c r="D393" s="66"/>
      <c r="E393" s="66"/>
      <c r="F393" s="66"/>
      <c r="G393" s="66"/>
      <c r="H393" s="66"/>
      <c r="I393" s="66"/>
      <c r="J393" s="66"/>
      <c r="K393" s="66"/>
      <c r="L393" s="66"/>
      <c r="M393" s="66"/>
      <c r="N393" s="66"/>
    </row>
    <row r="394" spans="1:14" x14ac:dyDescent="0.2">
      <c r="A394" s="84"/>
      <c r="B394" s="84"/>
      <c r="C394" s="60"/>
      <c r="D394" s="66"/>
      <c r="E394" s="66"/>
      <c r="F394" s="66"/>
      <c r="G394" s="66"/>
      <c r="H394" s="66"/>
      <c r="I394" s="66"/>
      <c r="J394" s="66"/>
      <c r="K394" s="66"/>
      <c r="L394" s="66"/>
      <c r="M394" s="66"/>
      <c r="N394" s="66"/>
    </row>
    <row r="395" spans="1:14" x14ac:dyDescent="0.2">
      <c r="A395" s="84"/>
      <c r="B395" s="84"/>
      <c r="C395" s="60"/>
      <c r="D395" s="66"/>
      <c r="E395" s="66"/>
      <c r="F395" s="66"/>
      <c r="G395" s="66"/>
      <c r="H395" s="66"/>
      <c r="I395" s="66"/>
      <c r="J395" s="66"/>
      <c r="K395" s="66"/>
      <c r="L395" s="66"/>
      <c r="M395" s="66"/>
      <c r="N395" s="66"/>
    </row>
    <row r="396" spans="1:14" x14ac:dyDescent="0.2">
      <c r="A396" s="84"/>
      <c r="B396" s="84"/>
      <c r="C396" s="60"/>
      <c r="D396" s="66"/>
      <c r="E396" s="66"/>
      <c r="F396" s="66"/>
      <c r="G396" s="66"/>
      <c r="H396" s="66"/>
      <c r="I396" s="66"/>
      <c r="J396" s="66"/>
      <c r="K396" s="66"/>
      <c r="L396" s="66"/>
      <c r="M396" s="66"/>
      <c r="N396" s="66"/>
    </row>
    <row r="397" spans="1:14" x14ac:dyDescent="0.2">
      <c r="A397" s="84"/>
      <c r="B397" s="84"/>
      <c r="C397" s="60"/>
      <c r="D397" s="66"/>
      <c r="E397" s="66"/>
      <c r="F397" s="66"/>
      <c r="G397" s="66"/>
      <c r="H397" s="66"/>
      <c r="I397" s="66"/>
      <c r="J397" s="66"/>
      <c r="K397" s="66"/>
      <c r="L397" s="66"/>
      <c r="M397" s="66"/>
      <c r="N397" s="66"/>
    </row>
    <row r="398" spans="1:14" x14ac:dyDescent="0.2">
      <c r="A398" s="84"/>
      <c r="B398" s="84"/>
      <c r="C398" s="60"/>
      <c r="D398" s="66"/>
      <c r="E398" s="66"/>
      <c r="F398" s="66"/>
      <c r="G398" s="66"/>
      <c r="H398" s="66"/>
      <c r="I398" s="66"/>
      <c r="J398" s="66"/>
      <c r="K398" s="66"/>
      <c r="L398" s="66"/>
      <c r="M398" s="66"/>
      <c r="N398" s="66"/>
    </row>
    <row r="399" spans="1:14" x14ac:dyDescent="0.2">
      <c r="A399" s="84"/>
      <c r="B399" s="84"/>
      <c r="C399" s="60"/>
      <c r="D399" s="66"/>
      <c r="E399" s="66"/>
      <c r="F399" s="66"/>
      <c r="G399" s="66"/>
      <c r="H399" s="66"/>
      <c r="I399" s="66"/>
      <c r="J399" s="66"/>
      <c r="K399" s="66"/>
      <c r="L399" s="66"/>
      <c r="M399" s="66"/>
      <c r="N399" s="66"/>
    </row>
    <row r="400" spans="1:14" x14ac:dyDescent="0.2">
      <c r="A400" s="84"/>
      <c r="B400" s="84"/>
      <c r="C400" s="60"/>
      <c r="D400" s="66"/>
      <c r="E400" s="66"/>
      <c r="F400" s="66"/>
      <c r="G400" s="66"/>
      <c r="H400" s="66"/>
      <c r="I400" s="66"/>
      <c r="J400" s="66"/>
      <c r="K400" s="66"/>
      <c r="L400" s="66"/>
      <c r="M400" s="66"/>
      <c r="N400" s="66"/>
    </row>
    <row r="401" spans="1:14" x14ac:dyDescent="0.2">
      <c r="A401" s="84"/>
      <c r="B401" s="84"/>
      <c r="C401" s="60"/>
      <c r="D401" s="66"/>
      <c r="E401" s="66"/>
      <c r="F401" s="66"/>
      <c r="G401" s="66"/>
      <c r="H401" s="66"/>
      <c r="I401" s="66"/>
      <c r="J401" s="66"/>
      <c r="K401" s="66"/>
      <c r="L401" s="66"/>
      <c r="M401" s="66"/>
      <c r="N401" s="66"/>
    </row>
    <row r="402" spans="1:14" x14ac:dyDescent="0.2">
      <c r="A402" s="84"/>
      <c r="B402" s="84"/>
      <c r="C402" s="60"/>
      <c r="D402" s="66"/>
      <c r="E402" s="66"/>
      <c r="F402" s="66"/>
      <c r="G402" s="66"/>
      <c r="H402" s="66"/>
      <c r="I402" s="66"/>
      <c r="J402" s="66"/>
      <c r="K402" s="66"/>
      <c r="L402" s="66"/>
      <c r="M402" s="66"/>
      <c r="N402" s="66"/>
    </row>
    <row r="403" spans="1:14" x14ac:dyDescent="0.2">
      <c r="A403" s="84"/>
      <c r="B403" s="84"/>
      <c r="C403" s="60"/>
      <c r="D403" s="66"/>
      <c r="E403" s="66"/>
      <c r="F403" s="66"/>
      <c r="G403" s="66"/>
      <c r="H403" s="66"/>
      <c r="I403" s="66"/>
      <c r="J403" s="66"/>
      <c r="K403" s="66"/>
      <c r="L403" s="66"/>
      <c r="M403" s="66"/>
      <c r="N403" s="66"/>
    </row>
    <row r="404" spans="1:14" x14ac:dyDescent="0.2">
      <c r="A404" s="84"/>
      <c r="B404" s="84"/>
      <c r="C404" s="60"/>
      <c r="D404" s="66"/>
      <c r="E404" s="66"/>
      <c r="F404" s="66"/>
      <c r="G404" s="66"/>
      <c r="H404" s="66"/>
      <c r="I404" s="66"/>
      <c r="J404" s="66"/>
      <c r="K404" s="66"/>
      <c r="L404" s="66"/>
      <c r="M404" s="66"/>
      <c r="N404" s="66"/>
    </row>
    <row r="405" spans="1:14" x14ac:dyDescent="0.2">
      <c r="A405" s="84"/>
      <c r="B405" s="84"/>
      <c r="C405" s="60"/>
      <c r="D405" s="66"/>
      <c r="E405" s="66"/>
      <c r="F405" s="66"/>
      <c r="G405" s="66"/>
      <c r="H405" s="66"/>
      <c r="I405" s="66"/>
      <c r="J405" s="66"/>
      <c r="K405" s="66"/>
      <c r="L405" s="66"/>
      <c r="M405" s="66"/>
      <c r="N405" s="66"/>
    </row>
    <row r="406" spans="1:14" x14ac:dyDescent="0.2">
      <c r="A406" s="84"/>
      <c r="B406" s="84"/>
      <c r="C406" s="60"/>
      <c r="D406" s="66"/>
      <c r="E406" s="66"/>
      <c r="F406" s="66"/>
      <c r="G406" s="66"/>
      <c r="H406" s="66"/>
      <c r="I406" s="66"/>
      <c r="J406" s="66"/>
      <c r="K406" s="66"/>
      <c r="L406" s="66"/>
      <c r="M406" s="66"/>
      <c r="N406" s="66"/>
    </row>
    <row r="407" spans="1:14" x14ac:dyDescent="0.2">
      <c r="A407" s="84"/>
      <c r="B407" s="84"/>
      <c r="C407" s="60"/>
      <c r="D407" s="66"/>
      <c r="E407" s="66"/>
      <c r="F407" s="66"/>
      <c r="G407" s="66"/>
      <c r="H407" s="66"/>
      <c r="I407" s="66"/>
      <c r="J407" s="66"/>
      <c r="K407" s="66"/>
      <c r="L407" s="66"/>
      <c r="M407" s="66"/>
      <c r="N407" s="66"/>
    </row>
    <row r="408" spans="1:14" x14ac:dyDescent="0.2">
      <c r="A408" s="84"/>
      <c r="B408" s="84"/>
      <c r="C408" s="60"/>
      <c r="D408" s="66"/>
      <c r="E408" s="66"/>
      <c r="F408" s="66"/>
      <c r="G408" s="66"/>
      <c r="H408" s="66"/>
      <c r="I408" s="66"/>
      <c r="J408" s="66"/>
      <c r="K408" s="66"/>
      <c r="L408" s="66"/>
      <c r="M408" s="66"/>
      <c r="N408" s="66"/>
    </row>
    <row r="409" spans="1:14" x14ac:dyDescent="0.2">
      <c r="A409" s="84"/>
      <c r="B409" s="84"/>
      <c r="C409" s="60"/>
      <c r="D409" s="66"/>
      <c r="E409" s="66"/>
      <c r="F409" s="66"/>
      <c r="G409" s="66"/>
      <c r="H409" s="66"/>
      <c r="I409" s="66"/>
      <c r="J409" s="66"/>
      <c r="K409" s="66"/>
      <c r="L409" s="66"/>
      <c r="M409" s="66"/>
      <c r="N409" s="66"/>
    </row>
    <row r="410" spans="1:14" x14ac:dyDescent="0.2">
      <c r="A410" s="84"/>
      <c r="B410" s="84"/>
      <c r="C410" s="60"/>
      <c r="D410" s="66"/>
      <c r="E410" s="66"/>
      <c r="F410" s="66"/>
      <c r="G410" s="66"/>
      <c r="H410" s="66"/>
      <c r="I410" s="66"/>
      <c r="J410" s="66"/>
      <c r="K410" s="66"/>
      <c r="L410" s="66"/>
      <c r="M410" s="66"/>
      <c r="N410" s="66"/>
    </row>
    <row r="411" spans="1:14" x14ac:dyDescent="0.2">
      <c r="A411" s="84"/>
      <c r="B411" s="84"/>
      <c r="C411" s="60"/>
      <c r="D411" s="66"/>
      <c r="E411" s="66"/>
      <c r="F411" s="66"/>
      <c r="G411" s="66"/>
      <c r="H411" s="66"/>
      <c r="I411" s="66"/>
      <c r="J411" s="66"/>
      <c r="K411" s="66"/>
      <c r="L411" s="66"/>
      <c r="M411" s="66"/>
      <c r="N411" s="66"/>
    </row>
    <row r="412" spans="1:14" x14ac:dyDescent="0.2">
      <c r="A412" s="84"/>
      <c r="B412" s="84"/>
      <c r="C412" s="60"/>
      <c r="D412" s="66"/>
      <c r="E412" s="66"/>
      <c r="F412" s="66"/>
      <c r="G412" s="66"/>
      <c r="H412" s="66"/>
      <c r="I412" s="66"/>
      <c r="J412" s="66"/>
      <c r="K412" s="66"/>
      <c r="L412" s="66"/>
      <c r="M412" s="66"/>
      <c r="N412" s="66"/>
    </row>
    <row r="413" spans="1:14" x14ac:dyDescent="0.2">
      <c r="A413" s="84"/>
      <c r="B413" s="84"/>
      <c r="C413" s="60"/>
      <c r="D413" s="66"/>
      <c r="E413" s="66"/>
      <c r="F413" s="66"/>
      <c r="G413" s="66"/>
      <c r="H413" s="66"/>
      <c r="I413" s="66"/>
      <c r="J413" s="66"/>
      <c r="K413" s="66"/>
      <c r="L413" s="66"/>
      <c r="M413" s="66"/>
      <c r="N413" s="66"/>
    </row>
    <row r="414" spans="1:14" x14ac:dyDescent="0.2">
      <c r="A414" s="84"/>
      <c r="B414" s="84"/>
      <c r="C414" s="60"/>
      <c r="D414" s="66"/>
      <c r="E414" s="66"/>
      <c r="F414" s="66"/>
      <c r="G414" s="66"/>
      <c r="H414" s="66"/>
      <c r="I414" s="66"/>
      <c r="J414" s="66"/>
      <c r="K414" s="66"/>
      <c r="L414" s="66"/>
      <c r="M414" s="66"/>
      <c r="N414" s="66"/>
    </row>
    <row r="415" spans="1:14" x14ac:dyDescent="0.2">
      <c r="A415" s="84"/>
      <c r="B415" s="84"/>
      <c r="C415" s="60"/>
      <c r="D415" s="66"/>
      <c r="E415" s="66"/>
      <c r="F415" s="66"/>
      <c r="G415" s="66"/>
      <c r="H415" s="66"/>
      <c r="I415" s="66"/>
      <c r="J415" s="66"/>
      <c r="K415" s="66"/>
      <c r="L415" s="66"/>
      <c r="M415" s="66"/>
      <c r="N415" s="66"/>
    </row>
    <row r="416" spans="1:14" x14ac:dyDescent="0.2">
      <c r="A416" s="84"/>
      <c r="B416" s="84"/>
      <c r="C416" s="60"/>
      <c r="D416" s="66"/>
      <c r="E416" s="66"/>
      <c r="F416" s="66"/>
      <c r="G416" s="66"/>
      <c r="H416" s="66"/>
      <c r="I416" s="66"/>
      <c r="J416" s="66"/>
      <c r="K416" s="66"/>
      <c r="L416" s="66"/>
      <c r="M416" s="66"/>
      <c r="N416" s="66"/>
    </row>
    <row r="417" spans="1:14" x14ac:dyDescent="0.2">
      <c r="A417" s="84"/>
      <c r="B417" s="84"/>
      <c r="C417" s="60"/>
      <c r="D417" s="66"/>
      <c r="E417" s="66"/>
      <c r="F417" s="66"/>
      <c r="G417" s="66"/>
      <c r="H417" s="66"/>
      <c r="I417" s="66"/>
      <c r="J417" s="66"/>
      <c r="K417" s="66"/>
      <c r="L417" s="66"/>
      <c r="M417" s="66"/>
      <c r="N417" s="66"/>
    </row>
    <row r="418" spans="1:14" x14ac:dyDescent="0.2">
      <c r="A418" s="84"/>
      <c r="B418" s="84"/>
      <c r="C418" s="60"/>
      <c r="D418" s="66"/>
      <c r="E418" s="66"/>
      <c r="F418" s="66"/>
      <c r="G418" s="66"/>
      <c r="H418" s="66"/>
      <c r="I418" s="66"/>
      <c r="J418" s="66"/>
      <c r="K418" s="66"/>
      <c r="L418" s="66"/>
      <c r="M418" s="66"/>
      <c r="N418" s="66"/>
    </row>
    <row r="419" spans="1:14" x14ac:dyDescent="0.2">
      <c r="A419" s="84"/>
      <c r="B419" s="84"/>
      <c r="C419" s="60"/>
      <c r="D419" s="66"/>
      <c r="E419" s="66"/>
      <c r="F419" s="66"/>
      <c r="G419" s="66"/>
      <c r="H419" s="66"/>
      <c r="I419" s="66"/>
      <c r="J419" s="66"/>
      <c r="K419" s="66"/>
      <c r="L419" s="66"/>
      <c r="M419" s="66"/>
      <c r="N419" s="66"/>
    </row>
    <row r="420" spans="1:14" x14ac:dyDescent="0.2">
      <c r="A420" s="84"/>
      <c r="B420" s="84"/>
      <c r="C420" s="60"/>
      <c r="D420" s="66"/>
      <c r="E420" s="66"/>
      <c r="F420" s="66"/>
      <c r="G420" s="66"/>
      <c r="H420" s="66"/>
      <c r="I420" s="66"/>
      <c r="J420" s="66"/>
      <c r="K420" s="66"/>
      <c r="L420" s="66"/>
      <c r="M420" s="66"/>
      <c r="N420" s="66"/>
    </row>
    <row r="421" spans="1:14" x14ac:dyDescent="0.2">
      <c r="A421" s="84"/>
      <c r="B421" s="84"/>
      <c r="C421" s="60"/>
      <c r="D421" s="66"/>
      <c r="E421" s="66"/>
      <c r="F421" s="66"/>
      <c r="G421" s="66"/>
      <c r="H421" s="66"/>
      <c r="I421" s="66"/>
      <c r="J421" s="66"/>
      <c r="K421" s="66"/>
      <c r="L421" s="66"/>
      <c r="M421" s="66"/>
      <c r="N421" s="66"/>
    </row>
    <row r="422" spans="1:14" x14ac:dyDescent="0.2">
      <c r="A422" s="84"/>
      <c r="B422" s="84"/>
      <c r="C422" s="60"/>
      <c r="D422" s="66"/>
      <c r="E422" s="66"/>
      <c r="F422" s="66"/>
      <c r="G422" s="66"/>
      <c r="H422" s="66"/>
      <c r="I422" s="66"/>
      <c r="J422" s="66"/>
      <c r="K422" s="66"/>
      <c r="L422" s="66"/>
      <c r="M422" s="66"/>
      <c r="N422" s="66"/>
    </row>
    <row r="423" spans="1:14" x14ac:dyDescent="0.2">
      <c r="A423" s="84"/>
      <c r="B423" s="84"/>
      <c r="C423" s="60"/>
      <c r="D423" s="66"/>
      <c r="E423" s="66"/>
      <c r="F423" s="66"/>
      <c r="G423" s="66"/>
      <c r="H423" s="66"/>
      <c r="I423" s="66"/>
      <c r="J423" s="66"/>
      <c r="K423" s="66"/>
      <c r="L423" s="66"/>
      <c r="M423" s="66"/>
      <c r="N423" s="66"/>
    </row>
    <row r="424" spans="1:14" x14ac:dyDescent="0.2">
      <c r="A424" s="84"/>
      <c r="B424" s="84"/>
      <c r="C424" s="60"/>
      <c r="D424" s="66"/>
      <c r="E424" s="66"/>
      <c r="F424" s="66"/>
      <c r="G424" s="66"/>
      <c r="H424" s="66"/>
      <c r="I424" s="66"/>
      <c r="J424" s="66"/>
      <c r="K424" s="66"/>
      <c r="L424" s="66"/>
      <c r="M424" s="66"/>
      <c r="N424" s="66"/>
    </row>
    <row r="425" spans="1:14" x14ac:dyDescent="0.2">
      <c r="A425" s="84"/>
      <c r="B425" s="84"/>
      <c r="C425" s="60"/>
      <c r="D425" s="66"/>
      <c r="E425" s="66"/>
      <c r="F425" s="66"/>
      <c r="G425" s="66"/>
      <c r="H425" s="66"/>
      <c r="I425" s="66"/>
      <c r="J425" s="66"/>
      <c r="K425" s="66"/>
      <c r="L425" s="66"/>
      <c r="M425" s="66"/>
      <c r="N425" s="66"/>
    </row>
    <row r="426" spans="1:14" x14ac:dyDescent="0.2">
      <c r="A426" s="84"/>
      <c r="B426" s="84"/>
      <c r="C426" s="60"/>
      <c r="D426" s="66"/>
      <c r="E426" s="66"/>
      <c r="F426" s="66"/>
      <c r="G426" s="66"/>
      <c r="H426" s="66"/>
      <c r="I426" s="66"/>
      <c r="J426" s="66"/>
      <c r="K426" s="66"/>
      <c r="L426" s="66"/>
      <c r="M426" s="66"/>
      <c r="N426" s="66"/>
    </row>
    <row r="427" spans="1:14" x14ac:dyDescent="0.2">
      <c r="A427" s="84"/>
      <c r="B427" s="84"/>
      <c r="C427" s="60"/>
      <c r="D427" s="66"/>
      <c r="E427" s="66"/>
      <c r="F427" s="66"/>
      <c r="G427" s="66"/>
      <c r="H427" s="66"/>
      <c r="I427" s="66"/>
      <c r="J427" s="66"/>
      <c r="K427" s="66"/>
      <c r="L427" s="66"/>
      <c r="M427" s="66"/>
      <c r="N427" s="66"/>
    </row>
    <row r="428" spans="1:14" x14ac:dyDescent="0.2">
      <c r="A428" s="84"/>
      <c r="B428" s="84"/>
      <c r="C428" s="60"/>
      <c r="D428" s="66"/>
      <c r="E428" s="66"/>
      <c r="F428" s="66"/>
      <c r="G428" s="66"/>
      <c r="H428" s="66"/>
      <c r="I428" s="66"/>
      <c r="J428" s="66"/>
      <c r="K428" s="66"/>
      <c r="L428" s="66"/>
      <c r="M428" s="66"/>
      <c r="N428" s="66"/>
    </row>
    <row r="429" spans="1:14" x14ac:dyDescent="0.2">
      <c r="A429" s="84"/>
      <c r="B429" s="84"/>
      <c r="C429" s="60"/>
      <c r="D429" s="66"/>
      <c r="E429" s="66"/>
      <c r="F429" s="66"/>
      <c r="G429" s="66"/>
      <c r="H429" s="66"/>
      <c r="I429" s="66"/>
      <c r="J429" s="66"/>
      <c r="K429" s="66"/>
      <c r="L429" s="66"/>
      <c r="M429" s="66"/>
      <c r="N429" s="66"/>
    </row>
    <row r="430" spans="1:14" x14ac:dyDescent="0.2">
      <c r="A430" s="84"/>
      <c r="B430" s="84"/>
      <c r="C430" s="60"/>
      <c r="D430" s="66"/>
      <c r="E430" s="66"/>
      <c r="F430" s="66"/>
      <c r="G430" s="66"/>
      <c r="H430" s="66"/>
      <c r="I430" s="66"/>
      <c r="J430" s="66"/>
      <c r="K430" s="66"/>
      <c r="L430" s="66"/>
      <c r="M430" s="66"/>
      <c r="N430" s="66"/>
    </row>
    <row r="431" spans="1:14" x14ac:dyDescent="0.2">
      <c r="A431" s="84"/>
      <c r="B431" s="84"/>
      <c r="C431" s="60"/>
      <c r="D431" s="66"/>
      <c r="E431" s="66"/>
      <c r="F431" s="66"/>
      <c r="G431" s="66"/>
      <c r="H431" s="66"/>
      <c r="I431" s="66"/>
      <c r="J431" s="66"/>
      <c r="K431" s="66"/>
      <c r="L431" s="66"/>
      <c r="M431" s="66"/>
      <c r="N431" s="66"/>
    </row>
    <row r="432" spans="1:14" x14ac:dyDescent="0.2">
      <c r="A432" s="84"/>
      <c r="B432" s="84"/>
      <c r="C432" s="60"/>
      <c r="D432" s="66"/>
      <c r="E432" s="66"/>
      <c r="F432" s="66"/>
      <c r="G432" s="66"/>
      <c r="H432" s="66"/>
      <c r="I432" s="66"/>
      <c r="J432" s="66"/>
      <c r="K432" s="66"/>
      <c r="L432" s="66"/>
      <c r="M432" s="66"/>
      <c r="N432" s="66"/>
    </row>
    <row r="433" spans="1:14" x14ac:dyDescent="0.2">
      <c r="A433" s="84"/>
      <c r="B433" s="84"/>
      <c r="C433" s="60"/>
      <c r="D433" s="66"/>
      <c r="E433" s="66"/>
      <c r="F433" s="66"/>
      <c r="G433" s="66"/>
      <c r="H433" s="66"/>
      <c r="I433" s="66"/>
      <c r="J433" s="66"/>
      <c r="K433" s="66"/>
      <c r="L433" s="66"/>
      <c r="M433" s="66"/>
      <c r="N433" s="66"/>
    </row>
    <row r="434" spans="1:14" x14ac:dyDescent="0.2">
      <c r="A434" s="84"/>
      <c r="B434" s="84"/>
      <c r="C434" s="60"/>
      <c r="D434" s="66"/>
      <c r="E434" s="66"/>
      <c r="F434" s="66"/>
      <c r="G434" s="66"/>
      <c r="H434" s="66"/>
      <c r="I434" s="66"/>
      <c r="J434" s="66"/>
      <c r="K434" s="66"/>
      <c r="L434" s="66"/>
      <c r="M434" s="66"/>
      <c r="N434" s="66"/>
    </row>
    <row r="435" spans="1:14" x14ac:dyDescent="0.2">
      <c r="A435" s="84"/>
      <c r="B435" s="84"/>
      <c r="C435" s="60"/>
      <c r="D435" s="66"/>
      <c r="E435" s="66"/>
      <c r="F435" s="66"/>
      <c r="G435" s="66"/>
      <c r="H435" s="66"/>
      <c r="I435" s="66"/>
      <c r="J435" s="66"/>
      <c r="K435" s="66"/>
      <c r="L435" s="66"/>
      <c r="M435" s="66"/>
      <c r="N435" s="66"/>
    </row>
    <row r="436" spans="1:14" x14ac:dyDescent="0.2">
      <c r="A436" s="84"/>
      <c r="B436" s="84"/>
      <c r="C436" s="60"/>
      <c r="D436" s="66"/>
      <c r="E436" s="66"/>
      <c r="F436" s="66"/>
      <c r="G436" s="66"/>
      <c r="H436" s="66"/>
      <c r="I436" s="66"/>
      <c r="J436" s="66"/>
      <c r="K436" s="66"/>
      <c r="L436" s="66"/>
      <c r="M436" s="66"/>
      <c r="N436" s="66"/>
    </row>
    <row r="437" spans="1:14" x14ac:dyDescent="0.2">
      <c r="A437" s="84"/>
      <c r="B437" s="84"/>
      <c r="C437" s="60"/>
      <c r="D437" s="66"/>
      <c r="E437" s="66"/>
      <c r="F437" s="66"/>
      <c r="G437" s="66"/>
      <c r="H437" s="66"/>
      <c r="I437" s="66"/>
      <c r="J437" s="66"/>
      <c r="K437" s="66"/>
      <c r="L437" s="66"/>
      <c r="M437" s="66"/>
      <c r="N437" s="66"/>
    </row>
    <row r="438" spans="1:14" x14ac:dyDescent="0.2">
      <c r="A438" s="84"/>
      <c r="B438" s="84"/>
      <c r="C438" s="60"/>
      <c r="D438" s="66"/>
      <c r="E438" s="66"/>
      <c r="F438" s="66"/>
      <c r="G438" s="66"/>
      <c r="H438" s="66"/>
      <c r="I438" s="66"/>
      <c r="J438" s="66"/>
      <c r="K438" s="66"/>
      <c r="L438" s="66"/>
      <c r="M438" s="66"/>
      <c r="N438" s="66"/>
    </row>
    <row r="439" spans="1:14" x14ac:dyDescent="0.2">
      <c r="A439" s="84"/>
      <c r="B439" s="84"/>
      <c r="C439" s="60"/>
      <c r="D439" s="66"/>
      <c r="E439" s="66"/>
      <c r="F439" s="66"/>
      <c r="G439" s="66"/>
      <c r="H439" s="66"/>
      <c r="I439" s="66"/>
      <c r="J439" s="66"/>
      <c r="K439" s="66"/>
      <c r="L439" s="66"/>
      <c r="M439" s="66"/>
      <c r="N439" s="66"/>
    </row>
    <row r="440" spans="1:14" x14ac:dyDescent="0.2">
      <c r="A440" s="84"/>
      <c r="B440" s="84"/>
      <c r="C440" s="60"/>
      <c r="D440" s="66"/>
      <c r="E440" s="66"/>
      <c r="F440" s="66"/>
      <c r="G440" s="66"/>
      <c r="H440" s="66"/>
      <c r="I440" s="66"/>
      <c r="J440" s="66"/>
      <c r="K440" s="66"/>
      <c r="L440" s="66"/>
      <c r="M440" s="66"/>
      <c r="N440" s="66"/>
    </row>
    <row r="441" spans="1:14" x14ac:dyDescent="0.2">
      <c r="A441" s="84"/>
      <c r="B441" s="84"/>
      <c r="C441" s="60"/>
      <c r="D441" s="66"/>
      <c r="E441" s="66"/>
      <c r="F441" s="66"/>
      <c r="G441" s="66"/>
      <c r="H441" s="66"/>
      <c r="I441" s="66"/>
      <c r="J441" s="66"/>
      <c r="K441" s="66"/>
      <c r="L441" s="66"/>
      <c r="M441" s="66"/>
      <c r="N441" s="66"/>
    </row>
    <row r="442" spans="1:14" x14ac:dyDescent="0.2">
      <c r="A442" s="84"/>
      <c r="B442" s="84"/>
      <c r="C442" s="60"/>
      <c r="D442" s="66"/>
      <c r="E442" s="66"/>
      <c r="F442" s="66"/>
      <c r="G442" s="66"/>
      <c r="H442" s="66"/>
      <c r="I442" s="66"/>
      <c r="J442" s="66"/>
      <c r="K442" s="66"/>
      <c r="L442" s="66"/>
      <c r="M442" s="66"/>
      <c r="N442" s="66"/>
    </row>
    <row r="443" spans="1:14" x14ac:dyDescent="0.2">
      <c r="A443" s="84"/>
      <c r="B443" s="84"/>
      <c r="C443" s="60"/>
      <c r="D443" s="66"/>
      <c r="E443" s="66"/>
      <c r="F443" s="66"/>
      <c r="G443" s="66"/>
      <c r="H443" s="66"/>
      <c r="I443" s="66"/>
      <c r="J443" s="66"/>
      <c r="K443" s="66"/>
      <c r="L443" s="66"/>
      <c r="M443" s="66"/>
      <c r="N443" s="66"/>
    </row>
    <row r="444" spans="1:14" x14ac:dyDescent="0.2">
      <c r="A444" s="84"/>
      <c r="B444" s="84"/>
      <c r="C444" s="60"/>
      <c r="D444" s="66"/>
      <c r="E444" s="66"/>
      <c r="F444" s="66"/>
      <c r="G444" s="66"/>
      <c r="H444" s="66"/>
      <c r="I444" s="66"/>
      <c r="J444" s="66"/>
      <c r="K444" s="66"/>
      <c r="L444" s="66"/>
      <c r="M444" s="66"/>
      <c r="N444" s="66"/>
    </row>
    <row r="445" spans="1:14" x14ac:dyDescent="0.2">
      <c r="A445" s="84"/>
      <c r="B445" s="84"/>
      <c r="C445" s="60"/>
      <c r="D445" s="66"/>
      <c r="E445" s="66"/>
      <c r="F445" s="66"/>
      <c r="G445" s="66"/>
      <c r="H445" s="66"/>
      <c r="I445" s="66"/>
      <c r="J445" s="66"/>
      <c r="K445" s="66"/>
      <c r="L445" s="66"/>
      <c r="M445" s="66"/>
      <c r="N445" s="66"/>
    </row>
    <row r="446" spans="1:14" x14ac:dyDescent="0.2">
      <c r="A446" s="84"/>
      <c r="B446" s="84"/>
      <c r="C446" s="60"/>
      <c r="D446" s="66"/>
      <c r="E446" s="66"/>
      <c r="F446" s="66"/>
      <c r="G446" s="66"/>
      <c r="H446" s="66"/>
      <c r="I446" s="66"/>
      <c r="J446" s="66"/>
      <c r="K446" s="66"/>
      <c r="L446" s="66"/>
      <c r="M446" s="66"/>
      <c r="N446" s="66"/>
    </row>
    <row r="447" spans="1:14" x14ac:dyDescent="0.2">
      <c r="A447" s="84"/>
      <c r="B447" s="84"/>
      <c r="C447" s="60"/>
      <c r="D447" s="66"/>
      <c r="E447" s="66"/>
      <c r="F447" s="66"/>
      <c r="G447" s="66"/>
      <c r="H447" s="66"/>
      <c r="I447" s="66"/>
      <c r="J447" s="66"/>
      <c r="K447" s="66"/>
      <c r="L447" s="66"/>
      <c r="M447" s="66"/>
      <c r="N447" s="66"/>
    </row>
    <row r="448" spans="1:14" x14ac:dyDescent="0.2">
      <c r="A448" s="84"/>
      <c r="B448" s="84"/>
      <c r="C448" s="60"/>
      <c r="D448" s="66"/>
      <c r="E448" s="66"/>
      <c r="F448" s="66"/>
      <c r="G448" s="66"/>
      <c r="H448" s="66"/>
      <c r="I448" s="66"/>
      <c r="J448" s="66"/>
      <c r="K448" s="66"/>
      <c r="L448" s="66"/>
      <c r="M448" s="66"/>
      <c r="N448" s="66"/>
    </row>
    <row r="449" spans="1:14" x14ac:dyDescent="0.2">
      <c r="A449" s="84"/>
      <c r="B449" s="84"/>
      <c r="C449" s="60"/>
      <c r="D449" s="66"/>
      <c r="E449" s="66"/>
      <c r="F449" s="66"/>
      <c r="G449" s="66"/>
      <c r="H449" s="66"/>
      <c r="I449" s="66"/>
      <c r="J449" s="66"/>
      <c r="K449" s="66"/>
      <c r="L449" s="66"/>
      <c r="M449" s="66"/>
      <c r="N449" s="66"/>
    </row>
    <row r="450" spans="1:14" x14ac:dyDescent="0.2">
      <c r="A450" s="84"/>
      <c r="B450" s="84"/>
      <c r="C450" s="60"/>
      <c r="D450" s="66"/>
      <c r="E450" s="66"/>
      <c r="F450" s="66"/>
      <c r="G450" s="66"/>
      <c r="H450" s="66"/>
      <c r="I450" s="66"/>
      <c r="J450" s="66"/>
      <c r="K450" s="66"/>
      <c r="L450" s="66"/>
      <c r="M450" s="66"/>
      <c r="N450" s="66"/>
    </row>
    <row r="451" spans="1:14" x14ac:dyDescent="0.2">
      <c r="A451" s="84"/>
      <c r="B451" s="84"/>
      <c r="C451" s="60"/>
      <c r="D451" s="66"/>
      <c r="E451" s="66"/>
      <c r="F451" s="66"/>
      <c r="G451" s="66"/>
      <c r="H451" s="66"/>
      <c r="I451" s="66"/>
      <c r="J451" s="66"/>
      <c r="K451" s="66"/>
      <c r="L451" s="66"/>
      <c r="M451" s="66"/>
      <c r="N451" s="66"/>
    </row>
    <row r="452" spans="1:14" x14ac:dyDescent="0.2">
      <c r="A452" s="84"/>
      <c r="B452" s="84"/>
      <c r="C452" s="60"/>
      <c r="D452" s="66"/>
      <c r="E452" s="66"/>
      <c r="F452" s="66"/>
      <c r="G452" s="66"/>
      <c r="H452" s="66"/>
      <c r="I452" s="66"/>
      <c r="J452" s="66"/>
      <c r="K452" s="66"/>
      <c r="L452" s="66"/>
      <c r="M452" s="66"/>
      <c r="N452" s="66"/>
    </row>
    <row r="453" spans="1:14" x14ac:dyDescent="0.2">
      <c r="A453" s="84"/>
      <c r="B453" s="84"/>
      <c r="C453" s="60"/>
      <c r="D453" s="66"/>
      <c r="E453" s="66"/>
      <c r="F453" s="66"/>
      <c r="G453" s="66"/>
      <c r="H453" s="66"/>
      <c r="I453" s="66"/>
      <c r="J453" s="66"/>
      <c r="K453" s="66"/>
      <c r="L453" s="66"/>
      <c r="M453" s="66"/>
      <c r="N453" s="66"/>
    </row>
    <row r="454" spans="1:14" x14ac:dyDescent="0.2">
      <c r="A454" s="84"/>
      <c r="B454" s="84"/>
      <c r="C454" s="60"/>
      <c r="D454" s="66"/>
      <c r="E454" s="66"/>
      <c r="F454" s="66"/>
      <c r="G454" s="66"/>
      <c r="H454" s="66"/>
      <c r="I454" s="66"/>
      <c r="J454" s="66"/>
      <c r="K454" s="66"/>
      <c r="L454" s="66"/>
      <c r="M454" s="66"/>
      <c r="N454" s="66"/>
    </row>
    <row r="455" spans="1:14" x14ac:dyDescent="0.2">
      <c r="A455" s="84"/>
      <c r="B455" s="84"/>
      <c r="C455" s="60"/>
      <c r="D455" s="66"/>
      <c r="E455" s="66"/>
      <c r="F455" s="66"/>
      <c r="G455" s="66"/>
      <c r="H455" s="66"/>
      <c r="I455" s="66"/>
      <c r="J455" s="66"/>
      <c r="K455" s="66"/>
      <c r="L455" s="66"/>
      <c r="M455" s="66"/>
      <c r="N455" s="66"/>
    </row>
    <row r="456" spans="1:14" x14ac:dyDescent="0.2">
      <c r="A456" s="84"/>
      <c r="B456" s="84"/>
      <c r="C456" s="60"/>
      <c r="D456" s="66"/>
      <c r="E456" s="66"/>
      <c r="F456" s="66"/>
      <c r="G456" s="66"/>
      <c r="H456" s="66"/>
      <c r="I456" s="66"/>
      <c r="J456" s="66"/>
      <c r="K456" s="66"/>
      <c r="L456" s="66"/>
      <c r="M456" s="66"/>
      <c r="N456" s="66"/>
    </row>
    <row r="457" spans="1:14" x14ac:dyDescent="0.2">
      <c r="A457" s="84"/>
      <c r="B457" s="84"/>
      <c r="C457" s="60"/>
      <c r="D457" s="66"/>
      <c r="E457" s="66"/>
      <c r="F457" s="66"/>
      <c r="G457" s="66"/>
      <c r="H457" s="66"/>
      <c r="I457" s="66"/>
      <c r="J457" s="66"/>
      <c r="K457" s="66"/>
      <c r="L457" s="66"/>
      <c r="M457" s="66"/>
      <c r="N457" s="66"/>
    </row>
    <row r="458" spans="1:14" x14ac:dyDescent="0.2">
      <c r="A458" s="84"/>
      <c r="B458" s="84"/>
      <c r="C458" s="60"/>
      <c r="D458" s="66"/>
      <c r="E458" s="66"/>
      <c r="F458" s="66"/>
      <c r="G458" s="66"/>
      <c r="H458" s="66"/>
      <c r="I458" s="66"/>
      <c r="J458" s="66"/>
      <c r="K458" s="66"/>
      <c r="L458" s="66"/>
      <c r="M458" s="66"/>
      <c r="N458" s="66"/>
    </row>
    <row r="459" spans="1:14" x14ac:dyDescent="0.2">
      <c r="A459" s="84"/>
      <c r="B459" s="84"/>
      <c r="C459" s="60"/>
      <c r="D459" s="66"/>
      <c r="E459" s="66"/>
      <c r="F459" s="66"/>
      <c r="G459" s="66"/>
      <c r="H459" s="66"/>
      <c r="I459" s="66"/>
      <c r="J459" s="66"/>
      <c r="K459" s="66"/>
      <c r="L459" s="66"/>
      <c r="M459" s="66"/>
      <c r="N459" s="66"/>
    </row>
    <row r="460" spans="1:14" x14ac:dyDescent="0.2">
      <c r="A460" s="84"/>
      <c r="B460" s="84"/>
      <c r="C460" s="60"/>
      <c r="D460" s="66"/>
      <c r="E460" s="66"/>
      <c r="F460" s="66"/>
      <c r="G460" s="66"/>
      <c r="H460" s="66"/>
      <c r="I460" s="66"/>
      <c r="J460" s="66"/>
      <c r="K460" s="66"/>
      <c r="L460" s="66"/>
      <c r="M460" s="66"/>
      <c r="N460" s="66"/>
    </row>
    <row r="461" spans="1:14" x14ac:dyDescent="0.2">
      <c r="A461" s="84"/>
      <c r="B461" s="84"/>
      <c r="C461" s="60"/>
      <c r="D461" s="66"/>
      <c r="E461" s="66"/>
      <c r="F461" s="66"/>
      <c r="G461" s="66"/>
      <c r="H461" s="66"/>
      <c r="I461" s="66"/>
      <c r="J461" s="66"/>
      <c r="K461" s="66"/>
      <c r="L461" s="66"/>
      <c r="M461" s="66"/>
      <c r="N461" s="66"/>
    </row>
    <row r="462" spans="1:14" x14ac:dyDescent="0.2">
      <c r="A462" s="84"/>
      <c r="B462" s="84"/>
      <c r="C462" s="60"/>
      <c r="D462" s="66"/>
      <c r="E462" s="66"/>
      <c r="F462" s="66"/>
      <c r="G462" s="66"/>
      <c r="H462" s="66"/>
      <c r="I462" s="66"/>
      <c r="J462" s="66"/>
      <c r="K462" s="66"/>
      <c r="L462" s="66"/>
      <c r="M462" s="66"/>
      <c r="N462" s="66"/>
    </row>
    <row r="463" spans="1:14" x14ac:dyDescent="0.2">
      <c r="A463" s="84"/>
      <c r="B463" s="84"/>
      <c r="C463" s="60"/>
      <c r="D463" s="66"/>
      <c r="E463" s="66"/>
      <c r="F463" s="66"/>
      <c r="G463" s="66"/>
      <c r="H463" s="66"/>
      <c r="I463" s="66"/>
      <c r="J463" s="66"/>
      <c r="K463" s="66"/>
      <c r="L463" s="66"/>
      <c r="M463" s="66"/>
      <c r="N463" s="66"/>
    </row>
    <row r="464" spans="1:14" x14ac:dyDescent="0.2">
      <c r="A464" s="84"/>
      <c r="B464" s="84"/>
      <c r="C464" s="60"/>
      <c r="D464" s="66"/>
      <c r="E464" s="66"/>
      <c r="F464" s="66"/>
      <c r="G464" s="66"/>
      <c r="H464" s="66"/>
      <c r="I464" s="66"/>
      <c r="J464" s="66"/>
      <c r="K464" s="66"/>
      <c r="L464" s="66"/>
      <c r="M464" s="66"/>
      <c r="N464" s="66"/>
    </row>
    <row r="465" spans="1:14" x14ac:dyDescent="0.2">
      <c r="A465" s="84"/>
      <c r="B465" s="84"/>
      <c r="C465" s="60"/>
      <c r="D465" s="66"/>
      <c r="E465" s="66"/>
      <c r="F465" s="66"/>
      <c r="G465" s="66"/>
      <c r="H465" s="66"/>
      <c r="I465" s="66"/>
      <c r="J465" s="66"/>
      <c r="K465" s="66"/>
      <c r="L465" s="66"/>
      <c r="M465" s="66"/>
      <c r="N465" s="66"/>
    </row>
    <row r="466" spans="1:14" x14ac:dyDescent="0.2">
      <c r="A466" s="84"/>
      <c r="B466" s="84"/>
      <c r="C466" s="60"/>
      <c r="D466" s="66"/>
      <c r="E466" s="66"/>
      <c r="F466" s="66"/>
      <c r="G466" s="66"/>
      <c r="H466" s="66"/>
      <c r="I466" s="66"/>
      <c r="J466" s="66"/>
      <c r="K466" s="66"/>
      <c r="L466" s="66"/>
      <c r="M466" s="66"/>
      <c r="N466" s="66"/>
    </row>
    <row r="467" spans="1:14" x14ac:dyDescent="0.2">
      <c r="A467" s="84"/>
      <c r="B467" s="84"/>
      <c r="C467" s="60"/>
      <c r="D467" s="66"/>
      <c r="E467" s="66"/>
      <c r="F467" s="66"/>
      <c r="G467" s="66"/>
      <c r="H467" s="66"/>
      <c r="I467" s="66"/>
      <c r="J467" s="66"/>
      <c r="K467" s="66"/>
      <c r="L467" s="66"/>
      <c r="M467" s="66"/>
      <c r="N467" s="66"/>
    </row>
    <row r="468" spans="1:14" x14ac:dyDescent="0.2">
      <c r="A468" s="84"/>
      <c r="B468" s="84"/>
      <c r="C468" s="60"/>
      <c r="D468" s="66"/>
      <c r="E468" s="66"/>
      <c r="F468" s="66"/>
      <c r="G468" s="66"/>
      <c r="H468" s="66"/>
      <c r="I468" s="66"/>
      <c r="J468" s="66"/>
      <c r="K468" s="66"/>
      <c r="L468" s="66"/>
      <c r="M468" s="66"/>
      <c r="N468" s="66"/>
    </row>
    <row r="469" spans="1:14" x14ac:dyDescent="0.2">
      <c r="A469" s="84"/>
      <c r="B469" s="84"/>
      <c r="C469" s="60"/>
      <c r="D469" s="66"/>
      <c r="E469" s="66"/>
      <c r="F469" s="66"/>
      <c r="G469" s="66"/>
      <c r="H469" s="66"/>
      <c r="I469" s="66"/>
      <c r="J469" s="66"/>
      <c r="K469" s="66"/>
      <c r="L469" s="66"/>
      <c r="M469" s="66"/>
      <c r="N469" s="66"/>
    </row>
    <row r="470" spans="1:14" x14ac:dyDescent="0.2">
      <c r="A470" s="84"/>
      <c r="B470" s="84"/>
      <c r="C470" s="60"/>
      <c r="D470" s="66"/>
      <c r="E470" s="66"/>
      <c r="F470" s="66"/>
      <c r="G470" s="66"/>
      <c r="H470" s="66"/>
      <c r="I470" s="66"/>
      <c r="J470" s="66"/>
      <c r="K470" s="66"/>
      <c r="L470" s="66"/>
      <c r="M470" s="66"/>
      <c r="N470" s="66"/>
    </row>
    <row r="471" spans="1:14" x14ac:dyDescent="0.2">
      <c r="A471" s="84"/>
      <c r="B471" s="84"/>
      <c r="C471" s="60"/>
      <c r="D471" s="66"/>
      <c r="E471" s="66"/>
      <c r="F471" s="66"/>
      <c r="G471" s="66"/>
      <c r="H471" s="66"/>
      <c r="I471" s="66"/>
      <c r="J471" s="66"/>
      <c r="K471" s="66"/>
      <c r="L471" s="66"/>
      <c r="M471" s="66"/>
      <c r="N471" s="66"/>
    </row>
    <row r="472" spans="1:14" x14ac:dyDescent="0.2">
      <c r="A472" s="84"/>
      <c r="B472" s="84"/>
      <c r="C472" s="60"/>
      <c r="D472" s="66"/>
      <c r="E472" s="66"/>
      <c r="F472" s="66"/>
      <c r="G472" s="66"/>
      <c r="H472" s="66"/>
      <c r="I472" s="66"/>
      <c r="J472" s="66"/>
      <c r="K472" s="66"/>
      <c r="L472" s="66"/>
      <c r="M472" s="66"/>
      <c r="N472" s="66"/>
    </row>
    <row r="473" spans="1:14" x14ac:dyDescent="0.2">
      <c r="A473" s="84"/>
      <c r="B473" s="84"/>
      <c r="C473" s="60"/>
      <c r="D473" s="66"/>
      <c r="E473" s="66"/>
      <c r="F473" s="66"/>
      <c r="G473" s="66"/>
      <c r="H473" s="66"/>
      <c r="I473" s="66"/>
      <c r="J473" s="66"/>
      <c r="K473" s="66"/>
      <c r="L473" s="66"/>
      <c r="M473" s="66"/>
      <c r="N473" s="66"/>
    </row>
    <row r="474" spans="1:14" x14ac:dyDescent="0.2">
      <c r="A474" s="84"/>
      <c r="B474" s="84"/>
      <c r="C474" s="60"/>
      <c r="D474" s="66"/>
      <c r="E474" s="66"/>
      <c r="F474" s="66"/>
      <c r="G474" s="66"/>
      <c r="H474" s="66"/>
      <c r="I474" s="66"/>
      <c r="J474" s="66"/>
      <c r="K474" s="66"/>
      <c r="L474" s="66"/>
      <c r="M474" s="66"/>
      <c r="N474" s="66"/>
    </row>
    <row r="475" spans="1:14" x14ac:dyDescent="0.2">
      <c r="A475" s="84"/>
      <c r="B475" s="84"/>
      <c r="C475" s="60"/>
      <c r="D475" s="66"/>
      <c r="E475" s="66"/>
      <c r="F475" s="66"/>
      <c r="G475" s="66"/>
      <c r="H475" s="66"/>
      <c r="I475" s="66"/>
      <c r="J475" s="66"/>
      <c r="K475" s="66"/>
      <c r="L475" s="66"/>
      <c r="M475" s="66"/>
      <c r="N475" s="66"/>
    </row>
    <row r="476" spans="1:14" x14ac:dyDescent="0.2">
      <c r="A476" s="84"/>
      <c r="B476" s="84"/>
      <c r="C476" s="60"/>
      <c r="D476" s="66"/>
      <c r="E476" s="66"/>
      <c r="F476" s="66"/>
      <c r="G476" s="66"/>
      <c r="H476" s="66"/>
      <c r="I476" s="66"/>
      <c r="J476" s="66"/>
      <c r="K476" s="66"/>
      <c r="L476" s="66"/>
      <c r="M476" s="66"/>
      <c r="N476" s="66"/>
    </row>
    <row r="477" spans="1:14" x14ac:dyDescent="0.2">
      <c r="A477" s="84"/>
      <c r="B477" s="84"/>
      <c r="C477" s="60"/>
      <c r="D477" s="66"/>
      <c r="E477" s="66"/>
      <c r="F477" s="66"/>
      <c r="G477" s="66"/>
      <c r="H477" s="66"/>
      <c r="I477" s="66"/>
      <c r="J477" s="66"/>
      <c r="K477" s="66"/>
      <c r="L477" s="66"/>
      <c r="M477" s="66"/>
      <c r="N477" s="66"/>
    </row>
    <row r="478" spans="1:14" x14ac:dyDescent="0.2">
      <c r="A478" s="84"/>
      <c r="B478" s="84"/>
      <c r="C478" s="60"/>
      <c r="D478" s="66"/>
      <c r="E478" s="66"/>
      <c r="F478" s="66"/>
      <c r="G478" s="66"/>
      <c r="H478" s="66"/>
      <c r="I478" s="66"/>
      <c r="J478" s="66"/>
      <c r="K478" s="66"/>
      <c r="L478" s="66"/>
      <c r="M478" s="66"/>
      <c r="N478" s="66"/>
    </row>
    <row r="479" spans="1:14" x14ac:dyDescent="0.2">
      <c r="A479" s="84"/>
      <c r="B479" s="84"/>
      <c r="C479" s="60"/>
      <c r="D479" s="66"/>
      <c r="E479" s="66"/>
      <c r="F479" s="66"/>
      <c r="G479" s="66"/>
      <c r="H479" s="66"/>
      <c r="I479" s="66"/>
      <c r="J479" s="66"/>
      <c r="K479" s="66"/>
      <c r="L479" s="66"/>
      <c r="M479" s="66"/>
      <c r="N479" s="66"/>
    </row>
    <row r="480" spans="1:14" x14ac:dyDescent="0.2">
      <c r="A480" s="84"/>
      <c r="B480" s="84"/>
      <c r="C480" s="60"/>
      <c r="D480" s="66"/>
      <c r="E480" s="66"/>
      <c r="F480" s="66"/>
      <c r="G480" s="66"/>
      <c r="H480" s="66"/>
      <c r="I480" s="66"/>
      <c r="J480" s="66"/>
      <c r="K480" s="66"/>
      <c r="L480" s="66"/>
      <c r="M480" s="66"/>
      <c r="N480" s="66"/>
    </row>
    <row r="481" spans="1:14" x14ac:dyDescent="0.2">
      <c r="A481" s="84"/>
      <c r="B481" s="84"/>
      <c r="C481" s="60"/>
      <c r="D481" s="66"/>
      <c r="E481" s="66"/>
      <c r="F481" s="66"/>
      <c r="G481" s="66"/>
      <c r="H481" s="66"/>
      <c r="I481" s="66"/>
      <c r="J481" s="66"/>
      <c r="K481" s="66"/>
      <c r="L481" s="66"/>
      <c r="M481" s="66"/>
      <c r="N481" s="66"/>
    </row>
    <row r="482" spans="1:14" x14ac:dyDescent="0.2">
      <c r="A482" s="84"/>
      <c r="B482" s="84"/>
      <c r="C482" s="60"/>
      <c r="D482" s="66"/>
      <c r="E482" s="66"/>
      <c r="F482" s="66"/>
      <c r="G482" s="66"/>
      <c r="H482" s="66"/>
      <c r="I482" s="66"/>
      <c r="J482" s="66"/>
      <c r="K482" s="66"/>
      <c r="L482" s="66"/>
      <c r="M482" s="66"/>
      <c r="N482" s="66"/>
    </row>
    <row r="483" spans="1:14" x14ac:dyDescent="0.2">
      <c r="A483" s="84"/>
      <c r="B483" s="84"/>
      <c r="C483" s="60"/>
      <c r="D483" s="66"/>
      <c r="E483" s="66"/>
      <c r="F483" s="66"/>
      <c r="G483" s="66"/>
      <c r="H483" s="66"/>
      <c r="I483" s="66"/>
      <c r="J483" s="66"/>
      <c r="K483" s="66"/>
      <c r="L483" s="66"/>
      <c r="M483" s="66"/>
      <c r="N483" s="66"/>
    </row>
    <row r="484" spans="1:14" x14ac:dyDescent="0.2">
      <c r="A484" s="84"/>
      <c r="B484" s="84"/>
      <c r="C484" s="60"/>
      <c r="D484" s="66"/>
      <c r="E484" s="66"/>
      <c r="F484" s="66"/>
      <c r="G484" s="66"/>
      <c r="H484" s="66"/>
      <c r="I484" s="66"/>
      <c r="J484" s="66"/>
      <c r="K484" s="66"/>
      <c r="L484" s="66"/>
      <c r="M484" s="66"/>
      <c r="N484" s="66"/>
    </row>
    <row r="485" spans="1:14" x14ac:dyDescent="0.2">
      <c r="A485" s="84"/>
      <c r="B485" s="84"/>
      <c r="C485" s="60"/>
      <c r="D485" s="66"/>
      <c r="E485" s="66"/>
      <c r="F485" s="66"/>
      <c r="G485" s="66"/>
      <c r="H485" s="66"/>
      <c r="I485" s="66"/>
      <c r="J485" s="66"/>
      <c r="K485" s="66"/>
      <c r="L485" s="66"/>
      <c r="M485" s="66"/>
      <c r="N485" s="66"/>
    </row>
    <row r="486" spans="1:14" x14ac:dyDescent="0.2">
      <c r="A486" s="84"/>
      <c r="B486" s="84"/>
      <c r="C486" s="60"/>
      <c r="D486" s="66"/>
      <c r="E486" s="66"/>
      <c r="F486" s="66"/>
      <c r="G486" s="66"/>
      <c r="H486" s="66"/>
      <c r="I486" s="66"/>
      <c r="J486" s="66"/>
      <c r="K486" s="66"/>
      <c r="L486" s="66"/>
      <c r="M486" s="66"/>
      <c r="N486" s="66"/>
    </row>
    <row r="487" spans="1:14" x14ac:dyDescent="0.2">
      <c r="A487" s="84"/>
      <c r="B487" s="84"/>
      <c r="C487" s="60"/>
      <c r="D487" s="66"/>
      <c r="E487" s="66"/>
      <c r="F487" s="66"/>
      <c r="G487" s="66"/>
      <c r="H487" s="66"/>
      <c r="I487" s="66"/>
      <c r="J487" s="66"/>
      <c r="K487" s="66"/>
      <c r="L487" s="66"/>
      <c r="M487" s="66"/>
      <c r="N487" s="66"/>
    </row>
    <row r="488" spans="1:14" x14ac:dyDescent="0.2">
      <c r="A488" s="84"/>
      <c r="B488" s="84"/>
      <c r="C488" s="60"/>
      <c r="D488" s="66"/>
      <c r="E488" s="66"/>
      <c r="F488" s="66"/>
      <c r="G488" s="66"/>
      <c r="H488" s="66"/>
      <c r="I488" s="66"/>
      <c r="J488" s="66"/>
      <c r="K488" s="66"/>
      <c r="L488" s="66"/>
      <c r="M488" s="66"/>
      <c r="N488" s="66"/>
    </row>
    <row r="489" spans="1:14" x14ac:dyDescent="0.2">
      <c r="A489" s="84"/>
      <c r="B489" s="84"/>
      <c r="C489" s="60"/>
      <c r="D489" s="66"/>
      <c r="E489" s="66"/>
      <c r="F489" s="66"/>
      <c r="G489" s="66"/>
      <c r="H489" s="66"/>
      <c r="I489" s="66"/>
      <c r="J489" s="66"/>
      <c r="K489" s="66"/>
      <c r="L489" s="66"/>
      <c r="M489" s="66"/>
      <c r="N489" s="66"/>
    </row>
    <row r="490" spans="1:14" x14ac:dyDescent="0.2">
      <c r="A490" s="84"/>
      <c r="B490" s="84"/>
      <c r="C490" s="60"/>
      <c r="D490" s="66"/>
      <c r="E490" s="66"/>
      <c r="F490" s="66"/>
      <c r="G490" s="66"/>
      <c r="H490" s="66"/>
      <c r="I490" s="66"/>
      <c r="J490" s="66"/>
      <c r="K490" s="66"/>
      <c r="L490" s="66"/>
      <c r="M490" s="66"/>
      <c r="N490" s="66"/>
    </row>
    <row r="491" spans="1:14" x14ac:dyDescent="0.2">
      <c r="A491" s="84"/>
      <c r="B491" s="84"/>
      <c r="C491" s="60"/>
      <c r="D491" s="66"/>
      <c r="E491" s="66"/>
      <c r="F491" s="66"/>
      <c r="G491" s="66"/>
      <c r="H491" s="66"/>
      <c r="I491" s="66"/>
      <c r="J491" s="66"/>
      <c r="K491" s="66"/>
      <c r="L491" s="66"/>
      <c r="M491" s="66"/>
      <c r="N491" s="66"/>
    </row>
    <row r="492" spans="1:14" x14ac:dyDescent="0.2">
      <c r="A492" s="84"/>
      <c r="B492" s="84"/>
      <c r="C492" s="60"/>
      <c r="D492" s="66"/>
      <c r="E492" s="66"/>
      <c r="F492" s="66"/>
      <c r="G492" s="66"/>
      <c r="H492" s="66"/>
      <c r="I492" s="66"/>
      <c r="J492" s="66"/>
      <c r="K492" s="66"/>
      <c r="L492" s="66"/>
      <c r="M492" s="66"/>
      <c r="N492" s="66"/>
    </row>
    <row r="493" spans="1:14" x14ac:dyDescent="0.2">
      <c r="A493" s="84"/>
      <c r="B493" s="84"/>
      <c r="C493" s="60"/>
      <c r="D493" s="66"/>
      <c r="E493" s="66"/>
      <c r="F493" s="66"/>
      <c r="G493" s="66"/>
      <c r="H493" s="66"/>
      <c r="I493" s="66"/>
      <c r="J493" s="66"/>
      <c r="K493" s="66"/>
      <c r="L493" s="66"/>
      <c r="M493" s="66"/>
      <c r="N493" s="66"/>
    </row>
    <row r="494" spans="1:14" x14ac:dyDescent="0.2">
      <c r="A494" s="84"/>
      <c r="B494" s="84"/>
      <c r="C494" s="60"/>
      <c r="D494" s="66"/>
      <c r="E494" s="66"/>
      <c r="F494" s="66"/>
      <c r="G494" s="66"/>
      <c r="H494" s="66"/>
      <c r="I494" s="66"/>
      <c r="J494" s="66"/>
      <c r="K494" s="66"/>
      <c r="L494" s="66"/>
      <c r="M494" s="66"/>
      <c r="N494" s="66"/>
    </row>
    <row r="495" spans="1:14" x14ac:dyDescent="0.2">
      <c r="A495" s="84"/>
      <c r="B495" s="84"/>
      <c r="C495" s="60"/>
      <c r="D495" s="66"/>
      <c r="E495" s="66"/>
      <c r="F495" s="66"/>
      <c r="G495" s="66"/>
      <c r="H495" s="66"/>
      <c r="I495" s="66"/>
      <c r="J495" s="66"/>
      <c r="K495" s="66"/>
      <c r="L495" s="66"/>
      <c r="M495" s="66"/>
      <c r="N495" s="66"/>
    </row>
    <row r="496" spans="1:14" x14ac:dyDescent="0.2">
      <c r="A496" s="84"/>
      <c r="B496" s="84"/>
      <c r="C496" s="60"/>
      <c r="D496" s="66"/>
      <c r="E496" s="66"/>
      <c r="F496" s="66"/>
      <c r="G496" s="66"/>
      <c r="H496" s="66"/>
      <c r="I496" s="66"/>
      <c r="J496" s="66"/>
      <c r="K496" s="66"/>
      <c r="L496" s="66"/>
      <c r="M496" s="66"/>
      <c r="N496" s="66"/>
    </row>
    <row r="497" spans="1:14" x14ac:dyDescent="0.2">
      <c r="A497" s="84"/>
      <c r="B497" s="84"/>
      <c r="C497" s="60"/>
      <c r="D497" s="66"/>
      <c r="E497" s="66"/>
      <c r="F497" s="66"/>
      <c r="G497" s="66"/>
      <c r="H497" s="66"/>
      <c r="I497" s="66"/>
      <c r="J497" s="66"/>
      <c r="K497" s="66"/>
      <c r="L497" s="66"/>
      <c r="M497" s="66"/>
      <c r="N497" s="66"/>
    </row>
    <row r="498" spans="1:14" x14ac:dyDescent="0.2">
      <c r="A498" s="84"/>
      <c r="B498" s="84"/>
      <c r="C498" s="60"/>
      <c r="D498" s="66"/>
      <c r="E498" s="66"/>
      <c r="F498" s="66"/>
      <c r="G498" s="66"/>
      <c r="H498" s="66"/>
      <c r="I498" s="66"/>
      <c r="J498" s="66"/>
      <c r="K498" s="66"/>
      <c r="L498" s="66"/>
      <c r="M498" s="66"/>
      <c r="N498" s="66"/>
    </row>
    <row r="499" spans="1:14" x14ac:dyDescent="0.2">
      <c r="A499" s="84"/>
      <c r="B499" s="84"/>
      <c r="C499" s="60"/>
      <c r="D499" s="66"/>
      <c r="E499" s="66"/>
      <c r="F499" s="66"/>
      <c r="G499" s="66"/>
      <c r="H499" s="66"/>
      <c r="I499" s="66"/>
      <c r="J499" s="66"/>
      <c r="K499" s="66"/>
      <c r="L499" s="66"/>
      <c r="M499" s="66"/>
      <c r="N499" s="66"/>
    </row>
    <row r="500" spans="1:14" x14ac:dyDescent="0.2">
      <c r="A500" s="84"/>
      <c r="B500" s="84"/>
      <c r="C500" s="60"/>
      <c r="D500" s="66"/>
      <c r="E500" s="66"/>
      <c r="F500" s="66"/>
      <c r="G500" s="66"/>
      <c r="H500" s="66"/>
      <c r="I500" s="66"/>
      <c r="J500" s="66"/>
      <c r="K500" s="66"/>
      <c r="L500" s="66"/>
      <c r="M500" s="66"/>
      <c r="N500" s="66"/>
    </row>
    <row r="501" spans="1:14" x14ac:dyDescent="0.2">
      <c r="A501" s="84"/>
      <c r="B501" s="84"/>
      <c r="C501" s="60"/>
      <c r="D501" s="66"/>
      <c r="E501" s="66"/>
      <c r="F501" s="66"/>
      <c r="G501" s="66"/>
      <c r="H501" s="66"/>
      <c r="I501" s="66"/>
      <c r="J501" s="66"/>
      <c r="K501" s="66"/>
      <c r="L501" s="66"/>
      <c r="M501" s="66"/>
      <c r="N501" s="66"/>
    </row>
    <row r="502" spans="1:14" x14ac:dyDescent="0.2">
      <c r="A502" s="84"/>
      <c r="B502" s="84"/>
      <c r="C502" s="60"/>
      <c r="D502" s="66"/>
      <c r="E502" s="66"/>
      <c r="F502" s="66"/>
      <c r="G502" s="66"/>
      <c r="H502" s="66"/>
      <c r="I502" s="66"/>
      <c r="J502" s="66"/>
      <c r="K502" s="66"/>
      <c r="L502" s="66"/>
      <c r="M502" s="66"/>
      <c r="N502" s="66"/>
    </row>
    <row r="503" spans="1:14" x14ac:dyDescent="0.2">
      <c r="A503" s="84"/>
      <c r="B503" s="84"/>
      <c r="C503" s="60"/>
      <c r="D503" s="66"/>
      <c r="E503" s="66"/>
      <c r="F503" s="66"/>
      <c r="G503" s="66"/>
      <c r="H503" s="66"/>
      <c r="I503" s="66"/>
      <c r="J503" s="66"/>
      <c r="K503" s="66"/>
      <c r="L503" s="66"/>
      <c r="M503" s="66"/>
      <c r="N503" s="66"/>
    </row>
    <row r="504" spans="1:14" x14ac:dyDescent="0.2">
      <c r="A504" s="84"/>
      <c r="B504" s="84"/>
      <c r="C504" s="60"/>
      <c r="D504" s="66"/>
      <c r="E504" s="66"/>
      <c r="F504" s="66"/>
      <c r="G504" s="66"/>
      <c r="H504" s="66"/>
      <c r="I504" s="66"/>
      <c r="J504" s="66"/>
      <c r="K504" s="66"/>
      <c r="L504" s="66"/>
      <c r="M504" s="66"/>
      <c r="N504" s="66"/>
    </row>
    <row r="505" spans="1:14" x14ac:dyDescent="0.2">
      <c r="A505" s="84"/>
      <c r="B505" s="84"/>
      <c r="C505" s="60"/>
      <c r="D505" s="66"/>
      <c r="E505" s="66"/>
      <c r="F505" s="66"/>
      <c r="G505" s="66"/>
      <c r="H505" s="66"/>
      <c r="I505" s="66"/>
      <c r="J505" s="66"/>
      <c r="K505" s="66"/>
      <c r="L505" s="66"/>
      <c r="M505" s="66"/>
      <c r="N505" s="66"/>
    </row>
    <row r="506" spans="1:14" x14ac:dyDescent="0.2">
      <c r="A506" s="84"/>
      <c r="B506" s="84"/>
      <c r="C506" s="60"/>
      <c r="D506" s="66"/>
      <c r="E506" s="66"/>
      <c r="F506" s="66"/>
      <c r="G506" s="66"/>
      <c r="H506" s="66"/>
      <c r="I506" s="66"/>
      <c r="J506" s="66"/>
      <c r="K506" s="66"/>
      <c r="L506" s="66"/>
      <c r="M506" s="66"/>
      <c r="N506" s="66"/>
    </row>
    <row r="507" spans="1:14" x14ac:dyDescent="0.2">
      <c r="A507" s="84"/>
      <c r="B507" s="84"/>
      <c r="C507" s="60"/>
      <c r="D507" s="66"/>
      <c r="E507" s="66"/>
      <c r="F507" s="66"/>
      <c r="G507" s="66"/>
      <c r="H507" s="66"/>
      <c r="I507" s="66"/>
      <c r="J507" s="66"/>
      <c r="K507" s="66"/>
      <c r="L507" s="66"/>
      <c r="M507" s="66"/>
      <c r="N507" s="66"/>
    </row>
    <row r="508" spans="1:14" x14ac:dyDescent="0.2">
      <c r="A508" s="84"/>
      <c r="B508" s="84"/>
      <c r="C508" s="60"/>
      <c r="D508" s="66"/>
      <c r="E508" s="66"/>
      <c r="F508" s="66"/>
      <c r="G508" s="66"/>
      <c r="H508" s="66"/>
      <c r="I508" s="66"/>
      <c r="J508" s="66"/>
      <c r="K508" s="66"/>
      <c r="L508" s="66"/>
      <c r="M508" s="66"/>
      <c r="N508" s="66"/>
    </row>
    <row r="509" spans="1:14" x14ac:dyDescent="0.2">
      <c r="A509" s="84"/>
      <c r="B509" s="84"/>
      <c r="C509" s="60"/>
      <c r="D509" s="66"/>
      <c r="E509" s="66"/>
      <c r="F509" s="66"/>
      <c r="G509" s="66"/>
      <c r="H509" s="66"/>
      <c r="I509" s="66"/>
      <c r="J509" s="66"/>
      <c r="K509" s="66"/>
      <c r="L509" s="66"/>
      <c r="M509" s="66"/>
      <c r="N509" s="66"/>
    </row>
    <row r="510" spans="1:14" x14ac:dyDescent="0.2">
      <c r="A510" s="84"/>
      <c r="B510" s="84"/>
      <c r="C510" s="60"/>
      <c r="D510" s="66"/>
      <c r="E510" s="66"/>
      <c r="F510" s="66"/>
      <c r="G510" s="66"/>
      <c r="H510" s="66"/>
      <c r="I510" s="66"/>
      <c r="J510" s="66"/>
      <c r="K510" s="66"/>
      <c r="L510" s="66"/>
      <c r="M510" s="66"/>
      <c r="N510" s="66"/>
    </row>
    <row r="511" spans="1:14" x14ac:dyDescent="0.2">
      <c r="A511" s="84"/>
      <c r="B511" s="84"/>
      <c r="C511" s="60"/>
      <c r="D511" s="66"/>
      <c r="E511" s="66"/>
      <c r="F511" s="66"/>
      <c r="G511" s="66"/>
      <c r="H511" s="66"/>
      <c r="I511" s="66"/>
      <c r="J511" s="66"/>
      <c r="K511" s="66"/>
      <c r="L511" s="66"/>
      <c r="M511" s="66"/>
      <c r="N511" s="66"/>
    </row>
    <row r="512" spans="1:14" x14ac:dyDescent="0.2">
      <c r="A512" s="84"/>
      <c r="B512" s="84"/>
      <c r="C512" s="60"/>
      <c r="D512" s="66"/>
      <c r="E512" s="66"/>
      <c r="F512" s="66"/>
      <c r="G512" s="66"/>
      <c r="H512" s="66"/>
      <c r="I512" s="66"/>
      <c r="J512" s="66"/>
      <c r="K512" s="66"/>
      <c r="L512" s="66"/>
      <c r="M512" s="66"/>
      <c r="N512" s="66"/>
    </row>
    <row r="513" spans="1:14" x14ac:dyDescent="0.2">
      <c r="A513" s="84"/>
      <c r="B513" s="84"/>
      <c r="C513" s="60"/>
      <c r="D513" s="66"/>
      <c r="E513" s="66"/>
      <c r="F513" s="66"/>
      <c r="G513" s="66"/>
      <c r="H513" s="66"/>
      <c r="I513" s="66"/>
      <c r="J513" s="66"/>
      <c r="K513" s="66"/>
      <c r="L513" s="66"/>
      <c r="M513" s="66"/>
      <c r="N513" s="66"/>
    </row>
    <row r="514" spans="1:14" x14ac:dyDescent="0.2">
      <c r="A514" s="84"/>
      <c r="B514" s="84"/>
      <c r="C514" s="60"/>
      <c r="D514" s="66"/>
      <c r="E514" s="66"/>
      <c r="F514" s="66"/>
      <c r="G514" s="66"/>
      <c r="H514" s="66"/>
      <c r="I514" s="66"/>
      <c r="J514" s="66"/>
      <c r="K514" s="66"/>
      <c r="L514" s="66"/>
      <c r="M514" s="66"/>
      <c r="N514" s="66"/>
    </row>
    <row r="515" spans="1:14" x14ac:dyDescent="0.2">
      <c r="A515" s="84"/>
      <c r="B515" s="84"/>
      <c r="C515" s="60"/>
      <c r="D515" s="66"/>
      <c r="E515" s="66"/>
      <c r="F515" s="66"/>
      <c r="G515" s="66"/>
      <c r="H515" s="66"/>
      <c r="I515" s="66"/>
      <c r="J515" s="66"/>
      <c r="K515" s="66"/>
      <c r="L515" s="66"/>
      <c r="M515" s="66"/>
      <c r="N515" s="66"/>
    </row>
    <row r="516" spans="1:14" x14ac:dyDescent="0.2">
      <c r="A516" s="84"/>
      <c r="B516" s="84"/>
      <c r="C516" s="60"/>
      <c r="D516" s="66"/>
      <c r="E516" s="66"/>
      <c r="F516" s="66"/>
      <c r="G516" s="66"/>
      <c r="H516" s="66"/>
      <c r="I516" s="66"/>
      <c r="J516" s="66"/>
      <c r="K516" s="66"/>
      <c r="L516" s="66"/>
      <c r="M516" s="66"/>
      <c r="N516" s="66"/>
    </row>
    <row r="517" spans="1:14" x14ac:dyDescent="0.2">
      <c r="A517" s="84"/>
      <c r="B517" s="84"/>
      <c r="C517" s="60"/>
      <c r="D517" s="66"/>
      <c r="E517" s="66"/>
      <c r="F517" s="66"/>
      <c r="G517" s="66"/>
      <c r="H517" s="66"/>
      <c r="I517" s="66"/>
      <c r="J517" s="66"/>
      <c r="K517" s="66"/>
      <c r="L517" s="66"/>
      <c r="M517" s="66"/>
      <c r="N517" s="66"/>
    </row>
    <row r="518" spans="1:14" x14ac:dyDescent="0.2">
      <c r="A518" s="84"/>
      <c r="B518" s="84"/>
      <c r="C518" s="60"/>
      <c r="D518" s="66"/>
      <c r="E518" s="66"/>
      <c r="F518" s="66"/>
      <c r="G518" s="66"/>
      <c r="H518" s="66"/>
      <c r="I518" s="66"/>
      <c r="J518" s="66"/>
      <c r="K518" s="66"/>
      <c r="L518" s="66"/>
      <c r="M518" s="66"/>
      <c r="N518" s="66"/>
    </row>
    <row r="519" spans="1:14" x14ac:dyDescent="0.2">
      <c r="A519" s="84"/>
      <c r="B519" s="84"/>
      <c r="C519" s="60"/>
      <c r="D519" s="66"/>
      <c r="E519" s="66"/>
      <c r="F519" s="66"/>
      <c r="G519" s="66"/>
      <c r="H519" s="66"/>
      <c r="I519" s="66"/>
      <c r="J519" s="66"/>
      <c r="K519" s="66"/>
      <c r="L519" s="66"/>
      <c r="M519" s="66"/>
      <c r="N519" s="66"/>
    </row>
    <row r="520" spans="1:14" x14ac:dyDescent="0.2">
      <c r="A520" s="84"/>
      <c r="B520" s="84"/>
      <c r="C520" s="60"/>
      <c r="D520" s="66"/>
      <c r="E520" s="66"/>
      <c r="F520" s="66"/>
      <c r="G520" s="66"/>
      <c r="H520" s="66"/>
      <c r="I520" s="66"/>
      <c r="J520" s="66"/>
      <c r="K520" s="66"/>
      <c r="L520" s="66"/>
      <c r="M520" s="66"/>
      <c r="N520" s="66"/>
    </row>
    <row r="521" spans="1:14" x14ac:dyDescent="0.2">
      <c r="A521" s="84"/>
      <c r="B521" s="84"/>
      <c r="C521" s="60"/>
      <c r="D521" s="66"/>
      <c r="E521" s="66"/>
      <c r="F521" s="66"/>
      <c r="G521" s="66"/>
      <c r="H521" s="66"/>
      <c r="I521" s="66"/>
      <c r="J521" s="66"/>
      <c r="K521" s="66"/>
      <c r="L521" s="66"/>
      <c r="M521" s="66"/>
      <c r="N521" s="66"/>
    </row>
    <row r="522" spans="1:14" x14ac:dyDescent="0.2">
      <c r="A522" s="84"/>
      <c r="B522" s="84"/>
      <c r="C522" s="60"/>
      <c r="D522" s="66"/>
      <c r="E522" s="66"/>
      <c r="F522" s="66"/>
      <c r="G522" s="66"/>
      <c r="H522" s="66"/>
      <c r="I522" s="66"/>
      <c r="J522" s="66"/>
      <c r="K522" s="66"/>
      <c r="L522" s="66"/>
      <c r="M522" s="66"/>
      <c r="N522" s="66"/>
    </row>
    <row r="523" spans="1:14" x14ac:dyDescent="0.2">
      <c r="A523" s="84"/>
      <c r="B523" s="84"/>
      <c r="C523" s="60"/>
      <c r="D523" s="66"/>
      <c r="E523" s="66"/>
      <c r="F523" s="66"/>
      <c r="G523" s="66"/>
      <c r="H523" s="66"/>
      <c r="I523" s="66"/>
      <c r="J523" s="66"/>
      <c r="K523" s="66"/>
      <c r="L523" s="66"/>
      <c r="M523" s="66"/>
      <c r="N523" s="66"/>
    </row>
    <row r="524" spans="1:14" x14ac:dyDescent="0.2">
      <c r="A524" s="84"/>
      <c r="B524" s="84"/>
      <c r="C524" s="60"/>
      <c r="D524" s="66"/>
      <c r="E524" s="66"/>
      <c r="F524" s="66"/>
      <c r="G524" s="66"/>
      <c r="H524" s="66"/>
      <c r="I524" s="66"/>
      <c r="J524" s="66"/>
      <c r="K524" s="66"/>
      <c r="L524" s="66"/>
      <c r="M524" s="66"/>
      <c r="N524" s="66"/>
    </row>
    <row r="525" spans="1:14" x14ac:dyDescent="0.2">
      <c r="A525" s="84"/>
      <c r="B525" s="84"/>
      <c r="C525" s="60"/>
      <c r="D525" s="66"/>
      <c r="E525" s="66"/>
      <c r="F525" s="66"/>
      <c r="G525" s="66"/>
      <c r="H525" s="66"/>
      <c r="I525" s="66"/>
      <c r="J525" s="66"/>
      <c r="K525" s="66"/>
      <c r="L525" s="66"/>
      <c r="M525" s="66"/>
      <c r="N525" s="66"/>
    </row>
    <row r="526" spans="1:14" x14ac:dyDescent="0.2">
      <c r="A526" s="84"/>
      <c r="B526" s="84"/>
      <c r="C526" s="60"/>
      <c r="D526" s="66"/>
      <c r="E526" s="66"/>
      <c r="F526" s="66"/>
      <c r="G526" s="66"/>
      <c r="H526" s="66"/>
      <c r="I526" s="66"/>
      <c r="J526" s="66"/>
      <c r="K526" s="66"/>
      <c r="L526" s="66"/>
      <c r="M526" s="66"/>
      <c r="N526" s="66"/>
    </row>
    <row r="527" spans="1:14" x14ac:dyDescent="0.2">
      <c r="A527" s="84"/>
      <c r="B527" s="84"/>
      <c r="C527" s="60"/>
      <c r="D527" s="66"/>
      <c r="E527" s="66"/>
      <c r="F527" s="66"/>
      <c r="G527" s="66"/>
      <c r="H527" s="66"/>
      <c r="I527" s="66"/>
      <c r="J527" s="66"/>
      <c r="K527" s="66"/>
      <c r="L527" s="66"/>
      <c r="M527" s="66"/>
      <c r="N527" s="66"/>
    </row>
    <row r="528" spans="1:14" x14ac:dyDescent="0.2">
      <c r="A528" s="84"/>
      <c r="B528" s="84"/>
      <c r="C528" s="60"/>
      <c r="D528" s="66"/>
      <c r="E528" s="66"/>
      <c r="F528" s="66"/>
      <c r="G528" s="66"/>
      <c r="H528" s="66"/>
      <c r="I528" s="66"/>
      <c r="J528" s="66"/>
      <c r="K528" s="66"/>
      <c r="L528" s="66"/>
      <c r="M528" s="66"/>
      <c r="N528" s="66"/>
    </row>
    <row r="529" spans="1:14" x14ac:dyDescent="0.2">
      <c r="A529" s="84"/>
      <c r="B529" s="84"/>
      <c r="C529" s="60"/>
      <c r="D529" s="66"/>
      <c r="E529" s="66"/>
      <c r="F529" s="66"/>
      <c r="G529" s="66"/>
      <c r="H529" s="66"/>
      <c r="I529" s="66"/>
      <c r="J529" s="66"/>
      <c r="K529" s="66"/>
      <c r="L529" s="66"/>
      <c r="M529" s="66"/>
      <c r="N529" s="66"/>
    </row>
    <row r="530" spans="1:14" x14ac:dyDescent="0.2">
      <c r="A530" s="84"/>
      <c r="B530" s="84"/>
      <c r="C530" s="60"/>
      <c r="D530" s="66"/>
      <c r="E530" s="66"/>
      <c r="F530" s="66"/>
      <c r="G530" s="66"/>
      <c r="H530" s="66"/>
      <c r="I530" s="66"/>
      <c r="J530" s="66"/>
      <c r="K530" s="66"/>
      <c r="L530" s="66"/>
      <c r="M530" s="66"/>
      <c r="N530" s="66"/>
    </row>
    <row r="531" spans="1:14" x14ac:dyDescent="0.2">
      <c r="A531" s="84"/>
      <c r="B531" s="84"/>
      <c r="C531" s="60"/>
      <c r="D531" s="66"/>
      <c r="E531" s="66"/>
      <c r="F531" s="66"/>
      <c r="G531" s="66"/>
      <c r="H531" s="66"/>
      <c r="I531" s="66"/>
      <c r="J531" s="66"/>
      <c r="K531" s="66"/>
      <c r="L531" s="66"/>
      <c r="M531" s="66"/>
      <c r="N531" s="66"/>
    </row>
    <row r="532" spans="1:14" x14ac:dyDescent="0.2">
      <c r="A532" s="84"/>
      <c r="B532" s="84"/>
      <c r="C532" s="60"/>
      <c r="D532" s="66"/>
      <c r="E532" s="66"/>
      <c r="F532" s="66"/>
      <c r="G532" s="66"/>
      <c r="H532" s="66"/>
      <c r="I532" s="66"/>
      <c r="J532" s="66"/>
      <c r="K532" s="66"/>
      <c r="L532" s="66"/>
      <c r="M532" s="66"/>
      <c r="N532" s="66"/>
    </row>
    <row r="533" spans="1:14" x14ac:dyDescent="0.2">
      <c r="A533" s="84"/>
      <c r="B533" s="84"/>
      <c r="C533" s="60"/>
      <c r="D533" s="66"/>
      <c r="E533" s="66"/>
      <c r="F533" s="66"/>
      <c r="G533" s="66"/>
      <c r="H533" s="66"/>
      <c r="I533" s="66"/>
      <c r="J533" s="66"/>
      <c r="K533" s="66"/>
      <c r="L533" s="66"/>
      <c r="M533" s="66"/>
      <c r="N533" s="66"/>
    </row>
    <row r="534" spans="1:14" x14ac:dyDescent="0.2">
      <c r="A534" s="84"/>
      <c r="B534" s="84"/>
      <c r="C534" s="60"/>
      <c r="D534" s="66"/>
      <c r="E534" s="66"/>
      <c r="F534" s="66"/>
      <c r="G534" s="66"/>
      <c r="H534" s="66"/>
      <c r="I534" s="66"/>
      <c r="J534" s="66"/>
      <c r="K534" s="66"/>
      <c r="L534" s="66"/>
      <c r="M534" s="66"/>
      <c r="N534" s="66"/>
    </row>
    <row r="535" spans="1:14" x14ac:dyDescent="0.2">
      <c r="A535" s="84"/>
      <c r="B535" s="84"/>
      <c r="C535" s="60"/>
      <c r="D535" s="66"/>
      <c r="E535" s="66"/>
      <c r="F535" s="66"/>
      <c r="G535" s="66"/>
      <c r="H535" s="66"/>
      <c r="I535" s="66"/>
      <c r="J535" s="66"/>
      <c r="K535" s="66"/>
      <c r="L535" s="66"/>
      <c r="M535" s="66"/>
      <c r="N535" s="66"/>
    </row>
    <row r="536" spans="1:14" x14ac:dyDescent="0.2">
      <c r="A536" s="84"/>
      <c r="B536" s="84"/>
      <c r="C536" s="60"/>
      <c r="D536" s="66"/>
      <c r="E536" s="66"/>
      <c r="F536" s="66"/>
      <c r="G536" s="66"/>
      <c r="H536" s="66"/>
      <c r="I536" s="66"/>
      <c r="J536" s="66"/>
      <c r="K536" s="66"/>
      <c r="L536" s="66"/>
      <c r="M536" s="66"/>
      <c r="N536" s="66"/>
    </row>
    <row r="537" spans="1:14" x14ac:dyDescent="0.2">
      <c r="A537" s="84"/>
      <c r="B537" s="84"/>
      <c r="C537" s="60"/>
      <c r="D537" s="66"/>
      <c r="E537" s="66"/>
      <c r="F537" s="66"/>
      <c r="G537" s="66"/>
      <c r="H537" s="66"/>
      <c r="I537" s="66"/>
      <c r="J537" s="66"/>
      <c r="K537" s="66"/>
      <c r="L537" s="66"/>
      <c r="M537" s="66"/>
      <c r="N537" s="66"/>
    </row>
    <row r="538" spans="1:14" x14ac:dyDescent="0.2">
      <c r="A538" s="84"/>
      <c r="B538" s="84"/>
      <c r="C538" s="60"/>
      <c r="D538" s="66"/>
      <c r="E538" s="66"/>
      <c r="F538" s="66"/>
      <c r="G538" s="66"/>
      <c r="H538" s="66"/>
      <c r="I538" s="66"/>
      <c r="J538" s="66"/>
      <c r="K538" s="66"/>
      <c r="L538" s="66"/>
      <c r="M538" s="66"/>
      <c r="N538" s="66"/>
    </row>
    <row r="539" spans="1:14" x14ac:dyDescent="0.2">
      <c r="A539" s="84"/>
      <c r="B539" s="84"/>
      <c r="C539" s="60"/>
      <c r="D539" s="66"/>
      <c r="E539" s="66"/>
      <c r="F539" s="66"/>
      <c r="G539" s="66"/>
      <c r="H539" s="66"/>
      <c r="I539" s="66"/>
      <c r="J539" s="66"/>
      <c r="K539" s="66"/>
      <c r="L539" s="66"/>
      <c r="M539" s="66"/>
      <c r="N539" s="66"/>
    </row>
    <row r="540" spans="1:14" x14ac:dyDescent="0.2">
      <c r="A540" s="84"/>
      <c r="B540" s="84"/>
      <c r="C540" s="60"/>
      <c r="D540" s="66"/>
      <c r="E540" s="66"/>
      <c r="F540" s="66"/>
      <c r="G540" s="66"/>
      <c r="H540" s="66"/>
      <c r="I540" s="66"/>
      <c r="J540" s="66"/>
      <c r="K540" s="66"/>
      <c r="L540" s="66"/>
      <c r="M540" s="66"/>
      <c r="N540" s="66"/>
    </row>
    <row r="541" spans="1:14" x14ac:dyDescent="0.2">
      <c r="A541" s="84"/>
      <c r="B541" s="84"/>
      <c r="C541" s="60"/>
      <c r="D541" s="66"/>
      <c r="E541" s="66"/>
      <c r="F541" s="66"/>
      <c r="G541" s="66"/>
      <c r="H541" s="66"/>
      <c r="I541" s="66"/>
      <c r="J541" s="66"/>
      <c r="K541" s="66"/>
      <c r="L541" s="66"/>
      <c r="M541" s="66"/>
      <c r="N541" s="66"/>
    </row>
    <row r="542" spans="1:14" x14ac:dyDescent="0.2">
      <c r="A542" s="84"/>
      <c r="B542" s="84"/>
      <c r="C542" s="60"/>
      <c r="D542" s="66"/>
      <c r="E542" s="66"/>
      <c r="F542" s="66"/>
      <c r="G542" s="66"/>
      <c r="H542" s="66"/>
      <c r="I542" s="66"/>
      <c r="J542" s="66"/>
      <c r="K542" s="66"/>
      <c r="L542" s="66"/>
      <c r="M542" s="66"/>
      <c r="N542" s="66"/>
    </row>
    <row r="543" spans="1:14" x14ac:dyDescent="0.2">
      <c r="A543" s="84"/>
      <c r="B543" s="84"/>
      <c r="C543" s="60"/>
      <c r="D543" s="66"/>
      <c r="E543" s="66"/>
      <c r="F543" s="66"/>
      <c r="G543" s="66"/>
      <c r="H543" s="66"/>
      <c r="I543" s="66"/>
      <c r="J543" s="66"/>
      <c r="K543" s="66"/>
      <c r="L543" s="66"/>
      <c r="M543" s="66"/>
      <c r="N543" s="66"/>
    </row>
    <row r="544" spans="1:14" x14ac:dyDescent="0.2">
      <c r="A544" s="84"/>
      <c r="B544" s="84"/>
      <c r="C544" s="60"/>
      <c r="D544" s="66"/>
      <c r="E544" s="66"/>
      <c r="F544" s="66"/>
      <c r="G544" s="66"/>
      <c r="H544" s="66"/>
      <c r="I544" s="66"/>
      <c r="J544" s="66"/>
      <c r="K544" s="66"/>
      <c r="L544" s="66"/>
      <c r="M544" s="66"/>
      <c r="N544" s="66"/>
    </row>
    <row r="545" spans="1:14" x14ac:dyDescent="0.2">
      <c r="A545" s="84"/>
      <c r="B545" s="84"/>
      <c r="C545" s="60"/>
      <c r="D545" s="66"/>
      <c r="E545" s="66"/>
      <c r="F545" s="66"/>
      <c r="G545" s="66"/>
      <c r="H545" s="66"/>
      <c r="I545" s="66"/>
      <c r="J545" s="66"/>
      <c r="K545" s="66"/>
      <c r="L545" s="66"/>
      <c r="M545" s="66"/>
      <c r="N545" s="66"/>
    </row>
    <row r="546" spans="1:14" x14ac:dyDescent="0.2">
      <c r="A546" s="84"/>
      <c r="B546" s="84"/>
      <c r="C546" s="60"/>
      <c r="D546" s="66"/>
      <c r="E546" s="66"/>
      <c r="F546" s="66"/>
      <c r="G546" s="66"/>
      <c r="H546" s="66"/>
      <c r="I546" s="66"/>
      <c r="J546" s="66"/>
      <c r="K546" s="66"/>
      <c r="L546" s="66"/>
      <c r="M546" s="66"/>
      <c r="N546" s="66"/>
    </row>
    <row r="547" spans="1:14" x14ac:dyDescent="0.2">
      <c r="A547" s="84"/>
      <c r="B547" s="84"/>
      <c r="C547" s="60"/>
      <c r="D547" s="66"/>
      <c r="E547" s="66"/>
      <c r="F547" s="66"/>
      <c r="G547" s="66"/>
      <c r="H547" s="66"/>
      <c r="I547" s="66"/>
      <c r="J547" s="66"/>
      <c r="K547" s="66"/>
      <c r="L547" s="66"/>
      <c r="M547" s="66"/>
      <c r="N547" s="66"/>
    </row>
    <row r="548" spans="1:14" x14ac:dyDescent="0.2">
      <c r="A548" s="84"/>
      <c r="B548" s="84"/>
      <c r="C548" s="60"/>
      <c r="D548" s="66"/>
      <c r="E548" s="66"/>
      <c r="F548" s="66"/>
      <c r="G548" s="66"/>
      <c r="H548" s="66"/>
      <c r="I548" s="66"/>
      <c r="J548" s="66"/>
      <c r="K548" s="66"/>
      <c r="L548" s="66"/>
      <c r="M548" s="66"/>
      <c r="N548" s="66"/>
    </row>
    <row r="549" spans="1:14" x14ac:dyDescent="0.2">
      <c r="A549" s="84"/>
      <c r="B549" s="84"/>
      <c r="C549" s="60"/>
      <c r="D549" s="66"/>
      <c r="E549" s="66"/>
      <c r="F549" s="66"/>
      <c r="G549" s="66"/>
      <c r="H549" s="66"/>
      <c r="I549" s="66"/>
      <c r="J549" s="66"/>
      <c r="K549" s="66"/>
      <c r="L549" s="66"/>
      <c r="M549" s="66"/>
      <c r="N549" s="66"/>
    </row>
    <row r="550" spans="1:14" x14ac:dyDescent="0.2">
      <c r="A550" s="84"/>
      <c r="B550" s="84"/>
      <c r="C550" s="60"/>
      <c r="D550" s="66"/>
      <c r="E550" s="66"/>
      <c r="F550" s="66"/>
      <c r="G550" s="66"/>
      <c r="H550" s="66"/>
      <c r="I550" s="66"/>
      <c r="J550" s="66"/>
      <c r="K550" s="66"/>
      <c r="L550" s="66"/>
      <c r="M550" s="66"/>
      <c r="N550" s="66"/>
    </row>
    <row r="551" spans="1:14" x14ac:dyDescent="0.2">
      <c r="A551" s="84"/>
      <c r="B551" s="84"/>
      <c r="C551" s="60"/>
      <c r="D551" s="66"/>
      <c r="E551" s="66"/>
      <c r="F551" s="66"/>
      <c r="G551" s="66"/>
      <c r="H551" s="66"/>
      <c r="I551" s="66"/>
      <c r="J551" s="66"/>
      <c r="K551" s="66"/>
      <c r="L551" s="66"/>
      <c r="M551" s="66"/>
      <c r="N551" s="66"/>
    </row>
    <row r="552" spans="1:14" x14ac:dyDescent="0.2">
      <c r="A552" s="84"/>
      <c r="B552" s="84"/>
      <c r="C552" s="60"/>
      <c r="D552" s="66"/>
      <c r="E552" s="66"/>
      <c r="F552" s="66"/>
      <c r="G552" s="66"/>
      <c r="H552" s="66"/>
      <c r="I552" s="66"/>
      <c r="J552" s="66"/>
      <c r="K552" s="66"/>
      <c r="L552" s="66"/>
      <c r="M552" s="66"/>
      <c r="N552" s="66"/>
    </row>
    <row r="553" spans="1:14" x14ac:dyDescent="0.2">
      <c r="A553" s="84"/>
      <c r="B553" s="84"/>
      <c r="C553" s="60"/>
      <c r="D553" s="66"/>
      <c r="E553" s="66"/>
      <c r="F553" s="66"/>
      <c r="G553" s="66"/>
      <c r="H553" s="66"/>
      <c r="I553" s="66"/>
      <c r="J553" s="66"/>
      <c r="K553" s="66"/>
      <c r="L553" s="66"/>
      <c r="M553" s="66"/>
      <c r="N553" s="66"/>
    </row>
    <row r="554" spans="1:14" x14ac:dyDescent="0.2">
      <c r="A554" s="84"/>
      <c r="B554" s="84"/>
      <c r="C554" s="60"/>
      <c r="D554" s="66"/>
      <c r="E554" s="66"/>
      <c r="F554" s="66"/>
      <c r="G554" s="66"/>
      <c r="H554" s="66"/>
      <c r="I554" s="66"/>
      <c r="J554" s="66"/>
      <c r="K554" s="66"/>
      <c r="L554" s="66"/>
      <c r="M554" s="66"/>
      <c r="N554" s="66"/>
    </row>
    <row r="555" spans="1:14" x14ac:dyDescent="0.2">
      <c r="A555" s="84"/>
      <c r="B555" s="84"/>
      <c r="C555" s="60"/>
      <c r="D555" s="66"/>
      <c r="E555" s="66"/>
      <c r="F555" s="66"/>
      <c r="G555" s="66"/>
      <c r="H555" s="66"/>
      <c r="I555" s="66"/>
      <c r="J555" s="66"/>
      <c r="K555" s="66"/>
      <c r="L555" s="66"/>
      <c r="M555" s="66"/>
      <c r="N555" s="66"/>
    </row>
    <row r="556" spans="1:14" x14ac:dyDescent="0.2">
      <c r="A556" s="84"/>
      <c r="B556" s="84"/>
      <c r="C556" s="60"/>
      <c r="D556" s="66"/>
      <c r="E556" s="66"/>
      <c r="F556" s="66"/>
      <c r="G556" s="66"/>
      <c r="H556" s="66"/>
      <c r="I556" s="66"/>
      <c r="J556" s="66"/>
      <c r="K556" s="66"/>
      <c r="L556" s="66"/>
      <c r="M556" s="66"/>
      <c r="N556" s="66"/>
    </row>
    <row r="557" spans="1:14" x14ac:dyDescent="0.2">
      <c r="A557" s="84"/>
      <c r="B557" s="84"/>
      <c r="C557" s="60"/>
      <c r="D557" s="66"/>
      <c r="E557" s="66"/>
      <c r="F557" s="66"/>
      <c r="G557" s="66"/>
      <c r="H557" s="66"/>
      <c r="I557" s="66"/>
      <c r="J557" s="66"/>
      <c r="K557" s="66"/>
      <c r="L557" s="66"/>
      <c r="M557" s="66"/>
      <c r="N557" s="66"/>
    </row>
    <row r="558" spans="1:14" x14ac:dyDescent="0.2">
      <c r="A558" s="84"/>
      <c r="B558" s="84"/>
      <c r="C558" s="60"/>
      <c r="D558" s="66"/>
      <c r="E558" s="66"/>
      <c r="F558" s="66"/>
      <c r="G558" s="66"/>
      <c r="H558" s="66"/>
      <c r="I558" s="66"/>
      <c r="J558" s="66"/>
      <c r="K558" s="66"/>
      <c r="L558" s="66"/>
      <c r="M558" s="66"/>
      <c r="N558" s="66"/>
    </row>
    <row r="559" spans="1:14" x14ac:dyDescent="0.2">
      <c r="A559" s="84"/>
      <c r="B559" s="84"/>
      <c r="C559" s="60"/>
      <c r="D559" s="66"/>
      <c r="E559" s="66"/>
      <c r="F559" s="66"/>
      <c r="G559" s="66"/>
      <c r="H559" s="66"/>
      <c r="I559" s="66"/>
      <c r="J559" s="66"/>
      <c r="K559" s="66"/>
      <c r="L559" s="66"/>
      <c r="M559" s="66"/>
      <c r="N559" s="66"/>
    </row>
    <row r="560" spans="1:14" x14ac:dyDescent="0.2">
      <c r="A560" s="84"/>
      <c r="B560" s="84"/>
      <c r="C560" s="60"/>
      <c r="D560" s="66"/>
      <c r="E560" s="66"/>
      <c r="F560" s="66"/>
      <c r="G560" s="66"/>
      <c r="H560" s="66"/>
      <c r="I560" s="66"/>
      <c r="J560" s="66"/>
      <c r="K560" s="66"/>
      <c r="L560" s="66"/>
      <c r="M560" s="66"/>
      <c r="N560" s="66"/>
    </row>
    <row r="561" spans="1:14" x14ac:dyDescent="0.2">
      <c r="A561" s="84"/>
      <c r="B561" s="84"/>
      <c r="C561" s="60"/>
      <c r="D561" s="66"/>
      <c r="E561" s="66"/>
      <c r="F561" s="66"/>
      <c r="G561" s="66"/>
      <c r="H561" s="66"/>
      <c r="I561" s="66"/>
      <c r="J561" s="66"/>
      <c r="K561" s="66"/>
      <c r="L561" s="66"/>
      <c r="M561" s="66"/>
      <c r="N561" s="66"/>
    </row>
    <row r="562" spans="1:14" x14ac:dyDescent="0.2">
      <c r="A562" s="84"/>
      <c r="B562" s="84"/>
      <c r="C562" s="60"/>
      <c r="D562" s="66"/>
      <c r="E562" s="66"/>
      <c r="F562" s="66"/>
      <c r="G562" s="66"/>
      <c r="H562" s="66"/>
      <c r="I562" s="66"/>
      <c r="J562" s="66"/>
      <c r="K562" s="66"/>
      <c r="L562" s="66"/>
      <c r="M562" s="66"/>
      <c r="N562" s="66"/>
    </row>
    <row r="563" spans="1:14" x14ac:dyDescent="0.2">
      <c r="A563" s="84"/>
      <c r="B563" s="84"/>
      <c r="C563" s="60"/>
      <c r="D563" s="66"/>
      <c r="E563" s="66"/>
      <c r="F563" s="66"/>
      <c r="G563" s="66"/>
      <c r="H563" s="66"/>
      <c r="I563" s="66"/>
      <c r="J563" s="66"/>
      <c r="K563" s="66"/>
      <c r="L563" s="66"/>
      <c r="M563" s="66"/>
      <c r="N563" s="66"/>
    </row>
    <row r="564" spans="1:14" x14ac:dyDescent="0.2">
      <c r="A564" s="84"/>
      <c r="B564" s="84"/>
      <c r="C564" s="60"/>
      <c r="D564" s="66"/>
      <c r="E564" s="66"/>
      <c r="F564" s="66"/>
      <c r="G564" s="66"/>
      <c r="H564" s="66"/>
      <c r="I564" s="66"/>
      <c r="J564" s="66"/>
      <c r="K564" s="66"/>
      <c r="L564" s="66"/>
      <c r="M564" s="66"/>
      <c r="N564" s="66"/>
    </row>
    <row r="565" spans="1:14" x14ac:dyDescent="0.2">
      <c r="A565" s="84"/>
      <c r="B565" s="84"/>
      <c r="C565" s="60"/>
      <c r="D565" s="66"/>
      <c r="E565" s="66"/>
      <c r="F565" s="66"/>
      <c r="G565" s="66"/>
      <c r="H565" s="66"/>
      <c r="I565" s="66"/>
      <c r="J565" s="66"/>
      <c r="K565" s="66"/>
      <c r="L565" s="66"/>
      <c r="M565" s="66"/>
      <c r="N565" s="66"/>
    </row>
    <row r="566" spans="1:14" x14ac:dyDescent="0.2">
      <c r="A566" s="84"/>
      <c r="B566" s="84"/>
      <c r="C566" s="60"/>
      <c r="D566" s="66"/>
      <c r="E566" s="66"/>
      <c r="F566" s="66"/>
      <c r="G566" s="66"/>
      <c r="H566" s="66"/>
      <c r="I566" s="66"/>
      <c r="J566" s="66"/>
      <c r="K566" s="66"/>
      <c r="L566" s="66"/>
      <c r="M566" s="66"/>
      <c r="N566" s="66"/>
    </row>
    <row r="567" spans="1:14" x14ac:dyDescent="0.2">
      <c r="A567" s="84"/>
      <c r="B567" s="84"/>
      <c r="C567" s="60"/>
      <c r="D567" s="66"/>
      <c r="E567" s="66"/>
      <c r="F567" s="66"/>
      <c r="G567" s="66"/>
      <c r="H567" s="66"/>
      <c r="I567" s="66"/>
      <c r="J567" s="66"/>
      <c r="K567" s="66"/>
      <c r="L567" s="66"/>
      <c r="M567" s="66"/>
      <c r="N567" s="66"/>
    </row>
    <row r="568" spans="1:14" x14ac:dyDescent="0.2">
      <c r="A568" s="84"/>
      <c r="B568" s="84"/>
      <c r="C568" s="60"/>
      <c r="D568" s="66"/>
      <c r="E568" s="66"/>
      <c r="F568" s="66"/>
      <c r="G568" s="66"/>
      <c r="H568" s="66"/>
      <c r="I568" s="66"/>
      <c r="J568" s="66"/>
      <c r="K568" s="66"/>
      <c r="L568" s="66"/>
      <c r="M568" s="66"/>
      <c r="N568" s="66"/>
    </row>
    <row r="569" spans="1:14" x14ac:dyDescent="0.2">
      <c r="A569" s="84"/>
      <c r="B569" s="84"/>
      <c r="C569" s="60"/>
      <c r="D569" s="66"/>
      <c r="E569" s="66"/>
      <c r="F569" s="66"/>
      <c r="G569" s="66"/>
      <c r="H569" s="66"/>
      <c r="I569" s="66"/>
      <c r="J569" s="66"/>
      <c r="K569" s="66"/>
      <c r="L569" s="66"/>
      <c r="M569" s="66"/>
      <c r="N569" s="66"/>
    </row>
    <row r="570" spans="1:14" x14ac:dyDescent="0.2">
      <c r="A570" s="84"/>
      <c r="B570" s="84"/>
      <c r="C570" s="60"/>
      <c r="D570" s="66"/>
      <c r="E570" s="66"/>
      <c r="F570" s="66"/>
      <c r="G570" s="66"/>
      <c r="H570" s="66"/>
      <c r="I570" s="66"/>
      <c r="J570" s="66"/>
      <c r="K570" s="66"/>
      <c r="L570" s="66"/>
      <c r="M570" s="66"/>
      <c r="N570" s="66"/>
    </row>
    <row r="571" spans="1:14" x14ac:dyDescent="0.2">
      <c r="A571" s="84"/>
      <c r="B571" s="84"/>
      <c r="C571" s="60"/>
      <c r="D571" s="66"/>
      <c r="E571" s="66"/>
      <c r="F571" s="66"/>
      <c r="G571" s="66"/>
      <c r="H571" s="66"/>
      <c r="I571" s="66"/>
      <c r="J571" s="66"/>
      <c r="K571" s="66"/>
      <c r="L571" s="66"/>
      <c r="M571" s="66"/>
      <c r="N571" s="66"/>
    </row>
    <row r="572" spans="1:14" x14ac:dyDescent="0.2">
      <c r="A572" s="84"/>
      <c r="B572" s="84"/>
      <c r="C572" s="60"/>
      <c r="D572" s="66"/>
      <c r="E572" s="66"/>
      <c r="F572" s="66"/>
      <c r="G572" s="66"/>
      <c r="H572" s="66"/>
      <c r="I572" s="66"/>
      <c r="J572" s="66"/>
      <c r="K572" s="66"/>
      <c r="L572" s="66"/>
      <c r="M572" s="66"/>
      <c r="N572" s="66"/>
    </row>
    <row r="573" spans="1:14" x14ac:dyDescent="0.2">
      <c r="A573" s="84"/>
      <c r="B573" s="84"/>
      <c r="C573" s="60"/>
      <c r="D573" s="66"/>
      <c r="E573" s="66"/>
      <c r="F573" s="66"/>
      <c r="G573" s="66"/>
      <c r="H573" s="66"/>
      <c r="I573" s="66"/>
      <c r="J573" s="66"/>
      <c r="K573" s="66"/>
      <c r="L573" s="66"/>
      <c r="M573" s="66"/>
      <c r="N573" s="66"/>
    </row>
    <row r="574" spans="1:14" x14ac:dyDescent="0.2">
      <c r="A574" s="84"/>
      <c r="B574" s="84"/>
      <c r="C574" s="60"/>
      <c r="D574" s="66"/>
      <c r="E574" s="66"/>
      <c r="F574" s="66"/>
      <c r="G574" s="66"/>
      <c r="H574" s="66"/>
      <c r="I574" s="66"/>
      <c r="J574" s="66"/>
      <c r="K574" s="66"/>
      <c r="L574" s="66"/>
      <c r="M574" s="66"/>
      <c r="N574" s="66"/>
    </row>
    <row r="575" spans="1:14" x14ac:dyDescent="0.2">
      <c r="A575" s="84"/>
      <c r="B575" s="84"/>
      <c r="C575" s="60"/>
      <c r="D575" s="66"/>
      <c r="E575" s="66"/>
      <c r="F575" s="66"/>
      <c r="G575" s="66"/>
      <c r="H575" s="66"/>
      <c r="I575" s="66"/>
      <c r="J575" s="66"/>
      <c r="K575" s="66"/>
      <c r="L575" s="66"/>
      <c r="M575" s="66"/>
      <c r="N575" s="66"/>
    </row>
    <row r="576" spans="1:14" x14ac:dyDescent="0.2">
      <c r="A576" s="84"/>
      <c r="B576" s="84"/>
      <c r="C576" s="60"/>
      <c r="D576" s="66"/>
      <c r="E576" s="66"/>
      <c r="F576" s="66"/>
      <c r="G576" s="66"/>
      <c r="H576" s="66"/>
      <c r="I576" s="66"/>
      <c r="J576" s="66"/>
      <c r="K576" s="66"/>
      <c r="L576" s="66"/>
      <c r="M576" s="66"/>
      <c r="N576" s="66"/>
    </row>
    <row r="577" spans="1:14" x14ac:dyDescent="0.2">
      <c r="A577" s="84"/>
      <c r="B577" s="84"/>
      <c r="C577" s="60"/>
      <c r="D577" s="66"/>
      <c r="E577" s="66"/>
      <c r="F577" s="66"/>
      <c r="G577" s="66"/>
      <c r="H577" s="66"/>
      <c r="I577" s="66"/>
      <c r="J577" s="66"/>
      <c r="K577" s="66"/>
      <c r="L577" s="66"/>
      <c r="M577" s="66"/>
      <c r="N577" s="66"/>
    </row>
    <row r="578" spans="1:14" x14ac:dyDescent="0.2">
      <c r="A578" s="84"/>
      <c r="B578" s="84"/>
      <c r="C578" s="60"/>
      <c r="D578" s="66"/>
      <c r="E578" s="66"/>
      <c r="F578" s="66"/>
      <c r="G578" s="66"/>
      <c r="H578" s="66"/>
      <c r="I578" s="66"/>
      <c r="J578" s="66"/>
      <c r="K578" s="66"/>
      <c r="L578" s="66"/>
      <c r="M578" s="66"/>
      <c r="N578" s="66"/>
    </row>
    <row r="579" spans="1:14" x14ac:dyDescent="0.2">
      <c r="A579" s="84"/>
      <c r="B579" s="84"/>
      <c r="C579" s="60"/>
      <c r="D579" s="66"/>
      <c r="E579" s="66"/>
      <c r="F579" s="66"/>
      <c r="G579" s="66"/>
      <c r="H579" s="66"/>
      <c r="I579" s="66"/>
      <c r="J579" s="66"/>
      <c r="K579" s="66"/>
      <c r="L579" s="66"/>
      <c r="M579" s="66"/>
      <c r="N579" s="66"/>
    </row>
    <row r="580" spans="1:14" x14ac:dyDescent="0.2">
      <c r="A580" s="84"/>
      <c r="B580" s="84"/>
      <c r="C580" s="60"/>
      <c r="D580" s="66"/>
      <c r="E580" s="66"/>
      <c r="F580" s="66"/>
      <c r="G580" s="66"/>
      <c r="H580" s="66"/>
      <c r="I580" s="66"/>
      <c r="J580" s="66"/>
      <c r="K580" s="66"/>
      <c r="L580" s="66"/>
      <c r="M580" s="66"/>
      <c r="N580" s="66"/>
    </row>
    <row r="581" spans="1:14" x14ac:dyDescent="0.2">
      <c r="A581" s="84"/>
      <c r="B581" s="84"/>
      <c r="C581" s="60"/>
      <c r="D581" s="66"/>
      <c r="E581" s="66"/>
      <c r="F581" s="66"/>
      <c r="G581" s="66"/>
      <c r="H581" s="66"/>
      <c r="I581" s="66"/>
      <c r="J581" s="66"/>
      <c r="K581" s="66"/>
      <c r="L581" s="66"/>
      <c r="M581" s="66"/>
      <c r="N581" s="66"/>
    </row>
    <row r="582" spans="1:14" x14ac:dyDescent="0.2">
      <c r="A582" s="84"/>
      <c r="B582" s="84"/>
      <c r="C582" s="60"/>
      <c r="D582" s="66"/>
      <c r="E582" s="66"/>
      <c r="F582" s="66"/>
      <c r="G582" s="66"/>
      <c r="H582" s="66"/>
      <c r="I582" s="66"/>
      <c r="J582" s="66"/>
      <c r="K582" s="66"/>
      <c r="L582" s="66"/>
      <c r="M582" s="66"/>
      <c r="N582" s="66"/>
    </row>
    <row r="583" spans="1:14" x14ac:dyDescent="0.2">
      <c r="A583" s="84"/>
      <c r="B583" s="84"/>
      <c r="C583" s="60"/>
      <c r="D583" s="66"/>
      <c r="E583" s="66"/>
      <c r="F583" s="66"/>
      <c r="G583" s="66"/>
      <c r="H583" s="66"/>
      <c r="I583" s="66"/>
      <c r="J583" s="66"/>
      <c r="K583" s="66"/>
      <c r="L583" s="66"/>
      <c r="M583" s="66"/>
      <c r="N583" s="66"/>
    </row>
    <row r="584" spans="1:14" x14ac:dyDescent="0.2">
      <c r="A584" s="84"/>
      <c r="B584" s="84"/>
      <c r="C584" s="60"/>
      <c r="D584" s="66"/>
      <c r="E584" s="66"/>
      <c r="F584" s="66"/>
      <c r="G584" s="66"/>
      <c r="H584" s="66"/>
      <c r="I584" s="66"/>
      <c r="J584" s="66"/>
      <c r="K584" s="66"/>
      <c r="L584" s="66"/>
      <c r="M584" s="66"/>
      <c r="N584" s="66"/>
    </row>
    <row r="585" spans="1:14" x14ac:dyDescent="0.2">
      <c r="A585" s="84"/>
      <c r="B585" s="84"/>
      <c r="C585" s="60"/>
      <c r="D585" s="66"/>
      <c r="E585" s="66"/>
      <c r="F585" s="66"/>
      <c r="G585" s="66"/>
      <c r="H585" s="66"/>
      <c r="I585" s="66"/>
      <c r="J585" s="66"/>
      <c r="K585" s="66"/>
      <c r="L585" s="66"/>
      <c r="M585" s="66"/>
      <c r="N585" s="66"/>
    </row>
    <row r="586" spans="1:14" x14ac:dyDescent="0.2">
      <c r="A586" s="84"/>
      <c r="B586" s="84"/>
      <c r="C586" s="60"/>
      <c r="D586" s="66"/>
      <c r="E586" s="66"/>
      <c r="F586" s="66"/>
      <c r="G586" s="66"/>
      <c r="H586" s="66"/>
      <c r="I586" s="66"/>
      <c r="J586" s="66"/>
      <c r="K586" s="66"/>
      <c r="L586" s="66"/>
      <c r="M586" s="66"/>
      <c r="N586" s="66"/>
    </row>
    <row r="587" spans="1:14" x14ac:dyDescent="0.2">
      <c r="A587" s="84"/>
      <c r="B587" s="84"/>
      <c r="C587" s="60"/>
      <c r="D587" s="66"/>
      <c r="E587" s="66"/>
      <c r="F587" s="66"/>
      <c r="G587" s="66"/>
      <c r="H587" s="66"/>
      <c r="I587" s="66"/>
      <c r="J587" s="66"/>
      <c r="K587" s="66"/>
      <c r="L587" s="66"/>
      <c r="M587" s="66"/>
      <c r="N587" s="66"/>
    </row>
    <row r="588" spans="1:14" x14ac:dyDescent="0.2">
      <c r="A588" s="84"/>
      <c r="B588" s="84"/>
      <c r="C588" s="60"/>
      <c r="D588" s="66"/>
      <c r="E588" s="66"/>
      <c r="F588" s="66"/>
      <c r="G588" s="66"/>
      <c r="H588" s="66"/>
      <c r="I588" s="66"/>
      <c r="J588" s="66"/>
      <c r="K588" s="66"/>
      <c r="L588" s="66"/>
      <c r="M588" s="66"/>
      <c r="N588" s="66"/>
    </row>
    <row r="589" spans="1:14" x14ac:dyDescent="0.2">
      <c r="A589" s="84"/>
      <c r="B589" s="84"/>
      <c r="C589" s="60"/>
      <c r="D589" s="66"/>
      <c r="E589" s="66"/>
      <c r="F589" s="66"/>
      <c r="G589" s="66"/>
      <c r="H589" s="66"/>
      <c r="I589" s="66"/>
      <c r="J589" s="66"/>
      <c r="K589" s="66"/>
      <c r="L589" s="66"/>
      <c r="M589" s="66"/>
      <c r="N589" s="66"/>
    </row>
    <row r="590" spans="1:14" x14ac:dyDescent="0.2">
      <c r="A590" s="84"/>
      <c r="B590" s="84"/>
      <c r="C590" s="60"/>
      <c r="D590" s="66"/>
      <c r="E590" s="66"/>
      <c r="F590" s="66"/>
      <c r="G590" s="66"/>
      <c r="H590" s="66"/>
      <c r="I590" s="66"/>
      <c r="J590" s="66"/>
      <c r="K590" s="66"/>
      <c r="L590" s="66"/>
      <c r="M590" s="66"/>
      <c r="N590" s="66"/>
    </row>
    <row r="591" spans="1:14" x14ac:dyDescent="0.2">
      <c r="A591" s="84"/>
      <c r="B591" s="84"/>
      <c r="C591" s="60"/>
      <c r="D591" s="66"/>
      <c r="E591" s="66"/>
      <c r="F591" s="66"/>
      <c r="G591" s="66"/>
      <c r="H591" s="66"/>
      <c r="I591" s="66"/>
      <c r="J591" s="66"/>
      <c r="K591" s="66"/>
      <c r="L591" s="66"/>
      <c r="M591" s="66"/>
      <c r="N591" s="66"/>
    </row>
    <row r="592" spans="1:14" x14ac:dyDescent="0.2">
      <c r="A592" s="84"/>
      <c r="B592" s="84"/>
      <c r="C592" s="60"/>
      <c r="D592" s="66"/>
      <c r="E592" s="66"/>
      <c r="F592" s="66"/>
      <c r="G592" s="66"/>
      <c r="H592" s="66"/>
      <c r="I592" s="66"/>
      <c r="J592" s="66"/>
      <c r="K592" s="66"/>
      <c r="L592" s="66"/>
      <c r="M592" s="66"/>
      <c r="N592" s="66"/>
    </row>
    <row r="593" spans="1:14" x14ac:dyDescent="0.2">
      <c r="A593" s="84"/>
      <c r="B593" s="84"/>
      <c r="C593" s="60"/>
      <c r="D593" s="66"/>
      <c r="E593" s="66"/>
      <c r="F593" s="66"/>
      <c r="G593" s="66"/>
      <c r="H593" s="66"/>
      <c r="I593" s="66"/>
      <c r="J593" s="66"/>
      <c r="K593" s="66"/>
      <c r="L593" s="66"/>
      <c r="M593" s="66"/>
      <c r="N593" s="66"/>
    </row>
    <row r="594" spans="1:14" x14ac:dyDescent="0.2">
      <c r="A594" s="84"/>
      <c r="B594" s="84"/>
      <c r="C594" s="60"/>
      <c r="D594" s="66"/>
      <c r="E594" s="66"/>
      <c r="F594" s="66"/>
      <c r="G594" s="66"/>
      <c r="H594" s="66"/>
      <c r="I594" s="66"/>
      <c r="J594" s="66"/>
      <c r="K594" s="66"/>
      <c r="L594" s="66"/>
      <c r="M594" s="66"/>
      <c r="N594" s="66"/>
    </row>
    <row r="595" spans="1:14" x14ac:dyDescent="0.2">
      <c r="A595" s="84"/>
      <c r="B595" s="84"/>
      <c r="C595" s="60"/>
      <c r="D595" s="66"/>
      <c r="E595" s="66"/>
      <c r="F595" s="66"/>
      <c r="G595" s="66"/>
      <c r="H595" s="66"/>
      <c r="I595" s="66"/>
      <c r="J595" s="66"/>
      <c r="K595" s="66"/>
      <c r="L595" s="66"/>
      <c r="M595" s="66"/>
      <c r="N595" s="66"/>
    </row>
    <row r="596" spans="1:14" x14ac:dyDescent="0.2">
      <c r="A596" s="84"/>
      <c r="B596" s="84"/>
      <c r="C596" s="60"/>
      <c r="D596" s="66"/>
      <c r="E596" s="66"/>
      <c r="F596" s="66"/>
      <c r="G596" s="66"/>
      <c r="H596" s="66"/>
      <c r="I596" s="66"/>
      <c r="J596" s="66"/>
      <c r="K596" s="66"/>
      <c r="L596" s="66"/>
      <c r="M596" s="66"/>
      <c r="N596" s="66"/>
    </row>
    <row r="597" spans="1:14" x14ac:dyDescent="0.2">
      <c r="A597" s="84"/>
      <c r="B597" s="84"/>
      <c r="C597" s="60"/>
      <c r="D597" s="66"/>
      <c r="E597" s="66"/>
      <c r="F597" s="66"/>
      <c r="G597" s="66"/>
      <c r="H597" s="66"/>
      <c r="I597" s="66"/>
      <c r="J597" s="66"/>
      <c r="K597" s="66"/>
      <c r="L597" s="66"/>
      <c r="M597" s="66"/>
      <c r="N597" s="66"/>
    </row>
    <row r="598" spans="1:14" x14ac:dyDescent="0.2">
      <c r="A598" s="84"/>
      <c r="B598" s="84"/>
      <c r="C598" s="60"/>
      <c r="D598" s="66"/>
      <c r="E598" s="66"/>
      <c r="F598" s="66"/>
      <c r="G598" s="66"/>
      <c r="H598" s="66"/>
      <c r="I598" s="66"/>
      <c r="J598" s="66"/>
      <c r="K598" s="66"/>
      <c r="L598" s="66"/>
      <c r="M598" s="66"/>
      <c r="N598" s="66"/>
    </row>
    <row r="599" spans="1:14" x14ac:dyDescent="0.2">
      <c r="A599" s="84"/>
      <c r="B599" s="84"/>
      <c r="C599" s="60"/>
      <c r="D599" s="66"/>
      <c r="E599" s="66"/>
      <c r="F599" s="66"/>
      <c r="G599" s="66"/>
      <c r="H599" s="66"/>
      <c r="I599" s="66"/>
      <c r="J599" s="66"/>
      <c r="K599" s="66"/>
      <c r="L599" s="66"/>
      <c r="M599" s="66"/>
      <c r="N599" s="66"/>
    </row>
    <row r="600" spans="1:14" x14ac:dyDescent="0.2">
      <c r="A600" s="84"/>
      <c r="B600" s="84"/>
      <c r="C600" s="60"/>
      <c r="D600" s="66"/>
      <c r="E600" s="66"/>
      <c r="F600" s="66"/>
      <c r="G600" s="66"/>
      <c r="H600" s="66"/>
      <c r="I600" s="66"/>
      <c r="J600" s="66"/>
      <c r="K600" s="66"/>
      <c r="L600" s="66"/>
      <c r="M600" s="66"/>
      <c r="N600" s="66"/>
    </row>
    <row r="601" spans="1:14" x14ac:dyDescent="0.2">
      <c r="A601" s="84"/>
      <c r="B601" s="84"/>
      <c r="C601" s="60"/>
      <c r="D601" s="66"/>
      <c r="E601" s="66"/>
      <c r="F601" s="66"/>
      <c r="G601" s="66"/>
      <c r="H601" s="66"/>
      <c r="I601" s="66"/>
      <c r="J601" s="66"/>
      <c r="K601" s="66"/>
      <c r="L601" s="66"/>
      <c r="M601" s="66"/>
      <c r="N601" s="66"/>
    </row>
    <row r="602" spans="1:14" x14ac:dyDescent="0.2">
      <c r="A602" s="84"/>
      <c r="B602" s="84"/>
      <c r="C602" s="60"/>
      <c r="D602" s="66"/>
      <c r="E602" s="66"/>
      <c r="F602" s="66"/>
      <c r="G602" s="66"/>
      <c r="H602" s="66"/>
      <c r="I602" s="66"/>
      <c r="J602" s="66"/>
      <c r="K602" s="66"/>
      <c r="L602" s="66"/>
      <c r="M602" s="66"/>
      <c r="N602" s="66"/>
    </row>
    <row r="603" spans="1:14" x14ac:dyDescent="0.2">
      <c r="A603" s="84"/>
      <c r="B603" s="84"/>
      <c r="C603" s="60"/>
      <c r="D603" s="66"/>
      <c r="E603" s="66"/>
      <c r="F603" s="66"/>
      <c r="G603" s="66"/>
      <c r="H603" s="66"/>
      <c r="I603" s="66"/>
      <c r="J603" s="66"/>
      <c r="K603" s="66"/>
      <c r="L603" s="66"/>
      <c r="M603" s="66"/>
      <c r="N603" s="66"/>
    </row>
    <row r="604" spans="1:14" x14ac:dyDescent="0.2">
      <c r="A604" s="84"/>
      <c r="B604" s="84"/>
      <c r="C604" s="60"/>
      <c r="D604" s="66"/>
      <c r="E604" s="66"/>
      <c r="F604" s="66"/>
      <c r="G604" s="66"/>
      <c r="H604" s="66"/>
      <c r="I604" s="66"/>
      <c r="J604" s="66"/>
      <c r="K604" s="66"/>
      <c r="L604" s="66"/>
      <c r="M604" s="66"/>
      <c r="N604" s="66"/>
    </row>
    <row r="605" spans="1:14" x14ac:dyDescent="0.2">
      <c r="A605" s="84"/>
      <c r="B605" s="84"/>
      <c r="C605" s="60"/>
      <c r="D605" s="66"/>
      <c r="E605" s="66"/>
      <c r="F605" s="66"/>
      <c r="G605" s="66"/>
      <c r="H605" s="66"/>
      <c r="I605" s="66"/>
      <c r="J605" s="66"/>
      <c r="K605" s="66"/>
      <c r="L605" s="66"/>
      <c r="M605" s="66"/>
      <c r="N605" s="66"/>
    </row>
    <row r="606" spans="1:14" x14ac:dyDescent="0.2">
      <c r="A606" s="84"/>
      <c r="B606" s="84"/>
      <c r="C606" s="60"/>
      <c r="D606" s="66"/>
      <c r="E606" s="66"/>
      <c r="F606" s="66"/>
      <c r="G606" s="66"/>
      <c r="H606" s="66"/>
      <c r="I606" s="66"/>
      <c r="J606" s="66"/>
      <c r="K606" s="66"/>
      <c r="L606" s="66"/>
      <c r="M606" s="66"/>
      <c r="N606" s="66"/>
    </row>
    <row r="607" spans="1:14" x14ac:dyDescent="0.2">
      <c r="A607" s="84"/>
      <c r="B607" s="84"/>
      <c r="C607" s="60"/>
      <c r="D607" s="66"/>
      <c r="E607" s="66"/>
      <c r="F607" s="66"/>
      <c r="G607" s="66"/>
      <c r="H607" s="66"/>
      <c r="I607" s="66"/>
      <c r="J607" s="66"/>
      <c r="K607" s="66"/>
      <c r="L607" s="66"/>
      <c r="M607" s="66"/>
      <c r="N607" s="66"/>
    </row>
    <row r="608" spans="1:14" x14ac:dyDescent="0.2">
      <c r="A608" s="84"/>
      <c r="B608" s="84"/>
      <c r="C608" s="60"/>
      <c r="D608" s="66"/>
      <c r="E608" s="66"/>
      <c r="F608" s="66"/>
      <c r="G608" s="66"/>
      <c r="H608" s="66"/>
      <c r="I608" s="66"/>
      <c r="J608" s="66"/>
      <c r="K608" s="66"/>
      <c r="L608" s="66"/>
      <c r="M608" s="66"/>
      <c r="N608" s="66"/>
    </row>
    <row r="609" spans="1:14" x14ac:dyDescent="0.2">
      <c r="A609" s="84"/>
      <c r="B609" s="84"/>
      <c r="C609" s="60"/>
      <c r="D609" s="66"/>
      <c r="E609" s="66"/>
      <c r="F609" s="66"/>
      <c r="G609" s="66"/>
      <c r="H609" s="66"/>
      <c r="I609" s="66"/>
      <c r="J609" s="66"/>
      <c r="K609" s="66"/>
      <c r="L609" s="66"/>
      <c r="M609" s="66"/>
      <c r="N609" s="66"/>
    </row>
    <row r="610" spans="1:14" x14ac:dyDescent="0.2">
      <c r="A610" s="84"/>
      <c r="B610" s="84"/>
      <c r="C610" s="60"/>
      <c r="D610" s="66"/>
      <c r="E610" s="66"/>
      <c r="F610" s="66"/>
      <c r="G610" s="66"/>
      <c r="H610" s="66"/>
      <c r="I610" s="66"/>
      <c r="J610" s="66"/>
      <c r="K610" s="66"/>
      <c r="L610" s="66"/>
      <c r="M610" s="66"/>
      <c r="N610" s="66"/>
    </row>
    <row r="611" spans="1:14" x14ac:dyDescent="0.2">
      <c r="A611" s="84"/>
      <c r="B611" s="84"/>
      <c r="C611" s="60"/>
      <c r="D611" s="66"/>
      <c r="E611" s="66"/>
      <c r="F611" s="66"/>
      <c r="G611" s="66"/>
      <c r="H611" s="66"/>
      <c r="I611" s="66"/>
      <c r="J611" s="66"/>
      <c r="K611" s="66"/>
      <c r="L611" s="66"/>
      <c r="M611" s="66"/>
      <c r="N611" s="66"/>
    </row>
    <row r="612" spans="1:14" x14ac:dyDescent="0.2">
      <c r="A612" s="84"/>
      <c r="B612" s="84"/>
      <c r="C612" s="60"/>
      <c r="D612" s="66"/>
      <c r="E612" s="66"/>
      <c r="F612" s="66"/>
      <c r="G612" s="66"/>
      <c r="H612" s="66"/>
      <c r="I612" s="66"/>
      <c r="J612" s="66"/>
      <c r="K612" s="66"/>
      <c r="L612" s="66"/>
      <c r="M612" s="66"/>
      <c r="N612" s="66"/>
    </row>
    <row r="613" spans="1:14" x14ac:dyDescent="0.2">
      <c r="A613" s="84"/>
      <c r="B613" s="84"/>
      <c r="C613" s="60"/>
      <c r="D613" s="66"/>
      <c r="E613" s="66"/>
      <c r="F613" s="66"/>
      <c r="G613" s="66"/>
      <c r="H613" s="66"/>
      <c r="I613" s="66"/>
      <c r="J613" s="66"/>
      <c r="K613" s="66"/>
      <c r="L613" s="66"/>
      <c r="M613" s="66"/>
      <c r="N613" s="66"/>
    </row>
    <row r="614" spans="1:14" x14ac:dyDescent="0.2">
      <c r="A614" s="84"/>
      <c r="B614" s="84"/>
      <c r="C614" s="60"/>
      <c r="D614" s="66"/>
      <c r="E614" s="66"/>
      <c r="F614" s="66"/>
      <c r="G614" s="66"/>
      <c r="H614" s="66"/>
      <c r="I614" s="66"/>
      <c r="J614" s="66"/>
      <c r="K614" s="66"/>
      <c r="L614" s="66"/>
      <c r="M614" s="66"/>
      <c r="N614" s="66"/>
    </row>
    <row r="615" spans="1:14" x14ac:dyDescent="0.2">
      <c r="A615" s="84"/>
      <c r="B615" s="84"/>
      <c r="C615" s="60"/>
      <c r="D615" s="66"/>
      <c r="E615" s="66"/>
      <c r="F615" s="66"/>
      <c r="G615" s="66"/>
      <c r="H615" s="66"/>
      <c r="I615" s="66"/>
      <c r="J615" s="66"/>
      <c r="K615" s="66"/>
      <c r="L615" s="66"/>
      <c r="M615" s="66"/>
      <c r="N615" s="66"/>
    </row>
    <row r="616" spans="1:14" x14ac:dyDescent="0.2">
      <c r="A616" s="84"/>
      <c r="B616" s="84"/>
      <c r="C616" s="60"/>
      <c r="D616" s="66"/>
      <c r="E616" s="66"/>
      <c r="F616" s="66"/>
      <c r="G616" s="66"/>
      <c r="H616" s="66"/>
      <c r="I616" s="66"/>
      <c r="J616" s="66"/>
      <c r="K616" s="66"/>
      <c r="L616" s="66"/>
      <c r="M616" s="66"/>
      <c r="N616" s="66"/>
    </row>
    <row r="617" spans="1:14" x14ac:dyDescent="0.2">
      <c r="A617" s="84"/>
      <c r="B617" s="84"/>
      <c r="C617" s="60"/>
      <c r="D617" s="66"/>
      <c r="E617" s="66"/>
      <c r="F617" s="66"/>
      <c r="G617" s="66"/>
      <c r="H617" s="66"/>
      <c r="I617" s="66"/>
      <c r="J617" s="66"/>
      <c r="K617" s="66"/>
      <c r="L617" s="66"/>
      <c r="M617" s="66"/>
      <c r="N617" s="66"/>
    </row>
    <row r="618" spans="1:14" x14ac:dyDescent="0.2">
      <c r="A618" s="84"/>
      <c r="B618" s="84"/>
      <c r="C618" s="60"/>
      <c r="D618" s="66"/>
      <c r="E618" s="66"/>
      <c r="F618" s="66"/>
      <c r="G618" s="66"/>
      <c r="H618" s="66"/>
      <c r="I618" s="66"/>
      <c r="J618" s="66"/>
      <c r="K618" s="66"/>
      <c r="L618" s="66"/>
      <c r="M618" s="66"/>
      <c r="N618" s="66"/>
    </row>
    <row r="619" spans="1:14" x14ac:dyDescent="0.2">
      <c r="A619" s="84"/>
      <c r="B619" s="84"/>
      <c r="C619" s="60"/>
      <c r="D619" s="66"/>
      <c r="E619" s="66"/>
      <c r="F619" s="66"/>
      <c r="G619" s="66"/>
      <c r="H619" s="66"/>
      <c r="I619" s="66"/>
      <c r="J619" s="66"/>
      <c r="K619" s="66"/>
      <c r="L619" s="66"/>
      <c r="M619" s="66"/>
      <c r="N619" s="66"/>
    </row>
    <row r="620" spans="1:14" x14ac:dyDescent="0.2">
      <c r="A620" s="84"/>
      <c r="B620" s="84"/>
      <c r="C620" s="60"/>
      <c r="D620" s="66"/>
      <c r="E620" s="66"/>
      <c r="F620" s="66"/>
      <c r="G620" s="66"/>
      <c r="H620" s="66"/>
      <c r="I620" s="66"/>
      <c r="J620" s="66"/>
      <c r="K620" s="66"/>
      <c r="L620" s="66"/>
      <c r="M620" s="66"/>
      <c r="N620" s="66"/>
    </row>
    <row r="621" spans="1:14" x14ac:dyDescent="0.2">
      <c r="A621" s="84"/>
      <c r="B621" s="84"/>
      <c r="C621" s="60"/>
      <c r="D621" s="66"/>
      <c r="E621" s="66"/>
      <c r="F621" s="66"/>
      <c r="G621" s="66"/>
      <c r="H621" s="66"/>
      <c r="I621" s="66"/>
      <c r="J621" s="66"/>
      <c r="K621" s="66"/>
      <c r="L621" s="66"/>
      <c r="M621" s="66"/>
      <c r="N621" s="66"/>
    </row>
    <row r="622" spans="1:14" x14ac:dyDescent="0.2">
      <c r="A622" s="84"/>
      <c r="B622" s="84"/>
      <c r="C622" s="60"/>
      <c r="D622" s="66"/>
      <c r="E622" s="66"/>
      <c r="F622" s="66"/>
      <c r="G622" s="66"/>
      <c r="H622" s="66"/>
      <c r="I622" s="66"/>
      <c r="J622" s="66"/>
      <c r="K622" s="66"/>
      <c r="L622" s="66"/>
      <c r="M622" s="66"/>
      <c r="N622" s="66"/>
    </row>
    <row r="623" spans="1:14" x14ac:dyDescent="0.2">
      <c r="A623" s="84"/>
      <c r="B623" s="84"/>
      <c r="C623" s="60"/>
      <c r="D623" s="66"/>
      <c r="E623" s="66"/>
      <c r="F623" s="66"/>
      <c r="G623" s="66"/>
      <c r="H623" s="66"/>
      <c r="I623" s="66"/>
      <c r="J623" s="66"/>
      <c r="K623" s="66"/>
      <c r="L623" s="66"/>
      <c r="M623" s="66"/>
      <c r="N623" s="66"/>
    </row>
    <row r="624" spans="1:14" x14ac:dyDescent="0.2">
      <c r="A624" s="84"/>
      <c r="B624" s="84"/>
      <c r="C624" s="60"/>
      <c r="D624" s="66"/>
      <c r="E624" s="66"/>
      <c r="F624" s="66"/>
      <c r="G624" s="66"/>
      <c r="H624" s="66"/>
      <c r="I624" s="66"/>
      <c r="J624" s="66"/>
      <c r="K624" s="66"/>
      <c r="L624" s="66"/>
      <c r="M624" s="66"/>
      <c r="N624" s="66"/>
    </row>
    <row r="625" spans="1:14" x14ac:dyDescent="0.2">
      <c r="A625" s="84"/>
      <c r="B625" s="84"/>
      <c r="C625" s="60"/>
      <c r="D625" s="66"/>
      <c r="E625" s="66"/>
      <c r="F625" s="66"/>
      <c r="G625" s="66"/>
      <c r="H625" s="66"/>
      <c r="I625" s="66"/>
      <c r="J625" s="66"/>
      <c r="K625" s="66"/>
      <c r="L625" s="66"/>
      <c r="M625" s="66"/>
      <c r="N625" s="66"/>
    </row>
    <row r="626" spans="1:14" x14ac:dyDescent="0.2">
      <c r="A626" s="84"/>
      <c r="B626" s="84"/>
      <c r="C626" s="60"/>
      <c r="D626" s="66"/>
      <c r="E626" s="66"/>
      <c r="F626" s="66"/>
      <c r="G626" s="66"/>
      <c r="H626" s="66"/>
      <c r="I626" s="66"/>
      <c r="J626" s="66"/>
      <c r="K626" s="66"/>
      <c r="L626" s="66"/>
      <c r="M626" s="66"/>
      <c r="N626" s="66"/>
    </row>
    <row r="627" spans="1:14" x14ac:dyDescent="0.2">
      <c r="A627" s="84"/>
      <c r="B627" s="84"/>
      <c r="C627" s="60"/>
      <c r="D627" s="66"/>
      <c r="E627" s="66"/>
      <c r="F627" s="66"/>
      <c r="G627" s="66"/>
      <c r="H627" s="66"/>
      <c r="I627" s="66"/>
      <c r="J627" s="66"/>
      <c r="K627" s="66"/>
      <c r="L627" s="66"/>
      <c r="M627" s="66"/>
      <c r="N627" s="66"/>
    </row>
    <row r="628" spans="1:14" x14ac:dyDescent="0.2">
      <c r="A628" s="84"/>
      <c r="B628" s="84"/>
      <c r="C628" s="60"/>
      <c r="D628" s="66"/>
      <c r="E628" s="66"/>
      <c r="F628" s="66"/>
      <c r="G628" s="66"/>
      <c r="H628" s="66"/>
      <c r="I628" s="66"/>
      <c r="J628" s="66"/>
      <c r="K628" s="66"/>
      <c r="L628" s="66"/>
      <c r="M628" s="66"/>
      <c r="N628" s="66"/>
    </row>
    <row r="629" spans="1:14" x14ac:dyDescent="0.2">
      <c r="A629" s="84"/>
      <c r="B629" s="84"/>
      <c r="C629" s="60"/>
      <c r="D629" s="66"/>
      <c r="E629" s="66"/>
      <c r="F629" s="66"/>
      <c r="G629" s="66"/>
      <c r="H629" s="66"/>
      <c r="I629" s="66"/>
      <c r="J629" s="66"/>
      <c r="K629" s="66"/>
      <c r="L629" s="66"/>
      <c r="M629" s="66"/>
      <c r="N629" s="66"/>
    </row>
    <row r="630" spans="1:14" x14ac:dyDescent="0.2">
      <c r="A630" s="84"/>
      <c r="B630" s="84"/>
      <c r="C630" s="60"/>
      <c r="D630" s="66"/>
      <c r="E630" s="66"/>
      <c r="F630" s="66"/>
      <c r="G630" s="66"/>
      <c r="H630" s="66"/>
      <c r="I630" s="66"/>
      <c r="J630" s="66"/>
      <c r="K630" s="66"/>
      <c r="L630" s="66"/>
      <c r="M630" s="66"/>
      <c r="N630" s="66"/>
    </row>
    <row r="631" spans="1:14" x14ac:dyDescent="0.2">
      <c r="A631" s="84"/>
      <c r="B631" s="84"/>
      <c r="C631" s="60"/>
      <c r="D631" s="66"/>
      <c r="E631" s="66"/>
      <c r="F631" s="66"/>
      <c r="G631" s="66"/>
      <c r="H631" s="66"/>
      <c r="I631" s="66"/>
      <c r="J631" s="66"/>
      <c r="K631" s="66"/>
      <c r="L631" s="66"/>
      <c r="M631" s="66"/>
      <c r="N631" s="66"/>
    </row>
    <row r="632" spans="1:14" x14ac:dyDescent="0.2">
      <c r="A632" s="84"/>
      <c r="B632" s="84"/>
      <c r="C632" s="60"/>
      <c r="D632" s="66"/>
      <c r="E632" s="66"/>
      <c r="F632" s="66"/>
      <c r="G632" s="66"/>
      <c r="H632" s="66"/>
      <c r="I632" s="66"/>
      <c r="J632" s="66"/>
      <c r="K632" s="66"/>
      <c r="L632" s="66"/>
      <c r="M632" s="66"/>
      <c r="N632" s="66"/>
    </row>
    <row r="633" spans="1:14" x14ac:dyDescent="0.2">
      <c r="A633" s="84"/>
      <c r="B633" s="84"/>
      <c r="C633" s="60"/>
      <c r="D633" s="66"/>
      <c r="E633" s="66"/>
      <c r="F633" s="66"/>
      <c r="G633" s="66"/>
      <c r="H633" s="66"/>
      <c r="I633" s="66"/>
      <c r="J633" s="66"/>
      <c r="K633" s="66"/>
      <c r="L633" s="66"/>
      <c r="M633" s="66"/>
      <c r="N633" s="66"/>
    </row>
    <row r="634" spans="1:14" x14ac:dyDescent="0.2">
      <c r="A634" s="84"/>
      <c r="B634" s="84"/>
      <c r="C634" s="60"/>
      <c r="D634" s="66"/>
      <c r="E634" s="66"/>
      <c r="F634" s="66"/>
      <c r="G634" s="66"/>
      <c r="H634" s="66"/>
      <c r="I634" s="66"/>
      <c r="J634" s="66"/>
      <c r="K634" s="66"/>
      <c r="L634" s="66"/>
      <c r="M634" s="66"/>
      <c r="N634" s="66"/>
    </row>
    <row r="635" spans="1:14" x14ac:dyDescent="0.2">
      <c r="A635" s="84"/>
      <c r="B635" s="84"/>
      <c r="C635" s="60"/>
      <c r="D635" s="66"/>
      <c r="E635" s="66"/>
      <c r="F635" s="66"/>
      <c r="G635" s="66"/>
      <c r="H635" s="66"/>
      <c r="I635" s="66"/>
      <c r="J635" s="66"/>
      <c r="K635" s="66"/>
      <c r="L635" s="66"/>
      <c r="M635" s="66"/>
      <c r="N635" s="66"/>
    </row>
    <row r="636" spans="1:14" x14ac:dyDescent="0.2">
      <c r="A636" s="84"/>
      <c r="B636" s="84"/>
      <c r="C636" s="60"/>
      <c r="D636" s="66"/>
      <c r="E636" s="66"/>
      <c r="F636" s="66"/>
      <c r="G636" s="66"/>
      <c r="H636" s="66"/>
      <c r="I636" s="66"/>
      <c r="J636" s="66"/>
      <c r="K636" s="66"/>
      <c r="L636" s="66"/>
      <c r="M636" s="66"/>
      <c r="N636" s="66"/>
    </row>
    <row r="637" spans="1:14" x14ac:dyDescent="0.2">
      <c r="A637" s="84"/>
      <c r="B637" s="84"/>
      <c r="C637" s="60"/>
      <c r="D637" s="66"/>
      <c r="E637" s="66"/>
      <c r="F637" s="66"/>
      <c r="G637" s="66"/>
      <c r="H637" s="66"/>
      <c r="I637" s="66"/>
      <c r="J637" s="66"/>
      <c r="K637" s="66"/>
      <c r="L637" s="66"/>
      <c r="M637" s="66"/>
      <c r="N637" s="66"/>
    </row>
    <row r="638" spans="1:14" x14ac:dyDescent="0.2">
      <c r="A638" s="84"/>
      <c r="B638" s="84"/>
      <c r="C638" s="60"/>
      <c r="D638" s="66"/>
      <c r="E638" s="66"/>
      <c r="F638" s="66"/>
      <c r="G638" s="66"/>
      <c r="H638" s="66"/>
      <c r="I638" s="66"/>
      <c r="J638" s="66"/>
      <c r="K638" s="66"/>
      <c r="L638" s="66"/>
      <c r="M638" s="66"/>
      <c r="N638" s="66"/>
    </row>
    <row r="639" spans="1:14" x14ac:dyDescent="0.2">
      <c r="A639" s="84"/>
      <c r="B639" s="84"/>
      <c r="C639" s="60"/>
      <c r="D639" s="66"/>
      <c r="E639" s="66"/>
      <c r="F639" s="66"/>
      <c r="G639" s="66"/>
      <c r="H639" s="66"/>
      <c r="I639" s="66"/>
      <c r="J639" s="66"/>
      <c r="K639" s="66"/>
      <c r="L639" s="66"/>
      <c r="M639" s="66"/>
      <c r="N639" s="66"/>
    </row>
    <row r="640" spans="1:14" x14ac:dyDescent="0.2">
      <c r="A640" s="84"/>
      <c r="B640" s="84"/>
      <c r="C640" s="60"/>
      <c r="D640" s="66"/>
      <c r="E640" s="66"/>
      <c r="F640" s="66"/>
      <c r="G640" s="66"/>
      <c r="H640" s="66"/>
      <c r="I640" s="66"/>
      <c r="J640" s="66"/>
      <c r="K640" s="66"/>
      <c r="L640" s="66"/>
      <c r="M640" s="66"/>
      <c r="N640" s="66"/>
    </row>
    <row r="641" spans="1:14" x14ac:dyDescent="0.2">
      <c r="A641" s="84"/>
      <c r="B641" s="84"/>
      <c r="C641" s="60"/>
      <c r="D641" s="66"/>
      <c r="E641" s="66"/>
      <c r="F641" s="66"/>
      <c r="G641" s="66"/>
      <c r="H641" s="66"/>
      <c r="I641" s="66"/>
      <c r="J641" s="66"/>
      <c r="K641" s="66"/>
      <c r="L641" s="66"/>
      <c r="M641" s="66"/>
      <c r="N641" s="66"/>
    </row>
    <row r="642" spans="1:14" x14ac:dyDescent="0.2">
      <c r="A642" s="84"/>
      <c r="B642" s="84"/>
      <c r="C642" s="60"/>
      <c r="D642" s="66"/>
      <c r="E642" s="66"/>
      <c r="F642" s="66"/>
      <c r="G642" s="66"/>
      <c r="H642" s="66"/>
      <c r="I642" s="66"/>
      <c r="J642" s="66"/>
      <c r="K642" s="66"/>
      <c r="L642" s="66"/>
      <c r="M642" s="66"/>
      <c r="N642" s="66"/>
    </row>
    <row r="643" spans="1:14" x14ac:dyDescent="0.2">
      <c r="A643" s="84"/>
      <c r="B643" s="84"/>
      <c r="C643" s="60"/>
      <c r="D643" s="66"/>
      <c r="E643" s="66"/>
      <c r="F643" s="66"/>
      <c r="G643" s="66"/>
      <c r="H643" s="66"/>
      <c r="I643" s="66"/>
      <c r="J643" s="66"/>
      <c r="K643" s="66"/>
      <c r="L643" s="66"/>
      <c r="M643" s="66"/>
      <c r="N643" s="66"/>
    </row>
    <row r="644" spans="1:14" x14ac:dyDescent="0.2">
      <c r="A644" s="84"/>
      <c r="B644" s="84"/>
      <c r="C644" s="60"/>
      <c r="D644" s="66"/>
      <c r="E644" s="66"/>
      <c r="F644" s="66"/>
      <c r="G644" s="66"/>
      <c r="H644" s="66"/>
      <c r="I644" s="66"/>
      <c r="J644" s="66"/>
      <c r="K644" s="66"/>
      <c r="L644" s="66"/>
      <c r="M644" s="66"/>
      <c r="N644" s="66"/>
    </row>
    <row r="645" spans="1:14" x14ac:dyDescent="0.2">
      <c r="A645" s="84"/>
      <c r="B645" s="84"/>
      <c r="C645" s="60"/>
      <c r="D645" s="66"/>
      <c r="E645" s="66"/>
      <c r="F645" s="66"/>
      <c r="G645" s="66"/>
      <c r="H645" s="66"/>
      <c r="I645" s="66"/>
      <c r="J645" s="66"/>
      <c r="K645" s="66"/>
      <c r="L645" s="66"/>
      <c r="M645" s="66"/>
      <c r="N645" s="66"/>
    </row>
    <row r="646" spans="1:14" x14ac:dyDescent="0.2">
      <c r="A646" s="84"/>
      <c r="B646" s="84"/>
      <c r="C646" s="60"/>
      <c r="D646" s="66"/>
      <c r="E646" s="66"/>
      <c r="F646" s="66"/>
      <c r="G646" s="66"/>
      <c r="H646" s="66"/>
      <c r="I646" s="66"/>
      <c r="J646" s="66"/>
      <c r="K646" s="66"/>
      <c r="L646" s="66"/>
      <c r="M646" s="66"/>
      <c r="N646" s="66"/>
    </row>
    <row r="647" spans="1:14" x14ac:dyDescent="0.2">
      <c r="A647" s="84"/>
      <c r="B647" s="84"/>
      <c r="C647" s="60"/>
      <c r="D647" s="66"/>
      <c r="E647" s="66"/>
      <c r="F647" s="66"/>
      <c r="G647" s="66"/>
      <c r="H647" s="66"/>
      <c r="I647" s="66"/>
      <c r="J647" s="66"/>
      <c r="K647" s="66"/>
      <c r="L647" s="66"/>
      <c r="M647" s="66"/>
      <c r="N647" s="66"/>
    </row>
    <row r="648" spans="1:14" x14ac:dyDescent="0.2">
      <c r="A648" s="84"/>
      <c r="B648" s="84"/>
      <c r="C648" s="60"/>
      <c r="D648" s="66"/>
      <c r="E648" s="66"/>
      <c r="F648" s="66"/>
      <c r="G648" s="66"/>
      <c r="H648" s="66"/>
      <c r="I648" s="66"/>
      <c r="J648" s="66"/>
      <c r="K648" s="66"/>
      <c r="L648" s="66"/>
      <c r="M648" s="66"/>
      <c r="N648" s="66"/>
    </row>
    <row r="649" spans="1:14" x14ac:dyDescent="0.2">
      <c r="A649" s="84"/>
      <c r="B649" s="84"/>
      <c r="C649" s="60"/>
      <c r="D649" s="66"/>
      <c r="E649" s="66"/>
      <c r="F649" s="66"/>
      <c r="G649" s="66"/>
      <c r="H649" s="66"/>
      <c r="I649" s="66"/>
      <c r="J649" s="66"/>
      <c r="K649" s="66"/>
      <c r="L649" s="66"/>
      <c r="M649" s="66"/>
      <c r="N649" s="66"/>
    </row>
    <row r="650" spans="1:14" x14ac:dyDescent="0.2">
      <c r="A650" s="84"/>
      <c r="B650" s="84"/>
      <c r="C650" s="60"/>
      <c r="D650" s="66"/>
      <c r="E650" s="66"/>
      <c r="F650" s="66"/>
      <c r="G650" s="66"/>
      <c r="H650" s="66"/>
      <c r="I650" s="66"/>
      <c r="J650" s="66"/>
      <c r="K650" s="66"/>
      <c r="L650" s="66"/>
      <c r="M650" s="66"/>
      <c r="N650" s="66"/>
    </row>
    <row r="651" spans="1:14" x14ac:dyDescent="0.2">
      <c r="A651" s="84"/>
      <c r="B651" s="84"/>
      <c r="C651" s="60"/>
      <c r="D651" s="66"/>
      <c r="E651" s="66"/>
      <c r="F651" s="66"/>
      <c r="G651" s="66"/>
      <c r="H651" s="66"/>
      <c r="I651" s="66"/>
      <c r="J651" s="66"/>
      <c r="K651" s="66"/>
      <c r="L651" s="66"/>
      <c r="M651" s="66"/>
      <c r="N651" s="66"/>
    </row>
    <row r="652" spans="1:14" x14ac:dyDescent="0.2">
      <c r="A652" s="84"/>
      <c r="B652" s="84"/>
      <c r="C652" s="60"/>
      <c r="D652" s="66"/>
      <c r="E652" s="66"/>
      <c r="F652" s="66"/>
      <c r="G652" s="66"/>
      <c r="H652" s="66"/>
      <c r="I652" s="66"/>
      <c r="J652" s="66"/>
      <c r="K652" s="66"/>
      <c r="L652" s="66"/>
      <c r="M652" s="66"/>
      <c r="N652" s="66"/>
    </row>
    <row r="653" spans="1:14" x14ac:dyDescent="0.2">
      <c r="A653" s="84"/>
      <c r="B653" s="84"/>
      <c r="C653" s="60"/>
      <c r="D653" s="66"/>
      <c r="E653" s="66"/>
      <c r="F653" s="66"/>
      <c r="G653" s="66"/>
      <c r="H653" s="66"/>
      <c r="I653" s="66"/>
      <c r="J653" s="66"/>
      <c r="K653" s="66"/>
      <c r="L653" s="66"/>
      <c r="M653" s="66"/>
      <c r="N653" s="66"/>
    </row>
    <row r="654" spans="1:14" x14ac:dyDescent="0.2">
      <c r="A654" s="84"/>
      <c r="B654" s="84"/>
      <c r="C654" s="60"/>
      <c r="D654" s="66"/>
      <c r="E654" s="66"/>
      <c r="F654" s="66"/>
      <c r="G654" s="66"/>
      <c r="H654" s="66"/>
      <c r="I654" s="66"/>
      <c r="J654" s="66"/>
      <c r="K654" s="66"/>
      <c r="L654" s="66"/>
      <c r="M654" s="66"/>
      <c r="N654" s="66"/>
    </row>
    <row r="655" spans="1:14" x14ac:dyDescent="0.2">
      <c r="A655" s="84"/>
      <c r="B655" s="84"/>
      <c r="C655" s="60"/>
      <c r="D655" s="66"/>
      <c r="E655" s="66"/>
      <c r="F655" s="66"/>
      <c r="G655" s="66"/>
      <c r="H655" s="66"/>
      <c r="I655" s="66"/>
      <c r="J655" s="66"/>
      <c r="K655" s="66"/>
      <c r="L655" s="66"/>
      <c r="M655" s="66"/>
      <c r="N655" s="66"/>
    </row>
    <row r="656" spans="1:14" x14ac:dyDescent="0.2">
      <c r="A656" s="84"/>
      <c r="B656" s="84"/>
      <c r="C656" s="60"/>
      <c r="D656" s="66"/>
      <c r="E656" s="66"/>
      <c r="F656" s="66"/>
      <c r="G656" s="66"/>
      <c r="H656" s="66"/>
      <c r="I656" s="66"/>
      <c r="J656" s="66"/>
      <c r="K656" s="66"/>
      <c r="L656" s="66"/>
      <c r="M656" s="66"/>
      <c r="N656" s="66"/>
    </row>
    <row r="657" spans="1:14" x14ac:dyDescent="0.2">
      <c r="A657" s="84"/>
      <c r="B657" s="84"/>
      <c r="C657" s="60"/>
      <c r="D657" s="66"/>
      <c r="E657" s="66"/>
      <c r="F657" s="66"/>
      <c r="G657" s="66"/>
      <c r="H657" s="66"/>
      <c r="I657" s="66"/>
      <c r="J657" s="66"/>
      <c r="K657" s="66"/>
      <c r="L657" s="66"/>
      <c r="M657" s="66"/>
      <c r="N657" s="66"/>
    </row>
    <row r="658" spans="1:14" x14ac:dyDescent="0.2">
      <c r="A658" s="84"/>
      <c r="B658" s="84"/>
      <c r="C658" s="60"/>
      <c r="D658" s="66"/>
      <c r="E658" s="66"/>
      <c r="F658" s="66"/>
      <c r="G658" s="66"/>
      <c r="H658" s="66"/>
      <c r="I658" s="66"/>
      <c r="J658" s="66"/>
      <c r="K658" s="66"/>
      <c r="L658" s="66"/>
      <c r="M658" s="66"/>
      <c r="N658" s="66"/>
    </row>
    <row r="659" spans="1:14" x14ac:dyDescent="0.2">
      <c r="A659" s="84"/>
      <c r="B659" s="84"/>
      <c r="C659" s="60"/>
      <c r="D659" s="66"/>
      <c r="E659" s="66"/>
      <c r="F659" s="66"/>
      <c r="G659" s="66"/>
      <c r="H659" s="66"/>
      <c r="I659" s="66"/>
      <c r="J659" s="66"/>
      <c r="K659" s="66"/>
      <c r="L659" s="66"/>
      <c r="M659" s="66"/>
      <c r="N659" s="66"/>
    </row>
    <row r="660" spans="1:14" x14ac:dyDescent="0.2">
      <c r="A660" s="84"/>
      <c r="B660" s="84"/>
      <c r="C660" s="60"/>
      <c r="D660" s="66"/>
      <c r="E660" s="66"/>
      <c r="F660" s="66"/>
      <c r="G660" s="66"/>
      <c r="H660" s="66"/>
      <c r="I660" s="66"/>
      <c r="J660" s="66"/>
      <c r="K660" s="66"/>
      <c r="L660" s="66"/>
      <c r="M660" s="66"/>
      <c r="N660" s="66"/>
    </row>
    <row r="661" spans="1:14" x14ac:dyDescent="0.2">
      <c r="A661" s="84"/>
      <c r="B661" s="84"/>
      <c r="C661" s="60"/>
      <c r="D661" s="66"/>
      <c r="E661" s="66"/>
      <c r="F661" s="66"/>
      <c r="G661" s="66"/>
      <c r="H661" s="66"/>
      <c r="I661" s="66"/>
      <c r="J661" s="66"/>
      <c r="K661" s="66"/>
      <c r="L661" s="66"/>
      <c r="M661" s="66"/>
      <c r="N661" s="66"/>
    </row>
    <row r="662" spans="1:14" x14ac:dyDescent="0.2">
      <c r="A662" s="84"/>
      <c r="B662" s="84"/>
      <c r="C662" s="60"/>
      <c r="D662" s="66"/>
      <c r="E662" s="66"/>
      <c r="F662" s="66"/>
      <c r="G662" s="66"/>
      <c r="H662" s="66"/>
      <c r="I662" s="66"/>
      <c r="J662" s="66"/>
      <c r="K662" s="66"/>
      <c r="L662" s="66"/>
      <c r="M662" s="66"/>
      <c r="N662" s="66"/>
    </row>
    <row r="663" spans="1:14" x14ac:dyDescent="0.2">
      <c r="A663" s="84"/>
      <c r="B663" s="84"/>
      <c r="C663" s="60"/>
      <c r="D663" s="66"/>
      <c r="E663" s="66"/>
      <c r="F663" s="66"/>
      <c r="G663" s="66"/>
      <c r="H663" s="66"/>
      <c r="I663" s="66"/>
      <c r="J663" s="66"/>
      <c r="K663" s="66"/>
      <c r="L663" s="66"/>
      <c r="M663" s="66"/>
      <c r="N663" s="66"/>
    </row>
    <row r="664" spans="1:14" x14ac:dyDescent="0.2">
      <c r="A664" s="84"/>
      <c r="B664" s="84"/>
      <c r="C664" s="60"/>
      <c r="D664" s="66"/>
      <c r="E664" s="66"/>
      <c r="F664" s="66"/>
      <c r="G664" s="66"/>
      <c r="H664" s="66"/>
      <c r="I664" s="66"/>
      <c r="J664" s="66"/>
      <c r="K664" s="66"/>
      <c r="L664" s="66"/>
      <c r="M664" s="66"/>
      <c r="N664" s="66"/>
    </row>
    <row r="665" spans="1:14" x14ac:dyDescent="0.2">
      <c r="A665" s="84"/>
      <c r="B665" s="84"/>
      <c r="C665" s="60"/>
      <c r="D665" s="66"/>
      <c r="E665" s="66"/>
      <c r="F665" s="66"/>
      <c r="G665" s="66"/>
      <c r="H665" s="66"/>
      <c r="I665" s="66"/>
      <c r="J665" s="66"/>
      <c r="K665" s="66"/>
      <c r="L665" s="66"/>
      <c r="M665" s="66"/>
      <c r="N665" s="66"/>
    </row>
    <row r="666" spans="1:14" x14ac:dyDescent="0.2">
      <c r="A666" s="84"/>
      <c r="B666" s="84"/>
      <c r="C666" s="60"/>
      <c r="D666" s="66"/>
      <c r="E666" s="66"/>
      <c r="F666" s="66"/>
      <c r="G666" s="66"/>
      <c r="H666" s="66"/>
      <c r="I666" s="66"/>
      <c r="J666" s="66"/>
      <c r="K666" s="66"/>
      <c r="L666" s="66"/>
      <c r="M666" s="66"/>
      <c r="N666" s="66"/>
    </row>
    <row r="667" spans="1:14" x14ac:dyDescent="0.2">
      <c r="A667" s="84"/>
      <c r="B667" s="84"/>
      <c r="C667" s="60"/>
      <c r="D667" s="66"/>
      <c r="E667" s="66"/>
      <c r="F667" s="66"/>
      <c r="G667" s="66"/>
      <c r="H667" s="66"/>
      <c r="I667" s="66"/>
      <c r="J667" s="66"/>
      <c r="K667" s="66"/>
      <c r="L667" s="66"/>
      <c r="M667" s="66"/>
      <c r="N667" s="66"/>
    </row>
    <row r="668" spans="1:14" x14ac:dyDescent="0.2">
      <c r="A668" s="84"/>
      <c r="B668" s="84"/>
      <c r="C668" s="60"/>
      <c r="D668" s="66"/>
      <c r="E668" s="66"/>
      <c r="F668" s="66"/>
      <c r="G668" s="66"/>
      <c r="H668" s="66"/>
      <c r="I668" s="66"/>
      <c r="J668" s="66"/>
      <c r="K668" s="66"/>
      <c r="L668" s="66"/>
      <c r="M668" s="66"/>
      <c r="N668" s="66"/>
    </row>
    <row r="669" spans="1:14" x14ac:dyDescent="0.2">
      <c r="A669" s="84"/>
      <c r="B669" s="84"/>
      <c r="C669" s="60"/>
      <c r="D669" s="66"/>
      <c r="E669" s="66"/>
      <c r="F669" s="66"/>
      <c r="G669" s="66"/>
      <c r="H669" s="66"/>
      <c r="I669" s="66"/>
      <c r="J669" s="66"/>
      <c r="K669" s="66"/>
      <c r="L669" s="66"/>
      <c r="M669" s="66"/>
      <c r="N669" s="66"/>
    </row>
    <row r="670" spans="1:14" x14ac:dyDescent="0.2">
      <c r="A670" s="84"/>
      <c r="B670" s="84"/>
      <c r="C670" s="60"/>
      <c r="D670" s="66"/>
      <c r="E670" s="66"/>
      <c r="F670" s="66"/>
      <c r="G670" s="66"/>
      <c r="H670" s="66"/>
      <c r="I670" s="66"/>
      <c r="J670" s="66"/>
      <c r="K670" s="66"/>
      <c r="L670" s="66"/>
      <c r="M670" s="66"/>
      <c r="N670" s="66"/>
    </row>
    <row r="671" spans="1:14" x14ac:dyDescent="0.2">
      <c r="A671" s="84"/>
      <c r="B671" s="84"/>
      <c r="C671" s="60"/>
      <c r="D671" s="66"/>
      <c r="E671" s="66"/>
      <c r="F671" s="66"/>
      <c r="G671" s="66"/>
      <c r="H671" s="66"/>
      <c r="I671" s="66"/>
      <c r="J671" s="66"/>
      <c r="K671" s="66"/>
      <c r="L671" s="66"/>
      <c r="M671" s="66"/>
      <c r="N671" s="66"/>
    </row>
    <row r="672" spans="1:14" x14ac:dyDescent="0.2">
      <c r="A672" s="84"/>
      <c r="B672" s="84"/>
      <c r="C672" s="60"/>
      <c r="D672" s="66"/>
      <c r="E672" s="66"/>
      <c r="F672" s="66"/>
      <c r="G672" s="66"/>
      <c r="H672" s="66"/>
      <c r="I672" s="66"/>
      <c r="J672" s="66"/>
      <c r="K672" s="66"/>
      <c r="L672" s="66"/>
      <c r="M672" s="66"/>
      <c r="N672" s="66"/>
    </row>
    <row r="673" spans="1:14" x14ac:dyDescent="0.2">
      <c r="A673" s="84"/>
      <c r="B673" s="84"/>
      <c r="C673" s="60"/>
      <c r="D673" s="66"/>
      <c r="E673" s="66"/>
      <c r="F673" s="66"/>
      <c r="G673" s="66"/>
      <c r="H673" s="66"/>
      <c r="I673" s="66"/>
      <c r="J673" s="66"/>
      <c r="K673" s="66"/>
      <c r="L673" s="66"/>
      <c r="M673" s="66"/>
      <c r="N673" s="66"/>
    </row>
    <row r="674" spans="1:14" x14ac:dyDescent="0.2">
      <c r="A674" s="84"/>
      <c r="B674" s="84"/>
      <c r="C674" s="60"/>
      <c r="D674" s="66"/>
      <c r="E674" s="66"/>
      <c r="F674" s="66"/>
      <c r="G674" s="66"/>
      <c r="H674" s="66"/>
      <c r="I674" s="66"/>
      <c r="J674" s="66"/>
      <c r="K674" s="66"/>
      <c r="L674" s="66"/>
      <c r="M674" s="66"/>
      <c r="N674" s="66"/>
    </row>
    <row r="675" spans="1:14" x14ac:dyDescent="0.2">
      <c r="A675" s="84"/>
      <c r="B675" s="84"/>
      <c r="C675" s="60"/>
      <c r="D675" s="66"/>
      <c r="E675" s="66"/>
      <c r="F675" s="66"/>
      <c r="G675" s="66"/>
      <c r="H675" s="66"/>
      <c r="I675" s="66"/>
      <c r="J675" s="66"/>
      <c r="K675" s="66"/>
      <c r="L675" s="66"/>
      <c r="M675" s="66"/>
      <c r="N675" s="66"/>
    </row>
    <row r="676" spans="1:14" x14ac:dyDescent="0.2">
      <c r="A676" s="84"/>
      <c r="B676" s="84"/>
      <c r="C676" s="60"/>
      <c r="D676" s="66"/>
      <c r="E676" s="66"/>
      <c r="F676" s="66"/>
      <c r="G676" s="66"/>
      <c r="H676" s="66"/>
      <c r="I676" s="66"/>
      <c r="J676" s="66"/>
      <c r="K676" s="66"/>
      <c r="L676" s="66"/>
      <c r="M676" s="66"/>
      <c r="N676" s="66"/>
    </row>
    <row r="677" spans="1:14" x14ac:dyDescent="0.2">
      <c r="A677" s="84"/>
      <c r="B677" s="84"/>
      <c r="C677" s="60"/>
      <c r="D677" s="66"/>
      <c r="E677" s="66"/>
      <c r="F677" s="66"/>
      <c r="G677" s="66"/>
      <c r="H677" s="66"/>
      <c r="I677" s="66"/>
      <c r="J677" s="66"/>
      <c r="K677" s="66"/>
      <c r="L677" s="66"/>
      <c r="M677" s="66"/>
      <c r="N677" s="66"/>
    </row>
    <row r="678" spans="1:14" x14ac:dyDescent="0.2">
      <c r="A678" s="84"/>
      <c r="B678" s="84"/>
      <c r="C678" s="60"/>
      <c r="D678" s="66"/>
      <c r="E678" s="66"/>
      <c r="F678" s="66"/>
      <c r="G678" s="66"/>
      <c r="H678" s="66"/>
      <c r="I678" s="66"/>
      <c r="J678" s="66"/>
      <c r="K678" s="66"/>
      <c r="L678" s="66"/>
      <c r="M678" s="66"/>
      <c r="N678" s="66"/>
    </row>
    <row r="679" spans="1:14" x14ac:dyDescent="0.2">
      <c r="A679" s="84"/>
      <c r="B679" s="84"/>
      <c r="C679" s="60"/>
      <c r="D679" s="66"/>
      <c r="E679" s="66"/>
      <c r="F679" s="66"/>
      <c r="G679" s="66"/>
      <c r="H679" s="66"/>
      <c r="I679" s="66"/>
      <c r="J679" s="66"/>
      <c r="K679" s="66"/>
      <c r="L679" s="66"/>
      <c r="M679" s="66"/>
      <c r="N679" s="66"/>
    </row>
    <row r="680" spans="1:14" x14ac:dyDescent="0.2">
      <c r="A680" s="84"/>
      <c r="B680" s="84"/>
      <c r="C680" s="60"/>
      <c r="D680" s="66"/>
      <c r="E680" s="66"/>
      <c r="F680" s="66"/>
      <c r="G680" s="66"/>
      <c r="H680" s="66"/>
      <c r="I680" s="66"/>
      <c r="J680" s="66"/>
      <c r="K680" s="66"/>
      <c r="L680" s="66"/>
      <c r="M680" s="66"/>
      <c r="N680" s="66"/>
    </row>
    <row r="681" spans="1:14" x14ac:dyDescent="0.2">
      <c r="A681" s="84"/>
      <c r="B681" s="84"/>
      <c r="C681" s="60"/>
      <c r="D681" s="66"/>
      <c r="E681" s="66"/>
      <c r="F681" s="66"/>
      <c r="G681" s="66"/>
      <c r="H681" s="66"/>
      <c r="I681" s="66"/>
      <c r="J681" s="66"/>
      <c r="K681" s="66"/>
      <c r="L681" s="66"/>
      <c r="M681" s="66"/>
      <c r="N681" s="66"/>
    </row>
    <row r="682" spans="1:14" x14ac:dyDescent="0.2">
      <c r="A682" s="84"/>
      <c r="B682" s="84"/>
      <c r="C682" s="60"/>
      <c r="D682" s="66"/>
      <c r="E682" s="66"/>
      <c r="F682" s="66"/>
      <c r="G682" s="66"/>
      <c r="H682" s="66"/>
      <c r="I682" s="66"/>
      <c r="J682" s="66"/>
      <c r="K682" s="66"/>
      <c r="L682" s="66"/>
      <c r="M682" s="66"/>
      <c r="N682" s="66"/>
    </row>
    <row r="683" spans="1:14" x14ac:dyDescent="0.2">
      <c r="A683" s="84"/>
      <c r="B683" s="84"/>
      <c r="C683" s="60"/>
      <c r="D683" s="66"/>
      <c r="E683" s="66"/>
      <c r="F683" s="66"/>
      <c r="G683" s="66"/>
      <c r="H683" s="66"/>
      <c r="I683" s="66"/>
      <c r="J683" s="66"/>
      <c r="K683" s="66"/>
      <c r="L683" s="66"/>
      <c r="M683" s="66"/>
      <c r="N683" s="66"/>
    </row>
    <row r="684" spans="1:14" x14ac:dyDescent="0.2">
      <c r="A684" s="84"/>
      <c r="B684" s="84"/>
      <c r="C684" s="60"/>
      <c r="D684" s="66"/>
      <c r="E684" s="66"/>
      <c r="F684" s="66"/>
      <c r="G684" s="66"/>
      <c r="H684" s="66"/>
      <c r="I684" s="66"/>
      <c r="J684" s="66"/>
      <c r="K684" s="66"/>
      <c r="L684" s="66"/>
      <c r="M684" s="66"/>
      <c r="N684" s="66"/>
    </row>
    <row r="685" spans="1:14" x14ac:dyDescent="0.2">
      <c r="A685" s="84"/>
      <c r="B685" s="84"/>
      <c r="C685" s="60"/>
      <c r="D685" s="66"/>
      <c r="E685" s="66"/>
      <c r="F685" s="66"/>
      <c r="G685" s="66"/>
      <c r="H685" s="66"/>
      <c r="I685" s="66"/>
      <c r="J685" s="66"/>
      <c r="K685" s="66"/>
      <c r="L685" s="66"/>
      <c r="M685" s="66"/>
      <c r="N685" s="66"/>
    </row>
    <row r="686" spans="1:14" x14ac:dyDescent="0.2">
      <c r="A686" s="84"/>
      <c r="B686" s="84"/>
      <c r="C686" s="60"/>
      <c r="D686" s="66"/>
      <c r="E686" s="66"/>
      <c r="F686" s="66"/>
      <c r="G686" s="66"/>
      <c r="H686" s="66"/>
      <c r="I686" s="66"/>
      <c r="J686" s="66"/>
      <c r="K686" s="66"/>
      <c r="L686" s="66"/>
      <c r="M686" s="66"/>
      <c r="N686" s="66"/>
    </row>
    <row r="687" spans="1:14" x14ac:dyDescent="0.2">
      <c r="A687" s="84"/>
      <c r="B687" s="84"/>
      <c r="C687" s="60"/>
      <c r="D687" s="66"/>
      <c r="E687" s="66"/>
      <c r="F687" s="66"/>
      <c r="G687" s="66"/>
      <c r="H687" s="66"/>
      <c r="I687" s="66"/>
      <c r="J687" s="66"/>
      <c r="K687" s="66"/>
      <c r="L687" s="66"/>
      <c r="M687" s="66"/>
      <c r="N687" s="66"/>
    </row>
    <row r="688" spans="1:14" x14ac:dyDescent="0.2">
      <c r="A688" s="84"/>
      <c r="B688" s="84"/>
      <c r="C688" s="60"/>
      <c r="D688" s="66"/>
      <c r="E688" s="66"/>
      <c r="F688" s="66"/>
      <c r="G688" s="66"/>
      <c r="H688" s="66"/>
      <c r="I688" s="66"/>
      <c r="J688" s="66"/>
      <c r="K688" s="66"/>
      <c r="L688" s="66"/>
      <c r="M688" s="66"/>
      <c r="N688" s="66"/>
    </row>
    <row r="689" spans="1:14" x14ac:dyDescent="0.2">
      <c r="A689" s="84"/>
      <c r="B689" s="84"/>
      <c r="C689" s="60"/>
      <c r="D689" s="66"/>
      <c r="E689" s="66"/>
      <c r="F689" s="66"/>
      <c r="G689" s="66"/>
      <c r="H689" s="66"/>
      <c r="I689" s="66"/>
      <c r="J689" s="66"/>
      <c r="K689" s="66"/>
      <c r="L689" s="66"/>
      <c r="M689" s="66"/>
      <c r="N689" s="66"/>
    </row>
    <row r="690" spans="1:14" x14ac:dyDescent="0.2">
      <c r="A690" s="84"/>
      <c r="B690" s="84"/>
      <c r="C690" s="60"/>
      <c r="D690" s="66"/>
      <c r="E690" s="66"/>
      <c r="F690" s="66"/>
      <c r="G690" s="66"/>
      <c r="H690" s="66"/>
      <c r="I690" s="66"/>
      <c r="J690" s="66"/>
      <c r="K690" s="66"/>
      <c r="L690" s="66"/>
      <c r="M690" s="66"/>
      <c r="N690" s="66"/>
    </row>
    <row r="691" spans="1:14" x14ac:dyDescent="0.2">
      <c r="A691" s="84"/>
      <c r="B691" s="84"/>
      <c r="C691" s="60"/>
      <c r="D691" s="66"/>
      <c r="E691" s="66"/>
      <c r="F691" s="66"/>
      <c r="G691" s="66"/>
      <c r="H691" s="66"/>
      <c r="I691" s="66"/>
      <c r="J691" s="66"/>
      <c r="K691" s="66"/>
      <c r="L691" s="66"/>
      <c r="M691" s="66"/>
      <c r="N691" s="66"/>
    </row>
    <row r="692" spans="1:14" x14ac:dyDescent="0.2">
      <c r="A692" s="84"/>
      <c r="B692" s="84"/>
      <c r="C692" s="60"/>
      <c r="D692" s="66"/>
      <c r="E692" s="66"/>
      <c r="F692" s="66"/>
      <c r="G692" s="66"/>
      <c r="H692" s="66"/>
      <c r="I692" s="66"/>
      <c r="J692" s="66"/>
      <c r="K692" s="66"/>
      <c r="L692" s="66"/>
      <c r="M692" s="66"/>
      <c r="N692" s="66"/>
    </row>
    <row r="693" spans="1:14" x14ac:dyDescent="0.2">
      <c r="A693" s="84"/>
      <c r="B693" s="84"/>
      <c r="C693" s="60"/>
      <c r="D693" s="66"/>
      <c r="E693" s="66"/>
      <c r="F693" s="66"/>
      <c r="G693" s="66"/>
      <c r="H693" s="66"/>
      <c r="I693" s="66"/>
      <c r="J693" s="66"/>
      <c r="K693" s="66"/>
      <c r="L693" s="66"/>
      <c r="M693" s="66"/>
      <c r="N693" s="66"/>
    </row>
    <row r="694" spans="1:14" x14ac:dyDescent="0.2">
      <c r="A694" s="84"/>
      <c r="B694" s="84"/>
      <c r="C694" s="60"/>
      <c r="D694" s="66"/>
      <c r="E694" s="66"/>
      <c r="F694" s="66"/>
      <c r="G694" s="66"/>
      <c r="H694" s="66"/>
      <c r="I694" s="66"/>
      <c r="J694" s="66"/>
      <c r="K694" s="66"/>
      <c r="L694" s="66"/>
      <c r="M694" s="66"/>
      <c r="N694" s="66"/>
    </row>
    <row r="695" spans="1:14" x14ac:dyDescent="0.2">
      <c r="A695" s="84"/>
      <c r="B695" s="84"/>
      <c r="C695" s="60"/>
      <c r="D695" s="66"/>
      <c r="E695" s="66"/>
      <c r="F695" s="66"/>
      <c r="G695" s="66"/>
      <c r="H695" s="66"/>
      <c r="I695" s="66"/>
      <c r="J695" s="66"/>
      <c r="K695" s="66"/>
      <c r="L695" s="66"/>
      <c r="M695" s="66"/>
      <c r="N695" s="66"/>
    </row>
    <row r="696" spans="1:14" x14ac:dyDescent="0.2">
      <c r="A696" s="84"/>
      <c r="B696" s="84"/>
      <c r="C696" s="60"/>
      <c r="D696" s="66"/>
      <c r="E696" s="66"/>
      <c r="F696" s="66"/>
      <c r="G696" s="66"/>
      <c r="H696" s="66"/>
      <c r="I696" s="66"/>
      <c r="J696" s="66"/>
      <c r="K696" s="66"/>
      <c r="L696" s="66"/>
      <c r="M696" s="66"/>
      <c r="N696" s="66"/>
    </row>
    <row r="697" spans="1:14" x14ac:dyDescent="0.2">
      <c r="A697" s="84"/>
      <c r="B697" s="84"/>
      <c r="C697" s="60"/>
      <c r="D697" s="66"/>
      <c r="E697" s="66"/>
      <c r="F697" s="66"/>
      <c r="G697" s="66"/>
      <c r="H697" s="66"/>
      <c r="I697" s="66"/>
      <c r="J697" s="66"/>
      <c r="K697" s="66"/>
      <c r="L697" s="66"/>
      <c r="M697" s="66"/>
      <c r="N697" s="66"/>
    </row>
    <row r="698" spans="1:14" x14ac:dyDescent="0.2">
      <c r="A698" s="84"/>
      <c r="B698" s="84"/>
      <c r="C698" s="60"/>
      <c r="D698" s="66"/>
      <c r="E698" s="66"/>
      <c r="F698" s="66"/>
      <c r="G698" s="66"/>
      <c r="H698" s="66"/>
      <c r="I698" s="66"/>
      <c r="J698" s="66"/>
      <c r="K698" s="66"/>
      <c r="L698" s="66"/>
      <c r="M698" s="66"/>
      <c r="N698" s="66"/>
    </row>
    <row r="699" spans="1:14" x14ac:dyDescent="0.2">
      <c r="A699" s="84"/>
      <c r="B699" s="84"/>
      <c r="C699" s="60"/>
      <c r="D699" s="66"/>
      <c r="E699" s="66"/>
      <c r="F699" s="66"/>
      <c r="G699" s="66"/>
      <c r="H699" s="66"/>
      <c r="I699" s="66"/>
      <c r="J699" s="66"/>
      <c r="K699" s="66"/>
      <c r="L699" s="66"/>
      <c r="M699" s="66"/>
      <c r="N699" s="66"/>
    </row>
    <row r="700" spans="1:14" x14ac:dyDescent="0.2">
      <c r="A700" s="84"/>
      <c r="B700" s="84"/>
      <c r="C700" s="60"/>
      <c r="D700" s="66"/>
      <c r="E700" s="66"/>
      <c r="F700" s="66"/>
      <c r="G700" s="66"/>
      <c r="H700" s="66"/>
      <c r="I700" s="66"/>
      <c r="J700" s="66"/>
      <c r="K700" s="66"/>
      <c r="L700" s="66"/>
      <c r="M700" s="66"/>
      <c r="N700" s="66"/>
    </row>
    <row r="701" spans="1:14" x14ac:dyDescent="0.2">
      <c r="A701" s="84"/>
      <c r="B701" s="84"/>
      <c r="C701" s="60"/>
      <c r="D701" s="66"/>
      <c r="E701" s="66"/>
      <c r="F701" s="66"/>
      <c r="G701" s="66"/>
      <c r="H701" s="66"/>
      <c r="I701" s="66"/>
      <c r="J701" s="66"/>
      <c r="K701" s="66"/>
      <c r="L701" s="66"/>
      <c r="M701" s="66"/>
      <c r="N701" s="66"/>
    </row>
    <row r="702" spans="1:14" x14ac:dyDescent="0.2">
      <c r="A702" s="84"/>
      <c r="B702" s="84"/>
      <c r="C702" s="60"/>
      <c r="D702" s="66"/>
      <c r="E702" s="66"/>
      <c r="F702" s="66"/>
      <c r="G702" s="66"/>
      <c r="H702" s="66"/>
      <c r="I702" s="66"/>
      <c r="J702" s="66"/>
      <c r="K702" s="66"/>
      <c r="L702" s="66"/>
      <c r="M702" s="66"/>
      <c r="N702" s="66"/>
    </row>
    <row r="703" spans="1:14" x14ac:dyDescent="0.2">
      <c r="A703" s="84"/>
      <c r="B703" s="84"/>
      <c r="C703" s="60"/>
      <c r="D703" s="66"/>
      <c r="E703" s="66"/>
      <c r="F703" s="66"/>
      <c r="G703" s="66"/>
      <c r="H703" s="66"/>
      <c r="I703" s="66"/>
      <c r="J703" s="66"/>
      <c r="K703" s="66"/>
      <c r="L703" s="66"/>
      <c r="M703" s="66"/>
      <c r="N703" s="66"/>
    </row>
    <row r="704" spans="1:14" x14ac:dyDescent="0.2">
      <c r="A704" s="84"/>
      <c r="B704" s="84"/>
      <c r="C704" s="60"/>
      <c r="D704" s="66"/>
      <c r="E704" s="66"/>
      <c r="F704" s="66"/>
      <c r="G704" s="66"/>
      <c r="H704" s="66"/>
      <c r="I704" s="66"/>
      <c r="J704" s="66"/>
      <c r="K704" s="66"/>
      <c r="L704" s="66"/>
      <c r="M704" s="66"/>
      <c r="N704" s="66"/>
    </row>
    <row r="705" spans="1:14" x14ac:dyDescent="0.2">
      <c r="A705" s="84"/>
      <c r="B705" s="84"/>
      <c r="C705" s="60"/>
      <c r="D705" s="66"/>
      <c r="E705" s="66"/>
      <c r="F705" s="66"/>
      <c r="G705" s="66"/>
      <c r="H705" s="66"/>
      <c r="I705" s="66"/>
      <c r="J705" s="66"/>
      <c r="K705" s="66"/>
      <c r="L705" s="66"/>
      <c r="M705" s="66"/>
      <c r="N705" s="66"/>
    </row>
    <row r="706" spans="1:14" x14ac:dyDescent="0.2">
      <c r="A706" s="84"/>
      <c r="B706" s="84"/>
      <c r="C706" s="60"/>
      <c r="D706" s="66"/>
      <c r="E706" s="66"/>
      <c r="F706" s="66"/>
      <c r="G706" s="66"/>
      <c r="H706" s="66"/>
      <c r="I706" s="66"/>
      <c r="J706" s="66"/>
      <c r="K706" s="66"/>
      <c r="L706" s="66"/>
      <c r="M706" s="66"/>
      <c r="N706" s="66"/>
    </row>
    <row r="707" spans="1:14" x14ac:dyDescent="0.2">
      <c r="A707" s="84"/>
      <c r="B707" s="84"/>
      <c r="C707" s="60"/>
      <c r="D707" s="66"/>
      <c r="E707" s="66"/>
      <c r="F707" s="66"/>
      <c r="G707" s="66"/>
      <c r="H707" s="66"/>
      <c r="I707" s="66"/>
      <c r="J707" s="66"/>
      <c r="K707" s="66"/>
      <c r="L707" s="66"/>
      <c r="M707" s="66"/>
      <c r="N707" s="66"/>
    </row>
    <row r="708" spans="1:14" x14ac:dyDescent="0.2">
      <c r="A708" s="84"/>
      <c r="B708" s="84"/>
      <c r="C708" s="60"/>
      <c r="D708" s="66"/>
      <c r="E708" s="66"/>
      <c r="F708" s="66"/>
      <c r="G708" s="66"/>
      <c r="H708" s="66"/>
      <c r="I708" s="66"/>
      <c r="J708" s="66"/>
      <c r="K708" s="66"/>
      <c r="L708" s="66"/>
      <c r="M708" s="66"/>
      <c r="N708" s="66"/>
    </row>
    <row r="709" spans="1:14" x14ac:dyDescent="0.2">
      <c r="A709" s="84"/>
      <c r="B709" s="84"/>
      <c r="C709" s="60"/>
      <c r="D709" s="66"/>
      <c r="E709" s="66"/>
      <c r="F709" s="66"/>
      <c r="G709" s="66"/>
      <c r="H709" s="66"/>
      <c r="I709" s="66"/>
      <c r="J709" s="66"/>
      <c r="K709" s="66"/>
      <c r="L709" s="66"/>
      <c r="M709" s="66"/>
      <c r="N709" s="66"/>
    </row>
    <row r="710" spans="1:14" x14ac:dyDescent="0.2">
      <c r="A710" s="84"/>
      <c r="B710" s="84"/>
      <c r="C710" s="60"/>
      <c r="D710" s="66"/>
      <c r="E710" s="66"/>
      <c r="F710" s="66"/>
      <c r="G710" s="66"/>
      <c r="H710" s="66"/>
      <c r="I710" s="66"/>
      <c r="J710" s="66"/>
      <c r="K710" s="66"/>
      <c r="L710" s="66"/>
      <c r="M710" s="66"/>
      <c r="N710" s="66"/>
    </row>
    <row r="711" spans="1:14" x14ac:dyDescent="0.2">
      <c r="A711" s="84"/>
      <c r="B711" s="84"/>
      <c r="C711" s="60"/>
      <c r="D711" s="66"/>
      <c r="E711" s="66"/>
      <c r="F711" s="66"/>
      <c r="G711" s="66"/>
      <c r="H711" s="66"/>
      <c r="I711" s="66"/>
      <c r="J711" s="66"/>
      <c r="K711" s="66"/>
      <c r="L711" s="66"/>
      <c r="M711" s="66"/>
      <c r="N711" s="66"/>
    </row>
    <row r="712" spans="1:14" x14ac:dyDescent="0.2">
      <c r="A712" s="84"/>
      <c r="B712" s="84"/>
      <c r="C712" s="60"/>
      <c r="D712" s="66"/>
      <c r="E712" s="66"/>
      <c r="F712" s="66"/>
      <c r="G712" s="66"/>
      <c r="H712" s="66"/>
      <c r="I712" s="66"/>
      <c r="J712" s="66"/>
      <c r="K712" s="66"/>
      <c r="L712" s="66"/>
      <c r="M712" s="66"/>
      <c r="N712" s="66"/>
    </row>
    <row r="713" spans="1:14" x14ac:dyDescent="0.2">
      <c r="A713" s="84"/>
      <c r="B713" s="84"/>
      <c r="C713" s="60"/>
      <c r="D713" s="66"/>
      <c r="E713" s="66"/>
      <c r="F713" s="66"/>
      <c r="G713" s="66"/>
      <c r="H713" s="66"/>
      <c r="I713" s="66"/>
      <c r="J713" s="66"/>
      <c r="K713" s="66"/>
      <c r="L713" s="66"/>
      <c r="M713" s="66"/>
      <c r="N713" s="66"/>
    </row>
    <row r="714" spans="1:14" x14ac:dyDescent="0.2">
      <c r="A714" s="84"/>
      <c r="B714" s="84"/>
      <c r="C714" s="60"/>
      <c r="D714" s="66"/>
      <c r="E714" s="66"/>
      <c r="F714" s="66"/>
      <c r="G714" s="66"/>
      <c r="H714" s="66"/>
      <c r="I714" s="66"/>
      <c r="J714" s="66"/>
      <c r="K714" s="66"/>
      <c r="L714" s="66"/>
      <c r="M714" s="66"/>
      <c r="N714" s="66"/>
    </row>
    <row r="715" spans="1:14" x14ac:dyDescent="0.2">
      <c r="A715" s="84"/>
      <c r="B715" s="84"/>
      <c r="C715" s="60"/>
      <c r="D715" s="66"/>
      <c r="E715" s="66"/>
      <c r="F715" s="66"/>
      <c r="G715" s="66"/>
      <c r="H715" s="66"/>
      <c r="I715" s="66"/>
      <c r="J715" s="66"/>
      <c r="K715" s="66"/>
      <c r="L715" s="66"/>
      <c r="M715" s="66"/>
      <c r="N715" s="66"/>
    </row>
    <row r="716" spans="1:14" x14ac:dyDescent="0.2">
      <c r="A716" s="84"/>
      <c r="B716" s="84"/>
      <c r="C716" s="60"/>
      <c r="D716" s="66"/>
      <c r="E716" s="66"/>
      <c r="F716" s="66"/>
      <c r="G716" s="66"/>
      <c r="H716" s="66"/>
      <c r="I716" s="66"/>
      <c r="J716" s="66"/>
      <c r="K716" s="66"/>
      <c r="L716" s="66"/>
      <c r="M716" s="66"/>
      <c r="N716" s="66"/>
    </row>
    <row r="717" spans="1:14" x14ac:dyDescent="0.2">
      <c r="A717" s="84"/>
      <c r="B717" s="84"/>
      <c r="C717" s="60"/>
      <c r="D717" s="66"/>
      <c r="E717" s="66"/>
      <c r="F717" s="66"/>
      <c r="G717" s="66"/>
      <c r="H717" s="66"/>
      <c r="I717" s="66"/>
      <c r="J717" s="66"/>
      <c r="K717" s="66"/>
      <c r="L717" s="66"/>
      <c r="M717" s="66"/>
      <c r="N717" s="66"/>
    </row>
    <row r="718" spans="1:14" x14ac:dyDescent="0.2">
      <c r="A718" s="84"/>
      <c r="B718" s="84"/>
      <c r="C718" s="60"/>
      <c r="D718" s="66"/>
      <c r="E718" s="66"/>
      <c r="F718" s="66"/>
      <c r="G718" s="66"/>
      <c r="H718" s="66"/>
      <c r="I718" s="66"/>
      <c r="J718" s="66"/>
      <c r="K718" s="66"/>
      <c r="L718" s="66"/>
      <c r="M718" s="66"/>
      <c r="N718" s="66"/>
    </row>
    <row r="719" spans="1:14" x14ac:dyDescent="0.2">
      <c r="A719" s="84"/>
      <c r="B719" s="84"/>
      <c r="C719" s="60"/>
      <c r="D719" s="66"/>
      <c r="E719" s="66"/>
      <c r="F719" s="66"/>
      <c r="G719" s="66"/>
      <c r="H719" s="66"/>
      <c r="I719" s="66"/>
      <c r="J719" s="66"/>
      <c r="K719" s="66"/>
      <c r="L719" s="66"/>
      <c r="M719" s="66"/>
      <c r="N719" s="66"/>
    </row>
    <row r="720" spans="1:14" x14ac:dyDescent="0.2">
      <c r="A720" s="84"/>
      <c r="B720" s="84"/>
      <c r="C720" s="60"/>
      <c r="D720" s="66"/>
      <c r="E720" s="66"/>
      <c r="F720" s="66"/>
      <c r="G720" s="66"/>
      <c r="H720" s="66"/>
      <c r="I720" s="66"/>
      <c r="J720" s="66"/>
      <c r="K720" s="66"/>
      <c r="L720" s="66"/>
      <c r="M720" s="66"/>
      <c r="N720" s="66"/>
    </row>
    <row r="721" spans="1:14" x14ac:dyDescent="0.2">
      <c r="A721" s="84"/>
      <c r="B721" s="84"/>
      <c r="C721" s="60"/>
      <c r="D721" s="66"/>
      <c r="E721" s="66"/>
      <c r="F721" s="66"/>
      <c r="G721" s="66"/>
      <c r="H721" s="66"/>
      <c r="I721" s="66"/>
      <c r="J721" s="66"/>
      <c r="K721" s="66"/>
      <c r="L721" s="66"/>
      <c r="M721" s="66"/>
      <c r="N721" s="66"/>
    </row>
    <row r="722" spans="1:14" x14ac:dyDescent="0.2">
      <c r="A722" s="84"/>
      <c r="B722" s="84"/>
      <c r="C722" s="60"/>
      <c r="D722" s="66"/>
      <c r="E722" s="66"/>
      <c r="F722" s="66"/>
      <c r="G722" s="66"/>
      <c r="H722" s="66"/>
      <c r="I722" s="66"/>
      <c r="J722" s="66"/>
      <c r="K722" s="66"/>
      <c r="L722" s="66"/>
      <c r="M722" s="66"/>
      <c r="N722" s="66"/>
    </row>
    <row r="723" spans="1:14" x14ac:dyDescent="0.2">
      <c r="A723" s="84"/>
      <c r="B723" s="84"/>
      <c r="C723" s="60"/>
      <c r="D723" s="66"/>
      <c r="E723" s="66"/>
      <c r="F723" s="66"/>
      <c r="G723" s="66"/>
      <c r="H723" s="66"/>
      <c r="I723" s="66"/>
      <c r="J723" s="66"/>
      <c r="K723" s="66"/>
      <c r="L723" s="66"/>
      <c r="M723" s="66"/>
      <c r="N723" s="66"/>
    </row>
    <row r="724" spans="1:14" x14ac:dyDescent="0.2">
      <c r="A724" s="84"/>
      <c r="B724" s="84"/>
      <c r="C724" s="60"/>
      <c r="D724" s="66"/>
      <c r="E724" s="66"/>
      <c r="F724" s="66"/>
      <c r="G724" s="66"/>
      <c r="H724" s="66"/>
      <c r="I724" s="66"/>
      <c r="J724" s="66"/>
      <c r="K724" s="66"/>
      <c r="L724" s="66"/>
      <c r="M724" s="66"/>
      <c r="N724" s="66"/>
    </row>
    <row r="725" spans="1:14" x14ac:dyDescent="0.2">
      <c r="A725" s="84"/>
      <c r="B725" s="84"/>
      <c r="C725" s="60"/>
      <c r="D725" s="66"/>
      <c r="E725" s="66"/>
      <c r="F725" s="66"/>
      <c r="G725" s="66"/>
      <c r="H725" s="66"/>
      <c r="I725" s="66"/>
      <c r="J725" s="66"/>
      <c r="K725" s="66"/>
      <c r="L725" s="66"/>
      <c r="M725" s="66"/>
      <c r="N725" s="66"/>
    </row>
    <row r="726" spans="1:14" x14ac:dyDescent="0.2">
      <c r="A726" s="84"/>
      <c r="B726" s="84"/>
      <c r="C726" s="60"/>
      <c r="D726" s="66"/>
      <c r="E726" s="66"/>
      <c r="F726" s="66"/>
      <c r="G726" s="66"/>
      <c r="H726" s="66"/>
      <c r="I726" s="66"/>
      <c r="J726" s="66"/>
      <c r="K726" s="66"/>
      <c r="L726" s="66"/>
      <c r="M726" s="66"/>
      <c r="N726" s="66"/>
    </row>
    <row r="727" spans="1:14" x14ac:dyDescent="0.2">
      <c r="A727" s="84"/>
      <c r="B727" s="84"/>
      <c r="C727" s="60"/>
      <c r="D727" s="66"/>
      <c r="E727" s="66"/>
      <c r="F727" s="66"/>
      <c r="G727" s="66"/>
      <c r="H727" s="66"/>
      <c r="I727" s="66"/>
      <c r="J727" s="66"/>
      <c r="K727" s="66"/>
      <c r="L727" s="66"/>
      <c r="M727" s="66"/>
      <c r="N727" s="66"/>
    </row>
    <row r="728" spans="1:14" x14ac:dyDescent="0.2">
      <c r="A728" s="84"/>
      <c r="B728" s="84"/>
      <c r="C728" s="60"/>
      <c r="D728" s="66"/>
      <c r="E728" s="66"/>
      <c r="F728" s="66"/>
      <c r="G728" s="66"/>
      <c r="H728" s="66"/>
      <c r="I728" s="66"/>
      <c r="J728" s="66"/>
      <c r="K728" s="66"/>
      <c r="L728" s="66"/>
      <c r="M728" s="66"/>
      <c r="N728" s="66"/>
    </row>
    <row r="729" spans="1:14" x14ac:dyDescent="0.2">
      <c r="A729" s="84"/>
      <c r="B729" s="84"/>
      <c r="C729" s="60"/>
      <c r="D729" s="66"/>
      <c r="E729" s="66"/>
      <c r="F729" s="66"/>
      <c r="G729" s="66"/>
      <c r="H729" s="66"/>
      <c r="I729" s="66"/>
      <c r="J729" s="66"/>
      <c r="K729" s="66"/>
      <c r="L729" s="66"/>
      <c r="M729" s="66"/>
      <c r="N729" s="66"/>
    </row>
    <row r="730" spans="1:14" x14ac:dyDescent="0.2">
      <c r="A730" s="84"/>
      <c r="B730" s="84"/>
      <c r="C730" s="60"/>
      <c r="D730" s="66"/>
      <c r="E730" s="66"/>
      <c r="F730" s="66"/>
      <c r="G730" s="66"/>
      <c r="H730" s="66"/>
      <c r="I730" s="66"/>
      <c r="J730" s="66"/>
      <c r="K730" s="66"/>
      <c r="L730" s="66"/>
      <c r="M730" s="66"/>
      <c r="N730" s="66"/>
    </row>
    <row r="731" spans="1:14" x14ac:dyDescent="0.2">
      <c r="A731" s="84"/>
      <c r="B731" s="84"/>
      <c r="C731" s="60"/>
      <c r="D731" s="66"/>
      <c r="E731" s="66"/>
      <c r="F731" s="66"/>
      <c r="G731" s="66"/>
      <c r="H731" s="66"/>
      <c r="I731" s="66"/>
      <c r="J731" s="66"/>
      <c r="K731" s="66"/>
      <c r="L731" s="66"/>
      <c r="M731" s="66"/>
      <c r="N731" s="66"/>
    </row>
    <row r="732" spans="1:14" x14ac:dyDescent="0.2">
      <c r="A732" s="84"/>
      <c r="B732" s="84"/>
      <c r="C732" s="60"/>
      <c r="D732" s="66"/>
      <c r="E732" s="66"/>
      <c r="F732" s="66"/>
      <c r="G732" s="66"/>
      <c r="H732" s="66"/>
      <c r="I732" s="66"/>
      <c r="J732" s="66"/>
      <c r="K732" s="66"/>
      <c r="L732" s="66"/>
      <c r="M732" s="66"/>
      <c r="N732" s="66"/>
    </row>
    <row r="733" spans="1:14" x14ac:dyDescent="0.2">
      <c r="A733" s="84"/>
      <c r="B733" s="84"/>
      <c r="C733" s="60"/>
      <c r="D733" s="66"/>
      <c r="E733" s="66"/>
      <c r="F733" s="66"/>
      <c r="G733" s="66"/>
      <c r="H733" s="66"/>
      <c r="I733" s="66"/>
      <c r="J733" s="66"/>
      <c r="K733" s="66"/>
      <c r="L733" s="66"/>
      <c r="M733" s="66"/>
      <c r="N733" s="66"/>
    </row>
    <row r="734" spans="1:14" x14ac:dyDescent="0.2">
      <c r="A734" s="84"/>
      <c r="B734" s="84"/>
      <c r="C734" s="60"/>
      <c r="D734" s="66"/>
      <c r="E734" s="66"/>
      <c r="F734" s="66"/>
      <c r="G734" s="66"/>
      <c r="H734" s="66"/>
      <c r="I734" s="66"/>
      <c r="J734" s="66"/>
      <c r="K734" s="66"/>
      <c r="L734" s="66"/>
      <c r="M734" s="66"/>
      <c r="N734" s="66"/>
    </row>
    <row r="735" spans="1:14" x14ac:dyDescent="0.2">
      <c r="A735" s="84"/>
      <c r="B735" s="84"/>
      <c r="C735" s="60"/>
      <c r="D735" s="66"/>
      <c r="E735" s="66"/>
      <c r="F735" s="66"/>
      <c r="G735" s="66"/>
      <c r="H735" s="66"/>
      <c r="I735" s="66"/>
      <c r="J735" s="66"/>
      <c r="K735" s="66"/>
      <c r="L735" s="66"/>
      <c r="M735" s="66"/>
      <c r="N735" s="66"/>
    </row>
    <row r="736" spans="1:14" x14ac:dyDescent="0.2">
      <c r="A736" s="84"/>
      <c r="B736" s="84"/>
      <c r="C736" s="60"/>
      <c r="D736" s="66"/>
      <c r="E736" s="66"/>
      <c r="F736" s="66"/>
      <c r="G736" s="66"/>
      <c r="H736" s="66"/>
      <c r="I736" s="66"/>
      <c r="J736" s="66"/>
      <c r="K736" s="66"/>
      <c r="L736" s="66"/>
      <c r="M736" s="66"/>
      <c r="N736" s="66"/>
    </row>
    <row r="737" spans="1:14" x14ac:dyDescent="0.2">
      <c r="A737" s="84"/>
      <c r="B737" s="84"/>
      <c r="C737" s="60"/>
      <c r="D737" s="66"/>
      <c r="E737" s="66"/>
      <c r="F737" s="66"/>
      <c r="G737" s="66"/>
      <c r="H737" s="66"/>
      <c r="I737" s="66"/>
      <c r="J737" s="66"/>
      <c r="K737" s="66"/>
      <c r="L737" s="66"/>
      <c r="M737" s="66"/>
      <c r="N737" s="66"/>
    </row>
    <row r="738" spans="1:14" x14ac:dyDescent="0.2">
      <c r="A738" s="84"/>
      <c r="B738" s="84"/>
      <c r="C738" s="60"/>
      <c r="D738" s="66"/>
      <c r="E738" s="66"/>
      <c r="F738" s="66"/>
      <c r="G738" s="66"/>
      <c r="H738" s="66"/>
      <c r="I738" s="66"/>
      <c r="J738" s="66"/>
      <c r="K738" s="66"/>
      <c r="L738" s="66"/>
      <c r="M738" s="66"/>
      <c r="N738" s="66"/>
    </row>
    <row r="739" spans="1:14" x14ac:dyDescent="0.2">
      <c r="A739" s="84"/>
      <c r="B739" s="84"/>
      <c r="C739" s="60"/>
      <c r="D739" s="66"/>
      <c r="E739" s="66"/>
      <c r="F739" s="66"/>
      <c r="G739" s="66"/>
      <c r="H739" s="66"/>
      <c r="I739" s="66"/>
      <c r="J739" s="66"/>
      <c r="K739" s="66"/>
      <c r="L739" s="66"/>
      <c r="M739" s="66"/>
      <c r="N739" s="66"/>
    </row>
    <row r="740" spans="1:14" x14ac:dyDescent="0.2">
      <c r="A740" s="84"/>
      <c r="B740" s="84"/>
      <c r="C740" s="60"/>
      <c r="D740" s="66"/>
      <c r="E740" s="66"/>
      <c r="F740" s="66"/>
      <c r="G740" s="66"/>
      <c r="H740" s="66"/>
      <c r="I740" s="66"/>
      <c r="J740" s="66"/>
      <c r="K740" s="66"/>
      <c r="L740" s="66"/>
      <c r="M740" s="66"/>
      <c r="N740" s="66"/>
    </row>
    <row r="741" spans="1:14" x14ac:dyDescent="0.2">
      <c r="A741" s="84"/>
      <c r="B741" s="84"/>
      <c r="C741" s="60"/>
      <c r="D741" s="66"/>
      <c r="E741" s="66"/>
      <c r="F741" s="66"/>
      <c r="G741" s="66"/>
      <c r="H741" s="66"/>
      <c r="I741" s="66"/>
      <c r="J741" s="66"/>
      <c r="K741" s="66"/>
      <c r="L741" s="66"/>
      <c r="M741" s="66"/>
      <c r="N741" s="66"/>
    </row>
    <row r="742" spans="1:14" x14ac:dyDescent="0.2">
      <c r="A742" s="84"/>
      <c r="B742" s="84"/>
      <c r="C742" s="60"/>
      <c r="D742" s="66"/>
      <c r="E742" s="66"/>
      <c r="F742" s="66"/>
      <c r="G742" s="66"/>
      <c r="H742" s="66"/>
      <c r="I742" s="66"/>
      <c r="J742" s="66"/>
      <c r="K742" s="66"/>
      <c r="L742" s="66"/>
      <c r="M742" s="66"/>
      <c r="N742" s="66"/>
    </row>
    <row r="743" spans="1:14" x14ac:dyDescent="0.2">
      <c r="A743" s="84"/>
      <c r="B743" s="84"/>
      <c r="C743" s="60"/>
      <c r="D743" s="66"/>
      <c r="E743" s="66"/>
      <c r="F743" s="66"/>
      <c r="G743" s="66"/>
      <c r="H743" s="66"/>
      <c r="I743" s="66"/>
      <c r="J743" s="66"/>
      <c r="K743" s="66"/>
      <c r="L743" s="66"/>
      <c r="M743" s="66"/>
      <c r="N743" s="66"/>
    </row>
    <row r="744" spans="1:14" x14ac:dyDescent="0.2">
      <c r="A744" s="84"/>
      <c r="B744" s="84"/>
      <c r="C744" s="60"/>
      <c r="D744" s="66"/>
      <c r="E744" s="66"/>
      <c r="F744" s="66"/>
      <c r="G744" s="66"/>
      <c r="H744" s="66"/>
      <c r="I744" s="66"/>
      <c r="J744" s="66"/>
      <c r="K744" s="66"/>
      <c r="L744" s="66"/>
      <c r="M744" s="66"/>
      <c r="N744" s="66"/>
    </row>
    <row r="745" spans="1:14" x14ac:dyDescent="0.2">
      <c r="A745" s="84"/>
      <c r="B745" s="84"/>
      <c r="C745" s="60"/>
      <c r="D745" s="66"/>
      <c r="E745" s="66"/>
      <c r="F745" s="66"/>
      <c r="G745" s="66"/>
      <c r="H745" s="66"/>
      <c r="I745" s="66"/>
      <c r="J745" s="66"/>
      <c r="K745" s="66"/>
      <c r="L745" s="66"/>
      <c r="M745" s="66"/>
      <c r="N745" s="66"/>
    </row>
    <row r="746" spans="1:14" x14ac:dyDescent="0.2">
      <c r="A746" s="84"/>
      <c r="B746" s="84"/>
      <c r="C746" s="60"/>
      <c r="D746" s="66"/>
      <c r="E746" s="66"/>
      <c r="F746" s="66"/>
      <c r="G746" s="66"/>
      <c r="H746" s="66"/>
      <c r="I746" s="66"/>
      <c r="J746" s="66"/>
      <c r="K746" s="66"/>
      <c r="L746" s="66"/>
      <c r="M746" s="66"/>
      <c r="N746" s="66"/>
    </row>
    <row r="747" spans="1:14" x14ac:dyDescent="0.2">
      <c r="A747" s="84"/>
      <c r="B747" s="84"/>
      <c r="C747" s="60"/>
      <c r="D747" s="66"/>
      <c r="E747" s="66"/>
      <c r="F747" s="66"/>
      <c r="G747" s="66"/>
      <c r="H747" s="66"/>
      <c r="I747" s="66"/>
      <c r="J747" s="66"/>
      <c r="K747" s="66"/>
      <c r="L747" s="66"/>
      <c r="M747" s="66"/>
      <c r="N747" s="66"/>
    </row>
    <row r="748" spans="1:14" x14ac:dyDescent="0.2">
      <c r="A748" s="84"/>
      <c r="B748" s="84"/>
      <c r="C748" s="60"/>
      <c r="D748" s="66"/>
      <c r="E748" s="66"/>
      <c r="F748" s="66"/>
      <c r="G748" s="66"/>
      <c r="H748" s="66"/>
      <c r="I748" s="66"/>
      <c r="J748" s="66"/>
      <c r="K748" s="66"/>
      <c r="L748" s="66"/>
      <c r="M748" s="66"/>
      <c r="N748" s="66"/>
    </row>
    <row r="749" spans="1:14" x14ac:dyDescent="0.2">
      <c r="A749" s="84"/>
      <c r="B749" s="84"/>
      <c r="C749" s="60"/>
      <c r="D749" s="66"/>
      <c r="E749" s="66"/>
      <c r="F749" s="66"/>
      <c r="G749" s="66"/>
      <c r="H749" s="66"/>
      <c r="I749" s="66"/>
      <c r="J749" s="66"/>
      <c r="K749" s="66"/>
      <c r="L749" s="66"/>
      <c r="M749" s="66"/>
      <c r="N749" s="66"/>
    </row>
    <row r="750" spans="1:14" x14ac:dyDescent="0.2">
      <c r="A750" s="84"/>
      <c r="B750" s="84"/>
      <c r="C750" s="60"/>
      <c r="D750" s="66"/>
      <c r="E750" s="66"/>
      <c r="F750" s="66"/>
      <c r="G750" s="66"/>
      <c r="H750" s="66"/>
      <c r="I750" s="66"/>
      <c r="J750" s="66"/>
      <c r="K750" s="66"/>
      <c r="L750" s="66"/>
      <c r="M750" s="66"/>
      <c r="N750" s="66"/>
    </row>
    <row r="751" spans="1:14" x14ac:dyDescent="0.2">
      <c r="A751" s="84"/>
      <c r="B751" s="84"/>
      <c r="C751" s="60"/>
      <c r="D751" s="66"/>
      <c r="E751" s="66"/>
      <c r="F751" s="66"/>
      <c r="G751" s="66"/>
      <c r="H751" s="66"/>
      <c r="I751" s="66"/>
      <c r="J751" s="66"/>
      <c r="K751" s="66"/>
      <c r="L751" s="66"/>
      <c r="M751" s="66"/>
      <c r="N751" s="66"/>
    </row>
    <row r="752" spans="1:14" x14ac:dyDescent="0.2">
      <c r="A752" s="84"/>
      <c r="B752" s="84"/>
      <c r="C752" s="60"/>
      <c r="D752" s="66"/>
      <c r="E752" s="66"/>
      <c r="F752" s="66"/>
      <c r="G752" s="66"/>
      <c r="H752" s="66"/>
      <c r="I752" s="66"/>
      <c r="J752" s="66"/>
      <c r="K752" s="66"/>
      <c r="L752" s="66"/>
      <c r="M752" s="66"/>
      <c r="N752" s="66"/>
    </row>
    <row r="753" spans="1:14" x14ac:dyDescent="0.2">
      <c r="A753" s="84"/>
      <c r="B753" s="84"/>
      <c r="C753" s="60"/>
      <c r="D753" s="66"/>
      <c r="E753" s="66"/>
      <c r="F753" s="66"/>
      <c r="G753" s="66"/>
      <c r="H753" s="66"/>
      <c r="I753" s="66"/>
      <c r="J753" s="66"/>
      <c r="K753" s="66"/>
      <c r="L753" s="66"/>
      <c r="M753" s="66"/>
      <c r="N753" s="66"/>
    </row>
    <row r="754" spans="1:14" x14ac:dyDescent="0.2">
      <c r="A754" s="84"/>
      <c r="B754" s="84"/>
      <c r="C754" s="60"/>
      <c r="D754" s="66"/>
      <c r="E754" s="66"/>
      <c r="F754" s="66"/>
      <c r="G754" s="66"/>
      <c r="H754" s="66"/>
      <c r="I754" s="66"/>
      <c r="J754" s="66"/>
      <c r="K754" s="66"/>
      <c r="L754" s="66"/>
      <c r="M754" s="66"/>
      <c r="N754" s="66"/>
    </row>
    <row r="755" spans="1:14" x14ac:dyDescent="0.2">
      <c r="A755" s="84"/>
      <c r="B755" s="84"/>
      <c r="C755" s="60"/>
      <c r="D755" s="66"/>
      <c r="E755" s="66"/>
      <c r="F755" s="66"/>
      <c r="G755" s="66"/>
      <c r="H755" s="66"/>
      <c r="I755" s="66"/>
      <c r="J755" s="66"/>
      <c r="K755" s="66"/>
      <c r="L755" s="66"/>
      <c r="M755" s="66"/>
      <c r="N755" s="66"/>
    </row>
    <row r="756" spans="1:14" x14ac:dyDescent="0.2">
      <c r="A756" s="84"/>
      <c r="B756" s="84"/>
      <c r="C756" s="60"/>
      <c r="D756" s="66"/>
      <c r="E756" s="66"/>
      <c r="F756" s="66"/>
      <c r="G756" s="66"/>
      <c r="H756" s="66"/>
      <c r="I756" s="66"/>
      <c r="J756" s="66"/>
      <c r="K756" s="66"/>
      <c r="L756" s="66"/>
      <c r="M756" s="66"/>
      <c r="N756" s="66"/>
    </row>
    <row r="757" spans="1:14" x14ac:dyDescent="0.2">
      <c r="A757" s="84"/>
      <c r="B757" s="84"/>
      <c r="C757" s="60"/>
      <c r="D757" s="66"/>
      <c r="E757" s="66"/>
      <c r="F757" s="66"/>
      <c r="G757" s="66"/>
      <c r="H757" s="66"/>
      <c r="I757" s="66"/>
      <c r="J757" s="66"/>
      <c r="K757" s="66"/>
      <c r="L757" s="66"/>
      <c r="M757" s="66"/>
      <c r="N757" s="66"/>
    </row>
    <row r="758" spans="1:14" x14ac:dyDescent="0.2">
      <c r="A758" s="84"/>
      <c r="B758" s="84"/>
      <c r="C758" s="60"/>
      <c r="D758" s="66"/>
      <c r="E758" s="66"/>
      <c r="F758" s="66"/>
      <c r="G758" s="66"/>
      <c r="H758" s="66"/>
      <c r="I758" s="66"/>
      <c r="J758" s="66"/>
      <c r="K758" s="66"/>
      <c r="L758" s="66"/>
      <c r="M758" s="66"/>
      <c r="N758" s="66"/>
    </row>
    <row r="759" spans="1:14" x14ac:dyDescent="0.2">
      <c r="A759" s="84"/>
      <c r="B759" s="84"/>
      <c r="C759" s="60"/>
      <c r="D759" s="66"/>
      <c r="E759" s="66"/>
      <c r="F759" s="66"/>
      <c r="G759" s="66"/>
      <c r="H759" s="66"/>
      <c r="I759" s="66"/>
      <c r="J759" s="66"/>
      <c r="K759" s="66"/>
      <c r="L759" s="66"/>
      <c r="M759" s="66"/>
      <c r="N759" s="66"/>
    </row>
    <row r="760" spans="1:14" x14ac:dyDescent="0.2">
      <c r="A760" s="84"/>
      <c r="B760" s="84"/>
      <c r="C760" s="60"/>
      <c r="D760" s="66"/>
      <c r="E760" s="66"/>
      <c r="F760" s="66"/>
      <c r="G760" s="66"/>
      <c r="H760" s="66"/>
      <c r="I760" s="66"/>
      <c r="J760" s="66"/>
      <c r="K760" s="66"/>
      <c r="L760" s="66"/>
      <c r="M760" s="66"/>
      <c r="N760" s="66"/>
    </row>
    <row r="761" spans="1:14" x14ac:dyDescent="0.2">
      <c r="A761" s="84"/>
      <c r="B761" s="84"/>
      <c r="C761" s="60"/>
      <c r="D761" s="66"/>
      <c r="E761" s="66"/>
      <c r="F761" s="66"/>
      <c r="G761" s="66"/>
      <c r="H761" s="66"/>
      <c r="I761" s="66"/>
      <c r="J761" s="66"/>
      <c r="K761" s="66"/>
      <c r="L761" s="66"/>
      <c r="M761" s="66"/>
      <c r="N761" s="66"/>
    </row>
    <row r="762" spans="1:14" x14ac:dyDescent="0.2">
      <c r="A762" s="84"/>
      <c r="B762" s="84"/>
      <c r="C762" s="60"/>
      <c r="D762" s="66"/>
      <c r="E762" s="66"/>
      <c r="F762" s="66"/>
      <c r="G762" s="66"/>
      <c r="H762" s="66"/>
      <c r="I762" s="66"/>
      <c r="J762" s="66"/>
      <c r="K762" s="66"/>
      <c r="L762" s="66"/>
      <c r="M762" s="66"/>
      <c r="N762" s="66"/>
    </row>
    <row r="763" spans="1:14" x14ac:dyDescent="0.2">
      <c r="A763" s="84"/>
      <c r="B763" s="84"/>
      <c r="C763" s="60"/>
      <c r="D763" s="66"/>
      <c r="E763" s="66"/>
      <c r="F763" s="66"/>
      <c r="G763" s="66"/>
      <c r="H763" s="66"/>
      <c r="I763" s="66"/>
      <c r="J763" s="66"/>
      <c r="K763" s="66"/>
      <c r="L763" s="66"/>
      <c r="M763" s="66"/>
      <c r="N763" s="66"/>
    </row>
    <row r="764" spans="1:14" x14ac:dyDescent="0.2">
      <c r="A764" s="84"/>
      <c r="B764" s="84"/>
      <c r="C764" s="60"/>
      <c r="D764" s="66"/>
      <c r="E764" s="66"/>
      <c r="F764" s="66"/>
      <c r="G764" s="66"/>
      <c r="H764" s="66"/>
      <c r="I764" s="66"/>
      <c r="J764" s="66"/>
      <c r="K764" s="66"/>
      <c r="L764" s="66"/>
      <c r="M764" s="66"/>
      <c r="N764" s="66"/>
    </row>
    <row r="765" spans="1:14" x14ac:dyDescent="0.2">
      <c r="A765" s="84"/>
      <c r="B765" s="84"/>
      <c r="C765" s="60"/>
      <c r="D765" s="66"/>
      <c r="E765" s="66"/>
      <c r="F765" s="66"/>
      <c r="G765" s="66"/>
      <c r="H765" s="66"/>
      <c r="I765" s="66"/>
      <c r="J765" s="66"/>
      <c r="K765" s="66"/>
      <c r="L765" s="66"/>
      <c r="M765" s="66"/>
      <c r="N765" s="66"/>
    </row>
    <row r="766" spans="1:14" x14ac:dyDescent="0.2">
      <c r="A766" s="84"/>
      <c r="B766" s="84"/>
      <c r="C766" s="60"/>
      <c r="D766" s="66"/>
      <c r="E766" s="66"/>
      <c r="F766" s="66"/>
      <c r="G766" s="66"/>
      <c r="H766" s="66"/>
      <c r="I766" s="66"/>
      <c r="J766" s="66"/>
      <c r="K766" s="66"/>
      <c r="L766" s="66"/>
      <c r="M766" s="66"/>
      <c r="N766" s="66"/>
    </row>
    <row r="767" spans="1:14" x14ac:dyDescent="0.2">
      <c r="A767" s="84"/>
      <c r="B767" s="84"/>
      <c r="C767" s="60"/>
      <c r="D767" s="66"/>
      <c r="E767" s="66"/>
      <c r="F767" s="66"/>
      <c r="G767" s="66"/>
      <c r="H767" s="66"/>
      <c r="I767" s="66"/>
      <c r="J767" s="66"/>
      <c r="K767" s="66"/>
      <c r="L767" s="66"/>
      <c r="M767" s="66"/>
      <c r="N767" s="66"/>
    </row>
    <row r="768" spans="1:14" x14ac:dyDescent="0.2">
      <c r="A768" s="84"/>
      <c r="B768" s="84"/>
      <c r="C768" s="60"/>
      <c r="D768" s="66"/>
      <c r="E768" s="66"/>
      <c r="F768" s="66"/>
      <c r="G768" s="66"/>
      <c r="H768" s="66"/>
      <c r="I768" s="66"/>
      <c r="J768" s="66"/>
      <c r="K768" s="66"/>
      <c r="L768" s="66"/>
      <c r="M768" s="66"/>
      <c r="N768" s="66"/>
    </row>
    <row r="769" spans="1:14" x14ac:dyDescent="0.2">
      <c r="A769" s="84"/>
      <c r="B769" s="84"/>
      <c r="C769" s="60"/>
      <c r="D769" s="66"/>
      <c r="E769" s="66"/>
      <c r="F769" s="66"/>
      <c r="G769" s="66"/>
      <c r="H769" s="66"/>
      <c r="I769" s="66"/>
      <c r="J769" s="66"/>
      <c r="K769" s="66"/>
      <c r="L769" s="66"/>
      <c r="M769" s="66"/>
      <c r="N769" s="66"/>
    </row>
    <row r="770" spans="1:14" x14ac:dyDescent="0.2">
      <c r="A770" s="84"/>
      <c r="B770" s="84"/>
      <c r="C770" s="60"/>
      <c r="D770" s="66"/>
      <c r="E770" s="66"/>
      <c r="F770" s="66"/>
      <c r="G770" s="66"/>
      <c r="H770" s="66"/>
      <c r="I770" s="66"/>
      <c r="J770" s="66"/>
      <c r="K770" s="66"/>
      <c r="L770" s="66"/>
      <c r="M770" s="66"/>
      <c r="N770" s="66"/>
    </row>
    <row r="771" spans="1:14" x14ac:dyDescent="0.2">
      <c r="A771" s="84"/>
      <c r="B771" s="84"/>
      <c r="C771" s="60"/>
      <c r="D771" s="66"/>
      <c r="E771" s="66"/>
      <c r="F771" s="66"/>
      <c r="G771" s="66"/>
      <c r="H771" s="66"/>
      <c r="I771" s="66"/>
      <c r="J771" s="66"/>
      <c r="K771" s="66"/>
      <c r="L771" s="66"/>
      <c r="M771" s="66"/>
      <c r="N771" s="66"/>
    </row>
    <row r="772" spans="1:14" x14ac:dyDescent="0.2">
      <c r="A772" s="84"/>
      <c r="B772" s="84"/>
      <c r="C772" s="60"/>
      <c r="D772" s="66"/>
      <c r="E772" s="66"/>
      <c r="F772" s="66"/>
      <c r="G772" s="66"/>
      <c r="H772" s="66"/>
      <c r="I772" s="66"/>
      <c r="J772" s="66"/>
      <c r="K772" s="66"/>
      <c r="L772" s="66"/>
      <c r="M772" s="66"/>
      <c r="N772" s="66"/>
    </row>
    <row r="773" spans="1:14" x14ac:dyDescent="0.2">
      <c r="A773" s="84"/>
      <c r="B773" s="84"/>
      <c r="C773" s="60"/>
      <c r="D773" s="66"/>
      <c r="E773" s="66"/>
      <c r="F773" s="66"/>
      <c r="G773" s="66"/>
      <c r="H773" s="66"/>
      <c r="I773" s="66"/>
      <c r="J773" s="66"/>
      <c r="K773" s="66"/>
      <c r="L773" s="66"/>
      <c r="M773" s="66"/>
      <c r="N773" s="66"/>
    </row>
    <row r="774" spans="1:14" x14ac:dyDescent="0.2">
      <c r="A774" s="84"/>
      <c r="B774" s="84"/>
      <c r="C774" s="60"/>
      <c r="D774" s="66"/>
      <c r="E774" s="66"/>
      <c r="F774" s="66"/>
      <c r="G774" s="66"/>
      <c r="H774" s="66"/>
      <c r="I774" s="66"/>
      <c r="J774" s="66"/>
      <c r="K774" s="66"/>
      <c r="L774" s="66"/>
      <c r="M774" s="66"/>
      <c r="N774" s="66"/>
    </row>
    <row r="775" spans="1:14" x14ac:dyDescent="0.2">
      <c r="A775" s="84"/>
      <c r="B775" s="84"/>
      <c r="C775" s="60"/>
      <c r="D775" s="66"/>
      <c r="E775" s="66"/>
      <c r="F775" s="66"/>
      <c r="G775" s="66"/>
      <c r="H775" s="66"/>
      <c r="I775" s="66"/>
      <c r="J775" s="66"/>
      <c r="K775" s="66"/>
      <c r="L775" s="66"/>
      <c r="M775" s="66"/>
      <c r="N775" s="66"/>
    </row>
    <row r="776" spans="1:14" x14ac:dyDescent="0.2">
      <c r="A776" s="84"/>
      <c r="B776" s="84"/>
      <c r="C776" s="60"/>
      <c r="D776" s="66"/>
      <c r="E776" s="66"/>
      <c r="F776" s="66"/>
      <c r="G776" s="66"/>
      <c r="H776" s="66"/>
      <c r="I776" s="66"/>
      <c r="J776" s="66"/>
      <c r="K776" s="66"/>
      <c r="L776" s="66"/>
      <c r="M776" s="66"/>
      <c r="N776" s="66"/>
    </row>
    <row r="777" spans="1:14" x14ac:dyDescent="0.2">
      <c r="A777" s="84"/>
      <c r="B777" s="84"/>
      <c r="C777" s="60"/>
      <c r="D777" s="66"/>
      <c r="E777" s="66"/>
      <c r="F777" s="66"/>
      <c r="G777" s="66"/>
      <c r="H777" s="66"/>
      <c r="I777" s="66"/>
      <c r="J777" s="66"/>
      <c r="K777" s="66"/>
      <c r="L777" s="66"/>
      <c r="M777" s="66"/>
      <c r="N777" s="66"/>
    </row>
    <row r="778" spans="1:14" x14ac:dyDescent="0.2">
      <c r="A778" s="84"/>
      <c r="B778" s="84"/>
      <c r="C778" s="60"/>
      <c r="D778" s="66"/>
      <c r="E778" s="66"/>
      <c r="F778" s="66"/>
      <c r="G778" s="66"/>
      <c r="H778" s="66"/>
      <c r="I778" s="66"/>
      <c r="J778" s="66"/>
      <c r="K778" s="66"/>
      <c r="L778" s="66"/>
      <c r="M778" s="66"/>
      <c r="N778" s="66"/>
    </row>
    <row r="779" spans="1:14" x14ac:dyDescent="0.2">
      <c r="A779" s="84"/>
      <c r="B779" s="84"/>
      <c r="C779" s="60"/>
      <c r="D779" s="66"/>
      <c r="E779" s="66"/>
      <c r="F779" s="66"/>
      <c r="G779" s="66"/>
      <c r="H779" s="66"/>
      <c r="I779" s="66"/>
      <c r="J779" s="66"/>
      <c r="K779" s="66"/>
      <c r="L779" s="66"/>
      <c r="M779" s="66"/>
      <c r="N779" s="66"/>
    </row>
    <row r="780" spans="1:14" x14ac:dyDescent="0.2">
      <c r="A780" s="84"/>
      <c r="B780" s="84"/>
      <c r="C780" s="60"/>
      <c r="D780" s="66"/>
      <c r="E780" s="66"/>
      <c r="F780" s="66"/>
      <c r="G780" s="66"/>
      <c r="H780" s="66"/>
      <c r="I780" s="66"/>
      <c r="J780" s="66"/>
      <c r="K780" s="66"/>
      <c r="L780" s="66"/>
      <c r="M780" s="66"/>
      <c r="N780" s="66"/>
    </row>
    <row r="781" spans="1:14" x14ac:dyDescent="0.2">
      <c r="A781" s="84"/>
      <c r="B781" s="84"/>
      <c r="C781" s="60"/>
      <c r="D781" s="66"/>
      <c r="E781" s="66"/>
      <c r="F781" s="66"/>
      <c r="G781" s="66"/>
      <c r="H781" s="66"/>
      <c r="I781" s="66"/>
      <c r="J781" s="66"/>
      <c r="K781" s="66"/>
      <c r="L781" s="66"/>
      <c r="M781" s="66"/>
      <c r="N781" s="66"/>
    </row>
    <row r="782" spans="1:14" x14ac:dyDescent="0.2">
      <c r="A782" s="84"/>
      <c r="B782" s="84"/>
      <c r="C782" s="60"/>
      <c r="D782" s="66"/>
      <c r="E782" s="66"/>
      <c r="F782" s="66"/>
      <c r="G782" s="66"/>
      <c r="H782" s="66"/>
      <c r="I782" s="66"/>
      <c r="J782" s="66"/>
      <c r="K782" s="66"/>
      <c r="L782" s="66"/>
      <c r="M782" s="66"/>
      <c r="N782" s="66"/>
    </row>
    <row r="783" spans="1:14" x14ac:dyDescent="0.2">
      <c r="A783" s="84"/>
      <c r="B783" s="84"/>
      <c r="C783" s="60"/>
      <c r="D783" s="66"/>
      <c r="E783" s="66"/>
      <c r="F783" s="66"/>
      <c r="G783" s="66"/>
      <c r="H783" s="66"/>
      <c r="I783" s="66"/>
      <c r="J783" s="66"/>
      <c r="K783" s="66"/>
      <c r="L783" s="66"/>
      <c r="M783" s="66"/>
      <c r="N783" s="66"/>
    </row>
    <row r="784" spans="1:14" x14ac:dyDescent="0.2">
      <c r="A784" s="84"/>
      <c r="B784" s="84"/>
      <c r="C784" s="60"/>
      <c r="D784" s="66"/>
      <c r="E784" s="66"/>
      <c r="F784" s="66"/>
      <c r="G784" s="66"/>
      <c r="H784" s="66"/>
      <c r="I784" s="66"/>
      <c r="J784" s="66"/>
      <c r="K784" s="66"/>
      <c r="L784" s="66"/>
      <c r="M784" s="66"/>
      <c r="N784" s="66"/>
    </row>
    <row r="785" spans="1:14" x14ac:dyDescent="0.2">
      <c r="A785" s="84"/>
      <c r="B785" s="84"/>
      <c r="C785" s="60"/>
      <c r="D785" s="66"/>
      <c r="E785" s="66"/>
      <c r="F785" s="66"/>
      <c r="G785" s="66"/>
      <c r="H785" s="66"/>
      <c r="I785" s="66"/>
      <c r="J785" s="66"/>
      <c r="K785" s="66"/>
      <c r="L785" s="66"/>
      <c r="M785" s="66"/>
      <c r="N785" s="66"/>
    </row>
    <row r="786" spans="1:14" x14ac:dyDescent="0.2">
      <c r="A786" s="84"/>
      <c r="B786" s="84"/>
      <c r="C786" s="60"/>
      <c r="D786" s="66"/>
      <c r="E786" s="66"/>
      <c r="F786" s="66"/>
      <c r="G786" s="66"/>
      <c r="H786" s="66"/>
      <c r="I786" s="66"/>
      <c r="J786" s="66"/>
      <c r="K786" s="66"/>
      <c r="L786" s="66"/>
      <c r="M786" s="66"/>
      <c r="N786" s="66"/>
    </row>
    <row r="787" spans="1:14" x14ac:dyDescent="0.2">
      <c r="A787" s="84"/>
      <c r="B787" s="84"/>
      <c r="C787" s="60"/>
      <c r="D787" s="66"/>
      <c r="E787" s="66"/>
      <c r="F787" s="66"/>
      <c r="G787" s="66"/>
      <c r="H787" s="66"/>
      <c r="I787" s="66"/>
      <c r="J787" s="66"/>
      <c r="K787" s="66"/>
      <c r="L787" s="66"/>
      <c r="M787" s="66"/>
      <c r="N787" s="66"/>
    </row>
    <row r="788" spans="1:14" x14ac:dyDescent="0.2">
      <c r="A788" s="84"/>
      <c r="B788" s="84"/>
      <c r="C788" s="60"/>
      <c r="D788" s="66"/>
      <c r="E788" s="66"/>
      <c r="F788" s="66"/>
      <c r="G788" s="66"/>
      <c r="H788" s="66"/>
      <c r="I788" s="66"/>
      <c r="J788" s="66"/>
      <c r="K788" s="66"/>
      <c r="L788" s="66"/>
      <c r="M788" s="66"/>
      <c r="N788" s="66"/>
    </row>
    <row r="789" spans="1:14" x14ac:dyDescent="0.2">
      <c r="A789" s="84"/>
      <c r="B789" s="84"/>
      <c r="C789" s="60"/>
      <c r="D789" s="66"/>
      <c r="E789" s="66"/>
      <c r="F789" s="66"/>
      <c r="G789" s="66"/>
      <c r="H789" s="66"/>
      <c r="I789" s="66"/>
      <c r="J789" s="66"/>
      <c r="K789" s="66"/>
      <c r="L789" s="66"/>
      <c r="M789" s="66"/>
      <c r="N789" s="66"/>
    </row>
    <row r="790" spans="1:14" x14ac:dyDescent="0.2">
      <c r="A790" s="84"/>
      <c r="B790" s="84"/>
      <c r="C790" s="60"/>
      <c r="D790" s="66"/>
      <c r="E790" s="66"/>
      <c r="F790" s="66"/>
      <c r="G790" s="66"/>
      <c r="H790" s="66"/>
      <c r="I790" s="66"/>
      <c r="J790" s="66"/>
      <c r="K790" s="66"/>
      <c r="L790" s="66"/>
      <c r="M790" s="66"/>
      <c r="N790" s="66"/>
    </row>
    <row r="791" spans="1:14" x14ac:dyDescent="0.2">
      <c r="A791" s="84"/>
      <c r="B791" s="84"/>
      <c r="C791" s="60"/>
      <c r="D791" s="66"/>
      <c r="E791" s="66"/>
      <c r="F791" s="66"/>
      <c r="G791" s="66"/>
      <c r="H791" s="66"/>
      <c r="I791" s="66"/>
      <c r="J791" s="66"/>
      <c r="K791" s="66"/>
      <c r="L791" s="66"/>
      <c r="M791" s="66"/>
      <c r="N791" s="66"/>
    </row>
    <row r="792" spans="1:14" x14ac:dyDescent="0.2">
      <c r="A792" s="84"/>
      <c r="B792" s="84"/>
      <c r="C792" s="60"/>
      <c r="D792" s="66"/>
      <c r="E792" s="66"/>
      <c r="F792" s="66"/>
      <c r="G792" s="66"/>
      <c r="H792" s="66"/>
      <c r="I792" s="66"/>
      <c r="J792" s="66"/>
      <c r="K792" s="66"/>
      <c r="L792" s="66"/>
      <c r="M792" s="66"/>
      <c r="N792" s="66"/>
    </row>
    <row r="793" spans="1:14" x14ac:dyDescent="0.2">
      <c r="A793" s="84"/>
      <c r="B793" s="84"/>
      <c r="C793" s="60"/>
      <c r="D793" s="66"/>
      <c r="E793" s="66"/>
      <c r="F793" s="66"/>
      <c r="G793" s="66"/>
      <c r="H793" s="66"/>
      <c r="I793" s="66"/>
      <c r="J793" s="66"/>
      <c r="K793" s="66"/>
      <c r="L793" s="66"/>
      <c r="M793" s="66"/>
      <c r="N793" s="66"/>
    </row>
    <row r="794" spans="1:14" x14ac:dyDescent="0.2">
      <c r="A794" s="84"/>
      <c r="B794" s="84"/>
      <c r="C794" s="60"/>
      <c r="D794" s="66"/>
      <c r="E794" s="66"/>
      <c r="F794" s="66"/>
      <c r="G794" s="66"/>
      <c r="H794" s="66"/>
      <c r="I794" s="66"/>
      <c r="J794" s="66"/>
      <c r="K794" s="66"/>
      <c r="L794" s="66"/>
      <c r="M794" s="66"/>
      <c r="N794" s="66"/>
    </row>
    <row r="795" spans="1:14" x14ac:dyDescent="0.2">
      <c r="A795" s="84"/>
      <c r="B795" s="84"/>
      <c r="C795" s="60"/>
      <c r="D795" s="66"/>
      <c r="E795" s="66"/>
      <c r="F795" s="66"/>
      <c r="G795" s="66"/>
      <c r="H795" s="66"/>
      <c r="I795" s="66"/>
      <c r="J795" s="66"/>
      <c r="K795" s="66"/>
      <c r="L795" s="66"/>
      <c r="M795" s="66"/>
      <c r="N795" s="66"/>
    </row>
    <row r="796" spans="1:14" x14ac:dyDescent="0.2">
      <c r="A796" s="84"/>
      <c r="B796" s="84"/>
      <c r="C796" s="60"/>
      <c r="D796" s="66"/>
      <c r="E796" s="66"/>
      <c r="F796" s="66"/>
      <c r="G796" s="66"/>
      <c r="H796" s="66"/>
      <c r="I796" s="66"/>
      <c r="J796" s="66"/>
      <c r="K796" s="66"/>
      <c r="L796" s="66"/>
      <c r="M796" s="66"/>
      <c r="N796" s="66"/>
    </row>
    <row r="797" spans="1:14" x14ac:dyDescent="0.2">
      <c r="A797" s="84"/>
      <c r="B797" s="84"/>
      <c r="C797" s="60"/>
      <c r="D797" s="66"/>
      <c r="E797" s="66"/>
      <c r="F797" s="66"/>
      <c r="G797" s="66"/>
      <c r="H797" s="66"/>
      <c r="I797" s="66"/>
      <c r="J797" s="66"/>
      <c r="K797" s="66"/>
      <c r="L797" s="66"/>
      <c r="M797" s="66"/>
      <c r="N797" s="66"/>
    </row>
    <row r="798" spans="1:14" x14ac:dyDescent="0.2">
      <c r="A798" s="84"/>
      <c r="B798" s="84"/>
      <c r="C798" s="60"/>
      <c r="D798" s="66"/>
      <c r="E798" s="66"/>
      <c r="F798" s="66"/>
      <c r="G798" s="66"/>
      <c r="H798" s="66"/>
      <c r="I798" s="66"/>
      <c r="J798" s="66"/>
      <c r="K798" s="66"/>
      <c r="L798" s="66"/>
      <c r="M798" s="66"/>
      <c r="N798" s="66"/>
    </row>
    <row r="799" spans="1:14" x14ac:dyDescent="0.2">
      <c r="A799" s="84"/>
      <c r="B799" s="84"/>
      <c r="C799" s="60"/>
      <c r="D799" s="66"/>
      <c r="E799" s="66"/>
      <c r="F799" s="66"/>
      <c r="G799" s="66"/>
      <c r="H799" s="66"/>
      <c r="I799" s="66"/>
      <c r="J799" s="66"/>
      <c r="K799" s="66"/>
      <c r="L799" s="66"/>
      <c r="M799" s="66"/>
      <c r="N799" s="66"/>
    </row>
    <row r="800" spans="1:14" x14ac:dyDescent="0.2">
      <c r="A800" s="84"/>
      <c r="B800" s="84"/>
      <c r="C800" s="60"/>
      <c r="D800" s="66"/>
      <c r="E800" s="66"/>
      <c r="F800" s="66"/>
      <c r="G800" s="66"/>
      <c r="H800" s="66"/>
      <c r="I800" s="66"/>
      <c r="J800" s="66"/>
      <c r="K800" s="66"/>
      <c r="L800" s="66"/>
      <c r="M800" s="66"/>
      <c r="N800" s="66"/>
    </row>
    <row r="801" spans="1:14" x14ac:dyDescent="0.2">
      <c r="A801" s="84"/>
      <c r="B801" s="84"/>
      <c r="C801" s="60"/>
      <c r="D801" s="66"/>
      <c r="E801" s="66"/>
      <c r="F801" s="66"/>
      <c r="G801" s="66"/>
      <c r="H801" s="66"/>
      <c r="I801" s="66"/>
      <c r="J801" s="66"/>
      <c r="K801" s="66"/>
      <c r="L801" s="66"/>
      <c r="M801" s="66"/>
      <c r="N801" s="66"/>
    </row>
    <row r="802" spans="1:14" x14ac:dyDescent="0.2">
      <c r="A802" s="84"/>
      <c r="B802" s="84"/>
      <c r="C802" s="60"/>
      <c r="D802" s="66"/>
      <c r="E802" s="66"/>
      <c r="F802" s="66"/>
      <c r="G802" s="66"/>
      <c r="H802" s="66"/>
      <c r="I802" s="66"/>
      <c r="J802" s="66"/>
      <c r="K802" s="66"/>
      <c r="L802" s="66"/>
      <c r="M802" s="66"/>
      <c r="N802" s="66"/>
    </row>
    <row r="803" spans="1:14" x14ac:dyDescent="0.2">
      <c r="A803" s="84"/>
      <c r="B803" s="84"/>
      <c r="C803" s="60"/>
      <c r="D803" s="66"/>
      <c r="E803" s="66"/>
      <c r="F803" s="66"/>
      <c r="G803" s="66"/>
      <c r="H803" s="66"/>
      <c r="I803" s="66"/>
      <c r="J803" s="66"/>
      <c r="K803" s="66"/>
      <c r="L803" s="66"/>
      <c r="M803" s="66"/>
      <c r="N803" s="66"/>
    </row>
    <row r="804" spans="1:14" x14ac:dyDescent="0.2">
      <c r="A804" s="84"/>
      <c r="B804" s="84"/>
      <c r="C804" s="60"/>
      <c r="D804" s="66"/>
      <c r="E804" s="66"/>
      <c r="F804" s="66"/>
      <c r="G804" s="66"/>
      <c r="H804" s="66"/>
      <c r="I804" s="66"/>
      <c r="J804" s="66"/>
      <c r="K804" s="66"/>
      <c r="L804" s="66"/>
      <c r="M804" s="66"/>
      <c r="N804" s="66"/>
    </row>
    <row r="805" spans="1:14" x14ac:dyDescent="0.2">
      <c r="A805" s="84"/>
      <c r="B805" s="84"/>
      <c r="C805" s="60"/>
      <c r="D805" s="66"/>
      <c r="E805" s="66"/>
      <c r="F805" s="66"/>
      <c r="G805" s="66"/>
      <c r="H805" s="66"/>
      <c r="I805" s="66"/>
      <c r="J805" s="66"/>
      <c r="K805" s="66"/>
      <c r="L805" s="66"/>
      <c r="M805" s="66"/>
      <c r="N805" s="66"/>
    </row>
    <row r="806" spans="1:14" x14ac:dyDescent="0.2">
      <c r="A806" s="84"/>
      <c r="B806" s="84"/>
      <c r="C806" s="60"/>
      <c r="D806" s="66"/>
      <c r="E806" s="66"/>
      <c r="F806" s="66"/>
      <c r="G806" s="66"/>
      <c r="H806" s="66"/>
      <c r="I806" s="66"/>
      <c r="J806" s="66"/>
      <c r="K806" s="66"/>
      <c r="L806" s="66"/>
      <c r="M806" s="66"/>
      <c r="N806" s="66"/>
    </row>
    <row r="807" spans="1:14" x14ac:dyDescent="0.2">
      <c r="A807" s="84"/>
      <c r="B807" s="84"/>
      <c r="C807" s="60"/>
      <c r="D807" s="66"/>
      <c r="E807" s="66"/>
      <c r="F807" s="66"/>
      <c r="G807" s="66"/>
      <c r="H807" s="66"/>
      <c r="I807" s="66"/>
      <c r="J807" s="66"/>
      <c r="K807" s="66"/>
      <c r="L807" s="66"/>
      <c r="M807" s="66"/>
      <c r="N807" s="66"/>
    </row>
    <row r="808" spans="1:14" x14ac:dyDescent="0.2">
      <c r="A808" s="84"/>
      <c r="B808" s="84"/>
      <c r="C808" s="60"/>
      <c r="D808" s="66"/>
      <c r="E808" s="66"/>
      <c r="F808" s="66"/>
      <c r="G808" s="66"/>
      <c r="H808" s="66"/>
      <c r="I808" s="66"/>
      <c r="J808" s="66"/>
      <c r="K808" s="66"/>
      <c r="L808" s="66"/>
      <c r="M808" s="66"/>
      <c r="N808" s="66"/>
    </row>
    <row r="809" spans="1:14" x14ac:dyDescent="0.2">
      <c r="A809" s="84"/>
      <c r="B809" s="84"/>
      <c r="C809" s="60"/>
      <c r="D809" s="66"/>
      <c r="E809" s="66"/>
      <c r="F809" s="66"/>
      <c r="G809" s="66"/>
      <c r="H809" s="66"/>
      <c r="I809" s="66"/>
      <c r="J809" s="66"/>
      <c r="K809" s="66"/>
      <c r="L809" s="66"/>
      <c r="M809" s="66"/>
      <c r="N809" s="66"/>
    </row>
    <row r="810" spans="1:14" x14ac:dyDescent="0.2">
      <c r="A810" s="84"/>
      <c r="B810" s="84"/>
      <c r="C810" s="60"/>
      <c r="D810" s="66"/>
      <c r="E810" s="66"/>
      <c r="F810" s="66"/>
      <c r="G810" s="66"/>
      <c r="H810" s="66"/>
      <c r="I810" s="66"/>
      <c r="J810" s="66"/>
      <c r="K810" s="66"/>
      <c r="L810" s="66"/>
      <c r="M810" s="66"/>
      <c r="N810" s="66"/>
    </row>
    <row r="811" spans="1:14" x14ac:dyDescent="0.2">
      <c r="A811" s="84"/>
      <c r="B811" s="84"/>
      <c r="C811" s="60"/>
      <c r="D811" s="66"/>
      <c r="E811" s="66"/>
      <c r="F811" s="66"/>
      <c r="G811" s="66"/>
      <c r="H811" s="66"/>
      <c r="I811" s="66"/>
      <c r="J811" s="66"/>
      <c r="K811" s="66"/>
      <c r="L811" s="66"/>
      <c r="M811" s="66"/>
      <c r="N811" s="66"/>
    </row>
    <row r="812" spans="1:14" x14ac:dyDescent="0.2">
      <c r="A812" s="84"/>
      <c r="B812" s="84"/>
      <c r="C812" s="60"/>
      <c r="D812" s="66"/>
      <c r="E812" s="66"/>
      <c r="F812" s="66"/>
      <c r="G812" s="66"/>
      <c r="H812" s="66"/>
      <c r="I812" s="66"/>
      <c r="J812" s="66"/>
      <c r="K812" s="66"/>
      <c r="L812" s="66"/>
      <c r="M812" s="66"/>
      <c r="N812" s="66"/>
    </row>
    <row r="813" spans="1:14" x14ac:dyDescent="0.2">
      <c r="A813" s="84"/>
      <c r="B813" s="84"/>
      <c r="C813" s="60"/>
      <c r="D813" s="66"/>
      <c r="E813" s="66"/>
      <c r="F813" s="66"/>
      <c r="G813" s="66"/>
      <c r="H813" s="66"/>
      <c r="I813" s="66"/>
      <c r="J813" s="66"/>
      <c r="K813" s="66"/>
      <c r="L813" s="66"/>
      <c r="M813" s="66"/>
      <c r="N813" s="66"/>
    </row>
    <row r="814" spans="1:14" x14ac:dyDescent="0.2">
      <c r="A814" s="84"/>
      <c r="B814" s="84"/>
      <c r="C814" s="60"/>
      <c r="D814" s="66"/>
      <c r="E814" s="66"/>
      <c r="F814" s="66"/>
      <c r="G814" s="66"/>
      <c r="H814" s="66"/>
      <c r="I814" s="66"/>
      <c r="J814" s="66"/>
      <c r="K814" s="66"/>
      <c r="L814" s="66"/>
      <c r="M814" s="66"/>
      <c r="N814" s="66"/>
    </row>
    <row r="815" spans="1:14" x14ac:dyDescent="0.2">
      <c r="A815" s="84"/>
      <c r="B815" s="84"/>
      <c r="C815" s="60"/>
      <c r="D815" s="66"/>
      <c r="E815" s="66"/>
      <c r="F815" s="66"/>
      <c r="G815" s="66"/>
      <c r="H815" s="66"/>
      <c r="I815" s="66"/>
      <c r="J815" s="66"/>
      <c r="K815" s="66"/>
      <c r="L815" s="66"/>
      <c r="M815" s="66"/>
      <c r="N815" s="66"/>
    </row>
    <row r="816" spans="1:14" x14ac:dyDescent="0.2">
      <c r="A816" s="84"/>
      <c r="B816" s="84"/>
      <c r="C816" s="60"/>
      <c r="D816" s="66"/>
      <c r="E816" s="66"/>
      <c r="F816" s="66"/>
      <c r="G816" s="66"/>
      <c r="H816" s="66"/>
      <c r="I816" s="66"/>
      <c r="J816" s="66"/>
      <c r="K816" s="66"/>
      <c r="L816" s="66"/>
      <c r="M816" s="66"/>
      <c r="N816" s="66"/>
    </row>
    <row r="817" spans="1:14" x14ac:dyDescent="0.2">
      <c r="A817" s="84"/>
      <c r="B817" s="84"/>
      <c r="C817" s="60"/>
      <c r="D817" s="66"/>
      <c r="E817" s="66"/>
      <c r="F817" s="66"/>
      <c r="G817" s="66"/>
      <c r="H817" s="66"/>
      <c r="I817" s="66"/>
      <c r="J817" s="66"/>
      <c r="K817" s="66"/>
      <c r="L817" s="66"/>
      <c r="M817" s="66"/>
      <c r="N817" s="66"/>
    </row>
    <row r="818" spans="1:14" x14ac:dyDescent="0.2">
      <c r="A818" s="84"/>
      <c r="B818" s="84"/>
      <c r="C818" s="60"/>
      <c r="D818" s="66"/>
      <c r="E818" s="66"/>
      <c r="F818" s="66"/>
      <c r="G818" s="66"/>
      <c r="H818" s="66"/>
      <c r="I818" s="66"/>
      <c r="J818" s="66"/>
      <c r="K818" s="66"/>
      <c r="L818" s="66"/>
      <c r="M818" s="66"/>
      <c r="N818" s="66"/>
    </row>
    <row r="819" spans="1:14" x14ac:dyDescent="0.2">
      <c r="A819" s="84"/>
      <c r="B819" s="84"/>
      <c r="C819" s="60"/>
      <c r="D819" s="66"/>
      <c r="E819" s="66"/>
      <c r="F819" s="66"/>
      <c r="G819" s="66"/>
      <c r="H819" s="66"/>
      <c r="I819" s="66"/>
      <c r="J819" s="66"/>
      <c r="K819" s="66"/>
      <c r="L819" s="66"/>
      <c r="M819" s="66"/>
      <c r="N819" s="66"/>
    </row>
    <row r="820" spans="1:14" x14ac:dyDescent="0.2">
      <c r="A820" s="84"/>
      <c r="B820" s="84"/>
      <c r="C820" s="60"/>
      <c r="D820" s="66"/>
      <c r="E820" s="66"/>
      <c r="F820" s="66"/>
      <c r="G820" s="66"/>
      <c r="H820" s="66"/>
      <c r="I820" s="66"/>
      <c r="J820" s="66"/>
      <c r="K820" s="66"/>
      <c r="L820" s="66"/>
      <c r="M820" s="66"/>
      <c r="N820" s="66"/>
    </row>
    <row r="821" spans="1:14" x14ac:dyDescent="0.2">
      <c r="A821" s="84"/>
      <c r="B821" s="84"/>
      <c r="C821" s="60"/>
      <c r="D821" s="66"/>
      <c r="E821" s="66"/>
      <c r="F821" s="66"/>
      <c r="G821" s="66"/>
      <c r="H821" s="66"/>
      <c r="I821" s="66"/>
      <c r="J821" s="66"/>
      <c r="K821" s="66"/>
      <c r="L821" s="66"/>
      <c r="M821" s="66"/>
      <c r="N821" s="66"/>
    </row>
    <row r="822" spans="1:14" x14ac:dyDescent="0.2">
      <c r="A822" s="84"/>
      <c r="B822" s="84"/>
      <c r="C822" s="60"/>
      <c r="D822" s="66"/>
      <c r="E822" s="66"/>
      <c r="F822" s="66"/>
      <c r="G822" s="66"/>
      <c r="H822" s="66"/>
      <c r="I822" s="66"/>
      <c r="J822" s="66"/>
      <c r="K822" s="66"/>
      <c r="L822" s="66"/>
      <c r="M822" s="66"/>
      <c r="N822" s="66"/>
    </row>
    <row r="823" spans="1:14" x14ac:dyDescent="0.2">
      <c r="A823" s="84"/>
      <c r="B823" s="84"/>
      <c r="C823" s="60"/>
      <c r="D823" s="66"/>
      <c r="E823" s="66"/>
      <c r="F823" s="66"/>
      <c r="G823" s="66"/>
      <c r="H823" s="66"/>
      <c r="I823" s="66"/>
      <c r="J823" s="66"/>
      <c r="K823" s="66"/>
      <c r="L823" s="66"/>
      <c r="M823" s="66"/>
      <c r="N823" s="66"/>
    </row>
    <row r="824" spans="1:14" x14ac:dyDescent="0.2">
      <c r="A824" s="84"/>
      <c r="B824" s="84"/>
      <c r="C824" s="60"/>
      <c r="D824" s="66"/>
      <c r="E824" s="66"/>
      <c r="F824" s="66"/>
      <c r="G824" s="66"/>
      <c r="H824" s="66"/>
      <c r="I824" s="66"/>
      <c r="J824" s="66"/>
      <c r="K824" s="66"/>
      <c r="L824" s="66"/>
      <c r="M824" s="66"/>
      <c r="N824" s="66"/>
    </row>
    <row r="825" spans="1:14" x14ac:dyDescent="0.2">
      <c r="A825" s="84"/>
      <c r="B825" s="84"/>
      <c r="C825" s="60"/>
      <c r="D825" s="66"/>
      <c r="E825" s="66"/>
      <c r="F825" s="66"/>
      <c r="G825" s="66"/>
      <c r="H825" s="66"/>
      <c r="I825" s="66"/>
      <c r="J825" s="66"/>
      <c r="K825" s="66"/>
      <c r="L825" s="66"/>
      <c r="M825" s="66"/>
      <c r="N825" s="66"/>
    </row>
    <row r="826" spans="1:14" x14ac:dyDescent="0.2">
      <c r="A826" s="84"/>
      <c r="B826" s="84"/>
      <c r="C826" s="60"/>
      <c r="D826" s="66"/>
      <c r="E826" s="66"/>
      <c r="F826" s="66"/>
      <c r="G826" s="66"/>
      <c r="H826" s="66"/>
      <c r="I826" s="66"/>
      <c r="J826" s="66"/>
      <c r="K826" s="66"/>
      <c r="L826" s="66"/>
      <c r="M826" s="66"/>
      <c r="N826" s="66"/>
    </row>
    <row r="827" spans="1:14" x14ac:dyDescent="0.2">
      <c r="A827" s="84"/>
      <c r="B827" s="84"/>
      <c r="C827" s="60"/>
      <c r="D827" s="66"/>
      <c r="E827" s="66"/>
      <c r="F827" s="66"/>
      <c r="G827" s="66"/>
      <c r="H827" s="66"/>
      <c r="I827" s="66"/>
      <c r="J827" s="66"/>
      <c r="K827" s="66"/>
      <c r="L827" s="66"/>
      <c r="M827" s="66"/>
      <c r="N827" s="66"/>
    </row>
    <row r="828" spans="1:14" x14ac:dyDescent="0.2">
      <c r="A828" s="84"/>
      <c r="B828" s="84"/>
      <c r="C828" s="60"/>
      <c r="D828" s="66"/>
      <c r="E828" s="66"/>
      <c r="F828" s="66"/>
      <c r="G828" s="66"/>
      <c r="H828" s="66"/>
      <c r="I828" s="66"/>
      <c r="J828" s="66"/>
      <c r="K828" s="66"/>
      <c r="L828" s="66"/>
      <c r="M828" s="66"/>
      <c r="N828" s="66"/>
    </row>
    <row r="829" spans="1:14" x14ac:dyDescent="0.2">
      <c r="A829" s="84"/>
      <c r="B829" s="84"/>
      <c r="C829" s="60"/>
      <c r="D829" s="66"/>
      <c r="E829" s="66"/>
      <c r="F829" s="66"/>
      <c r="G829" s="66"/>
      <c r="H829" s="66"/>
      <c r="I829" s="66"/>
      <c r="J829" s="66"/>
      <c r="K829" s="66"/>
      <c r="L829" s="66"/>
      <c r="M829" s="66"/>
      <c r="N829" s="66"/>
    </row>
    <row r="830" spans="1:14" x14ac:dyDescent="0.2">
      <c r="A830" s="84"/>
      <c r="B830" s="84"/>
      <c r="C830" s="60"/>
      <c r="D830" s="66"/>
      <c r="E830" s="66"/>
      <c r="F830" s="66"/>
      <c r="G830" s="66"/>
      <c r="H830" s="66"/>
      <c r="I830" s="66"/>
      <c r="J830" s="66"/>
      <c r="K830" s="66"/>
      <c r="L830" s="66"/>
      <c r="M830" s="66"/>
      <c r="N830" s="66"/>
    </row>
    <row r="831" spans="1:14" x14ac:dyDescent="0.2">
      <c r="A831" s="84"/>
      <c r="B831" s="84"/>
      <c r="C831" s="60"/>
      <c r="D831" s="66"/>
      <c r="E831" s="66"/>
      <c r="F831" s="66"/>
      <c r="G831" s="66"/>
      <c r="H831" s="66"/>
      <c r="I831" s="66"/>
      <c r="J831" s="66"/>
      <c r="K831" s="66"/>
      <c r="L831" s="66"/>
      <c r="M831" s="66"/>
      <c r="N831" s="66"/>
    </row>
    <row r="832" spans="1:14" x14ac:dyDescent="0.2">
      <c r="A832" s="84"/>
      <c r="B832" s="84"/>
      <c r="C832" s="60"/>
      <c r="D832" s="66"/>
      <c r="E832" s="66"/>
      <c r="F832" s="66"/>
      <c r="G832" s="66"/>
      <c r="H832" s="66"/>
      <c r="I832" s="66"/>
      <c r="J832" s="66"/>
      <c r="K832" s="66"/>
      <c r="L832" s="66"/>
      <c r="M832" s="66"/>
      <c r="N832" s="66"/>
    </row>
    <row r="833" spans="1:14" x14ac:dyDescent="0.2">
      <c r="A833" s="84"/>
      <c r="B833" s="84"/>
      <c r="C833" s="60"/>
      <c r="D833" s="66"/>
      <c r="E833" s="66"/>
      <c r="F833" s="66"/>
      <c r="G833" s="66"/>
      <c r="H833" s="66"/>
      <c r="I833" s="66"/>
      <c r="J833" s="66"/>
      <c r="K833" s="66"/>
      <c r="L833" s="66"/>
      <c r="M833" s="66"/>
      <c r="N833" s="66"/>
    </row>
    <row r="834" spans="1:14" x14ac:dyDescent="0.2">
      <c r="A834" s="84"/>
      <c r="B834" s="84"/>
      <c r="C834" s="60"/>
      <c r="D834" s="66"/>
      <c r="E834" s="66"/>
      <c r="F834" s="66"/>
      <c r="G834" s="66"/>
      <c r="H834" s="66"/>
      <c r="I834" s="66"/>
      <c r="J834" s="66"/>
      <c r="K834" s="66"/>
      <c r="L834" s="66"/>
      <c r="M834" s="66"/>
      <c r="N834" s="66"/>
    </row>
    <row r="835" spans="1:14" x14ac:dyDescent="0.2">
      <c r="A835" s="84"/>
      <c r="B835" s="84"/>
      <c r="C835" s="60"/>
      <c r="D835" s="66"/>
      <c r="E835" s="66"/>
      <c r="F835" s="66"/>
      <c r="G835" s="66"/>
      <c r="H835" s="66"/>
      <c r="I835" s="66"/>
      <c r="J835" s="66"/>
      <c r="K835" s="66"/>
      <c r="L835" s="66"/>
      <c r="M835" s="66"/>
      <c r="N835" s="66"/>
    </row>
    <row r="836" spans="1:14" x14ac:dyDescent="0.2">
      <c r="A836" s="84"/>
      <c r="B836" s="84"/>
      <c r="C836" s="60"/>
      <c r="D836" s="66"/>
      <c r="E836" s="66"/>
      <c r="F836" s="66"/>
      <c r="G836" s="66"/>
      <c r="H836" s="66"/>
      <c r="I836" s="66"/>
      <c r="J836" s="66"/>
      <c r="K836" s="66"/>
      <c r="L836" s="66"/>
      <c r="M836" s="66"/>
      <c r="N836" s="66"/>
    </row>
    <row r="837" spans="1:14" x14ac:dyDescent="0.2">
      <c r="A837" s="84"/>
      <c r="B837" s="84"/>
      <c r="C837" s="60"/>
      <c r="D837" s="66"/>
      <c r="E837" s="66"/>
      <c r="F837" s="66"/>
      <c r="G837" s="66"/>
      <c r="H837" s="66"/>
      <c r="I837" s="66"/>
      <c r="J837" s="66"/>
      <c r="K837" s="66"/>
      <c r="L837" s="66"/>
      <c r="M837" s="66"/>
      <c r="N837" s="66"/>
    </row>
    <row r="838" spans="1:14" x14ac:dyDescent="0.2">
      <c r="A838" s="84"/>
      <c r="B838" s="84"/>
      <c r="C838" s="60"/>
      <c r="D838" s="66"/>
      <c r="E838" s="66"/>
      <c r="F838" s="66"/>
      <c r="G838" s="66"/>
      <c r="H838" s="66"/>
      <c r="I838" s="66"/>
      <c r="J838" s="66"/>
      <c r="K838" s="66"/>
      <c r="L838" s="66"/>
      <c r="M838" s="66"/>
      <c r="N838" s="66"/>
    </row>
    <row r="839" spans="1:14" x14ac:dyDescent="0.2">
      <c r="A839" s="84"/>
      <c r="B839" s="84"/>
      <c r="C839" s="60"/>
      <c r="D839" s="66"/>
      <c r="E839" s="66"/>
      <c r="F839" s="66"/>
      <c r="G839" s="66"/>
      <c r="H839" s="66"/>
      <c r="I839" s="66"/>
      <c r="J839" s="66"/>
      <c r="K839" s="66"/>
      <c r="L839" s="66"/>
      <c r="M839" s="66"/>
      <c r="N839" s="66"/>
    </row>
    <row r="840" spans="1:14" x14ac:dyDescent="0.2">
      <c r="A840" s="84"/>
      <c r="B840" s="84"/>
      <c r="C840" s="60"/>
      <c r="D840" s="66"/>
      <c r="E840" s="66"/>
      <c r="F840" s="66"/>
      <c r="G840" s="66"/>
      <c r="H840" s="66"/>
      <c r="I840" s="66"/>
      <c r="J840" s="66"/>
      <c r="K840" s="66"/>
      <c r="L840" s="66"/>
      <c r="M840" s="66"/>
      <c r="N840" s="66"/>
    </row>
    <row r="841" spans="1:14" x14ac:dyDescent="0.2">
      <c r="A841" s="84"/>
      <c r="B841" s="84"/>
      <c r="C841" s="60"/>
      <c r="D841" s="66"/>
      <c r="E841" s="66"/>
      <c r="F841" s="66"/>
      <c r="G841" s="66"/>
      <c r="H841" s="66"/>
      <c r="I841" s="66"/>
      <c r="J841" s="66"/>
      <c r="K841" s="66"/>
      <c r="L841" s="66"/>
      <c r="M841" s="66"/>
      <c r="N841" s="66"/>
    </row>
    <row r="842" spans="1:14" x14ac:dyDescent="0.2">
      <c r="A842" s="84"/>
      <c r="B842" s="84"/>
      <c r="C842" s="60"/>
      <c r="D842" s="66"/>
      <c r="E842" s="66"/>
      <c r="F842" s="66"/>
      <c r="G842" s="66"/>
      <c r="H842" s="66"/>
      <c r="I842" s="66"/>
      <c r="J842" s="66"/>
      <c r="K842" s="66"/>
      <c r="L842" s="66"/>
      <c r="M842" s="66"/>
      <c r="N842" s="66"/>
    </row>
    <row r="843" spans="1:14" x14ac:dyDescent="0.2">
      <c r="A843" s="84"/>
      <c r="B843" s="84"/>
      <c r="C843" s="60"/>
      <c r="D843" s="66"/>
      <c r="E843" s="66"/>
      <c r="F843" s="66"/>
      <c r="G843" s="66"/>
      <c r="H843" s="66"/>
      <c r="I843" s="66"/>
      <c r="J843" s="66"/>
      <c r="K843" s="66"/>
      <c r="L843" s="66"/>
      <c r="M843" s="66"/>
      <c r="N843" s="66"/>
    </row>
    <row r="844" spans="1:14" x14ac:dyDescent="0.2">
      <c r="A844" s="84"/>
      <c r="B844" s="84"/>
      <c r="C844" s="60"/>
      <c r="D844" s="66"/>
      <c r="E844" s="66"/>
      <c r="F844" s="66"/>
      <c r="G844" s="66"/>
      <c r="H844" s="66"/>
      <c r="I844" s="66"/>
      <c r="J844" s="66"/>
      <c r="K844" s="66"/>
      <c r="L844" s="66"/>
      <c r="M844" s="66"/>
      <c r="N844" s="66"/>
    </row>
    <row r="845" spans="1:14" x14ac:dyDescent="0.2">
      <c r="A845" s="84"/>
      <c r="B845" s="84"/>
      <c r="C845" s="60"/>
      <c r="D845" s="66"/>
      <c r="E845" s="66"/>
      <c r="F845" s="66"/>
      <c r="G845" s="66"/>
      <c r="H845" s="66"/>
      <c r="I845" s="66"/>
      <c r="J845" s="66"/>
      <c r="K845" s="66"/>
      <c r="L845" s="66"/>
      <c r="M845" s="66"/>
      <c r="N845" s="66"/>
    </row>
    <row r="846" spans="1:14" x14ac:dyDescent="0.2">
      <c r="A846" s="84"/>
      <c r="B846" s="84"/>
      <c r="C846" s="60"/>
      <c r="D846" s="66"/>
      <c r="E846" s="66"/>
      <c r="F846" s="66"/>
      <c r="G846" s="66"/>
      <c r="H846" s="66"/>
      <c r="I846" s="66"/>
      <c r="J846" s="66"/>
      <c r="K846" s="66"/>
      <c r="L846" s="66"/>
      <c r="M846" s="66"/>
      <c r="N846" s="66"/>
    </row>
    <row r="847" spans="1:14" x14ac:dyDescent="0.2">
      <c r="A847" s="84"/>
      <c r="B847" s="84"/>
      <c r="C847" s="60"/>
      <c r="D847" s="66"/>
      <c r="E847" s="66"/>
      <c r="F847" s="66"/>
      <c r="G847" s="66"/>
      <c r="H847" s="66"/>
      <c r="I847" s="66"/>
      <c r="J847" s="66"/>
      <c r="K847" s="66"/>
      <c r="L847" s="66"/>
      <c r="M847" s="66"/>
      <c r="N847" s="66"/>
    </row>
    <row r="848" spans="1:14" x14ac:dyDescent="0.2">
      <c r="A848" s="84"/>
      <c r="B848" s="84"/>
      <c r="C848" s="60"/>
      <c r="D848" s="66"/>
      <c r="E848" s="66"/>
      <c r="F848" s="66"/>
      <c r="G848" s="66"/>
      <c r="H848" s="66"/>
      <c r="I848" s="66"/>
      <c r="J848" s="66"/>
      <c r="K848" s="66"/>
      <c r="L848" s="66"/>
      <c r="M848" s="66"/>
      <c r="N848" s="66"/>
    </row>
    <row r="849" spans="1:14" x14ac:dyDescent="0.2">
      <c r="A849" s="84"/>
      <c r="B849" s="84"/>
      <c r="C849" s="60"/>
      <c r="D849" s="66"/>
      <c r="E849" s="66"/>
      <c r="F849" s="66"/>
      <c r="G849" s="66"/>
      <c r="H849" s="66"/>
      <c r="I849" s="66"/>
      <c r="J849" s="66"/>
      <c r="K849" s="66"/>
      <c r="L849" s="66"/>
      <c r="M849" s="66"/>
      <c r="N849" s="66"/>
    </row>
    <row r="850" spans="1:14" x14ac:dyDescent="0.2">
      <c r="A850" s="84"/>
      <c r="B850" s="84"/>
      <c r="C850" s="60"/>
      <c r="D850" s="66"/>
      <c r="E850" s="66"/>
      <c r="F850" s="66"/>
      <c r="G850" s="66"/>
      <c r="H850" s="66"/>
      <c r="I850" s="66"/>
      <c r="J850" s="66"/>
      <c r="K850" s="66"/>
      <c r="L850" s="66"/>
      <c r="M850" s="66"/>
      <c r="N850" s="66"/>
    </row>
    <row r="851" spans="1:14" x14ac:dyDescent="0.2">
      <c r="A851" s="84"/>
      <c r="B851" s="84"/>
      <c r="C851" s="60"/>
      <c r="D851" s="66"/>
      <c r="E851" s="66"/>
      <c r="F851" s="66"/>
      <c r="G851" s="66"/>
      <c r="H851" s="66"/>
      <c r="I851" s="66"/>
      <c r="J851" s="66"/>
      <c r="K851" s="66"/>
      <c r="L851" s="66"/>
      <c r="M851" s="66"/>
      <c r="N851" s="66"/>
    </row>
    <row r="852" spans="1:14" x14ac:dyDescent="0.2">
      <c r="A852" s="84"/>
      <c r="B852" s="84"/>
      <c r="C852" s="60"/>
      <c r="D852" s="66"/>
      <c r="E852" s="66"/>
      <c r="F852" s="66"/>
      <c r="G852" s="66"/>
      <c r="H852" s="66"/>
      <c r="I852" s="66"/>
      <c r="J852" s="66"/>
      <c r="K852" s="66"/>
      <c r="L852" s="66"/>
      <c r="M852" s="66"/>
      <c r="N852" s="66"/>
    </row>
    <row r="853" spans="1:14" x14ac:dyDescent="0.2">
      <c r="A853" s="84"/>
      <c r="B853" s="84"/>
      <c r="C853" s="60"/>
      <c r="D853" s="66"/>
      <c r="E853" s="66"/>
      <c r="F853" s="66"/>
      <c r="G853" s="66"/>
      <c r="H853" s="66"/>
      <c r="I853" s="66"/>
      <c r="J853" s="66"/>
      <c r="K853" s="66"/>
      <c r="L853" s="66"/>
      <c r="M853" s="66"/>
      <c r="N853" s="66"/>
    </row>
    <row r="854" spans="1:14" x14ac:dyDescent="0.2">
      <c r="A854" s="84"/>
      <c r="B854" s="84"/>
      <c r="C854" s="60"/>
      <c r="D854" s="66"/>
      <c r="E854" s="66"/>
      <c r="F854" s="66"/>
      <c r="G854" s="66"/>
      <c r="H854" s="66"/>
      <c r="I854" s="66"/>
      <c r="J854" s="66"/>
      <c r="K854" s="66"/>
      <c r="L854" s="66"/>
      <c r="M854" s="66"/>
      <c r="N854" s="66"/>
    </row>
    <row r="855" spans="1:14" x14ac:dyDescent="0.2">
      <c r="A855" s="84"/>
      <c r="B855" s="84"/>
      <c r="C855" s="60"/>
      <c r="D855" s="66"/>
      <c r="E855" s="66"/>
      <c r="F855" s="66"/>
      <c r="G855" s="66"/>
      <c r="H855" s="66"/>
      <c r="I855" s="66"/>
      <c r="J855" s="66"/>
      <c r="K855" s="66"/>
      <c r="L855" s="66"/>
      <c r="M855" s="66"/>
      <c r="N855" s="66"/>
    </row>
    <row r="856" spans="1:14" x14ac:dyDescent="0.2">
      <c r="A856" s="84"/>
      <c r="B856" s="84"/>
      <c r="C856" s="60"/>
      <c r="D856" s="66"/>
      <c r="E856" s="66"/>
      <c r="F856" s="66"/>
      <c r="G856" s="66"/>
      <c r="H856" s="66"/>
      <c r="I856" s="66"/>
      <c r="J856" s="66"/>
      <c r="K856" s="66"/>
      <c r="L856" s="66"/>
      <c r="M856" s="66"/>
      <c r="N856" s="66"/>
    </row>
    <row r="857" spans="1:14" x14ac:dyDescent="0.2">
      <c r="A857" s="84"/>
      <c r="B857" s="84"/>
      <c r="C857" s="60"/>
      <c r="D857" s="66"/>
      <c r="E857" s="66"/>
      <c r="F857" s="66"/>
      <c r="G857" s="66"/>
      <c r="H857" s="66"/>
      <c r="I857" s="66"/>
      <c r="J857" s="66"/>
      <c r="K857" s="66"/>
      <c r="L857" s="66"/>
      <c r="M857" s="66"/>
      <c r="N857" s="66"/>
    </row>
    <row r="858" spans="1:14" x14ac:dyDescent="0.2">
      <c r="A858" s="84"/>
      <c r="B858" s="84"/>
      <c r="C858" s="60"/>
      <c r="D858" s="66"/>
      <c r="E858" s="66"/>
      <c r="F858" s="66"/>
      <c r="G858" s="66"/>
      <c r="H858" s="66"/>
      <c r="I858" s="66"/>
      <c r="J858" s="66"/>
      <c r="K858" s="66"/>
      <c r="L858" s="66"/>
      <c r="M858" s="66"/>
      <c r="N858" s="66"/>
    </row>
    <row r="859" spans="1:14" x14ac:dyDescent="0.2">
      <c r="A859" s="84"/>
      <c r="B859" s="84"/>
      <c r="C859" s="60"/>
      <c r="D859" s="66"/>
      <c r="E859" s="66"/>
      <c r="F859" s="66"/>
      <c r="G859" s="66"/>
      <c r="H859" s="66"/>
      <c r="I859" s="66"/>
      <c r="J859" s="66"/>
      <c r="K859" s="66"/>
      <c r="L859" s="66"/>
      <c r="M859" s="66"/>
      <c r="N859" s="66"/>
    </row>
    <row r="860" spans="1:14" x14ac:dyDescent="0.2">
      <c r="A860" s="84"/>
      <c r="B860" s="84"/>
      <c r="C860" s="60"/>
      <c r="D860" s="66"/>
      <c r="E860" s="66"/>
      <c r="F860" s="66"/>
      <c r="G860" s="66"/>
      <c r="H860" s="66"/>
      <c r="I860" s="66"/>
      <c r="J860" s="66"/>
      <c r="K860" s="66"/>
      <c r="L860" s="66"/>
      <c r="M860" s="66"/>
      <c r="N860" s="66"/>
    </row>
    <row r="861" spans="1:14" x14ac:dyDescent="0.2">
      <c r="A861" s="84"/>
      <c r="B861" s="84"/>
      <c r="C861" s="60"/>
      <c r="D861" s="66"/>
      <c r="E861" s="66"/>
      <c r="F861" s="66"/>
      <c r="G861" s="66"/>
      <c r="H861" s="66"/>
      <c r="I861" s="66"/>
      <c r="J861" s="66"/>
      <c r="K861" s="66"/>
      <c r="L861" s="66"/>
      <c r="M861" s="66"/>
      <c r="N861" s="66"/>
    </row>
    <row r="862" spans="1:14" x14ac:dyDescent="0.2">
      <c r="A862" s="84"/>
      <c r="B862" s="84"/>
      <c r="C862" s="60"/>
      <c r="D862" s="66"/>
      <c r="E862" s="66"/>
      <c r="F862" s="66"/>
      <c r="G862" s="66"/>
      <c r="H862" s="66"/>
      <c r="I862" s="66"/>
      <c r="J862" s="66"/>
      <c r="K862" s="66"/>
      <c r="L862" s="66"/>
      <c r="M862" s="66"/>
      <c r="N862" s="66"/>
    </row>
    <row r="863" spans="1:14" x14ac:dyDescent="0.2">
      <c r="A863" s="84"/>
      <c r="B863" s="84"/>
      <c r="C863" s="60"/>
      <c r="D863" s="66"/>
      <c r="E863" s="66"/>
      <c r="F863" s="66"/>
      <c r="G863" s="66"/>
      <c r="H863" s="66"/>
      <c r="I863" s="66"/>
      <c r="J863" s="66"/>
      <c r="K863" s="66"/>
      <c r="L863" s="66"/>
      <c r="M863" s="66"/>
      <c r="N863" s="66"/>
    </row>
    <row r="864" spans="1:14" x14ac:dyDescent="0.2">
      <c r="A864" s="84"/>
      <c r="B864" s="84"/>
      <c r="C864" s="60"/>
      <c r="D864" s="66"/>
      <c r="E864" s="66"/>
      <c r="F864" s="66"/>
      <c r="G864" s="66"/>
      <c r="H864" s="66"/>
      <c r="I864" s="66"/>
      <c r="J864" s="66"/>
      <c r="K864" s="66"/>
      <c r="L864" s="66"/>
      <c r="M864" s="66"/>
      <c r="N864" s="66"/>
    </row>
    <row r="865" spans="1:14" x14ac:dyDescent="0.2">
      <c r="A865" s="84"/>
      <c r="B865" s="84"/>
      <c r="C865" s="60"/>
      <c r="D865" s="66"/>
      <c r="E865" s="66"/>
      <c r="F865" s="66"/>
      <c r="G865" s="66"/>
      <c r="H865" s="66"/>
      <c r="I865" s="66"/>
      <c r="J865" s="66"/>
      <c r="K865" s="66"/>
      <c r="L865" s="66"/>
      <c r="M865" s="66"/>
      <c r="N865" s="66"/>
    </row>
    <row r="866" spans="1:14" x14ac:dyDescent="0.2">
      <c r="A866" s="84"/>
      <c r="B866" s="84"/>
      <c r="C866" s="60"/>
      <c r="D866" s="66"/>
      <c r="E866" s="66"/>
      <c r="F866" s="66"/>
      <c r="G866" s="66"/>
      <c r="H866" s="66"/>
      <c r="I866" s="66"/>
      <c r="J866" s="66"/>
      <c r="K866" s="66"/>
      <c r="L866" s="66"/>
      <c r="M866" s="66"/>
      <c r="N866" s="66"/>
    </row>
    <row r="867" spans="1:14" x14ac:dyDescent="0.2">
      <c r="A867" s="84"/>
      <c r="B867" s="84"/>
      <c r="C867" s="60"/>
      <c r="D867" s="66"/>
      <c r="E867" s="66"/>
      <c r="F867" s="66"/>
      <c r="G867" s="66"/>
      <c r="H867" s="66"/>
      <c r="I867" s="66"/>
      <c r="J867" s="66"/>
      <c r="K867" s="66"/>
      <c r="L867" s="66"/>
      <c r="M867" s="66"/>
      <c r="N867" s="66"/>
    </row>
    <row r="868" spans="1:14" x14ac:dyDescent="0.2">
      <c r="A868" s="84"/>
      <c r="B868" s="84"/>
      <c r="C868" s="60"/>
      <c r="D868" s="66"/>
      <c r="E868" s="66"/>
      <c r="F868" s="66"/>
      <c r="G868" s="66"/>
      <c r="H868" s="66"/>
      <c r="I868" s="66"/>
      <c r="J868" s="66"/>
      <c r="K868" s="66"/>
      <c r="L868" s="66"/>
      <c r="M868" s="66"/>
      <c r="N868" s="66"/>
    </row>
    <row r="869" spans="1:14" x14ac:dyDescent="0.2">
      <c r="A869" s="84"/>
      <c r="B869" s="84"/>
      <c r="C869" s="60"/>
      <c r="D869" s="66"/>
      <c r="E869" s="66"/>
      <c r="F869" s="66"/>
      <c r="G869" s="66"/>
      <c r="H869" s="66"/>
      <c r="I869" s="66"/>
      <c r="J869" s="66"/>
      <c r="K869" s="66"/>
      <c r="L869" s="66"/>
      <c r="M869" s="66"/>
      <c r="N869" s="66"/>
    </row>
    <row r="870" spans="1:14" x14ac:dyDescent="0.2">
      <c r="A870" s="84"/>
      <c r="B870" s="84"/>
      <c r="C870" s="60"/>
      <c r="D870" s="66"/>
      <c r="E870" s="66"/>
      <c r="F870" s="66"/>
      <c r="G870" s="66"/>
      <c r="H870" s="66"/>
      <c r="I870" s="66"/>
      <c r="J870" s="66"/>
      <c r="K870" s="66"/>
      <c r="L870" s="66"/>
      <c r="M870" s="66"/>
      <c r="N870" s="66"/>
    </row>
    <row r="871" spans="1:14" x14ac:dyDescent="0.2">
      <c r="A871" s="84"/>
      <c r="B871" s="84"/>
      <c r="C871" s="60"/>
      <c r="D871" s="66"/>
      <c r="E871" s="66"/>
      <c r="F871" s="66"/>
      <c r="G871" s="66"/>
      <c r="H871" s="66"/>
      <c r="I871" s="66"/>
      <c r="J871" s="66"/>
      <c r="K871" s="66"/>
      <c r="L871" s="66"/>
      <c r="M871" s="66"/>
      <c r="N871" s="66"/>
    </row>
    <row r="872" spans="1:14" x14ac:dyDescent="0.2">
      <c r="A872" s="84"/>
      <c r="B872" s="84"/>
      <c r="C872" s="60"/>
      <c r="D872" s="66"/>
      <c r="E872" s="66"/>
      <c r="F872" s="66"/>
      <c r="G872" s="66"/>
      <c r="H872" s="66"/>
      <c r="I872" s="66"/>
      <c r="J872" s="66"/>
      <c r="K872" s="66"/>
      <c r="L872" s="66"/>
      <c r="M872" s="66"/>
      <c r="N872" s="66"/>
    </row>
    <row r="873" spans="1:14" x14ac:dyDescent="0.2">
      <c r="A873" s="84"/>
      <c r="B873" s="84"/>
      <c r="C873" s="60"/>
      <c r="D873" s="66"/>
      <c r="E873" s="66"/>
      <c r="F873" s="66"/>
      <c r="G873" s="66"/>
      <c r="H873" s="66"/>
      <c r="I873" s="66"/>
      <c r="J873" s="66"/>
      <c r="K873" s="66"/>
      <c r="L873" s="66"/>
      <c r="M873" s="66"/>
      <c r="N873" s="66"/>
    </row>
    <row r="874" spans="1:14" x14ac:dyDescent="0.2">
      <c r="A874" s="84"/>
      <c r="B874" s="84"/>
      <c r="C874" s="60"/>
      <c r="D874" s="66"/>
      <c r="E874" s="66"/>
      <c r="F874" s="66"/>
      <c r="G874" s="66"/>
      <c r="H874" s="66"/>
      <c r="I874" s="66"/>
      <c r="J874" s="66"/>
      <c r="K874" s="66"/>
      <c r="L874" s="66"/>
      <c r="M874" s="66"/>
      <c r="N874" s="66"/>
    </row>
    <row r="875" spans="1:14" x14ac:dyDescent="0.2">
      <c r="A875" s="84"/>
      <c r="B875" s="84"/>
      <c r="C875" s="60"/>
      <c r="D875" s="66"/>
      <c r="E875" s="66"/>
      <c r="F875" s="66"/>
      <c r="G875" s="66"/>
      <c r="H875" s="66"/>
      <c r="I875" s="66"/>
      <c r="J875" s="66"/>
      <c r="K875" s="66"/>
      <c r="L875" s="66"/>
      <c r="M875" s="66"/>
      <c r="N875" s="66"/>
    </row>
    <row r="876" spans="1:14" x14ac:dyDescent="0.2">
      <c r="A876" s="84"/>
      <c r="B876" s="84"/>
      <c r="C876" s="60"/>
      <c r="D876" s="66"/>
      <c r="E876" s="66"/>
      <c r="F876" s="66"/>
      <c r="G876" s="66"/>
      <c r="H876" s="66"/>
      <c r="I876" s="66"/>
      <c r="J876" s="66"/>
      <c r="K876" s="66"/>
      <c r="L876" s="66"/>
      <c r="M876" s="66"/>
      <c r="N876" s="66"/>
    </row>
    <row r="877" spans="1:14" x14ac:dyDescent="0.2">
      <c r="A877" s="84"/>
      <c r="B877" s="84"/>
      <c r="C877" s="60"/>
      <c r="D877" s="66"/>
      <c r="E877" s="66"/>
      <c r="F877" s="66"/>
      <c r="G877" s="66"/>
      <c r="H877" s="66"/>
      <c r="I877" s="66"/>
      <c r="J877" s="66"/>
      <c r="K877" s="66"/>
      <c r="L877" s="66"/>
      <c r="M877" s="66"/>
      <c r="N877" s="66"/>
    </row>
    <row r="878" spans="1:14" x14ac:dyDescent="0.2">
      <c r="A878" s="84"/>
      <c r="B878" s="84"/>
      <c r="C878" s="60"/>
      <c r="D878" s="66"/>
      <c r="E878" s="66"/>
      <c r="F878" s="66"/>
      <c r="G878" s="66"/>
      <c r="H878" s="66"/>
      <c r="I878" s="66"/>
      <c r="J878" s="66"/>
      <c r="K878" s="66"/>
      <c r="L878" s="66"/>
      <c r="M878" s="66"/>
      <c r="N878" s="66"/>
    </row>
    <row r="879" spans="1:14" x14ac:dyDescent="0.2">
      <c r="A879" s="84"/>
      <c r="B879" s="84"/>
      <c r="C879" s="60"/>
      <c r="D879" s="66"/>
      <c r="E879" s="66"/>
      <c r="F879" s="66"/>
      <c r="G879" s="66"/>
      <c r="H879" s="66"/>
      <c r="I879" s="66"/>
      <c r="J879" s="66"/>
      <c r="K879" s="66"/>
      <c r="L879" s="66"/>
      <c r="M879" s="66"/>
      <c r="N879" s="66"/>
    </row>
    <row r="880" spans="1:14" x14ac:dyDescent="0.2">
      <c r="A880" s="84"/>
      <c r="B880" s="84"/>
      <c r="C880" s="60"/>
      <c r="D880" s="66"/>
      <c r="E880" s="66"/>
      <c r="F880" s="66"/>
      <c r="G880" s="66"/>
      <c r="H880" s="66"/>
      <c r="I880" s="66"/>
      <c r="J880" s="66"/>
      <c r="K880" s="66"/>
      <c r="L880" s="66"/>
      <c r="M880" s="66"/>
      <c r="N880" s="66"/>
    </row>
    <row r="881" spans="1:14" x14ac:dyDescent="0.2">
      <c r="A881" s="84"/>
      <c r="B881" s="84"/>
      <c r="C881" s="60"/>
      <c r="D881" s="66"/>
      <c r="E881" s="66"/>
      <c r="F881" s="66"/>
      <c r="G881" s="66"/>
      <c r="H881" s="66"/>
      <c r="I881" s="66"/>
      <c r="J881" s="66"/>
      <c r="K881" s="66"/>
      <c r="L881" s="66"/>
      <c r="M881" s="66"/>
      <c r="N881" s="66"/>
    </row>
    <row r="882" spans="1:14" x14ac:dyDescent="0.2">
      <c r="A882" s="84"/>
      <c r="B882" s="84"/>
      <c r="C882" s="60"/>
      <c r="D882" s="66"/>
      <c r="E882" s="66"/>
      <c r="F882" s="66"/>
      <c r="G882" s="66"/>
      <c r="H882" s="66"/>
      <c r="I882" s="66"/>
      <c r="J882" s="66"/>
      <c r="K882" s="66"/>
      <c r="L882" s="66"/>
      <c r="M882" s="66"/>
      <c r="N882" s="66"/>
    </row>
    <row r="883" spans="1:14" x14ac:dyDescent="0.2">
      <c r="A883" s="84"/>
      <c r="B883" s="84"/>
      <c r="C883" s="60"/>
      <c r="D883" s="66"/>
      <c r="E883" s="66"/>
      <c r="F883" s="66"/>
      <c r="G883" s="66"/>
      <c r="H883" s="66"/>
      <c r="I883" s="66"/>
      <c r="J883" s="66"/>
      <c r="K883" s="66"/>
      <c r="L883" s="66"/>
      <c r="M883" s="66"/>
      <c r="N883" s="66"/>
    </row>
    <row r="884" spans="1:14" x14ac:dyDescent="0.2">
      <c r="A884" s="84"/>
      <c r="B884" s="84"/>
      <c r="C884" s="60"/>
      <c r="D884" s="66"/>
      <c r="E884" s="66"/>
      <c r="F884" s="66"/>
      <c r="G884" s="66"/>
      <c r="H884" s="66"/>
      <c r="I884" s="66"/>
      <c r="J884" s="66"/>
      <c r="K884" s="66"/>
      <c r="L884" s="66"/>
      <c r="M884" s="66"/>
      <c r="N884" s="66"/>
    </row>
    <row r="885" spans="1:14" x14ac:dyDescent="0.2">
      <c r="A885" s="84"/>
      <c r="B885" s="84"/>
      <c r="C885" s="60"/>
      <c r="D885" s="66"/>
      <c r="E885" s="66"/>
      <c r="F885" s="66"/>
      <c r="G885" s="66"/>
      <c r="H885" s="66"/>
      <c r="I885" s="66"/>
      <c r="J885" s="66"/>
      <c r="K885" s="66"/>
      <c r="L885" s="66"/>
      <c r="M885" s="66"/>
      <c r="N885" s="66"/>
    </row>
    <row r="886" spans="1:14" x14ac:dyDescent="0.2">
      <c r="A886" s="84"/>
      <c r="B886" s="84"/>
      <c r="C886" s="60"/>
      <c r="D886" s="66"/>
      <c r="E886" s="66"/>
      <c r="F886" s="66"/>
      <c r="G886" s="66"/>
      <c r="H886" s="66"/>
      <c r="I886" s="66"/>
      <c r="J886" s="66"/>
      <c r="K886" s="66"/>
      <c r="L886" s="66"/>
      <c r="M886" s="66"/>
      <c r="N886" s="66"/>
    </row>
    <row r="887" spans="1:14" x14ac:dyDescent="0.2">
      <c r="A887" s="84"/>
      <c r="B887" s="84"/>
      <c r="C887" s="60"/>
      <c r="D887" s="66"/>
      <c r="E887" s="66"/>
      <c r="F887" s="66"/>
      <c r="G887" s="66"/>
      <c r="H887" s="66"/>
      <c r="I887" s="66"/>
      <c r="J887" s="66"/>
      <c r="K887" s="66"/>
      <c r="L887" s="66"/>
      <c r="M887" s="66"/>
      <c r="N887" s="66"/>
    </row>
    <row r="888" spans="1:14" x14ac:dyDescent="0.2">
      <c r="A888" s="84"/>
      <c r="B888" s="84"/>
      <c r="C888" s="60"/>
      <c r="D888" s="66"/>
      <c r="E888" s="66"/>
      <c r="F888" s="66"/>
      <c r="G888" s="66"/>
      <c r="H888" s="66"/>
      <c r="I888" s="66"/>
      <c r="J888" s="66"/>
      <c r="K888" s="66"/>
      <c r="L888" s="66"/>
      <c r="M888" s="66"/>
      <c r="N888" s="66"/>
    </row>
    <row r="889" spans="1:14" x14ac:dyDescent="0.2">
      <c r="A889" s="84"/>
      <c r="B889" s="84"/>
      <c r="C889" s="60"/>
      <c r="D889" s="66"/>
      <c r="E889" s="66"/>
      <c r="F889" s="66"/>
      <c r="G889" s="66"/>
      <c r="H889" s="66"/>
      <c r="I889" s="66"/>
      <c r="J889" s="66"/>
      <c r="K889" s="66"/>
      <c r="L889" s="66"/>
      <c r="M889" s="66"/>
      <c r="N889" s="66"/>
    </row>
    <row r="890" spans="1:14" x14ac:dyDescent="0.2">
      <c r="A890" s="84"/>
      <c r="B890" s="84"/>
      <c r="C890" s="60"/>
      <c r="D890" s="66"/>
      <c r="E890" s="66"/>
      <c r="F890" s="66"/>
      <c r="G890" s="66"/>
      <c r="H890" s="66"/>
      <c r="I890" s="66"/>
      <c r="J890" s="66"/>
      <c r="K890" s="66"/>
      <c r="L890" s="66"/>
      <c r="M890" s="66"/>
      <c r="N890" s="66"/>
    </row>
    <row r="891" spans="1:14" x14ac:dyDescent="0.2">
      <c r="A891" s="84"/>
      <c r="B891" s="84"/>
      <c r="C891" s="60"/>
      <c r="D891" s="66"/>
      <c r="E891" s="66"/>
      <c r="F891" s="66"/>
      <c r="G891" s="66"/>
      <c r="H891" s="66"/>
      <c r="I891" s="66"/>
      <c r="J891" s="66"/>
      <c r="K891" s="66"/>
      <c r="L891" s="66"/>
      <c r="M891" s="66"/>
      <c r="N891" s="66"/>
    </row>
    <row r="892" spans="1:14" x14ac:dyDescent="0.2">
      <c r="A892" s="84"/>
      <c r="B892" s="84"/>
      <c r="C892" s="60"/>
      <c r="D892" s="66"/>
      <c r="E892" s="66"/>
      <c r="F892" s="66"/>
      <c r="G892" s="66"/>
      <c r="H892" s="66"/>
      <c r="I892" s="66"/>
      <c r="J892" s="66"/>
      <c r="K892" s="66"/>
      <c r="L892" s="66"/>
      <c r="M892" s="66"/>
      <c r="N892" s="66"/>
    </row>
    <row r="893" spans="1:14" x14ac:dyDescent="0.2">
      <c r="A893" s="84"/>
      <c r="B893" s="84"/>
      <c r="C893" s="60"/>
      <c r="D893" s="66"/>
      <c r="E893" s="66"/>
      <c r="F893" s="66"/>
      <c r="G893" s="66"/>
      <c r="H893" s="66"/>
      <c r="I893" s="66"/>
      <c r="J893" s="66"/>
      <c r="K893" s="66"/>
      <c r="L893" s="66"/>
      <c r="M893" s="66"/>
      <c r="N893" s="66"/>
    </row>
    <row r="894" spans="1:14" x14ac:dyDescent="0.2">
      <c r="A894" s="84"/>
      <c r="B894" s="84"/>
      <c r="C894" s="60"/>
      <c r="D894" s="66"/>
      <c r="E894" s="66"/>
      <c r="F894" s="66"/>
      <c r="G894" s="66"/>
      <c r="H894" s="66"/>
      <c r="I894" s="66"/>
      <c r="J894" s="66"/>
      <c r="K894" s="66"/>
      <c r="L894" s="66"/>
      <c r="M894" s="66"/>
      <c r="N894" s="66"/>
    </row>
    <row r="895" spans="1:14" x14ac:dyDescent="0.2">
      <c r="A895" s="84"/>
      <c r="B895" s="84"/>
      <c r="C895" s="60"/>
      <c r="D895" s="66"/>
      <c r="E895" s="66"/>
      <c r="F895" s="66"/>
      <c r="G895" s="66"/>
      <c r="H895" s="66"/>
      <c r="I895" s="66"/>
      <c r="J895" s="66"/>
      <c r="K895" s="66"/>
      <c r="L895" s="66"/>
      <c r="M895" s="66"/>
      <c r="N895" s="66"/>
    </row>
    <row r="896" spans="1:14" x14ac:dyDescent="0.2">
      <c r="A896" s="84"/>
      <c r="B896" s="84"/>
      <c r="C896" s="60"/>
      <c r="D896" s="66"/>
      <c r="E896" s="66"/>
      <c r="F896" s="66"/>
      <c r="G896" s="66"/>
      <c r="H896" s="66"/>
      <c r="I896" s="66"/>
      <c r="J896" s="66"/>
      <c r="K896" s="66"/>
      <c r="L896" s="66"/>
      <c r="M896" s="66"/>
      <c r="N896" s="66"/>
    </row>
    <row r="897" spans="1:14" x14ac:dyDescent="0.2">
      <c r="A897" s="84"/>
      <c r="B897" s="84"/>
      <c r="C897" s="60"/>
      <c r="D897" s="66"/>
      <c r="E897" s="66"/>
      <c r="F897" s="66"/>
      <c r="G897" s="66"/>
      <c r="H897" s="66"/>
      <c r="I897" s="66"/>
      <c r="J897" s="66"/>
      <c r="K897" s="66"/>
      <c r="L897" s="66"/>
      <c r="M897" s="66"/>
      <c r="N897" s="66"/>
    </row>
    <row r="898" spans="1:14" x14ac:dyDescent="0.2">
      <c r="A898" s="84"/>
      <c r="B898" s="84"/>
      <c r="C898" s="60"/>
      <c r="D898" s="66"/>
      <c r="E898" s="66"/>
      <c r="F898" s="66"/>
      <c r="G898" s="66"/>
      <c r="H898" s="66"/>
      <c r="I898" s="66"/>
      <c r="J898" s="66"/>
      <c r="K898" s="66"/>
      <c r="L898" s="66"/>
      <c r="M898" s="66"/>
      <c r="N898" s="66"/>
    </row>
    <row r="899" spans="1:14" x14ac:dyDescent="0.2">
      <c r="A899" s="84"/>
      <c r="B899" s="84"/>
      <c r="C899" s="60"/>
      <c r="D899" s="66"/>
      <c r="E899" s="66"/>
      <c r="F899" s="66"/>
      <c r="G899" s="66"/>
      <c r="H899" s="66"/>
      <c r="I899" s="66"/>
      <c r="J899" s="66"/>
      <c r="K899" s="66"/>
      <c r="L899" s="66"/>
      <c r="M899" s="66"/>
      <c r="N899" s="66"/>
    </row>
    <row r="900" spans="1:14" x14ac:dyDescent="0.2">
      <c r="A900" s="84"/>
      <c r="B900" s="84"/>
      <c r="C900" s="60"/>
      <c r="D900" s="66"/>
      <c r="E900" s="66"/>
      <c r="F900" s="66"/>
      <c r="G900" s="66"/>
      <c r="H900" s="66"/>
      <c r="I900" s="66"/>
      <c r="J900" s="66"/>
      <c r="K900" s="66"/>
      <c r="L900" s="66"/>
      <c r="M900" s="66"/>
      <c r="N900" s="66"/>
    </row>
    <row r="901" spans="1:14" x14ac:dyDescent="0.2">
      <c r="A901" s="84"/>
      <c r="B901" s="84"/>
      <c r="C901" s="60"/>
      <c r="D901" s="66"/>
      <c r="E901" s="66"/>
      <c r="F901" s="66"/>
      <c r="G901" s="66"/>
      <c r="H901" s="66"/>
      <c r="I901" s="66"/>
      <c r="J901" s="66"/>
      <c r="K901" s="66"/>
      <c r="L901" s="66"/>
      <c r="M901" s="66"/>
      <c r="N901" s="66"/>
    </row>
    <row r="902" spans="1:14" x14ac:dyDescent="0.2">
      <c r="A902" s="84"/>
      <c r="B902" s="84"/>
      <c r="C902" s="60"/>
      <c r="D902" s="66"/>
      <c r="E902" s="66"/>
      <c r="F902" s="66"/>
      <c r="G902" s="66"/>
      <c r="H902" s="66"/>
      <c r="I902" s="66"/>
      <c r="J902" s="66"/>
      <c r="K902" s="66"/>
      <c r="L902" s="66"/>
      <c r="M902" s="66"/>
      <c r="N902" s="66"/>
    </row>
    <row r="903" spans="1:14" x14ac:dyDescent="0.2">
      <c r="A903" s="84"/>
      <c r="B903" s="84"/>
      <c r="C903" s="60"/>
      <c r="D903" s="66"/>
      <c r="E903" s="66"/>
      <c r="F903" s="66"/>
      <c r="G903" s="66"/>
      <c r="H903" s="66"/>
      <c r="I903" s="66"/>
      <c r="J903" s="66"/>
      <c r="K903" s="66"/>
      <c r="L903" s="66"/>
      <c r="M903" s="66"/>
      <c r="N903" s="66"/>
    </row>
    <row r="904" spans="1:14" x14ac:dyDescent="0.2">
      <c r="A904" s="84"/>
      <c r="B904" s="84"/>
      <c r="C904" s="60"/>
      <c r="D904" s="66"/>
      <c r="E904" s="66"/>
      <c r="F904" s="66"/>
      <c r="G904" s="66"/>
      <c r="H904" s="66"/>
      <c r="I904" s="66"/>
      <c r="J904" s="66"/>
      <c r="K904" s="66"/>
      <c r="L904" s="66"/>
      <c r="M904" s="66"/>
      <c r="N904" s="66"/>
    </row>
    <row r="905" spans="1:14" x14ac:dyDescent="0.2">
      <c r="A905" s="84"/>
      <c r="B905" s="84"/>
      <c r="C905" s="60"/>
      <c r="D905" s="66"/>
      <c r="E905" s="66"/>
      <c r="F905" s="66"/>
      <c r="G905" s="66"/>
      <c r="H905" s="66"/>
      <c r="I905" s="66"/>
      <c r="J905" s="66"/>
      <c r="K905" s="66"/>
      <c r="L905" s="66"/>
      <c r="M905" s="66"/>
      <c r="N905" s="66"/>
    </row>
    <row r="906" spans="1:14" x14ac:dyDescent="0.2">
      <c r="A906" s="84"/>
      <c r="B906" s="84"/>
      <c r="C906" s="60"/>
      <c r="D906" s="66"/>
      <c r="E906" s="66"/>
      <c r="F906" s="66"/>
      <c r="G906" s="66"/>
      <c r="H906" s="66"/>
      <c r="I906" s="66"/>
      <c r="J906" s="66"/>
      <c r="K906" s="66"/>
      <c r="L906" s="66"/>
      <c r="M906" s="66"/>
      <c r="N906" s="66"/>
    </row>
    <row r="907" spans="1:14" x14ac:dyDescent="0.2">
      <c r="A907" s="84"/>
      <c r="B907" s="84"/>
      <c r="C907" s="60"/>
      <c r="D907" s="66"/>
      <c r="E907" s="66"/>
      <c r="F907" s="66"/>
      <c r="G907" s="66"/>
      <c r="H907" s="66"/>
      <c r="I907" s="66"/>
      <c r="J907" s="66"/>
      <c r="K907" s="66"/>
      <c r="L907" s="66"/>
      <c r="M907" s="66"/>
      <c r="N907" s="66"/>
    </row>
    <row r="908" spans="1:14" x14ac:dyDescent="0.2">
      <c r="A908" s="84"/>
      <c r="B908" s="84"/>
      <c r="C908" s="60"/>
      <c r="D908" s="66"/>
      <c r="E908" s="66"/>
      <c r="F908" s="66"/>
      <c r="G908" s="66"/>
      <c r="H908" s="66"/>
      <c r="I908" s="66"/>
      <c r="J908" s="66"/>
      <c r="K908" s="66"/>
      <c r="L908" s="66"/>
      <c r="M908" s="66"/>
      <c r="N908" s="66"/>
    </row>
    <row r="909" spans="1:14" x14ac:dyDescent="0.2">
      <c r="A909" s="84"/>
      <c r="B909" s="84"/>
      <c r="C909" s="60"/>
      <c r="D909" s="66"/>
      <c r="E909" s="66"/>
      <c r="F909" s="66"/>
      <c r="G909" s="66"/>
      <c r="H909" s="66"/>
      <c r="I909" s="66"/>
      <c r="J909" s="66"/>
      <c r="K909" s="66"/>
      <c r="L909" s="66"/>
      <c r="M909" s="66"/>
      <c r="N909" s="66"/>
    </row>
    <row r="910" spans="1:14" x14ac:dyDescent="0.2">
      <c r="A910" s="84"/>
      <c r="B910" s="84"/>
      <c r="C910" s="60"/>
      <c r="D910" s="66"/>
      <c r="E910" s="66"/>
      <c r="F910" s="66"/>
      <c r="G910" s="66"/>
      <c r="H910" s="66"/>
      <c r="I910" s="66"/>
      <c r="J910" s="66"/>
      <c r="K910" s="66"/>
      <c r="L910" s="66"/>
      <c r="M910" s="66"/>
      <c r="N910" s="66"/>
    </row>
    <row r="911" spans="1:14" x14ac:dyDescent="0.2">
      <c r="A911" s="84"/>
      <c r="B911" s="84"/>
      <c r="C911" s="60"/>
      <c r="D911" s="66"/>
      <c r="E911" s="66"/>
      <c r="F911" s="66"/>
      <c r="G911" s="66"/>
      <c r="H911" s="66"/>
      <c r="I911" s="66"/>
      <c r="J911" s="66"/>
      <c r="K911" s="66"/>
      <c r="L911" s="66"/>
      <c r="M911" s="66"/>
      <c r="N911" s="66"/>
    </row>
    <row r="912" spans="1:14" x14ac:dyDescent="0.2">
      <c r="A912" s="84"/>
      <c r="B912" s="84"/>
      <c r="C912" s="60"/>
      <c r="D912" s="66"/>
      <c r="E912" s="66"/>
      <c r="F912" s="66"/>
      <c r="G912" s="66"/>
      <c r="H912" s="66"/>
      <c r="I912" s="66"/>
      <c r="J912" s="66"/>
      <c r="K912" s="66"/>
      <c r="L912" s="66"/>
      <c r="M912" s="66"/>
      <c r="N912" s="66"/>
    </row>
    <row r="913" spans="1:14" x14ac:dyDescent="0.2">
      <c r="A913" s="84"/>
      <c r="B913" s="84"/>
      <c r="C913" s="60"/>
      <c r="D913" s="66"/>
      <c r="E913" s="66"/>
      <c r="F913" s="66"/>
      <c r="G913" s="66"/>
      <c r="H913" s="66"/>
      <c r="I913" s="66"/>
      <c r="J913" s="66"/>
      <c r="K913" s="66"/>
      <c r="L913" s="66"/>
      <c r="M913" s="66"/>
      <c r="N913" s="66"/>
    </row>
    <row r="914" spans="1:14" x14ac:dyDescent="0.2">
      <c r="A914" s="84"/>
      <c r="B914" s="84"/>
      <c r="C914" s="60"/>
      <c r="D914" s="66"/>
      <c r="E914" s="66"/>
      <c r="F914" s="66"/>
      <c r="G914" s="66"/>
      <c r="H914" s="66"/>
      <c r="I914" s="66"/>
      <c r="J914" s="66"/>
      <c r="K914" s="66"/>
      <c r="L914" s="66"/>
      <c r="M914" s="66"/>
      <c r="N914" s="66"/>
    </row>
    <row r="915" spans="1:14" x14ac:dyDescent="0.2">
      <c r="A915" s="84"/>
      <c r="B915" s="84"/>
      <c r="C915" s="60"/>
      <c r="D915" s="66"/>
      <c r="E915" s="66"/>
      <c r="F915" s="66"/>
      <c r="G915" s="66"/>
      <c r="H915" s="66"/>
      <c r="I915" s="66"/>
      <c r="J915" s="66"/>
      <c r="K915" s="66"/>
      <c r="L915" s="66"/>
      <c r="M915" s="66"/>
      <c r="N915" s="66"/>
    </row>
    <row r="916" spans="1:14" x14ac:dyDescent="0.2">
      <c r="A916" s="84"/>
      <c r="B916" s="84"/>
      <c r="C916" s="60"/>
      <c r="D916" s="66"/>
      <c r="E916" s="66"/>
      <c r="F916" s="66"/>
      <c r="G916" s="66"/>
      <c r="H916" s="66"/>
      <c r="I916" s="66"/>
      <c r="J916" s="66"/>
      <c r="K916" s="66"/>
      <c r="L916" s="66"/>
      <c r="M916" s="66"/>
      <c r="N916" s="66"/>
    </row>
    <row r="917" spans="1:14" x14ac:dyDescent="0.2">
      <c r="A917" s="84"/>
      <c r="B917" s="84"/>
      <c r="C917" s="60"/>
      <c r="D917" s="66"/>
      <c r="E917" s="66"/>
      <c r="F917" s="66"/>
      <c r="G917" s="66"/>
      <c r="H917" s="66"/>
      <c r="I917" s="66"/>
      <c r="J917" s="66"/>
      <c r="K917" s="66"/>
      <c r="L917" s="66"/>
      <c r="M917" s="66"/>
      <c r="N917" s="66"/>
    </row>
    <row r="918" spans="1:14" x14ac:dyDescent="0.2">
      <c r="A918" s="84"/>
      <c r="B918" s="84"/>
      <c r="C918" s="60"/>
      <c r="D918" s="66"/>
      <c r="E918" s="66"/>
      <c r="F918" s="66"/>
      <c r="G918" s="66"/>
      <c r="H918" s="66"/>
      <c r="I918" s="66"/>
      <c r="J918" s="66"/>
      <c r="K918" s="66"/>
      <c r="L918" s="66"/>
      <c r="M918" s="66"/>
      <c r="N918" s="66"/>
    </row>
    <row r="919" spans="1:14" x14ac:dyDescent="0.2">
      <c r="A919" s="84"/>
      <c r="B919" s="84"/>
      <c r="C919" s="60"/>
      <c r="D919" s="66"/>
      <c r="E919" s="66"/>
      <c r="F919" s="66"/>
      <c r="G919" s="66"/>
      <c r="H919" s="66"/>
      <c r="I919" s="66"/>
      <c r="J919" s="66"/>
      <c r="K919" s="66"/>
      <c r="L919" s="66"/>
      <c r="M919" s="66"/>
      <c r="N919" s="66"/>
    </row>
    <row r="920" spans="1:14" x14ac:dyDescent="0.2">
      <c r="A920" s="84"/>
      <c r="B920" s="84"/>
      <c r="C920" s="60"/>
      <c r="D920" s="66"/>
      <c r="E920" s="66"/>
      <c r="F920" s="66"/>
      <c r="G920" s="66"/>
      <c r="H920" s="66"/>
      <c r="I920" s="66"/>
      <c r="J920" s="66"/>
      <c r="K920" s="66"/>
      <c r="L920" s="66"/>
      <c r="M920" s="66"/>
      <c r="N920" s="66"/>
    </row>
    <row r="921" spans="1:14" x14ac:dyDescent="0.2">
      <c r="A921" s="84"/>
      <c r="B921" s="84"/>
      <c r="C921" s="60"/>
      <c r="D921" s="66"/>
      <c r="E921" s="66"/>
      <c r="F921" s="66"/>
      <c r="G921" s="66"/>
      <c r="H921" s="66"/>
      <c r="I921" s="66"/>
      <c r="J921" s="66"/>
      <c r="K921" s="66"/>
      <c r="L921" s="66"/>
      <c r="M921" s="66"/>
      <c r="N921" s="66"/>
    </row>
    <row r="922" spans="1:14" x14ac:dyDescent="0.2">
      <c r="A922" s="84"/>
      <c r="B922" s="84"/>
      <c r="C922" s="60"/>
      <c r="D922" s="66"/>
      <c r="E922" s="66"/>
      <c r="F922" s="66"/>
      <c r="G922" s="66"/>
      <c r="H922" s="66"/>
      <c r="I922" s="66"/>
      <c r="J922" s="66"/>
      <c r="K922" s="66"/>
      <c r="L922" s="66"/>
      <c r="M922" s="66"/>
      <c r="N922" s="66"/>
    </row>
    <row r="923" spans="1:14" x14ac:dyDescent="0.2">
      <c r="A923" s="84"/>
      <c r="B923" s="84"/>
      <c r="C923" s="60"/>
      <c r="D923" s="66"/>
      <c r="E923" s="66"/>
      <c r="F923" s="66"/>
      <c r="G923" s="66"/>
      <c r="H923" s="66"/>
      <c r="I923" s="66"/>
      <c r="J923" s="66"/>
      <c r="K923" s="66"/>
      <c r="L923" s="66"/>
      <c r="M923" s="66"/>
      <c r="N923" s="66"/>
    </row>
    <row r="924" spans="1:14" x14ac:dyDescent="0.2">
      <c r="A924" s="84"/>
      <c r="B924" s="84"/>
      <c r="C924" s="60"/>
      <c r="D924" s="66"/>
      <c r="E924" s="66"/>
      <c r="F924" s="66"/>
      <c r="G924" s="66"/>
      <c r="H924" s="66"/>
      <c r="I924" s="66"/>
      <c r="J924" s="66"/>
      <c r="K924" s="66"/>
      <c r="L924" s="66"/>
      <c r="M924" s="66"/>
      <c r="N924" s="66"/>
    </row>
    <row r="925" spans="1:14" x14ac:dyDescent="0.2">
      <c r="A925" s="84"/>
      <c r="B925" s="84"/>
      <c r="C925" s="60"/>
      <c r="D925" s="66"/>
      <c r="E925" s="66"/>
      <c r="F925" s="66"/>
      <c r="G925" s="66"/>
      <c r="H925" s="66"/>
      <c r="I925" s="66"/>
      <c r="J925" s="66"/>
      <c r="K925" s="66"/>
      <c r="L925" s="66"/>
      <c r="M925" s="66"/>
      <c r="N925" s="66"/>
    </row>
    <row r="926" spans="1:14" x14ac:dyDescent="0.2">
      <c r="A926" s="84"/>
      <c r="B926" s="84"/>
      <c r="C926" s="60"/>
      <c r="D926" s="66"/>
      <c r="E926" s="66"/>
      <c r="F926" s="66"/>
      <c r="G926" s="66"/>
      <c r="H926" s="66"/>
      <c r="I926" s="66"/>
      <c r="J926" s="66"/>
      <c r="K926" s="66"/>
      <c r="L926" s="66"/>
      <c r="M926" s="66"/>
      <c r="N926" s="66"/>
    </row>
    <row r="927" spans="1:14" x14ac:dyDescent="0.2">
      <c r="A927" s="84"/>
      <c r="B927" s="84"/>
      <c r="C927" s="60"/>
      <c r="D927" s="66"/>
      <c r="E927" s="66"/>
      <c r="F927" s="66"/>
      <c r="G927" s="66"/>
      <c r="H927" s="66"/>
      <c r="I927" s="66"/>
      <c r="J927" s="66"/>
      <c r="K927" s="66"/>
      <c r="L927" s="66"/>
      <c r="M927" s="66"/>
      <c r="N927" s="66"/>
    </row>
    <row r="928" spans="1:14" x14ac:dyDescent="0.2">
      <c r="A928" s="84"/>
      <c r="B928" s="84"/>
      <c r="C928" s="60"/>
      <c r="D928" s="66"/>
      <c r="E928" s="66"/>
      <c r="F928" s="66"/>
      <c r="G928" s="66"/>
      <c r="H928" s="66"/>
      <c r="I928" s="66"/>
      <c r="J928" s="66"/>
      <c r="K928" s="66"/>
      <c r="L928" s="66"/>
      <c r="M928" s="66"/>
      <c r="N928" s="66"/>
    </row>
    <row r="929" spans="1:14" x14ac:dyDescent="0.2">
      <c r="A929" s="84"/>
      <c r="B929" s="84"/>
      <c r="C929" s="60"/>
      <c r="D929" s="66"/>
      <c r="E929" s="66"/>
      <c r="F929" s="66"/>
      <c r="G929" s="66"/>
      <c r="H929" s="66"/>
      <c r="I929" s="66"/>
      <c r="J929" s="66"/>
      <c r="K929" s="66"/>
      <c r="L929" s="66"/>
      <c r="M929" s="66"/>
      <c r="N929" s="66"/>
    </row>
    <row r="930" spans="1:14" x14ac:dyDescent="0.2">
      <c r="A930" s="84"/>
      <c r="B930" s="84"/>
      <c r="C930" s="60"/>
      <c r="D930" s="66"/>
      <c r="E930" s="66"/>
      <c r="F930" s="66"/>
      <c r="G930" s="66"/>
      <c r="H930" s="66"/>
      <c r="I930" s="66"/>
      <c r="J930" s="66"/>
      <c r="K930" s="66"/>
      <c r="L930" s="66"/>
      <c r="M930" s="66"/>
      <c r="N930" s="66"/>
    </row>
    <row r="931" spans="1:14" x14ac:dyDescent="0.2">
      <c r="A931" s="84"/>
      <c r="B931" s="84"/>
      <c r="C931" s="60"/>
      <c r="D931" s="66"/>
      <c r="E931" s="66"/>
      <c r="F931" s="66"/>
      <c r="G931" s="66"/>
      <c r="H931" s="66"/>
      <c r="I931" s="66"/>
      <c r="J931" s="66"/>
      <c r="K931" s="66"/>
      <c r="L931" s="66"/>
      <c r="M931" s="66"/>
      <c r="N931" s="66"/>
    </row>
    <row r="932" spans="1:14" x14ac:dyDescent="0.2">
      <c r="A932" s="84"/>
      <c r="B932" s="84"/>
      <c r="C932" s="60"/>
      <c r="D932" s="66"/>
      <c r="E932" s="66"/>
      <c r="F932" s="66"/>
      <c r="G932" s="66"/>
      <c r="H932" s="66"/>
      <c r="I932" s="66"/>
      <c r="J932" s="66"/>
      <c r="K932" s="66"/>
      <c r="L932" s="66"/>
      <c r="M932" s="66"/>
      <c r="N932" s="66"/>
    </row>
    <row r="933" spans="1:14" x14ac:dyDescent="0.2">
      <c r="A933" s="84"/>
      <c r="B933" s="84"/>
      <c r="C933" s="60"/>
      <c r="D933" s="66"/>
      <c r="E933" s="66"/>
      <c r="F933" s="66"/>
      <c r="G933" s="66"/>
      <c r="H933" s="66"/>
      <c r="I933" s="66"/>
      <c r="J933" s="66"/>
      <c r="K933" s="66"/>
      <c r="L933" s="66"/>
      <c r="M933" s="66"/>
      <c r="N933" s="66"/>
    </row>
    <row r="934" spans="1:14" x14ac:dyDescent="0.2">
      <c r="A934" s="84"/>
      <c r="B934" s="84"/>
      <c r="C934" s="60"/>
      <c r="D934" s="66"/>
      <c r="E934" s="66"/>
      <c r="F934" s="66"/>
      <c r="G934" s="66"/>
      <c r="H934" s="66"/>
      <c r="I934" s="66"/>
      <c r="J934" s="66"/>
      <c r="K934" s="66"/>
      <c r="L934" s="66"/>
      <c r="M934" s="66"/>
      <c r="N934" s="66"/>
    </row>
    <row r="935" spans="1:14" x14ac:dyDescent="0.2">
      <c r="A935" s="84"/>
      <c r="B935" s="84"/>
      <c r="C935" s="60"/>
      <c r="D935" s="66"/>
      <c r="E935" s="66"/>
      <c r="F935" s="66"/>
      <c r="G935" s="66"/>
      <c r="H935" s="66"/>
      <c r="I935" s="66"/>
      <c r="J935" s="66"/>
      <c r="K935" s="66"/>
      <c r="L935" s="66"/>
      <c r="M935" s="66"/>
      <c r="N935" s="66"/>
    </row>
    <row r="936" spans="1:14" x14ac:dyDescent="0.2">
      <c r="A936" s="84"/>
      <c r="B936" s="84"/>
      <c r="C936" s="60"/>
      <c r="D936" s="66"/>
      <c r="E936" s="66"/>
      <c r="F936" s="66"/>
      <c r="G936" s="66"/>
      <c r="H936" s="66"/>
      <c r="I936" s="66"/>
      <c r="J936" s="66"/>
      <c r="K936" s="66"/>
      <c r="L936" s="66"/>
      <c r="M936" s="66"/>
      <c r="N936" s="66"/>
    </row>
    <row r="937" spans="1:14" x14ac:dyDescent="0.2">
      <c r="A937" s="84"/>
      <c r="B937" s="84"/>
      <c r="C937" s="60"/>
      <c r="D937" s="66"/>
      <c r="E937" s="66"/>
      <c r="F937" s="66"/>
      <c r="G937" s="66"/>
      <c r="H937" s="66"/>
      <c r="I937" s="66"/>
      <c r="J937" s="66"/>
      <c r="K937" s="66"/>
      <c r="L937" s="66"/>
      <c r="M937" s="66"/>
      <c r="N937" s="66"/>
    </row>
    <row r="938" spans="1:14" x14ac:dyDescent="0.2">
      <c r="A938" s="84"/>
      <c r="B938" s="84"/>
      <c r="C938" s="60"/>
      <c r="D938" s="66"/>
      <c r="E938" s="66"/>
      <c r="F938" s="66"/>
      <c r="G938" s="66"/>
      <c r="H938" s="66"/>
      <c r="I938" s="66"/>
      <c r="J938" s="66"/>
      <c r="K938" s="66"/>
      <c r="L938" s="66"/>
      <c r="M938" s="66"/>
      <c r="N938" s="66"/>
    </row>
    <row r="939" spans="1:14" x14ac:dyDescent="0.2">
      <c r="A939" s="84"/>
      <c r="B939" s="84"/>
      <c r="C939" s="60"/>
      <c r="D939" s="66"/>
      <c r="E939" s="66"/>
      <c r="F939" s="66"/>
      <c r="G939" s="66"/>
      <c r="H939" s="66"/>
      <c r="I939" s="66"/>
      <c r="J939" s="66"/>
      <c r="K939" s="66"/>
      <c r="L939" s="66"/>
      <c r="M939" s="66"/>
      <c r="N939" s="66"/>
    </row>
    <row r="940" spans="1:14" x14ac:dyDescent="0.2">
      <c r="A940" s="84"/>
      <c r="B940" s="84"/>
      <c r="C940" s="60"/>
      <c r="D940" s="66"/>
      <c r="E940" s="66"/>
      <c r="F940" s="66"/>
      <c r="G940" s="66"/>
      <c r="H940" s="66"/>
      <c r="I940" s="66"/>
      <c r="J940" s="66"/>
      <c r="K940" s="66"/>
      <c r="L940" s="66"/>
      <c r="M940" s="66"/>
      <c r="N940" s="66"/>
    </row>
    <row r="941" spans="1:14" x14ac:dyDescent="0.2">
      <c r="A941" s="84"/>
      <c r="B941" s="84"/>
      <c r="C941" s="60"/>
      <c r="D941" s="66"/>
      <c r="E941" s="66"/>
      <c r="F941" s="66"/>
      <c r="G941" s="66"/>
      <c r="H941" s="66"/>
      <c r="I941" s="66"/>
      <c r="J941" s="66"/>
      <c r="K941" s="66"/>
      <c r="L941" s="66"/>
      <c r="M941" s="66"/>
      <c r="N941" s="66"/>
    </row>
    <row r="942" spans="1:14" x14ac:dyDescent="0.2">
      <c r="A942" s="84"/>
      <c r="B942" s="84"/>
      <c r="C942" s="60"/>
      <c r="D942" s="66"/>
      <c r="E942" s="66"/>
      <c r="F942" s="66"/>
      <c r="G942" s="66"/>
      <c r="H942" s="66"/>
      <c r="I942" s="66"/>
      <c r="J942" s="66"/>
      <c r="K942" s="66"/>
      <c r="L942" s="66"/>
      <c r="M942" s="66"/>
      <c r="N942" s="66"/>
    </row>
    <row r="943" spans="1:14" x14ac:dyDescent="0.2">
      <c r="A943" s="84"/>
      <c r="B943" s="84"/>
      <c r="C943" s="60"/>
      <c r="D943" s="66"/>
      <c r="E943" s="66"/>
      <c r="F943" s="66"/>
      <c r="G943" s="66"/>
      <c r="H943" s="66"/>
      <c r="I943" s="66"/>
      <c r="J943" s="66"/>
      <c r="K943" s="66"/>
      <c r="L943" s="66"/>
      <c r="M943" s="66"/>
      <c r="N943" s="66"/>
    </row>
    <row r="944" spans="1:14" x14ac:dyDescent="0.2">
      <c r="A944" s="84"/>
      <c r="B944" s="84"/>
      <c r="C944" s="60"/>
      <c r="D944" s="66"/>
      <c r="E944" s="66"/>
      <c r="F944" s="66"/>
      <c r="G944" s="66"/>
      <c r="H944" s="66"/>
      <c r="I944" s="66"/>
      <c r="J944" s="66"/>
      <c r="K944" s="66"/>
      <c r="L944" s="66"/>
      <c r="M944" s="66"/>
      <c r="N944" s="66"/>
    </row>
    <row r="945" spans="1:14" x14ac:dyDescent="0.2">
      <c r="A945" s="84"/>
      <c r="B945" s="84"/>
      <c r="C945" s="60"/>
      <c r="D945" s="66"/>
      <c r="E945" s="66"/>
      <c r="F945" s="66"/>
      <c r="G945" s="66"/>
      <c r="H945" s="66"/>
      <c r="I945" s="66"/>
      <c r="J945" s="66"/>
      <c r="K945" s="66"/>
      <c r="L945" s="66"/>
      <c r="M945" s="66"/>
      <c r="N945" s="66"/>
    </row>
    <row r="946" spans="1:14" x14ac:dyDescent="0.2">
      <c r="A946" s="84"/>
      <c r="B946" s="84"/>
      <c r="C946" s="60"/>
      <c r="D946" s="66"/>
      <c r="E946" s="66"/>
      <c r="F946" s="66"/>
      <c r="G946" s="66"/>
      <c r="H946" s="66"/>
      <c r="I946" s="66"/>
      <c r="J946" s="66"/>
      <c r="K946" s="66"/>
      <c r="L946" s="66"/>
      <c r="M946" s="66"/>
      <c r="N946" s="66"/>
    </row>
    <row r="947" spans="1:14" x14ac:dyDescent="0.2">
      <c r="A947" s="84"/>
      <c r="B947" s="84"/>
      <c r="C947" s="60"/>
      <c r="D947" s="66"/>
      <c r="E947" s="66"/>
      <c r="F947" s="66"/>
      <c r="G947" s="66"/>
      <c r="H947" s="66"/>
      <c r="I947" s="66"/>
      <c r="J947" s="66"/>
      <c r="K947" s="66"/>
      <c r="L947" s="66"/>
      <c r="M947" s="66"/>
      <c r="N947" s="66"/>
    </row>
    <row r="948" spans="1:14" x14ac:dyDescent="0.2">
      <c r="A948" s="84"/>
      <c r="B948" s="84"/>
      <c r="C948" s="60"/>
      <c r="D948" s="66"/>
      <c r="E948" s="66"/>
      <c r="F948" s="66"/>
      <c r="G948" s="66"/>
      <c r="H948" s="66"/>
      <c r="I948" s="66"/>
      <c r="J948" s="66"/>
      <c r="K948" s="66"/>
      <c r="L948" s="66"/>
      <c r="M948" s="66"/>
      <c r="N948" s="66"/>
    </row>
    <row r="949" spans="1:14" x14ac:dyDescent="0.2">
      <c r="A949" s="84"/>
      <c r="B949" s="84"/>
      <c r="C949" s="60"/>
      <c r="D949" s="66"/>
      <c r="E949" s="66"/>
      <c r="F949" s="66"/>
      <c r="G949" s="66"/>
      <c r="H949" s="66"/>
      <c r="I949" s="66"/>
      <c r="J949" s="66"/>
      <c r="K949" s="66"/>
      <c r="L949" s="66"/>
      <c r="M949" s="66"/>
      <c r="N949" s="66"/>
    </row>
    <row r="950" spans="1:14" x14ac:dyDescent="0.2">
      <c r="A950" s="84"/>
      <c r="B950" s="84"/>
      <c r="C950" s="60"/>
      <c r="D950" s="66"/>
      <c r="E950" s="66"/>
      <c r="F950" s="66"/>
      <c r="G950" s="66"/>
      <c r="H950" s="66"/>
      <c r="I950" s="66"/>
      <c r="J950" s="66"/>
      <c r="K950" s="66"/>
      <c r="L950" s="66"/>
      <c r="M950" s="66"/>
      <c r="N950" s="66"/>
    </row>
    <row r="951" spans="1:14" x14ac:dyDescent="0.2">
      <c r="A951" s="84"/>
      <c r="B951" s="84"/>
      <c r="C951" s="60"/>
      <c r="D951" s="66"/>
      <c r="E951" s="66"/>
      <c r="F951" s="66"/>
      <c r="G951" s="66"/>
      <c r="H951" s="66"/>
      <c r="I951" s="66"/>
      <c r="J951" s="66"/>
      <c r="K951" s="66"/>
      <c r="L951" s="66"/>
      <c r="M951" s="66"/>
      <c r="N951" s="66"/>
    </row>
    <row r="952" spans="1:14" x14ac:dyDescent="0.2">
      <c r="A952" s="84"/>
      <c r="B952" s="84"/>
      <c r="C952" s="60"/>
      <c r="D952" s="66"/>
      <c r="E952" s="66"/>
      <c r="F952" s="66"/>
      <c r="G952" s="66"/>
      <c r="H952" s="66"/>
      <c r="I952" s="66"/>
      <c r="J952" s="66"/>
      <c r="K952" s="66"/>
      <c r="L952" s="66"/>
      <c r="M952" s="66"/>
      <c r="N952" s="66"/>
    </row>
    <row r="953" spans="1:14" x14ac:dyDescent="0.2">
      <c r="A953" s="84"/>
      <c r="B953" s="84"/>
      <c r="C953" s="60"/>
      <c r="D953" s="66"/>
      <c r="E953" s="66"/>
      <c r="F953" s="66"/>
      <c r="G953" s="66"/>
      <c r="H953" s="66"/>
      <c r="I953" s="66"/>
      <c r="J953" s="66"/>
      <c r="K953" s="66"/>
      <c r="L953" s="66"/>
      <c r="M953" s="66"/>
      <c r="N953" s="66"/>
    </row>
    <row r="954" spans="1:14" x14ac:dyDescent="0.2">
      <c r="A954" s="84"/>
      <c r="B954" s="84"/>
      <c r="C954" s="60"/>
      <c r="D954" s="66"/>
      <c r="E954" s="66"/>
      <c r="F954" s="66"/>
      <c r="G954" s="66"/>
      <c r="H954" s="66"/>
      <c r="I954" s="66"/>
      <c r="J954" s="66"/>
      <c r="K954" s="66"/>
      <c r="L954" s="66"/>
      <c r="M954" s="66"/>
      <c r="N954" s="66"/>
    </row>
    <row r="955" spans="1:14" x14ac:dyDescent="0.2">
      <c r="A955" s="84"/>
      <c r="B955" s="84"/>
      <c r="C955" s="60"/>
      <c r="D955" s="66"/>
      <c r="E955" s="66"/>
      <c r="F955" s="66"/>
      <c r="G955" s="66"/>
      <c r="H955" s="66"/>
      <c r="I955" s="66"/>
      <c r="J955" s="66"/>
      <c r="K955" s="66"/>
      <c r="L955" s="66"/>
      <c r="M955" s="66"/>
      <c r="N955" s="66"/>
    </row>
    <row r="956" spans="1:14" x14ac:dyDescent="0.2">
      <c r="A956" s="84"/>
      <c r="B956" s="84"/>
      <c r="C956" s="60"/>
      <c r="D956" s="66"/>
      <c r="E956" s="66"/>
      <c r="F956" s="66"/>
      <c r="G956" s="66"/>
      <c r="H956" s="66"/>
      <c r="I956" s="66"/>
      <c r="J956" s="66"/>
      <c r="K956" s="66"/>
      <c r="L956" s="66"/>
      <c r="M956" s="66"/>
      <c r="N956" s="66"/>
    </row>
    <row r="957" spans="1:14" x14ac:dyDescent="0.2">
      <c r="A957" s="84"/>
      <c r="B957" s="84"/>
      <c r="C957" s="60"/>
      <c r="D957" s="66"/>
      <c r="E957" s="66"/>
      <c r="F957" s="66"/>
      <c r="G957" s="66"/>
      <c r="H957" s="66"/>
      <c r="I957" s="66"/>
      <c r="J957" s="66"/>
      <c r="K957" s="66"/>
      <c r="L957" s="66"/>
      <c r="M957" s="66"/>
      <c r="N957" s="66"/>
    </row>
    <row r="958" spans="1:14" x14ac:dyDescent="0.2">
      <c r="A958" s="84"/>
      <c r="B958" s="84"/>
      <c r="C958" s="60"/>
      <c r="D958" s="66"/>
      <c r="E958" s="66"/>
      <c r="F958" s="66"/>
      <c r="G958" s="66"/>
      <c r="H958" s="66"/>
      <c r="I958" s="66"/>
      <c r="J958" s="66"/>
      <c r="K958" s="66"/>
      <c r="L958" s="66"/>
      <c r="M958" s="66"/>
      <c r="N958" s="66"/>
    </row>
    <row r="959" spans="1:14" x14ac:dyDescent="0.2">
      <c r="A959" s="84"/>
      <c r="B959" s="84"/>
      <c r="C959" s="60"/>
      <c r="D959" s="66"/>
      <c r="E959" s="66"/>
      <c r="F959" s="66"/>
      <c r="G959" s="66"/>
      <c r="H959" s="66"/>
      <c r="I959" s="66"/>
      <c r="J959" s="66"/>
      <c r="K959" s="66"/>
      <c r="L959" s="66"/>
      <c r="M959" s="66"/>
      <c r="N959" s="66"/>
    </row>
    <row r="960" spans="1:14" x14ac:dyDescent="0.2">
      <c r="A960" s="84"/>
      <c r="B960" s="84"/>
      <c r="C960" s="60"/>
      <c r="D960" s="66"/>
      <c r="E960" s="66"/>
      <c r="F960" s="66"/>
      <c r="G960" s="66"/>
      <c r="H960" s="66"/>
      <c r="I960" s="66"/>
      <c r="J960" s="66"/>
      <c r="K960" s="66"/>
      <c r="L960" s="66"/>
      <c r="M960" s="66"/>
      <c r="N960" s="66"/>
    </row>
    <row r="961" spans="1:14" x14ac:dyDescent="0.2">
      <c r="A961" s="84"/>
      <c r="B961" s="84"/>
      <c r="C961" s="60"/>
      <c r="D961" s="66"/>
      <c r="E961" s="66"/>
      <c r="F961" s="66"/>
      <c r="G961" s="66"/>
      <c r="H961" s="66"/>
      <c r="I961" s="66"/>
      <c r="J961" s="66"/>
      <c r="K961" s="66"/>
      <c r="L961" s="66"/>
      <c r="M961" s="66"/>
      <c r="N961" s="66"/>
    </row>
    <row r="962" spans="1:14" x14ac:dyDescent="0.2">
      <c r="A962" s="84"/>
      <c r="B962" s="84"/>
      <c r="C962" s="60"/>
      <c r="D962" s="66"/>
      <c r="E962" s="66"/>
      <c r="F962" s="66"/>
      <c r="G962" s="66"/>
      <c r="H962" s="66"/>
      <c r="I962" s="66"/>
      <c r="J962" s="66"/>
      <c r="K962" s="66"/>
      <c r="L962" s="66"/>
      <c r="M962" s="66"/>
      <c r="N962" s="66"/>
    </row>
    <row r="963" spans="1:14" x14ac:dyDescent="0.2">
      <c r="A963" s="84"/>
      <c r="B963" s="84"/>
      <c r="C963" s="60"/>
      <c r="D963" s="66"/>
      <c r="E963" s="66"/>
      <c r="F963" s="66"/>
      <c r="G963" s="66"/>
      <c r="H963" s="66"/>
      <c r="I963" s="66"/>
      <c r="J963" s="66"/>
      <c r="K963" s="66"/>
      <c r="L963" s="66"/>
      <c r="M963" s="66"/>
      <c r="N963" s="66"/>
    </row>
    <row r="964" spans="1:14" x14ac:dyDescent="0.2">
      <c r="A964" s="84"/>
      <c r="B964" s="84"/>
      <c r="C964" s="60"/>
      <c r="D964" s="66"/>
      <c r="E964" s="66"/>
      <c r="F964" s="66"/>
      <c r="G964" s="66"/>
      <c r="H964" s="66"/>
      <c r="I964" s="66"/>
      <c r="J964" s="66"/>
      <c r="K964" s="66"/>
      <c r="L964" s="66"/>
      <c r="M964" s="66"/>
      <c r="N964" s="66"/>
    </row>
    <row r="965" spans="1:14" x14ac:dyDescent="0.2">
      <c r="A965" s="84"/>
      <c r="B965" s="84"/>
      <c r="C965" s="60"/>
      <c r="D965" s="66"/>
      <c r="E965" s="66"/>
      <c r="F965" s="66"/>
      <c r="G965" s="66"/>
      <c r="H965" s="66"/>
      <c r="I965" s="66"/>
      <c r="J965" s="66"/>
      <c r="K965" s="66"/>
      <c r="L965" s="66"/>
      <c r="M965" s="66"/>
      <c r="N965" s="66"/>
    </row>
    <row r="966" spans="1:14" x14ac:dyDescent="0.2">
      <c r="A966" s="84"/>
      <c r="B966" s="84"/>
      <c r="C966" s="60"/>
      <c r="D966" s="66"/>
      <c r="E966" s="66"/>
      <c r="F966" s="66"/>
      <c r="G966" s="66"/>
      <c r="H966" s="66"/>
      <c r="I966" s="66"/>
      <c r="J966" s="66"/>
      <c r="K966" s="66"/>
      <c r="L966" s="66"/>
      <c r="M966" s="66"/>
      <c r="N966" s="66"/>
    </row>
    <row r="967" spans="1:14" x14ac:dyDescent="0.2">
      <c r="A967" s="84"/>
      <c r="B967" s="84"/>
      <c r="C967" s="60"/>
      <c r="D967" s="66"/>
      <c r="E967" s="66"/>
      <c r="F967" s="66"/>
      <c r="G967" s="66"/>
      <c r="H967" s="66"/>
      <c r="I967" s="66"/>
      <c r="J967" s="66"/>
      <c r="K967" s="66"/>
      <c r="L967" s="66"/>
      <c r="M967" s="66"/>
      <c r="N967" s="66"/>
    </row>
    <row r="968" spans="1:14" x14ac:dyDescent="0.2">
      <c r="A968" s="84"/>
      <c r="B968" s="84"/>
      <c r="C968" s="60"/>
      <c r="D968" s="66"/>
      <c r="E968" s="66"/>
      <c r="F968" s="66"/>
      <c r="G968" s="66"/>
      <c r="H968" s="66"/>
      <c r="I968" s="66"/>
      <c r="J968" s="66"/>
      <c r="K968" s="66"/>
      <c r="L968" s="66"/>
      <c r="M968" s="66"/>
      <c r="N968" s="66"/>
    </row>
    <row r="969" spans="1:14" x14ac:dyDescent="0.2">
      <c r="A969" s="84"/>
      <c r="B969" s="84"/>
      <c r="C969" s="60"/>
      <c r="D969" s="66"/>
      <c r="E969" s="66"/>
      <c r="F969" s="66"/>
      <c r="G969" s="66"/>
      <c r="H969" s="66"/>
      <c r="I969" s="66"/>
      <c r="J969" s="66"/>
      <c r="K969" s="66"/>
      <c r="L969" s="66"/>
      <c r="M969" s="66"/>
      <c r="N969" s="66"/>
    </row>
    <row r="970" spans="1:14" x14ac:dyDescent="0.2">
      <c r="A970" s="84"/>
      <c r="B970" s="84"/>
      <c r="C970" s="60"/>
      <c r="D970" s="66"/>
      <c r="E970" s="66"/>
      <c r="F970" s="66"/>
      <c r="G970" s="66"/>
      <c r="H970" s="66"/>
      <c r="I970" s="66"/>
      <c r="J970" s="66"/>
      <c r="K970" s="66"/>
      <c r="L970" s="66"/>
      <c r="M970" s="66"/>
      <c r="N970" s="66"/>
    </row>
    <row r="971" spans="1:14" x14ac:dyDescent="0.2">
      <c r="A971" s="84"/>
      <c r="B971" s="84"/>
      <c r="C971" s="60"/>
      <c r="D971" s="66"/>
      <c r="E971" s="66"/>
      <c r="F971" s="66"/>
      <c r="G971" s="66"/>
      <c r="H971" s="66"/>
      <c r="I971" s="66"/>
      <c r="J971" s="66"/>
      <c r="K971" s="66"/>
      <c r="L971" s="66"/>
      <c r="M971" s="66"/>
      <c r="N971" s="66"/>
    </row>
    <row r="972" spans="1:14" x14ac:dyDescent="0.2">
      <c r="A972" s="84"/>
      <c r="B972" s="84"/>
      <c r="C972" s="60"/>
      <c r="D972" s="66"/>
      <c r="E972" s="66"/>
      <c r="F972" s="66"/>
      <c r="G972" s="66"/>
      <c r="H972" s="66"/>
      <c r="I972" s="66"/>
      <c r="J972" s="66"/>
      <c r="K972" s="66"/>
      <c r="L972" s="66"/>
      <c r="M972" s="66"/>
      <c r="N972" s="66"/>
    </row>
    <row r="973" spans="1:14" x14ac:dyDescent="0.2">
      <c r="A973" s="84"/>
      <c r="B973" s="84"/>
      <c r="C973" s="60"/>
      <c r="D973" s="66"/>
      <c r="E973" s="66"/>
      <c r="F973" s="66"/>
      <c r="G973" s="66"/>
      <c r="H973" s="66"/>
      <c r="I973" s="66"/>
      <c r="J973" s="66"/>
      <c r="K973" s="66"/>
      <c r="L973" s="66"/>
      <c r="M973" s="66"/>
      <c r="N973" s="66"/>
    </row>
    <row r="974" spans="1:14" x14ac:dyDescent="0.2">
      <c r="A974" s="84"/>
      <c r="B974" s="84"/>
      <c r="C974" s="60"/>
      <c r="D974" s="66"/>
      <c r="E974" s="66"/>
      <c r="F974" s="66"/>
      <c r="G974" s="66"/>
      <c r="H974" s="66"/>
      <c r="I974" s="66"/>
      <c r="J974" s="66"/>
      <c r="K974" s="66"/>
      <c r="L974" s="66"/>
      <c r="M974" s="66"/>
      <c r="N974" s="66"/>
    </row>
    <row r="975" spans="1:14" x14ac:dyDescent="0.2">
      <c r="A975" s="84"/>
      <c r="B975" s="84"/>
      <c r="C975" s="60"/>
      <c r="D975" s="66"/>
      <c r="E975" s="66"/>
      <c r="F975" s="66"/>
      <c r="G975" s="66"/>
      <c r="H975" s="66"/>
      <c r="I975" s="66"/>
      <c r="J975" s="66"/>
      <c r="K975" s="66"/>
      <c r="L975" s="66"/>
      <c r="M975" s="66"/>
      <c r="N975" s="66"/>
    </row>
    <row r="976" spans="1:14" x14ac:dyDescent="0.2">
      <c r="A976" s="84"/>
      <c r="B976" s="84"/>
      <c r="C976" s="60"/>
      <c r="D976" s="66"/>
      <c r="E976" s="66"/>
      <c r="F976" s="66"/>
      <c r="G976" s="66"/>
      <c r="H976" s="66"/>
      <c r="I976" s="66"/>
      <c r="J976" s="66"/>
      <c r="K976" s="66"/>
      <c r="L976" s="66"/>
      <c r="M976" s="66"/>
      <c r="N976" s="66"/>
    </row>
    <row r="977" spans="1:14" x14ac:dyDescent="0.2">
      <c r="A977" s="84"/>
      <c r="B977" s="84"/>
      <c r="C977" s="60"/>
      <c r="D977" s="66"/>
      <c r="E977" s="66"/>
      <c r="F977" s="66"/>
      <c r="G977" s="66"/>
      <c r="H977" s="66"/>
      <c r="I977" s="66"/>
      <c r="J977" s="66"/>
      <c r="K977" s="66"/>
      <c r="L977" s="66"/>
      <c r="M977" s="66"/>
      <c r="N977" s="66"/>
    </row>
    <row r="978" spans="1:14" x14ac:dyDescent="0.2">
      <c r="A978" s="84"/>
      <c r="B978" s="84"/>
      <c r="C978" s="60"/>
      <c r="D978" s="66"/>
      <c r="E978" s="66"/>
      <c r="F978" s="66"/>
      <c r="G978" s="66"/>
      <c r="H978" s="66"/>
      <c r="I978" s="66"/>
      <c r="J978" s="66"/>
      <c r="K978" s="66"/>
      <c r="L978" s="66"/>
      <c r="M978" s="66"/>
      <c r="N978" s="66"/>
    </row>
    <row r="979" spans="1:14" x14ac:dyDescent="0.2">
      <c r="A979" s="84"/>
      <c r="B979" s="84"/>
      <c r="C979" s="60"/>
      <c r="D979" s="66"/>
      <c r="E979" s="66"/>
      <c r="F979" s="66"/>
      <c r="G979" s="66"/>
      <c r="H979" s="66"/>
      <c r="I979" s="66"/>
      <c r="J979" s="66"/>
      <c r="K979" s="66"/>
      <c r="L979" s="66"/>
      <c r="M979" s="66"/>
      <c r="N979" s="66"/>
    </row>
    <row r="980" spans="1:14" x14ac:dyDescent="0.2">
      <c r="A980" s="84"/>
      <c r="B980" s="84"/>
      <c r="C980" s="60"/>
      <c r="D980" s="66"/>
      <c r="E980" s="66"/>
      <c r="F980" s="66"/>
      <c r="G980" s="66"/>
      <c r="H980" s="66"/>
      <c r="I980" s="66"/>
      <c r="J980" s="66"/>
      <c r="K980" s="66"/>
      <c r="L980" s="66"/>
      <c r="M980" s="66"/>
      <c r="N980" s="66"/>
    </row>
    <row r="981" spans="1:14" x14ac:dyDescent="0.2">
      <c r="A981" s="84"/>
      <c r="B981" s="84"/>
      <c r="C981" s="60"/>
      <c r="D981" s="66"/>
      <c r="E981" s="66"/>
      <c r="F981" s="66"/>
      <c r="G981" s="66"/>
      <c r="H981" s="66"/>
      <c r="I981" s="66"/>
      <c r="J981" s="66"/>
      <c r="K981" s="66"/>
      <c r="L981" s="66"/>
      <c r="M981" s="66"/>
      <c r="N981" s="66"/>
    </row>
    <row r="982" spans="1:14" x14ac:dyDescent="0.2">
      <c r="A982" s="84"/>
      <c r="B982" s="84"/>
      <c r="C982" s="60"/>
      <c r="D982" s="66"/>
      <c r="E982" s="66"/>
      <c r="F982" s="66"/>
      <c r="G982" s="66"/>
      <c r="H982" s="66"/>
      <c r="I982" s="66"/>
      <c r="J982" s="66"/>
      <c r="K982" s="66"/>
      <c r="L982" s="66"/>
      <c r="M982" s="66"/>
      <c r="N982" s="66"/>
    </row>
    <row r="983" spans="1:14" x14ac:dyDescent="0.2">
      <c r="A983" s="84"/>
      <c r="B983" s="84"/>
      <c r="C983" s="60"/>
      <c r="D983" s="66"/>
      <c r="E983" s="66"/>
      <c r="F983" s="66"/>
      <c r="G983" s="66"/>
      <c r="H983" s="66"/>
      <c r="I983" s="66"/>
      <c r="J983" s="66"/>
      <c r="K983" s="66"/>
      <c r="L983" s="66"/>
      <c r="M983" s="66"/>
      <c r="N983" s="66"/>
    </row>
    <row r="984" spans="1:14" x14ac:dyDescent="0.2">
      <c r="A984" s="84"/>
      <c r="B984" s="84"/>
      <c r="C984" s="60"/>
      <c r="D984" s="66"/>
      <c r="E984" s="66"/>
      <c r="F984" s="66"/>
      <c r="G984" s="66"/>
      <c r="H984" s="66"/>
      <c r="I984" s="66"/>
      <c r="J984" s="66"/>
      <c r="K984" s="66"/>
      <c r="L984" s="66"/>
      <c r="M984" s="66"/>
      <c r="N984" s="66"/>
    </row>
    <row r="985" spans="1:14" x14ac:dyDescent="0.2">
      <c r="A985" s="84"/>
      <c r="B985" s="84"/>
      <c r="C985" s="60"/>
      <c r="D985" s="66"/>
      <c r="E985" s="66"/>
      <c r="F985" s="66"/>
      <c r="G985" s="66"/>
      <c r="H985" s="66"/>
      <c r="I985" s="66"/>
      <c r="J985" s="66"/>
      <c r="K985" s="66"/>
      <c r="L985" s="66"/>
      <c r="M985" s="66"/>
      <c r="N985" s="66"/>
    </row>
    <row r="986" spans="1:14" x14ac:dyDescent="0.2">
      <c r="A986" s="84"/>
      <c r="B986" s="84"/>
      <c r="C986" s="60"/>
      <c r="D986" s="66"/>
      <c r="E986" s="66"/>
      <c r="F986" s="66"/>
      <c r="G986" s="66"/>
      <c r="H986" s="66"/>
      <c r="I986" s="66"/>
      <c r="J986" s="66"/>
      <c r="K986" s="66"/>
      <c r="L986" s="66"/>
      <c r="M986" s="66"/>
      <c r="N986" s="66"/>
    </row>
    <row r="987" spans="1:14" x14ac:dyDescent="0.2">
      <c r="A987" s="84"/>
      <c r="B987" s="84"/>
      <c r="C987" s="60"/>
      <c r="D987" s="66"/>
      <c r="E987" s="66"/>
      <c r="F987" s="66"/>
      <c r="G987" s="66"/>
      <c r="H987" s="66"/>
      <c r="I987" s="66"/>
      <c r="J987" s="66"/>
      <c r="K987" s="66"/>
      <c r="L987" s="66"/>
      <c r="M987" s="66"/>
      <c r="N987" s="66"/>
    </row>
    <row r="988" spans="1:14" x14ac:dyDescent="0.2">
      <c r="A988" s="84"/>
      <c r="B988" s="84"/>
      <c r="C988" s="60"/>
      <c r="D988" s="66"/>
      <c r="E988" s="66"/>
      <c r="F988" s="66"/>
      <c r="G988" s="66"/>
      <c r="H988" s="66"/>
      <c r="I988" s="66"/>
      <c r="J988" s="66"/>
      <c r="K988" s="66"/>
      <c r="L988" s="66"/>
      <c r="M988" s="66"/>
      <c r="N988" s="66"/>
    </row>
    <row r="989" spans="1:14" x14ac:dyDescent="0.2">
      <c r="A989" s="84"/>
      <c r="B989" s="84"/>
      <c r="C989" s="60"/>
      <c r="D989" s="66"/>
      <c r="E989" s="66"/>
      <c r="F989" s="66"/>
      <c r="G989" s="66"/>
      <c r="H989" s="66"/>
      <c r="I989" s="66"/>
      <c r="J989" s="66"/>
      <c r="K989" s="66"/>
      <c r="L989" s="66"/>
      <c r="M989" s="66"/>
      <c r="N989" s="66"/>
    </row>
    <row r="990" spans="1:14" x14ac:dyDescent="0.2">
      <c r="A990" s="84"/>
      <c r="B990" s="84"/>
      <c r="C990" s="60"/>
      <c r="D990" s="66"/>
      <c r="E990" s="66"/>
      <c r="F990" s="66"/>
      <c r="G990" s="66"/>
      <c r="H990" s="66"/>
      <c r="I990" s="66"/>
      <c r="J990" s="66"/>
      <c r="K990" s="66"/>
      <c r="L990" s="66"/>
      <c r="M990" s="66"/>
      <c r="N990" s="66"/>
    </row>
    <row r="991" spans="1:14" x14ac:dyDescent="0.2">
      <c r="A991" s="84"/>
      <c r="B991" s="84"/>
      <c r="C991" s="60"/>
      <c r="D991" s="66"/>
      <c r="E991" s="66"/>
      <c r="F991" s="66"/>
      <c r="G991" s="66"/>
      <c r="H991" s="66"/>
      <c r="I991" s="66"/>
      <c r="J991" s="66"/>
      <c r="K991" s="66"/>
      <c r="L991" s="66"/>
      <c r="M991" s="66"/>
      <c r="N991" s="66"/>
    </row>
    <row r="992" spans="1:14" x14ac:dyDescent="0.2">
      <c r="A992" s="84"/>
      <c r="B992" s="84"/>
      <c r="C992" s="60"/>
      <c r="D992" s="66"/>
      <c r="E992" s="66"/>
      <c r="F992" s="66"/>
      <c r="G992" s="66"/>
      <c r="H992" s="66"/>
      <c r="I992" s="66"/>
      <c r="J992" s="66"/>
      <c r="K992" s="66"/>
      <c r="L992" s="66"/>
      <c r="M992" s="66"/>
      <c r="N992" s="66"/>
    </row>
    <row r="993" spans="1:14" x14ac:dyDescent="0.2">
      <c r="A993" s="84"/>
      <c r="B993" s="84"/>
      <c r="C993" s="60"/>
      <c r="D993" s="66"/>
      <c r="E993" s="66"/>
      <c r="F993" s="66"/>
      <c r="G993" s="66"/>
      <c r="H993" s="66"/>
      <c r="I993" s="66"/>
      <c r="J993" s="66"/>
      <c r="K993" s="66"/>
      <c r="L993" s="66"/>
      <c r="M993" s="66"/>
      <c r="N993" s="66"/>
    </row>
    <row r="994" spans="1:14" x14ac:dyDescent="0.2">
      <c r="A994" s="84"/>
      <c r="B994" s="84"/>
      <c r="C994" s="60"/>
      <c r="D994" s="66"/>
      <c r="E994" s="66"/>
      <c r="F994" s="66"/>
      <c r="G994" s="66"/>
      <c r="H994" s="66"/>
      <c r="I994" s="66"/>
      <c r="J994" s="66"/>
      <c r="K994" s="66"/>
      <c r="L994" s="66"/>
      <c r="M994" s="66"/>
      <c r="N994" s="66"/>
    </row>
    <row r="995" spans="1:14" x14ac:dyDescent="0.2">
      <c r="A995" s="84"/>
      <c r="B995" s="84"/>
      <c r="C995" s="60"/>
      <c r="D995" s="66"/>
      <c r="E995" s="66"/>
      <c r="F995" s="66"/>
      <c r="G995" s="66"/>
      <c r="H995" s="66"/>
      <c r="I995" s="66"/>
      <c r="J995" s="66"/>
      <c r="K995" s="66"/>
      <c r="L995" s="66"/>
      <c r="M995" s="66"/>
      <c r="N995" s="66"/>
    </row>
    <row r="996" spans="1:14" x14ac:dyDescent="0.2">
      <c r="A996" s="84"/>
      <c r="B996" s="84"/>
      <c r="C996" s="60"/>
      <c r="D996" s="66"/>
      <c r="E996" s="66"/>
      <c r="F996" s="66"/>
      <c r="G996" s="66"/>
      <c r="H996" s="66"/>
      <c r="I996" s="66"/>
      <c r="J996" s="66"/>
      <c r="K996" s="66"/>
      <c r="L996" s="66"/>
      <c r="M996" s="66"/>
      <c r="N996" s="66"/>
    </row>
    <row r="997" spans="1:14" x14ac:dyDescent="0.2">
      <c r="A997" s="84"/>
      <c r="B997" s="84"/>
      <c r="C997" s="60"/>
      <c r="D997" s="66"/>
      <c r="E997" s="66"/>
      <c r="F997" s="66"/>
      <c r="G997" s="66"/>
      <c r="H997" s="66"/>
      <c r="I997" s="66"/>
      <c r="J997" s="66"/>
      <c r="K997" s="66"/>
      <c r="L997" s="66"/>
      <c r="M997" s="66"/>
      <c r="N997" s="66"/>
    </row>
    <row r="998" spans="1:14" x14ac:dyDescent="0.2">
      <c r="A998" s="84"/>
      <c r="B998" s="84"/>
      <c r="C998" s="60"/>
      <c r="D998" s="66"/>
      <c r="E998" s="66"/>
      <c r="F998" s="66"/>
      <c r="G998" s="66"/>
      <c r="H998" s="66"/>
      <c r="I998" s="66"/>
      <c r="J998" s="66"/>
      <c r="K998" s="66"/>
      <c r="L998" s="66"/>
      <c r="M998" s="66"/>
      <c r="N998" s="66"/>
    </row>
    <row r="999" spans="1:14" x14ac:dyDescent="0.2">
      <c r="A999" s="84"/>
      <c r="B999" s="84"/>
      <c r="C999" s="60"/>
      <c r="D999" s="66"/>
      <c r="E999" s="66"/>
      <c r="F999" s="66"/>
      <c r="G999" s="66"/>
      <c r="H999" s="66"/>
      <c r="I999" s="66"/>
      <c r="J999" s="66"/>
      <c r="K999" s="66"/>
      <c r="L999" s="66"/>
      <c r="M999" s="66"/>
      <c r="N999" s="66"/>
    </row>
    <row r="1000" spans="1:14" x14ac:dyDescent="0.2">
      <c r="A1000" s="84"/>
      <c r="B1000" s="84"/>
      <c r="C1000" s="60"/>
      <c r="D1000" s="66"/>
      <c r="E1000" s="66"/>
      <c r="F1000" s="66"/>
      <c r="G1000" s="66"/>
      <c r="H1000" s="66"/>
      <c r="I1000" s="66"/>
      <c r="J1000" s="66"/>
      <c r="K1000" s="66"/>
      <c r="L1000" s="66"/>
      <c r="M1000" s="66"/>
      <c r="N1000" s="66"/>
    </row>
    <row r="1001" spans="1:14" x14ac:dyDescent="0.2">
      <c r="A1001" s="84"/>
      <c r="B1001" s="84"/>
      <c r="C1001" s="60"/>
      <c r="D1001" s="66"/>
      <c r="E1001" s="66"/>
      <c r="F1001" s="66"/>
      <c r="G1001" s="66"/>
      <c r="H1001" s="66"/>
      <c r="I1001" s="66"/>
      <c r="J1001" s="66"/>
      <c r="K1001" s="66"/>
      <c r="L1001" s="66"/>
      <c r="M1001" s="66"/>
      <c r="N1001" s="66"/>
    </row>
    <row r="1002" spans="1:14" x14ac:dyDescent="0.2">
      <c r="A1002" s="84"/>
      <c r="B1002" s="84"/>
      <c r="C1002" s="60"/>
      <c r="D1002" s="66"/>
      <c r="E1002" s="66"/>
      <c r="F1002" s="66"/>
      <c r="G1002" s="66"/>
      <c r="H1002" s="66"/>
      <c r="I1002" s="66"/>
      <c r="J1002" s="66"/>
      <c r="K1002" s="66"/>
      <c r="L1002" s="66"/>
      <c r="M1002" s="66"/>
      <c r="N1002" s="66"/>
    </row>
    <row r="1003" spans="1:14" x14ac:dyDescent="0.2">
      <c r="A1003" s="84"/>
      <c r="B1003" s="84"/>
      <c r="C1003" s="60"/>
      <c r="D1003" s="66"/>
      <c r="E1003" s="66"/>
      <c r="F1003" s="66"/>
      <c r="G1003" s="66"/>
      <c r="H1003" s="66"/>
      <c r="I1003" s="66"/>
      <c r="J1003" s="66"/>
      <c r="K1003" s="66"/>
      <c r="L1003" s="66"/>
      <c r="M1003" s="66"/>
      <c r="N1003" s="66"/>
    </row>
    <row r="1004" spans="1:14" x14ac:dyDescent="0.2">
      <c r="A1004" s="84"/>
      <c r="B1004" s="84"/>
      <c r="C1004" s="60"/>
      <c r="D1004" s="66"/>
      <c r="E1004" s="66"/>
      <c r="F1004" s="66"/>
      <c r="G1004" s="66"/>
      <c r="H1004" s="66"/>
      <c r="I1004" s="66"/>
      <c r="J1004" s="66"/>
      <c r="K1004" s="66"/>
      <c r="L1004" s="66"/>
      <c r="M1004" s="66"/>
      <c r="N1004" s="66"/>
    </row>
    <row r="1005" spans="1:14" x14ac:dyDescent="0.2">
      <c r="A1005" s="84"/>
      <c r="B1005" s="84"/>
      <c r="C1005" s="60"/>
      <c r="D1005" s="66"/>
      <c r="E1005" s="66"/>
      <c r="F1005" s="66"/>
      <c r="G1005" s="66"/>
      <c r="H1005" s="66"/>
      <c r="I1005" s="66"/>
      <c r="J1005" s="66"/>
      <c r="K1005" s="66"/>
      <c r="L1005" s="66"/>
      <c r="M1005" s="66"/>
      <c r="N1005" s="66"/>
    </row>
    <row r="1006" spans="1:14" x14ac:dyDescent="0.2">
      <c r="A1006" s="84"/>
      <c r="B1006" s="84"/>
      <c r="C1006" s="60"/>
      <c r="D1006" s="66"/>
      <c r="E1006" s="66"/>
      <c r="F1006" s="66"/>
      <c r="G1006" s="66"/>
      <c r="H1006" s="66"/>
      <c r="I1006" s="66"/>
      <c r="J1006" s="66"/>
      <c r="K1006" s="66"/>
      <c r="L1006" s="66"/>
      <c r="M1006" s="66"/>
      <c r="N1006" s="66"/>
    </row>
    <row r="1007" spans="1:14" x14ac:dyDescent="0.2">
      <c r="A1007" s="84"/>
      <c r="B1007" s="84"/>
      <c r="C1007" s="60"/>
      <c r="D1007" s="66"/>
      <c r="E1007" s="66"/>
      <c r="F1007" s="66"/>
      <c r="G1007" s="66"/>
      <c r="H1007" s="66"/>
      <c r="I1007" s="66"/>
      <c r="J1007" s="66"/>
      <c r="K1007" s="66"/>
      <c r="L1007" s="66"/>
      <c r="M1007" s="66"/>
      <c r="N1007" s="66"/>
    </row>
    <row r="1008" spans="1:14" x14ac:dyDescent="0.2">
      <c r="A1008" s="84"/>
      <c r="B1008" s="84"/>
      <c r="C1008" s="60"/>
      <c r="D1008" s="66"/>
      <c r="E1008" s="66"/>
      <c r="F1008" s="66"/>
      <c r="G1008" s="66"/>
      <c r="H1008" s="66"/>
      <c r="I1008" s="66"/>
      <c r="J1008" s="66"/>
      <c r="K1008" s="66"/>
      <c r="L1008" s="66"/>
      <c r="M1008" s="66"/>
      <c r="N1008" s="66"/>
    </row>
    <row r="1009" spans="1:14" x14ac:dyDescent="0.2">
      <c r="A1009" s="84"/>
      <c r="B1009" s="84"/>
      <c r="C1009" s="60"/>
      <c r="D1009" s="66"/>
      <c r="E1009" s="66"/>
      <c r="F1009" s="66"/>
      <c r="G1009" s="66"/>
      <c r="H1009" s="66"/>
      <c r="I1009" s="66"/>
      <c r="J1009" s="66"/>
      <c r="K1009" s="66"/>
      <c r="L1009" s="66"/>
      <c r="M1009" s="66"/>
      <c r="N1009" s="66"/>
    </row>
    <row r="1010" spans="1:14" x14ac:dyDescent="0.2">
      <c r="A1010" s="84"/>
      <c r="B1010" s="84"/>
      <c r="C1010" s="60"/>
      <c r="D1010" s="66"/>
      <c r="E1010" s="66"/>
      <c r="F1010" s="66"/>
      <c r="G1010" s="66"/>
      <c r="H1010" s="66"/>
      <c r="I1010" s="66"/>
      <c r="J1010" s="66"/>
      <c r="K1010" s="66"/>
      <c r="L1010" s="66"/>
      <c r="M1010" s="66"/>
      <c r="N1010" s="66"/>
    </row>
    <row r="1011" spans="1:14" x14ac:dyDescent="0.2">
      <c r="A1011" s="84"/>
      <c r="B1011" s="84"/>
      <c r="C1011" s="60"/>
      <c r="D1011" s="66"/>
      <c r="E1011" s="66"/>
      <c r="F1011" s="66"/>
      <c r="G1011" s="66"/>
      <c r="H1011" s="66"/>
      <c r="I1011" s="66"/>
      <c r="J1011" s="66"/>
      <c r="K1011" s="66"/>
      <c r="L1011" s="66"/>
      <c r="M1011" s="66"/>
      <c r="N1011" s="66"/>
    </row>
    <row r="1012" spans="1:14" x14ac:dyDescent="0.2">
      <c r="A1012" s="84"/>
      <c r="B1012" s="84"/>
      <c r="C1012" s="60"/>
      <c r="D1012" s="66"/>
      <c r="E1012" s="66"/>
      <c r="F1012" s="66"/>
      <c r="G1012" s="66"/>
      <c r="H1012" s="66"/>
      <c r="I1012" s="66"/>
      <c r="J1012" s="66"/>
      <c r="K1012" s="66"/>
      <c r="L1012" s="66"/>
      <c r="M1012" s="66"/>
      <c r="N1012" s="66"/>
    </row>
    <row r="1013" spans="1:14" x14ac:dyDescent="0.2">
      <c r="A1013" s="84"/>
      <c r="B1013" s="84"/>
      <c r="C1013" s="60"/>
      <c r="D1013" s="66"/>
      <c r="E1013" s="66"/>
      <c r="F1013" s="66"/>
      <c r="G1013" s="66"/>
      <c r="H1013" s="66"/>
      <c r="I1013" s="66"/>
      <c r="J1013" s="66"/>
      <c r="K1013" s="66"/>
      <c r="L1013" s="66"/>
      <c r="M1013" s="66"/>
      <c r="N1013" s="66"/>
    </row>
    <row r="1014" spans="1:14" x14ac:dyDescent="0.2">
      <c r="A1014" s="84"/>
      <c r="B1014" s="84"/>
      <c r="C1014" s="60"/>
      <c r="D1014" s="66"/>
      <c r="E1014" s="66"/>
      <c r="F1014" s="66"/>
      <c r="G1014" s="66"/>
      <c r="H1014" s="66"/>
      <c r="I1014" s="66"/>
      <c r="J1014" s="66"/>
      <c r="K1014" s="66"/>
      <c r="L1014" s="66"/>
      <c r="M1014" s="66"/>
      <c r="N1014" s="66"/>
    </row>
    <row r="1015" spans="1:14" x14ac:dyDescent="0.2">
      <c r="A1015" s="84"/>
      <c r="B1015" s="84"/>
      <c r="C1015" s="60"/>
      <c r="D1015" s="66"/>
      <c r="E1015" s="66"/>
      <c r="F1015" s="66"/>
      <c r="G1015" s="66"/>
      <c r="H1015" s="66"/>
      <c r="I1015" s="66"/>
      <c r="J1015" s="66"/>
      <c r="K1015" s="66"/>
      <c r="L1015" s="66"/>
      <c r="M1015" s="66"/>
      <c r="N1015" s="66"/>
    </row>
    <row r="1016" spans="1:14" x14ac:dyDescent="0.2">
      <c r="A1016" s="84"/>
      <c r="B1016" s="84"/>
      <c r="C1016" s="60"/>
      <c r="D1016" s="66"/>
      <c r="E1016" s="66"/>
      <c r="F1016" s="66"/>
      <c r="G1016" s="66"/>
      <c r="H1016" s="66"/>
      <c r="I1016" s="66"/>
      <c r="J1016" s="66"/>
      <c r="K1016" s="66"/>
      <c r="L1016" s="66"/>
      <c r="M1016" s="66"/>
      <c r="N1016" s="66"/>
    </row>
    <row r="1017" spans="1:14" x14ac:dyDescent="0.2">
      <c r="A1017" s="84"/>
      <c r="B1017" s="84"/>
      <c r="C1017" s="60"/>
      <c r="D1017" s="66"/>
      <c r="E1017" s="66"/>
      <c r="F1017" s="66"/>
      <c r="G1017" s="66"/>
      <c r="H1017" s="66"/>
      <c r="I1017" s="66"/>
      <c r="J1017" s="66"/>
      <c r="K1017" s="66"/>
      <c r="L1017" s="66"/>
      <c r="M1017" s="66"/>
      <c r="N1017" s="66"/>
    </row>
    <row r="1018" spans="1:14" x14ac:dyDescent="0.2">
      <c r="A1018" s="84"/>
      <c r="B1018" s="84"/>
      <c r="C1018" s="60"/>
      <c r="D1018" s="66"/>
      <c r="E1018" s="66"/>
      <c r="F1018" s="66"/>
      <c r="G1018" s="66"/>
      <c r="H1018" s="66"/>
      <c r="I1018" s="66"/>
      <c r="J1018" s="66"/>
      <c r="K1018" s="66"/>
      <c r="L1018" s="66"/>
      <c r="M1018" s="66"/>
      <c r="N1018" s="66"/>
    </row>
    <row r="1019" spans="1:14" x14ac:dyDescent="0.2">
      <c r="A1019" s="84"/>
      <c r="B1019" s="84"/>
      <c r="C1019" s="60"/>
      <c r="D1019" s="66"/>
      <c r="E1019" s="66"/>
      <c r="F1019" s="66"/>
      <c r="G1019" s="66"/>
      <c r="H1019" s="66"/>
      <c r="I1019" s="66"/>
      <c r="J1019" s="66"/>
      <c r="K1019" s="66"/>
      <c r="L1019" s="66"/>
      <c r="M1019" s="66"/>
      <c r="N1019" s="66"/>
    </row>
    <row r="1020" spans="1:14" x14ac:dyDescent="0.2">
      <c r="A1020" s="84"/>
      <c r="B1020" s="84"/>
      <c r="C1020" s="60"/>
      <c r="D1020" s="66"/>
      <c r="E1020" s="66"/>
      <c r="F1020" s="66"/>
      <c r="G1020" s="66"/>
      <c r="H1020" s="66"/>
      <c r="I1020" s="66"/>
      <c r="J1020" s="66"/>
      <c r="K1020" s="66"/>
      <c r="L1020" s="66"/>
      <c r="M1020" s="66"/>
      <c r="N1020" s="66"/>
    </row>
    <row r="1021" spans="1:14" x14ac:dyDescent="0.2">
      <c r="A1021" s="84"/>
      <c r="B1021" s="84"/>
      <c r="C1021" s="60"/>
      <c r="D1021" s="66"/>
      <c r="E1021" s="66"/>
      <c r="F1021" s="66"/>
      <c r="G1021" s="66"/>
      <c r="H1021" s="66"/>
      <c r="I1021" s="66"/>
      <c r="J1021" s="66"/>
      <c r="K1021" s="66"/>
      <c r="L1021" s="66"/>
      <c r="M1021" s="66"/>
      <c r="N1021" s="66"/>
    </row>
    <row r="1022" spans="1:14" x14ac:dyDescent="0.2">
      <c r="A1022" s="84"/>
      <c r="B1022" s="84"/>
      <c r="C1022" s="60"/>
      <c r="D1022" s="66"/>
      <c r="E1022" s="66"/>
      <c r="F1022" s="66"/>
      <c r="G1022" s="66"/>
      <c r="H1022" s="66"/>
      <c r="I1022" s="66"/>
      <c r="J1022" s="66"/>
      <c r="K1022" s="66"/>
      <c r="L1022" s="66"/>
      <c r="M1022" s="66"/>
      <c r="N1022" s="66"/>
    </row>
    <row r="1023" spans="1:14" x14ac:dyDescent="0.2">
      <c r="A1023" s="84"/>
      <c r="B1023" s="84"/>
      <c r="C1023" s="60"/>
      <c r="D1023" s="66"/>
      <c r="E1023" s="66"/>
      <c r="F1023" s="66"/>
      <c r="G1023" s="66"/>
      <c r="H1023" s="66"/>
      <c r="I1023" s="66"/>
      <c r="J1023" s="66"/>
      <c r="K1023" s="66"/>
      <c r="L1023" s="66"/>
      <c r="M1023" s="66"/>
      <c r="N1023" s="66"/>
    </row>
    <row r="1024" spans="1:14" x14ac:dyDescent="0.2">
      <c r="A1024" s="84"/>
      <c r="B1024" s="84"/>
      <c r="C1024" s="60"/>
      <c r="D1024" s="66"/>
      <c r="E1024" s="66"/>
      <c r="F1024" s="66"/>
      <c r="G1024" s="66"/>
      <c r="H1024" s="66"/>
      <c r="I1024" s="66"/>
      <c r="J1024" s="66"/>
      <c r="K1024" s="66"/>
      <c r="L1024" s="66"/>
      <c r="M1024" s="66"/>
      <c r="N1024" s="66"/>
    </row>
    <row r="1025" spans="1:14" x14ac:dyDescent="0.2">
      <c r="A1025" s="84"/>
      <c r="B1025" s="84"/>
      <c r="C1025" s="60"/>
      <c r="D1025" s="66"/>
      <c r="E1025" s="66"/>
      <c r="F1025" s="66"/>
      <c r="G1025" s="66"/>
      <c r="H1025" s="66"/>
      <c r="I1025" s="66"/>
      <c r="J1025" s="66"/>
      <c r="K1025" s="66"/>
      <c r="L1025" s="66"/>
      <c r="M1025" s="66"/>
      <c r="N1025" s="66"/>
    </row>
    <row r="1026" spans="1:14" x14ac:dyDescent="0.2">
      <c r="A1026" s="84"/>
      <c r="B1026" s="84"/>
      <c r="C1026" s="60"/>
      <c r="D1026" s="66"/>
      <c r="E1026" s="66"/>
      <c r="F1026" s="66"/>
      <c r="G1026" s="66"/>
      <c r="H1026" s="66"/>
      <c r="I1026" s="66"/>
      <c r="J1026" s="66"/>
      <c r="K1026" s="66"/>
      <c r="L1026" s="66"/>
      <c r="M1026" s="66"/>
      <c r="N1026" s="66"/>
    </row>
    <row r="1027" spans="1:14" x14ac:dyDescent="0.2">
      <c r="A1027" s="84"/>
      <c r="B1027" s="84"/>
      <c r="C1027" s="60"/>
      <c r="D1027" s="66"/>
      <c r="E1027" s="66"/>
      <c r="F1027" s="66"/>
      <c r="G1027" s="66"/>
      <c r="H1027" s="66"/>
      <c r="I1027" s="66"/>
      <c r="J1027" s="66"/>
      <c r="K1027" s="66"/>
      <c r="L1027" s="66"/>
      <c r="M1027" s="66"/>
      <c r="N1027" s="66"/>
    </row>
    <row r="1028" spans="1:14" x14ac:dyDescent="0.2">
      <c r="A1028" s="84"/>
      <c r="B1028" s="84"/>
      <c r="C1028" s="60"/>
      <c r="D1028" s="66"/>
      <c r="E1028" s="66"/>
      <c r="F1028" s="66"/>
      <c r="G1028" s="66"/>
      <c r="H1028" s="66"/>
      <c r="I1028" s="66"/>
      <c r="J1028" s="66"/>
      <c r="K1028" s="66"/>
      <c r="L1028" s="66"/>
      <c r="M1028" s="66"/>
      <c r="N1028" s="66"/>
    </row>
    <row r="1029" spans="1:14" x14ac:dyDescent="0.2">
      <c r="A1029" s="84"/>
      <c r="B1029" s="84"/>
      <c r="C1029" s="60"/>
      <c r="D1029" s="66"/>
      <c r="E1029" s="66"/>
      <c r="F1029" s="66"/>
      <c r="G1029" s="66"/>
      <c r="H1029" s="66"/>
      <c r="I1029" s="66"/>
      <c r="J1029" s="66"/>
      <c r="K1029" s="66"/>
      <c r="L1029" s="66"/>
      <c r="M1029" s="66"/>
      <c r="N1029" s="66"/>
    </row>
    <row r="1030" spans="1:14" x14ac:dyDescent="0.2">
      <c r="A1030" s="84"/>
      <c r="B1030" s="84"/>
      <c r="C1030" s="60"/>
      <c r="D1030" s="66"/>
      <c r="E1030" s="66"/>
      <c r="F1030" s="66"/>
      <c r="G1030" s="66"/>
      <c r="H1030" s="66"/>
      <c r="I1030" s="66"/>
      <c r="J1030" s="66"/>
      <c r="K1030" s="66"/>
      <c r="L1030" s="66"/>
      <c r="M1030" s="66"/>
      <c r="N1030" s="66"/>
    </row>
    <row r="1031" spans="1:14" x14ac:dyDescent="0.2">
      <c r="A1031" s="84"/>
      <c r="B1031" s="84"/>
      <c r="C1031" s="60"/>
      <c r="D1031" s="66"/>
      <c r="E1031" s="66"/>
      <c r="F1031" s="66"/>
      <c r="G1031" s="66"/>
      <c r="H1031" s="66"/>
      <c r="I1031" s="66"/>
      <c r="J1031" s="66"/>
      <c r="K1031" s="66"/>
      <c r="L1031" s="66"/>
      <c r="M1031" s="66"/>
      <c r="N1031" s="66"/>
    </row>
    <row r="1032" spans="1:14" x14ac:dyDescent="0.2">
      <c r="A1032" s="84"/>
      <c r="B1032" s="84"/>
      <c r="C1032" s="60"/>
      <c r="D1032" s="66"/>
      <c r="E1032" s="66"/>
      <c r="F1032" s="66"/>
      <c r="G1032" s="66"/>
      <c r="H1032" s="66"/>
      <c r="I1032" s="66"/>
      <c r="J1032" s="66"/>
      <c r="K1032" s="66"/>
      <c r="L1032" s="66"/>
      <c r="M1032" s="66"/>
      <c r="N1032" s="66"/>
    </row>
    <row r="1033" spans="1:14" x14ac:dyDescent="0.2">
      <c r="A1033" s="84"/>
      <c r="B1033" s="84"/>
      <c r="C1033" s="60"/>
      <c r="D1033" s="66"/>
      <c r="E1033" s="66"/>
      <c r="F1033" s="66"/>
      <c r="G1033" s="66"/>
      <c r="H1033" s="66"/>
      <c r="I1033" s="66"/>
      <c r="J1033" s="66"/>
      <c r="K1033" s="66"/>
      <c r="L1033" s="66"/>
      <c r="M1033" s="66"/>
      <c r="N1033" s="66"/>
    </row>
    <row r="1034" spans="1:14" x14ac:dyDescent="0.2">
      <c r="A1034" s="84"/>
      <c r="B1034" s="84"/>
      <c r="C1034" s="60"/>
      <c r="D1034" s="66"/>
      <c r="E1034" s="66"/>
      <c r="F1034" s="66"/>
      <c r="G1034" s="66"/>
      <c r="H1034" s="66"/>
      <c r="I1034" s="66"/>
      <c r="J1034" s="66"/>
      <c r="K1034" s="66"/>
      <c r="L1034" s="66"/>
      <c r="M1034" s="66"/>
      <c r="N1034" s="66"/>
    </row>
    <row r="1035" spans="1:14" x14ac:dyDescent="0.2">
      <c r="A1035" s="84"/>
      <c r="B1035" s="84"/>
      <c r="C1035" s="60"/>
      <c r="D1035" s="66"/>
      <c r="E1035" s="66"/>
      <c r="F1035" s="66"/>
      <c r="G1035" s="66"/>
      <c r="H1035" s="66"/>
      <c r="I1035" s="66"/>
      <c r="J1035" s="66"/>
      <c r="K1035" s="66"/>
      <c r="L1035" s="66"/>
      <c r="M1035" s="66"/>
      <c r="N1035" s="66"/>
    </row>
    <row r="1036" spans="1:14" x14ac:dyDescent="0.2">
      <c r="A1036" s="84"/>
      <c r="B1036" s="84"/>
      <c r="C1036" s="60"/>
      <c r="D1036" s="66"/>
      <c r="E1036" s="66"/>
      <c r="F1036" s="66"/>
      <c r="G1036" s="66"/>
      <c r="H1036" s="66"/>
      <c r="I1036" s="66"/>
      <c r="J1036" s="66"/>
      <c r="K1036" s="66"/>
      <c r="L1036" s="66"/>
      <c r="M1036" s="66"/>
      <c r="N1036" s="66"/>
    </row>
    <row r="1037" spans="1:14" x14ac:dyDescent="0.2">
      <c r="A1037" s="84"/>
      <c r="B1037" s="84"/>
      <c r="C1037" s="60"/>
      <c r="D1037" s="66"/>
      <c r="E1037" s="66"/>
      <c r="F1037" s="66"/>
      <c r="G1037" s="66"/>
      <c r="H1037" s="66"/>
      <c r="I1037" s="66"/>
      <c r="J1037" s="66"/>
      <c r="K1037" s="66"/>
      <c r="L1037" s="66"/>
      <c r="M1037" s="66"/>
      <c r="N1037" s="66"/>
    </row>
    <row r="1038" spans="1:14" x14ac:dyDescent="0.2">
      <c r="A1038" s="84"/>
      <c r="B1038" s="84"/>
      <c r="C1038" s="60"/>
      <c r="D1038" s="66"/>
      <c r="E1038" s="66"/>
      <c r="F1038" s="66"/>
      <c r="G1038" s="66"/>
      <c r="H1038" s="66"/>
      <c r="I1038" s="66"/>
      <c r="J1038" s="66"/>
      <c r="K1038" s="66"/>
      <c r="L1038" s="66"/>
      <c r="M1038" s="66"/>
      <c r="N1038" s="66"/>
    </row>
    <row r="1039" spans="1:14" x14ac:dyDescent="0.2">
      <c r="A1039" s="84"/>
      <c r="B1039" s="84"/>
      <c r="C1039" s="60"/>
      <c r="D1039" s="66"/>
      <c r="E1039" s="66"/>
      <c r="F1039" s="66"/>
      <c r="G1039" s="66"/>
      <c r="H1039" s="66"/>
      <c r="I1039" s="66"/>
      <c r="J1039" s="66"/>
      <c r="K1039" s="66"/>
      <c r="L1039" s="66"/>
      <c r="M1039" s="66"/>
      <c r="N1039" s="66"/>
    </row>
    <row r="1040" spans="1:14" x14ac:dyDescent="0.2">
      <c r="A1040" s="84"/>
      <c r="B1040" s="84"/>
      <c r="C1040" s="60"/>
      <c r="D1040" s="66"/>
      <c r="E1040" s="66"/>
      <c r="F1040" s="66"/>
      <c r="G1040" s="66"/>
      <c r="H1040" s="66"/>
      <c r="I1040" s="66"/>
      <c r="J1040" s="66"/>
      <c r="K1040" s="66"/>
      <c r="L1040" s="66"/>
      <c r="M1040" s="66"/>
      <c r="N1040" s="66"/>
    </row>
    <row r="1041" spans="1:14" x14ac:dyDescent="0.2">
      <c r="A1041" s="84"/>
      <c r="B1041" s="84"/>
      <c r="C1041" s="60"/>
      <c r="D1041" s="66"/>
      <c r="E1041" s="66"/>
      <c r="F1041" s="66"/>
      <c r="G1041" s="66"/>
      <c r="H1041" s="66"/>
      <c r="I1041" s="66"/>
      <c r="J1041" s="66"/>
      <c r="K1041" s="66"/>
      <c r="L1041" s="66"/>
      <c r="M1041" s="66"/>
      <c r="N1041" s="66"/>
    </row>
    <row r="1042" spans="1:14" x14ac:dyDescent="0.2">
      <c r="A1042" s="84"/>
      <c r="B1042" s="84"/>
      <c r="C1042" s="60"/>
      <c r="D1042" s="66"/>
      <c r="E1042" s="66"/>
      <c r="F1042" s="66"/>
      <c r="G1042" s="66"/>
      <c r="H1042" s="66"/>
      <c r="I1042" s="66"/>
      <c r="J1042" s="66"/>
      <c r="K1042" s="66"/>
      <c r="L1042" s="66"/>
      <c r="M1042" s="66"/>
      <c r="N1042" s="66"/>
    </row>
    <row r="1043" spans="1:14" x14ac:dyDescent="0.2">
      <c r="A1043" s="84"/>
      <c r="B1043" s="84"/>
      <c r="C1043" s="60"/>
      <c r="D1043" s="66"/>
      <c r="E1043" s="66"/>
      <c r="F1043" s="66"/>
      <c r="G1043" s="66"/>
      <c r="H1043" s="66"/>
      <c r="I1043" s="66"/>
      <c r="J1043" s="66"/>
      <c r="K1043" s="66"/>
      <c r="L1043" s="66"/>
      <c r="M1043" s="66"/>
      <c r="N1043" s="66"/>
    </row>
    <row r="1044" spans="1:14" x14ac:dyDescent="0.2">
      <c r="A1044" s="84"/>
      <c r="B1044" s="84"/>
      <c r="C1044" s="60"/>
      <c r="D1044" s="66"/>
      <c r="E1044" s="66"/>
      <c r="F1044" s="66"/>
      <c r="G1044" s="66"/>
      <c r="H1044" s="66"/>
      <c r="I1044" s="66"/>
      <c r="J1044" s="66"/>
      <c r="K1044" s="66"/>
      <c r="L1044" s="66"/>
      <c r="M1044" s="66"/>
      <c r="N1044" s="66"/>
    </row>
    <row r="1045" spans="1:14" x14ac:dyDescent="0.2">
      <c r="A1045" s="84"/>
      <c r="B1045" s="84"/>
      <c r="C1045" s="60"/>
      <c r="D1045" s="66"/>
      <c r="E1045" s="66"/>
      <c r="F1045" s="66"/>
      <c r="G1045" s="66"/>
      <c r="H1045" s="66"/>
      <c r="I1045" s="66"/>
      <c r="J1045" s="66"/>
      <c r="K1045" s="66"/>
      <c r="L1045" s="66"/>
      <c r="M1045" s="66"/>
      <c r="N1045" s="66"/>
    </row>
    <row r="1046" spans="1:14" x14ac:dyDescent="0.2">
      <c r="A1046" s="84"/>
      <c r="B1046" s="84"/>
      <c r="C1046" s="60"/>
      <c r="D1046" s="66"/>
      <c r="E1046" s="66"/>
      <c r="F1046" s="66"/>
      <c r="G1046" s="66"/>
      <c r="H1046" s="66"/>
      <c r="I1046" s="66"/>
      <c r="J1046" s="66"/>
      <c r="K1046" s="66"/>
      <c r="L1046" s="66"/>
      <c r="M1046" s="66"/>
      <c r="N1046" s="66"/>
    </row>
    <row r="1047" spans="1:14" x14ac:dyDescent="0.2">
      <c r="A1047" s="84"/>
      <c r="B1047" s="84"/>
      <c r="C1047" s="60"/>
      <c r="D1047" s="66"/>
      <c r="E1047" s="66"/>
      <c r="F1047" s="66"/>
      <c r="G1047" s="66"/>
      <c r="H1047" s="66"/>
      <c r="I1047" s="66"/>
      <c r="J1047" s="66"/>
      <c r="K1047" s="66"/>
      <c r="L1047" s="66"/>
      <c r="M1047" s="66"/>
      <c r="N1047" s="66"/>
    </row>
    <row r="1048" spans="1:14" x14ac:dyDescent="0.2">
      <c r="A1048" s="84"/>
      <c r="B1048" s="84"/>
      <c r="C1048" s="60"/>
      <c r="D1048" s="66"/>
      <c r="E1048" s="66"/>
      <c r="F1048" s="66"/>
      <c r="G1048" s="66"/>
      <c r="H1048" s="66"/>
      <c r="I1048" s="66"/>
      <c r="J1048" s="66"/>
      <c r="K1048" s="66"/>
      <c r="L1048" s="66"/>
      <c r="M1048" s="66"/>
      <c r="N1048" s="66"/>
    </row>
    <row r="1049" spans="1:14" x14ac:dyDescent="0.2">
      <c r="A1049" s="84"/>
      <c r="B1049" s="84"/>
      <c r="C1049" s="60"/>
      <c r="D1049" s="66"/>
      <c r="E1049" s="66"/>
      <c r="F1049" s="66"/>
      <c r="G1049" s="66"/>
      <c r="H1049" s="66"/>
      <c r="I1049" s="66"/>
      <c r="J1049" s="66"/>
      <c r="K1049" s="66"/>
      <c r="L1049" s="66"/>
      <c r="M1049" s="66"/>
      <c r="N1049" s="66"/>
    </row>
    <row r="1050" spans="1:14" x14ac:dyDescent="0.2">
      <c r="A1050" s="84"/>
      <c r="B1050" s="84"/>
      <c r="C1050" s="60"/>
      <c r="D1050" s="66"/>
      <c r="E1050" s="66"/>
      <c r="F1050" s="66"/>
      <c r="G1050" s="66"/>
      <c r="H1050" s="66"/>
      <c r="I1050" s="66"/>
      <c r="J1050" s="66"/>
      <c r="K1050" s="66"/>
      <c r="L1050" s="66"/>
      <c r="M1050" s="66"/>
      <c r="N1050" s="66"/>
    </row>
    <row r="1051" spans="1:14" x14ac:dyDescent="0.2">
      <c r="A1051" s="84"/>
      <c r="B1051" s="84"/>
      <c r="C1051" s="60"/>
      <c r="D1051" s="66"/>
      <c r="E1051" s="66"/>
      <c r="F1051" s="66"/>
      <c r="G1051" s="66"/>
      <c r="H1051" s="66"/>
      <c r="I1051" s="66"/>
      <c r="J1051" s="66"/>
      <c r="K1051" s="66"/>
      <c r="L1051" s="66"/>
      <c r="M1051" s="66"/>
      <c r="N1051" s="66"/>
    </row>
    <row r="1052" spans="1:14" x14ac:dyDescent="0.2">
      <c r="A1052" s="84"/>
      <c r="B1052" s="84"/>
      <c r="C1052" s="60"/>
      <c r="D1052" s="66"/>
      <c r="E1052" s="66"/>
      <c r="F1052" s="66"/>
      <c r="G1052" s="66"/>
      <c r="H1052" s="66"/>
      <c r="I1052" s="66"/>
      <c r="J1052" s="66"/>
      <c r="K1052" s="66"/>
      <c r="L1052" s="66"/>
      <c r="M1052" s="66"/>
      <c r="N1052" s="66"/>
    </row>
    <row r="1053" spans="1:14" x14ac:dyDescent="0.2">
      <c r="A1053" s="84"/>
      <c r="B1053" s="84"/>
      <c r="C1053" s="60"/>
      <c r="D1053" s="66"/>
      <c r="E1053" s="66"/>
      <c r="F1053" s="66"/>
      <c r="G1053" s="66"/>
      <c r="H1053" s="66"/>
      <c r="I1053" s="66"/>
      <c r="J1053" s="66"/>
      <c r="K1053" s="66"/>
      <c r="L1053" s="66"/>
      <c r="M1053" s="66"/>
      <c r="N1053" s="66"/>
    </row>
    <row r="1054" spans="1:14" x14ac:dyDescent="0.2">
      <c r="A1054" s="84"/>
      <c r="B1054" s="84"/>
      <c r="C1054" s="60"/>
      <c r="D1054" s="66"/>
      <c r="E1054" s="66"/>
      <c r="F1054" s="66"/>
      <c r="G1054" s="66"/>
      <c r="H1054" s="66"/>
      <c r="I1054" s="66"/>
      <c r="J1054" s="66"/>
      <c r="K1054" s="66"/>
      <c r="L1054" s="66"/>
      <c r="M1054" s="66"/>
      <c r="N1054" s="66"/>
    </row>
    <row r="1055" spans="1:14" x14ac:dyDescent="0.2">
      <c r="A1055" s="84"/>
      <c r="B1055" s="84"/>
      <c r="C1055" s="60"/>
      <c r="D1055" s="66"/>
      <c r="E1055" s="66"/>
      <c r="F1055" s="66"/>
      <c r="G1055" s="66"/>
      <c r="H1055" s="66"/>
      <c r="I1055" s="66"/>
      <c r="J1055" s="66"/>
      <c r="K1055" s="66"/>
      <c r="L1055" s="66"/>
      <c r="M1055" s="66"/>
      <c r="N1055" s="66"/>
    </row>
    <row r="1056" spans="1:14" x14ac:dyDescent="0.2">
      <c r="A1056" s="84"/>
      <c r="B1056" s="84"/>
      <c r="C1056" s="60"/>
      <c r="D1056" s="66"/>
      <c r="E1056" s="66"/>
      <c r="F1056" s="66"/>
      <c r="G1056" s="66"/>
      <c r="H1056" s="66"/>
      <c r="I1056" s="66"/>
      <c r="J1056" s="66"/>
      <c r="K1056" s="66"/>
      <c r="L1056" s="66"/>
      <c r="M1056" s="66"/>
      <c r="N1056" s="66"/>
    </row>
    <row r="1057" spans="1:14" x14ac:dyDescent="0.2">
      <c r="A1057" s="84"/>
      <c r="B1057" s="84"/>
      <c r="C1057" s="60"/>
      <c r="D1057" s="66"/>
      <c r="E1057" s="66"/>
      <c r="F1057" s="66"/>
      <c r="G1057" s="66"/>
      <c r="H1057" s="66"/>
      <c r="I1057" s="66"/>
      <c r="J1057" s="66"/>
      <c r="K1057" s="66"/>
      <c r="L1057" s="66"/>
      <c r="M1057" s="66"/>
      <c r="N1057" s="66"/>
    </row>
    <row r="1058" spans="1:14" x14ac:dyDescent="0.2">
      <c r="A1058" s="84"/>
      <c r="B1058" s="84"/>
      <c r="C1058" s="60"/>
      <c r="D1058" s="66"/>
      <c r="E1058" s="66"/>
      <c r="F1058" s="66"/>
      <c r="G1058" s="66"/>
      <c r="H1058" s="66"/>
      <c r="I1058" s="66"/>
      <c r="J1058" s="66"/>
      <c r="K1058" s="66"/>
      <c r="L1058" s="66"/>
      <c r="M1058" s="66"/>
      <c r="N1058" s="66"/>
    </row>
    <row r="1059" spans="1:14" x14ac:dyDescent="0.2">
      <c r="A1059" s="84"/>
      <c r="B1059" s="84"/>
      <c r="C1059" s="60"/>
      <c r="D1059" s="66"/>
      <c r="E1059" s="66"/>
      <c r="F1059" s="66"/>
      <c r="G1059" s="66"/>
      <c r="H1059" s="66"/>
      <c r="I1059" s="66"/>
      <c r="J1059" s="66"/>
      <c r="K1059" s="66"/>
      <c r="L1059" s="66"/>
      <c r="M1059" s="66"/>
      <c r="N1059" s="66"/>
    </row>
    <row r="1060" spans="1:14" x14ac:dyDescent="0.2">
      <c r="A1060" s="84"/>
      <c r="B1060" s="84"/>
      <c r="C1060" s="60"/>
      <c r="D1060" s="66"/>
      <c r="E1060" s="66"/>
      <c r="F1060" s="66"/>
      <c r="G1060" s="66"/>
      <c r="H1060" s="66"/>
      <c r="I1060" s="66"/>
      <c r="J1060" s="66"/>
      <c r="K1060" s="66"/>
      <c r="L1060" s="66"/>
      <c r="M1060" s="66"/>
      <c r="N1060" s="66"/>
    </row>
    <row r="1061" spans="1:14" x14ac:dyDescent="0.2">
      <c r="A1061" s="84"/>
      <c r="B1061" s="84"/>
      <c r="C1061" s="60"/>
      <c r="D1061" s="66"/>
      <c r="E1061" s="66"/>
      <c r="F1061" s="66"/>
      <c r="G1061" s="66"/>
      <c r="H1061" s="66"/>
      <c r="I1061" s="66"/>
      <c r="J1061" s="66"/>
      <c r="K1061" s="66"/>
      <c r="L1061" s="66"/>
      <c r="M1061" s="66"/>
      <c r="N1061" s="66"/>
    </row>
    <row r="1062" spans="1:14" x14ac:dyDescent="0.2">
      <c r="A1062" s="84"/>
      <c r="B1062" s="84"/>
      <c r="C1062" s="60"/>
      <c r="D1062" s="66"/>
      <c r="E1062" s="66"/>
      <c r="F1062" s="66"/>
      <c r="G1062" s="66"/>
      <c r="H1062" s="66"/>
      <c r="I1062" s="66"/>
      <c r="J1062" s="66"/>
      <c r="K1062" s="66"/>
      <c r="L1062" s="66"/>
      <c r="M1062" s="66"/>
      <c r="N1062" s="66"/>
    </row>
    <row r="1063" spans="1:14" x14ac:dyDescent="0.2">
      <c r="A1063" s="84"/>
      <c r="B1063" s="84"/>
      <c r="C1063" s="60"/>
      <c r="D1063" s="66"/>
      <c r="E1063" s="66"/>
      <c r="F1063" s="66"/>
      <c r="G1063" s="66"/>
      <c r="H1063" s="66"/>
      <c r="I1063" s="66"/>
      <c r="J1063" s="66"/>
      <c r="K1063" s="66"/>
      <c r="L1063" s="66"/>
      <c r="M1063" s="66"/>
      <c r="N1063" s="66"/>
    </row>
    <row r="1064" spans="1:14" x14ac:dyDescent="0.2">
      <c r="A1064" s="84"/>
      <c r="B1064" s="84"/>
      <c r="C1064" s="60"/>
      <c r="D1064" s="66"/>
      <c r="E1064" s="66"/>
      <c r="F1064" s="66"/>
      <c r="G1064" s="66"/>
      <c r="H1064" s="66"/>
      <c r="I1064" s="66"/>
      <c r="J1064" s="66"/>
      <c r="K1064" s="66"/>
      <c r="L1064" s="66"/>
      <c r="M1064" s="66"/>
      <c r="N1064" s="66"/>
    </row>
    <row r="1065" spans="1:14" x14ac:dyDescent="0.2">
      <c r="A1065" s="84"/>
      <c r="B1065" s="84"/>
      <c r="C1065" s="60"/>
      <c r="D1065" s="66"/>
      <c r="E1065" s="66"/>
      <c r="F1065" s="66"/>
      <c r="G1065" s="66"/>
      <c r="H1065" s="66"/>
      <c r="I1065" s="66"/>
      <c r="J1065" s="66"/>
      <c r="K1065" s="66"/>
      <c r="L1065" s="66"/>
      <c r="M1065" s="66"/>
      <c r="N1065" s="66"/>
    </row>
    <row r="1066" spans="1:14" x14ac:dyDescent="0.2">
      <c r="A1066" s="84"/>
      <c r="B1066" s="84"/>
      <c r="C1066" s="60"/>
      <c r="D1066" s="66"/>
      <c r="E1066" s="66"/>
      <c r="F1066" s="66"/>
      <c r="G1066" s="66"/>
      <c r="H1066" s="66"/>
      <c r="I1066" s="66"/>
      <c r="J1066" s="66"/>
      <c r="K1066" s="66"/>
      <c r="L1066" s="66"/>
      <c r="M1066" s="66"/>
      <c r="N1066" s="66"/>
    </row>
    <row r="1067" spans="1:14" x14ac:dyDescent="0.2">
      <c r="A1067" s="84"/>
      <c r="B1067" s="84"/>
      <c r="C1067" s="60"/>
      <c r="D1067" s="66"/>
      <c r="E1067" s="66"/>
      <c r="F1067" s="66"/>
      <c r="G1067" s="66"/>
      <c r="H1067" s="66"/>
      <c r="I1067" s="66"/>
      <c r="J1067" s="66"/>
      <c r="K1067" s="66"/>
      <c r="L1067" s="66"/>
      <c r="M1067" s="66"/>
      <c r="N1067" s="66"/>
    </row>
    <row r="1068" spans="1:14" x14ac:dyDescent="0.2">
      <c r="A1068" s="84"/>
      <c r="B1068" s="84"/>
      <c r="C1068" s="60"/>
      <c r="D1068" s="66"/>
      <c r="E1068" s="66"/>
      <c r="F1068" s="66"/>
      <c r="G1068" s="66"/>
      <c r="H1068" s="66"/>
      <c r="I1068" s="66"/>
      <c r="J1068" s="66"/>
      <c r="K1068" s="66"/>
      <c r="L1068" s="66"/>
      <c r="M1068" s="66"/>
      <c r="N1068" s="66"/>
    </row>
    <row r="1069" spans="1:14" x14ac:dyDescent="0.2">
      <c r="A1069" s="84"/>
      <c r="B1069" s="84"/>
      <c r="C1069" s="60"/>
      <c r="D1069" s="66"/>
      <c r="E1069" s="66"/>
      <c r="F1069" s="66"/>
      <c r="G1069" s="66"/>
      <c r="H1069" s="66"/>
      <c r="I1069" s="66"/>
      <c r="J1069" s="66"/>
      <c r="K1069" s="66"/>
      <c r="L1069" s="66"/>
      <c r="M1069" s="66"/>
      <c r="N1069" s="66"/>
    </row>
    <row r="1070" spans="1:14" x14ac:dyDescent="0.2">
      <c r="A1070" s="84"/>
      <c r="B1070" s="84"/>
      <c r="C1070" s="60"/>
      <c r="D1070" s="66"/>
      <c r="E1070" s="66"/>
      <c r="F1070" s="66"/>
      <c r="G1070" s="66"/>
      <c r="H1070" s="66"/>
      <c r="I1070" s="66"/>
      <c r="J1070" s="66"/>
      <c r="K1070" s="66"/>
      <c r="L1070" s="66"/>
      <c r="M1070" s="66"/>
      <c r="N1070" s="66"/>
    </row>
    <row r="1071" spans="1:14" x14ac:dyDescent="0.2">
      <c r="A1071" s="84"/>
      <c r="B1071" s="84"/>
      <c r="C1071" s="60"/>
      <c r="D1071" s="66"/>
      <c r="E1071" s="66"/>
      <c r="F1071" s="66"/>
      <c r="G1071" s="66"/>
      <c r="H1071" s="66"/>
      <c r="I1071" s="66"/>
      <c r="J1071" s="66"/>
      <c r="K1071" s="66"/>
      <c r="L1071" s="66"/>
      <c r="M1071" s="66"/>
      <c r="N1071" s="66"/>
    </row>
    <row r="1072" spans="1:14" x14ac:dyDescent="0.2">
      <c r="A1072" s="84"/>
      <c r="B1072" s="84"/>
      <c r="C1072" s="60"/>
      <c r="D1072" s="66"/>
      <c r="E1072" s="66"/>
      <c r="F1072" s="66"/>
      <c r="G1072" s="66"/>
      <c r="H1072" s="66"/>
      <c r="I1072" s="66"/>
      <c r="J1072" s="66"/>
      <c r="K1072" s="66"/>
      <c r="L1072" s="66"/>
      <c r="M1072" s="66"/>
      <c r="N1072" s="66"/>
    </row>
    <row r="1073" spans="1:14" x14ac:dyDescent="0.2">
      <c r="A1073" s="84"/>
      <c r="B1073" s="84"/>
      <c r="C1073" s="60"/>
      <c r="D1073" s="66"/>
      <c r="E1073" s="66"/>
      <c r="F1073" s="66"/>
      <c r="G1073" s="66"/>
      <c r="H1073" s="66"/>
      <c r="I1073" s="66"/>
      <c r="J1073" s="66"/>
      <c r="K1073" s="66"/>
      <c r="L1073" s="66"/>
      <c r="M1073" s="66"/>
      <c r="N1073" s="66"/>
    </row>
    <row r="1074" spans="1:14" x14ac:dyDescent="0.2">
      <c r="A1074" s="84"/>
      <c r="B1074" s="84"/>
      <c r="C1074" s="60"/>
      <c r="D1074" s="66"/>
      <c r="E1074" s="66"/>
      <c r="F1074" s="66"/>
      <c r="G1074" s="66"/>
      <c r="H1074" s="66"/>
      <c r="I1074" s="66"/>
      <c r="J1074" s="66"/>
      <c r="K1074" s="66"/>
      <c r="L1074" s="66"/>
      <c r="M1074" s="66"/>
      <c r="N1074" s="66"/>
    </row>
    <row r="1075" spans="1:14" x14ac:dyDescent="0.2">
      <c r="A1075" s="84"/>
      <c r="B1075" s="84"/>
      <c r="C1075" s="60"/>
      <c r="D1075" s="66"/>
      <c r="E1075" s="66"/>
      <c r="F1075" s="66"/>
      <c r="G1075" s="66"/>
      <c r="H1075" s="66"/>
      <c r="I1075" s="66"/>
      <c r="J1075" s="66"/>
      <c r="K1075" s="66"/>
      <c r="L1075" s="66"/>
      <c r="M1075" s="66"/>
      <c r="N1075" s="66"/>
    </row>
    <row r="1076" spans="1:14" x14ac:dyDescent="0.2">
      <c r="A1076" s="84"/>
      <c r="B1076" s="84"/>
      <c r="C1076" s="60"/>
      <c r="D1076" s="66"/>
      <c r="E1076" s="66"/>
      <c r="F1076" s="66"/>
      <c r="G1076" s="66"/>
      <c r="H1076" s="66"/>
      <c r="I1076" s="66"/>
      <c r="J1076" s="66"/>
      <c r="K1076" s="66"/>
      <c r="L1076" s="66"/>
      <c r="M1076" s="66"/>
      <c r="N1076" s="66"/>
    </row>
    <row r="1077" spans="1:14" x14ac:dyDescent="0.2">
      <c r="A1077" s="84"/>
      <c r="B1077" s="84"/>
      <c r="C1077" s="60"/>
      <c r="D1077" s="66"/>
      <c r="E1077" s="66"/>
      <c r="F1077" s="66"/>
      <c r="G1077" s="66"/>
      <c r="H1077" s="66"/>
      <c r="I1077" s="66"/>
      <c r="J1077" s="66"/>
      <c r="K1077" s="66"/>
      <c r="L1077" s="66"/>
      <c r="M1077" s="66"/>
      <c r="N1077" s="66"/>
    </row>
    <row r="1078" spans="1:14" x14ac:dyDescent="0.2">
      <c r="A1078" s="84"/>
      <c r="B1078" s="84"/>
      <c r="C1078" s="60"/>
      <c r="D1078" s="66"/>
      <c r="E1078" s="66"/>
      <c r="F1078" s="66"/>
      <c r="G1078" s="66"/>
      <c r="H1078" s="66"/>
      <c r="I1078" s="66"/>
      <c r="J1078" s="66"/>
      <c r="K1078" s="66"/>
      <c r="L1078" s="66"/>
      <c r="M1078" s="66"/>
      <c r="N1078" s="66"/>
    </row>
    <row r="1079" spans="1:14" x14ac:dyDescent="0.2">
      <c r="A1079" s="84"/>
      <c r="B1079" s="84"/>
      <c r="C1079" s="60"/>
      <c r="D1079" s="66"/>
      <c r="E1079" s="66"/>
      <c r="F1079" s="66"/>
      <c r="G1079" s="66"/>
      <c r="H1079" s="66"/>
      <c r="I1079" s="66"/>
      <c r="J1079" s="66"/>
      <c r="K1079" s="66"/>
      <c r="L1079" s="66"/>
      <c r="M1079" s="66"/>
      <c r="N1079" s="66"/>
    </row>
    <row r="1080" spans="1:14" x14ac:dyDescent="0.2">
      <c r="A1080" s="84"/>
      <c r="B1080" s="84"/>
      <c r="C1080" s="60"/>
      <c r="D1080" s="66"/>
      <c r="E1080" s="66"/>
      <c r="F1080" s="66"/>
      <c r="G1080" s="66"/>
      <c r="H1080" s="66"/>
      <c r="I1080" s="66"/>
      <c r="J1080" s="66"/>
      <c r="K1080" s="66"/>
      <c r="L1080" s="66"/>
      <c r="M1080" s="66"/>
      <c r="N1080" s="66"/>
    </row>
    <row r="1081" spans="1:14" x14ac:dyDescent="0.2">
      <c r="A1081" s="84"/>
      <c r="B1081" s="84"/>
      <c r="C1081" s="60"/>
      <c r="D1081" s="66"/>
      <c r="E1081" s="66"/>
      <c r="F1081" s="66"/>
      <c r="G1081" s="66"/>
      <c r="H1081" s="66"/>
      <c r="I1081" s="66"/>
      <c r="J1081" s="66"/>
      <c r="K1081" s="66"/>
      <c r="L1081" s="66"/>
      <c r="M1081" s="66"/>
      <c r="N1081" s="66"/>
    </row>
    <row r="1082" spans="1:14" x14ac:dyDescent="0.2">
      <c r="A1082" s="84"/>
      <c r="B1082" s="84"/>
      <c r="C1082" s="60"/>
      <c r="D1082" s="66"/>
      <c r="E1082" s="66"/>
      <c r="F1082" s="66"/>
      <c r="G1082" s="66"/>
      <c r="H1082" s="66"/>
      <c r="I1082" s="66"/>
      <c r="J1082" s="66"/>
      <c r="K1082" s="66"/>
      <c r="L1082" s="66"/>
      <c r="M1082" s="66"/>
      <c r="N1082" s="66"/>
    </row>
    <row r="1083" spans="1:14" x14ac:dyDescent="0.2">
      <c r="A1083" s="84"/>
      <c r="B1083" s="84"/>
      <c r="C1083" s="60"/>
      <c r="D1083" s="66"/>
      <c r="E1083" s="66"/>
      <c r="F1083" s="66"/>
      <c r="G1083" s="66"/>
      <c r="H1083" s="66"/>
      <c r="I1083" s="66"/>
      <c r="J1083" s="66"/>
      <c r="K1083" s="66"/>
      <c r="L1083" s="66"/>
      <c r="M1083" s="66"/>
      <c r="N1083" s="66"/>
    </row>
    <row r="1084" spans="1:14" x14ac:dyDescent="0.2">
      <c r="A1084" s="84"/>
      <c r="B1084" s="84"/>
      <c r="C1084" s="60"/>
      <c r="D1084" s="66"/>
      <c r="E1084" s="66"/>
      <c r="F1084" s="66"/>
      <c r="G1084" s="66"/>
      <c r="H1084" s="66"/>
      <c r="I1084" s="66"/>
      <c r="J1084" s="66"/>
      <c r="K1084" s="66"/>
      <c r="L1084" s="66"/>
      <c r="M1084" s="66"/>
      <c r="N1084" s="66"/>
    </row>
    <row r="1085" spans="1:14" x14ac:dyDescent="0.2">
      <c r="A1085" s="84"/>
      <c r="B1085" s="84"/>
      <c r="C1085" s="60"/>
      <c r="D1085" s="66"/>
      <c r="E1085" s="66"/>
      <c r="F1085" s="66"/>
      <c r="G1085" s="66"/>
      <c r="H1085" s="66"/>
      <c r="I1085" s="66"/>
      <c r="J1085" s="66"/>
      <c r="K1085" s="66"/>
      <c r="L1085" s="66"/>
      <c r="M1085" s="66"/>
      <c r="N1085" s="66"/>
    </row>
    <row r="1086" spans="1:14" x14ac:dyDescent="0.2">
      <c r="A1086" s="84"/>
      <c r="B1086" s="84"/>
      <c r="C1086" s="60"/>
      <c r="D1086" s="66"/>
      <c r="E1086" s="66"/>
      <c r="F1086" s="66"/>
      <c r="G1086" s="66"/>
      <c r="H1086" s="66"/>
      <c r="I1086" s="66"/>
      <c r="J1086" s="66"/>
      <c r="K1086" s="66"/>
      <c r="L1086" s="66"/>
      <c r="M1086" s="66"/>
      <c r="N1086" s="66"/>
    </row>
    <row r="1087" spans="1:14" x14ac:dyDescent="0.2">
      <c r="A1087" s="84"/>
      <c r="B1087" s="84"/>
      <c r="C1087" s="60"/>
      <c r="D1087" s="66"/>
      <c r="E1087" s="66"/>
      <c r="F1087" s="66"/>
      <c r="G1087" s="66"/>
      <c r="H1087" s="66"/>
      <c r="I1087" s="66"/>
      <c r="J1087" s="66"/>
      <c r="K1087" s="66"/>
      <c r="L1087" s="66"/>
      <c r="M1087" s="66"/>
      <c r="N1087" s="66"/>
    </row>
    <row r="1088" spans="1:14" x14ac:dyDescent="0.2">
      <c r="A1088" s="84"/>
      <c r="B1088" s="84"/>
      <c r="C1088" s="60"/>
      <c r="D1088" s="66"/>
      <c r="E1088" s="66"/>
      <c r="F1088" s="66"/>
      <c r="G1088" s="66"/>
      <c r="H1088" s="66"/>
      <c r="I1088" s="66"/>
      <c r="J1088" s="66"/>
      <c r="K1088" s="66"/>
      <c r="L1088" s="66"/>
      <c r="M1088" s="66"/>
      <c r="N1088" s="66"/>
    </row>
    <row r="1089" spans="1:14" x14ac:dyDescent="0.2">
      <c r="A1089" s="84"/>
      <c r="B1089" s="84"/>
      <c r="C1089" s="60"/>
      <c r="D1089" s="66"/>
      <c r="E1089" s="66"/>
      <c r="F1089" s="66"/>
      <c r="G1089" s="66"/>
      <c r="H1089" s="66"/>
      <c r="I1089" s="66"/>
      <c r="J1089" s="66"/>
      <c r="K1089" s="66"/>
      <c r="L1089" s="66"/>
      <c r="M1089" s="66"/>
      <c r="N1089" s="66"/>
    </row>
    <row r="1090" spans="1:14" x14ac:dyDescent="0.2">
      <c r="A1090" s="84"/>
      <c r="B1090" s="84"/>
      <c r="C1090" s="60"/>
      <c r="D1090" s="66"/>
      <c r="E1090" s="66"/>
      <c r="F1090" s="66"/>
      <c r="G1090" s="66"/>
      <c r="H1090" s="66"/>
      <c r="I1090" s="66"/>
      <c r="J1090" s="66"/>
      <c r="K1090" s="66"/>
      <c r="L1090" s="66"/>
      <c r="M1090" s="66"/>
      <c r="N1090" s="66"/>
    </row>
    <row r="1091" spans="1:14" x14ac:dyDescent="0.2">
      <c r="A1091" s="84"/>
      <c r="B1091" s="84"/>
      <c r="C1091" s="60"/>
      <c r="D1091" s="66"/>
      <c r="E1091" s="66"/>
      <c r="F1091" s="66"/>
      <c r="G1091" s="66"/>
      <c r="H1091" s="66"/>
      <c r="I1091" s="66"/>
      <c r="J1091" s="66"/>
      <c r="K1091" s="66"/>
      <c r="L1091" s="66"/>
      <c r="M1091" s="66"/>
      <c r="N1091" s="66"/>
    </row>
    <row r="1092" spans="1:14" x14ac:dyDescent="0.2">
      <c r="A1092" s="84"/>
      <c r="B1092" s="84"/>
      <c r="C1092" s="60"/>
      <c r="D1092" s="66"/>
      <c r="E1092" s="66"/>
      <c r="F1092" s="66"/>
      <c r="G1092" s="66"/>
      <c r="H1092" s="66"/>
      <c r="I1092" s="66"/>
      <c r="J1092" s="66"/>
      <c r="K1092" s="66"/>
      <c r="L1092" s="66"/>
      <c r="M1092" s="66"/>
      <c r="N1092" s="66"/>
    </row>
    <row r="1093" spans="1:14" x14ac:dyDescent="0.2">
      <c r="A1093" s="84"/>
      <c r="B1093" s="84"/>
      <c r="C1093" s="60"/>
      <c r="D1093" s="66"/>
      <c r="E1093" s="66"/>
      <c r="F1093" s="66"/>
      <c r="G1093" s="66"/>
      <c r="H1093" s="66"/>
      <c r="I1093" s="66"/>
      <c r="J1093" s="66"/>
      <c r="K1093" s="66"/>
      <c r="L1093" s="66"/>
      <c r="M1093" s="66"/>
      <c r="N1093" s="66"/>
    </row>
    <row r="1094" spans="1:14" x14ac:dyDescent="0.2">
      <c r="A1094" s="84"/>
      <c r="B1094" s="84"/>
      <c r="C1094" s="60"/>
      <c r="D1094" s="66"/>
      <c r="E1094" s="66"/>
      <c r="F1094" s="66"/>
      <c r="G1094" s="66"/>
      <c r="H1094" s="66"/>
      <c r="I1094" s="66"/>
      <c r="J1094" s="66"/>
      <c r="K1094" s="66"/>
      <c r="L1094" s="66"/>
      <c r="M1094" s="66"/>
      <c r="N1094" s="66"/>
    </row>
    <row r="1095" spans="1:14" x14ac:dyDescent="0.2">
      <c r="A1095" s="84"/>
      <c r="B1095" s="84"/>
      <c r="C1095" s="60"/>
      <c r="D1095" s="66"/>
      <c r="E1095" s="66"/>
      <c r="F1095" s="66"/>
      <c r="G1095" s="66"/>
      <c r="H1095" s="66"/>
      <c r="I1095" s="66"/>
      <c r="J1095" s="66"/>
      <c r="K1095" s="66"/>
      <c r="L1095" s="66"/>
      <c r="M1095" s="66"/>
      <c r="N1095" s="66"/>
    </row>
    <row r="1096" spans="1:14" x14ac:dyDescent="0.2">
      <c r="A1096" s="84"/>
      <c r="B1096" s="84"/>
      <c r="C1096" s="60"/>
      <c r="D1096" s="66"/>
      <c r="E1096" s="66"/>
      <c r="F1096" s="66"/>
      <c r="G1096" s="66"/>
      <c r="H1096" s="66"/>
      <c r="I1096" s="66"/>
      <c r="J1096" s="66"/>
      <c r="K1096" s="66"/>
      <c r="L1096" s="66"/>
      <c r="M1096" s="66"/>
      <c r="N1096" s="66"/>
    </row>
    <row r="1097" spans="1:14" x14ac:dyDescent="0.2">
      <c r="A1097" s="84"/>
      <c r="B1097" s="84"/>
      <c r="C1097" s="60"/>
      <c r="D1097" s="66"/>
      <c r="E1097" s="66"/>
      <c r="F1097" s="66"/>
      <c r="G1097" s="66"/>
      <c r="H1097" s="66"/>
      <c r="I1097" s="66"/>
      <c r="J1097" s="66"/>
      <c r="K1097" s="66"/>
      <c r="L1097" s="66"/>
      <c r="M1097" s="66"/>
      <c r="N1097" s="66"/>
    </row>
    <row r="1098" spans="1:14" x14ac:dyDescent="0.2">
      <c r="A1098" s="84"/>
      <c r="B1098" s="84"/>
      <c r="C1098" s="60"/>
      <c r="D1098" s="66"/>
      <c r="E1098" s="66"/>
      <c r="F1098" s="66"/>
      <c r="G1098" s="66"/>
      <c r="H1098" s="66"/>
      <c r="I1098" s="66"/>
      <c r="J1098" s="66"/>
      <c r="K1098" s="66"/>
      <c r="L1098" s="66"/>
      <c r="M1098" s="66"/>
      <c r="N1098" s="66"/>
    </row>
    <row r="1099" spans="1:14" x14ac:dyDescent="0.2">
      <c r="A1099" s="84"/>
      <c r="B1099" s="84"/>
      <c r="C1099" s="60"/>
      <c r="D1099" s="66"/>
      <c r="E1099" s="66"/>
      <c r="F1099" s="66"/>
      <c r="G1099" s="66"/>
      <c r="H1099" s="66"/>
      <c r="I1099" s="66"/>
      <c r="J1099" s="66"/>
      <c r="K1099" s="66"/>
      <c r="L1099" s="66"/>
      <c r="M1099" s="66"/>
      <c r="N1099" s="66"/>
    </row>
    <row r="1100" spans="1:14" x14ac:dyDescent="0.2">
      <c r="A1100" s="84"/>
      <c r="B1100" s="84"/>
      <c r="C1100" s="60"/>
      <c r="D1100" s="66"/>
      <c r="E1100" s="66"/>
      <c r="F1100" s="66"/>
      <c r="G1100" s="66"/>
      <c r="H1100" s="66"/>
      <c r="I1100" s="66"/>
      <c r="J1100" s="66"/>
      <c r="K1100" s="66"/>
      <c r="L1100" s="66"/>
      <c r="M1100" s="66"/>
      <c r="N1100" s="66"/>
    </row>
    <row r="1101" spans="1:14" x14ac:dyDescent="0.2">
      <c r="A1101" s="84"/>
      <c r="B1101" s="84"/>
      <c r="C1101" s="60"/>
      <c r="D1101" s="66"/>
      <c r="E1101" s="66"/>
      <c r="F1101" s="66"/>
      <c r="G1101" s="66"/>
      <c r="H1101" s="66"/>
      <c r="I1101" s="66"/>
      <c r="J1101" s="66"/>
      <c r="K1101" s="66"/>
      <c r="L1101" s="66"/>
      <c r="M1101" s="66"/>
      <c r="N1101" s="66"/>
    </row>
    <row r="1102" spans="1:14" x14ac:dyDescent="0.2">
      <c r="A1102" s="84"/>
      <c r="B1102" s="84"/>
      <c r="C1102" s="60"/>
      <c r="D1102" s="66"/>
      <c r="E1102" s="66"/>
      <c r="F1102" s="66"/>
      <c r="G1102" s="66"/>
      <c r="H1102" s="66"/>
      <c r="I1102" s="66"/>
      <c r="J1102" s="66"/>
      <c r="K1102" s="66"/>
      <c r="L1102" s="66"/>
      <c r="M1102" s="66"/>
      <c r="N1102" s="66"/>
    </row>
    <row r="1103" spans="1:14" x14ac:dyDescent="0.2">
      <c r="A1103" s="84"/>
      <c r="B1103" s="84"/>
      <c r="C1103" s="60"/>
      <c r="D1103" s="66"/>
      <c r="E1103" s="66"/>
      <c r="F1103" s="66"/>
      <c r="G1103" s="66"/>
      <c r="H1103" s="66"/>
      <c r="I1103" s="66"/>
      <c r="J1103" s="66"/>
      <c r="K1103" s="66"/>
      <c r="L1103" s="66"/>
      <c r="M1103" s="66"/>
      <c r="N1103" s="66"/>
    </row>
    <row r="1104" spans="1:14" x14ac:dyDescent="0.2">
      <c r="A1104" s="84"/>
      <c r="B1104" s="84"/>
      <c r="C1104" s="60"/>
      <c r="D1104" s="66"/>
      <c r="E1104" s="66"/>
      <c r="F1104" s="66"/>
      <c r="G1104" s="66"/>
      <c r="H1104" s="66"/>
      <c r="I1104" s="66"/>
      <c r="J1104" s="66"/>
      <c r="K1104" s="66"/>
      <c r="L1104" s="66"/>
      <c r="M1104" s="66"/>
      <c r="N1104" s="66"/>
    </row>
    <row r="1105" spans="1:14" x14ac:dyDescent="0.2">
      <c r="A1105" s="84"/>
      <c r="B1105" s="84"/>
      <c r="C1105" s="60"/>
      <c r="D1105" s="66"/>
      <c r="E1105" s="66"/>
      <c r="F1105" s="66"/>
      <c r="G1105" s="66"/>
      <c r="H1105" s="66"/>
      <c r="I1105" s="66"/>
      <c r="J1105" s="66"/>
      <c r="K1105" s="66"/>
      <c r="L1105" s="66"/>
      <c r="M1105" s="66"/>
      <c r="N1105" s="66"/>
    </row>
    <row r="1106" spans="1:14" x14ac:dyDescent="0.2">
      <c r="A1106" s="84"/>
      <c r="B1106" s="84"/>
      <c r="C1106" s="60"/>
      <c r="D1106" s="66"/>
      <c r="E1106" s="66"/>
      <c r="F1106" s="66"/>
      <c r="G1106" s="66"/>
      <c r="H1106" s="66"/>
      <c r="I1106" s="66"/>
      <c r="J1106" s="66"/>
      <c r="K1106" s="66"/>
      <c r="L1106" s="66"/>
      <c r="M1106" s="66"/>
      <c r="N1106" s="66"/>
    </row>
    <row r="1107" spans="1:14" x14ac:dyDescent="0.2">
      <c r="A1107" s="84"/>
      <c r="B1107" s="84"/>
      <c r="C1107" s="60"/>
      <c r="D1107" s="66"/>
      <c r="E1107" s="66"/>
      <c r="F1107" s="66"/>
      <c r="G1107" s="66"/>
      <c r="H1107" s="66"/>
      <c r="I1107" s="66"/>
      <c r="J1107" s="66"/>
      <c r="K1107" s="66"/>
      <c r="L1107" s="66"/>
      <c r="M1107" s="66"/>
      <c r="N1107" s="66"/>
    </row>
    <row r="1108" spans="1:14" x14ac:dyDescent="0.2">
      <c r="A1108" s="84"/>
      <c r="B1108" s="84"/>
      <c r="C1108" s="60"/>
      <c r="D1108" s="66"/>
      <c r="E1108" s="66"/>
      <c r="F1108" s="66"/>
      <c r="G1108" s="66"/>
      <c r="H1108" s="66"/>
      <c r="I1108" s="66"/>
      <c r="J1108" s="66"/>
      <c r="K1108" s="66"/>
      <c r="L1108" s="66"/>
      <c r="M1108" s="66"/>
      <c r="N1108" s="66"/>
    </row>
    <row r="1109" spans="1:14" x14ac:dyDescent="0.2">
      <c r="A1109" s="84"/>
      <c r="B1109" s="84"/>
      <c r="C1109" s="60"/>
      <c r="D1109" s="66"/>
      <c r="E1109" s="66"/>
      <c r="F1109" s="66"/>
      <c r="G1109" s="66"/>
      <c r="H1109" s="66"/>
      <c r="I1109" s="66"/>
      <c r="J1109" s="66"/>
      <c r="K1109" s="66"/>
      <c r="L1109" s="66"/>
      <c r="M1109" s="66"/>
      <c r="N1109" s="66"/>
    </row>
    <row r="1110" spans="1:14" x14ac:dyDescent="0.2">
      <c r="A1110" s="84"/>
      <c r="B1110" s="84"/>
      <c r="C1110" s="60"/>
      <c r="D1110" s="66"/>
      <c r="E1110" s="66"/>
      <c r="F1110" s="66"/>
      <c r="G1110" s="66"/>
      <c r="H1110" s="66"/>
      <c r="I1110" s="66"/>
      <c r="J1110" s="66"/>
      <c r="K1110" s="66"/>
      <c r="L1110" s="66"/>
      <c r="M1110" s="66"/>
      <c r="N1110" s="66"/>
    </row>
    <row r="1111" spans="1:14" x14ac:dyDescent="0.2">
      <c r="A1111" s="84"/>
      <c r="B1111" s="84"/>
      <c r="C1111" s="60"/>
      <c r="D1111" s="66"/>
      <c r="E1111" s="66"/>
      <c r="F1111" s="66"/>
      <c r="G1111" s="66"/>
      <c r="H1111" s="66"/>
      <c r="I1111" s="66"/>
      <c r="J1111" s="66"/>
      <c r="K1111" s="66"/>
      <c r="L1111" s="66"/>
      <c r="M1111" s="66"/>
      <c r="N1111" s="66"/>
    </row>
    <row r="1112" spans="1:14" x14ac:dyDescent="0.2">
      <c r="A1112" s="84"/>
      <c r="B1112" s="84"/>
      <c r="C1112" s="60"/>
      <c r="D1112" s="66"/>
      <c r="E1112" s="66"/>
      <c r="F1112" s="66"/>
      <c r="G1112" s="66"/>
      <c r="H1112" s="66"/>
      <c r="I1112" s="66"/>
      <c r="J1112" s="66"/>
      <c r="K1112" s="66"/>
      <c r="L1112" s="66"/>
      <c r="M1112" s="66"/>
      <c r="N1112" s="66"/>
    </row>
    <row r="1113" spans="1:14" x14ac:dyDescent="0.2">
      <c r="A1113" s="84"/>
      <c r="B1113" s="84"/>
      <c r="C1113" s="60"/>
      <c r="D1113" s="66"/>
      <c r="E1113" s="66"/>
      <c r="F1113" s="66"/>
      <c r="G1113" s="66"/>
      <c r="H1113" s="66"/>
      <c r="I1113" s="66"/>
      <c r="J1113" s="66"/>
      <c r="K1113" s="66"/>
      <c r="L1113" s="66"/>
      <c r="M1113" s="66"/>
      <c r="N1113" s="66"/>
    </row>
    <row r="1114" spans="1:14" x14ac:dyDescent="0.2">
      <c r="A1114" s="84"/>
      <c r="B1114" s="84"/>
      <c r="C1114" s="60"/>
      <c r="D1114" s="66"/>
      <c r="E1114" s="66"/>
      <c r="F1114" s="66"/>
      <c r="G1114" s="66"/>
      <c r="H1114" s="66"/>
      <c r="I1114" s="66"/>
      <c r="J1114" s="66"/>
      <c r="K1114" s="66"/>
      <c r="L1114" s="66"/>
      <c r="M1114" s="66"/>
      <c r="N1114" s="66"/>
    </row>
    <row r="1115" spans="1:14" x14ac:dyDescent="0.2">
      <c r="A1115" s="84"/>
      <c r="B1115" s="84"/>
      <c r="C1115" s="60"/>
      <c r="D1115" s="66"/>
      <c r="E1115" s="66"/>
      <c r="F1115" s="66"/>
      <c r="G1115" s="66"/>
      <c r="H1115" s="66"/>
      <c r="I1115" s="66"/>
      <c r="J1115" s="66"/>
      <c r="K1115" s="66"/>
      <c r="L1115" s="66"/>
      <c r="M1115" s="66"/>
      <c r="N1115" s="66"/>
    </row>
    <row r="1116" spans="1:14" x14ac:dyDescent="0.2">
      <c r="A1116" s="84"/>
      <c r="B1116" s="84"/>
      <c r="C1116" s="60"/>
      <c r="D1116" s="66"/>
      <c r="E1116" s="66"/>
      <c r="F1116" s="66"/>
      <c r="G1116" s="66"/>
      <c r="H1116" s="66"/>
      <c r="I1116" s="66"/>
      <c r="J1116" s="66"/>
      <c r="K1116" s="66"/>
      <c r="L1116" s="66"/>
      <c r="M1116" s="66"/>
      <c r="N1116" s="66"/>
    </row>
    <row r="1117" spans="1:14" x14ac:dyDescent="0.2">
      <c r="A1117" s="84"/>
      <c r="B1117" s="84"/>
      <c r="C1117" s="60"/>
      <c r="D1117" s="66"/>
      <c r="E1117" s="66"/>
      <c r="F1117" s="66"/>
      <c r="G1117" s="66"/>
      <c r="H1117" s="66"/>
      <c r="I1117" s="66"/>
      <c r="J1117" s="66"/>
      <c r="K1117" s="66"/>
      <c r="L1117" s="66"/>
      <c r="M1117" s="66"/>
      <c r="N1117" s="66"/>
    </row>
    <row r="1118" spans="1:14" x14ac:dyDescent="0.2">
      <c r="A1118" s="84"/>
      <c r="B1118" s="84"/>
      <c r="C1118" s="60"/>
      <c r="D1118" s="66"/>
      <c r="E1118" s="66"/>
      <c r="F1118" s="66"/>
      <c r="G1118" s="66"/>
      <c r="H1118" s="66"/>
      <c r="I1118" s="66"/>
      <c r="J1118" s="66"/>
      <c r="K1118" s="66"/>
      <c r="L1118" s="66"/>
      <c r="M1118" s="66"/>
      <c r="N1118" s="66"/>
    </row>
    <row r="1119" spans="1:14" x14ac:dyDescent="0.2">
      <c r="A1119" s="84"/>
      <c r="B1119" s="84"/>
      <c r="C1119" s="60"/>
      <c r="D1119" s="66"/>
      <c r="E1119" s="66"/>
      <c r="F1119" s="66"/>
      <c r="G1119" s="66"/>
      <c r="H1119" s="66"/>
      <c r="I1119" s="66"/>
      <c r="J1119" s="66"/>
      <c r="K1119" s="66"/>
      <c r="L1119" s="66"/>
      <c r="M1119" s="66"/>
      <c r="N1119" s="66"/>
    </row>
    <row r="1120" spans="1:14" x14ac:dyDescent="0.2">
      <c r="A1120" s="84"/>
      <c r="B1120" s="84"/>
      <c r="C1120" s="60"/>
      <c r="D1120" s="66"/>
      <c r="E1120" s="66"/>
      <c r="F1120" s="66"/>
      <c r="G1120" s="66"/>
      <c r="H1120" s="66"/>
      <c r="I1120" s="66"/>
      <c r="J1120" s="66"/>
      <c r="K1120" s="66"/>
      <c r="L1120" s="66"/>
      <c r="M1120" s="66"/>
      <c r="N1120" s="66"/>
    </row>
    <row r="1121" spans="1:14" x14ac:dyDescent="0.2">
      <c r="A1121" s="84"/>
      <c r="B1121" s="84"/>
      <c r="C1121" s="60"/>
      <c r="D1121" s="66"/>
      <c r="E1121" s="66"/>
      <c r="F1121" s="66"/>
      <c r="G1121" s="66"/>
      <c r="H1121" s="66"/>
      <c r="I1121" s="66"/>
      <c r="J1121" s="66"/>
      <c r="K1121" s="66"/>
      <c r="L1121" s="66"/>
      <c r="M1121" s="66"/>
      <c r="N1121" s="66"/>
    </row>
    <row r="1122" spans="1:14" x14ac:dyDescent="0.2">
      <c r="A1122" s="84"/>
      <c r="B1122" s="84"/>
      <c r="C1122" s="60"/>
      <c r="D1122" s="66"/>
      <c r="E1122" s="66"/>
      <c r="F1122" s="66"/>
      <c r="G1122" s="66"/>
      <c r="H1122" s="66"/>
      <c r="I1122" s="66"/>
      <c r="J1122" s="66"/>
      <c r="K1122" s="66"/>
      <c r="L1122" s="66"/>
      <c r="M1122" s="66"/>
      <c r="N1122" s="66"/>
    </row>
    <row r="1123" spans="1:14" x14ac:dyDescent="0.2">
      <c r="A1123" s="84"/>
      <c r="B1123" s="84"/>
      <c r="C1123" s="60"/>
      <c r="D1123" s="66"/>
      <c r="E1123" s="66"/>
      <c r="F1123" s="66"/>
      <c r="G1123" s="66"/>
      <c r="H1123" s="66"/>
      <c r="I1123" s="66"/>
      <c r="J1123" s="66"/>
      <c r="K1123" s="66"/>
      <c r="L1123" s="66"/>
      <c r="M1123" s="66"/>
      <c r="N1123" s="66"/>
    </row>
    <row r="1124" spans="1:14" x14ac:dyDescent="0.2">
      <c r="A1124" s="84"/>
      <c r="B1124" s="84"/>
      <c r="C1124" s="60"/>
      <c r="D1124" s="66"/>
      <c r="E1124" s="66"/>
      <c r="F1124" s="66"/>
      <c r="G1124" s="66"/>
      <c r="H1124" s="66"/>
      <c r="I1124" s="66"/>
      <c r="J1124" s="66"/>
      <c r="K1124" s="66"/>
      <c r="L1124" s="66"/>
      <c r="M1124" s="66"/>
      <c r="N1124" s="66"/>
    </row>
    <row r="1125" spans="1:14" x14ac:dyDescent="0.2">
      <c r="A1125" s="84"/>
      <c r="B1125" s="84"/>
      <c r="C1125" s="60"/>
      <c r="D1125" s="66"/>
      <c r="E1125" s="66"/>
      <c r="F1125" s="66"/>
      <c r="G1125" s="66"/>
      <c r="H1125" s="66"/>
      <c r="I1125" s="66"/>
      <c r="J1125" s="66"/>
      <c r="K1125" s="66"/>
      <c r="L1125" s="66"/>
      <c r="M1125" s="66"/>
      <c r="N1125" s="66"/>
    </row>
    <row r="1126" spans="1:14" x14ac:dyDescent="0.2">
      <c r="A1126" s="84"/>
      <c r="B1126" s="84"/>
      <c r="C1126" s="60"/>
      <c r="D1126" s="66"/>
      <c r="E1126" s="66"/>
      <c r="F1126" s="66"/>
      <c r="G1126" s="66"/>
      <c r="H1126" s="66"/>
      <c r="I1126" s="66"/>
      <c r="J1126" s="66"/>
      <c r="K1126" s="66"/>
      <c r="L1126" s="66"/>
      <c r="M1126" s="66"/>
      <c r="N1126" s="66"/>
    </row>
    <row r="1127" spans="1:14" x14ac:dyDescent="0.2">
      <c r="A1127" s="84"/>
      <c r="B1127" s="84"/>
      <c r="C1127" s="60"/>
      <c r="D1127" s="66"/>
      <c r="E1127" s="66"/>
      <c r="F1127" s="66"/>
      <c r="G1127" s="66"/>
      <c r="H1127" s="66"/>
      <c r="I1127" s="66"/>
      <c r="J1127" s="66"/>
      <c r="K1127" s="66"/>
      <c r="L1127" s="66"/>
      <c r="M1127" s="66"/>
      <c r="N1127" s="66"/>
    </row>
    <row r="1128" spans="1:14" x14ac:dyDescent="0.2">
      <c r="A1128" s="84"/>
      <c r="B1128" s="84"/>
      <c r="C1128" s="60"/>
      <c r="D1128" s="66"/>
      <c r="E1128" s="66"/>
      <c r="F1128" s="66"/>
      <c r="G1128" s="66"/>
      <c r="H1128" s="66"/>
      <c r="I1128" s="66"/>
      <c r="J1128" s="66"/>
      <c r="K1128" s="66"/>
      <c r="L1128" s="66"/>
      <c r="M1128" s="66"/>
      <c r="N1128" s="66"/>
    </row>
    <row r="1129" spans="1:14" x14ac:dyDescent="0.2">
      <c r="A1129" s="84"/>
      <c r="B1129" s="84"/>
      <c r="C1129" s="60"/>
      <c r="D1129" s="66"/>
      <c r="E1129" s="66"/>
      <c r="F1129" s="66"/>
      <c r="G1129" s="66"/>
      <c r="H1129" s="66"/>
      <c r="I1129" s="66"/>
      <c r="J1129" s="66"/>
      <c r="K1129" s="66"/>
      <c r="L1129" s="66"/>
      <c r="M1129" s="66"/>
      <c r="N1129" s="66"/>
    </row>
    <row r="1130" spans="1:14" x14ac:dyDescent="0.2">
      <c r="A1130" s="84"/>
      <c r="B1130" s="84"/>
      <c r="C1130" s="60"/>
      <c r="D1130" s="66"/>
      <c r="E1130" s="66"/>
      <c r="F1130" s="66"/>
      <c r="G1130" s="66"/>
      <c r="H1130" s="66"/>
      <c r="I1130" s="66"/>
      <c r="J1130" s="66"/>
      <c r="K1130" s="66"/>
      <c r="L1130" s="66"/>
      <c r="M1130" s="66"/>
      <c r="N1130" s="66"/>
    </row>
    <row r="1131" spans="1:14" x14ac:dyDescent="0.2">
      <c r="A1131" s="84"/>
      <c r="B1131" s="84"/>
      <c r="C1131" s="60"/>
      <c r="D1131" s="66"/>
      <c r="E1131" s="66"/>
      <c r="F1131" s="66"/>
      <c r="G1131" s="66"/>
      <c r="H1131" s="66"/>
      <c r="I1131" s="66"/>
      <c r="J1131" s="66"/>
      <c r="K1131" s="66"/>
      <c r="L1131" s="66"/>
      <c r="M1131" s="66"/>
      <c r="N1131" s="66"/>
    </row>
    <row r="1132" spans="1:14" x14ac:dyDescent="0.2">
      <c r="A1132" s="84"/>
      <c r="B1132" s="84"/>
      <c r="C1132" s="60"/>
      <c r="D1132" s="66"/>
      <c r="E1132" s="66"/>
      <c r="F1132" s="66"/>
      <c r="G1132" s="66"/>
      <c r="H1132" s="66"/>
      <c r="I1132" s="66"/>
      <c r="J1132" s="66"/>
      <c r="K1132" s="66"/>
      <c r="L1132" s="66"/>
      <c r="M1132" s="66"/>
      <c r="N1132" s="66"/>
    </row>
    <row r="1133" spans="1:14" x14ac:dyDescent="0.2">
      <c r="A1133" s="84"/>
      <c r="B1133" s="84"/>
      <c r="C1133" s="60"/>
      <c r="D1133" s="66"/>
      <c r="E1133" s="66"/>
      <c r="F1133" s="66"/>
      <c r="G1133" s="66"/>
      <c r="H1133" s="66"/>
      <c r="I1133" s="66"/>
      <c r="J1133" s="66"/>
      <c r="K1133" s="66"/>
      <c r="L1133" s="66"/>
      <c r="M1133" s="66"/>
      <c r="N1133" s="66"/>
    </row>
    <row r="1134" spans="1:14" x14ac:dyDescent="0.2">
      <c r="A1134" s="84"/>
      <c r="B1134" s="84"/>
      <c r="C1134" s="60"/>
      <c r="D1134" s="66"/>
      <c r="E1134" s="66"/>
      <c r="F1134" s="66"/>
      <c r="G1134" s="66"/>
      <c r="H1134" s="66"/>
      <c r="I1134" s="66"/>
      <c r="J1134" s="66"/>
      <c r="K1134" s="66"/>
      <c r="L1134" s="66"/>
      <c r="M1134" s="66"/>
      <c r="N1134" s="66"/>
    </row>
    <row r="1135" spans="1:14" x14ac:dyDescent="0.2">
      <c r="A1135" s="84"/>
      <c r="B1135" s="84"/>
      <c r="C1135" s="60"/>
      <c r="D1135" s="66"/>
      <c r="E1135" s="66"/>
      <c r="F1135" s="66"/>
      <c r="G1135" s="66"/>
      <c r="H1135" s="66"/>
      <c r="I1135" s="66"/>
      <c r="J1135" s="66"/>
      <c r="K1135" s="66"/>
      <c r="L1135" s="66"/>
      <c r="M1135" s="66"/>
      <c r="N1135" s="66"/>
    </row>
    <row r="1136" spans="1:14" x14ac:dyDescent="0.2">
      <c r="A1136" s="84"/>
      <c r="B1136" s="84"/>
      <c r="C1136" s="60"/>
      <c r="D1136" s="66"/>
      <c r="E1136" s="66"/>
      <c r="F1136" s="66"/>
      <c r="G1136" s="66"/>
      <c r="H1136" s="66"/>
      <c r="I1136" s="66"/>
      <c r="J1136" s="66"/>
      <c r="K1136" s="66"/>
      <c r="L1136" s="66"/>
      <c r="M1136" s="66"/>
      <c r="N1136" s="66"/>
    </row>
    <row r="1137" spans="1:14" x14ac:dyDescent="0.2">
      <c r="A1137" s="84"/>
      <c r="B1137" s="84"/>
      <c r="C1137" s="60"/>
      <c r="D1137" s="66"/>
      <c r="E1137" s="66"/>
      <c r="F1137" s="66"/>
      <c r="G1137" s="66"/>
      <c r="H1137" s="66"/>
      <c r="I1137" s="66"/>
      <c r="J1137" s="66"/>
      <c r="K1137" s="66"/>
      <c r="L1137" s="66"/>
      <c r="M1137" s="66"/>
      <c r="N1137" s="66"/>
    </row>
    <row r="1138" spans="1:14" x14ac:dyDescent="0.2">
      <c r="A1138" s="84"/>
      <c r="B1138" s="84"/>
      <c r="C1138" s="60"/>
      <c r="D1138" s="66"/>
      <c r="E1138" s="66"/>
      <c r="F1138" s="66"/>
      <c r="G1138" s="66"/>
      <c r="H1138" s="66"/>
      <c r="I1138" s="66"/>
      <c r="J1138" s="66"/>
      <c r="K1138" s="66"/>
      <c r="L1138" s="66"/>
      <c r="M1138" s="66"/>
      <c r="N1138" s="66"/>
    </row>
    <row r="1139" spans="1:14" x14ac:dyDescent="0.2">
      <c r="A1139" s="84"/>
      <c r="B1139" s="84"/>
      <c r="C1139" s="60"/>
      <c r="D1139" s="66"/>
      <c r="E1139" s="66"/>
      <c r="F1139" s="66"/>
      <c r="G1139" s="66"/>
      <c r="H1139" s="66"/>
      <c r="I1139" s="66"/>
      <c r="J1139" s="66"/>
      <c r="K1139" s="66"/>
      <c r="L1139" s="66"/>
      <c r="M1139" s="66"/>
      <c r="N1139" s="66"/>
    </row>
    <row r="1140" spans="1:14" x14ac:dyDescent="0.2">
      <c r="A1140" s="84"/>
      <c r="B1140" s="84"/>
      <c r="C1140" s="60"/>
      <c r="D1140" s="66"/>
      <c r="E1140" s="66"/>
      <c r="F1140" s="66"/>
      <c r="G1140" s="66"/>
      <c r="H1140" s="66"/>
      <c r="I1140" s="66"/>
      <c r="J1140" s="66"/>
      <c r="K1140" s="66"/>
      <c r="L1140" s="66"/>
      <c r="M1140" s="66"/>
      <c r="N1140" s="66"/>
    </row>
    <row r="1141" spans="1:14" x14ac:dyDescent="0.2">
      <c r="A1141" s="84"/>
      <c r="B1141" s="84"/>
      <c r="C1141" s="60"/>
      <c r="D1141" s="66"/>
      <c r="E1141" s="66"/>
      <c r="F1141" s="66"/>
      <c r="G1141" s="66"/>
      <c r="H1141" s="66"/>
      <c r="I1141" s="66"/>
      <c r="J1141" s="66"/>
      <c r="K1141" s="66"/>
      <c r="L1141" s="66"/>
      <c r="M1141" s="66"/>
      <c r="N1141" s="66"/>
    </row>
    <row r="1142" spans="1:14" x14ac:dyDescent="0.2">
      <c r="A1142" s="84"/>
      <c r="B1142" s="84"/>
      <c r="C1142" s="60"/>
      <c r="D1142" s="66"/>
      <c r="E1142" s="66"/>
      <c r="F1142" s="66"/>
      <c r="G1142" s="66"/>
      <c r="H1142" s="66"/>
      <c r="I1142" s="66"/>
      <c r="J1142" s="66"/>
      <c r="K1142" s="66"/>
      <c r="L1142" s="66"/>
      <c r="M1142" s="66"/>
      <c r="N1142" s="66"/>
    </row>
    <row r="1143" spans="1:14" x14ac:dyDescent="0.2">
      <c r="A1143" s="84"/>
      <c r="B1143" s="84"/>
      <c r="C1143" s="60"/>
      <c r="D1143" s="66"/>
      <c r="E1143" s="66"/>
      <c r="F1143" s="66"/>
      <c r="G1143" s="66"/>
      <c r="H1143" s="66"/>
      <c r="I1143" s="66"/>
      <c r="J1143" s="66"/>
      <c r="K1143" s="66"/>
      <c r="L1143" s="66"/>
      <c r="M1143" s="66"/>
      <c r="N1143" s="66"/>
    </row>
    <row r="1144" spans="1:14" x14ac:dyDescent="0.2">
      <c r="A1144" s="84"/>
      <c r="B1144" s="84"/>
      <c r="C1144" s="60"/>
      <c r="D1144" s="66"/>
      <c r="E1144" s="66"/>
      <c r="F1144" s="66"/>
      <c r="G1144" s="66"/>
      <c r="H1144" s="66"/>
      <c r="I1144" s="66"/>
      <c r="J1144" s="66"/>
      <c r="K1144" s="66"/>
      <c r="L1144" s="66"/>
      <c r="M1144" s="66"/>
      <c r="N1144" s="66"/>
    </row>
    <row r="1145" spans="1:14" x14ac:dyDescent="0.2">
      <c r="A1145" s="84"/>
      <c r="B1145" s="84"/>
      <c r="C1145" s="60"/>
      <c r="D1145" s="66"/>
      <c r="E1145" s="66"/>
      <c r="F1145" s="66"/>
      <c r="G1145" s="66"/>
      <c r="H1145" s="66"/>
      <c r="I1145" s="66"/>
      <c r="J1145" s="66"/>
      <c r="K1145" s="66"/>
      <c r="L1145" s="66"/>
      <c r="M1145" s="66"/>
      <c r="N1145" s="66"/>
    </row>
    <row r="1146" spans="1:14" x14ac:dyDescent="0.2">
      <c r="A1146" s="84"/>
      <c r="B1146" s="84"/>
      <c r="C1146" s="60"/>
      <c r="D1146" s="66"/>
      <c r="E1146" s="66"/>
      <c r="F1146" s="66"/>
      <c r="G1146" s="66"/>
      <c r="H1146" s="66"/>
      <c r="I1146" s="66"/>
      <c r="J1146" s="66"/>
      <c r="K1146" s="66"/>
      <c r="L1146" s="66"/>
      <c r="M1146" s="66"/>
      <c r="N1146" s="66"/>
    </row>
    <row r="1147" spans="1:14" x14ac:dyDescent="0.2">
      <c r="A1147" s="84"/>
      <c r="B1147" s="84"/>
      <c r="C1147" s="60"/>
      <c r="D1147" s="66"/>
      <c r="E1147" s="66"/>
      <c r="F1147" s="66"/>
      <c r="G1147" s="66"/>
      <c r="H1147" s="66"/>
      <c r="I1147" s="66"/>
      <c r="J1147" s="66"/>
      <c r="K1147" s="66"/>
      <c r="L1147" s="66"/>
      <c r="M1147" s="66"/>
      <c r="N1147" s="66"/>
    </row>
    <row r="1148" spans="1:14" x14ac:dyDescent="0.2">
      <c r="A1148" s="84"/>
      <c r="B1148" s="84"/>
      <c r="C1148" s="60"/>
      <c r="D1148" s="66"/>
      <c r="E1148" s="66"/>
      <c r="F1148" s="66"/>
      <c r="G1148" s="66"/>
      <c r="H1148" s="66"/>
      <c r="I1148" s="66"/>
      <c r="J1148" s="66"/>
      <c r="K1148" s="66"/>
      <c r="L1148" s="66"/>
      <c r="M1148" s="66"/>
      <c r="N1148" s="66"/>
    </row>
    <row r="1149" spans="1:14" x14ac:dyDescent="0.2">
      <c r="A1149" s="84"/>
      <c r="B1149" s="84"/>
      <c r="C1149" s="60"/>
      <c r="D1149" s="66"/>
      <c r="E1149" s="66"/>
      <c r="F1149" s="66"/>
      <c r="G1149" s="66"/>
      <c r="H1149" s="66"/>
      <c r="I1149" s="66"/>
      <c r="J1149" s="66"/>
      <c r="K1149" s="66"/>
      <c r="L1149" s="66"/>
      <c r="M1149" s="66"/>
      <c r="N1149" s="66"/>
    </row>
    <row r="1150" spans="1:14" x14ac:dyDescent="0.2">
      <c r="A1150" s="84"/>
      <c r="B1150" s="84"/>
      <c r="C1150" s="60"/>
      <c r="D1150" s="66"/>
      <c r="E1150" s="66"/>
      <c r="F1150" s="66"/>
      <c r="G1150" s="66"/>
      <c r="H1150" s="66"/>
      <c r="I1150" s="66"/>
      <c r="J1150" s="66"/>
      <c r="K1150" s="66"/>
      <c r="L1150" s="66"/>
      <c r="M1150" s="66"/>
      <c r="N1150" s="66"/>
    </row>
    <row r="1151" spans="1:14" x14ac:dyDescent="0.2">
      <c r="A1151" s="84"/>
      <c r="B1151" s="84"/>
      <c r="C1151" s="60"/>
      <c r="D1151" s="66"/>
      <c r="E1151" s="66"/>
      <c r="F1151" s="66"/>
      <c r="G1151" s="66"/>
      <c r="H1151" s="66"/>
      <c r="I1151" s="66"/>
      <c r="J1151" s="66"/>
      <c r="K1151" s="66"/>
      <c r="L1151" s="66"/>
      <c r="M1151" s="66"/>
      <c r="N1151" s="66"/>
    </row>
    <row r="1152" spans="1:14" x14ac:dyDescent="0.2">
      <c r="A1152" s="84"/>
      <c r="B1152" s="84"/>
      <c r="C1152" s="60"/>
      <c r="D1152" s="66"/>
      <c r="E1152" s="66"/>
      <c r="F1152" s="66"/>
      <c r="G1152" s="66"/>
      <c r="H1152" s="66"/>
      <c r="I1152" s="66"/>
      <c r="J1152" s="66"/>
      <c r="K1152" s="66"/>
      <c r="L1152" s="66"/>
      <c r="M1152" s="66"/>
      <c r="N1152" s="66"/>
    </row>
    <row r="1153" spans="1:14" x14ac:dyDescent="0.2">
      <c r="A1153" s="84"/>
      <c r="B1153" s="84"/>
      <c r="C1153" s="60"/>
      <c r="D1153" s="66"/>
      <c r="E1153" s="66"/>
      <c r="F1153" s="66"/>
      <c r="G1153" s="66"/>
      <c r="H1153" s="66"/>
      <c r="I1153" s="66"/>
      <c r="J1153" s="66"/>
      <c r="K1153" s="66"/>
      <c r="L1153" s="66"/>
      <c r="M1153" s="66"/>
      <c r="N1153" s="66"/>
    </row>
    <row r="1154" spans="1:14" x14ac:dyDescent="0.2">
      <c r="A1154" s="84"/>
      <c r="B1154" s="84"/>
      <c r="C1154" s="60"/>
      <c r="D1154" s="66"/>
      <c r="E1154" s="66"/>
      <c r="F1154" s="66"/>
      <c r="G1154" s="66"/>
      <c r="H1154" s="66"/>
      <c r="I1154" s="66"/>
      <c r="J1154" s="66"/>
      <c r="K1154" s="66"/>
      <c r="L1154" s="66"/>
      <c r="M1154" s="66"/>
      <c r="N1154" s="66"/>
    </row>
    <row r="1155" spans="1:14" x14ac:dyDescent="0.2">
      <c r="A1155" s="84"/>
      <c r="B1155" s="84"/>
      <c r="C1155" s="60"/>
      <c r="D1155" s="66"/>
      <c r="E1155" s="66"/>
      <c r="F1155" s="66"/>
      <c r="G1155" s="66"/>
      <c r="H1155" s="66"/>
      <c r="I1155" s="66"/>
      <c r="J1155" s="66"/>
      <c r="K1155" s="66"/>
      <c r="L1155" s="66"/>
      <c r="M1155" s="66"/>
      <c r="N1155" s="66"/>
    </row>
    <row r="1156" spans="1:14" x14ac:dyDescent="0.2">
      <c r="A1156" s="84"/>
      <c r="B1156" s="84"/>
      <c r="C1156" s="60"/>
      <c r="D1156" s="66"/>
      <c r="E1156" s="66"/>
      <c r="F1156" s="66"/>
      <c r="G1156" s="66"/>
      <c r="H1156" s="66"/>
      <c r="I1156" s="66"/>
      <c r="J1156" s="66"/>
      <c r="K1156" s="66"/>
      <c r="L1156" s="66"/>
      <c r="M1156" s="66"/>
      <c r="N1156" s="66"/>
    </row>
    <row r="1157" spans="1:14" x14ac:dyDescent="0.2">
      <c r="A1157" s="84"/>
      <c r="B1157" s="84"/>
      <c r="C1157" s="60"/>
      <c r="D1157" s="66"/>
      <c r="E1157" s="66"/>
      <c r="F1157" s="66"/>
      <c r="G1157" s="66"/>
      <c r="H1157" s="66"/>
      <c r="I1157" s="66"/>
      <c r="J1157" s="66"/>
      <c r="K1157" s="66"/>
      <c r="L1157" s="66"/>
      <c r="M1157" s="66"/>
      <c r="N1157" s="66"/>
    </row>
    <row r="1158" spans="1:14" x14ac:dyDescent="0.2">
      <c r="A1158" s="84"/>
      <c r="B1158" s="84"/>
      <c r="C1158" s="60"/>
      <c r="D1158" s="66"/>
      <c r="E1158" s="66"/>
      <c r="F1158" s="66"/>
      <c r="G1158" s="66"/>
      <c r="H1158" s="66"/>
      <c r="I1158" s="66"/>
      <c r="J1158" s="66"/>
      <c r="K1158" s="66"/>
      <c r="L1158" s="66"/>
      <c r="M1158" s="66"/>
      <c r="N1158" s="66"/>
    </row>
    <row r="1159" spans="1:14" x14ac:dyDescent="0.2">
      <c r="A1159" s="84"/>
      <c r="B1159" s="84"/>
      <c r="C1159" s="60"/>
      <c r="D1159" s="66"/>
      <c r="E1159" s="66"/>
      <c r="F1159" s="66"/>
      <c r="G1159" s="66"/>
      <c r="H1159" s="66"/>
      <c r="I1159" s="66"/>
      <c r="J1159" s="66"/>
      <c r="K1159" s="66"/>
      <c r="L1159" s="66"/>
      <c r="M1159" s="66"/>
      <c r="N1159" s="66"/>
    </row>
    <row r="1160" spans="1:14" x14ac:dyDescent="0.2">
      <c r="A1160" s="84"/>
      <c r="B1160" s="84"/>
      <c r="C1160" s="60"/>
      <c r="D1160" s="66"/>
      <c r="E1160" s="66"/>
      <c r="F1160" s="66"/>
      <c r="G1160" s="66"/>
      <c r="H1160" s="66"/>
      <c r="I1160" s="66"/>
      <c r="J1160" s="66"/>
      <c r="K1160" s="66"/>
      <c r="L1160" s="66"/>
      <c r="M1160" s="66"/>
      <c r="N1160" s="66"/>
    </row>
    <row r="1161" spans="1:14" x14ac:dyDescent="0.2">
      <c r="A1161" s="84"/>
      <c r="B1161" s="84"/>
      <c r="C1161" s="60"/>
      <c r="D1161" s="66"/>
      <c r="E1161" s="66"/>
      <c r="F1161" s="66"/>
      <c r="G1161" s="66"/>
      <c r="H1161" s="66"/>
      <c r="I1161" s="66"/>
      <c r="J1161" s="66"/>
      <c r="K1161" s="66"/>
      <c r="L1161" s="66"/>
      <c r="M1161" s="66"/>
      <c r="N1161" s="66"/>
    </row>
    <row r="1162" spans="1:14" x14ac:dyDescent="0.2">
      <c r="A1162" s="84"/>
      <c r="B1162" s="84"/>
      <c r="C1162" s="60"/>
      <c r="D1162" s="66"/>
      <c r="E1162" s="66"/>
      <c r="F1162" s="66"/>
      <c r="G1162" s="66"/>
      <c r="H1162" s="66"/>
      <c r="I1162" s="66"/>
      <c r="J1162" s="66"/>
      <c r="K1162" s="66"/>
      <c r="L1162" s="66"/>
      <c r="M1162" s="66"/>
      <c r="N1162" s="66"/>
    </row>
    <row r="1163" spans="1:14" x14ac:dyDescent="0.2">
      <c r="A1163" s="84"/>
      <c r="B1163" s="84"/>
      <c r="C1163" s="60"/>
      <c r="D1163" s="66"/>
      <c r="E1163" s="66"/>
      <c r="F1163" s="66"/>
      <c r="G1163" s="66"/>
      <c r="H1163" s="66"/>
      <c r="I1163" s="66"/>
      <c r="J1163" s="66"/>
      <c r="K1163" s="66"/>
      <c r="L1163" s="66"/>
      <c r="M1163" s="66"/>
      <c r="N1163" s="66"/>
    </row>
    <row r="1164" spans="1:14" x14ac:dyDescent="0.2">
      <c r="A1164" s="84"/>
      <c r="B1164" s="84"/>
      <c r="C1164" s="60"/>
      <c r="D1164" s="66"/>
      <c r="E1164" s="66"/>
      <c r="F1164" s="66"/>
      <c r="G1164" s="66"/>
      <c r="H1164" s="66"/>
      <c r="I1164" s="66"/>
      <c r="J1164" s="66"/>
      <c r="K1164" s="66"/>
      <c r="L1164" s="66"/>
      <c r="M1164" s="66"/>
      <c r="N1164" s="66"/>
    </row>
    <row r="1165" spans="1:14" x14ac:dyDescent="0.2">
      <c r="A1165" s="84"/>
      <c r="B1165" s="84"/>
      <c r="C1165" s="60"/>
      <c r="D1165" s="66"/>
      <c r="E1165" s="66"/>
      <c r="F1165" s="66"/>
      <c r="G1165" s="66"/>
      <c r="H1165" s="66"/>
      <c r="I1165" s="66"/>
      <c r="J1165" s="66"/>
      <c r="K1165" s="66"/>
      <c r="L1165" s="66"/>
      <c r="M1165" s="66"/>
      <c r="N1165" s="66"/>
    </row>
    <row r="1166" spans="1:14" x14ac:dyDescent="0.2">
      <c r="A1166" s="84"/>
      <c r="B1166" s="84"/>
      <c r="C1166" s="60"/>
      <c r="D1166" s="66"/>
      <c r="E1166" s="66"/>
      <c r="F1166" s="66"/>
      <c r="G1166" s="66"/>
      <c r="H1166" s="66"/>
      <c r="I1166" s="66"/>
      <c r="J1166" s="66"/>
      <c r="K1166" s="66"/>
      <c r="L1166" s="66"/>
      <c r="M1166" s="66"/>
      <c r="N1166" s="66"/>
    </row>
    <row r="1167" spans="1:14" x14ac:dyDescent="0.2">
      <c r="A1167" s="84"/>
      <c r="B1167" s="84"/>
      <c r="C1167" s="60"/>
      <c r="D1167" s="66"/>
      <c r="E1167" s="66"/>
      <c r="F1167" s="66"/>
      <c r="G1167" s="66"/>
      <c r="H1167" s="66"/>
      <c r="I1167" s="66"/>
      <c r="J1167" s="66"/>
      <c r="K1167" s="66"/>
      <c r="L1167" s="66"/>
      <c r="M1167" s="66"/>
      <c r="N1167" s="66"/>
    </row>
    <row r="1168" spans="1:14" x14ac:dyDescent="0.2">
      <c r="A1168" s="84"/>
      <c r="B1168" s="84"/>
      <c r="C1168" s="60"/>
      <c r="D1168" s="66"/>
      <c r="E1168" s="66"/>
      <c r="F1168" s="66"/>
      <c r="G1168" s="66"/>
      <c r="H1168" s="66"/>
      <c r="I1168" s="66"/>
      <c r="J1168" s="66"/>
      <c r="K1168" s="66"/>
      <c r="L1168" s="66"/>
      <c r="M1168" s="66"/>
      <c r="N1168" s="66"/>
    </row>
    <row r="1169" spans="1:14" x14ac:dyDescent="0.2">
      <c r="A1169" s="84"/>
      <c r="B1169" s="84"/>
      <c r="C1169" s="60"/>
      <c r="D1169" s="66"/>
      <c r="E1169" s="66"/>
      <c r="F1169" s="66"/>
      <c r="G1169" s="66"/>
      <c r="H1169" s="66"/>
      <c r="I1169" s="66"/>
      <c r="J1169" s="66"/>
      <c r="K1169" s="66"/>
      <c r="L1169" s="66"/>
      <c r="M1169" s="66"/>
      <c r="N1169" s="66"/>
    </row>
    <row r="1170" spans="1:14" x14ac:dyDescent="0.2">
      <c r="A1170" s="84"/>
      <c r="B1170" s="84"/>
      <c r="C1170" s="60"/>
      <c r="D1170" s="66"/>
      <c r="E1170" s="66"/>
      <c r="F1170" s="66"/>
      <c r="G1170" s="66"/>
      <c r="H1170" s="66"/>
      <c r="I1170" s="66"/>
      <c r="J1170" s="66"/>
      <c r="K1170" s="66"/>
      <c r="L1170" s="66"/>
      <c r="M1170" s="66"/>
      <c r="N1170" s="66"/>
    </row>
    <row r="1171" spans="1:14" x14ac:dyDescent="0.2">
      <c r="A1171" s="84"/>
      <c r="B1171" s="84"/>
      <c r="C1171" s="60"/>
      <c r="D1171" s="66"/>
      <c r="E1171" s="66"/>
      <c r="F1171" s="66"/>
      <c r="G1171" s="66"/>
      <c r="H1171" s="66"/>
      <c r="I1171" s="66"/>
      <c r="J1171" s="66"/>
      <c r="K1171" s="66"/>
      <c r="L1171" s="66"/>
      <c r="M1171" s="66"/>
      <c r="N1171" s="66"/>
    </row>
    <row r="1172" spans="1:14" x14ac:dyDescent="0.2">
      <c r="A1172" s="84"/>
      <c r="B1172" s="84"/>
      <c r="C1172" s="60"/>
      <c r="D1172" s="66"/>
      <c r="E1172" s="66"/>
      <c r="F1172" s="66"/>
      <c r="G1172" s="66"/>
      <c r="H1172" s="66"/>
      <c r="I1172" s="66"/>
      <c r="J1172" s="66"/>
      <c r="K1172" s="66"/>
      <c r="L1172" s="66"/>
      <c r="M1172" s="66"/>
      <c r="N1172" s="66"/>
    </row>
    <row r="1173" spans="1:14" x14ac:dyDescent="0.2">
      <c r="A1173" s="84"/>
      <c r="B1173" s="84"/>
      <c r="C1173" s="60"/>
      <c r="D1173" s="66"/>
      <c r="E1173" s="66"/>
      <c r="F1173" s="66"/>
      <c r="G1173" s="66"/>
      <c r="H1173" s="66"/>
      <c r="I1173" s="66"/>
      <c r="J1173" s="66"/>
      <c r="K1173" s="66"/>
      <c r="L1173" s="66"/>
      <c r="M1173" s="66"/>
      <c r="N1173" s="66"/>
    </row>
    <row r="1174" spans="1:14" x14ac:dyDescent="0.2">
      <c r="A1174" s="84"/>
      <c r="B1174" s="84"/>
      <c r="C1174" s="60"/>
      <c r="D1174" s="66"/>
      <c r="E1174" s="66"/>
      <c r="F1174" s="66"/>
      <c r="G1174" s="66"/>
      <c r="H1174" s="66"/>
      <c r="I1174" s="66"/>
      <c r="J1174" s="66"/>
      <c r="K1174" s="66"/>
      <c r="L1174" s="66"/>
      <c r="M1174" s="66"/>
      <c r="N1174" s="66"/>
    </row>
    <row r="1175" spans="1:14" x14ac:dyDescent="0.2">
      <c r="A1175" s="84"/>
      <c r="B1175" s="84"/>
      <c r="C1175" s="60"/>
      <c r="D1175" s="66"/>
      <c r="E1175" s="66"/>
      <c r="F1175" s="66"/>
      <c r="G1175" s="66"/>
      <c r="H1175" s="66"/>
      <c r="I1175" s="66"/>
      <c r="J1175" s="66"/>
      <c r="K1175" s="66"/>
      <c r="L1175" s="66"/>
      <c r="M1175" s="66"/>
      <c r="N1175" s="66"/>
    </row>
    <row r="1176" spans="1:14" x14ac:dyDescent="0.2">
      <c r="A1176" s="84"/>
      <c r="B1176" s="84"/>
      <c r="C1176" s="60"/>
      <c r="D1176" s="66"/>
      <c r="E1176" s="66"/>
      <c r="F1176" s="66"/>
      <c r="G1176" s="66"/>
      <c r="H1176" s="66"/>
      <c r="I1176" s="66"/>
      <c r="J1176" s="66"/>
      <c r="K1176" s="66"/>
      <c r="L1176" s="66"/>
      <c r="M1176" s="66"/>
      <c r="N1176" s="66"/>
    </row>
    <row r="1177" spans="1:14" x14ac:dyDescent="0.2">
      <c r="A1177" s="84"/>
      <c r="B1177" s="84"/>
      <c r="C1177" s="60"/>
      <c r="D1177" s="66"/>
      <c r="E1177" s="66"/>
      <c r="F1177" s="66"/>
      <c r="G1177" s="66"/>
      <c r="H1177" s="66"/>
      <c r="I1177" s="66"/>
      <c r="J1177" s="66"/>
      <c r="K1177" s="66"/>
      <c r="L1177" s="66"/>
      <c r="M1177" s="66"/>
      <c r="N1177" s="66"/>
    </row>
    <row r="1178" spans="1:14" x14ac:dyDescent="0.2">
      <c r="A1178" s="84"/>
      <c r="B1178" s="84"/>
      <c r="C1178" s="60"/>
      <c r="D1178" s="66"/>
      <c r="E1178" s="66"/>
      <c r="F1178" s="66"/>
      <c r="G1178" s="66"/>
      <c r="H1178" s="66"/>
      <c r="I1178" s="66"/>
      <c r="J1178" s="66"/>
      <c r="K1178" s="66"/>
      <c r="L1178" s="66"/>
      <c r="M1178" s="66"/>
      <c r="N1178" s="66"/>
    </row>
    <row r="1179" spans="1:14" x14ac:dyDescent="0.2">
      <c r="A1179" s="84"/>
      <c r="B1179" s="84"/>
      <c r="C1179" s="60"/>
      <c r="D1179" s="66"/>
      <c r="E1179" s="66"/>
      <c r="F1179" s="66"/>
      <c r="G1179" s="66"/>
      <c r="H1179" s="66"/>
      <c r="I1179" s="66"/>
      <c r="J1179" s="66"/>
      <c r="K1179" s="66"/>
      <c r="L1179" s="66"/>
      <c r="M1179" s="66"/>
      <c r="N1179" s="66"/>
    </row>
    <row r="1180" spans="1:14" x14ac:dyDescent="0.2">
      <c r="A1180" s="84"/>
      <c r="B1180" s="84"/>
      <c r="C1180" s="60"/>
      <c r="D1180" s="66"/>
      <c r="E1180" s="66"/>
      <c r="F1180" s="66"/>
      <c r="G1180" s="66"/>
      <c r="H1180" s="66"/>
      <c r="I1180" s="66"/>
      <c r="J1180" s="66"/>
      <c r="K1180" s="66"/>
      <c r="L1180" s="66"/>
      <c r="M1180" s="66"/>
      <c r="N1180" s="66"/>
    </row>
    <row r="1181" spans="1:14" x14ac:dyDescent="0.2">
      <c r="A1181" s="84"/>
      <c r="B1181" s="84"/>
      <c r="C1181" s="60"/>
      <c r="D1181" s="66"/>
      <c r="E1181" s="66"/>
      <c r="F1181" s="66"/>
      <c r="G1181" s="66"/>
      <c r="H1181" s="66"/>
      <c r="I1181" s="66"/>
      <c r="J1181" s="66"/>
      <c r="K1181" s="66"/>
      <c r="L1181" s="66"/>
      <c r="M1181" s="66"/>
      <c r="N1181" s="66"/>
    </row>
    <row r="1182" spans="1:14" x14ac:dyDescent="0.2">
      <c r="A1182" s="84"/>
      <c r="B1182" s="84"/>
      <c r="C1182" s="60"/>
      <c r="D1182" s="66"/>
      <c r="E1182" s="66"/>
      <c r="F1182" s="66"/>
      <c r="G1182" s="66"/>
      <c r="H1182" s="66"/>
      <c r="I1182" s="66"/>
      <c r="J1182" s="66"/>
      <c r="K1182" s="66"/>
      <c r="L1182" s="66"/>
      <c r="M1182" s="66"/>
      <c r="N1182" s="66"/>
    </row>
    <row r="1183" spans="1:14" x14ac:dyDescent="0.2">
      <c r="A1183" s="84"/>
      <c r="B1183" s="84"/>
      <c r="C1183" s="60"/>
      <c r="D1183" s="66"/>
      <c r="E1183" s="66"/>
      <c r="F1183" s="66"/>
      <c r="G1183" s="66"/>
      <c r="H1183" s="66"/>
      <c r="I1183" s="66"/>
      <c r="J1183" s="66"/>
      <c r="K1183" s="66"/>
      <c r="L1183" s="66"/>
      <c r="M1183" s="66"/>
      <c r="N1183" s="66"/>
    </row>
    <row r="1184" spans="1:14" x14ac:dyDescent="0.2">
      <c r="A1184" s="84"/>
      <c r="B1184" s="84"/>
      <c r="C1184" s="60"/>
      <c r="D1184" s="66"/>
      <c r="E1184" s="66"/>
      <c r="F1184" s="66"/>
      <c r="G1184" s="66"/>
      <c r="H1184" s="66"/>
      <c r="I1184" s="66"/>
      <c r="J1184" s="66"/>
      <c r="K1184" s="66"/>
      <c r="L1184" s="66"/>
      <c r="M1184" s="66"/>
      <c r="N1184" s="66"/>
    </row>
    <row r="1185" spans="1:14" x14ac:dyDescent="0.2">
      <c r="A1185" s="84"/>
      <c r="B1185" s="84"/>
      <c r="C1185" s="60"/>
      <c r="D1185" s="66"/>
      <c r="E1185" s="66"/>
      <c r="F1185" s="66"/>
      <c r="G1185" s="66"/>
      <c r="H1185" s="66"/>
      <c r="I1185" s="66"/>
      <c r="J1185" s="66"/>
      <c r="K1185" s="66"/>
      <c r="L1185" s="66"/>
      <c r="M1185" s="66"/>
      <c r="N1185" s="66"/>
    </row>
    <row r="1186" spans="1:14" x14ac:dyDescent="0.2">
      <c r="A1186" s="84"/>
      <c r="B1186" s="84"/>
      <c r="C1186" s="60"/>
      <c r="D1186" s="66"/>
      <c r="E1186" s="66"/>
      <c r="F1186" s="66"/>
      <c r="G1186" s="66"/>
      <c r="H1186" s="66"/>
      <c r="I1186" s="66"/>
      <c r="J1186" s="66"/>
      <c r="K1186" s="66"/>
      <c r="L1186" s="66"/>
      <c r="M1186" s="66"/>
      <c r="N1186" s="66"/>
    </row>
    <row r="1187" spans="1:14" x14ac:dyDescent="0.2">
      <c r="A1187" s="84"/>
      <c r="B1187" s="84"/>
      <c r="C1187" s="60"/>
      <c r="D1187" s="66"/>
      <c r="E1187" s="66"/>
      <c r="F1187" s="66"/>
      <c r="G1187" s="66"/>
      <c r="H1187" s="66"/>
      <c r="I1187" s="66"/>
      <c r="J1187" s="66"/>
      <c r="K1187" s="66"/>
      <c r="L1187" s="66"/>
      <c r="M1187" s="66"/>
      <c r="N1187" s="66"/>
    </row>
    <row r="1188" spans="1:14" x14ac:dyDescent="0.2">
      <c r="A1188" s="84"/>
      <c r="B1188" s="84"/>
      <c r="C1188" s="60"/>
      <c r="D1188" s="66"/>
      <c r="E1188" s="66"/>
      <c r="F1188" s="66"/>
      <c r="G1188" s="66"/>
      <c r="H1188" s="66"/>
      <c r="I1188" s="66"/>
      <c r="J1188" s="66"/>
      <c r="K1188" s="66"/>
      <c r="L1188" s="66"/>
      <c r="M1188" s="66"/>
      <c r="N1188" s="66"/>
    </row>
    <row r="1189" spans="1:14" x14ac:dyDescent="0.2">
      <c r="A1189" s="84"/>
      <c r="B1189" s="84"/>
      <c r="C1189" s="60"/>
      <c r="D1189" s="66"/>
      <c r="E1189" s="66"/>
      <c r="F1189" s="66"/>
      <c r="G1189" s="66"/>
      <c r="H1189" s="66"/>
      <c r="I1189" s="66"/>
      <c r="J1189" s="66"/>
      <c r="K1189" s="66"/>
      <c r="L1189" s="66"/>
      <c r="M1189" s="66"/>
      <c r="N1189" s="66"/>
    </row>
    <row r="1190" spans="1:14" x14ac:dyDescent="0.2">
      <c r="A1190" s="84"/>
      <c r="B1190" s="84"/>
      <c r="C1190" s="60"/>
      <c r="D1190" s="66"/>
      <c r="E1190" s="66"/>
      <c r="F1190" s="66"/>
      <c r="G1190" s="66"/>
      <c r="H1190" s="66"/>
      <c r="I1190" s="66"/>
      <c r="J1190" s="66"/>
      <c r="K1190" s="66"/>
      <c r="L1190" s="66"/>
      <c r="M1190" s="66"/>
      <c r="N1190" s="66"/>
    </row>
    <row r="1191" spans="1:14" x14ac:dyDescent="0.2">
      <c r="A1191" s="84"/>
      <c r="B1191" s="84"/>
      <c r="C1191" s="60"/>
      <c r="D1191" s="66"/>
      <c r="E1191" s="66"/>
      <c r="F1191" s="66"/>
      <c r="G1191" s="66"/>
      <c r="H1191" s="66"/>
      <c r="I1191" s="66"/>
      <c r="J1191" s="66"/>
      <c r="K1191" s="66"/>
      <c r="L1191" s="66"/>
      <c r="M1191" s="66"/>
      <c r="N1191" s="66"/>
    </row>
    <row r="1192" spans="1:14" x14ac:dyDescent="0.2">
      <c r="A1192" s="84"/>
      <c r="B1192" s="84"/>
      <c r="C1192" s="60"/>
      <c r="D1192" s="66"/>
      <c r="E1192" s="66"/>
      <c r="F1192" s="66"/>
      <c r="G1192" s="66"/>
      <c r="H1192" s="66"/>
      <c r="I1192" s="66"/>
      <c r="J1192" s="66"/>
      <c r="K1192" s="66"/>
      <c r="L1192" s="66"/>
      <c r="M1192" s="66"/>
      <c r="N1192" s="66"/>
    </row>
    <row r="1193" spans="1:14" x14ac:dyDescent="0.2">
      <c r="A1193" s="84"/>
      <c r="B1193" s="84"/>
      <c r="C1193" s="60"/>
      <c r="D1193" s="66"/>
      <c r="E1193" s="66"/>
      <c r="F1193" s="66"/>
      <c r="G1193" s="66"/>
      <c r="H1193" s="66"/>
      <c r="I1193" s="66"/>
      <c r="J1193" s="66"/>
      <c r="K1193" s="66"/>
      <c r="L1193" s="66"/>
      <c r="M1193" s="66"/>
      <c r="N1193" s="66"/>
    </row>
    <row r="1194" spans="1:14" x14ac:dyDescent="0.2">
      <c r="A1194" s="84"/>
      <c r="B1194" s="84"/>
      <c r="C1194" s="60"/>
      <c r="D1194" s="66"/>
      <c r="E1194" s="66"/>
      <c r="F1194" s="66"/>
      <c r="G1194" s="66"/>
      <c r="H1194" s="66"/>
      <c r="I1194" s="66"/>
      <c r="J1194" s="66"/>
      <c r="K1194" s="66"/>
      <c r="L1194" s="66"/>
      <c r="M1194" s="66"/>
      <c r="N1194" s="66"/>
    </row>
    <row r="1195" spans="1:14" x14ac:dyDescent="0.2">
      <c r="A1195" s="84"/>
      <c r="B1195" s="84"/>
      <c r="C1195" s="60"/>
      <c r="D1195" s="66"/>
      <c r="E1195" s="66"/>
      <c r="F1195" s="66"/>
      <c r="G1195" s="66"/>
      <c r="H1195" s="66"/>
      <c r="I1195" s="66"/>
      <c r="J1195" s="66"/>
      <c r="K1195" s="66"/>
      <c r="L1195" s="66"/>
      <c r="M1195" s="66"/>
      <c r="N1195" s="66"/>
    </row>
    <row r="1196" spans="1:14" x14ac:dyDescent="0.2">
      <c r="A1196" s="84"/>
      <c r="B1196" s="84"/>
      <c r="C1196" s="60"/>
      <c r="D1196" s="66"/>
      <c r="E1196" s="66"/>
      <c r="F1196" s="66"/>
      <c r="G1196" s="66"/>
      <c r="H1196" s="66"/>
      <c r="I1196" s="66"/>
      <c r="J1196" s="66"/>
      <c r="K1196" s="66"/>
      <c r="L1196" s="66"/>
      <c r="M1196" s="66"/>
      <c r="N1196" s="66"/>
    </row>
    <row r="1197" spans="1:14" x14ac:dyDescent="0.2">
      <c r="A1197" s="84"/>
      <c r="B1197" s="84"/>
      <c r="C1197" s="60"/>
      <c r="D1197" s="66"/>
      <c r="E1197" s="66"/>
      <c r="F1197" s="66"/>
      <c r="G1197" s="66"/>
      <c r="H1197" s="66"/>
      <c r="I1197" s="66"/>
      <c r="J1197" s="66"/>
      <c r="K1197" s="66"/>
      <c r="L1197" s="66"/>
      <c r="M1197" s="66"/>
      <c r="N1197" s="66"/>
    </row>
    <row r="1198" spans="1:14" x14ac:dyDescent="0.2">
      <c r="A1198" s="84"/>
      <c r="B1198" s="84"/>
      <c r="C1198" s="60"/>
      <c r="D1198" s="66"/>
      <c r="E1198" s="66"/>
      <c r="F1198" s="66"/>
      <c r="G1198" s="66"/>
      <c r="H1198" s="66"/>
      <c r="I1198" s="66"/>
      <c r="J1198" s="66"/>
      <c r="K1198" s="66"/>
      <c r="L1198" s="66"/>
      <c r="M1198" s="66"/>
      <c r="N1198" s="66"/>
    </row>
    <row r="1199" spans="1:14" x14ac:dyDescent="0.2">
      <c r="A1199" s="84"/>
      <c r="B1199" s="84"/>
      <c r="C1199" s="60"/>
      <c r="D1199" s="66"/>
      <c r="E1199" s="66"/>
      <c r="F1199" s="66"/>
      <c r="G1199" s="66"/>
      <c r="H1199" s="66"/>
      <c r="I1199" s="66"/>
      <c r="J1199" s="66"/>
      <c r="K1199" s="66"/>
      <c r="L1199" s="66"/>
      <c r="M1199" s="66"/>
      <c r="N1199" s="66"/>
    </row>
    <row r="1200" spans="1:14" x14ac:dyDescent="0.2">
      <c r="A1200" s="84"/>
      <c r="B1200" s="84"/>
      <c r="C1200" s="60"/>
      <c r="D1200" s="66"/>
      <c r="E1200" s="66"/>
      <c r="F1200" s="66"/>
      <c r="G1200" s="66"/>
      <c r="H1200" s="66"/>
      <c r="I1200" s="66"/>
      <c r="J1200" s="66"/>
      <c r="K1200" s="66"/>
      <c r="L1200" s="66"/>
      <c r="M1200" s="66"/>
      <c r="N1200" s="66"/>
    </row>
    <row r="1201" spans="1:14" x14ac:dyDescent="0.2">
      <c r="A1201" s="84"/>
      <c r="B1201" s="84"/>
      <c r="C1201" s="60"/>
      <c r="D1201" s="66"/>
      <c r="E1201" s="66"/>
      <c r="F1201" s="66"/>
      <c r="G1201" s="66"/>
      <c r="H1201" s="66"/>
      <c r="I1201" s="66"/>
      <c r="J1201" s="66"/>
      <c r="K1201" s="66"/>
      <c r="L1201" s="66"/>
      <c r="M1201" s="66"/>
      <c r="N1201" s="66"/>
    </row>
    <row r="1202" spans="1:14" x14ac:dyDescent="0.2">
      <c r="A1202" s="84"/>
      <c r="B1202" s="84"/>
      <c r="C1202" s="60"/>
      <c r="D1202" s="66"/>
      <c r="E1202" s="66"/>
      <c r="F1202" s="66"/>
      <c r="G1202" s="66"/>
      <c r="H1202" s="66"/>
      <c r="I1202" s="66"/>
      <c r="J1202" s="66"/>
      <c r="K1202" s="66"/>
      <c r="L1202" s="66"/>
      <c r="M1202" s="66"/>
      <c r="N1202" s="66"/>
    </row>
    <row r="1203" spans="1:14" x14ac:dyDescent="0.2">
      <c r="A1203" s="84"/>
      <c r="B1203" s="84"/>
      <c r="C1203" s="60"/>
      <c r="D1203" s="66"/>
      <c r="E1203" s="66"/>
      <c r="F1203" s="66"/>
      <c r="G1203" s="66"/>
      <c r="H1203" s="66"/>
      <c r="I1203" s="66"/>
      <c r="J1203" s="66"/>
      <c r="K1203" s="66"/>
      <c r="L1203" s="66"/>
      <c r="M1203" s="66"/>
      <c r="N1203" s="66"/>
    </row>
    <row r="1204" spans="1:14" x14ac:dyDescent="0.2">
      <c r="A1204" s="84"/>
      <c r="B1204" s="84"/>
      <c r="C1204" s="60"/>
      <c r="D1204" s="66"/>
      <c r="E1204" s="66"/>
      <c r="F1204" s="66"/>
      <c r="G1204" s="66"/>
      <c r="H1204" s="66"/>
      <c r="I1204" s="66"/>
      <c r="J1204" s="66"/>
      <c r="K1204" s="66"/>
      <c r="L1204" s="66"/>
      <c r="M1204" s="66"/>
      <c r="N1204" s="66"/>
    </row>
    <row r="1205" spans="1:14" x14ac:dyDescent="0.2">
      <c r="A1205" s="84"/>
      <c r="B1205" s="84"/>
      <c r="C1205" s="60"/>
      <c r="D1205" s="66"/>
      <c r="E1205" s="66"/>
      <c r="F1205" s="66"/>
      <c r="G1205" s="66"/>
      <c r="H1205" s="66"/>
      <c r="I1205" s="66"/>
      <c r="J1205" s="66"/>
      <c r="K1205" s="66"/>
      <c r="L1205" s="66"/>
      <c r="M1205" s="66"/>
      <c r="N1205" s="66"/>
    </row>
    <row r="1206" spans="1:14" x14ac:dyDescent="0.2">
      <c r="A1206" s="84"/>
      <c r="B1206" s="84"/>
      <c r="C1206" s="60"/>
      <c r="D1206" s="66"/>
      <c r="E1206" s="66"/>
      <c r="F1206" s="66"/>
      <c r="G1206" s="66"/>
      <c r="H1206" s="66"/>
      <c r="I1206" s="66"/>
      <c r="J1206" s="66"/>
      <c r="K1206" s="66"/>
      <c r="L1206" s="66"/>
      <c r="M1206" s="66"/>
      <c r="N1206" s="66"/>
    </row>
    <row r="1207" spans="1:14" x14ac:dyDescent="0.2">
      <c r="A1207" s="84"/>
      <c r="B1207" s="84"/>
      <c r="C1207" s="60"/>
      <c r="D1207" s="66"/>
      <c r="E1207" s="66"/>
      <c r="F1207" s="66"/>
      <c r="G1207" s="66"/>
      <c r="H1207" s="66"/>
      <c r="I1207" s="66"/>
      <c r="J1207" s="66"/>
      <c r="K1207" s="66"/>
      <c r="L1207" s="66"/>
      <c r="M1207" s="66"/>
      <c r="N1207" s="66"/>
    </row>
    <row r="1208" spans="1:14" x14ac:dyDescent="0.2">
      <c r="A1208" s="84"/>
      <c r="B1208" s="84"/>
      <c r="C1208" s="60"/>
      <c r="D1208" s="66"/>
      <c r="E1208" s="66"/>
      <c r="F1208" s="66"/>
      <c r="G1208" s="66"/>
      <c r="H1208" s="66"/>
      <c r="I1208" s="66"/>
      <c r="J1208" s="66"/>
      <c r="K1208" s="66"/>
      <c r="L1208" s="66"/>
      <c r="M1208" s="66"/>
      <c r="N1208" s="66"/>
    </row>
    <row r="1209" spans="1:14" x14ac:dyDescent="0.2">
      <c r="A1209" s="84"/>
      <c r="B1209" s="84"/>
      <c r="C1209" s="60"/>
      <c r="D1209" s="66"/>
      <c r="E1209" s="66"/>
      <c r="F1209" s="66"/>
      <c r="G1209" s="66"/>
      <c r="H1209" s="66"/>
      <c r="I1209" s="66"/>
      <c r="J1209" s="66"/>
      <c r="K1209" s="66"/>
      <c r="L1209" s="66"/>
      <c r="M1209" s="66"/>
      <c r="N1209" s="66"/>
    </row>
    <row r="1210" spans="1:14" x14ac:dyDescent="0.2">
      <c r="A1210" s="84"/>
      <c r="B1210" s="84"/>
      <c r="C1210" s="60"/>
      <c r="D1210" s="66"/>
      <c r="E1210" s="66"/>
      <c r="F1210" s="66"/>
      <c r="G1210" s="66"/>
      <c r="H1210" s="66"/>
      <c r="I1210" s="66"/>
      <c r="J1210" s="66"/>
      <c r="K1210" s="66"/>
      <c r="L1210" s="66"/>
      <c r="M1210" s="66"/>
      <c r="N1210" s="66"/>
    </row>
    <row r="1211" spans="1:14" x14ac:dyDescent="0.2">
      <c r="A1211" s="84"/>
      <c r="B1211" s="84"/>
      <c r="C1211" s="60"/>
      <c r="D1211" s="66"/>
      <c r="E1211" s="66"/>
      <c r="F1211" s="66"/>
      <c r="G1211" s="66"/>
      <c r="H1211" s="66"/>
      <c r="I1211" s="66"/>
      <c r="J1211" s="66"/>
      <c r="K1211" s="66"/>
      <c r="L1211" s="66"/>
      <c r="M1211" s="66"/>
      <c r="N1211" s="66"/>
    </row>
    <row r="1212" spans="1:14" x14ac:dyDescent="0.2">
      <c r="A1212" s="84"/>
      <c r="B1212" s="84"/>
      <c r="C1212" s="60"/>
      <c r="D1212" s="66"/>
      <c r="E1212" s="66"/>
      <c r="F1212" s="66"/>
      <c r="G1212" s="66"/>
      <c r="H1212" s="66"/>
      <c r="I1212" s="66"/>
      <c r="J1212" s="66"/>
      <c r="K1212" s="66"/>
      <c r="L1212" s="66"/>
      <c r="M1212" s="66"/>
      <c r="N1212" s="66"/>
    </row>
    <row r="1213" spans="1:14" x14ac:dyDescent="0.2">
      <c r="A1213" s="84"/>
      <c r="B1213" s="84"/>
      <c r="C1213" s="60"/>
      <c r="D1213" s="66"/>
      <c r="E1213" s="66"/>
      <c r="F1213" s="66"/>
      <c r="G1213" s="66"/>
      <c r="H1213" s="66"/>
      <c r="I1213" s="66"/>
      <c r="J1213" s="66"/>
      <c r="K1213" s="66"/>
      <c r="L1213" s="66"/>
      <c r="M1213" s="66"/>
      <c r="N1213" s="66"/>
    </row>
    <row r="1214" spans="1:14" x14ac:dyDescent="0.2">
      <c r="A1214" s="84"/>
      <c r="B1214" s="84"/>
      <c r="C1214" s="60"/>
      <c r="D1214" s="66"/>
      <c r="E1214" s="66"/>
      <c r="F1214" s="66"/>
      <c r="G1214" s="66"/>
      <c r="H1214" s="66"/>
      <c r="I1214" s="66"/>
      <c r="J1214" s="66"/>
      <c r="K1214" s="66"/>
      <c r="L1214" s="66"/>
      <c r="M1214" s="66"/>
      <c r="N1214" s="66"/>
    </row>
    <row r="1215" spans="1:14" x14ac:dyDescent="0.2">
      <c r="A1215" s="84"/>
      <c r="B1215" s="84"/>
      <c r="C1215" s="60"/>
      <c r="D1215" s="66"/>
      <c r="E1215" s="66"/>
      <c r="F1215" s="66"/>
      <c r="G1215" s="66"/>
      <c r="H1215" s="66"/>
      <c r="I1215" s="66"/>
      <c r="J1215" s="66"/>
      <c r="K1215" s="66"/>
      <c r="L1215" s="66"/>
      <c r="M1215" s="66"/>
      <c r="N1215" s="66"/>
    </row>
    <row r="1216" spans="1:14" x14ac:dyDescent="0.2">
      <c r="A1216" s="84"/>
      <c r="B1216" s="84"/>
      <c r="C1216" s="60"/>
      <c r="D1216" s="66"/>
      <c r="E1216" s="66"/>
      <c r="F1216" s="66"/>
      <c r="G1216" s="66"/>
      <c r="H1216" s="66"/>
      <c r="I1216" s="66"/>
      <c r="J1216" s="66"/>
      <c r="K1216" s="66"/>
      <c r="L1216" s="66"/>
      <c r="M1216" s="66"/>
      <c r="N1216" s="66"/>
    </row>
    <row r="1217" spans="1:14" x14ac:dyDescent="0.2">
      <c r="A1217" s="84"/>
      <c r="B1217" s="84"/>
      <c r="C1217" s="60"/>
      <c r="D1217" s="66"/>
      <c r="E1217" s="66"/>
      <c r="F1217" s="66"/>
      <c r="G1217" s="66"/>
      <c r="H1217" s="66"/>
      <c r="I1217" s="66"/>
      <c r="J1217" s="66"/>
      <c r="K1217" s="66"/>
      <c r="L1217" s="66"/>
      <c r="M1217" s="66"/>
      <c r="N1217" s="66"/>
    </row>
    <row r="1218" spans="1:14" x14ac:dyDescent="0.2">
      <c r="A1218" s="84"/>
      <c r="B1218" s="84"/>
      <c r="C1218" s="60"/>
      <c r="D1218" s="66"/>
      <c r="E1218" s="66"/>
      <c r="F1218" s="66"/>
      <c r="G1218" s="66"/>
      <c r="H1218" s="66"/>
      <c r="I1218" s="66"/>
      <c r="J1218" s="66"/>
      <c r="K1218" s="66"/>
      <c r="L1218" s="66"/>
      <c r="M1218" s="66"/>
      <c r="N1218" s="66"/>
    </row>
    <row r="1219" spans="1:14" x14ac:dyDescent="0.2">
      <c r="A1219" s="84"/>
      <c r="B1219" s="84"/>
      <c r="C1219" s="60"/>
      <c r="D1219" s="66"/>
      <c r="E1219" s="66"/>
      <c r="F1219" s="66"/>
      <c r="G1219" s="66"/>
      <c r="H1219" s="66"/>
      <c r="I1219" s="66"/>
      <c r="J1219" s="66"/>
      <c r="K1219" s="66"/>
      <c r="L1219" s="66"/>
      <c r="M1219" s="66"/>
      <c r="N1219" s="66"/>
    </row>
    <row r="1220" spans="1:14" x14ac:dyDescent="0.2">
      <c r="A1220" s="84"/>
      <c r="B1220" s="84"/>
      <c r="C1220" s="60"/>
      <c r="D1220" s="66"/>
      <c r="E1220" s="66"/>
      <c r="F1220" s="66"/>
      <c r="G1220" s="66"/>
      <c r="H1220" s="66"/>
      <c r="I1220" s="66"/>
      <c r="J1220" s="66"/>
      <c r="K1220" s="66"/>
      <c r="L1220" s="66"/>
      <c r="M1220" s="66"/>
      <c r="N1220" s="66"/>
    </row>
    <row r="1221" spans="1:14" x14ac:dyDescent="0.2">
      <c r="A1221" s="84"/>
      <c r="B1221" s="84"/>
      <c r="C1221" s="60"/>
      <c r="D1221" s="66"/>
      <c r="E1221" s="66"/>
      <c r="F1221" s="66"/>
      <c r="G1221" s="66"/>
      <c r="H1221" s="66"/>
      <c r="I1221" s="66"/>
      <c r="J1221" s="66"/>
      <c r="K1221" s="66"/>
      <c r="L1221" s="66"/>
      <c r="M1221" s="66"/>
      <c r="N1221" s="66"/>
    </row>
    <row r="1222" spans="1:14" x14ac:dyDescent="0.2">
      <c r="A1222" s="84"/>
      <c r="B1222" s="84"/>
      <c r="C1222" s="60"/>
      <c r="D1222" s="66"/>
      <c r="E1222" s="66"/>
      <c r="F1222" s="66"/>
      <c r="G1222" s="66"/>
      <c r="H1222" s="66"/>
      <c r="I1222" s="66"/>
      <c r="J1222" s="66"/>
      <c r="K1222" s="66"/>
      <c r="L1222" s="66"/>
      <c r="M1222" s="66"/>
      <c r="N1222" s="66"/>
    </row>
    <row r="1223" spans="1:14" x14ac:dyDescent="0.2">
      <c r="A1223" s="84"/>
      <c r="B1223" s="84"/>
      <c r="C1223" s="60"/>
      <c r="D1223" s="66"/>
      <c r="E1223" s="66"/>
      <c r="F1223" s="66"/>
      <c r="G1223" s="66"/>
      <c r="H1223" s="66"/>
      <c r="I1223" s="66"/>
      <c r="J1223" s="66"/>
      <c r="K1223" s="66"/>
      <c r="L1223" s="66"/>
      <c r="M1223" s="66"/>
      <c r="N1223" s="66"/>
    </row>
    <row r="1224" spans="1:14" x14ac:dyDescent="0.2">
      <c r="A1224" s="84"/>
      <c r="B1224" s="84"/>
      <c r="C1224" s="60"/>
      <c r="D1224" s="66"/>
      <c r="E1224" s="66"/>
      <c r="F1224" s="66"/>
      <c r="G1224" s="66"/>
      <c r="H1224" s="66"/>
      <c r="I1224" s="66"/>
      <c r="J1224" s="66"/>
      <c r="K1224" s="66"/>
      <c r="L1224" s="66"/>
      <c r="M1224" s="66"/>
      <c r="N1224" s="66"/>
    </row>
    <row r="1225" spans="1:14" x14ac:dyDescent="0.2">
      <c r="A1225" s="84"/>
      <c r="B1225" s="84"/>
      <c r="C1225" s="60"/>
      <c r="D1225" s="66"/>
      <c r="E1225" s="66"/>
      <c r="F1225" s="66"/>
      <c r="G1225" s="66"/>
      <c r="H1225" s="66"/>
      <c r="I1225" s="66"/>
      <c r="J1225" s="66"/>
      <c r="K1225" s="66"/>
      <c r="L1225" s="66"/>
      <c r="M1225" s="66"/>
      <c r="N1225" s="66"/>
    </row>
  </sheetData>
  <pageMargins left="0.25" right="0.25" top="0.75" bottom="0.75" header="0.3" footer="0.3"/>
  <pageSetup scale="80" fitToHeight="0" orientation="landscape" r:id="rId1"/>
  <headerFooter>
    <oddFooter>&amp;LRev &amp;D&amp;C&amp;P</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7"/>
  <sheetViews>
    <sheetView topLeftCell="A38" workbookViewId="0">
      <selection activeCell="B53" sqref="B53"/>
    </sheetView>
  </sheetViews>
  <sheetFormatPr defaultRowHeight="15.75" x14ac:dyDescent="0.25"/>
  <cols>
    <col min="1" max="1" width="43" customWidth="1"/>
    <col min="2" max="2" width="9" customWidth="1"/>
  </cols>
  <sheetData>
    <row r="1" spans="1:13" x14ac:dyDescent="0.25">
      <c r="A1" s="55" t="str">
        <f>CMS!A1</f>
        <v>Northwest Youth Services Budget - 2018 - APPROVED BY BOARD NOV 30, 2017</v>
      </c>
      <c r="B1" s="54"/>
      <c r="C1" s="55" t="s">
        <v>259</v>
      </c>
      <c r="D1" s="54"/>
      <c r="E1" s="54"/>
      <c r="F1" s="54"/>
      <c r="G1" s="54"/>
      <c r="H1" s="54"/>
      <c r="I1" s="54"/>
      <c r="J1" s="54"/>
      <c r="K1" s="54"/>
      <c r="L1" s="54"/>
      <c r="M1" s="54"/>
    </row>
    <row r="3" spans="1:13" s="54" customFormat="1" x14ac:dyDescent="0.25"/>
    <row r="4" spans="1:13" s="7" customFormat="1" x14ac:dyDescent="0.25">
      <c r="A4" s="55" t="s">
        <v>260</v>
      </c>
      <c r="B4" s="68"/>
      <c r="C4" s="68"/>
      <c r="D4" s="68"/>
      <c r="E4" s="68"/>
      <c r="F4" s="68"/>
      <c r="G4" s="68"/>
      <c r="H4" s="68"/>
      <c r="I4" s="68"/>
      <c r="J4" s="68"/>
      <c r="K4" s="68"/>
      <c r="L4" s="68"/>
      <c r="M4" s="68"/>
    </row>
    <row r="5" spans="1:13" ht="16.5" thickBot="1" x14ac:dyDescent="0.3">
      <c r="A5" s="55"/>
      <c r="B5" s="143" t="str">
        <f>CMS!C5</f>
        <v>January</v>
      </c>
      <c r="C5" s="143" t="str">
        <f>CMS!D5</f>
        <v>February</v>
      </c>
      <c r="D5" s="143" t="str">
        <f>CMS!E5</f>
        <v>March</v>
      </c>
      <c r="E5" s="143" t="str">
        <f>CMS!F5</f>
        <v>April</v>
      </c>
      <c r="F5" s="143" t="str">
        <f>CMS!G5</f>
        <v>May</v>
      </c>
      <c r="G5" s="143" t="str">
        <f>CMS!H5</f>
        <v>June</v>
      </c>
      <c r="H5" s="143" t="str">
        <f>CMS!I5</f>
        <v>July</v>
      </c>
      <c r="I5" s="143" t="str">
        <f>CMS!J5</f>
        <v>August</v>
      </c>
      <c r="J5" s="143" t="str">
        <f>CMS!K5</f>
        <v>September</v>
      </c>
      <c r="K5" s="143" t="str">
        <f>CMS!L5</f>
        <v>October</v>
      </c>
      <c r="L5" s="143" t="str">
        <f>CMS!M5</f>
        <v>November</v>
      </c>
      <c r="M5" s="143" t="str">
        <f>CMS!N5</f>
        <v>December</v>
      </c>
    </row>
    <row r="6" spans="1:13" s="1" customFormat="1" ht="33" thickTop="1" thickBot="1" x14ac:dyDescent="0.3">
      <c r="A6" s="57" t="s">
        <v>261</v>
      </c>
      <c r="B6" s="96" t="s">
        <v>262</v>
      </c>
      <c r="C6" s="96" t="s">
        <v>262</v>
      </c>
      <c r="D6" s="96" t="s">
        <v>262</v>
      </c>
      <c r="E6" s="96" t="s">
        <v>262</v>
      </c>
      <c r="F6" s="96" t="s">
        <v>262</v>
      </c>
      <c r="G6" s="96" t="s">
        <v>262</v>
      </c>
      <c r="H6" s="96" t="s">
        <v>262</v>
      </c>
      <c r="I6" s="96" t="s">
        <v>262</v>
      </c>
      <c r="J6" s="96" t="s">
        <v>262</v>
      </c>
      <c r="K6" s="96" t="s">
        <v>262</v>
      </c>
      <c r="L6" s="96" t="s">
        <v>262</v>
      </c>
      <c r="M6" s="119" t="s">
        <v>262</v>
      </c>
    </row>
    <row r="7" spans="1:13" x14ac:dyDescent="0.25">
      <c r="A7" s="95" t="str">
        <f>HSSP!A3</f>
        <v>Homeless Student Stability Program</v>
      </c>
      <c r="B7" s="97">
        <f>SUM(HSSP!C102)</f>
        <v>1.1632183908045979</v>
      </c>
      <c r="C7" s="97">
        <f>SUM(HSSP!D102)</f>
        <v>1.1632183908045979</v>
      </c>
      <c r="D7" s="97">
        <f>SUM(HSSP!E102)</f>
        <v>1.1632183908045979</v>
      </c>
      <c r="E7" s="97">
        <f>SUM(HSSP!F102)</f>
        <v>1.1632183908045979</v>
      </c>
      <c r="F7" s="97">
        <f>SUM(HSSP!G102)</f>
        <v>1.1632183908045979</v>
      </c>
      <c r="G7" s="97">
        <f>SUM(HSSP!H102)</f>
        <v>1.1632183908045979</v>
      </c>
      <c r="H7" s="97">
        <f>SUM(HSSP!I102)</f>
        <v>0.16321839080459771</v>
      </c>
      <c r="I7" s="97">
        <f>SUM(HSSP!J102)</f>
        <v>0.16321839080459771</v>
      </c>
      <c r="J7" s="97">
        <f>SUM(HSSP!K102)</f>
        <v>1.1632183908045979</v>
      </c>
      <c r="K7" s="97">
        <f>SUM(HSSP!L102)</f>
        <v>1.1632183908045979</v>
      </c>
      <c r="L7" s="97">
        <f>SUM(HSSP!M102)</f>
        <v>1.1632183908045979</v>
      </c>
      <c r="M7" s="120">
        <f>SUM(HSSP!N102)</f>
        <v>1.1632183908045979</v>
      </c>
    </row>
    <row r="8" spans="1:13" x14ac:dyDescent="0.25">
      <c r="A8" s="95" t="str">
        <f>'WH - SOP'!A3</f>
        <v>Whatcom - Street Outreach Program</v>
      </c>
      <c r="B8" s="97">
        <f>SUM('WH - SOP'!C102)</f>
        <v>4.1345402298850571</v>
      </c>
      <c r="C8" s="97">
        <f>SUM('WH - SOP'!D102)</f>
        <v>4.1345402298850571</v>
      </c>
      <c r="D8" s="97">
        <f>SUM('WH - SOP'!E102)</f>
        <v>4.1345402298850571</v>
      </c>
      <c r="E8" s="97">
        <f>SUM('WH - SOP'!F102)</f>
        <v>4.1345402298850571</v>
      </c>
      <c r="F8" s="97">
        <f>SUM('WH - SOP'!G102)</f>
        <v>4.1345402298850571</v>
      </c>
      <c r="G8" s="97">
        <f>SUM('WH - SOP'!H102)</f>
        <v>4.1345402298850571</v>
      </c>
      <c r="H8" s="97">
        <f>SUM('WH - SOP'!I102)</f>
        <v>4.1345402298850571</v>
      </c>
      <c r="I8" s="97">
        <f>SUM('WH - SOP'!J102)</f>
        <v>4.1345402298850571</v>
      </c>
      <c r="J8" s="97">
        <f>SUM('WH - SOP'!K102)</f>
        <v>4.1345402298850571</v>
      </c>
      <c r="K8" s="97">
        <f>SUM('WH - SOP'!L102)</f>
        <v>4.1345402298850571</v>
      </c>
      <c r="L8" s="97">
        <f>SUM('WH - SOP'!M102)</f>
        <v>4.1345402298850571</v>
      </c>
      <c r="M8" s="120">
        <f>SUM('WH - SOP'!N102)</f>
        <v>4.1345402298850571</v>
      </c>
    </row>
    <row r="9" spans="1:13" x14ac:dyDescent="0.25">
      <c r="A9" s="95" t="str">
        <f>'WH - PAD'!A3</f>
        <v>Whatcom - PAD</v>
      </c>
      <c r="B9" s="97">
        <f>SUM('WH - PAD'!C102)</f>
        <v>12.435919540229886</v>
      </c>
      <c r="C9" s="97">
        <f>SUM('WH - PAD'!D102)</f>
        <v>12.435919540229886</v>
      </c>
      <c r="D9" s="97">
        <f>SUM('WH - PAD'!E102)</f>
        <v>12.435919540229886</v>
      </c>
      <c r="E9" s="97">
        <f>SUM('WH - PAD'!F102)</f>
        <v>12.435919540229886</v>
      </c>
      <c r="F9" s="97">
        <f>SUM('WH - PAD'!G102)</f>
        <v>12.435919540229886</v>
      </c>
      <c r="G9" s="97">
        <f>SUM('WH - PAD'!H102)</f>
        <v>12.435919540229886</v>
      </c>
      <c r="H9" s="97">
        <f>SUM('WH - PAD'!I102)</f>
        <v>12.435919540229886</v>
      </c>
      <c r="I9" s="97">
        <f>SUM('WH - PAD'!J102)</f>
        <v>12.435919540229886</v>
      </c>
      <c r="J9" s="97">
        <f>SUM('WH - PAD'!K102)</f>
        <v>12.435919540229886</v>
      </c>
      <c r="K9" s="97">
        <f>SUM('WH - PAD'!L102)</f>
        <v>12.435919540229886</v>
      </c>
      <c r="L9" s="97">
        <f>SUM('WH - PAD'!M102)</f>
        <v>12.435919540229886</v>
      </c>
      <c r="M9" s="120">
        <f>SUM('WH - PAD'!N102)</f>
        <v>12.435919540229886</v>
      </c>
    </row>
    <row r="10" spans="1:13" s="54" customFormat="1" x14ac:dyDescent="0.25">
      <c r="A10" s="95" t="str">
        <f>'WH - HUSLY'!A3</f>
        <v>Whatcom - HUSLY</v>
      </c>
      <c r="B10" s="97">
        <f>SUM('WH - HUSLY'!C102)</f>
        <v>1.021206896551724</v>
      </c>
      <c r="C10" s="97">
        <f>SUM('WH - HUSLY'!D102)</f>
        <v>1.021206896551724</v>
      </c>
      <c r="D10" s="97">
        <f>SUM('WH - HUSLY'!E102)</f>
        <v>1.021206896551724</v>
      </c>
      <c r="E10" s="97">
        <f>SUM('WH - HUSLY'!D102)</f>
        <v>1.021206896551724</v>
      </c>
      <c r="F10" s="97">
        <f>SUM('WH - HUSLY'!E102)</f>
        <v>1.021206896551724</v>
      </c>
      <c r="G10" s="97">
        <f>SUM('WH - HUSLY'!F102)</f>
        <v>1.021206896551724</v>
      </c>
      <c r="H10" s="97">
        <f>SUM('WH - HUSLY'!G102)</f>
        <v>1.271206896551724</v>
      </c>
      <c r="I10" s="97">
        <f>SUM('WH - HUSLY'!H102)</f>
        <v>1.271206896551724</v>
      </c>
      <c r="J10" s="97">
        <f>SUM('WH - HUSLY'!I102)</f>
        <v>1.271206896551724</v>
      </c>
      <c r="K10" s="97">
        <f>SUM('WH - HUSLY'!J102)</f>
        <v>1.271206896551724</v>
      </c>
      <c r="L10" s="97">
        <f>SUM('WH - HUSLY'!K102)</f>
        <v>1.271206896551724</v>
      </c>
      <c r="M10" s="120">
        <f>SUM('WH - HUSLY'!L102)</f>
        <v>1.271206896551724</v>
      </c>
    </row>
    <row r="11" spans="1:13" x14ac:dyDescent="0.25">
      <c r="A11" s="95" t="str">
        <f>'WH - TL'!A3</f>
        <v>Whatcom - Transitional Living</v>
      </c>
      <c r="B11" s="97">
        <f>SUM('WH - TL'!C102)</f>
        <v>3.7337931034482756</v>
      </c>
      <c r="C11" s="97">
        <f>SUM('WH - TL'!D102)</f>
        <v>3.7337931034482756</v>
      </c>
      <c r="D11" s="97">
        <f>SUM('WH - TL'!E102)</f>
        <v>3.7337931034482756</v>
      </c>
      <c r="E11" s="97">
        <f>SUM('WH - TL'!F102)</f>
        <v>3.7337931034482756</v>
      </c>
      <c r="F11" s="97">
        <f>SUM('WH - TL'!G102)</f>
        <v>3.4837931034482756</v>
      </c>
      <c r="G11" s="97">
        <f>SUM('WH - TL'!H102)</f>
        <v>3.4837931034482756</v>
      </c>
      <c r="H11" s="97">
        <f>SUM('WH - TL'!I102)</f>
        <v>3.4837931034482756</v>
      </c>
      <c r="I11" s="97">
        <f>SUM('WH - TL'!J102)</f>
        <v>3.4837931034482756</v>
      </c>
      <c r="J11" s="97">
        <f>SUM('WH - TL'!K102)</f>
        <v>3.4837931034482756</v>
      </c>
      <c r="K11" s="97">
        <f>SUM('WH - TL'!L102)</f>
        <v>3.4837931034482756</v>
      </c>
      <c r="L11" s="97">
        <f>SUM('WH - TL'!M102)</f>
        <v>3.4837931034482756</v>
      </c>
      <c r="M11" s="120">
        <f>SUM('WH - TL'!N102)</f>
        <v>3.4837931034482756</v>
      </c>
    </row>
    <row r="12" spans="1:13" s="54" customFormat="1" x14ac:dyDescent="0.25">
      <c r="A12" s="95" t="str">
        <f>'WH - PERM'!A3</f>
        <v>Whatcom - Permanent Housing</v>
      </c>
      <c r="B12" s="97">
        <f>SUM('WH - PERM'!C102)</f>
        <v>2.5028160919540232</v>
      </c>
      <c r="C12" s="97">
        <f>SUM('WH - PERM'!D102)</f>
        <v>2.5028160919540232</v>
      </c>
      <c r="D12" s="97">
        <f>SUM('WH - PERM'!E102)</f>
        <v>2.5028160919540232</v>
      </c>
      <c r="E12" s="97">
        <f>SUM('WH - PERM'!F102)</f>
        <v>2.5028160919540232</v>
      </c>
      <c r="F12" s="97">
        <f>SUM('WH - PERM'!G102)</f>
        <v>2.5028160919540232</v>
      </c>
      <c r="G12" s="97">
        <f>SUM('WH - PERM'!H102)</f>
        <v>2.5028160919540232</v>
      </c>
      <c r="H12" s="97">
        <f>SUM('WH - PERM'!I102)</f>
        <v>2.5028160919540232</v>
      </c>
      <c r="I12" s="97">
        <f>SUM('WH - PERM'!J102)</f>
        <v>2.5028160919540232</v>
      </c>
      <c r="J12" s="97">
        <f>SUM('WH - PERM'!K102)</f>
        <v>2.5028160919540232</v>
      </c>
      <c r="K12" s="97">
        <f>SUM('WH - PERM'!L102)</f>
        <v>2.5028160919540232</v>
      </c>
      <c r="L12" s="97">
        <f>SUM('WH - PERM'!M102)</f>
        <v>2.5028160919540232</v>
      </c>
      <c r="M12" s="120">
        <f>SUM('WH - PERM'!N102)</f>
        <v>2.5028160919540232</v>
      </c>
    </row>
    <row r="13" spans="1:13" x14ac:dyDescent="0.25">
      <c r="A13" s="95" t="str">
        <f>'WH-VOC'!A3</f>
        <v>Whatcom - Vocational</v>
      </c>
      <c r="B13" s="97">
        <f>SUM('WH-VOC'!C103)</f>
        <v>1.0451149425287356</v>
      </c>
      <c r="C13" s="97">
        <f>SUM('WH-VOC'!D103)</f>
        <v>1.0451149425287356</v>
      </c>
      <c r="D13" s="97">
        <f>SUM('WH-VOC'!E103)</f>
        <v>1.0451149425287356</v>
      </c>
      <c r="E13" s="97">
        <f>SUM('WH-VOC'!F103)</f>
        <v>1.0451149425287356</v>
      </c>
      <c r="F13" s="97">
        <f>SUM('WH-VOC'!G103)</f>
        <v>1.0451149425287356</v>
      </c>
      <c r="G13" s="97">
        <f>SUM('WH-VOC'!H103)</f>
        <v>1.8151149425287358</v>
      </c>
      <c r="H13" s="97">
        <f>SUM('WH-VOC'!I103)</f>
        <v>1.7151149425287358</v>
      </c>
      <c r="I13" s="97">
        <f>SUM('WH-VOC'!J103)</f>
        <v>1.7151149425287358</v>
      </c>
      <c r="J13" s="97">
        <f>SUM('WH-VOC'!K103)</f>
        <v>1.0201149425287357</v>
      </c>
      <c r="K13" s="97">
        <f>SUM('WH-VOC'!L103)</f>
        <v>1.0201149425287357</v>
      </c>
      <c r="L13" s="97">
        <f>SUM('WH-VOC'!M103)</f>
        <v>0.94511494252873574</v>
      </c>
      <c r="M13" s="120">
        <f>SUM('WH-VOC'!N103)</f>
        <v>0.94511494252873574</v>
      </c>
    </row>
    <row r="14" spans="1:13" x14ac:dyDescent="0.25">
      <c r="A14" s="95" t="str">
        <f>QYP!A3</f>
        <v>Queer Youth Project</v>
      </c>
      <c r="B14" s="97">
        <f>SUM(QYP!C102)</f>
        <v>0.36</v>
      </c>
      <c r="C14" s="97">
        <f>SUM(QYP!D102)</f>
        <v>0.36</v>
      </c>
      <c r="D14" s="97">
        <f>SUM(QYP!E102)</f>
        <v>0.36</v>
      </c>
      <c r="E14" s="97">
        <f>SUM(QYP!F102)</f>
        <v>0.26</v>
      </c>
      <c r="F14" s="97">
        <f>SUM(QYP!G102)</f>
        <v>0.26</v>
      </c>
      <c r="G14" s="97">
        <f>SUM(QYP!H102)</f>
        <v>0.26</v>
      </c>
      <c r="H14" s="97">
        <f>SUM(QYP!I102)</f>
        <v>0.26</v>
      </c>
      <c r="I14" s="97">
        <f>SUM(QYP!J102)</f>
        <v>0.26</v>
      </c>
      <c r="J14" s="97">
        <f>SUM(QYP!K102)</f>
        <v>0.26</v>
      </c>
      <c r="K14" s="97">
        <f>SUM(QYP!L102)</f>
        <v>0.26</v>
      </c>
      <c r="L14" s="97">
        <f>SUM(QYP!M102)</f>
        <v>0.26</v>
      </c>
      <c r="M14" s="120">
        <f>SUM(QYP!N102)</f>
        <v>0.26</v>
      </c>
    </row>
    <row r="15" spans="1:13" x14ac:dyDescent="0.25">
      <c r="A15" s="250" t="str">
        <f>'BH Team'!A3</f>
        <v>Behavioral Health Team</v>
      </c>
      <c r="B15" s="453">
        <f>SUM('BH Team'!C133)</f>
        <v>5.4537931034482758</v>
      </c>
      <c r="C15" s="453">
        <f>SUM('BH Team'!D133)</f>
        <v>5.4537931034482758</v>
      </c>
      <c r="D15" s="453">
        <f>SUM('BH Team'!E133)</f>
        <v>5.4537931034482758</v>
      </c>
      <c r="E15" s="453">
        <f>SUM('BH Team'!F133)</f>
        <v>5.4537931034482758</v>
      </c>
      <c r="F15" s="453">
        <f>SUM('BH Team'!G133)</f>
        <v>5.4537931034482758</v>
      </c>
      <c r="G15" s="453">
        <f>SUM('BH Team'!H133)</f>
        <v>5.4537931034482758</v>
      </c>
      <c r="H15" s="453">
        <f>SUM('BH Team'!I133)</f>
        <v>5.4537931034482758</v>
      </c>
      <c r="I15" s="453">
        <f>SUM('BH Team'!J133)</f>
        <v>5.4537931034482758</v>
      </c>
      <c r="J15" s="453">
        <f>SUM('BH Team'!K133)</f>
        <v>5.4537931034482758</v>
      </c>
      <c r="K15" s="453">
        <f>SUM('BH Team'!L133)</f>
        <v>5.4537931034482758</v>
      </c>
      <c r="L15" s="453">
        <f>SUM('BH Team'!M133)</f>
        <v>5.4537931034482758</v>
      </c>
      <c r="M15" s="453">
        <f>SUM('BH Team'!N133)</f>
        <v>5.4537931034482758</v>
      </c>
    </row>
    <row r="16" spans="1:13" x14ac:dyDescent="0.25">
      <c r="A16" s="95" t="str">
        <f>'Teen Court'!A3</f>
        <v>Teen Court</v>
      </c>
      <c r="B16" s="97">
        <f>SUM('Teen Court'!C102)</f>
        <v>0.80724137931034479</v>
      </c>
      <c r="C16" s="97">
        <f>SUM('Teen Court'!D102)</f>
        <v>0.80724137931034479</v>
      </c>
      <c r="D16" s="97">
        <f>SUM('Teen Court'!E102)</f>
        <v>0.80724137931034479</v>
      </c>
      <c r="E16" s="97">
        <f>SUM('Teen Court'!F102)</f>
        <v>0.80724137931034479</v>
      </c>
      <c r="F16" s="97">
        <f>SUM('Teen Court'!G102)</f>
        <v>0.80724137931034479</v>
      </c>
      <c r="G16" s="97">
        <f>SUM('Teen Court'!H102)</f>
        <v>0.7072413793103447</v>
      </c>
      <c r="H16" s="97">
        <f>SUM('Teen Court'!I102)</f>
        <v>0.62724137931034474</v>
      </c>
      <c r="I16" s="97">
        <f>SUM('Teen Court'!J102)</f>
        <v>0.62724137931034474</v>
      </c>
      <c r="J16" s="97">
        <f>SUM('Teen Court'!K102)</f>
        <v>0.80724137931034479</v>
      </c>
      <c r="K16" s="97">
        <f>SUM('Teen Court'!L102)</f>
        <v>0.80724137931034479</v>
      </c>
      <c r="L16" s="97">
        <f>SUM('Teen Court'!M102)</f>
        <v>0.80724137931034479</v>
      </c>
      <c r="M16" s="120">
        <f>SUM('Teen Court'!N102)</f>
        <v>0.80724137931034479</v>
      </c>
    </row>
    <row r="17" spans="1:13" x14ac:dyDescent="0.25">
      <c r="A17" s="250" t="str">
        <f>'SK - HUSLY'!A3</f>
        <v>Skagit - HUSLY</v>
      </c>
      <c r="B17" s="453">
        <f>SUM('SK - HUSLY'!C102)</f>
        <v>0.62344827586206886</v>
      </c>
      <c r="C17" s="453">
        <f>SUM('SK - HUSLY'!D102)</f>
        <v>0.62344827586206886</v>
      </c>
      <c r="D17" s="453">
        <f>SUM('SK - HUSLY'!E102)</f>
        <v>0.62344827586206886</v>
      </c>
      <c r="E17" s="453">
        <f>SUM('SK - HUSLY'!F102)</f>
        <v>0.62344827586206886</v>
      </c>
      <c r="F17" s="453">
        <f>SUM('SK - HUSLY'!G102)</f>
        <v>0.62344827586206886</v>
      </c>
      <c r="G17" s="453">
        <f>SUM('SK - HUSLY'!H102)</f>
        <v>0.62344827586206886</v>
      </c>
      <c r="H17" s="453">
        <f>SUM('SK - HUSLY'!I102)</f>
        <v>0.62344827586206886</v>
      </c>
      <c r="I17" s="453">
        <f>SUM('SK - HUSLY'!J102)</f>
        <v>0.62344827586206886</v>
      </c>
      <c r="J17" s="453">
        <f>SUM('SK - HUSLY'!K102)</f>
        <v>0.62344827586206886</v>
      </c>
      <c r="K17" s="453">
        <f>SUM('SK - HUSLY'!L102)</f>
        <v>0.62344827586206886</v>
      </c>
      <c r="L17" s="453">
        <f>SUM('SK - HUSLY'!M102)</f>
        <v>0.62344827586206886</v>
      </c>
      <c r="M17" s="453">
        <f>SUM('SK - HUSLY'!N102)</f>
        <v>0.62344827586206886</v>
      </c>
    </row>
    <row r="18" spans="1:13" x14ac:dyDescent="0.25">
      <c r="A18" s="95" t="str">
        <f>'SK - TL'!A3</f>
        <v>Skagit - Transitional Living</v>
      </c>
      <c r="B18" s="97">
        <f>SUM('SK - TL'!C102)</f>
        <v>3.2262068965517243</v>
      </c>
      <c r="C18" s="97">
        <f>SUM('SK - TL'!D102)</f>
        <v>3.2262068965517243</v>
      </c>
      <c r="D18" s="97">
        <f>SUM('SK - TL'!E102)</f>
        <v>3.2262068965517243</v>
      </c>
      <c r="E18" s="97">
        <f>SUM('SK - TL'!F102)</f>
        <v>3.2262068965517243</v>
      </c>
      <c r="F18" s="97">
        <f>SUM('SK - TL'!G102)</f>
        <v>3.2262068965517243</v>
      </c>
      <c r="G18" s="97">
        <f>SUM('SK - TL'!H102)</f>
        <v>3.2262068965517243</v>
      </c>
      <c r="H18" s="97">
        <f>SUM('SK - TL'!I102)</f>
        <v>3.2262068965517243</v>
      </c>
      <c r="I18" s="97">
        <f>SUM('SK - TL'!J102)</f>
        <v>3.2262068965517243</v>
      </c>
      <c r="J18" s="97">
        <f>SUM('SK - TL'!K102)</f>
        <v>3.2262068965517243</v>
      </c>
      <c r="K18" s="97">
        <f>SUM('SK - TL'!L102)</f>
        <v>3.2262068965517243</v>
      </c>
      <c r="L18" s="97">
        <f>SUM('SK - TL'!M102)</f>
        <v>3.2262068965517243</v>
      </c>
      <c r="M18" s="120">
        <f>SUM('SK - TL'!N102)</f>
        <v>3.2262068965517243</v>
      </c>
    </row>
    <row r="19" spans="1:13" s="54" customFormat="1" x14ac:dyDescent="0.25">
      <c r="A19" s="95" t="str">
        <f>'SK - PERM'!A3</f>
        <v>Skagit - Permanent Housing</v>
      </c>
      <c r="B19" s="97">
        <f>SUM('SK - PERM'!C102)</f>
        <v>0.61482758620689659</v>
      </c>
      <c r="C19" s="97">
        <f>SUM('SK - PERM'!D102)</f>
        <v>0.61482758620689659</v>
      </c>
      <c r="D19" s="97">
        <f>SUM('SK - PERM'!E102)</f>
        <v>0.61482758620689659</v>
      </c>
      <c r="E19" s="97">
        <f>SUM('SK - PERM'!F102)</f>
        <v>0.61482758620689659</v>
      </c>
      <c r="F19" s="97">
        <f>SUM('SK - PERM'!G102)</f>
        <v>0.61482758620689659</v>
      </c>
      <c r="G19" s="97">
        <f>SUM('SK - PERM'!H102)</f>
        <v>0.61482758620689659</v>
      </c>
      <c r="H19" s="97">
        <f>SUM('SK - PERM'!I102)</f>
        <v>0.61482758620689659</v>
      </c>
      <c r="I19" s="97">
        <f>SUM('SK - PERM'!J102)</f>
        <v>0.61482758620689659</v>
      </c>
      <c r="J19" s="97">
        <f>SUM('SK - PERM'!K102)</f>
        <v>0.61482758620689659</v>
      </c>
      <c r="K19" s="97">
        <f>SUM('SK - PERM'!L102)</f>
        <v>0.61482758620689659</v>
      </c>
      <c r="L19" s="97">
        <f>SUM('SK - PERM'!M102)</f>
        <v>0.61482758620689659</v>
      </c>
      <c r="M19" s="120">
        <f>SUM('SK - PERM'!N102)</f>
        <v>0.61482758620689659</v>
      </c>
    </row>
    <row r="20" spans="1:13" x14ac:dyDescent="0.25">
      <c r="A20" s="250" t="str">
        <f>'SK - VOC'!A3</f>
        <v>Skagit - Vocational</v>
      </c>
      <c r="B20" s="453">
        <f>SUM('SK - VOC'!C102)</f>
        <v>0.52</v>
      </c>
      <c r="C20" s="453">
        <f>SUM('SK - VOC'!D102)</f>
        <v>0.52</v>
      </c>
      <c r="D20" s="453">
        <f>SUM('SK - VOC'!E102)</f>
        <v>0.52</v>
      </c>
      <c r="E20" s="453">
        <f>SUM('SK - VOC'!F102)</f>
        <v>0.52</v>
      </c>
      <c r="F20" s="453">
        <f>SUM('SK - VOC'!G102)</f>
        <v>0.52</v>
      </c>
      <c r="G20" s="453">
        <f>SUM('SK - VOC'!H102)</f>
        <v>0.52</v>
      </c>
      <c r="H20" s="453">
        <f>SUM('SK - VOC'!I102)</f>
        <v>0.52</v>
      </c>
      <c r="I20" s="453">
        <f>SUM('SK - VOC'!J102)</f>
        <v>0.52</v>
      </c>
      <c r="J20" s="453">
        <f>SUM('SK - VOC'!K102)</f>
        <v>0.52</v>
      </c>
      <c r="K20" s="453">
        <f>SUM('SK - VOC'!L102)</f>
        <v>0.52</v>
      </c>
      <c r="L20" s="453">
        <f>SUM('SK - VOC'!M102)</f>
        <v>0.52</v>
      </c>
      <c r="M20" s="453">
        <f>SUM('SK - VOC'!N102)</f>
        <v>0.52</v>
      </c>
    </row>
    <row r="21" spans="1:13" s="54" customFormat="1" ht="16.5" thickBot="1" x14ac:dyDescent="0.3">
      <c r="A21" s="95" t="str">
        <f>'22 North'!A3</f>
        <v>22 North Project</v>
      </c>
      <c r="B21" s="97">
        <f>SUM('22 North'!C102)</f>
        <v>7.7586206896551727E-2</v>
      </c>
      <c r="C21" s="97">
        <f>SUM('22 North'!D102)</f>
        <v>7.7586206896551727E-2</v>
      </c>
      <c r="D21" s="97">
        <f>SUM('22 North'!E102)</f>
        <v>7.7586206896551727E-2</v>
      </c>
      <c r="E21" s="97">
        <f>SUM('22 North'!F102)</f>
        <v>7.7586206896551727E-2</v>
      </c>
      <c r="F21" s="97">
        <f>SUM('22 North'!G102)</f>
        <v>0.57758620689655171</v>
      </c>
      <c r="G21" s="97">
        <f>SUM('22 North'!H102)</f>
        <v>0.57758620689655171</v>
      </c>
      <c r="H21" s="97">
        <f>SUM('22 North'!I102)</f>
        <v>2.577586206896552</v>
      </c>
      <c r="I21" s="97">
        <f>SUM('22 North'!J102)</f>
        <v>2.577586206896552</v>
      </c>
      <c r="J21" s="97">
        <f>SUM('22 North'!K102)</f>
        <v>2.577586206896552</v>
      </c>
      <c r="K21" s="97">
        <f>SUM('22 North'!L102)</f>
        <v>2.577586206896552</v>
      </c>
      <c r="L21" s="97">
        <f>SUM('22 North'!M102)</f>
        <v>2.577586206896552</v>
      </c>
      <c r="M21" s="120">
        <f>SUM('22 North'!N102)</f>
        <v>2.577586206896552</v>
      </c>
    </row>
    <row r="22" spans="1:13" s="1" customFormat="1" x14ac:dyDescent="0.25">
      <c r="A22" s="76" t="s">
        <v>36</v>
      </c>
      <c r="B22" s="98">
        <f t="shared" ref="B22:M22" si="0">SUM(B8:B21)</f>
        <v>36.55649425287357</v>
      </c>
      <c r="C22" s="98">
        <f t="shared" si="0"/>
        <v>36.55649425287357</v>
      </c>
      <c r="D22" s="98">
        <f t="shared" si="0"/>
        <v>36.55649425287357</v>
      </c>
      <c r="E22" s="98">
        <f t="shared" si="0"/>
        <v>36.456494252873576</v>
      </c>
      <c r="F22" s="98">
        <f t="shared" si="0"/>
        <v>36.706494252873576</v>
      </c>
      <c r="G22" s="98">
        <f t="shared" si="0"/>
        <v>37.376494252873577</v>
      </c>
      <c r="H22" s="98">
        <f t="shared" si="0"/>
        <v>39.446494252873578</v>
      </c>
      <c r="I22" s="98">
        <f t="shared" si="0"/>
        <v>39.446494252873578</v>
      </c>
      <c r="J22" s="98">
        <f t="shared" si="0"/>
        <v>38.931494252873577</v>
      </c>
      <c r="K22" s="98">
        <f t="shared" si="0"/>
        <v>38.931494252873577</v>
      </c>
      <c r="L22" s="98">
        <f t="shared" si="0"/>
        <v>38.856494252873574</v>
      </c>
      <c r="M22" s="98">
        <f t="shared" si="0"/>
        <v>38.856494252873574</v>
      </c>
    </row>
    <row r="23" spans="1:13" x14ac:dyDescent="0.25">
      <c r="A23" s="54"/>
      <c r="B23" s="11"/>
      <c r="C23" s="54"/>
      <c r="D23" s="54"/>
      <c r="E23" s="54"/>
      <c r="F23" s="54"/>
      <c r="G23" s="54"/>
      <c r="H23" s="54"/>
      <c r="I23" s="54"/>
      <c r="J23" s="54"/>
      <c r="K23" s="54"/>
      <c r="L23" s="54"/>
      <c r="M23" s="54"/>
    </row>
    <row r="24" spans="1:13" x14ac:dyDescent="0.25">
      <c r="A24" s="55" t="s">
        <v>263</v>
      </c>
      <c r="B24" s="11"/>
      <c r="C24" s="54"/>
      <c r="D24" s="54"/>
      <c r="E24" s="54"/>
      <c r="F24" s="54"/>
      <c r="G24" s="54"/>
      <c r="H24" s="54"/>
      <c r="I24" s="54"/>
      <c r="J24" s="54"/>
      <c r="K24" s="54"/>
      <c r="L24" s="54"/>
      <c r="M24" s="54"/>
    </row>
    <row r="25" spans="1:13" ht="16.5" thickBot="1" x14ac:dyDescent="0.3">
      <c r="A25" s="55"/>
      <c r="B25" s="143" t="str">
        <f t="shared" ref="B25:M25" si="1">B5</f>
        <v>January</v>
      </c>
      <c r="C25" s="143" t="str">
        <f t="shared" si="1"/>
        <v>February</v>
      </c>
      <c r="D25" s="143" t="str">
        <f t="shared" si="1"/>
        <v>March</v>
      </c>
      <c r="E25" s="143" t="str">
        <f t="shared" si="1"/>
        <v>April</v>
      </c>
      <c r="F25" s="143" t="str">
        <f t="shared" si="1"/>
        <v>May</v>
      </c>
      <c r="G25" s="143" t="str">
        <f t="shared" si="1"/>
        <v>June</v>
      </c>
      <c r="H25" s="143" t="str">
        <f t="shared" si="1"/>
        <v>July</v>
      </c>
      <c r="I25" s="143" t="str">
        <f t="shared" si="1"/>
        <v>August</v>
      </c>
      <c r="J25" s="143" t="str">
        <f t="shared" si="1"/>
        <v>September</v>
      </c>
      <c r="K25" s="143" t="str">
        <f t="shared" si="1"/>
        <v>October</v>
      </c>
      <c r="L25" s="143" t="str">
        <f t="shared" si="1"/>
        <v>November</v>
      </c>
      <c r="M25" s="143" t="str">
        <f t="shared" si="1"/>
        <v>December</v>
      </c>
    </row>
    <row r="26" spans="1:13" ht="33" thickTop="1" thickBot="1" x14ac:dyDescent="0.3">
      <c r="A26" s="57" t="s">
        <v>261</v>
      </c>
      <c r="B26" s="96" t="s">
        <v>264</v>
      </c>
      <c r="C26" s="96" t="s">
        <v>264</v>
      </c>
      <c r="D26" s="96" t="s">
        <v>264</v>
      </c>
      <c r="E26" s="96" t="s">
        <v>264</v>
      </c>
      <c r="F26" s="96" t="s">
        <v>264</v>
      </c>
      <c r="G26" s="96" t="s">
        <v>264</v>
      </c>
      <c r="H26" s="96" t="s">
        <v>264</v>
      </c>
      <c r="I26" s="96" t="s">
        <v>264</v>
      </c>
      <c r="J26" s="96" t="s">
        <v>264</v>
      </c>
      <c r="K26" s="96" t="s">
        <v>264</v>
      </c>
      <c r="L26" s="96" t="s">
        <v>264</v>
      </c>
      <c r="M26" s="119" t="s">
        <v>264</v>
      </c>
    </row>
    <row r="27" spans="1:13" x14ac:dyDescent="0.25">
      <c r="A27" s="95" t="str">
        <f>A7</f>
        <v>Homeless Student Stability Program</v>
      </c>
      <c r="B27" s="121">
        <f>SUM(B7/$B$22)</f>
        <v>3.181974679405046E-2</v>
      </c>
      <c r="C27" s="121">
        <f t="shared" ref="C27:M27" si="2">SUM(C7/$B$22)</f>
        <v>3.181974679405046E-2</v>
      </c>
      <c r="D27" s="121">
        <f t="shared" si="2"/>
        <v>3.181974679405046E-2</v>
      </c>
      <c r="E27" s="121">
        <f t="shared" si="2"/>
        <v>3.181974679405046E-2</v>
      </c>
      <c r="F27" s="121">
        <f t="shared" si="2"/>
        <v>3.181974679405046E-2</v>
      </c>
      <c r="G27" s="121">
        <f t="shared" si="2"/>
        <v>3.181974679405046E-2</v>
      </c>
      <c r="H27" s="121">
        <f t="shared" si="2"/>
        <v>4.464826131180993E-3</v>
      </c>
      <c r="I27" s="121">
        <f t="shared" si="2"/>
        <v>4.464826131180993E-3</v>
      </c>
      <c r="J27" s="121">
        <f t="shared" si="2"/>
        <v>3.181974679405046E-2</v>
      </c>
      <c r="K27" s="121">
        <f t="shared" si="2"/>
        <v>3.181974679405046E-2</v>
      </c>
      <c r="L27" s="121">
        <f t="shared" si="2"/>
        <v>3.181974679405046E-2</v>
      </c>
      <c r="M27" s="121">
        <f t="shared" si="2"/>
        <v>3.181974679405046E-2</v>
      </c>
    </row>
    <row r="28" spans="1:13" x14ac:dyDescent="0.25">
      <c r="A28" s="95" t="str">
        <f t="shared" ref="A28:A41" si="3">A8</f>
        <v>Whatcom - Street Outreach Program</v>
      </c>
      <c r="B28" s="121">
        <f t="shared" ref="B28:M41" si="4">SUM(B8/$B$22)</f>
        <v>0.1131000199659478</v>
      </c>
      <c r="C28" s="121">
        <f t="shared" si="4"/>
        <v>0.1131000199659478</v>
      </c>
      <c r="D28" s="121">
        <f t="shared" si="4"/>
        <v>0.1131000199659478</v>
      </c>
      <c r="E28" s="121">
        <f t="shared" si="4"/>
        <v>0.1131000199659478</v>
      </c>
      <c r="F28" s="121">
        <f t="shared" si="4"/>
        <v>0.1131000199659478</v>
      </c>
      <c r="G28" s="121">
        <f t="shared" si="4"/>
        <v>0.1131000199659478</v>
      </c>
      <c r="H28" s="121">
        <f t="shared" si="4"/>
        <v>0.1131000199659478</v>
      </c>
      <c r="I28" s="121">
        <f t="shared" si="4"/>
        <v>0.1131000199659478</v>
      </c>
      <c r="J28" s="121">
        <f t="shared" si="4"/>
        <v>0.1131000199659478</v>
      </c>
      <c r="K28" s="121">
        <f t="shared" si="4"/>
        <v>0.1131000199659478</v>
      </c>
      <c r="L28" s="121">
        <f t="shared" si="4"/>
        <v>0.1131000199659478</v>
      </c>
      <c r="M28" s="121">
        <f t="shared" si="4"/>
        <v>0.1131000199659478</v>
      </c>
    </row>
    <row r="29" spans="1:13" x14ac:dyDescent="0.25">
      <c r="A29" s="95" t="str">
        <f t="shared" si="3"/>
        <v>Whatcom - PAD</v>
      </c>
      <c r="B29" s="121">
        <f>SUM(B9/$B$22)-0.03</f>
        <v>0.31018359239281668</v>
      </c>
      <c r="C29" s="121">
        <f>SUM(C9/$B$22)-0.03</f>
        <v>0.31018359239281668</v>
      </c>
      <c r="D29" s="121">
        <f>SUM(D9/$B$22)-0.03</f>
        <v>0.31018359239281668</v>
      </c>
      <c r="E29" s="121">
        <f>SUM(E9/$B$22)-0.03</f>
        <v>0.31018359239281668</v>
      </c>
      <c r="F29" s="121">
        <f>SUM(F9/$B$22)-0.02</f>
        <v>0.32018359239281663</v>
      </c>
      <c r="G29" s="121">
        <f>SUM(G9/$B$22)-0.04</f>
        <v>0.30018359239281667</v>
      </c>
      <c r="H29" s="121">
        <f>SUM(H9/$B$22)-0.07</f>
        <v>0.27018359239281664</v>
      </c>
      <c r="I29" s="121">
        <f>SUM(I9/$B$22)-0.07</f>
        <v>0.27018359239281664</v>
      </c>
      <c r="J29" s="121">
        <f>SUM(J9/$B$22)-0.08</f>
        <v>0.26018359239281663</v>
      </c>
      <c r="K29" s="121">
        <f>SUM(K9/$B$22)-0.08</f>
        <v>0.26018359239281663</v>
      </c>
      <c r="L29" s="121">
        <f>SUM(L9/$B$22)-0.08</f>
        <v>0.26018359239281663</v>
      </c>
      <c r="M29" s="121">
        <f>SUM(M9/$B$22)-0.08</f>
        <v>0.26018359239281663</v>
      </c>
    </row>
    <row r="30" spans="1:13" x14ac:dyDescent="0.25">
      <c r="A30" s="95" t="str">
        <f t="shared" si="3"/>
        <v>Whatcom - HUSLY</v>
      </c>
      <c r="B30" s="121">
        <f t="shared" si="4"/>
        <v>2.7935033635547554E-2</v>
      </c>
      <c r="C30" s="121">
        <f t="shared" si="4"/>
        <v>2.7935033635547554E-2</v>
      </c>
      <c r="D30" s="121">
        <f t="shared" si="4"/>
        <v>2.7935033635547554E-2</v>
      </c>
      <c r="E30" s="121">
        <f t="shared" si="4"/>
        <v>2.7935033635547554E-2</v>
      </c>
      <c r="F30" s="121">
        <f t="shared" si="4"/>
        <v>2.7935033635547554E-2</v>
      </c>
      <c r="G30" s="121">
        <f t="shared" si="4"/>
        <v>2.7935033635547554E-2</v>
      </c>
      <c r="H30" s="121">
        <f t="shared" si="4"/>
        <v>3.4773763801264922E-2</v>
      </c>
      <c r="I30" s="121">
        <f t="shared" si="4"/>
        <v>3.4773763801264922E-2</v>
      </c>
      <c r="J30" s="121">
        <f t="shared" si="4"/>
        <v>3.4773763801264922E-2</v>
      </c>
      <c r="K30" s="121">
        <f t="shared" si="4"/>
        <v>3.4773763801264922E-2</v>
      </c>
      <c r="L30" s="121">
        <f t="shared" si="4"/>
        <v>3.4773763801264922E-2</v>
      </c>
      <c r="M30" s="121">
        <f t="shared" si="4"/>
        <v>3.4773763801264922E-2</v>
      </c>
    </row>
    <row r="31" spans="1:13" x14ac:dyDescent="0.25">
      <c r="A31" s="95" t="str">
        <f t="shared" si="3"/>
        <v>Whatcom - Transitional Living</v>
      </c>
      <c r="B31" s="121">
        <f t="shared" si="4"/>
        <v>0.10213761411639674</v>
      </c>
      <c r="C31" s="121">
        <f t="shared" si="4"/>
        <v>0.10213761411639674</v>
      </c>
      <c r="D31" s="121">
        <f t="shared" si="4"/>
        <v>0.10213761411639674</v>
      </c>
      <c r="E31" s="121">
        <f t="shared" si="4"/>
        <v>0.10213761411639674</v>
      </c>
      <c r="F31" s="121">
        <f t="shared" si="4"/>
        <v>9.5298883950679369E-2</v>
      </c>
      <c r="G31" s="121">
        <f t="shared" si="4"/>
        <v>9.5298883950679369E-2</v>
      </c>
      <c r="H31" s="121">
        <f t="shared" si="4"/>
        <v>9.5298883950679369E-2</v>
      </c>
      <c r="I31" s="121">
        <f t="shared" si="4"/>
        <v>9.5298883950679369E-2</v>
      </c>
      <c r="J31" s="121">
        <f t="shared" si="4"/>
        <v>9.5298883950679369E-2</v>
      </c>
      <c r="K31" s="121">
        <f t="shared" si="4"/>
        <v>9.5298883950679369E-2</v>
      </c>
      <c r="L31" s="121">
        <f t="shared" si="4"/>
        <v>9.5298883950679369E-2</v>
      </c>
      <c r="M31" s="121">
        <f t="shared" si="4"/>
        <v>9.5298883950679369E-2</v>
      </c>
    </row>
    <row r="32" spans="1:13" x14ac:dyDescent="0.25">
      <c r="A32" s="95" t="str">
        <f t="shared" si="3"/>
        <v>Whatcom - Permanent Housing</v>
      </c>
      <c r="B32" s="121">
        <f t="shared" si="4"/>
        <v>6.8464335629155312E-2</v>
      </c>
      <c r="C32" s="121">
        <f t="shared" si="4"/>
        <v>6.8464335629155312E-2</v>
      </c>
      <c r="D32" s="121">
        <f t="shared" si="4"/>
        <v>6.8464335629155312E-2</v>
      </c>
      <c r="E32" s="121">
        <f t="shared" si="4"/>
        <v>6.8464335629155312E-2</v>
      </c>
      <c r="F32" s="121">
        <f t="shared" si="4"/>
        <v>6.8464335629155312E-2</v>
      </c>
      <c r="G32" s="121">
        <f t="shared" si="4"/>
        <v>6.8464335629155312E-2</v>
      </c>
      <c r="H32" s="121">
        <f t="shared" si="4"/>
        <v>6.8464335629155312E-2</v>
      </c>
      <c r="I32" s="121">
        <f t="shared" si="4"/>
        <v>6.8464335629155312E-2</v>
      </c>
      <c r="J32" s="121">
        <f t="shared" si="4"/>
        <v>6.8464335629155312E-2</v>
      </c>
      <c r="K32" s="121">
        <f t="shared" si="4"/>
        <v>6.8464335629155312E-2</v>
      </c>
      <c r="L32" s="121">
        <f t="shared" si="4"/>
        <v>6.8464335629155312E-2</v>
      </c>
      <c r="M32" s="121">
        <f t="shared" si="4"/>
        <v>6.8464335629155312E-2</v>
      </c>
    </row>
    <row r="33" spans="1:18" x14ac:dyDescent="0.25">
      <c r="A33" s="95" t="str">
        <f t="shared" si="3"/>
        <v>Whatcom - Vocational</v>
      </c>
      <c r="B33" s="121">
        <f t="shared" si="4"/>
        <v>2.858903633645294E-2</v>
      </c>
      <c r="C33" s="121">
        <f t="shared" si="4"/>
        <v>2.858903633645294E-2</v>
      </c>
      <c r="D33" s="121">
        <f t="shared" si="4"/>
        <v>2.858903633645294E-2</v>
      </c>
      <c r="E33" s="121">
        <f t="shared" si="4"/>
        <v>2.858903633645294E-2</v>
      </c>
      <c r="F33" s="121">
        <f t="shared" si="4"/>
        <v>2.858903633645294E-2</v>
      </c>
      <c r="G33" s="121">
        <f t="shared" si="4"/>
        <v>4.9652325246862437E-2</v>
      </c>
      <c r="H33" s="121">
        <f t="shared" si="4"/>
        <v>4.6916833180575483E-2</v>
      </c>
      <c r="I33" s="121">
        <f t="shared" si="4"/>
        <v>4.6916833180575483E-2</v>
      </c>
      <c r="J33" s="121">
        <f t="shared" si="4"/>
        <v>2.7905163319881209E-2</v>
      </c>
      <c r="K33" s="121">
        <f t="shared" si="4"/>
        <v>2.7905163319881209E-2</v>
      </c>
      <c r="L33" s="121">
        <f t="shared" si="4"/>
        <v>2.5853544270166E-2</v>
      </c>
      <c r="M33" s="121">
        <f t="shared" si="4"/>
        <v>2.5853544270166E-2</v>
      </c>
    </row>
    <row r="34" spans="1:18" x14ac:dyDescent="0.25">
      <c r="A34" s="95" t="str">
        <f t="shared" si="3"/>
        <v>Queer Youth Project</v>
      </c>
      <c r="B34" s="121">
        <f t="shared" si="4"/>
        <v>9.8477714386330066E-3</v>
      </c>
      <c r="C34" s="121">
        <f t="shared" si="4"/>
        <v>9.8477714386330066E-3</v>
      </c>
      <c r="D34" s="121">
        <f t="shared" si="4"/>
        <v>9.8477714386330066E-3</v>
      </c>
      <c r="E34" s="121">
        <f t="shared" si="4"/>
        <v>7.1122793723460611E-3</v>
      </c>
      <c r="F34" s="121">
        <f t="shared" si="4"/>
        <v>7.1122793723460611E-3</v>
      </c>
      <c r="G34" s="121">
        <f t="shared" si="4"/>
        <v>7.1122793723460611E-3</v>
      </c>
      <c r="H34" s="121">
        <f t="shared" si="4"/>
        <v>7.1122793723460611E-3</v>
      </c>
      <c r="I34" s="121">
        <f t="shared" si="4"/>
        <v>7.1122793723460611E-3</v>
      </c>
      <c r="J34" s="121">
        <f t="shared" si="4"/>
        <v>7.1122793723460611E-3</v>
      </c>
      <c r="K34" s="121">
        <f t="shared" si="4"/>
        <v>7.1122793723460611E-3</v>
      </c>
      <c r="L34" s="121">
        <f t="shared" si="4"/>
        <v>7.1122793723460611E-3</v>
      </c>
      <c r="M34" s="121">
        <f t="shared" si="4"/>
        <v>7.1122793723460611E-3</v>
      </c>
    </row>
    <row r="35" spans="1:18" s="54" customFormat="1" x14ac:dyDescent="0.25">
      <c r="A35" s="95" t="str">
        <f t="shared" si="3"/>
        <v>Behavioral Health Team</v>
      </c>
      <c r="B35" s="121">
        <f t="shared" si="4"/>
        <v>0.14918807765653222</v>
      </c>
      <c r="C35" s="121">
        <f t="shared" si="4"/>
        <v>0.14918807765653222</v>
      </c>
      <c r="D35" s="121">
        <f t="shared" si="4"/>
        <v>0.14918807765653222</v>
      </c>
      <c r="E35" s="121">
        <f t="shared" si="4"/>
        <v>0.14918807765653222</v>
      </c>
      <c r="F35" s="121">
        <f t="shared" si="4"/>
        <v>0.14918807765653222</v>
      </c>
      <c r="G35" s="121">
        <f t="shared" si="4"/>
        <v>0.14918807765653222</v>
      </c>
      <c r="H35" s="121">
        <f t="shared" si="4"/>
        <v>0.14918807765653222</v>
      </c>
      <c r="I35" s="121">
        <f t="shared" si="4"/>
        <v>0.14918807765653222</v>
      </c>
      <c r="J35" s="121">
        <f t="shared" si="4"/>
        <v>0.14918807765653222</v>
      </c>
      <c r="K35" s="121">
        <f t="shared" si="4"/>
        <v>0.14918807765653222</v>
      </c>
      <c r="L35" s="121">
        <f t="shared" si="4"/>
        <v>0.14918807765653222</v>
      </c>
      <c r="M35" s="121">
        <f t="shared" si="4"/>
        <v>0.14918807765653222</v>
      </c>
    </row>
    <row r="36" spans="1:18" s="54" customFormat="1" x14ac:dyDescent="0.25">
      <c r="A36" s="95" t="str">
        <f t="shared" si="3"/>
        <v>Teen Court</v>
      </c>
      <c r="B36" s="121">
        <f t="shared" si="4"/>
        <v>2.2082023886819797E-2</v>
      </c>
      <c r="C36" s="121">
        <f t="shared" si="4"/>
        <v>2.2082023886819797E-2</v>
      </c>
      <c r="D36" s="121">
        <f t="shared" si="4"/>
        <v>2.2082023886819797E-2</v>
      </c>
      <c r="E36" s="121">
        <f t="shared" si="4"/>
        <v>2.2082023886819797E-2</v>
      </c>
      <c r="F36" s="121">
        <f t="shared" si="4"/>
        <v>2.2082023886819797E-2</v>
      </c>
      <c r="G36" s="121">
        <f t="shared" si="4"/>
        <v>1.9346531820532847E-2</v>
      </c>
      <c r="H36" s="121">
        <f t="shared" si="4"/>
        <v>1.7158138167503292E-2</v>
      </c>
      <c r="I36" s="121">
        <f t="shared" si="4"/>
        <v>1.7158138167503292E-2</v>
      </c>
      <c r="J36" s="121">
        <f t="shared" si="4"/>
        <v>2.2082023886819797E-2</v>
      </c>
      <c r="K36" s="121">
        <f t="shared" si="4"/>
        <v>2.2082023886819797E-2</v>
      </c>
      <c r="L36" s="121">
        <f t="shared" si="4"/>
        <v>2.2082023886819797E-2</v>
      </c>
      <c r="M36" s="121">
        <f t="shared" si="4"/>
        <v>2.2082023886819797E-2</v>
      </c>
    </row>
    <row r="37" spans="1:18" s="54" customFormat="1" x14ac:dyDescent="0.25">
      <c r="A37" s="95" t="str">
        <f t="shared" si="3"/>
        <v>Skagit - HUSLY</v>
      </c>
      <c r="B37" s="121">
        <f t="shared" si="4"/>
        <v>1.7054378123609649E-2</v>
      </c>
      <c r="C37" s="121">
        <f t="shared" si="4"/>
        <v>1.7054378123609649E-2</v>
      </c>
      <c r="D37" s="121">
        <f t="shared" si="4"/>
        <v>1.7054378123609649E-2</v>
      </c>
      <c r="E37" s="121">
        <f t="shared" si="4"/>
        <v>1.7054378123609649E-2</v>
      </c>
      <c r="F37" s="121">
        <f t="shared" si="4"/>
        <v>1.7054378123609649E-2</v>
      </c>
      <c r="G37" s="121">
        <f t="shared" si="4"/>
        <v>1.7054378123609649E-2</v>
      </c>
      <c r="H37" s="121">
        <f t="shared" si="4"/>
        <v>1.7054378123609649E-2</v>
      </c>
      <c r="I37" s="121">
        <f t="shared" si="4"/>
        <v>1.7054378123609649E-2</v>
      </c>
      <c r="J37" s="121">
        <f t="shared" si="4"/>
        <v>1.7054378123609649E-2</v>
      </c>
      <c r="K37" s="121">
        <f t="shared" si="4"/>
        <v>1.7054378123609649E-2</v>
      </c>
      <c r="L37" s="121">
        <f t="shared" si="4"/>
        <v>1.7054378123609649E-2</v>
      </c>
      <c r="M37" s="121">
        <f t="shared" si="4"/>
        <v>1.7054378123609649E-2</v>
      </c>
    </row>
    <row r="38" spans="1:18" s="54" customFormat="1" x14ac:dyDescent="0.25">
      <c r="A38" s="95" t="str">
        <f t="shared" si="3"/>
        <v>Skagit - Transitional Living</v>
      </c>
      <c r="B38" s="121">
        <f t="shared" si="4"/>
        <v>8.8252633697174732E-2</v>
      </c>
      <c r="C38" s="121">
        <f t="shared" si="4"/>
        <v>8.8252633697174732E-2</v>
      </c>
      <c r="D38" s="121">
        <f t="shared" si="4"/>
        <v>8.8252633697174732E-2</v>
      </c>
      <c r="E38" s="121">
        <f t="shared" si="4"/>
        <v>8.8252633697174732E-2</v>
      </c>
      <c r="F38" s="121">
        <f t="shared" si="4"/>
        <v>8.8252633697174732E-2</v>
      </c>
      <c r="G38" s="121">
        <f t="shared" si="4"/>
        <v>8.8252633697174732E-2</v>
      </c>
      <c r="H38" s="121">
        <f t="shared" si="4"/>
        <v>8.8252633697174732E-2</v>
      </c>
      <c r="I38" s="121">
        <f t="shared" si="4"/>
        <v>8.8252633697174732E-2</v>
      </c>
      <c r="J38" s="121">
        <f t="shared" si="4"/>
        <v>8.8252633697174732E-2</v>
      </c>
      <c r="K38" s="121">
        <f t="shared" si="4"/>
        <v>8.8252633697174732E-2</v>
      </c>
      <c r="L38" s="121">
        <f t="shared" si="4"/>
        <v>8.8252633697174732E-2</v>
      </c>
      <c r="M38" s="121">
        <f t="shared" si="4"/>
        <v>8.8252633697174732E-2</v>
      </c>
    </row>
    <row r="39" spans="1:18" s="54" customFormat="1" x14ac:dyDescent="0.25">
      <c r="A39" s="95" t="str">
        <f t="shared" si="3"/>
        <v>Skagit - Permanent Housing</v>
      </c>
      <c r="B39" s="121">
        <f t="shared" si="4"/>
        <v>1.6818559842033193E-2</v>
      </c>
      <c r="C39" s="121">
        <f t="shared" si="4"/>
        <v>1.6818559842033193E-2</v>
      </c>
      <c r="D39" s="121">
        <f t="shared" si="4"/>
        <v>1.6818559842033193E-2</v>
      </c>
      <c r="E39" s="121">
        <f t="shared" si="4"/>
        <v>1.6818559842033193E-2</v>
      </c>
      <c r="F39" s="121">
        <f t="shared" si="4"/>
        <v>1.6818559842033193E-2</v>
      </c>
      <c r="G39" s="121">
        <f t="shared" si="4"/>
        <v>1.6818559842033193E-2</v>
      </c>
      <c r="H39" s="121">
        <f t="shared" si="4"/>
        <v>1.6818559842033193E-2</v>
      </c>
      <c r="I39" s="121">
        <f t="shared" si="4"/>
        <v>1.6818559842033193E-2</v>
      </c>
      <c r="J39" s="121">
        <f t="shared" si="4"/>
        <v>1.6818559842033193E-2</v>
      </c>
      <c r="K39" s="121">
        <f t="shared" si="4"/>
        <v>1.6818559842033193E-2</v>
      </c>
      <c r="L39" s="121">
        <f t="shared" si="4"/>
        <v>1.6818559842033193E-2</v>
      </c>
      <c r="M39" s="121">
        <f t="shared" si="4"/>
        <v>1.6818559842033193E-2</v>
      </c>
    </row>
    <row r="40" spans="1:18" s="54" customFormat="1" x14ac:dyDescent="0.25">
      <c r="A40" s="95" t="str">
        <f t="shared" si="3"/>
        <v>Skagit - Vocational</v>
      </c>
      <c r="B40" s="121">
        <f t="shared" si="4"/>
        <v>1.4224558744692122E-2</v>
      </c>
      <c r="C40" s="121">
        <f t="shared" si="4"/>
        <v>1.4224558744692122E-2</v>
      </c>
      <c r="D40" s="121">
        <f t="shared" si="4"/>
        <v>1.4224558744692122E-2</v>
      </c>
      <c r="E40" s="121">
        <f t="shared" si="4"/>
        <v>1.4224558744692122E-2</v>
      </c>
      <c r="F40" s="121">
        <f t="shared" si="4"/>
        <v>1.4224558744692122E-2</v>
      </c>
      <c r="G40" s="121">
        <f t="shared" si="4"/>
        <v>1.4224558744692122E-2</v>
      </c>
      <c r="H40" s="121">
        <f t="shared" si="4"/>
        <v>1.4224558744692122E-2</v>
      </c>
      <c r="I40" s="121">
        <f t="shared" si="4"/>
        <v>1.4224558744692122E-2</v>
      </c>
      <c r="J40" s="121">
        <f t="shared" si="4"/>
        <v>1.4224558744692122E-2</v>
      </c>
      <c r="K40" s="121">
        <f t="shared" si="4"/>
        <v>1.4224558744692122E-2</v>
      </c>
      <c r="L40" s="121">
        <f t="shared" si="4"/>
        <v>1.4224558744692122E-2</v>
      </c>
      <c r="M40" s="121">
        <f t="shared" si="4"/>
        <v>1.4224558744692122E-2</v>
      </c>
    </row>
    <row r="41" spans="1:18" s="54" customFormat="1" ht="16.5" thickBot="1" x14ac:dyDescent="0.3">
      <c r="A41" s="95" t="str">
        <f t="shared" si="3"/>
        <v>22 North Project</v>
      </c>
      <c r="B41" s="121">
        <f t="shared" si="4"/>
        <v>2.122364534188148E-3</v>
      </c>
      <c r="C41" s="121">
        <f t="shared" si="4"/>
        <v>2.122364534188148E-3</v>
      </c>
      <c r="D41" s="121">
        <f t="shared" si="4"/>
        <v>2.122364534188148E-3</v>
      </c>
      <c r="E41" s="121">
        <f t="shared" si="4"/>
        <v>2.122364534188148E-3</v>
      </c>
      <c r="F41" s="121">
        <f t="shared" si="4"/>
        <v>1.5799824865622879E-2</v>
      </c>
      <c r="G41" s="121">
        <f t="shared" si="4"/>
        <v>1.5799824865622879E-2</v>
      </c>
      <c r="H41" s="121">
        <f t="shared" si="4"/>
        <v>7.0509666191361814E-2</v>
      </c>
      <c r="I41" s="121">
        <f t="shared" si="4"/>
        <v>7.0509666191361814E-2</v>
      </c>
      <c r="J41" s="121">
        <f t="shared" si="4"/>
        <v>7.0509666191361814E-2</v>
      </c>
      <c r="K41" s="121">
        <f t="shared" si="4"/>
        <v>7.0509666191361814E-2</v>
      </c>
      <c r="L41" s="121">
        <f t="shared" si="4"/>
        <v>7.0509666191361814E-2</v>
      </c>
      <c r="M41" s="121">
        <f t="shared" si="4"/>
        <v>7.0509666191361814E-2</v>
      </c>
    </row>
    <row r="42" spans="1:18" x14ac:dyDescent="0.25">
      <c r="A42" s="76" t="s">
        <v>36</v>
      </c>
      <c r="B42" s="98">
        <f t="shared" ref="B42:M42" si="5">SUM(B27:B41)</f>
        <v>1.0018197467940504</v>
      </c>
      <c r="C42" s="98">
        <f t="shared" si="5"/>
        <v>1.0018197467940504</v>
      </c>
      <c r="D42" s="98">
        <f t="shared" si="5"/>
        <v>1.0018197467940504</v>
      </c>
      <c r="E42" s="98">
        <f t="shared" si="5"/>
        <v>0.9990842547277633</v>
      </c>
      <c r="F42" s="98">
        <f t="shared" si="5"/>
        <v>1.0159229848934805</v>
      </c>
      <c r="G42" s="98">
        <f t="shared" si="5"/>
        <v>1.0142507817376032</v>
      </c>
      <c r="H42" s="98">
        <f t="shared" si="5"/>
        <v>1.0135205468468735</v>
      </c>
      <c r="I42" s="98">
        <f t="shared" si="5"/>
        <v>1.0135205468468735</v>
      </c>
      <c r="J42" s="98">
        <f t="shared" si="5"/>
        <v>1.0167876833683653</v>
      </c>
      <c r="K42" s="98">
        <f t="shared" si="5"/>
        <v>1.0167876833683653</v>
      </c>
      <c r="L42" s="98">
        <f t="shared" si="5"/>
        <v>1.01473606431865</v>
      </c>
      <c r="M42" s="98">
        <f t="shared" si="5"/>
        <v>1.01473606431865</v>
      </c>
      <c r="N42" s="54"/>
      <c r="O42" s="54"/>
      <c r="P42" s="54"/>
      <c r="Q42" s="54"/>
      <c r="R42" s="54"/>
    </row>
    <row r="45" spans="1:18" x14ac:dyDescent="0.25">
      <c r="A45" s="55" t="s">
        <v>265</v>
      </c>
      <c r="B45" s="122">
        <f>SUM(-CMS!C87-Fundraising!C87)</f>
        <v>-21199.005817815461</v>
      </c>
      <c r="C45" s="122">
        <f>SUM(-CMS!D87-Fundraising!D87)</f>
        <v>-36544.005817815458</v>
      </c>
      <c r="D45" s="122">
        <f>SUM(-CMS!E87-Fundraising!E87)</f>
        <v>-54753.005817815458</v>
      </c>
      <c r="E45" s="122">
        <f>SUM(-CMS!F87-Fundraising!F87)</f>
        <v>-36584.005817815458</v>
      </c>
      <c r="F45" s="122">
        <f>SUM(-CMS!G87-Fundraising!G87)</f>
        <v>-34743.005817815458</v>
      </c>
      <c r="G45" s="122">
        <f>SUM(-CMS!H87-Fundraising!H87)</f>
        <v>-41544.005817815458</v>
      </c>
      <c r="H45" s="122">
        <f>SUM(-CMS!I87-Fundraising!I87)</f>
        <v>-9544.0058178154577</v>
      </c>
      <c r="I45" s="122">
        <f>SUM(-CMS!J87-Fundraising!J87)</f>
        <v>-35044.005817815458</v>
      </c>
      <c r="J45" s="122">
        <f>SUM(-CMS!K87-Fundraising!K87)</f>
        <v>-35858.005817815458</v>
      </c>
      <c r="K45" s="122">
        <f>SUM(-CMS!L87-Fundraising!L87)</f>
        <v>-31634.005817815461</v>
      </c>
      <c r="L45" s="122">
        <f>SUM(-CMS!M87-Fundraising!M87)</f>
        <v>30672.994182184528</v>
      </c>
      <c r="M45" s="122">
        <f>SUM(-CMS!N87-Fundraising!N87)</f>
        <v>156670.99418218457</v>
      </c>
      <c r="N45" s="122">
        <f>SUM(B45:M45)</f>
        <v>-150103.06981378549</v>
      </c>
      <c r="O45" s="122"/>
      <c r="P45" s="122"/>
      <c r="Q45" s="122"/>
      <c r="R45" s="122"/>
    </row>
    <row r="46" spans="1:18" s="54" customFormat="1" x14ac:dyDescent="0.25">
      <c r="A46" s="55"/>
      <c r="B46" s="122"/>
      <c r="C46" s="122"/>
      <c r="D46" s="122"/>
      <c r="E46" s="122"/>
      <c r="F46" s="122"/>
      <c r="G46" s="122"/>
      <c r="H46" s="122"/>
      <c r="I46" s="122"/>
      <c r="J46" s="122"/>
      <c r="K46" s="122"/>
      <c r="L46" s="122"/>
      <c r="M46" s="122"/>
      <c r="N46" s="122"/>
      <c r="O46" s="122"/>
      <c r="P46" s="122"/>
      <c r="Q46" s="122"/>
      <c r="R46" s="122"/>
    </row>
    <row r="47" spans="1:18" s="54" customFormat="1" x14ac:dyDescent="0.25">
      <c r="A47" s="55" t="s">
        <v>266</v>
      </c>
      <c r="B47" s="122"/>
    </row>
    <row r="48" spans="1:18" ht="16.5" thickBot="1" x14ac:dyDescent="0.3">
      <c r="A48" s="55"/>
      <c r="B48" s="143" t="str">
        <f t="shared" ref="B48:M48" si="6">B25</f>
        <v>January</v>
      </c>
      <c r="C48" s="143" t="str">
        <f t="shared" si="6"/>
        <v>February</v>
      </c>
      <c r="D48" s="143" t="str">
        <f t="shared" si="6"/>
        <v>March</v>
      </c>
      <c r="E48" s="143" t="str">
        <f t="shared" si="6"/>
        <v>April</v>
      </c>
      <c r="F48" s="143" t="str">
        <f t="shared" si="6"/>
        <v>May</v>
      </c>
      <c r="G48" s="143" t="str">
        <f t="shared" si="6"/>
        <v>June</v>
      </c>
      <c r="H48" s="143" t="str">
        <f t="shared" si="6"/>
        <v>July</v>
      </c>
      <c r="I48" s="143" t="str">
        <f t="shared" si="6"/>
        <v>August</v>
      </c>
      <c r="J48" s="143" t="str">
        <f t="shared" si="6"/>
        <v>September</v>
      </c>
      <c r="K48" s="143" t="str">
        <f t="shared" si="6"/>
        <v>October</v>
      </c>
      <c r="L48" s="143" t="str">
        <f t="shared" si="6"/>
        <v>November</v>
      </c>
      <c r="M48" s="143" t="str">
        <f t="shared" si="6"/>
        <v>December</v>
      </c>
      <c r="N48" s="54"/>
      <c r="O48" s="54"/>
      <c r="P48" s="54"/>
      <c r="Q48" s="54"/>
      <c r="R48" s="54"/>
    </row>
    <row r="49" spans="1:18" ht="33" thickTop="1" thickBot="1" x14ac:dyDescent="0.3">
      <c r="A49" s="57" t="s">
        <v>261</v>
      </c>
      <c r="B49" s="454" t="s">
        <v>267</v>
      </c>
      <c r="C49" s="454" t="s">
        <v>267</v>
      </c>
      <c r="D49" s="454" t="s">
        <v>267</v>
      </c>
      <c r="E49" s="454" t="s">
        <v>267</v>
      </c>
      <c r="F49" s="454" t="s">
        <v>267</v>
      </c>
      <c r="G49" s="454" t="s">
        <v>267</v>
      </c>
      <c r="H49" s="454" t="s">
        <v>267</v>
      </c>
      <c r="I49" s="454" t="s">
        <v>267</v>
      </c>
      <c r="J49" s="454" t="s">
        <v>267</v>
      </c>
      <c r="K49" s="454" t="s">
        <v>267</v>
      </c>
      <c r="L49" s="454" t="s">
        <v>267</v>
      </c>
      <c r="M49" s="454" t="s">
        <v>267</v>
      </c>
      <c r="N49" s="54"/>
      <c r="O49" s="54"/>
      <c r="P49" s="54"/>
      <c r="Q49" s="54"/>
      <c r="R49" s="54"/>
    </row>
    <row r="50" spans="1:18" s="54" customFormat="1" ht="16.5" thickTop="1" x14ac:dyDescent="0.25">
      <c r="A50" s="95" t="str">
        <f>A27</f>
        <v>Homeless Student Stability Program</v>
      </c>
      <c r="B50" s="456">
        <f>SUM(B$45*B27)</f>
        <v>-674.5469974084906</v>
      </c>
      <c r="C50" s="456">
        <f t="shared" ref="C50:M50" si="7">SUM(C$45*C27)</f>
        <v>-1162.8210119631947</v>
      </c>
      <c r="D50" s="456">
        <f t="shared" si="7"/>
        <v>-1742.2267813360595</v>
      </c>
      <c r="E50" s="456">
        <f t="shared" si="7"/>
        <v>-1164.0938018349568</v>
      </c>
      <c r="F50" s="456">
        <f t="shared" si="7"/>
        <v>-1105.5136479871098</v>
      </c>
      <c r="G50" s="456">
        <f t="shared" si="7"/>
        <v>-1321.9197459334471</v>
      </c>
      <c r="H50" s="456">
        <f t="shared" si="7"/>
        <v>-42.612326571525877</v>
      </c>
      <c r="I50" s="456">
        <f t="shared" si="7"/>
        <v>-156.46539291664121</v>
      </c>
      <c r="J50" s="456">
        <f t="shared" si="7"/>
        <v>-1140.9926656624762</v>
      </c>
      <c r="K50" s="456">
        <f t="shared" si="7"/>
        <v>-1006.5860552044071</v>
      </c>
      <c r="L50" s="456">
        <f t="shared" si="7"/>
        <v>976.00690829249459</v>
      </c>
      <c r="M50" s="456">
        <f t="shared" si="7"/>
        <v>4985.2313648492654</v>
      </c>
      <c r="N50" s="398">
        <f>SUM(B50:M50)</f>
        <v>-3556.5401536765494</v>
      </c>
    </row>
    <row r="51" spans="1:18" x14ac:dyDescent="0.25">
      <c r="A51" s="95" t="str">
        <f t="shared" ref="A51:A64" si="8">A28</f>
        <v>Whatcom - Street Outreach Program</v>
      </c>
      <c r="B51" s="126">
        <f t="shared" ref="B51:M51" si="9">SUM(B$45*B28)</f>
        <v>-2397.6079812531725</v>
      </c>
      <c r="C51" s="126">
        <f t="shared" si="9"/>
        <v>-4133.1277876306413</v>
      </c>
      <c r="D51" s="126">
        <f t="shared" si="9"/>
        <v>-6192.5660511905844</v>
      </c>
      <c r="E51" s="126">
        <f t="shared" si="9"/>
        <v>-4137.6517884292789</v>
      </c>
      <c r="F51" s="126">
        <f t="shared" si="9"/>
        <v>-3929.4346516719688</v>
      </c>
      <c r="G51" s="126">
        <f t="shared" si="9"/>
        <v>-4698.6278874603804</v>
      </c>
      <c r="H51" s="126">
        <f t="shared" si="9"/>
        <v>-1079.4272485500503</v>
      </c>
      <c r="I51" s="126">
        <f t="shared" si="9"/>
        <v>-3963.4777576817191</v>
      </c>
      <c r="J51" s="126">
        <f t="shared" si="9"/>
        <v>-4055.5411739340007</v>
      </c>
      <c r="K51" s="126">
        <f t="shared" si="9"/>
        <v>-3577.8066895978377</v>
      </c>
      <c r="L51" s="126">
        <f t="shared" si="9"/>
        <v>3469.1162544204708</v>
      </c>
      <c r="M51" s="126">
        <f t="shared" si="9"/>
        <v>17719.492570089966</v>
      </c>
      <c r="N51" s="398">
        <f t="shared" ref="N51:N64" si="10">SUM(B51:M51)</f>
        <v>-16976.660192889194</v>
      </c>
      <c r="O51" s="54"/>
      <c r="P51" s="54"/>
      <c r="Q51" s="54"/>
      <c r="R51" s="54"/>
    </row>
    <row r="52" spans="1:18" x14ac:dyDescent="0.25">
      <c r="A52" s="95" t="str">
        <f t="shared" si="8"/>
        <v>Whatcom - PAD</v>
      </c>
      <c r="B52" s="126">
        <f>SUM(B$45*B29)+266</f>
        <v>-6309.5837797262202</v>
      </c>
      <c r="C52" s="126">
        <f t="shared" ref="C52:M52" si="11">SUM(C$45*C29)</f>
        <v>-11335.351004993991</v>
      </c>
      <c r="D52" s="126">
        <f t="shared" si="11"/>
        <v>-16983.484038874791</v>
      </c>
      <c r="E52" s="126">
        <f t="shared" si="11"/>
        <v>-11347.758348689704</v>
      </c>
      <c r="F52" s="126">
        <f t="shared" si="11"/>
        <v>-11124.140413272682</v>
      </c>
      <c r="G52" s="126">
        <f t="shared" si="11"/>
        <v>-12470.82890877992</v>
      </c>
      <c r="H52" s="126">
        <f t="shared" si="11"/>
        <v>-2578.6337776753221</v>
      </c>
      <c r="I52" s="126">
        <f t="shared" si="11"/>
        <v>-9468.3153836921465</v>
      </c>
      <c r="J52" s="126">
        <f t="shared" si="11"/>
        <v>-9329.664769721745</v>
      </c>
      <c r="K52" s="126">
        <f t="shared" si="11"/>
        <v>-8230.6492754544888</v>
      </c>
      <c r="L52" s="126">
        <f t="shared" si="11"/>
        <v>7980.6098157647348</v>
      </c>
      <c r="M52" s="126">
        <f t="shared" si="11"/>
        <v>40763.222090074858</v>
      </c>
      <c r="N52" s="398">
        <f t="shared" si="10"/>
        <v>-50434.577795041398</v>
      </c>
      <c r="O52" s="54"/>
      <c r="P52" s="54"/>
      <c r="Q52" s="54"/>
      <c r="R52" s="54"/>
    </row>
    <row r="53" spans="1:18" x14ac:dyDescent="0.25">
      <c r="A53" s="95" t="str">
        <f t="shared" si="8"/>
        <v>Whatcom - HUSLY</v>
      </c>
      <c r="B53" s="126">
        <f t="shared" ref="B53:M53" si="12">SUM(B$45*B30)</f>
        <v>-592.19494056084318</v>
      </c>
      <c r="C53" s="126">
        <f t="shared" si="12"/>
        <v>-1020.8580316983202</v>
      </c>
      <c r="D53" s="126">
        <f t="shared" si="12"/>
        <v>-1529.5270591680057</v>
      </c>
      <c r="E53" s="126">
        <f t="shared" si="12"/>
        <v>-1021.9754330437422</v>
      </c>
      <c r="F53" s="126">
        <f t="shared" si="12"/>
        <v>-970.5470361206992</v>
      </c>
      <c r="G53" s="126">
        <f t="shared" si="12"/>
        <v>-1160.533199876058</v>
      </c>
      <c r="H53" s="126">
        <f t="shared" si="12"/>
        <v>-331.88100402661297</v>
      </c>
      <c r="I53" s="126">
        <f t="shared" si="12"/>
        <v>-1218.6119809588686</v>
      </c>
      <c r="J53" s="126">
        <f t="shared" si="12"/>
        <v>-1246.9178246930981</v>
      </c>
      <c r="K53" s="126">
        <f t="shared" si="12"/>
        <v>-1100.0334463965553</v>
      </c>
      <c r="L53" s="126">
        <f t="shared" si="12"/>
        <v>1066.6154547688579</v>
      </c>
      <c r="M53" s="126">
        <f t="shared" si="12"/>
        <v>5448.0401462006366</v>
      </c>
      <c r="N53" s="398">
        <f t="shared" si="10"/>
        <v>-3678.4243555733092</v>
      </c>
    </row>
    <row r="54" spans="1:18" x14ac:dyDescent="0.25">
      <c r="A54" s="95" t="str">
        <f t="shared" si="8"/>
        <v>Whatcom - Transitional Living</v>
      </c>
      <c r="B54" s="126">
        <f t="shared" ref="B54:M54" si="13">SUM(B$45*B31)</f>
        <v>-2165.2158758712849</v>
      </c>
      <c r="C54" s="126">
        <f t="shared" si="13"/>
        <v>-3732.5175644873925</v>
      </c>
      <c r="D54" s="126">
        <f t="shared" si="13"/>
        <v>-5592.3413799328609</v>
      </c>
      <c r="E54" s="126">
        <f t="shared" si="13"/>
        <v>-3736.6030690520488</v>
      </c>
      <c r="F54" s="126">
        <f t="shared" si="13"/>
        <v>-3310.9696795297737</v>
      </c>
      <c r="G54" s="126">
        <f t="shared" si="13"/>
        <v>-3959.0973892783441</v>
      </c>
      <c r="H54" s="126">
        <f t="shared" si="13"/>
        <v>-909.53310285660405</v>
      </c>
      <c r="I54" s="126">
        <f t="shared" si="13"/>
        <v>-3339.654643598928</v>
      </c>
      <c r="J54" s="126">
        <f t="shared" si="13"/>
        <v>-3417.2279351347811</v>
      </c>
      <c r="K54" s="126">
        <f t="shared" si="13"/>
        <v>-3014.6854493271117</v>
      </c>
      <c r="L54" s="126">
        <f t="shared" si="13"/>
        <v>2923.1021129878668</v>
      </c>
      <c r="M54" s="126">
        <f t="shared" si="13"/>
        <v>14930.57089300557</v>
      </c>
      <c r="N54" s="398">
        <f t="shared" si="10"/>
        <v>-15324.173083075697</v>
      </c>
    </row>
    <row r="55" spans="1:18" x14ac:dyDescent="0.25">
      <c r="A55" s="95" t="str">
        <f t="shared" si="8"/>
        <v>Whatcom - Permanent Housing</v>
      </c>
      <c r="B55" s="126">
        <f t="shared" ref="B55:M55" si="14">SUM(B$45*B32)</f>
        <v>-1451.3758493153339</v>
      </c>
      <c r="C55" s="126">
        <f t="shared" si="14"/>
        <v>-2501.961079544722</v>
      </c>
      <c r="D55" s="126">
        <f t="shared" si="14"/>
        <v>-3748.628167016011</v>
      </c>
      <c r="E55" s="126">
        <f t="shared" si="14"/>
        <v>-2504.6996529698881</v>
      </c>
      <c r="F55" s="126">
        <f t="shared" si="14"/>
        <v>-2378.6568110766129</v>
      </c>
      <c r="G55" s="126">
        <f t="shared" si="14"/>
        <v>-2844.2827576904983</v>
      </c>
      <c r="H55" s="126">
        <f t="shared" si="14"/>
        <v>-653.42401755752837</v>
      </c>
      <c r="I55" s="126">
        <f t="shared" si="14"/>
        <v>-2399.264576100989</v>
      </c>
      <c r="J55" s="126">
        <f t="shared" si="14"/>
        <v>-2454.9945453031214</v>
      </c>
      <c r="K55" s="126">
        <f t="shared" si="14"/>
        <v>-2165.8011916055693</v>
      </c>
      <c r="L55" s="126">
        <f t="shared" si="14"/>
        <v>2100.0061684402099</v>
      </c>
      <c r="M55" s="126">
        <f t="shared" si="14"/>
        <v>10726.375529042523</v>
      </c>
      <c r="N55" s="398">
        <f t="shared" si="10"/>
        <v>-10276.70695069754</v>
      </c>
    </row>
    <row r="56" spans="1:18" x14ac:dyDescent="0.25">
      <c r="A56" s="95" t="str">
        <f t="shared" si="8"/>
        <v>Whatcom - Vocational</v>
      </c>
      <c r="B56" s="126">
        <f t="shared" ref="B56:M56" si="15">SUM(B$45*B33)</f>
        <v>-606.05914762220345</v>
      </c>
      <c r="C56" s="126">
        <f t="shared" si="15"/>
        <v>-1044.7579102050738</v>
      </c>
      <c r="D56" s="126">
        <f t="shared" si="15"/>
        <v>-1565.3356728555455</v>
      </c>
      <c r="E56" s="126">
        <f t="shared" si="15"/>
        <v>-1045.9014716585318</v>
      </c>
      <c r="F56" s="126">
        <f t="shared" si="15"/>
        <v>-993.26905576312197</v>
      </c>
      <c r="G56" s="126">
        <f t="shared" si="15"/>
        <v>-2062.7564889237183</v>
      </c>
      <c r="H56" s="126">
        <f t="shared" si="15"/>
        <v>-447.77452882888974</v>
      </c>
      <c r="I56" s="126">
        <f t="shared" si="15"/>
        <v>-1644.1537749335646</v>
      </c>
      <c r="J56" s="126">
        <f t="shared" si="15"/>
        <v>-1000.6235086713909</v>
      </c>
      <c r="K56" s="126">
        <f t="shared" si="15"/>
        <v>-882.75209880821274</v>
      </c>
      <c r="L56" s="126">
        <f t="shared" si="15"/>
        <v>793.00561298765183</v>
      </c>
      <c r="M56" s="126">
        <f t="shared" si="15"/>
        <v>4050.5004839400285</v>
      </c>
      <c r="N56" s="398">
        <f t="shared" si="10"/>
        <v>-6449.8775613425732</v>
      </c>
    </row>
    <row r="57" spans="1:18" x14ac:dyDescent="0.25">
      <c r="A57" s="95" t="str">
        <f t="shared" si="8"/>
        <v>Queer Youth Project</v>
      </c>
      <c r="B57" s="126">
        <f t="shared" ref="B57:M57" si="16">SUM(B$45*B34)</f>
        <v>-208.76296402009805</v>
      </c>
      <c r="C57" s="126">
        <f t="shared" si="16"/>
        <v>-359.87701674592148</v>
      </c>
      <c r="D57" s="126">
        <f t="shared" si="16"/>
        <v>-539.19508687198993</v>
      </c>
      <c r="E57" s="126">
        <f t="shared" si="16"/>
        <v>-260.19566993583715</v>
      </c>
      <c r="F57" s="126">
        <f t="shared" si="16"/>
        <v>-247.10196361134808</v>
      </c>
      <c r="G57" s="126">
        <f t="shared" si="16"/>
        <v>-295.47257562267362</v>
      </c>
      <c r="H57" s="126">
        <f t="shared" si="16"/>
        <v>-67.879635707599675</v>
      </c>
      <c r="I57" s="126">
        <f t="shared" si="16"/>
        <v>-249.24275970242422</v>
      </c>
      <c r="J57" s="126">
        <f t="shared" si="16"/>
        <v>-255.03215511151393</v>
      </c>
      <c r="K57" s="126">
        <f t="shared" si="16"/>
        <v>-224.98988704272421</v>
      </c>
      <c r="L57" s="126">
        <f t="shared" si="16"/>
        <v>218.15490381004176</v>
      </c>
      <c r="M57" s="126">
        <f t="shared" si="16"/>
        <v>1114.287880166901</v>
      </c>
      <c r="N57" s="398">
        <f t="shared" si="10"/>
        <v>-1375.3069303951877</v>
      </c>
    </row>
    <row r="58" spans="1:18" s="54" customFormat="1" x14ac:dyDescent="0.25">
      <c r="A58" s="95" t="str">
        <f t="shared" si="8"/>
        <v>Behavioral Health Team</v>
      </c>
      <c r="B58" s="126">
        <f t="shared" ref="B58:M58" si="17">SUM(B$45*B35)</f>
        <v>-3162.6389261895315</v>
      </c>
      <c r="C58" s="126">
        <f t="shared" si="17"/>
        <v>-5451.9299778290178</v>
      </c>
      <c r="D58" s="126">
        <f t="shared" si="17"/>
        <v>-8168.495683876813</v>
      </c>
      <c r="E58" s="126">
        <f t="shared" si="17"/>
        <v>-5457.8975009352789</v>
      </c>
      <c r="F58" s="126">
        <f t="shared" si="17"/>
        <v>-5183.2422499696031</v>
      </c>
      <c r="G58" s="126">
        <f t="shared" si="17"/>
        <v>-6197.8703661116788</v>
      </c>
      <c r="H58" s="126">
        <f t="shared" si="17"/>
        <v>-1423.8518811026479</v>
      </c>
      <c r="I58" s="126">
        <f t="shared" si="17"/>
        <v>-5228.1478613442196</v>
      </c>
      <c r="J58" s="126">
        <f t="shared" si="17"/>
        <v>-5349.5869565566363</v>
      </c>
      <c r="K58" s="126">
        <f t="shared" si="17"/>
        <v>-4719.4165165354452</v>
      </c>
      <c r="L58" s="126">
        <f t="shared" si="17"/>
        <v>4576.0450380101065</v>
      </c>
      <c r="M58" s="126">
        <f t="shared" si="17"/>
        <v>23373.444446577858</v>
      </c>
      <c r="N58" s="398">
        <f t="shared" si="10"/>
        <v>-22393.588435862905</v>
      </c>
    </row>
    <row r="59" spans="1:18" s="54" customFormat="1" x14ac:dyDescent="0.25">
      <c r="A59" s="95" t="str">
        <f t="shared" si="8"/>
        <v>Teen Court</v>
      </c>
      <c r="B59" s="126">
        <f t="shared" ref="B59:M59" si="18">SUM(B$45*B36)</f>
        <v>-468.11695284583288</v>
      </c>
      <c r="C59" s="126">
        <f t="shared" si="18"/>
        <v>-806.9656093890826</v>
      </c>
      <c r="D59" s="126">
        <f t="shared" si="18"/>
        <v>-1209.0571823441842</v>
      </c>
      <c r="E59" s="126">
        <f t="shared" si="18"/>
        <v>-807.84889034455534</v>
      </c>
      <c r="F59" s="126">
        <f t="shared" si="18"/>
        <v>-767.19588436892013</v>
      </c>
      <c r="G59" s="126">
        <f t="shared" si="18"/>
        <v>-803.73243050676842</v>
      </c>
      <c r="H59" s="126">
        <f t="shared" si="18"/>
        <v>-163.75737049353287</v>
      </c>
      <c r="I59" s="126">
        <f t="shared" si="18"/>
        <v>-601.28989376486686</v>
      </c>
      <c r="J59" s="126">
        <f t="shared" si="18"/>
        <v>-791.81734100272422</v>
      </c>
      <c r="K59" s="126">
        <f t="shared" si="18"/>
        <v>-698.54287210479742</v>
      </c>
      <c r="L59" s="126">
        <f t="shared" si="18"/>
        <v>677.32179021128343</v>
      </c>
      <c r="M59" s="126">
        <f t="shared" si="18"/>
        <v>3459.6126359028053</v>
      </c>
      <c r="N59" s="398">
        <f t="shared" si="10"/>
        <v>-2981.3900010511766</v>
      </c>
    </row>
    <row r="60" spans="1:18" s="54" customFormat="1" x14ac:dyDescent="0.25">
      <c r="A60" s="95" t="str">
        <f t="shared" si="8"/>
        <v>Skagit - HUSLY</v>
      </c>
      <c r="B60" s="126">
        <f t="shared" ref="B60:M60" si="19">SUM(B$45*B37)</f>
        <v>-361.53586106162567</v>
      </c>
      <c r="C60" s="126">
        <f t="shared" si="19"/>
        <v>-623.23529336841568</v>
      </c>
      <c r="D60" s="126">
        <f t="shared" si="19"/>
        <v>-933.77846462122375</v>
      </c>
      <c r="E60" s="126">
        <f t="shared" si="19"/>
        <v>-623.91746849336005</v>
      </c>
      <c r="F60" s="126">
        <f t="shared" si="19"/>
        <v>-592.52035836779464</v>
      </c>
      <c r="G60" s="126">
        <f t="shared" si="19"/>
        <v>-708.50718398646393</v>
      </c>
      <c r="H60" s="126">
        <f t="shared" si="19"/>
        <v>-162.76708403095515</v>
      </c>
      <c r="I60" s="126">
        <f t="shared" si="19"/>
        <v>-597.65372618300125</v>
      </c>
      <c r="J60" s="126">
        <f t="shared" si="19"/>
        <v>-611.53598997561949</v>
      </c>
      <c r="K60" s="126">
        <f t="shared" si="19"/>
        <v>-539.4982967814924</v>
      </c>
      <c r="L60" s="126">
        <f t="shared" si="19"/>
        <v>523.10884096625387</v>
      </c>
      <c r="M60" s="126">
        <f t="shared" si="19"/>
        <v>2671.926375784823</v>
      </c>
      <c r="N60" s="398">
        <f t="shared" si="10"/>
        <v>-2559.914510118876</v>
      </c>
    </row>
    <row r="61" spans="1:18" s="54" customFormat="1" x14ac:dyDescent="0.25">
      <c r="A61" s="95" t="str">
        <f t="shared" si="8"/>
        <v>Skagit - Transitional Living</v>
      </c>
      <c r="B61" s="126">
        <f t="shared" ref="B61:M61" si="20">SUM(B$45*B38)</f>
        <v>-1870.868095183944</v>
      </c>
      <c r="C61" s="126">
        <f t="shared" si="20"/>
        <v>-3225.1047592670898</v>
      </c>
      <c r="D61" s="126">
        <f t="shared" si="20"/>
        <v>-4832.096966258945</v>
      </c>
      <c r="E61" s="126">
        <f t="shared" si="20"/>
        <v>-3228.6348646149768</v>
      </c>
      <c r="F61" s="126">
        <f t="shared" si="20"/>
        <v>-3066.1617659784783</v>
      </c>
      <c r="G61" s="126">
        <f t="shared" si="20"/>
        <v>-3666.3679277529636</v>
      </c>
      <c r="H61" s="126">
        <f t="shared" si="20"/>
        <v>-842.28364944337216</v>
      </c>
      <c r="I61" s="126">
        <f t="shared" si="20"/>
        <v>-3092.7258087213277</v>
      </c>
      <c r="J61" s="126">
        <f t="shared" si="20"/>
        <v>-3164.5634525508281</v>
      </c>
      <c r="K61" s="126">
        <f t="shared" si="20"/>
        <v>-2791.7843278139621</v>
      </c>
      <c r="L61" s="126">
        <f t="shared" si="20"/>
        <v>2706.972519955903</v>
      </c>
      <c r="M61" s="126">
        <f t="shared" si="20"/>
        <v>13826.627860532528</v>
      </c>
      <c r="N61" s="398">
        <f t="shared" si="10"/>
        <v>-13246.991237097456</v>
      </c>
    </row>
    <row r="62" spans="1:18" s="54" customFormat="1" x14ac:dyDescent="0.25">
      <c r="A62" s="95" t="str">
        <f t="shared" si="8"/>
        <v>Skagit - Permanent Housing</v>
      </c>
      <c r="B62" s="126">
        <f t="shared" ref="B62:M62" si="21">SUM(B$45*B39)</f>
        <v>-356.53674793853918</v>
      </c>
      <c r="C62" s="126">
        <f t="shared" si="21"/>
        <v>-614.61754871453843</v>
      </c>
      <c r="D62" s="126">
        <f t="shared" si="21"/>
        <v>-920.86670487812091</v>
      </c>
      <c r="E62" s="126">
        <f t="shared" si="21"/>
        <v>-615.29029110821978</v>
      </c>
      <c r="F62" s="126">
        <f t="shared" si="21"/>
        <v>-584.32732243903672</v>
      </c>
      <c r="G62" s="126">
        <f t="shared" si="21"/>
        <v>-698.71034792470437</v>
      </c>
      <c r="H62" s="126">
        <f t="shared" si="21"/>
        <v>-160.51643297964222</v>
      </c>
      <c r="I62" s="126">
        <f t="shared" si="21"/>
        <v>-589.38970895148861</v>
      </c>
      <c r="J62" s="126">
        <f t="shared" si="21"/>
        <v>-603.08001666290363</v>
      </c>
      <c r="K62" s="126">
        <f t="shared" si="21"/>
        <v>-532.03841989015552</v>
      </c>
      <c r="L62" s="126">
        <f t="shared" si="21"/>
        <v>515.87558818740649</v>
      </c>
      <c r="M62" s="126">
        <f t="shared" si="21"/>
        <v>2634.9804911639053</v>
      </c>
      <c r="N62" s="398">
        <f t="shared" si="10"/>
        <v>-2524.517462136037</v>
      </c>
    </row>
    <row r="63" spans="1:18" s="54" customFormat="1" x14ac:dyDescent="0.25">
      <c r="A63" s="95" t="str">
        <f t="shared" si="8"/>
        <v>Skagit - Vocational</v>
      </c>
      <c r="B63" s="126">
        <f t="shared" ref="B63:M63" si="22">SUM(B$45*B40)</f>
        <v>-301.54650358458611</v>
      </c>
      <c r="C63" s="126">
        <f t="shared" si="22"/>
        <v>-519.8223575218866</v>
      </c>
      <c r="D63" s="126">
        <f t="shared" si="22"/>
        <v>-778.83734770398553</v>
      </c>
      <c r="E63" s="126">
        <f t="shared" si="22"/>
        <v>-520.39133987167429</v>
      </c>
      <c r="F63" s="126">
        <f t="shared" si="22"/>
        <v>-494.20392722269617</v>
      </c>
      <c r="G63" s="126">
        <f t="shared" si="22"/>
        <v>-590.94515124534723</v>
      </c>
      <c r="H63" s="126">
        <f t="shared" si="22"/>
        <v>-135.75927141519935</v>
      </c>
      <c r="I63" s="126">
        <f t="shared" si="22"/>
        <v>-498.48551940484845</v>
      </c>
      <c r="J63" s="126">
        <f t="shared" si="22"/>
        <v>-510.06431022302786</v>
      </c>
      <c r="K63" s="126">
        <f t="shared" si="22"/>
        <v>-449.97977408544841</v>
      </c>
      <c r="L63" s="126">
        <f t="shared" si="22"/>
        <v>436.30980762008352</v>
      </c>
      <c r="M63" s="126">
        <f t="shared" si="22"/>
        <v>2228.575760333802</v>
      </c>
      <c r="N63" s="398">
        <f t="shared" si="10"/>
        <v>-2135.1499343248147</v>
      </c>
    </row>
    <row r="64" spans="1:18" s="54" customFormat="1" ht="16.5" thickBot="1" x14ac:dyDescent="0.3">
      <c r="A64" s="95" t="str">
        <f t="shared" si="8"/>
        <v>22 North Project</v>
      </c>
      <c r="B64" s="457">
        <f t="shared" ref="B64:M64" si="23">SUM(B$45*B41)</f>
        <v>-44.992018107779749</v>
      </c>
      <c r="C64" s="457">
        <f t="shared" si="23"/>
        <v>-77.559701884896867</v>
      </c>
      <c r="D64" s="457">
        <f t="shared" si="23"/>
        <v>-116.20583768792886</v>
      </c>
      <c r="E64" s="457">
        <f t="shared" si="23"/>
        <v>-77.644596466264403</v>
      </c>
      <c r="F64" s="457">
        <f t="shared" si="23"/>
        <v>-548.93340722680102</v>
      </c>
      <c r="G64" s="457">
        <f t="shared" si="23"/>
        <v>-656.38801613790224</v>
      </c>
      <c r="H64" s="457">
        <f t="shared" si="23"/>
        <v>-672.944664342583</v>
      </c>
      <c r="I64" s="457">
        <f t="shared" si="23"/>
        <v>-2470.9411522223095</v>
      </c>
      <c r="J64" s="457">
        <f t="shared" si="23"/>
        <v>-2528.3360205020776</v>
      </c>
      <c r="K64" s="457">
        <f t="shared" si="23"/>
        <v>-2230.5031905097658</v>
      </c>
      <c r="L64" s="457">
        <f t="shared" si="23"/>
        <v>2162.7425808754142</v>
      </c>
      <c r="M64" s="457">
        <f t="shared" si="23"/>
        <v>11046.819501654623</v>
      </c>
      <c r="N64" s="398">
        <f t="shared" si="10"/>
        <v>3785.1134774417278</v>
      </c>
    </row>
    <row r="65" spans="1:14" ht="16.5" thickTop="1" x14ac:dyDescent="0.25">
      <c r="A65" s="76" t="s">
        <v>36</v>
      </c>
      <c r="B65" s="455">
        <f t="shared" ref="B65:N65" si="24">SUM(B50:B64)</f>
        <v>-20971.582640689485</v>
      </c>
      <c r="C65" s="455">
        <f t="shared" si="24"/>
        <v>-36610.506655244186</v>
      </c>
      <c r="D65" s="455">
        <f t="shared" si="24"/>
        <v>-54852.64242461705</v>
      </c>
      <c r="E65" s="455">
        <f t="shared" si="24"/>
        <v>-36550.504187448321</v>
      </c>
      <c r="F65" s="455">
        <f t="shared" si="24"/>
        <v>-35296.218174606649</v>
      </c>
      <c r="G65" s="455">
        <f t="shared" si="24"/>
        <v>-42136.040377230864</v>
      </c>
      <c r="H65" s="455">
        <f t="shared" si="24"/>
        <v>-9673.0459955820661</v>
      </c>
      <c r="I65" s="455">
        <f t="shared" si="24"/>
        <v>-35517.819940177345</v>
      </c>
      <c r="J65" s="455">
        <f t="shared" si="24"/>
        <v>-36459.978665705952</v>
      </c>
      <c r="K65" s="455">
        <f t="shared" si="24"/>
        <v>-32165.067491157977</v>
      </c>
      <c r="L65" s="455">
        <f t="shared" si="24"/>
        <v>31124.993397298778</v>
      </c>
      <c r="M65" s="455">
        <f t="shared" si="24"/>
        <v>158979.70802932009</v>
      </c>
      <c r="N65" s="398">
        <f t="shared" si="24"/>
        <v>-150128.70512584099</v>
      </c>
    </row>
    <row r="66" spans="1:14" x14ac:dyDescent="0.25">
      <c r="A66" s="54"/>
      <c r="B66" s="54"/>
      <c r="C66" s="54"/>
      <c r="D66" s="54"/>
      <c r="E66" s="54"/>
      <c r="F66" s="54"/>
      <c r="G66" s="54"/>
      <c r="H66" s="54"/>
      <c r="I66" s="54"/>
      <c r="J66" s="54"/>
      <c r="K66" s="54"/>
      <c r="L66" s="54"/>
      <c r="M66" s="54"/>
    </row>
    <row r="67" spans="1:14" x14ac:dyDescent="0.25">
      <c r="N67" s="250">
        <f>SUM(N45-N65)</f>
        <v>25.635312055499526</v>
      </c>
    </row>
  </sheetData>
  <pageMargins left="0.25" right="0.25" top="0.75" bottom="0.75" header="0.3" footer="0.3"/>
  <pageSetup scale="75" orientation="landscape" r:id="rId1"/>
  <headerFooter>
    <oddFooter>&amp;LRev &amp;D&amp;C&amp;P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2"/>
  <sheetViews>
    <sheetView topLeftCell="A40" workbookViewId="0">
      <selection activeCell="B42" sqref="B42:M42"/>
    </sheetView>
  </sheetViews>
  <sheetFormatPr defaultRowHeight="15.75" x14ac:dyDescent="0.25"/>
  <cols>
    <col min="1" max="1" width="53.5" customWidth="1"/>
  </cols>
  <sheetData>
    <row r="1" spans="1:13" x14ac:dyDescent="0.25">
      <c r="A1" s="55" t="str">
        <f>CMS!A1</f>
        <v>Northwest Youth Services Budget - 2018 - APPROVED BY BOARD NOV 30, 2017</v>
      </c>
      <c r="B1" s="54"/>
      <c r="C1" s="55" t="s">
        <v>286</v>
      </c>
      <c r="D1" s="54"/>
      <c r="E1" s="54"/>
      <c r="F1" s="54"/>
      <c r="G1" s="54"/>
      <c r="H1" s="54"/>
      <c r="I1" s="54"/>
      <c r="J1" s="54"/>
      <c r="K1" s="54"/>
      <c r="L1" s="54"/>
      <c r="M1" s="54"/>
    </row>
    <row r="2" spans="1:13" x14ac:dyDescent="0.25">
      <c r="A2" s="54"/>
      <c r="B2" s="54"/>
      <c r="C2" s="54"/>
      <c r="D2" s="54"/>
      <c r="E2" s="54"/>
      <c r="F2" s="54"/>
      <c r="G2" s="54"/>
      <c r="H2" s="54"/>
      <c r="I2" s="54"/>
      <c r="J2" s="54"/>
      <c r="K2" s="54"/>
      <c r="L2" s="54"/>
      <c r="M2" s="54"/>
    </row>
    <row r="3" spans="1:13" x14ac:dyDescent="0.25">
      <c r="A3" s="54"/>
      <c r="B3" s="54"/>
      <c r="C3" s="54"/>
      <c r="D3" s="54"/>
      <c r="E3" s="54"/>
      <c r="F3" s="54"/>
      <c r="G3" s="54"/>
      <c r="H3" s="54"/>
      <c r="I3" s="54"/>
      <c r="J3" s="54"/>
      <c r="K3" s="54"/>
      <c r="L3" s="54"/>
      <c r="M3" s="54"/>
    </row>
    <row r="4" spans="1:13" x14ac:dyDescent="0.25">
      <c r="A4" s="55" t="s">
        <v>260</v>
      </c>
      <c r="B4" s="68"/>
      <c r="C4" s="68"/>
      <c r="D4" s="68"/>
      <c r="E4" s="68"/>
      <c r="F4" s="68"/>
      <c r="G4" s="68"/>
      <c r="H4" s="68"/>
      <c r="I4" s="68"/>
      <c r="J4" s="68"/>
      <c r="K4" s="68"/>
      <c r="L4" s="68"/>
      <c r="M4" s="68"/>
    </row>
    <row r="5" spans="1:13" ht="16.5" thickBot="1" x14ac:dyDescent="0.3">
      <c r="A5" s="55"/>
      <c r="B5" s="143" t="str">
        <f>CMS!C5</f>
        <v>January</v>
      </c>
      <c r="C5" s="143" t="str">
        <f>CMS!D5</f>
        <v>February</v>
      </c>
      <c r="D5" s="143" t="str">
        <f>CMS!E5</f>
        <v>March</v>
      </c>
      <c r="E5" s="143" t="str">
        <f>CMS!F5</f>
        <v>April</v>
      </c>
      <c r="F5" s="143" t="str">
        <f>CMS!G5</f>
        <v>May</v>
      </c>
      <c r="G5" s="143" t="str">
        <f>CMS!H5</f>
        <v>June</v>
      </c>
      <c r="H5" s="143" t="str">
        <f>CMS!I5</f>
        <v>July</v>
      </c>
      <c r="I5" s="143" t="str">
        <f>CMS!J5</f>
        <v>August</v>
      </c>
      <c r="J5" s="143" t="str">
        <f>CMS!K5</f>
        <v>September</v>
      </c>
      <c r="K5" s="143" t="str">
        <f>CMS!L5</f>
        <v>October</v>
      </c>
      <c r="L5" s="143" t="str">
        <f>CMS!M5</f>
        <v>November</v>
      </c>
      <c r="M5" s="143" t="str">
        <f>CMS!N5</f>
        <v>December</v>
      </c>
    </row>
    <row r="6" spans="1:13" ht="33" thickTop="1" thickBot="1" x14ac:dyDescent="0.3">
      <c r="A6" s="57" t="s">
        <v>261</v>
      </c>
      <c r="B6" s="96" t="s">
        <v>262</v>
      </c>
      <c r="C6" s="96" t="s">
        <v>262</v>
      </c>
      <c r="D6" s="96" t="s">
        <v>262</v>
      </c>
      <c r="E6" s="96" t="s">
        <v>262</v>
      </c>
      <c r="F6" s="96" t="s">
        <v>262</v>
      </c>
      <c r="G6" s="96" t="s">
        <v>262</v>
      </c>
      <c r="H6" s="96" t="s">
        <v>262</v>
      </c>
      <c r="I6" s="96" t="s">
        <v>262</v>
      </c>
      <c r="J6" s="96" t="s">
        <v>262</v>
      </c>
      <c r="K6" s="96" t="s">
        <v>262</v>
      </c>
      <c r="L6" s="96" t="s">
        <v>262</v>
      </c>
      <c r="M6" s="119" t="s">
        <v>262</v>
      </c>
    </row>
    <row r="7" spans="1:13" x14ac:dyDescent="0.25">
      <c r="A7" s="95" t="str">
        <f>QYP!A3</f>
        <v>Queer Youth Project</v>
      </c>
      <c r="B7" s="97">
        <f>SUM(QYP!C102)</f>
        <v>0.36</v>
      </c>
      <c r="C7" s="97">
        <f>SUM(QYP!D102)</f>
        <v>0.36</v>
      </c>
      <c r="D7" s="97">
        <f>SUM(QYP!E102)</f>
        <v>0.36</v>
      </c>
      <c r="E7" s="97">
        <f>SUM(QYP!F102)</f>
        <v>0.26</v>
      </c>
      <c r="F7" s="97">
        <f>SUM(QYP!G102)</f>
        <v>0.26</v>
      </c>
      <c r="G7" s="97">
        <f>SUM(QYP!H102)</f>
        <v>0.26</v>
      </c>
      <c r="H7" s="97">
        <f>SUM(QYP!I102)</f>
        <v>0.26</v>
      </c>
      <c r="I7" s="97">
        <f>SUM(QYP!J102)</f>
        <v>0.26</v>
      </c>
      <c r="J7" s="97">
        <f>SUM(QYP!K102)</f>
        <v>0.26</v>
      </c>
      <c r="K7" s="97">
        <f>SUM(QYP!L102)</f>
        <v>0.26</v>
      </c>
      <c r="L7" s="97">
        <f>SUM(QYP!M102)</f>
        <v>0.26</v>
      </c>
      <c r="M7" s="120">
        <f>SUM(QYP!N102)</f>
        <v>0.26</v>
      </c>
    </row>
    <row r="8" spans="1:13" x14ac:dyDescent="0.25">
      <c r="A8" s="95" t="str">
        <f>HSSP!A3</f>
        <v>Homeless Student Stability Program</v>
      </c>
      <c r="B8" s="97">
        <f>SUM(HSSP!C102)</f>
        <v>1.1632183908045979</v>
      </c>
      <c r="C8" s="97">
        <f>SUM(HSSP!D102)</f>
        <v>1.1632183908045979</v>
      </c>
      <c r="D8" s="97">
        <f>SUM(HSSP!E102)</f>
        <v>1.1632183908045979</v>
      </c>
      <c r="E8" s="97">
        <f>SUM(HSSP!F102)</f>
        <v>1.1632183908045979</v>
      </c>
      <c r="F8" s="97">
        <f>SUM(HSSP!G102)</f>
        <v>1.1632183908045979</v>
      </c>
      <c r="G8" s="97">
        <f>SUM(HSSP!H102)</f>
        <v>1.1632183908045979</v>
      </c>
      <c r="H8" s="97">
        <f>SUM(HSSP!I102)</f>
        <v>0.16321839080459771</v>
      </c>
      <c r="I8" s="97">
        <f>SUM(HSSP!J102)</f>
        <v>0.16321839080459771</v>
      </c>
      <c r="J8" s="97">
        <f>SUM(HSSP!K102)</f>
        <v>1.1632183908045979</v>
      </c>
      <c r="K8" s="97">
        <f>SUM(HSSP!L102)</f>
        <v>1.1632183908045979</v>
      </c>
      <c r="L8" s="97">
        <f>SUM(HSSP!M102)</f>
        <v>1.1632183908045979</v>
      </c>
      <c r="M8" s="120">
        <f>SUM(HSSP!N102)</f>
        <v>1.1632183908045979</v>
      </c>
    </row>
    <row r="9" spans="1:13" x14ac:dyDescent="0.25">
      <c r="A9" s="95" t="str">
        <f>'WH-VOC'!A3</f>
        <v>Whatcom - Vocational</v>
      </c>
      <c r="B9" s="97">
        <f>SUM('WH-VOC'!C103)</f>
        <v>1.0451149425287356</v>
      </c>
      <c r="C9" s="97">
        <f>SUM('WH-VOC'!D103)</f>
        <v>1.0451149425287356</v>
      </c>
      <c r="D9" s="97">
        <f>SUM('WH-VOC'!E103)</f>
        <v>1.0451149425287356</v>
      </c>
      <c r="E9" s="97">
        <f>SUM('WH-VOC'!F103)</f>
        <v>1.0451149425287356</v>
      </c>
      <c r="F9" s="97">
        <f>SUM('WH-VOC'!G103)</f>
        <v>1.0451149425287356</v>
      </c>
      <c r="G9" s="97">
        <f>SUM('WH-VOC'!H103)</f>
        <v>1.8151149425287358</v>
      </c>
      <c r="H9" s="97">
        <f>SUM('WH-VOC'!I103)</f>
        <v>1.7151149425287358</v>
      </c>
      <c r="I9" s="97">
        <f>SUM('WH-VOC'!J103)</f>
        <v>1.7151149425287358</v>
      </c>
      <c r="J9" s="97">
        <f>SUM('WH-VOC'!K103)</f>
        <v>1.0201149425287357</v>
      </c>
      <c r="K9" s="97">
        <f>SUM('WH-VOC'!L103)</f>
        <v>1.0201149425287357</v>
      </c>
      <c r="L9" s="97">
        <f>SUM('WH-VOC'!M103)</f>
        <v>0.94511494252873574</v>
      </c>
      <c r="M9" s="120">
        <f>SUM('WH-VOC'!N103)</f>
        <v>0.94511494252873574</v>
      </c>
    </row>
    <row r="10" spans="1:13" x14ac:dyDescent="0.25">
      <c r="A10" s="95" t="str">
        <f>'Teen Court'!A3</f>
        <v>Teen Court</v>
      </c>
      <c r="B10" s="97"/>
      <c r="C10" s="97"/>
      <c r="D10" s="97"/>
      <c r="E10" s="97"/>
      <c r="F10" s="97"/>
      <c r="G10" s="97"/>
      <c r="H10" s="97"/>
      <c r="I10" s="97"/>
      <c r="J10" s="97"/>
      <c r="K10" s="97"/>
      <c r="L10" s="97"/>
      <c r="M10" s="120"/>
    </row>
    <row r="11" spans="1:13" x14ac:dyDescent="0.25">
      <c r="A11" s="95" t="str">
        <f>'WH - SOP'!A3</f>
        <v>Whatcom - Street Outreach Program</v>
      </c>
      <c r="B11" s="97">
        <f>SUM('WH - SOP'!C102)</f>
        <v>4.1345402298850571</v>
      </c>
      <c r="C11" s="97">
        <f>SUM('WH - SOP'!D102)</f>
        <v>4.1345402298850571</v>
      </c>
      <c r="D11" s="97">
        <f>SUM('WH - SOP'!E102)</f>
        <v>4.1345402298850571</v>
      </c>
      <c r="E11" s="97">
        <f>SUM('WH - SOP'!F102)</f>
        <v>4.1345402298850571</v>
      </c>
      <c r="F11" s="97">
        <f>SUM('WH - SOP'!G102)</f>
        <v>4.1345402298850571</v>
      </c>
      <c r="G11" s="97">
        <f>SUM('WH - SOP'!H102)</f>
        <v>4.1345402298850571</v>
      </c>
      <c r="H11" s="97">
        <f>SUM('WH - SOP'!I102)</f>
        <v>4.1345402298850571</v>
      </c>
      <c r="I11" s="97">
        <f>SUM('WH - SOP'!J102)</f>
        <v>4.1345402298850571</v>
      </c>
      <c r="J11" s="97">
        <f>SUM('WH - SOP'!K102)</f>
        <v>4.1345402298850571</v>
      </c>
      <c r="K11" s="97">
        <f>SUM('WH - SOP'!L102)</f>
        <v>4.1345402298850571</v>
      </c>
      <c r="L11" s="97">
        <f>SUM('WH - SOP'!M102)</f>
        <v>4.1345402298850571</v>
      </c>
      <c r="M11" s="120">
        <f>SUM('WH - SOP'!N102)</f>
        <v>4.1345402298850571</v>
      </c>
    </row>
    <row r="12" spans="1:13" x14ac:dyDescent="0.25">
      <c r="A12" s="95" t="str">
        <f>'WH - TL'!A3</f>
        <v>Whatcom - Transitional Living</v>
      </c>
      <c r="B12" s="97">
        <f>SUM('WH - TL'!C102)</f>
        <v>3.7337931034482756</v>
      </c>
      <c r="C12" s="97">
        <f>SUM('WH - TL'!D102)</f>
        <v>3.7337931034482756</v>
      </c>
      <c r="D12" s="97">
        <f>SUM('WH - TL'!E102)</f>
        <v>3.7337931034482756</v>
      </c>
      <c r="E12" s="97">
        <f>SUM('WH - TL'!F102)</f>
        <v>3.7337931034482756</v>
      </c>
      <c r="F12" s="97">
        <f>SUM('WH - TL'!G102)</f>
        <v>3.4837931034482756</v>
      </c>
      <c r="G12" s="97">
        <f>SUM('WH - TL'!H102)</f>
        <v>3.4837931034482756</v>
      </c>
      <c r="H12" s="97">
        <f>SUM('WH - TL'!I102)</f>
        <v>3.4837931034482756</v>
      </c>
      <c r="I12" s="97">
        <f>SUM('WH - TL'!J102)</f>
        <v>3.4837931034482756</v>
      </c>
      <c r="J12" s="97">
        <f>SUM('WH - TL'!K102)</f>
        <v>3.4837931034482756</v>
      </c>
      <c r="K12" s="97">
        <f>SUM('WH - TL'!L102)</f>
        <v>3.4837931034482756</v>
      </c>
      <c r="L12" s="97">
        <f>SUM('WH - TL'!M102)</f>
        <v>3.4837931034482756</v>
      </c>
      <c r="M12" s="120">
        <f>SUM('WH - TL'!N102)</f>
        <v>3.4837931034482756</v>
      </c>
    </row>
    <row r="13" spans="1:13" x14ac:dyDescent="0.25">
      <c r="A13" s="95" t="str">
        <f>'SK - TL'!A3</f>
        <v>Skagit - Transitional Living</v>
      </c>
      <c r="B13" s="97"/>
      <c r="C13" s="97"/>
      <c r="D13" s="97"/>
      <c r="E13" s="97"/>
      <c r="F13" s="97"/>
      <c r="G13" s="97"/>
      <c r="H13" s="97"/>
      <c r="I13" s="97"/>
      <c r="J13" s="97"/>
      <c r="K13" s="97"/>
      <c r="L13" s="97"/>
      <c r="M13" s="120"/>
    </row>
    <row r="14" spans="1:13" x14ac:dyDescent="0.25">
      <c r="A14" s="95" t="str">
        <f>'WH - PAD'!A3</f>
        <v>Whatcom - PAD</v>
      </c>
      <c r="B14" s="97">
        <f>SUM('WH - PAD'!C102)</f>
        <v>12.435919540229886</v>
      </c>
      <c r="C14" s="97">
        <f>SUM('WH - PAD'!D102)</f>
        <v>12.435919540229886</v>
      </c>
      <c r="D14" s="97">
        <f>SUM('WH - PAD'!E102)</f>
        <v>12.435919540229886</v>
      </c>
      <c r="E14" s="97">
        <f>SUM('WH - PAD'!F102)</f>
        <v>12.435919540229886</v>
      </c>
      <c r="F14" s="97">
        <f>SUM('WH - PAD'!G102)</f>
        <v>12.435919540229886</v>
      </c>
      <c r="G14" s="97">
        <f>SUM('WH - PAD'!H102)</f>
        <v>12.435919540229886</v>
      </c>
      <c r="H14" s="97">
        <f>SUM('WH - PAD'!I102)</f>
        <v>12.435919540229886</v>
      </c>
      <c r="I14" s="97">
        <f>SUM('WH - PAD'!J102)</f>
        <v>12.435919540229886</v>
      </c>
      <c r="J14" s="97">
        <f>SUM('WH - PAD'!K102)</f>
        <v>12.435919540229886</v>
      </c>
      <c r="K14" s="97">
        <f>SUM('WH - PAD'!L102)</f>
        <v>12.435919540229886</v>
      </c>
      <c r="L14" s="97">
        <f>SUM('WH - PAD'!M102)</f>
        <v>12.435919540229886</v>
      </c>
      <c r="M14" s="120">
        <f>SUM('WH - PAD'!N102)</f>
        <v>12.435919540229886</v>
      </c>
    </row>
    <row r="15" spans="1:13" x14ac:dyDescent="0.25">
      <c r="A15" s="95" t="str">
        <f>'WH - PERM'!A3</f>
        <v>Whatcom - Permanent Housing</v>
      </c>
      <c r="B15" s="97">
        <f>SUM('WH - PERM'!C102)</f>
        <v>2.5028160919540232</v>
      </c>
      <c r="C15" s="97">
        <f>SUM('WH - PERM'!D102)</f>
        <v>2.5028160919540232</v>
      </c>
      <c r="D15" s="97">
        <f>SUM('WH - PERM'!E102)</f>
        <v>2.5028160919540232</v>
      </c>
      <c r="E15" s="97">
        <f>SUM('WH - PERM'!F102)</f>
        <v>2.5028160919540232</v>
      </c>
      <c r="F15" s="97">
        <f>SUM('WH - PERM'!G102)</f>
        <v>2.5028160919540232</v>
      </c>
      <c r="G15" s="97">
        <f>SUM('WH - PERM'!H102)</f>
        <v>2.5028160919540232</v>
      </c>
      <c r="H15" s="97">
        <f>SUM('WH - PERM'!I102)</f>
        <v>2.5028160919540232</v>
      </c>
      <c r="I15" s="97">
        <f>SUM('WH - PERM'!J102)</f>
        <v>2.5028160919540232</v>
      </c>
      <c r="J15" s="97">
        <f>SUM('WH - PERM'!K102)</f>
        <v>2.5028160919540232</v>
      </c>
      <c r="K15" s="97">
        <f>SUM('WH - PERM'!L102)</f>
        <v>2.5028160919540232</v>
      </c>
      <c r="L15" s="97">
        <f>SUM('WH - PERM'!M102)</f>
        <v>2.5028160919540232</v>
      </c>
      <c r="M15" s="120">
        <f>SUM('WH - PERM'!N102)</f>
        <v>2.5028160919540232</v>
      </c>
    </row>
    <row r="16" spans="1:13" x14ac:dyDescent="0.25">
      <c r="A16" s="95" t="str">
        <f>'22 North'!A3</f>
        <v>22 North Project</v>
      </c>
      <c r="B16" s="97">
        <f>SUM('22 North'!C102)</f>
        <v>7.7586206896551727E-2</v>
      </c>
      <c r="C16" s="97">
        <f>SUM('22 North'!D102)</f>
        <v>7.7586206896551727E-2</v>
      </c>
      <c r="D16" s="97">
        <f>SUM('22 North'!E102)</f>
        <v>7.7586206896551727E-2</v>
      </c>
      <c r="E16" s="97">
        <f>SUM('22 North'!F102)</f>
        <v>7.7586206896551727E-2</v>
      </c>
      <c r="F16" s="97">
        <f>SUM('22 North'!G102)</f>
        <v>0.57758620689655171</v>
      </c>
      <c r="G16" s="97">
        <f>SUM('22 North'!H102)</f>
        <v>0.57758620689655171</v>
      </c>
      <c r="H16" s="97">
        <f>SUM('22 North'!I102)</f>
        <v>2.577586206896552</v>
      </c>
      <c r="I16" s="97">
        <f>SUM('22 North'!J102)</f>
        <v>2.577586206896552</v>
      </c>
      <c r="J16" s="97">
        <f>SUM('22 North'!K102)</f>
        <v>2.577586206896552</v>
      </c>
      <c r="K16" s="97">
        <f>SUM('22 North'!L102)</f>
        <v>2.577586206896552</v>
      </c>
      <c r="L16" s="97">
        <f>SUM('22 North'!M102)</f>
        <v>2.577586206896552</v>
      </c>
      <c r="M16" s="120">
        <f>SUM('22 North'!N102)</f>
        <v>2.577586206896552</v>
      </c>
    </row>
    <row r="17" spans="1:13" x14ac:dyDescent="0.25">
      <c r="A17" s="95" t="str">
        <f>'SK - PERM'!A3</f>
        <v>Skagit - Permanent Housing</v>
      </c>
      <c r="B17" s="97"/>
      <c r="C17" s="97"/>
      <c r="D17" s="97"/>
      <c r="E17" s="97"/>
      <c r="F17" s="97"/>
      <c r="G17" s="97"/>
      <c r="H17" s="97"/>
      <c r="I17" s="97"/>
      <c r="J17" s="97"/>
      <c r="K17" s="97"/>
      <c r="L17" s="97"/>
      <c r="M17" s="120"/>
    </row>
    <row r="18" spans="1:13" x14ac:dyDescent="0.25">
      <c r="A18" s="95" t="str">
        <f>'WH - HUSLY'!A3</f>
        <v>Whatcom - HUSLY</v>
      </c>
      <c r="B18" s="97"/>
      <c r="C18" s="97"/>
      <c r="D18" s="97"/>
      <c r="E18" s="97"/>
      <c r="F18" s="97"/>
      <c r="G18" s="97"/>
      <c r="H18" s="97"/>
      <c r="I18" s="97"/>
      <c r="J18" s="97"/>
      <c r="K18" s="97"/>
      <c r="L18" s="97"/>
      <c r="M18" s="120"/>
    </row>
    <row r="19" spans="1:13" ht="16.5" thickBot="1" x14ac:dyDescent="0.3">
      <c r="A19" s="95" t="str">
        <f>'BH Team'!A3</f>
        <v>Behavioral Health Team</v>
      </c>
      <c r="B19" s="97">
        <f>SUM('BH Team'!C133)</f>
        <v>5.4537931034482758</v>
      </c>
      <c r="C19" s="97">
        <f>SUM('BH Team'!D133)</f>
        <v>5.4537931034482758</v>
      </c>
      <c r="D19" s="97">
        <f>SUM('BH Team'!E133)</f>
        <v>5.4537931034482758</v>
      </c>
      <c r="E19" s="97">
        <f>SUM('BH Team'!F133)</f>
        <v>5.4537931034482758</v>
      </c>
      <c r="F19" s="97">
        <f>SUM('BH Team'!G133)</f>
        <v>5.4537931034482758</v>
      </c>
      <c r="G19" s="97">
        <f>SUM('BH Team'!H133)</f>
        <v>5.4537931034482758</v>
      </c>
      <c r="H19" s="97">
        <f>SUM('BH Team'!I133)</f>
        <v>5.4537931034482758</v>
      </c>
      <c r="I19" s="97">
        <f>SUM('BH Team'!J133)</f>
        <v>5.4537931034482758</v>
      </c>
      <c r="J19" s="97">
        <f>SUM('BH Team'!K133)</f>
        <v>5.4537931034482758</v>
      </c>
      <c r="K19" s="97">
        <f>SUM('BH Team'!L133)</f>
        <v>5.4537931034482758</v>
      </c>
      <c r="L19" s="97">
        <f>SUM('BH Team'!M133)</f>
        <v>5.4537931034482758</v>
      </c>
      <c r="M19" s="131">
        <f>SUM('BH Team'!N133)</f>
        <v>5.4537931034482758</v>
      </c>
    </row>
    <row r="20" spans="1:13" x14ac:dyDescent="0.25">
      <c r="A20" s="76" t="s">
        <v>36</v>
      </c>
      <c r="B20" s="98">
        <f t="shared" ref="B20:M20" si="0">SUM(B7:B19)</f>
        <v>30.906781609195402</v>
      </c>
      <c r="C20" s="98">
        <f t="shared" si="0"/>
        <v>30.906781609195402</v>
      </c>
      <c r="D20" s="98">
        <f t="shared" si="0"/>
        <v>30.906781609195402</v>
      </c>
      <c r="E20" s="98">
        <f t="shared" si="0"/>
        <v>30.806781609195404</v>
      </c>
      <c r="F20" s="98">
        <f t="shared" si="0"/>
        <v>31.056781609195404</v>
      </c>
      <c r="G20" s="98">
        <f t="shared" si="0"/>
        <v>31.826781609195404</v>
      </c>
      <c r="H20" s="98">
        <f t="shared" si="0"/>
        <v>32.726781609195399</v>
      </c>
      <c r="I20" s="98">
        <f t="shared" si="0"/>
        <v>32.726781609195399</v>
      </c>
      <c r="J20" s="98">
        <f t="shared" si="0"/>
        <v>33.031781609195399</v>
      </c>
      <c r="K20" s="98">
        <f t="shared" si="0"/>
        <v>33.031781609195399</v>
      </c>
      <c r="L20" s="98">
        <f t="shared" si="0"/>
        <v>32.956781609195403</v>
      </c>
      <c r="M20" s="98">
        <f t="shared" si="0"/>
        <v>32.956781609195403</v>
      </c>
    </row>
    <row r="21" spans="1:13" x14ac:dyDescent="0.25">
      <c r="A21" s="54"/>
      <c r="B21" s="11"/>
      <c r="C21" s="54"/>
      <c r="D21" s="54"/>
      <c r="E21" s="54"/>
      <c r="F21" s="54"/>
      <c r="G21" s="54"/>
      <c r="H21" s="54"/>
      <c r="I21" s="54"/>
      <c r="J21" s="54"/>
      <c r="K21" s="54"/>
      <c r="L21" s="54"/>
      <c r="M21" s="54"/>
    </row>
    <row r="22" spans="1:13" x14ac:dyDescent="0.25">
      <c r="A22" s="55" t="s">
        <v>263</v>
      </c>
      <c r="B22" s="11"/>
      <c r="C22" s="54"/>
      <c r="D22" s="54"/>
      <c r="E22" s="54"/>
      <c r="F22" s="54"/>
      <c r="G22" s="54"/>
      <c r="H22" s="54"/>
      <c r="I22" s="54"/>
      <c r="J22" s="54"/>
      <c r="K22" s="54"/>
      <c r="L22" s="54"/>
      <c r="M22" s="54"/>
    </row>
    <row r="23" spans="1:13" ht="16.5" thickBot="1" x14ac:dyDescent="0.3">
      <c r="A23" s="55"/>
      <c r="B23" s="143" t="str">
        <f t="shared" ref="B23:M23" si="1">B5</f>
        <v>January</v>
      </c>
      <c r="C23" s="143" t="str">
        <f t="shared" si="1"/>
        <v>February</v>
      </c>
      <c r="D23" s="143" t="str">
        <f t="shared" si="1"/>
        <v>March</v>
      </c>
      <c r="E23" s="143" t="str">
        <f t="shared" si="1"/>
        <v>April</v>
      </c>
      <c r="F23" s="143" t="str">
        <f t="shared" si="1"/>
        <v>May</v>
      </c>
      <c r="G23" s="143" t="str">
        <f t="shared" si="1"/>
        <v>June</v>
      </c>
      <c r="H23" s="143" t="str">
        <f t="shared" si="1"/>
        <v>July</v>
      </c>
      <c r="I23" s="143" t="str">
        <f t="shared" si="1"/>
        <v>August</v>
      </c>
      <c r="J23" s="143" t="str">
        <f t="shared" si="1"/>
        <v>September</v>
      </c>
      <c r="K23" s="143" t="str">
        <f t="shared" si="1"/>
        <v>October</v>
      </c>
      <c r="L23" s="143" t="str">
        <f t="shared" si="1"/>
        <v>November</v>
      </c>
      <c r="M23" s="143" t="str">
        <f t="shared" si="1"/>
        <v>December</v>
      </c>
    </row>
    <row r="24" spans="1:13" ht="33" thickTop="1" thickBot="1" x14ac:dyDescent="0.3">
      <c r="A24" s="57" t="s">
        <v>261</v>
      </c>
      <c r="B24" s="96" t="s">
        <v>264</v>
      </c>
      <c r="C24" s="96" t="s">
        <v>264</v>
      </c>
      <c r="D24" s="96" t="s">
        <v>264</v>
      </c>
      <c r="E24" s="96" t="s">
        <v>264</v>
      </c>
      <c r="F24" s="96" t="s">
        <v>264</v>
      </c>
      <c r="G24" s="96" t="s">
        <v>264</v>
      </c>
      <c r="H24" s="96" t="s">
        <v>264</v>
      </c>
      <c r="I24" s="96" t="s">
        <v>264</v>
      </c>
      <c r="J24" s="96" t="s">
        <v>264</v>
      </c>
      <c r="K24" s="96" t="s">
        <v>264</v>
      </c>
      <c r="L24" s="96" t="s">
        <v>264</v>
      </c>
      <c r="M24" s="119" t="s">
        <v>264</v>
      </c>
    </row>
    <row r="25" spans="1:13" x14ac:dyDescent="0.25">
      <c r="A25" s="95" t="str">
        <f t="shared" ref="A25:A37" si="2">A7</f>
        <v>Queer Youth Project</v>
      </c>
      <c r="B25" s="121">
        <f t="shared" ref="B25:M25" si="3">SUM(B7/B$20)</f>
        <v>1.1647929071103688E-2</v>
      </c>
      <c r="C25" s="121">
        <f t="shared" si="3"/>
        <v>1.1647929071103688E-2</v>
      </c>
      <c r="D25" s="121">
        <f t="shared" si="3"/>
        <v>1.1647929071103688E-2</v>
      </c>
      <c r="E25" s="121">
        <f t="shared" si="3"/>
        <v>8.4397001705103E-3</v>
      </c>
      <c r="F25" s="121">
        <f t="shared" si="3"/>
        <v>8.3717625113807117E-3</v>
      </c>
      <c r="G25" s="121">
        <f t="shared" si="3"/>
        <v>8.1692206014597687E-3</v>
      </c>
      <c r="H25" s="121">
        <f t="shared" si="3"/>
        <v>7.9445636636309696E-3</v>
      </c>
      <c r="I25" s="121">
        <f t="shared" si="3"/>
        <v>7.9445636636309696E-3</v>
      </c>
      <c r="J25" s="121">
        <f t="shared" si="3"/>
        <v>7.8712072838245314E-3</v>
      </c>
      <c r="K25" s="121">
        <f t="shared" si="3"/>
        <v>7.8712072838245314E-3</v>
      </c>
      <c r="L25" s="121">
        <f t="shared" si="3"/>
        <v>7.8891198504485154E-3</v>
      </c>
      <c r="M25" s="123">
        <f t="shared" si="3"/>
        <v>7.8891198504485154E-3</v>
      </c>
    </row>
    <row r="26" spans="1:13" x14ac:dyDescent="0.25">
      <c r="A26" s="95" t="str">
        <f t="shared" si="2"/>
        <v>Homeless Student Stability Program</v>
      </c>
      <c r="B26" s="121">
        <f t="shared" ref="B26:M37" si="4">SUM(B8/B$20)</f>
        <v>3.7636348084153691E-2</v>
      </c>
      <c r="C26" s="121">
        <f t="shared" si="4"/>
        <v>3.7636348084153691E-2</v>
      </c>
      <c r="D26" s="121">
        <f t="shared" si="4"/>
        <v>3.7636348084153691E-2</v>
      </c>
      <c r="E26" s="121">
        <f t="shared" si="4"/>
        <v>3.7758517120054923E-2</v>
      </c>
      <c r="F26" s="121">
        <f t="shared" si="4"/>
        <v>3.7454569679563579E-2</v>
      </c>
      <c r="G26" s="121">
        <f t="shared" si="4"/>
        <v>3.6548414008299238E-2</v>
      </c>
      <c r="H26" s="121">
        <f t="shared" si="4"/>
        <v>4.9873034493174073E-3</v>
      </c>
      <c r="I26" s="121">
        <f t="shared" si="4"/>
        <v>4.9873034493174073E-3</v>
      </c>
      <c r="J26" s="121">
        <f t="shared" si="4"/>
        <v>3.5215127193768465E-2</v>
      </c>
      <c r="K26" s="121">
        <f t="shared" si="4"/>
        <v>3.5215127193768465E-2</v>
      </c>
      <c r="L26" s="121">
        <f t="shared" si="4"/>
        <v>3.5295266528089737E-2</v>
      </c>
      <c r="M26" s="123">
        <f t="shared" si="4"/>
        <v>3.5295266528089737E-2</v>
      </c>
    </row>
    <row r="27" spans="1:13" x14ac:dyDescent="0.25">
      <c r="A27" s="95" t="str">
        <f t="shared" si="2"/>
        <v>Whatcom - Vocational</v>
      </c>
      <c r="B27" s="121">
        <f t="shared" si="4"/>
        <v>3.3815068671459225E-2</v>
      </c>
      <c r="C27" s="121">
        <f t="shared" si="4"/>
        <v>3.3815068671459225E-2</v>
      </c>
      <c r="D27" s="121">
        <f t="shared" si="4"/>
        <v>3.3815068671459225E-2</v>
      </c>
      <c r="E27" s="121">
        <f t="shared" si="4"/>
        <v>3.3924833687163966E-2</v>
      </c>
      <c r="F27" s="121">
        <f t="shared" si="4"/>
        <v>3.3651746522868752E-2</v>
      </c>
      <c r="G27" s="121">
        <f t="shared" si="4"/>
        <v>5.7031055317396974E-2</v>
      </c>
      <c r="H27" s="121">
        <f t="shared" si="4"/>
        <v>5.2407076351401197E-2</v>
      </c>
      <c r="I27" s="121">
        <f t="shared" si="4"/>
        <v>5.2407076351401197E-2</v>
      </c>
      <c r="J27" s="121">
        <f t="shared" si="4"/>
        <v>3.0882831407578564E-2</v>
      </c>
      <c r="K27" s="121">
        <f t="shared" si="4"/>
        <v>3.0882831407578564E-2</v>
      </c>
      <c r="L27" s="121">
        <f t="shared" si="4"/>
        <v>2.8677404054072909E-2</v>
      </c>
      <c r="M27" s="123">
        <f t="shared" si="4"/>
        <v>2.8677404054072909E-2</v>
      </c>
    </row>
    <row r="28" spans="1:13" x14ac:dyDescent="0.25">
      <c r="A28" s="95" t="str">
        <f t="shared" si="2"/>
        <v>Teen Court</v>
      </c>
      <c r="B28" s="121">
        <f t="shared" si="4"/>
        <v>0</v>
      </c>
      <c r="C28" s="121">
        <f t="shared" si="4"/>
        <v>0</v>
      </c>
      <c r="D28" s="121">
        <f t="shared" si="4"/>
        <v>0</v>
      </c>
      <c r="E28" s="121">
        <f t="shared" si="4"/>
        <v>0</v>
      </c>
      <c r="F28" s="121">
        <f t="shared" si="4"/>
        <v>0</v>
      </c>
      <c r="G28" s="121">
        <f t="shared" si="4"/>
        <v>0</v>
      </c>
      <c r="H28" s="121">
        <f t="shared" si="4"/>
        <v>0</v>
      </c>
      <c r="I28" s="121">
        <f t="shared" si="4"/>
        <v>0</v>
      </c>
      <c r="J28" s="121">
        <f t="shared" si="4"/>
        <v>0</v>
      </c>
      <c r="K28" s="121">
        <f t="shared" si="4"/>
        <v>0</v>
      </c>
      <c r="L28" s="121">
        <f t="shared" si="4"/>
        <v>0</v>
      </c>
      <c r="M28" s="123">
        <f t="shared" si="4"/>
        <v>0</v>
      </c>
    </row>
    <row r="29" spans="1:13" x14ac:dyDescent="0.25">
      <c r="A29" s="95" t="str">
        <f t="shared" si="2"/>
        <v>Whatcom - Street Outreach Program</v>
      </c>
      <c r="B29" s="121">
        <f t="shared" si="4"/>
        <v>0.13377453149812746</v>
      </c>
      <c r="C29" s="121">
        <f t="shared" si="4"/>
        <v>0.13377453149812746</v>
      </c>
      <c r="D29" s="121">
        <f t="shared" si="4"/>
        <v>0.13377453149812746</v>
      </c>
      <c r="E29" s="121">
        <f t="shared" si="4"/>
        <v>0.13420876878131771</v>
      </c>
      <c r="F29" s="121">
        <f t="shared" si="4"/>
        <v>0.13312841883979656</v>
      </c>
      <c r="G29" s="121">
        <f t="shared" si="4"/>
        <v>0.12990758162900468</v>
      </c>
      <c r="H29" s="121">
        <f t="shared" si="4"/>
        <v>0.12633506952371251</v>
      </c>
      <c r="I29" s="121">
        <f t="shared" si="4"/>
        <v>0.12633506952371251</v>
      </c>
      <c r="J29" s="121">
        <f t="shared" si="4"/>
        <v>0.12516855066437235</v>
      </c>
      <c r="K29" s="121">
        <f t="shared" si="4"/>
        <v>0.12516855066437235</v>
      </c>
      <c r="L29" s="121">
        <f t="shared" si="4"/>
        <v>0.12545339769255451</v>
      </c>
      <c r="M29" s="123">
        <f t="shared" si="4"/>
        <v>0.12545339769255451</v>
      </c>
    </row>
    <row r="30" spans="1:13" x14ac:dyDescent="0.25">
      <c r="A30" s="95" t="str">
        <f t="shared" si="2"/>
        <v>Whatcom - Transitional Living</v>
      </c>
      <c r="B30" s="123">
        <f t="shared" si="4"/>
        <v>0.1208082145420601</v>
      </c>
      <c r="C30" s="123">
        <f t="shared" si="4"/>
        <v>0.1208082145420601</v>
      </c>
      <c r="D30" s="123">
        <f t="shared" si="4"/>
        <v>0.1208082145420601</v>
      </c>
      <c r="E30" s="123">
        <f t="shared" si="4"/>
        <v>0.12120036266085611</v>
      </c>
      <c r="F30" s="123">
        <f t="shared" si="4"/>
        <v>0.11217495577251899</v>
      </c>
      <c r="G30" s="123">
        <f t="shared" si="4"/>
        <v>0.109461055353512</v>
      </c>
      <c r="H30" s="123">
        <f t="shared" si="4"/>
        <v>0.10645083115870513</v>
      </c>
      <c r="I30" s="123">
        <f t="shared" si="4"/>
        <v>0.10645083115870513</v>
      </c>
      <c r="J30" s="123">
        <f t="shared" si="4"/>
        <v>0.1054679140430759</v>
      </c>
      <c r="K30" s="123">
        <f t="shared" si="4"/>
        <v>0.1054679140430759</v>
      </c>
      <c r="L30" s="123">
        <f t="shared" si="4"/>
        <v>0.10570792818180549</v>
      </c>
      <c r="M30" s="123">
        <f t="shared" si="4"/>
        <v>0.10570792818180549</v>
      </c>
    </row>
    <row r="31" spans="1:13" x14ac:dyDescent="0.25">
      <c r="A31" s="95" t="str">
        <f t="shared" si="2"/>
        <v>Skagit - Transitional Living</v>
      </c>
      <c r="B31" s="123">
        <f t="shared" si="4"/>
        <v>0</v>
      </c>
      <c r="C31" s="123">
        <f t="shared" si="4"/>
        <v>0</v>
      </c>
      <c r="D31" s="123">
        <f t="shared" si="4"/>
        <v>0</v>
      </c>
      <c r="E31" s="123">
        <f t="shared" si="4"/>
        <v>0</v>
      </c>
      <c r="F31" s="123">
        <f t="shared" si="4"/>
        <v>0</v>
      </c>
      <c r="G31" s="123">
        <f t="shared" si="4"/>
        <v>0</v>
      </c>
      <c r="H31" s="123">
        <f t="shared" si="4"/>
        <v>0</v>
      </c>
      <c r="I31" s="123">
        <f t="shared" si="4"/>
        <v>0</v>
      </c>
      <c r="J31" s="123">
        <f t="shared" si="4"/>
        <v>0</v>
      </c>
      <c r="K31" s="123">
        <f t="shared" si="4"/>
        <v>0</v>
      </c>
      <c r="L31" s="123">
        <f t="shared" si="4"/>
        <v>0</v>
      </c>
      <c r="M31" s="123">
        <f t="shared" si="4"/>
        <v>0</v>
      </c>
    </row>
    <row r="32" spans="1:13" x14ac:dyDescent="0.25">
      <c r="A32" s="95" t="str">
        <f t="shared" si="2"/>
        <v>Whatcom - PAD</v>
      </c>
      <c r="B32" s="123">
        <f t="shared" si="4"/>
        <v>0.40236863538486145</v>
      </c>
      <c r="C32" s="123">
        <f t="shared" si="4"/>
        <v>0.40236863538486145</v>
      </c>
      <c r="D32" s="123">
        <f t="shared" si="4"/>
        <v>0.40236863538486145</v>
      </c>
      <c r="E32" s="123">
        <f t="shared" si="4"/>
        <v>0.4036747394774251</v>
      </c>
      <c r="F32" s="123">
        <f t="shared" si="4"/>
        <v>0.40042525000555157</v>
      </c>
      <c r="G32" s="123">
        <f t="shared" si="4"/>
        <v>0.3907375773313157</v>
      </c>
      <c r="H32" s="123">
        <f t="shared" si="4"/>
        <v>0.37999213270441806</v>
      </c>
      <c r="I32" s="123">
        <f t="shared" si="4"/>
        <v>0.37999213270441806</v>
      </c>
      <c r="J32" s="123">
        <f t="shared" si="4"/>
        <v>0.37648346333120497</v>
      </c>
      <c r="K32" s="123">
        <f t="shared" si="4"/>
        <v>0.37648346333120497</v>
      </c>
      <c r="L32" s="123">
        <f t="shared" si="4"/>
        <v>0.37734022962849295</v>
      </c>
      <c r="M32" s="123">
        <f t="shared" si="4"/>
        <v>0.37734022962849295</v>
      </c>
    </row>
    <row r="33" spans="1:14" x14ac:dyDescent="0.25">
      <c r="A33" s="95" t="str">
        <f t="shared" si="2"/>
        <v>Whatcom - Permanent Housing</v>
      </c>
      <c r="B33" s="123">
        <f t="shared" si="4"/>
        <v>8.0979511991937203E-2</v>
      </c>
      <c r="C33" s="123">
        <f t="shared" si="4"/>
        <v>8.0979511991937203E-2</v>
      </c>
      <c r="D33" s="123">
        <f t="shared" si="4"/>
        <v>8.0979511991937203E-2</v>
      </c>
      <c r="E33" s="123">
        <f t="shared" si="4"/>
        <v>8.124237460777034E-2</v>
      </c>
      <c r="F33" s="123">
        <f t="shared" si="4"/>
        <v>8.0588392044234888E-2</v>
      </c>
      <c r="G33" s="123">
        <f t="shared" si="4"/>
        <v>7.8638679923291668E-2</v>
      </c>
      <c r="H33" s="123">
        <f t="shared" si="4"/>
        <v>7.6476083772649223E-2</v>
      </c>
      <c r="I33" s="123">
        <f t="shared" si="4"/>
        <v>7.6476083772649223E-2</v>
      </c>
      <c r="J33" s="123">
        <f t="shared" si="4"/>
        <v>7.5769939434852898E-2</v>
      </c>
      <c r="K33" s="123">
        <f t="shared" si="4"/>
        <v>7.5769939434852898E-2</v>
      </c>
      <c r="L33" s="123">
        <f t="shared" si="4"/>
        <v>7.5942369665601764E-2</v>
      </c>
      <c r="M33" s="123">
        <f t="shared" si="4"/>
        <v>7.5942369665601764E-2</v>
      </c>
    </row>
    <row r="34" spans="1:14" x14ac:dyDescent="0.25">
      <c r="A34" s="95" t="str">
        <f t="shared" si="2"/>
        <v>22 North Project</v>
      </c>
      <c r="B34" s="123">
        <f t="shared" si="4"/>
        <v>2.5103295411861401E-3</v>
      </c>
      <c r="C34" s="123">
        <f t="shared" si="4"/>
        <v>2.5103295411861401E-3</v>
      </c>
      <c r="D34" s="123">
        <f t="shared" si="4"/>
        <v>2.5103295411861401E-3</v>
      </c>
      <c r="E34" s="123">
        <f t="shared" si="4"/>
        <v>2.5184781675925958E-3</v>
      </c>
      <c r="F34" s="123">
        <f t="shared" si="4"/>
        <v>1.8597748284565903E-2</v>
      </c>
      <c r="G34" s="123">
        <f t="shared" si="4"/>
        <v>1.814780438653198E-2</v>
      </c>
      <c r="H34" s="123">
        <f t="shared" si="4"/>
        <v>7.8760760458410475E-2</v>
      </c>
      <c r="I34" s="123">
        <f t="shared" si="4"/>
        <v>7.8760760458410475E-2</v>
      </c>
      <c r="J34" s="123">
        <f t="shared" si="4"/>
        <v>7.8033520486191485E-2</v>
      </c>
      <c r="K34" s="123">
        <f t="shared" si="4"/>
        <v>7.8033520486191485E-2</v>
      </c>
      <c r="L34" s="123">
        <f t="shared" si="4"/>
        <v>7.8211101965653396E-2</v>
      </c>
      <c r="M34" s="123">
        <f t="shared" si="4"/>
        <v>7.8211101965653396E-2</v>
      </c>
    </row>
    <row r="35" spans="1:14" x14ac:dyDescent="0.25">
      <c r="A35" s="95" t="str">
        <f t="shared" si="2"/>
        <v>Skagit - Permanent Housing</v>
      </c>
      <c r="B35" s="123">
        <f t="shared" si="4"/>
        <v>0</v>
      </c>
      <c r="C35" s="123">
        <f t="shared" si="4"/>
        <v>0</v>
      </c>
      <c r="D35" s="123">
        <f t="shared" si="4"/>
        <v>0</v>
      </c>
      <c r="E35" s="123">
        <f t="shared" si="4"/>
        <v>0</v>
      </c>
      <c r="F35" s="123">
        <f t="shared" si="4"/>
        <v>0</v>
      </c>
      <c r="G35" s="123">
        <f t="shared" si="4"/>
        <v>0</v>
      </c>
      <c r="H35" s="123">
        <f t="shared" si="4"/>
        <v>0</v>
      </c>
      <c r="I35" s="123">
        <f t="shared" si="4"/>
        <v>0</v>
      </c>
      <c r="J35" s="123">
        <f t="shared" si="4"/>
        <v>0</v>
      </c>
      <c r="K35" s="123">
        <f t="shared" si="4"/>
        <v>0</v>
      </c>
      <c r="L35" s="123">
        <f t="shared" si="4"/>
        <v>0</v>
      </c>
      <c r="M35" s="123">
        <f t="shared" si="4"/>
        <v>0</v>
      </c>
    </row>
    <row r="36" spans="1:14" x14ac:dyDescent="0.25">
      <c r="A36" s="95" t="str">
        <f t="shared" si="2"/>
        <v>Whatcom - HUSLY</v>
      </c>
      <c r="B36" s="123">
        <f t="shared" si="4"/>
        <v>0</v>
      </c>
      <c r="C36" s="123">
        <f t="shared" si="4"/>
        <v>0</v>
      </c>
      <c r="D36" s="123">
        <f t="shared" si="4"/>
        <v>0</v>
      </c>
      <c r="E36" s="123">
        <f t="shared" si="4"/>
        <v>0</v>
      </c>
      <c r="F36" s="123">
        <f t="shared" si="4"/>
        <v>0</v>
      </c>
      <c r="G36" s="123">
        <f t="shared" si="4"/>
        <v>0</v>
      </c>
      <c r="H36" s="123">
        <f t="shared" si="4"/>
        <v>0</v>
      </c>
      <c r="I36" s="123">
        <f t="shared" si="4"/>
        <v>0</v>
      </c>
      <c r="J36" s="123">
        <f t="shared" si="4"/>
        <v>0</v>
      </c>
      <c r="K36" s="123">
        <f t="shared" si="4"/>
        <v>0</v>
      </c>
      <c r="L36" s="123">
        <f t="shared" si="4"/>
        <v>0</v>
      </c>
      <c r="M36" s="123">
        <f t="shared" si="4"/>
        <v>0</v>
      </c>
    </row>
    <row r="37" spans="1:14" ht="16.5" thickBot="1" x14ac:dyDescent="0.3">
      <c r="A37" s="95" t="str">
        <f t="shared" si="2"/>
        <v>Behavioral Health Team</v>
      </c>
      <c r="B37" s="123">
        <f t="shared" si="4"/>
        <v>0.17645943121511107</v>
      </c>
      <c r="C37" s="123">
        <f t="shared" si="4"/>
        <v>0.17645943121511107</v>
      </c>
      <c r="D37" s="123">
        <f t="shared" si="4"/>
        <v>0.17645943121511107</v>
      </c>
      <c r="E37" s="123">
        <f t="shared" si="4"/>
        <v>0.17703222532730886</v>
      </c>
      <c r="F37" s="123">
        <f t="shared" si="4"/>
        <v>0.17560715633951901</v>
      </c>
      <c r="G37" s="123">
        <f t="shared" si="4"/>
        <v>0.17135861144918793</v>
      </c>
      <c r="H37" s="123">
        <f t="shared" si="4"/>
        <v>0.16664617891775516</v>
      </c>
      <c r="I37" s="123">
        <f t="shared" si="4"/>
        <v>0.16664617891775516</v>
      </c>
      <c r="J37" s="123">
        <f t="shared" si="4"/>
        <v>0.16510744615513101</v>
      </c>
      <c r="K37" s="123">
        <f t="shared" si="4"/>
        <v>0.16510744615513101</v>
      </c>
      <c r="L37" s="123">
        <f t="shared" si="4"/>
        <v>0.16548318243328078</v>
      </c>
      <c r="M37" s="123">
        <f t="shared" si="4"/>
        <v>0.16548318243328078</v>
      </c>
    </row>
    <row r="38" spans="1:14" x14ac:dyDescent="0.25">
      <c r="A38" s="76" t="s">
        <v>36</v>
      </c>
      <c r="B38" s="98">
        <f t="shared" ref="B38:M38" si="5">SUM(B25:B37)</f>
        <v>1</v>
      </c>
      <c r="C38" s="98">
        <f t="shared" si="5"/>
        <v>1</v>
      </c>
      <c r="D38" s="98">
        <f t="shared" si="5"/>
        <v>1</v>
      </c>
      <c r="E38" s="98">
        <f t="shared" si="5"/>
        <v>0.99999999999999989</v>
      </c>
      <c r="F38" s="98">
        <f t="shared" si="5"/>
        <v>1</v>
      </c>
      <c r="G38" s="98">
        <f t="shared" si="5"/>
        <v>0.99999999999999989</v>
      </c>
      <c r="H38" s="98">
        <f t="shared" si="5"/>
        <v>1.0000000000000002</v>
      </c>
      <c r="I38" s="98">
        <f t="shared" si="5"/>
        <v>1.0000000000000002</v>
      </c>
      <c r="J38" s="98">
        <f t="shared" si="5"/>
        <v>1.0000000000000002</v>
      </c>
      <c r="K38" s="98">
        <f t="shared" si="5"/>
        <v>1.0000000000000002</v>
      </c>
      <c r="L38" s="98">
        <f t="shared" si="5"/>
        <v>1</v>
      </c>
      <c r="M38" s="98">
        <f t="shared" si="5"/>
        <v>1</v>
      </c>
    </row>
    <row r="39" spans="1:14" x14ac:dyDescent="0.25">
      <c r="A39" s="54"/>
      <c r="B39" s="54"/>
      <c r="C39" s="54"/>
      <c r="D39" s="54"/>
      <c r="E39" s="54"/>
      <c r="F39" s="54"/>
      <c r="G39" s="54"/>
      <c r="H39" s="54"/>
      <c r="I39" s="54"/>
      <c r="J39" s="54"/>
      <c r="K39" s="54"/>
      <c r="L39" s="54"/>
      <c r="M39" s="54"/>
    </row>
    <row r="40" spans="1:14" x14ac:dyDescent="0.25">
      <c r="A40" s="54"/>
      <c r="B40" s="54"/>
      <c r="C40" s="54"/>
      <c r="D40" s="54"/>
      <c r="E40" s="54"/>
      <c r="F40" s="54"/>
      <c r="G40" s="54"/>
      <c r="H40" s="54"/>
      <c r="I40" s="54"/>
      <c r="J40" s="54"/>
      <c r="K40" s="54"/>
      <c r="L40" s="54"/>
      <c r="M40" s="54"/>
    </row>
    <row r="41" spans="1:14" s="54" customFormat="1" x14ac:dyDescent="0.25">
      <c r="A41" s="54" t="s">
        <v>288</v>
      </c>
      <c r="B41" s="54">
        <v>1465</v>
      </c>
      <c r="C41" s="54">
        <v>1465</v>
      </c>
      <c r="D41" s="54">
        <v>1465</v>
      </c>
      <c r="E41" s="54">
        <v>1465</v>
      </c>
      <c r="F41" s="54">
        <v>1465</v>
      </c>
      <c r="G41" s="54">
        <v>1465</v>
      </c>
      <c r="H41" s="54">
        <v>1465</v>
      </c>
      <c r="I41" s="54">
        <v>1465</v>
      </c>
      <c r="J41" s="54">
        <v>1465</v>
      </c>
      <c r="K41" s="54">
        <v>1465</v>
      </c>
      <c r="L41" s="54">
        <v>1465</v>
      </c>
      <c r="M41" s="54">
        <v>1465</v>
      </c>
      <c r="N41" s="250">
        <f>SUM(B41:M41)</f>
        <v>17580</v>
      </c>
    </row>
    <row r="42" spans="1:14" s="54" customFormat="1" x14ac:dyDescent="0.25">
      <c r="A42" s="54" t="s">
        <v>175</v>
      </c>
      <c r="B42" s="54">
        <v>2057</v>
      </c>
      <c r="C42" s="54">
        <v>2057</v>
      </c>
      <c r="D42" s="54">
        <v>2057</v>
      </c>
      <c r="E42" s="54">
        <v>2057</v>
      </c>
      <c r="F42" s="54">
        <v>2057</v>
      </c>
      <c r="G42" s="54">
        <v>2057</v>
      </c>
      <c r="H42" s="54">
        <v>2057</v>
      </c>
      <c r="I42" s="54">
        <v>2057</v>
      </c>
      <c r="J42" s="54">
        <v>2057</v>
      </c>
      <c r="K42" s="54">
        <v>2057</v>
      </c>
      <c r="L42" s="54">
        <v>2057</v>
      </c>
      <c r="M42" s="54">
        <v>2057</v>
      </c>
      <c r="N42" s="250">
        <f>SUM(B42:M42)</f>
        <v>24684</v>
      </c>
    </row>
    <row r="43" spans="1:14" x14ac:dyDescent="0.25">
      <c r="A43" s="69" t="s">
        <v>287</v>
      </c>
      <c r="B43" s="249">
        <f>SUM(B41:B42)</f>
        <v>3522</v>
      </c>
      <c r="C43" s="249">
        <f t="shared" ref="C43:M43" si="6">SUM(C41:C42)</f>
        <v>3522</v>
      </c>
      <c r="D43" s="249">
        <f t="shared" si="6"/>
        <v>3522</v>
      </c>
      <c r="E43" s="249">
        <f t="shared" si="6"/>
        <v>3522</v>
      </c>
      <c r="F43" s="249">
        <f t="shared" si="6"/>
        <v>3522</v>
      </c>
      <c r="G43" s="249">
        <f t="shared" si="6"/>
        <v>3522</v>
      </c>
      <c r="H43" s="249">
        <f t="shared" si="6"/>
        <v>3522</v>
      </c>
      <c r="I43" s="249">
        <f t="shared" si="6"/>
        <v>3522</v>
      </c>
      <c r="J43" s="249">
        <f t="shared" si="6"/>
        <v>3522</v>
      </c>
      <c r="K43" s="249">
        <f t="shared" si="6"/>
        <v>3522</v>
      </c>
      <c r="L43" s="249">
        <f t="shared" si="6"/>
        <v>3522</v>
      </c>
      <c r="M43" s="249">
        <f t="shared" si="6"/>
        <v>3522</v>
      </c>
      <c r="N43" s="250">
        <f>SUM(B43:M43)</f>
        <v>42264</v>
      </c>
    </row>
    <row r="44" spans="1:14" s="54" customFormat="1" x14ac:dyDescent="0.25">
      <c r="A44" s="55"/>
      <c r="B44" s="122"/>
      <c r="C44" s="122"/>
      <c r="D44" s="122"/>
      <c r="E44" s="122"/>
      <c r="F44" s="122"/>
      <c r="G44" s="122"/>
      <c r="H44" s="122"/>
      <c r="I44" s="122"/>
      <c r="J44" s="122"/>
      <c r="K44" s="122"/>
      <c r="L44" s="122"/>
      <c r="M44" s="122"/>
    </row>
    <row r="45" spans="1:14" x14ac:dyDescent="0.25">
      <c r="A45" s="55"/>
      <c r="B45" s="122"/>
      <c r="C45" s="122"/>
      <c r="D45" s="122"/>
      <c r="E45" s="122"/>
      <c r="F45" s="122"/>
      <c r="G45" s="122"/>
      <c r="H45" s="122"/>
      <c r="I45" s="122"/>
      <c r="J45" s="122"/>
      <c r="K45" s="122"/>
      <c r="L45" s="122"/>
      <c r="M45" s="122"/>
    </row>
    <row r="46" spans="1:14" x14ac:dyDescent="0.25">
      <c r="A46" s="55" t="s">
        <v>289</v>
      </c>
      <c r="B46" s="122"/>
      <c r="C46" s="54"/>
      <c r="D46" s="54"/>
      <c r="E46" s="54"/>
      <c r="F46" s="54"/>
      <c r="G46" s="54"/>
      <c r="H46" s="54"/>
      <c r="I46" s="54"/>
      <c r="J46" s="54"/>
      <c r="K46" s="54"/>
      <c r="L46" s="54"/>
      <c r="M46" s="54"/>
    </row>
    <row r="47" spans="1:14" ht="16.5" thickBot="1" x14ac:dyDescent="0.3">
      <c r="A47" s="55"/>
      <c r="B47" s="143" t="str">
        <f t="shared" ref="B47:M47" si="7">B23</f>
        <v>January</v>
      </c>
      <c r="C47" s="143" t="str">
        <f t="shared" si="7"/>
        <v>February</v>
      </c>
      <c r="D47" s="143" t="str">
        <f t="shared" si="7"/>
        <v>March</v>
      </c>
      <c r="E47" s="143" t="str">
        <f t="shared" si="7"/>
        <v>April</v>
      </c>
      <c r="F47" s="143" t="str">
        <f t="shared" si="7"/>
        <v>May</v>
      </c>
      <c r="G47" s="143" t="str">
        <f t="shared" si="7"/>
        <v>June</v>
      </c>
      <c r="H47" s="143" t="str">
        <f t="shared" si="7"/>
        <v>July</v>
      </c>
      <c r="I47" s="143" t="str">
        <f t="shared" si="7"/>
        <v>August</v>
      </c>
      <c r="J47" s="143" t="str">
        <f t="shared" si="7"/>
        <v>September</v>
      </c>
      <c r="K47" s="143" t="str">
        <f t="shared" si="7"/>
        <v>October</v>
      </c>
      <c r="L47" s="143" t="str">
        <f t="shared" si="7"/>
        <v>November</v>
      </c>
      <c r="M47" s="143" t="str">
        <f t="shared" si="7"/>
        <v>December</v>
      </c>
    </row>
    <row r="48" spans="1:14" ht="48.75" thickTop="1" thickBot="1" x14ac:dyDescent="0.3">
      <c r="A48" s="57" t="s">
        <v>261</v>
      </c>
      <c r="B48" s="96" t="s">
        <v>330</v>
      </c>
      <c r="C48" s="96" t="s">
        <v>330</v>
      </c>
      <c r="D48" s="96" t="s">
        <v>330</v>
      </c>
      <c r="E48" s="96" t="s">
        <v>330</v>
      </c>
      <c r="F48" s="96" t="s">
        <v>330</v>
      </c>
      <c r="G48" s="96" t="s">
        <v>330</v>
      </c>
      <c r="H48" s="96" t="s">
        <v>330</v>
      </c>
      <c r="I48" s="96" t="s">
        <v>330</v>
      </c>
      <c r="J48" s="96" t="s">
        <v>330</v>
      </c>
      <c r="K48" s="96" t="s">
        <v>330</v>
      </c>
      <c r="L48" s="96" t="s">
        <v>330</v>
      </c>
      <c r="M48" s="119" t="s">
        <v>330</v>
      </c>
    </row>
    <row r="49" spans="1:13" x14ac:dyDescent="0.25">
      <c r="A49" s="95" t="str">
        <f t="shared" ref="A49:A61" si="8">A25</f>
        <v>Queer Youth Project</v>
      </c>
      <c r="B49" s="125">
        <f t="shared" ref="B49:M49" si="9">SUM(B$43*B25)</f>
        <v>41.024006188427194</v>
      </c>
      <c r="C49" s="125">
        <f t="shared" si="9"/>
        <v>41.024006188427194</v>
      </c>
      <c r="D49" s="125">
        <f t="shared" si="9"/>
        <v>41.024006188427194</v>
      </c>
      <c r="E49" s="125">
        <f t="shared" si="9"/>
        <v>29.724624000537275</v>
      </c>
      <c r="F49" s="125">
        <f t="shared" si="9"/>
        <v>29.485347565082865</v>
      </c>
      <c r="G49" s="125">
        <f t="shared" si="9"/>
        <v>28.771994958341306</v>
      </c>
      <c r="H49" s="125">
        <f t="shared" si="9"/>
        <v>27.980753223308273</v>
      </c>
      <c r="I49" s="125">
        <f t="shared" si="9"/>
        <v>27.980753223308273</v>
      </c>
      <c r="J49" s="125">
        <f t="shared" si="9"/>
        <v>27.722392053629999</v>
      </c>
      <c r="K49" s="125">
        <f t="shared" si="9"/>
        <v>27.722392053629999</v>
      </c>
      <c r="L49" s="125">
        <f t="shared" si="9"/>
        <v>27.785480113279672</v>
      </c>
      <c r="M49" s="125">
        <f t="shared" si="9"/>
        <v>27.785480113279672</v>
      </c>
    </row>
    <row r="50" spans="1:13" x14ac:dyDescent="0.25">
      <c r="A50" s="95" t="str">
        <f t="shared" si="8"/>
        <v>Homeless Student Stability Program</v>
      </c>
      <c r="B50" s="126">
        <f t="shared" ref="B50:M50" si="10">SUM(B$43*B26)</f>
        <v>132.55521795238931</v>
      </c>
      <c r="C50" s="126">
        <f t="shared" si="10"/>
        <v>132.55521795238931</v>
      </c>
      <c r="D50" s="126">
        <f t="shared" si="10"/>
        <v>132.55521795238931</v>
      </c>
      <c r="E50" s="126">
        <f t="shared" si="10"/>
        <v>132.98549729683344</v>
      </c>
      <c r="F50" s="126">
        <f t="shared" si="10"/>
        <v>131.91499441142292</v>
      </c>
      <c r="G50" s="126">
        <f t="shared" si="10"/>
        <v>128.72351413722993</v>
      </c>
      <c r="H50" s="126">
        <f t="shared" si="10"/>
        <v>17.565282748495907</v>
      </c>
      <c r="I50" s="126">
        <f t="shared" si="10"/>
        <v>17.565282748495907</v>
      </c>
      <c r="J50" s="126">
        <f t="shared" si="10"/>
        <v>124.02767797645254</v>
      </c>
      <c r="K50" s="126">
        <f t="shared" si="10"/>
        <v>124.02767797645254</v>
      </c>
      <c r="L50" s="126">
        <f t="shared" si="10"/>
        <v>124.30992871193206</v>
      </c>
      <c r="M50" s="126">
        <f t="shared" si="10"/>
        <v>124.30992871193206</v>
      </c>
    </row>
    <row r="51" spans="1:13" x14ac:dyDescent="0.25">
      <c r="A51" s="95" t="str">
        <f t="shared" si="8"/>
        <v>Whatcom - Vocational</v>
      </c>
      <c r="B51" s="126">
        <f t="shared" ref="B51:M51" si="11">SUM(B$43*B27)</f>
        <v>119.0966718608794</v>
      </c>
      <c r="C51" s="126">
        <f t="shared" si="11"/>
        <v>119.0966718608794</v>
      </c>
      <c r="D51" s="126">
        <f t="shared" si="11"/>
        <v>119.0966718608794</v>
      </c>
      <c r="E51" s="126">
        <f t="shared" si="11"/>
        <v>119.48326424619148</v>
      </c>
      <c r="F51" s="126">
        <f t="shared" si="11"/>
        <v>118.52145125354374</v>
      </c>
      <c r="G51" s="126">
        <f t="shared" si="11"/>
        <v>200.86337682787214</v>
      </c>
      <c r="H51" s="126">
        <f t="shared" si="11"/>
        <v>184.57772290963501</v>
      </c>
      <c r="I51" s="126">
        <f t="shared" si="11"/>
        <v>184.57772290963501</v>
      </c>
      <c r="J51" s="126">
        <f t="shared" si="11"/>
        <v>108.76933221749171</v>
      </c>
      <c r="K51" s="126">
        <f t="shared" si="11"/>
        <v>108.76933221749171</v>
      </c>
      <c r="L51" s="126">
        <f t="shared" si="11"/>
        <v>101.00181707844479</v>
      </c>
      <c r="M51" s="126">
        <f t="shared" si="11"/>
        <v>101.00181707844479</v>
      </c>
    </row>
    <row r="52" spans="1:13" x14ac:dyDescent="0.25">
      <c r="A52" s="95" t="str">
        <f t="shared" si="8"/>
        <v>Teen Court</v>
      </c>
      <c r="B52" s="126">
        <f t="shared" ref="B52:M52" si="12">SUM(B$43*B28)</f>
        <v>0</v>
      </c>
      <c r="C52" s="126">
        <f t="shared" si="12"/>
        <v>0</v>
      </c>
      <c r="D52" s="126">
        <f t="shared" si="12"/>
        <v>0</v>
      </c>
      <c r="E52" s="126">
        <f t="shared" si="12"/>
        <v>0</v>
      </c>
      <c r="F52" s="126">
        <f t="shared" si="12"/>
        <v>0</v>
      </c>
      <c r="G52" s="126">
        <f t="shared" si="12"/>
        <v>0</v>
      </c>
      <c r="H52" s="126">
        <f t="shared" si="12"/>
        <v>0</v>
      </c>
      <c r="I52" s="126">
        <f t="shared" si="12"/>
        <v>0</v>
      </c>
      <c r="J52" s="126">
        <f t="shared" si="12"/>
        <v>0</v>
      </c>
      <c r="K52" s="126">
        <f t="shared" si="12"/>
        <v>0</v>
      </c>
      <c r="L52" s="126">
        <f t="shared" si="12"/>
        <v>0</v>
      </c>
      <c r="M52" s="126">
        <f t="shared" si="12"/>
        <v>0</v>
      </c>
    </row>
    <row r="53" spans="1:13" x14ac:dyDescent="0.25">
      <c r="A53" s="95" t="str">
        <f t="shared" si="8"/>
        <v>Whatcom - Street Outreach Program</v>
      </c>
      <c r="B53" s="126">
        <f t="shared" ref="B53:M53" si="13">SUM(B$43*B29)</f>
        <v>471.15389993640491</v>
      </c>
      <c r="C53" s="126">
        <f t="shared" si="13"/>
        <v>471.15389993640491</v>
      </c>
      <c r="D53" s="126">
        <f t="shared" si="13"/>
        <v>471.15389993640491</v>
      </c>
      <c r="E53" s="126">
        <f t="shared" si="13"/>
        <v>472.68328364780098</v>
      </c>
      <c r="F53" s="126">
        <f t="shared" si="13"/>
        <v>468.87829115376348</v>
      </c>
      <c r="G53" s="126">
        <f t="shared" si="13"/>
        <v>457.53450249735448</v>
      </c>
      <c r="H53" s="126">
        <f t="shared" si="13"/>
        <v>444.95211486251549</v>
      </c>
      <c r="I53" s="126">
        <f t="shared" si="13"/>
        <v>444.95211486251549</v>
      </c>
      <c r="J53" s="126">
        <f t="shared" si="13"/>
        <v>440.84363543991941</v>
      </c>
      <c r="K53" s="126">
        <f t="shared" si="13"/>
        <v>440.84363543991941</v>
      </c>
      <c r="L53" s="126">
        <f t="shared" si="13"/>
        <v>441.84686667317698</v>
      </c>
      <c r="M53" s="126">
        <f t="shared" si="13"/>
        <v>441.84686667317698</v>
      </c>
    </row>
    <row r="54" spans="1:13" x14ac:dyDescent="0.25">
      <c r="A54" s="95" t="str">
        <f t="shared" si="8"/>
        <v>Whatcom - Transitional Living</v>
      </c>
      <c r="B54" s="126">
        <f t="shared" ref="B54:M54" si="14">SUM(B$43*B30)</f>
        <v>425.48653161713565</v>
      </c>
      <c r="C54" s="126">
        <f t="shared" si="14"/>
        <v>425.48653161713565</v>
      </c>
      <c r="D54" s="126">
        <f t="shared" si="14"/>
        <v>425.48653161713565</v>
      </c>
      <c r="E54" s="126">
        <f t="shared" si="14"/>
        <v>426.86767729153524</v>
      </c>
      <c r="F54" s="126">
        <f t="shared" si="14"/>
        <v>395.08019423081186</v>
      </c>
      <c r="G54" s="126">
        <f t="shared" si="14"/>
        <v>385.52183695506926</v>
      </c>
      <c r="H54" s="126">
        <f t="shared" si="14"/>
        <v>374.91982734095944</v>
      </c>
      <c r="I54" s="126">
        <f t="shared" si="14"/>
        <v>374.91982734095944</v>
      </c>
      <c r="J54" s="126">
        <f t="shared" si="14"/>
        <v>371.45799325971331</v>
      </c>
      <c r="K54" s="126">
        <f t="shared" si="14"/>
        <v>371.45799325971331</v>
      </c>
      <c r="L54" s="126">
        <f t="shared" si="14"/>
        <v>372.30332305631896</v>
      </c>
      <c r="M54" s="126">
        <f t="shared" si="14"/>
        <v>372.30332305631896</v>
      </c>
    </row>
    <row r="55" spans="1:13" x14ac:dyDescent="0.25">
      <c r="A55" s="95" t="str">
        <f t="shared" si="8"/>
        <v>Skagit - Transitional Living</v>
      </c>
      <c r="B55" s="126">
        <f t="shared" ref="B55:M55" si="15">SUM(B$43*B31)</f>
        <v>0</v>
      </c>
      <c r="C55" s="126">
        <f t="shared" si="15"/>
        <v>0</v>
      </c>
      <c r="D55" s="126">
        <f t="shared" si="15"/>
        <v>0</v>
      </c>
      <c r="E55" s="126">
        <f t="shared" si="15"/>
        <v>0</v>
      </c>
      <c r="F55" s="126">
        <f t="shared" si="15"/>
        <v>0</v>
      </c>
      <c r="G55" s="126">
        <f t="shared" si="15"/>
        <v>0</v>
      </c>
      <c r="H55" s="126">
        <f t="shared" si="15"/>
        <v>0</v>
      </c>
      <c r="I55" s="126">
        <f t="shared" si="15"/>
        <v>0</v>
      </c>
      <c r="J55" s="126">
        <f t="shared" si="15"/>
        <v>0</v>
      </c>
      <c r="K55" s="126">
        <f t="shared" si="15"/>
        <v>0</v>
      </c>
      <c r="L55" s="126">
        <f t="shared" si="15"/>
        <v>0</v>
      </c>
      <c r="M55" s="126">
        <f t="shared" si="15"/>
        <v>0</v>
      </c>
    </row>
    <row r="56" spans="1:13" x14ac:dyDescent="0.25">
      <c r="A56" s="95" t="str">
        <f t="shared" si="8"/>
        <v>Whatcom - PAD</v>
      </c>
      <c r="B56" s="126">
        <f t="shared" ref="B56:M56" si="16">SUM(B$43*B32)</f>
        <v>1417.142333825482</v>
      </c>
      <c r="C56" s="126">
        <f t="shared" si="16"/>
        <v>1417.142333825482</v>
      </c>
      <c r="D56" s="126">
        <f t="shared" si="16"/>
        <v>1417.142333825482</v>
      </c>
      <c r="E56" s="126">
        <f t="shared" si="16"/>
        <v>1421.7424324394913</v>
      </c>
      <c r="F56" s="126">
        <f t="shared" si="16"/>
        <v>1410.2977305195527</v>
      </c>
      <c r="G56" s="126">
        <f t="shared" si="16"/>
        <v>1376.1777473608938</v>
      </c>
      <c r="H56" s="126">
        <f t="shared" si="16"/>
        <v>1338.3322913849604</v>
      </c>
      <c r="I56" s="126">
        <f t="shared" si="16"/>
        <v>1338.3322913849604</v>
      </c>
      <c r="J56" s="126">
        <f t="shared" si="16"/>
        <v>1325.9747578525039</v>
      </c>
      <c r="K56" s="126">
        <f t="shared" si="16"/>
        <v>1325.9747578525039</v>
      </c>
      <c r="L56" s="126">
        <f t="shared" si="16"/>
        <v>1328.9922887515522</v>
      </c>
      <c r="M56" s="126">
        <f t="shared" si="16"/>
        <v>1328.9922887515522</v>
      </c>
    </row>
    <row r="57" spans="1:13" x14ac:dyDescent="0.25">
      <c r="A57" s="95" t="str">
        <f t="shared" si="8"/>
        <v>Whatcom - Permanent Housing</v>
      </c>
      <c r="B57" s="126">
        <f t="shared" ref="B57:M57" si="17">SUM(B$43*B33)</f>
        <v>285.20984123560282</v>
      </c>
      <c r="C57" s="126">
        <f t="shared" si="17"/>
        <v>285.20984123560282</v>
      </c>
      <c r="D57" s="126">
        <f t="shared" si="17"/>
        <v>285.20984123560282</v>
      </c>
      <c r="E57" s="126">
        <f t="shared" si="17"/>
        <v>286.13564336856712</v>
      </c>
      <c r="F57" s="126">
        <f t="shared" si="17"/>
        <v>283.83231677979529</v>
      </c>
      <c r="G57" s="126">
        <f t="shared" si="17"/>
        <v>276.96543068983328</v>
      </c>
      <c r="H57" s="126">
        <f t="shared" si="17"/>
        <v>269.34876704727054</v>
      </c>
      <c r="I57" s="126">
        <f t="shared" si="17"/>
        <v>269.34876704727054</v>
      </c>
      <c r="J57" s="126">
        <f t="shared" si="17"/>
        <v>266.86172668955192</v>
      </c>
      <c r="K57" s="126">
        <f t="shared" si="17"/>
        <v>266.86172668955192</v>
      </c>
      <c r="L57" s="126">
        <f t="shared" si="17"/>
        <v>267.46902596224942</v>
      </c>
      <c r="M57" s="126">
        <f t="shared" si="17"/>
        <v>267.46902596224942</v>
      </c>
    </row>
    <row r="58" spans="1:13" x14ac:dyDescent="0.25">
      <c r="A58" s="95" t="str">
        <f t="shared" si="8"/>
        <v>22 North Project</v>
      </c>
      <c r="B58" s="126">
        <f t="shared" ref="B58:M58" si="18">SUM(B$43*B34)</f>
        <v>8.8413806440575851</v>
      </c>
      <c r="C58" s="126">
        <f t="shared" si="18"/>
        <v>8.8413806440575851</v>
      </c>
      <c r="D58" s="126">
        <f t="shared" si="18"/>
        <v>8.8413806440575851</v>
      </c>
      <c r="E58" s="126">
        <f t="shared" si="18"/>
        <v>8.8700801062611223</v>
      </c>
      <c r="F58" s="126">
        <f t="shared" si="18"/>
        <v>65.501269458241111</v>
      </c>
      <c r="G58" s="126">
        <f t="shared" si="18"/>
        <v>63.916567049365632</v>
      </c>
      <c r="H58" s="126">
        <f t="shared" si="18"/>
        <v>277.3953983345217</v>
      </c>
      <c r="I58" s="126">
        <f t="shared" si="18"/>
        <v>277.3953983345217</v>
      </c>
      <c r="J58" s="126">
        <f t="shared" si="18"/>
        <v>274.83405915236642</v>
      </c>
      <c r="K58" s="126">
        <f t="shared" si="18"/>
        <v>274.83405915236642</v>
      </c>
      <c r="L58" s="126">
        <f t="shared" si="18"/>
        <v>275.45950112303126</v>
      </c>
      <c r="M58" s="126">
        <f t="shared" si="18"/>
        <v>275.45950112303126</v>
      </c>
    </row>
    <row r="59" spans="1:13" x14ac:dyDescent="0.25">
      <c r="A59" s="95" t="str">
        <f t="shared" si="8"/>
        <v>Skagit - Permanent Housing</v>
      </c>
      <c r="B59" s="126">
        <f t="shared" ref="B59:M59" si="19">SUM(B$43*B35)</f>
        <v>0</v>
      </c>
      <c r="C59" s="126">
        <f t="shared" si="19"/>
        <v>0</v>
      </c>
      <c r="D59" s="126">
        <f t="shared" si="19"/>
        <v>0</v>
      </c>
      <c r="E59" s="126">
        <f t="shared" si="19"/>
        <v>0</v>
      </c>
      <c r="F59" s="126">
        <f t="shared" si="19"/>
        <v>0</v>
      </c>
      <c r="G59" s="126">
        <f t="shared" si="19"/>
        <v>0</v>
      </c>
      <c r="H59" s="126">
        <f t="shared" si="19"/>
        <v>0</v>
      </c>
      <c r="I59" s="126">
        <f t="shared" si="19"/>
        <v>0</v>
      </c>
      <c r="J59" s="126">
        <f t="shared" si="19"/>
        <v>0</v>
      </c>
      <c r="K59" s="126">
        <f t="shared" si="19"/>
        <v>0</v>
      </c>
      <c r="L59" s="126">
        <f t="shared" si="19"/>
        <v>0</v>
      </c>
      <c r="M59" s="126">
        <f t="shared" si="19"/>
        <v>0</v>
      </c>
    </row>
    <row r="60" spans="1:13" x14ac:dyDescent="0.25">
      <c r="A60" s="95" t="str">
        <f t="shared" si="8"/>
        <v>Whatcom - HUSLY</v>
      </c>
      <c r="B60" s="126">
        <f t="shared" ref="B60:M60" si="20">SUM(B$43*B36)</f>
        <v>0</v>
      </c>
      <c r="C60" s="126">
        <f t="shared" si="20"/>
        <v>0</v>
      </c>
      <c r="D60" s="126">
        <f t="shared" si="20"/>
        <v>0</v>
      </c>
      <c r="E60" s="126">
        <f t="shared" si="20"/>
        <v>0</v>
      </c>
      <c r="F60" s="126">
        <f t="shared" si="20"/>
        <v>0</v>
      </c>
      <c r="G60" s="126">
        <f t="shared" si="20"/>
        <v>0</v>
      </c>
      <c r="H60" s="126">
        <f t="shared" si="20"/>
        <v>0</v>
      </c>
      <c r="I60" s="126">
        <f t="shared" si="20"/>
        <v>0</v>
      </c>
      <c r="J60" s="126">
        <f t="shared" si="20"/>
        <v>0</v>
      </c>
      <c r="K60" s="126">
        <f t="shared" si="20"/>
        <v>0</v>
      </c>
      <c r="L60" s="126">
        <f t="shared" si="20"/>
        <v>0</v>
      </c>
      <c r="M60" s="126">
        <f t="shared" si="20"/>
        <v>0</v>
      </c>
    </row>
    <row r="61" spans="1:13" ht="16.5" thickBot="1" x14ac:dyDescent="0.3">
      <c r="A61" s="95" t="str">
        <f t="shared" si="8"/>
        <v>Behavioral Health Team</v>
      </c>
      <c r="B61" s="126">
        <f t="shared" ref="B61:M61" si="21">SUM(B$43*B37)</f>
        <v>621.49011673962116</v>
      </c>
      <c r="C61" s="126">
        <f t="shared" si="21"/>
        <v>621.49011673962116</v>
      </c>
      <c r="D61" s="126">
        <f t="shared" si="21"/>
        <v>621.49011673962116</v>
      </c>
      <c r="E61" s="126">
        <f t="shared" si="21"/>
        <v>623.50749760278177</v>
      </c>
      <c r="F61" s="126">
        <f t="shared" si="21"/>
        <v>618.48840462778594</v>
      </c>
      <c r="G61" s="126">
        <f t="shared" si="21"/>
        <v>603.52502952403984</v>
      </c>
      <c r="H61" s="126">
        <f t="shared" si="21"/>
        <v>586.92784214833364</v>
      </c>
      <c r="I61" s="126">
        <f t="shared" si="21"/>
        <v>586.92784214833364</v>
      </c>
      <c r="J61" s="126">
        <f t="shared" si="21"/>
        <v>581.50842535837137</v>
      </c>
      <c r="K61" s="126">
        <f t="shared" si="21"/>
        <v>581.50842535837137</v>
      </c>
      <c r="L61" s="126">
        <f t="shared" si="21"/>
        <v>582.83176853001487</v>
      </c>
      <c r="M61" s="126">
        <f t="shared" si="21"/>
        <v>582.83176853001487</v>
      </c>
    </row>
    <row r="62" spans="1:13" x14ac:dyDescent="0.25">
      <c r="A62" s="76" t="s">
        <v>36</v>
      </c>
      <c r="B62" s="124">
        <f t="shared" ref="B62:M62" si="22">SUM(B49:B61)</f>
        <v>3522</v>
      </c>
      <c r="C62" s="124">
        <f t="shared" si="22"/>
        <v>3522</v>
      </c>
      <c r="D62" s="124">
        <f t="shared" si="22"/>
        <v>3522</v>
      </c>
      <c r="E62" s="124">
        <f t="shared" si="22"/>
        <v>3521.9999999999995</v>
      </c>
      <c r="F62" s="124">
        <f t="shared" si="22"/>
        <v>3522</v>
      </c>
      <c r="G62" s="124">
        <f t="shared" si="22"/>
        <v>3522</v>
      </c>
      <c r="H62" s="124">
        <f t="shared" si="22"/>
        <v>3522.0000000000005</v>
      </c>
      <c r="I62" s="124">
        <f t="shared" si="22"/>
        <v>3522.0000000000005</v>
      </c>
      <c r="J62" s="124">
        <f t="shared" si="22"/>
        <v>3522.0000000000005</v>
      </c>
      <c r="K62" s="124">
        <f t="shared" si="22"/>
        <v>3522.0000000000005</v>
      </c>
      <c r="L62" s="124">
        <f t="shared" si="22"/>
        <v>3522.0000000000005</v>
      </c>
      <c r="M62" s="124">
        <f t="shared" si="22"/>
        <v>3522.0000000000005</v>
      </c>
    </row>
  </sheetData>
  <pageMargins left="0.7" right="0.7" top="0.75" bottom="0.75" header="0.3" footer="0.3"/>
  <pageSetup orientation="portrait" verticalDpi="599"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N50"/>
  <sheetViews>
    <sheetView topLeftCell="A10" zoomScaleNormal="100" workbookViewId="0">
      <selection activeCell="C20" sqref="C20:N20"/>
    </sheetView>
  </sheetViews>
  <sheetFormatPr defaultRowHeight="15.75" x14ac:dyDescent="0.25"/>
  <cols>
    <col min="1" max="1" width="4.875" customWidth="1"/>
    <col min="2" max="2" width="4.625" customWidth="1"/>
  </cols>
  <sheetData>
    <row r="1" spans="1:3" s="54" customFormat="1" x14ac:dyDescent="0.25">
      <c r="A1" s="55" t="s">
        <v>0</v>
      </c>
    </row>
    <row r="2" spans="1:3" s="55" customFormat="1" x14ac:dyDescent="0.25">
      <c r="A2" s="55" t="str">
        <f>CMS!A1</f>
        <v>Northwest Youth Services Budget - 2018 - APPROVED BY BOARD NOV 30, 2017</v>
      </c>
    </row>
    <row r="3" spans="1:3" ht="5.0999999999999996" customHeight="1" x14ac:dyDescent="0.25">
      <c r="A3" s="54"/>
    </row>
    <row r="4" spans="1:3" s="54" customFormat="1" ht="5.0999999999999996" customHeight="1" x14ac:dyDescent="0.25"/>
    <row r="5" spans="1:3" s="54" customFormat="1" ht="31.5" customHeight="1" x14ac:dyDescent="0.25">
      <c r="A5" s="55" t="s">
        <v>490</v>
      </c>
    </row>
    <row r="6" spans="1:3" s="54" customFormat="1" ht="15.75" customHeight="1" x14ac:dyDescent="0.25">
      <c r="A6" s="68"/>
    </row>
    <row r="7" spans="1:3" s="54" customFormat="1" ht="20.25" x14ac:dyDescent="0.3">
      <c r="A7" s="149"/>
      <c r="B7" s="54" t="s">
        <v>492</v>
      </c>
      <c r="C7" s="54" t="s">
        <v>491</v>
      </c>
    </row>
    <row r="8" spans="1:3" s="54" customFormat="1" ht="15.75" customHeight="1" x14ac:dyDescent="0.25">
      <c r="B8" s="54" t="s">
        <v>492</v>
      </c>
      <c r="C8" s="54" t="s">
        <v>634</v>
      </c>
    </row>
    <row r="9" spans="1:3" s="54" customFormat="1" ht="15.75" customHeight="1" x14ac:dyDescent="0.25">
      <c r="B9" s="54" t="s">
        <v>492</v>
      </c>
      <c r="C9" s="54" t="s">
        <v>625</v>
      </c>
    </row>
    <row r="10" spans="1:3" s="54" customFormat="1" ht="15.75" customHeight="1" x14ac:dyDescent="0.25">
      <c r="B10" s="54" t="s">
        <v>492</v>
      </c>
      <c r="C10" s="54" t="s">
        <v>626</v>
      </c>
    </row>
    <row r="11" spans="1:3" s="54" customFormat="1" ht="15.75" customHeight="1" x14ac:dyDescent="0.25">
      <c r="B11" s="54" t="s">
        <v>492</v>
      </c>
      <c r="C11" s="54" t="s">
        <v>627</v>
      </c>
    </row>
    <row r="12" spans="1:3" s="54" customFormat="1" ht="15.75" customHeight="1" x14ac:dyDescent="0.25"/>
    <row r="13" spans="1:3" s="54" customFormat="1" ht="15.75" customHeight="1" x14ac:dyDescent="0.25">
      <c r="A13" s="55" t="s">
        <v>628</v>
      </c>
    </row>
    <row r="14" spans="1:3" s="54" customFormat="1" ht="15.75" customHeight="1" x14ac:dyDescent="0.25">
      <c r="B14" s="54" t="s">
        <v>492</v>
      </c>
      <c r="C14" s="54" t="s">
        <v>629</v>
      </c>
    </row>
    <row r="15" spans="1:3" s="54" customFormat="1" ht="15.75" customHeight="1" x14ac:dyDescent="0.25">
      <c r="B15" s="54" t="s">
        <v>492</v>
      </c>
      <c r="C15" s="54" t="s">
        <v>630</v>
      </c>
    </row>
    <row r="16" spans="1:3" s="54" customFormat="1" ht="15.75" customHeight="1" x14ac:dyDescent="0.25">
      <c r="B16" s="54" t="s">
        <v>492</v>
      </c>
      <c r="C16" s="54" t="s">
        <v>631</v>
      </c>
    </row>
    <row r="17" spans="1:14" s="54" customFormat="1" ht="15.75" customHeight="1" x14ac:dyDescent="0.25">
      <c r="B17" s="54" t="s">
        <v>492</v>
      </c>
      <c r="C17" s="54" t="s">
        <v>632</v>
      </c>
    </row>
    <row r="18" spans="1:14" s="54" customFormat="1" ht="15.75" customHeight="1" x14ac:dyDescent="0.25">
      <c r="B18" s="54" t="s">
        <v>492</v>
      </c>
      <c r="C18" s="54" t="s">
        <v>680</v>
      </c>
    </row>
    <row r="19" spans="1:14" s="54" customFormat="1" ht="15.75" customHeight="1" x14ac:dyDescent="0.25">
      <c r="B19" s="54" t="s">
        <v>492</v>
      </c>
      <c r="C19" s="54" t="s">
        <v>633</v>
      </c>
    </row>
    <row r="20" spans="1:14" s="54" customFormat="1" ht="15.75" customHeight="1" x14ac:dyDescent="0.25">
      <c r="B20" s="54" t="s">
        <v>492</v>
      </c>
      <c r="C20" s="512" t="s">
        <v>695</v>
      </c>
      <c r="D20" s="512"/>
      <c r="E20" s="512"/>
      <c r="F20" s="512"/>
      <c r="G20" s="512"/>
      <c r="H20" s="512"/>
      <c r="I20" s="512"/>
      <c r="J20" s="512"/>
      <c r="K20" s="512"/>
      <c r="L20" s="512"/>
      <c r="M20" s="512"/>
      <c r="N20" s="512"/>
    </row>
    <row r="21" spans="1:14" s="54" customFormat="1" ht="15.75" customHeight="1" x14ac:dyDescent="0.25">
      <c r="B21" s="54" t="s">
        <v>492</v>
      </c>
      <c r="C21" s="54" t="s">
        <v>681</v>
      </c>
    </row>
    <row r="22" spans="1:14" s="54" customFormat="1" ht="15.75" customHeight="1" x14ac:dyDescent="0.25">
      <c r="C22" s="54" t="s">
        <v>683</v>
      </c>
    </row>
    <row r="23" spans="1:14" s="54" customFormat="1" ht="15.75" customHeight="1" x14ac:dyDescent="0.25">
      <c r="A23" s="55" t="s">
        <v>635</v>
      </c>
    </row>
    <row r="24" spans="1:14" s="54" customFormat="1" ht="15.75" customHeight="1" x14ac:dyDescent="0.25">
      <c r="B24" s="54" t="s">
        <v>492</v>
      </c>
      <c r="C24" s="54" t="s">
        <v>636</v>
      </c>
    </row>
    <row r="25" spans="1:14" s="54" customFormat="1" ht="15.75" customHeight="1" x14ac:dyDescent="0.25">
      <c r="B25" s="54" t="s">
        <v>492</v>
      </c>
      <c r="C25" s="54" t="s">
        <v>637</v>
      </c>
    </row>
    <row r="26" spans="1:14" s="54" customFormat="1" ht="15.75" customHeight="1" x14ac:dyDescent="0.25"/>
    <row r="27" spans="1:14" s="54" customFormat="1" x14ac:dyDescent="0.25">
      <c r="A27" s="55" t="s">
        <v>704</v>
      </c>
    </row>
    <row r="28" spans="1:14" s="54" customFormat="1" x14ac:dyDescent="0.25">
      <c r="B28" s="54" t="s">
        <v>492</v>
      </c>
      <c r="C28" s="54" t="s">
        <v>705</v>
      </c>
    </row>
    <row r="29" spans="1:14" s="54" customFormat="1" ht="5.0999999999999996" customHeight="1" x14ac:dyDescent="0.25"/>
    <row r="30" spans="1:14" ht="20.25" x14ac:dyDescent="0.3">
      <c r="A30" s="149"/>
    </row>
    <row r="31" spans="1:14" s="54" customFormat="1" ht="5.0999999999999996" customHeight="1" x14ac:dyDescent="0.25"/>
    <row r="32" spans="1:14" ht="20.25" x14ac:dyDescent="0.3">
      <c r="A32" s="149"/>
    </row>
    <row r="33" spans="1:1" ht="5.0999999999999996" customHeight="1" x14ac:dyDescent="0.25">
      <c r="A33" s="54"/>
    </row>
    <row r="34" spans="1:1" ht="20.25" x14ac:dyDescent="0.3">
      <c r="A34" s="149"/>
    </row>
    <row r="35" spans="1:1" ht="5.0999999999999996" customHeight="1" x14ac:dyDescent="0.25">
      <c r="A35" s="54"/>
    </row>
    <row r="36" spans="1:1" ht="20.25" x14ac:dyDescent="0.3">
      <c r="A36" s="149"/>
    </row>
    <row r="37" spans="1:1" ht="5.0999999999999996" customHeight="1" x14ac:dyDescent="0.25">
      <c r="A37" s="54"/>
    </row>
    <row r="38" spans="1:1" ht="20.25" x14ac:dyDescent="0.3">
      <c r="A38" s="149"/>
    </row>
    <row r="39" spans="1:1" s="54" customFormat="1" ht="5.25" customHeight="1" x14ac:dyDescent="0.3">
      <c r="A39" s="149"/>
    </row>
    <row r="40" spans="1:1" s="54" customFormat="1" ht="21.75" customHeight="1" x14ac:dyDescent="0.3">
      <c r="A40" s="149"/>
    </row>
    <row r="41" spans="1:1" s="54" customFormat="1" ht="5.0999999999999996" customHeight="1" x14ac:dyDescent="0.25"/>
    <row r="42" spans="1:1" ht="20.25" x14ac:dyDescent="0.3">
      <c r="A42" s="149"/>
    </row>
    <row r="43" spans="1:1" ht="5.0999999999999996" customHeight="1" x14ac:dyDescent="0.25">
      <c r="A43" s="54"/>
    </row>
    <row r="44" spans="1:1" ht="20.25" x14ac:dyDescent="0.3">
      <c r="A44" s="149"/>
    </row>
    <row r="45" spans="1:1" ht="5.0999999999999996" customHeight="1" x14ac:dyDescent="0.25">
      <c r="A45" s="54"/>
    </row>
    <row r="46" spans="1:1" ht="20.25" x14ac:dyDescent="0.3">
      <c r="A46" s="149"/>
    </row>
    <row r="47" spans="1:1" ht="5.0999999999999996" customHeight="1" x14ac:dyDescent="0.25">
      <c r="A47" s="54"/>
    </row>
    <row r="48" spans="1:1" ht="20.25" x14ac:dyDescent="0.3">
      <c r="A48" s="149"/>
    </row>
    <row r="49" spans="1:1" s="54" customFormat="1" ht="5.0999999999999996" customHeight="1" x14ac:dyDescent="0.25"/>
    <row r="50" spans="1:1" s="54" customFormat="1" ht="20.25" x14ac:dyDescent="0.3">
      <c r="A50" s="149"/>
    </row>
  </sheetData>
  <pageMargins left="0.25" right="0.25" top="0.75" bottom="0.75" header="0.3" footer="0.3"/>
  <pageSetup scale="98" fitToHeight="0" orientation="landscape" verticalDpi="599"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Y148"/>
  <sheetViews>
    <sheetView tabSelected="1" topLeftCell="B1" zoomScale="75" zoomScaleNormal="75" workbookViewId="0">
      <selection activeCell="N136" sqref="N136"/>
    </sheetView>
  </sheetViews>
  <sheetFormatPr defaultColWidth="10" defaultRowHeight="15.75" x14ac:dyDescent="0.25"/>
  <cols>
    <col min="1" max="1" width="4.5" style="68" hidden="1" customWidth="1"/>
    <col min="2" max="2" width="50.75" style="7" customWidth="1"/>
    <col min="3" max="3" width="13.375" style="7" customWidth="1"/>
    <col min="4" max="4" width="13.625" style="7" customWidth="1"/>
    <col min="5" max="5" width="13.875" style="7" customWidth="1"/>
    <col min="6" max="6" width="13.375" style="7" customWidth="1"/>
    <col min="7" max="8" width="14.375" style="7" customWidth="1"/>
    <col min="9" max="10" width="13.875" style="7" customWidth="1"/>
    <col min="11" max="12" width="14.125" style="7" customWidth="1"/>
    <col min="13" max="13" width="13.375" style="7" customWidth="1"/>
    <col min="14" max="14" width="13.375" style="68" customWidth="1"/>
    <col min="15" max="15" width="15.125" style="7" customWidth="1"/>
    <col min="16" max="16" width="15.875" style="112" hidden="1" customWidth="1"/>
    <col min="17" max="17" width="14.875" style="112" hidden="1" customWidth="1"/>
    <col min="18" max="18" width="12.125" style="7" hidden="1" customWidth="1"/>
    <col min="19" max="22" width="10" style="7" hidden="1" customWidth="1"/>
    <col min="23" max="25" width="10" style="7" customWidth="1"/>
    <col min="26" max="16384" width="10" style="7"/>
  </cols>
  <sheetData>
    <row r="1" spans="1:17" ht="16.5" thickBot="1" x14ac:dyDescent="0.3">
      <c r="B1" s="57" t="str">
        <f>CMS!A1</f>
        <v>Northwest Youth Services Budget - 2018 - APPROVED BY BOARD NOV 30, 2017</v>
      </c>
      <c r="C1" s="14"/>
      <c r="D1" s="14"/>
      <c r="E1" s="14"/>
      <c r="F1" s="14"/>
      <c r="G1" s="14"/>
      <c r="H1" s="14"/>
      <c r="I1" s="14"/>
      <c r="J1" s="14"/>
      <c r="K1" s="14"/>
      <c r="L1" s="14"/>
      <c r="M1" s="14"/>
      <c r="N1" s="14"/>
      <c r="O1" s="14"/>
      <c r="P1" s="381"/>
      <c r="Q1" s="381"/>
    </row>
    <row r="3" spans="1:17" hidden="1" x14ac:dyDescent="0.25">
      <c r="B3" s="8" t="e">
        <f>CMS!#REF!</f>
        <v>#REF!</v>
      </c>
      <c r="C3" s="68"/>
      <c r="D3" s="68"/>
      <c r="E3" s="68"/>
      <c r="F3" s="68"/>
      <c r="G3" s="68"/>
      <c r="H3" s="68"/>
      <c r="I3" s="68"/>
      <c r="J3" s="68"/>
      <c r="K3" s="68"/>
      <c r="L3" s="68"/>
      <c r="M3" s="68"/>
      <c r="O3" s="68"/>
    </row>
    <row r="4" spans="1:17" hidden="1" x14ac:dyDescent="0.25">
      <c r="B4" s="68"/>
      <c r="C4" s="68"/>
      <c r="D4" s="68"/>
      <c r="E4" s="68"/>
      <c r="F4" s="68"/>
      <c r="G4" s="68"/>
      <c r="H4" s="68"/>
      <c r="I4" s="68"/>
      <c r="J4" s="68"/>
      <c r="K4" s="68"/>
      <c r="L4" s="68"/>
      <c r="M4" s="68"/>
      <c r="O4" s="68"/>
    </row>
    <row r="5" spans="1:17" x14ac:dyDescent="0.25">
      <c r="B5" s="68"/>
      <c r="C5" s="516"/>
      <c r="D5" s="516"/>
      <c r="E5" s="68"/>
      <c r="F5" s="68"/>
      <c r="G5" s="68"/>
      <c r="H5" s="68"/>
      <c r="I5" s="68"/>
      <c r="J5" s="68"/>
      <c r="K5" s="68"/>
      <c r="L5" s="68"/>
      <c r="M5" s="68"/>
      <c r="O5" s="68"/>
    </row>
    <row r="6" spans="1:17" ht="48" thickBot="1" x14ac:dyDescent="0.3">
      <c r="B6" s="68"/>
      <c r="C6" s="103" t="s">
        <v>1</v>
      </c>
      <c r="D6" s="103" t="s">
        <v>2</v>
      </c>
      <c r="E6" s="103" t="s">
        <v>3</v>
      </c>
      <c r="F6" s="103" t="s">
        <v>4</v>
      </c>
      <c r="G6" s="103" t="s">
        <v>5</v>
      </c>
      <c r="H6" s="103" t="s">
        <v>6</v>
      </c>
      <c r="I6" s="103" t="s">
        <v>7</v>
      </c>
      <c r="J6" s="103" t="s">
        <v>8</v>
      </c>
      <c r="K6" s="103" t="s">
        <v>9</v>
      </c>
      <c r="L6" s="103" t="s">
        <v>10</v>
      </c>
      <c r="M6" s="103" t="s">
        <v>11</v>
      </c>
      <c r="N6" s="103" t="s">
        <v>12</v>
      </c>
      <c r="O6" s="137" t="s">
        <v>478</v>
      </c>
      <c r="P6" s="382" t="s">
        <v>13</v>
      </c>
      <c r="Q6" s="382" t="s">
        <v>406</v>
      </c>
    </row>
    <row r="7" spans="1:17" x14ac:dyDescent="0.25">
      <c r="B7" s="15" t="s">
        <v>14</v>
      </c>
      <c r="C7" s="231"/>
      <c r="D7" s="232"/>
      <c r="E7" s="232"/>
      <c r="F7" s="232"/>
      <c r="G7" s="232"/>
      <c r="H7" s="232"/>
      <c r="I7" s="232"/>
      <c r="J7" s="232"/>
      <c r="K7" s="232"/>
      <c r="L7" s="232"/>
      <c r="M7" s="232"/>
      <c r="N7" s="232"/>
      <c r="O7" s="232"/>
    </row>
    <row r="8" spans="1:17" s="68" customFormat="1" x14ac:dyDescent="0.25">
      <c r="A8" s="68">
        <v>1</v>
      </c>
      <c r="B8" s="16" t="s">
        <v>414</v>
      </c>
      <c r="C8" s="230">
        <f>SUM(HSSP!C8:C11)</f>
        <v>7018.02996525862</v>
      </c>
      <c r="D8" s="230">
        <f>SUM(HSSP!D8:D11)</f>
        <v>7018.02996525862</v>
      </c>
      <c r="E8" s="230">
        <f>SUM(HSSP!E8:E11)</f>
        <v>7018.02996525862</v>
      </c>
      <c r="F8" s="230">
        <f>SUM(HSSP!F8:F11)</f>
        <v>7018.02996525862</v>
      </c>
      <c r="G8" s="230">
        <f>SUM(HSSP!G8:G11)</f>
        <v>7018.02996525862</v>
      </c>
      <c r="H8" s="230">
        <f>SUM(HSSP!H8:H11)</f>
        <v>7018.02996525862</v>
      </c>
      <c r="I8" s="230">
        <f>SUM(HSSP!I8:I11)</f>
        <v>0</v>
      </c>
      <c r="J8" s="230">
        <f>SUM(HSSP!J8:J11)</f>
        <v>0</v>
      </c>
      <c r="K8" s="230">
        <f>SUM(HSSP!K8:K11)</f>
        <v>6988.9937152586208</v>
      </c>
      <c r="L8" s="230">
        <f>SUM(HSSP!L8:L11)</f>
        <v>6988.9937152586208</v>
      </c>
      <c r="M8" s="230">
        <f>SUM(HSSP!M8:M11)</f>
        <v>6988.9937152586208</v>
      </c>
      <c r="N8" s="230">
        <f>SUM(HSSP!N8:N11)</f>
        <v>6988.9937152586208</v>
      </c>
      <c r="O8" s="233">
        <f t="shared" ref="O8:O86" si="0">SUM(C8:N8)</f>
        <v>70064.154652586207</v>
      </c>
      <c r="P8" s="388">
        <v>37160.099760666657</v>
      </c>
      <c r="Q8" s="383">
        <f>SUM(O8-P8)</f>
        <v>32904.05489191955</v>
      </c>
    </row>
    <row r="9" spans="1:17" s="68" customFormat="1" x14ac:dyDescent="0.25">
      <c r="B9" s="391" t="s">
        <v>456</v>
      </c>
      <c r="C9" s="230">
        <f>SUM('WH - SOP'!C8)</f>
        <v>14353.833333333334</v>
      </c>
      <c r="D9" s="230">
        <f>SUM('WH - SOP'!D8)</f>
        <v>14353.833333333334</v>
      </c>
      <c r="E9" s="230">
        <f>SUM('WH - SOP'!E8)</f>
        <v>14353.833333333334</v>
      </c>
      <c r="F9" s="230">
        <f>SUM('WH - SOP'!F8)</f>
        <v>14353.833333333334</v>
      </c>
      <c r="G9" s="230">
        <f>SUM('WH - SOP'!G8)</f>
        <v>14353.833333333334</v>
      </c>
      <c r="H9" s="230">
        <f>SUM('WH - SOP'!H8)</f>
        <v>14353.833333333334</v>
      </c>
      <c r="I9" s="230">
        <f>SUM('WH - SOP'!I8)</f>
        <v>14353.833333333334</v>
      </c>
      <c r="J9" s="230">
        <f>SUM('WH - SOP'!J8)</f>
        <v>14353.833333333334</v>
      </c>
      <c r="K9" s="230">
        <f>SUM('WH - SOP'!K8)</f>
        <v>14353.833333333334</v>
      </c>
      <c r="L9" s="230">
        <f>SUM('WH - SOP'!L8)</f>
        <v>14353.833333333334</v>
      </c>
      <c r="M9" s="230">
        <f>SUM('WH - SOP'!M8)</f>
        <v>14353.833333333334</v>
      </c>
      <c r="N9" s="230">
        <f>SUM('WH - SOP'!N8)</f>
        <v>14353.833333333334</v>
      </c>
      <c r="O9" s="233">
        <f>SUM(C9:N9)</f>
        <v>172246</v>
      </c>
      <c r="P9" s="388">
        <v>172230.50000000003</v>
      </c>
      <c r="Q9" s="383">
        <f t="shared" ref="Q9:Q46" si="1">SUM(O9-P9)</f>
        <v>15.499999999970896</v>
      </c>
    </row>
    <row r="10" spans="1:17" s="68" customFormat="1" x14ac:dyDescent="0.25">
      <c r="B10" s="391" t="s">
        <v>457</v>
      </c>
      <c r="C10" s="230">
        <f>SUM('WH - SOP'!C9)</f>
        <v>2893.0833333333335</v>
      </c>
      <c r="D10" s="230">
        <f>SUM('WH - SOP'!D9)</f>
        <v>2893.0833333333335</v>
      </c>
      <c r="E10" s="230">
        <f>SUM('WH - SOP'!E9)</f>
        <v>2893.0833333333335</v>
      </c>
      <c r="F10" s="230">
        <f>SUM('WH - SOP'!F9)</f>
        <v>2893.0833333333335</v>
      </c>
      <c r="G10" s="230">
        <f>SUM('WH - SOP'!G9)</f>
        <v>2893.0833333333335</v>
      </c>
      <c r="H10" s="230">
        <f>SUM('WH - SOP'!H9)</f>
        <v>2893.0833333333335</v>
      </c>
      <c r="I10" s="230">
        <f>SUM('WH - SOP'!I9)</f>
        <v>2893.0833333333335</v>
      </c>
      <c r="J10" s="230">
        <f>SUM('WH - SOP'!J9)</f>
        <v>2893.0833333333335</v>
      </c>
      <c r="K10" s="230">
        <f>SUM('WH - SOP'!K9)</f>
        <v>2893.0833333333335</v>
      </c>
      <c r="L10" s="230">
        <f>SUM('WH - SOP'!L9)</f>
        <v>2893.0833333333335</v>
      </c>
      <c r="M10" s="230">
        <f>SUM('WH - SOP'!M9)</f>
        <v>2893.0833333333335</v>
      </c>
      <c r="N10" s="230">
        <f>SUM('WH - SOP'!N9)</f>
        <v>2893.0833333333335</v>
      </c>
      <c r="O10" s="233">
        <f>SUM(C10:N10)</f>
        <v>34716.999999999993</v>
      </c>
      <c r="P10" s="388">
        <v>30677.249999999996</v>
      </c>
      <c r="Q10" s="383">
        <f t="shared" si="1"/>
        <v>4039.7499999999964</v>
      </c>
    </row>
    <row r="11" spans="1:17" s="68" customFormat="1" x14ac:dyDescent="0.25">
      <c r="B11" s="391" t="s">
        <v>428</v>
      </c>
      <c r="C11" s="230">
        <f>SUM('WH - PAD'!C13)</f>
        <v>0</v>
      </c>
      <c r="D11" s="230">
        <f>SUM('WH - PAD'!D13)</f>
        <v>0</v>
      </c>
      <c r="E11" s="230">
        <f>SUM('WH - PAD'!E13)</f>
        <v>3000</v>
      </c>
      <c r="F11" s="230">
        <f>SUM('WH - PAD'!F13)</f>
        <v>0</v>
      </c>
      <c r="G11" s="230">
        <f>SUM('WH - PAD'!G13)</f>
        <v>0</v>
      </c>
      <c r="H11" s="230">
        <f>SUM('WH - PAD'!H13)</f>
        <v>0</v>
      </c>
      <c r="I11" s="230">
        <f>SUM('WH - PAD'!I13)</f>
        <v>0</v>
      </c>
      <c r="J11" s="230">
        <f>SUM('WH - PAD'!J13)</f>
        <v>0</v>
      </c>
      <c r="K11" s="230">
        <f>SUM('WH - PAD'!K13)</f>
        <v>0</v>
      </c>
      <c r="L11" s="230">
        <f>SUM('WH - PAD'!L13)</f>
        <v>3000</v>
      </c>
      <c r="M11" s="230">
        <f>SUM('WH - PAD'!M13)</f>
        <v>0</v>
      </c>
      <c r="N11" s="230">
        <f>SUM('WH - PAD'!N13)</f>
        <v>0</v>
      </c>
      <c r="O11" s="233">
        <f>SUM(C11:N11)</f>
        <v>6000</v>
      </c>
      <c r="P11" s="388">
        <v>5000</v>
      </c>
      <c r="Q11" s="383">
        <f t="shared" si="1"/>
        <v>1000</v>
      </c>
    </row>
    <row r="12" spans="1:17" s="68" customFormat="1" x14ac:dyDescent="0.25">
      <c r="B12" s="391" t="s">
        <v>432</v>
      </c>
      <c r="C12" s="230">
        <f>SUM('WH - PAD'!C9+'WH - PAD'!C14)</f>
        <v>4016.6666666666665</v>
      </c>
      <c r="D12" s="230">
        <f>SUM('WH - PAD'!D9+'WH - PAD'!D14)</f>
        <v>4016.6666666666665</v>
      </c>
      <c r="E12" s="230">
        <f>SUM('WH - PAD'!E9+'WH - PAD'!E14)</f>
        <v>4016.6666666666665</v>
      </c>
      <c r="F12" s="230">
        <f>SUM('WH - PAD'!F9+'WH - PAD'!F14)</f>
        <v>4016.6666666666665</v>
      </c>
      <c r="G12" s="230">
        <f>SUM('WH - PAD'!G9+'WH - PAD'!G14)</f>
        <v>4016.6666666666665</v>
      </c>
      <c r="H12" s="230">
        <f>SUM('WH - PAD'!H9+'WH - PAD'!H14)</f>
        <v>4016.6666666666665</v>
      </c>
      <c r="I12" s="230">
        <f>SUM('WH - PAD'!I9+'WH - PAD'!I14)</f>
        <v>4016.6666666666665</v>
      </c>
      <c r="J12" s="230">
        <f>SUM('WH - PAD'!J9+'WH - PAD'!J14)</f>
        <v>4016.6666666666665</v>
      </c>
      <c r="K12" s="230">
        <f>SUM('WH - PAD'!K9+'WH - PAD'!K14)</f>
        <v>4016.6666666666665</v>
      </c>
      <c r="L12" s="230">
        <f>SUM('WH - PAD'!L9+'WH - PAD'!L14)</f>
        <v>4016.6666666666665</v>
      </c>
      <c r="M12" s="230">
        <f>SUM('WH - PAD'!M9+'WH - PAD'!M14)</f>
        <v>4016.6666666666665</v>
      </c>
      <c r="N12" s="230">
        <f>SUM('WH - PAD'!N9+'WH - PAD'!N14)</f>
        <v>4016.6666666666665</v>
      </c>
      <c r="O12" s="233">
        <f>SUM(C12:N12)</f>
        <v>48199.999999999993</v>
      </c>
      <c r="P12" s="388">
        <v>46438.69</v>
      </c>
      <c r="Q12" s="383">
        <f t="shared" si="1"/>
        <v>1761.3099999999904</v>
      </c>
    </row>
    <row r="13" spans="1:17" s="68" customFormat="1" x14ac:dyDescent="0.25">
      <c r="B13" s="391" t="s">
        <v>433</v>
      </c>
      <c r="C13" s="230">
        <f>SUM('WH - PAD'!C8)</f>
        <v>14166.666666666666</v>
      </c>
      <c r="D13" s="230">
        <f>SUM('WH - PAD'!D8)</f>
        <v>14166.666666666666</v>
      </c>
      <c r="E13" s="230">
        <f>SUM('WH - PAD'!E8)</f>
        <v>14166.666666666666</v>
      </c>
      <c r="F13" s="230">
        <f>SUM('WH - PAD'!F8)</f>
        <v>14166.666666666666</v>
      </c>
      <c r="G13" s="230">
        <f>SUM('WH - PAD'!G8)</f>
        <v>14166.666666666666</v>
      </c>
      <c r="H13" s="230">
        <f>SUM('WH - PAD'!H8)</f>
        <v>14166.666666666666</v>
      </c>
      <c r="I13" s="230">
        <f>SUM('WH - PAD'!I8)</f>
        <v>14166.666666666666</v>
      </c>
      <c r="J13" s="230">
        <f>SUM('WH - PAD'!J8)</f>
        <v>14166.666666666666</v>
      </c>
      <c r="K13" s="230">
        <f>SUM('WH - PAD'!K8)</f>
        <v>14166.666666666666</v>
      </c>
      <c r="L13" s="230">
        <f>SUM('WH - PAD'!L8)</f>
        <v>14166.666666666666</v>
      </c>
      <c r="M13" s="230">
        <f>SUM('WH - PAD'!M8)</f>
        <v>14166.666666666666</v>
      </c>
      <c r="N13" s="230">
        <f>SUM('WH - PAD'!N8)</f>
        <v>14166.666666666666</v>
      </c>
      <c r="O13" s="233">
        <f>SUM(C13:N13)</f>
        <v>170000</v>
      </c>
      <c r="P13" s="388">
        <v>142230</v>
      </c>
      <c r="Q13" s="383">
        <f t="shared" si="1"/>
        <v>27770</v>
      </c>
    </row>
    <row r="14" spans="1:17" s="68" customFormat="1" x14ac:dyDescent="0.25">
      <c r="B14" s="391" t="s">
        <v>434</v>
      </c>
      <c r="C14" s="230">
        <f>SUM('WH - PAD'!C11:C12)</f>
        <v>9583.3333333333339</v>
      </c>
      <c r="D14" s="230">
        <f>SUM('WH - PAD'!D11:D12)</f>
        <v>9583.3333333333339</v>
      </c>
      <c r="E14" s="230">
        <f>SUM('WH - PAD'!E11:E12)</f>
        <v>9583.3333333333339</v>
      </c>
      <c r="F14" s="230">
        <f>SUM('WH - PAD'!F11:F12)</f>
        <v>9583.3333333333339</v>
      </c>
      <c r="G14" s="230">
        <f>SUM('WH - PAD'!G11:G12)</f>
        <v>9583.3333333333339</v>
      </c>
      <c r="H14" s="230">
        <f>SUM('WH - PAD'!H11:H12)</f>
        <v>9583.3333333333339</v>
      </c>
      <c r="I14" s="230">
        <f>SUM('WH - PAD'!I11:I12)</f>
        <v>9583.3333333333339</v>
      </c>
      <c r="J14" s="230">
        <f>SUM('WH - PAD'!J11:J12)</f>
        <v>9583.3333333333339</v>
      </c>
      <c r="K14" s="230">
        <f>SUM('WH - PAD'!K11:K12)</f>
        <v>9583.3333333333339</v>
      </c>
      <c r="L14" s="230">
        <f>SUM('WH - PAD'!L11:L12)</f>
        <v>9583.3333333333339</v>
      </c>
      <c r="M14" s="230">
        <f>SUM('WH - PAD'!M11:M12)</f>
        <v>9583.3333333333339</v>
      </c>
      <c r="N14" s="230">
        <f>SUM('WH - PAD'!N11:N12)</f>
        <v>9583.3333333333339</v>
      </c>
      <c r="O14" s="233">
        <f t="shared" ref="O14:O23" si="2">SUM(C14:N14)</f>
        <v>114999.99999999999</v>
      </c>
      <c r="P14" s="388">
        <v>122142.16714285716</v>
      </c>
      <c r="Q14" s="383">
        <f t="shared" si="1"/>
        <v>-7142.1671428571717</v>
      </c>
    </row>
    <row r="15" spans="1:17" s="68" customFormat="1" x14ac:dyDescent="0.25">
      <c r="B15" s="391" t="s">
        <v>435</v>
      </c>
      <c r="C15" s="230">
        <f>SUM('WH - PAD'!C10)</f>
        <v>14113.333333333334</v>
      </c>
      <c r="D15" s="230">
        <f>SUM('WH - PAD'!D10)</f>
        <v>14113.333333333334</v>
      </c>
      <c r="E15" s="230">
        <f>SUM('WH - PAD'!E10)</f>
        <v>14113.333333333334</v>
      </c>
      <c r="F15" s="230">
        <f>SUM('WH - PAD'!F10)</f>
        <v>14113.333333333334</v>
      </c>
      <c r="G15" s="230">
        <f>SUM('WH - PAD'!G10)</f>
        <v>14113.333333333334</v>
      </c>
      <c r="H15" s="230">
        <f>SUM('WH - PAD'!H10)</f>
        <v>14113.333333333334</v>
      </c>
      <c r="I15" s="230">
        <f>SUM('WH - PAD'!I10)</f>
        <v>14113.333333333334</v>
      </c>
      <c r="J15" s="230">
        <f>SUM('WH - PAD'!J10)</f>
        <v>14113.333333333334</v>
      </c>
      <c r="K15" s="230">
        <f>SUM('WH - PAD'!K10)</f>
        <v>14113.333333333334</v>
      </c>
      <c r="L15" s="230">
        <f>SUM('WH - PAD'!L10)</f>
        <v>14113.333333333334</v>
      </c>
      <c r="M15" s="230">
        <f>SUM('WH - PAD'!M10)</f>
        <v>14113.333333333334</v>
      </c>
      <c r="N15" s="230">
        <f>SUM('WH - PAD'!N10)</f>
        <v>14113.333333333334</v>
      </c>
      <c r="O15" s="233">
        <f t="shared" si="2"/>
        <v>169360</v>
      </c>
      <c r="P15" s="388">
        <v>168664</v>
      </c>
      <c r="Q15" s="383">
        <f t="shared" si="1"/>
        <v>696</v>
      </c>
    </row>
    <row r="16" spans="1:17" s="68" customFormat="1" x14ac:dyDescent="0.25">
      <c r="B16" s="391" t="s">
        <v>569</v>
      </c>
      <c r="C16" s="230">
        <f>SUM('WH - HUSLY'!C8)</f>
        <v>7295.2897222222227</v>
      </c>
      <c r="D16" s="230">
        <f>SUM('WH - HUSLY'!D8)</f>
        <v>7295.2897222222227</v>
      </c>
      <c r="E16" s="230">
        <f>SUM('WH - HUSLY'!E8)</f>
        <v>7295.2897222222227</v>
      </c>
      <c r="F16" s="230">
        <f>SUM('WH - HUSLY'!F8)</f>
        <v>7295.2897222222227</v>
      </c>
      <c r="G16" s="230">
        <f>SUM('WH - HUSLY'!G8)</f>
        <v>7295.2897222222227</v>
      </c>
      <c r="H16" s="230">
        <f>SUM('WH - HUSLY'!H8)</f>
        <v>7295.2897222222227</v>
      </c>
      <c r="I16" s="230">
        <f>SUM('WH - HUSLY'!I8)</f>
        <v>7295.2897222222227</v>
      </c>
      <c r="J16" s="230">
        <f>SUM('WH - HUSLY'!J8)</f>
        <v>7295.2897222222227</v>
      </c>
      <c r="K16" s="230">
        <f>SUM('WH - HUSLY'!K8)</f>
        <v>7295.2897222222227</v>
      </c>
      <c r="L16" s="230">
        <f>SUM('WH - HUSLY'!L8)</f>
        <v>7295.2897222222227</v>
      </c>
      <c r="M16" s="230">
        <f>SUM('WH - HUSLY'!M8)</f>
        <v>7295.2897222222227</v>
      </c>
      <c r="N16" s="230">
        <f>SUM('WH - HUSLY'!N8)</f>
        <v>7295.2897222222227</v>
      </c>
      <c r="O16" s="233">
        <f t="shared" si="2"/>
        <v>87543.476666666669</v>
      </c>
      <c r="P16" s="388">
        <v>104517</v>
      </c>
      <c r="Q16" s="383">
        <f t="shared" si="1"/>
        <v>-16973.523333333331</v>
      </c>
    </row>
    <row r="17" spans="1:18" s="68" customFormat="1" x14ac:dyDescent="0.25">
      <c r="B17" s="391" t="s">
        <v>422</v>
      </c>
      <c r="C17" s="230">
        <f>SUM('WH - TL'!C8)</f>
        <v>3000</v>
      </c>
      <c r="D17" s="230">
        <f>SUM('WH - TL'!D8)</f>
        <v>3000</v>
      </c>
      <c r="E17" s="230">
        <f>SUM('WH - TL'!E8)</f>
        <v>3000</v>
      </c>
      <c r="F17" s="230">
        <f>SUM('WH - TL'!F8)</f>
        <v>3000</v>
      </c>
      <c r="G17" s="230">
        <f>SUM('WH - TL'!G8)</f>
        <v>3000</v>
      </c>
      <c r="H17" s="230">
        <f>SUM('WH - TL'!H8)</f>
        <v>3000</v>
      </c>
      <c r="I17" s="230">
        <f>SUM('WH - TL'!I8)</f>
        <v>3000</v>
      </c>
      <c r="J17" s="230">
        <f>SUM('WH - TL'!J8)</f>
        <v>3000</v>
      </c>
      <c r="K17" s="230">
        <f>SUM('WH - TL'!K8)</f>
        <v>3000</v>
      </c>
      <c r="L17" s="230">
        <f>SUM('WH - TL'!L8)</f>
        <v>3000</v>
      </c>
      <c r="M17" s="230">
        <f>SUM('WH - TL'!M8)</f>
        <v>3000</v>
      </c>
      <c r="N17" s="230">
        <f>SUM('WH - TL'!N8)</f>
        <v>3000</v>
      </c>
      <c r="O17" s="233">
        <f t="shared" si="2"/>
        <v>36000</v>
      </c>
      <c r="P17" s="388">
        <v>36185</v>
      </c>
      <c r="Q17" s="383">
        <f t="shared" si="1"/>
        <v>-185</v>
      </c>
    </row>
    <row r="18" spans="1:18" s="68" customFormat="1" x14ac:dyDescent="0.25">
      <c r="B18" s="391" t="s">
        <v>423</v>
      </c>
      <c r="C18" s="230">
        <f>SUM('WH - TL'!C9)</f>
        <v>16666.666666666668</v>
      </c>
      <c r="D18" s="230">
        <f>SUM('WH - TL'!D9)</f>
        <v>16666.666666666668</v>
      </c>
      <c r="E18" s="230">
        <f>SUM('WH - TL'!E9)</f>
        <v>16666.666666666668</v>
      </c>
      <c r="F18" s="230">
        <f>SUM('WH - TL'!F9)</f>
        <v>16666.666666666668</v>
      </c>
      <c r="G18" s="230">
        <f>SUM('WH - TL'!G9)</f>
        <v>16666.666666666668</v>
      </c>
      <c r="H18" s="230">
        <f>SUM('WH - TL'!H9)</f>
        <v>16666.666666666668</v>
      </c>
      <c r="I18" s="230">
        <f>SUM('WH - TL'!I9)</f>
        <v>16666.666666666668</v>
      </c>
      <c r="J18" s="230">
        <f>SUM('WH - TL'!J9)</f>
        <v>16666.666666666668</v>
      </c>
      <c r="K18" s="230">
        <f>SUM('WH - TL'!K9)</f>
        <v>16666.666666666668</v>
      </c>
      <c r="L18" s="230">
        <f>SUM('WH - TL'!L9)</f>
        <v>16666.666666666668</v>
      </c>
      <c r="M18" s="230">
        <f>SUM('WH - TL'!M9)</f>
        <v>16666.666666666668</v>
      </c>
      <c r="N18" s="230">
        <f>SUM('WH - TL'!N9)</f>
        <v>16666.666666666668</v>
      </c>
      <c r="O18" s="233">
        <f t="shared" si="2"/>
        <v>199999.99999999997</v>
      </c>
      <c r="P18" s="388">
        <v>182434.59333333332</v>
      </c>
      <c r="Q18" s="383">
        <f t="shared" si="1"/>
        <v>17565.406666666648</v>
      </c>
    </row>
    <row r="19" spans="1:18" s="68" customFormat="1" x14ac:dyDescent="0.25">
      <c r="B19" s="391" t="s">
        <v>571</v>
      </c>
      <c r="C19" s="230">
        <f>SUM('WH - TL'!C10)</f>
        <v>9626</v>
      </c>
      <c r="D19" s="230">
        <f>SUM('WH - TL'!D10)</f>
        <v>9626</v>
      </c>
      <c r="E19" s="230">
        <f>SUM('WH - TL'!E10)</f>
        <v>9626</v>
      </c>
      <c r="F19" s="230">
        <f>SUM('WH - TL'!F10)</f>
        <v>9626</v>
      </c>
      <c r="G19" s="230">
        <f>SUM('WH - TL'!G10)</f>
        <v>9626</v>
      </c>
      <c r="H19" s="230">
        <f>SUM('WH - TL'!H10)</f>
        <v>9626</v>
      </c>
      <c r="I19" s="230">
        <f>SUM('WH - TL'!I10)</f>
        <v>9626</v>
      </c>
      <c r="J19" s="230">
        <f>SUM('WH - TL'!J10)</f>
        <v>9626</v>
      </c>
      <c r="K19" s="230">
        <f>SUM('WH - TL'!K10)</f>
        <v>9626</v>
      </c>
      <c r="L19" s="230">
        <f>SUM('WH - TL'!L10)</f>
        <v>9626</v>
      </c>
      <c r="M19" s="230">
        <f>SUM('WH - TL'!M10)</f>
        <v>9626</v>
      </c>
      <c r="N19" s="230">
        <f>SUM('WH - TL'!N10)</f>
        <v>9626</v>
      </c>
      <c r="O19" s="233">
        <f t="shared" si="2"/>
        <v>115512</v>
      </c>
      <c r="P19" s="388">
        <v>21152.87</v>
      </c>
      <c r="Q19" s="383">
        <f t="shared" si="1"/>
        <v>94359.13</v>
      </c>
    </row>
    <row r="20" spans="1:18" s="68" customFormat="1" x14ac:dyDescent="0.25">
      <c r="B20" s="391" t="s">
        <v>474</v>
      </c>
      <c r="C20" s="230">
        <f>SUM('WH - PERM'!C8)</f>
        <v>13270.416666666666</v>
      </c>
      <c r="D20" s="230">
        <f>SUM('WH - PERM'!D8)</f>
        <v>13270.416666666666</v>
      </c>
      <c r="E20" s="230">
        <f>SUM('WH - PERM'!E8)</f>
        <v>13270.416666666666</v>
      </c>
      <c r="F20" s="230">
        <f>SUM('WH - PERM'!F8)</f>
        <v>13270.416666666666</v>
      </c>
      <c r="G20" s="230">
        <f>SUM('WH - PERM'!G8)</f>
        <v>13270.416666666666</v>
      </c>
      <c r="H20" s="230">
        <f>SUM('WH - PERM'!H8)</f>
        <v>13270.416666666666</v>
      </c>
      <c r="I20" s="230">
        <f>SUM('WH - PERM'!I8)</f>
        <v>13270.416666666666</v>
      </c>
      <c r="J20" s="230">
        <f>SUM('WH - PERM'!J8)</f>
        <v>13270.416666666666</v>
      </c>
      <c r="K20" s="230">
        <f>SUM('WH - PERM'!K8)</f>
        <v>13270.416666666666</v>
      </c>
      <c r="L20" s="230">
        <f>SUM('WH - PERM'!L8)</f>
        <v>13270.416666666666</v>
      </c>
      <c r="M20" s="230">
        <f>SUM('WH - PERM'!M8)</f>
        <v>13270.416666666666</v>
      </c>
      <c r="N20" s="230">
        <f>SUM('WH - PERM'!N8)</f>
        <v>13270.416666666666</v>
      </c>
      <c r="O20" s="233">
        <f t="shared" si="2"/>
        <v>159245</v>
      </c>
      <c r="P20" s="388">
        <v>202831.00000000003</v>
      </c>
      <c r="Q20" s="383">
        <f t="shared" si="1"/>
        <v>-43586.000000000029</v>
      </c>
    </row>
    <row r="21" spans="1:18" s="68" customFormat="1" x14ac:dyDescent="0.25">
      <c r="B21" s="391" t="s">
        <v>415</v>
      </c>
      <c r="C21" s="230">
        <f>SUM('WH-VOC'!C8)</f>
        <v>2158.3333333333335</v>
      </c>
      <c r="D21" s="230">
        <f>SUM('WH-VOC'!D8)</f>
        <v>2158.3333333333335</v>
      </c>
      <c r="E21" s="230">
        <f>SUM('WH-VOC'!E8)</f>
        <v>2158.3333333333335</v>
      </c>
      <c r="F21" s="230">
        <f>SUM('WH-VOC'!F8)</f>
        <v>2158.3333333333335</v>
      </c>
      <c r="G21" s="230">
        <f>SUM('WH-VOC'!G8)</f>
        <v>2158.3333333333335</v>
      </c>
      <c r="H21" s="230">
        <f>SUM('WH-VOC'!H8)</f>
        <v>2158.3333333333335</v>
      </c>
      <c r="I21" s="230">
        <f>SUM('WH-VOC'!I8)</f>
        <v>2158.3333333333335</v>
      </c>
      <c r="J21" s="230">
        <f>SUM('WH-VOC'!J8)</f>
        <v>2158.3333333333335</v>
      </c>
      <c r="K21" s="230">
        <f>SUM('WH-VOC'!K8)</f>
        <v>2158.3333333333335</v>
      </c>
      <c r="L21" s="230">
        <f>SUM('WH-VOC'!L8)</f>
        <v>2158.3333333333335</v>
      </c>
      <c r="M21" s="230">
        <f>SUM('WH-VOC'!M8)</f>
        <v>2158.3333333333335</v>
      </c>
      <c r="N21" s="230">
        <f>SUM('WH-VOC'!N8)</f>
        <v>2158.3333333333335</v>
      </c>
      <c r="O21" s="233">
        <f t="shared" si="2"/>
        <v>25899.999999999996</v>
      </c>
      <c r="P21" s="388">
        <v>29277.632091687054</v>
      </c>
      <c r="Q21" s="383">
        <f t="shared" si="1"/>
        <v>-3377.6320916870573</v>
      </c>
    </row>
    <row r="22" spans="1:18" s="68" customFormat="1" x14ac:dyDescent="0.25">
      <c r="B22" s="391" t="s">
        <v>572</v>
      </c>
      <c r="C22" s="230">
        <f>SUM('WH-VOC'!C9)</f>
        <v>2481.25</v>
      </c>
      <c r="D22" s="230">
        <f>SUM('WH-VOC'!D9)</f>
        <v>2481.25</v>
      </c>
      <c r="E22" s="230">
        <f>SUM('WH-VOC'!E9)</f>
        <v>2481.25</v>
      </c>
      <c r="F22" s="230">
        <f>SUM('WH-VOC'!F9)</f>
        <v>2481.25</v>
      </c>
      <c r="G22" s="230">
        <f>SUM('WH-VOC'!G9)</f>
        <v>2481.25</v>
      </c>
      <c r="H22" s="230">
        <f>SUM('WH-VOC'!H9)</f>
        <v>2481.25</v>
      </c>
      <c r="I22" s="230">
        <f>SUM('WH-VOC'!I9)</f>
        <v>0</v>
      </c>
      <c r="J22" s="230">
        <f>SUM('WH-VOC'!J9)</f>
        <v>0</v>
      </c>
      <c r="K22" s="230">
        <f>SUM('WH-VOC'!K9)</f>
        <v>0</v>
      </c>
      <c r="L22" s="230">
        <f>SUM('WH-VOC'!L9)</f>
        <v>0</v>
      </c>
      <c r="M22" s="230">
        <f>SUM('WH-VOC'!M9)</f>
        <v>0</v>
      </c>
      <c r="N22" s="230">
        <f>SUM('WH-VOC'!N9)</f>
        <v>0</v>
      </c>
      <c r="O22" s="233">
        <f t="shared" si="2"/>
        <v>14887.5</v>
      </c>
      <c r="P22" s="388"/>
      <c r="Q22" s="383">
        <f t="shared" si="1"/>
        <v>14887.5</v>
      </c>
    </row>
    <row r="23" spans="1:18" s="68" customFormat="1" x14ac:dyDescent="0.25">
      <c r="B23" s="391" t="s">
        <v>574</v>
      </c>
      <c r="C23" s="230">
        <f>SUM(QYP!C8)</f>
        <v>1833</v>
      </c>
      <c r="D23" s="230">
        <f>SUM(QYP!D8)</f>
        <v>1833</v>
      </c>
      <c r="E23" s="230">
        <f>SUM(QYP!E8)</f>
        <v>0</v>
      </c>
      <c r="F23" s="230">
        <f>SUM(QYP!F8)</f>
        <v>0</v>
      </c>
      <c r="G23" s="230">
        <f>SUM(QYP!G8)</f>
        <v>0</v>
      </c>
      <c r="H23" s="230">
        <f>SUM(QYP!H8)</f>
        <v>0</v>
      </c>
      <c r="I23" s="230">
        <f>SUM(QYP!I8)</f>
        <v>0</v>
      </c>
      <c r="J23" s="230">
        <f>SUM(QYP!J8)</f>
        <v>0</v>
      </c>
      <c r="K23" s="230">
        <f>SUM(QYP!K8)</f>
        <v>0</v>
      </c>
      <c r="L23" s="230">
        <f>SUM(QYP!L8)</f>
        <v>0</v>
      </c>
      <c r="M23" s="230">
        <f>SUM(QYP!M8)</f>
        <v>0</v>
      </c>
      <c r="N23" s="230">
        <f>SUM(QYP!N8)</f>
        <v>0</v>
      </c>
      <c r="O23" s="233">
        <f t="shared" si="2"/>
        <v>3666</v>
      </c>
      <c r="P23" s="388"/>
      <c r="Q23" s="383">
        <f t="shared" si="1"/>
        <v>3666</v>
      </c>
    </row>
    <row r="24" spans="1:18" s="68" customFormat="1" x14ac:dyDescent="0.25">
      <c r="A24" s="68">
        <v>14</v>
      </c>
      <c r="B24" s="391" t="s">
        <v>575</v>
      </c>
      <c r="C24" s="230">
        <f>SUM('BH Team'!C8)</f>
        <v>3582.8848340999998</v>
      </c>
      <c r="D24" s="230">
        <f>SUM('BH Team'!D8)</f>
        <v>3582.8848340999998</v>
      </c>
      <c r="E24" s="230">
        <f>SUM('BH Team'!E8)</f>
        <v>3582.8848340999998</v>
      </c>
      <c r="F24" s="230">
        <f>SUM('BH Team'!F8)</f>
        <v>3582.8848340999998</v>
      </c>
      <c r="G24" s="230">
        <f>SUM('BH Team'!G8)</f>
        <v>3582.8848340999998</v>
      </c>
      <c r="H24" s="230">
        <f>SUM('BH Team'!H8)</f>
        <v>3582.8848340999998</v>
      </c>
      <c r="I24" s="230">
        <f>SUM('BH Team'!I8)</f>
        <v>3582.8848340999998</v>
      </c>
      <c r="J24" s="230">
        <f>SUM('BH Team'!J8)</f>
        <v>3582.8848340999998</v>
      </c>
      <c r="K24" s="230">
        <f>SUM('BH Team'!K8)</f>
        <v>3582.8848340999998</v>
      </c>
      <c r="L24" s="230">
        <f>SUM('BH Team'!L8)</f>
        <v>3582.8848340999998</v>
      </c>
      <c r="M24" s="230">
        <f>SUM('BH Team'!M8)</f>
        <v>3582.8848340999998</v>
      </c>
      <c r="N24" s="230">
        <f>SUM('BH Team'!N8)</f>
        <v>3582.8848340999998</v>
      </c>
      <c r="O24" s="233">
        <f t="shared" si="0"/>
        <v>42994.6180092</v>
      </c>
      <c r="P24" s="388"/>
      <c r="Q24" s="383">
        <f t="shared" si="1"/>
        <v>42994.6180092</v>
      </c>
    </row>
    <row r="25" spans="1:18" s="68" customFormat="1" x14ac:dyDescent="0.25">
      <c r="A25" s="68">
        <v>15</v>
      </c>
      <c r="B25" s="391" t="s">
        <v>576</v>
      </c>
      <c r="C25" s="230">
        <f>SUM('BH Team'!C40)</f>
        <v>31561.384942183911</v>
      </c>
      <c r="D25" s="230">
        <f>SUM('BH Team'!D40)</f>
        <v>31561.384942183911</v>
      </c>
      <c r="E25" s="230">
        <f>SUM('BH Team'!E40)</f>
        <v>31561.384942183911</v>
      </c>
      <c r="F25" s="230">
        <f>SUM('BH Team'!F40)</f>
        <v>31561.384942183911</v>
      </c>
      <c r="G25" s="230">
        <f>SUM('BH Team'!G40)</f>
        <v>31561.384942183911</v>
      </c>
      <c r="H25" s="230">
        <f>SUM('BH Team'!H40)</f>
        <v>31561.384942183911</v>
      </c>
      <c r="I25" s="230">
        <f>SUM('BH Team'!I40)</f>
        <v>31561.384942183911</v>
      </c>
      <c r="J25" s="230">
        <f>SUM('BH Team'!J40)</f>
        <v>31561.384942183911</v>
      </c>
      <c r="K25" s="230">
        <f>SUM('BH Team'!K40)</f>
        <v>31561.384942183911</v>
      </c>
      <c r="L25" s="230">
        <f>SUM('BH Team'!L40)</f>
        <v>31561.384942183911</v>
      </c>
      <c r="M25" s="230">
        <f>SUM('BH Team'!M40)</f>
        <v>31561.384942183911</v>
      </c>
      <c r="N25" s="230">
        <f>SUM('BH Team'!N40)</f>
        <v>31561.384942183911</v>
      </c>
      <c r="O25" s="233">
        <f t="shared" si="0"/>
        <v>378736.61930620694</v>
      </c>
      <c r="P25" s="388"/>
      <c r="Q25" s="383">
        <f t="shared" si="1"/>
        <v>378736.61930620694</v>
      </c>
      <c r="R25" s="68" t="s">
        <v>638</v>
      </c>
    </row>
    <row r="26" spans="1:18" s="68" customFormat="1" x14ac:dyDescent="0.25">
      <c r="B26" s="391" t="s">
        <v>652</v>
      </c>
      <c r="C26" s="230">
        <f>SUM('BH Team'!C9)</f>
        <v>11087.762995599396</v>
      </c>
      <c r="D26" s="230">
        <f>SUM('BH Team'!D9)</f>
        <v>8212.3796622660648</v>
      </c>
      <c r="E26" s="230">
        <f>SUM('BH Team'!E9)</f>
        <v>8212.3796622660648</v>
      </c>
      <c r="F26" s="230">
        <f>SUM('BH Team'!F9)</f>
        <v>8212.3796622660648</v>
      </c>
      <c r="G26" s="230">
        <f>SUM('BH Team'!G9)</f>
        <v>8212.3796622660648</v>
      </c>
      <c r="H26" s="230">
        <f>SUM('BH Team'!H9)</f>
        <v>8212.3796622660648</v>
      </c>
      <c r="I26" s="230">
        <f>SUM('BH Team'!I9)</f>
        <v>8212.3796622660648</v>
      </c>
      <c r="J26" s="230">
        <f>SUM('BH Team'!J9)</f>
        <v>8212.3796622660648</v>
      </c>
      <c r="K26" s="230">
        <f>SUM('BH Team'!K9)</f>
        <v>8212.3796622660648</v>
      </c>
      <c r="L26" s="230">
        <f>SUM('BH Team'!L9)</f>
        <v>8212.3796622660648</v>
      </c>
      <c r="M26" s="230">
        <f>SUM('BH Team'!M9)</f>
        <v>8212.3796622660648</v>
      </c>
      <c r="N26" s="230">
        <f>SUM('BH Team'!N9)</f>
        <v>8212.3796622660648</v>
      </c>
      <c r="O26" s="233">
        <f t="shared" si="0"/>
        <v>101423.93928052609</v>
      </c>
      <c r="P26" s="388"/>
      <c r="Q26" s="383">
        <f t="shared" si="1"/>
        <v>101423.93928052609</v>
      </c>
    </row>
    <row r="27" spans="1:18" s="68" customFormat="1" x14ac:dyDescent="0.25">
      <c r="B27" s="391" t="s">
        <v>445</v>
      </c>
      <c r="C27" s="230">
        <f>SUM('Teen Court'!C9)</f>
        <v>2025</v>
      </c>
      <c r="D27" s="230">
        <f>SUM('Teen Court'!D9)</f>
        <v>2025</v>
      </c>
      <c r="E27" s="230">
        <f>SUM('Teen Court'!E9)</f>
        <v>2025</v>
      </c>
      <c r="F27" s="230">
        <f>SUM('Teen Court'!F9)</f>
        <v>2025</v>
      </c>
      <c r="G27" s="230">
        <f>SUM('Teen Court'!G9)</f>
        <v>2025</v>
      </c>
      <c r="H27" s="230">
        <f>SUM('Teen Court'!H9)</f>
        <v>2025</v>
      </c>
      <c r="I27" s="230">
        <f>SUM('Teen Court'!I9)</f>
        <v>2025</v>
      </c>
      <c r="J27" s="230">
        <f>SUM('Teen Court'!J9)</f>
        <v>2025</v>
      </c>
      <c r="K27" s="230">
        <f>SUM('Teen Court'!K9)</f>
        <v>2025</v>
      </c>
      <c r="L27" s="230">
        <f>SUM('Teen Court'!L9)</f>
        <v>2025</v>
      </c>
      <c r="M27" s="230">
        <f>SUM('Teen Court'!M9)</f>
        <v>2025</v>
      </c>
      <c r="N27" s="230">
        <f>SUM('Teen Court'!N9)</f>
        <v>2025</v>
      </c>
      <c r="O27" s="233">
        <f t="shared" si="0"/>
        <v>24300</v>
      </c>
      <c r="P27" s="388">
        <v>17729.580000000002</v>
      </c>
      <c r="Q27" s="383">
        <f t="shared" si="1"/>
        <v>6570.4199999999983</v>
      </c>
    </row>
    <row r="28" spans="1:18" s="68" customFormat="1" x14ac:dyDescent="0.25">
      <c r="B28" s="391" t="s">
        <v>446</v>
      </c>
      <c r="C28" s="230">
        <f>SUM('Teen Court'!C8)</f>
        <v>1667</v>
      </c>
      <c r="D28" s="230">
        <f>SUM('Teen Court'!D8)</f>
        <v>1667</v>
      </c>
      <c r="E28" s="230">
        <f>SUM('Teen Court'!E8)</f>
        <v>1667</v>
      </c>
      <c r="F28" s="230">
        <f>SUM('Teen Court'!F8)</f>
        <v>1667</v>
      </c>
      <c r="G28" s="230">
        <f>SUM('Teen Court'!G8)</f>
        <v>1667</v>
      </c>
      <c r="H28" s="230">
        <f>SUM('Teen Court'!H8)</f>
        <v>1667</v>
      </c>
      <c r="I28" s="230">
        <f>SUM('Teen Court'!I8)</f>
        <v>1667</v>
      </c>
      <c r="J28" s="230">
        <f>SUM('Teen Court'!J8)</f>
        <v>1667</v>
      </c>
      <c r="K28" s="230">
        <f>SUM('Teen Court'!K8)</f>
        <v>1667</v>
      </c>
      <c r="L28" s="230">
        <f>SUM('Teen Court'!L8)</f>
        <v>1667</v>
      </c>
      <c r="M28" s="230">
        <f>SUM('Teen Court'!M8)</f>
        <v>1667</v>
      </c>
      <c r="N28" s="230">
        <f>SUM('Teen Court'!N8)</f>
        <v>1663</v>
      </c>
      <c r="O28" s="233">
        <f t="shared" si="0"/>
        <v>20000</v>
      </c>
      <c r="P28" s="388">
        <v>20000</v>
      </c>
      <c r="Q28" s="383">
        <f t="shared" si="1"/>
        <v>0</v>
      </c>
    </row>
    <row r="29" spans="1:18" s="68" customFormat="1" x14ac:dyDescent="0.25">
      <c r="B29" s="391" t="s">
        <v>577</v>
      </c>
      <c r="C29" s="230">
        <f>SUM('SK - HUSLY'!C8)</f>
        <v>6870.3213888888886</v>
      </c>
      <c r="D29" s="230">
        <f>SUM('SK - HUSLY'!D8)</f>
        <v>6870.3213888888886</v>
      </c>
      <c r="E29" s="230">
        <f>SUM('SK - HUSLY'!E8)</f>
        <v>6870.3213888888886</v>
      </c>
      <c r="F29" s="230">
        <f>SUM('SK - HUSLY'!F8)</f>
        <v>6870.3213888888886</v>
      </c>
      <c r="G29" s="230">
        <f>SUM('SK - HUSLY'!G8)</f>
        <v>6870.3213888888886</v>
      </c>
      <c r="H29" s="230">
        <f>SUM('SK - HUSLY'!H8)</f>
        <v>6870.3213888888886</v>
      </c>
      <c r="I29" s="230">
        <f>SUM('SK - HUSLY'!I8)</f>
        <v>6870.3213888888886</v>
      </c>
      <c r="J29" s="230">
        <f>SUM('SK - HUSLY'!J8)</f>
        <v>6870.3213888888886</v>
      </c>
      <c r="K29" s="230">
        <f>SUM('SK - HUSLY'!K8)</f>
        <v>6870.3213888888886</v>
      </c>
      <c r="L29" s="230">
        <f>SUM('SK - HUSLY'!L8)</f>
        <v>6870.3213888888886</v>
      </c>
      <c r="M29" s="230">
        <f>SUM('SK - HUSLY'!M8)</f>
        <v>6870.3213888888886</v>
      </c>
      <c r="N29" s="230">
        <f>SUM('SK - HUSLY'!N8)</f>
        <v>6870.3213888888886</v>
      </c>
      <c r="O29" s="233">
        <f t="shared" si="0"/>
        <v>82443.856666666645</v>
      </c>
      <c r="P29" s="388">
        <v>104517</v>
      </c>
      <c r="Q29" s="383">
        <f t="shared" si="1"/>
        <v>-22073.143333333355</v>
      </c>
    </row>
    <row r="30" spans="1:18" s="68" customFormat="1" x14ac:dyDescent="0.25">
      <c r="A30" s="68">
        <v>16</v>
      </c>
      <c r="B30" s="391" t="s">
        <v>464</v>
      </c>
      <c r="C30" s="230">
        <f>SUM('SK - TL'!C8)</f>
        <v>4117.75</v>
      </c>
      <c r="D30" s="230">
        <f>SUM('SK - TL'!D8)</f>
        <v>4117.75</v>
      </c>
      <c r="E30" s="230">
        <f>SUM('SK - TL'!E8)</f>
        <v>4117.75</v>
      </c>
      <c r="F30" s="230">
        <f>SUM('SK - TL'!F8)</f>
        <v>4117.75</v>
      </c>
      <c r="G30" s="230">
        <f>SUM('SK - TL'!G8)</f>
        <v>4117.75</v>
      </c>
      <c r="H30" s="230">
        <f>SUM('SK - TL'!H8)</f>
        <v>4117.75</v>
      </c>
      <c r="I30" s="230">
        <f>SUM('SK - TL'!I8)</f>
        <v>4117.75</v>
      </c>
      <c r="J30" s="230">
        <f>SUM('SK - TL'!J8)</f>
        <v>4117.75</v>
      </c>
      <c r="K30" s="230">
        <f>SUM('SK - TL'!K8)</f>
        <v>4117.75</v>
      </c>
      <c r="L30" s="230">
        <f>SUM('SK - TL'!L8)</f>
        <v>4117.75</v>
      </c>
      <c r="M30" s="230">
        <f>SUM('SK - TL'!M8)</f>
        <v>4117.75</v>
      </c>
      <c r="N30" s="230">
        <f>SUM('SK - TL'!N8)</f>
        <v>4117.75</v>
      </c>
      <c r="O30" s="233">
        <f t="shared" si="0"/>
        <v>49413</v>
      </c>
      <c r="P30" s="388">
        <v>32942.050000000003</v>
      </c>
      <c r="Q30" s="383">
        <f t="shared" si="1"/>
        <v>16470.949999999997</v>
      </c>
    </row>
    <row r="31" spans="1:18" s="68" customFormat="1" x14ac:dyDescent="0.25">
      <c r="A31" s="68">
        <v>17</v>
      </c>
      <c r="B31" s="391" t="s">
        <v>465</v>
      </c>
      <c r="C31" s="230">
        <f>SUM('SK - TL'!C9)</f>
        <v>21813.916666666668</v>
      </c>
      <c r="D31" s="230">
        <f>SUM('SK - TL'!D9)</f>
        <v>21813.916666666668</v>
      </c>
      <c r="E31" s="230">
        <f>SUM('SK - TL'!E9)</f>
        <v>21813.916666666668</v>
      </c>
      <c r="F31" s="230">
        <f>SUM('SK - TL'!F9)</f>
        <v>21813.916666666668</v>
      </c>
      <c r="G31" s="230">
        <f>SUM('SK - TL'!G9)</f>
        <v>21813.916666666668</v>
      </c>
      <c r="H31" s="230">
        <f>SUM('SK - TL'!H9)</f>
        <v>21813.916666666668</v>
      </c>
      <c r="I31" s="230">
        <f>SUM('SK - TL'!I9)</f>
        <v>21813.916666666668</v>
      </c>
      <c r="J31" s="230">
        <f>SUM('SK - TL'!J9)</f>
        <v>21813.916666666668</v>
      </c>
      <c r="K31" s="230">
        <f>SUM('SK - TL'!K9)</f>
        <v>21813.916666666668</v>
      </c>
      <c r="L31" s="230">
        <f>SUM('SK - TL'!L9)</f>
        <v>21813.916666666668</v>
      </c>
      <c r="M31" s="230">
        <f>SUM('SK - TL'!M9)</f>
        <v>21813.916666666668</v>
      </c>
      <c r="N31" s="230">
        <f>SUM('SK - TL'!N9)</f>
        <v>21813.916666666668</v>
      </c>
      <c r="O31" s="233">
        <f t="shared" si="0"/>
        <v>261766.99999999997</v>
      </c>
      <c r="P31" s="388">
        <v>251067.75000000003</v>
      </c>
      <c r="Q31" s="383">
        <f t="shared" ref="Q31:Q34" si="3">SUM(O31-P31)</f>
        <v>10699.249999999942</v>
      </c>
    </row>
    <row r="32" spans="1:18" s="68" customFormat="1" x14ac:dyDescent="0.25">
      <c r="A32" s="68">
        <v>18</v>
      </c>
      <c r="B32" s="391" t="s">
        <v>466</v>
      </c>
      <c r="C32" s="230">
        <f>SUM('SK - PERM'!C8)</f>
        <v>2003</v>
      </c>
      <c r="D32" s="230">
        <f>SUM('SK - PERM'!D8)</f>
        <v>2111</v>
      </c>
      <c r="E32" s="230">
        <f>SUM('SK - PERM'!E8)</f>
        <v>6406</v>
      </c>
      <c r="F32" s="230">
        <f>SUM('SK - PERM'!F8)</f>
        <v>5691.8856984749191</v>
      </c>
      <c r="G32" s="230">
        <f>SUM('SK - PERM'!G8)</f>
        <v>5722.8486671441024</v>
      </c>
      <c r="H32" s="230">
        <f>SUM('SK - PERM'!H8)</f>
        <v>5608.4656416584348</v>
      </c>
      <c r="I32" s="230">
        <f>SUM('SK - PERM'!I8)</f>
        <v>6342.0690546872756</v>
      </c>
      <c r="J32" s="230">
        <f>SUM('SK - PERM'!J8)</f>
        <v>6241.583333333333</v>
      </c>
      <c r="K32" s="230">
        <f>SUM('SK - PERM'!K8)</f>
        <v>6241.583333333333</v>
      </c>
      <c r="L32" s="230">
        <f>SUM('SK - PERM'!L8)</f>
        <v>6241.583333333333</v>
      </c>
      <c r="M32" s="230">
        <f>SUM('SK - PERM'!M8)</f>
        <v>6241.583333333333</v>
      </c>
      <c r="N32" s="230">
        <f>SUM('SK - PERM'!N8)</f>
        <v>6241.583333333333</v>
      </c>
      <c r="O32" s="233">
        <f t="shared" ref="O32:O33" si="4">SUM(C32:N32)</f>
        <v>65093.185728631412</v>
      </c>
      <c r="P32" s="388">
        <v>64562.65374215287</v>
      </c>
      <c r="Q32" s="383">
        <f t="shared" si="3"/>
        <v>530.53198647854151</v>
      </c>
    </row>
    <row r="33" spans="1:18" s="68" customFormat="1" x14ac:dyDescent="0.25">
      <c r="B33" s="391" t="s">
        <v>701</v>
      </c>
      <c r="C33" s="230">
        <f>SUM('22 North'!C9)</f>
        <v>0</v>
      </c>
      <c r="D33" s="230">
        <f>SUM('22 North'!D9)</f>
        <v>0</v>
      </c>
      <c r="E33" s="230">
        <f>SUM('22 North'!E9)</f>
        <v>0</v>
      </c>
      <c r="F33" s="230">
        <f>SUM('22 North'!F9)</f>
        <v>0</v>
      </c>
      <c r="G33" s="230">
        <f>SUM('22 North'!G9)</f>
        <v>3466.6666666666665</v>
      </c>
      <c r="H33" s="230">
        <f>SUM('22 North'!H9)</f>
        <v>3007.6666666666665</v>
      </c>
      <c r="I33" s="230">
        <f>SUM('22 North'!I9)</f>
        <v>3466.6666666666665</v>
      </c>
      <c r="J33" s="230">
        <f>SUM('22 North'!J9)</f>
        <v>3466.6666666666665</v>
      </c>
      <c r="K33" s="230">
        <f>SUM('22 North'!K9)</f>
        <v>3466.6666666666665</v>
      </c>
      <c r="L33" s="230">
        <f>SUM('22 North'!L9)</f>
        <v>3466.6666666666665</v>
      </c>
      <c r="M33" s="230">
        <f>SUM('22 North'!M9)</f>
        <v>3466.6666666666665</v>
      </c>
      <c r="N33" s="230">
        <f>SUM('22 North'!N9)</f>
        <v>3466.6666666666665</v>
      </c>
      <c r="O33" s="233">
        <f t="shared" si="4"/>
        <v>27274.333333333336</v>
      </c>
      <c r="P33" s="388"/>
      <c r="Q33" s="383">
        <f t="shared" si="3"/>
        <v>27274.333333333336</v>
      </c>
    </row>
    <row r="34" spans="1:18" s="68" customFormat="1" x14ac:dyDescent="0.25">
      <c r="A34" s="68">
        <v>19</v>
      </c>
      <c r="B34" s="391" t="s">
        <v>693</v>
      </c>
      <c r="C34" s="230">
        <f>SUM('22 North'!C8)</f>
        <v>92</v>
      </c>
      <c r="D34" s="230">
        <f>SUM('22 North'!D8)</f>
        <v>126</v>
      </c>
      <c r="E34" s="230">
        <f>SUM('22 North'!E8)</f>
        <v>113</v>
      </c>
      <c r="F34" s="230">
        <f>SUM('22 North'!F8)</f>
        <v>126</v>
      </c>
      <c r="G34" s="230">
        <f>SUM('22 North'!G8)</f>
        <v>1814</v>
      </c>
      <c r="H34" s="230">
        <f>SUM('22 North'!H8)</f>
        <v>0</v>
      </c>
      <c r="I34" s="230">
        <f>SUM('22 North'!I8)</f>
        <v>20455.222222222223</v>
      </c>
      <c r="J34" s="230">
        <f>SUM('22 North'!J8)</f>
        <v>15282.222222222223</v>
      </c>
      <c r="K34" s="230">
        <f>SUM('22 North'!K8)</f>
        <v>18475.222222222223</v>
      </c>
      <c r="L34" s="230">
        <f>SUM('22 North'!L8)</f>
        <v>23222.222222222223</v>
      </c>
      <c r="M34" s="230">
        <f>SUM('22 North'!M8)</f>
        <v>23222.222222222223</v>
      </c>
      <c r="N34" s="230">
        <f>SUM('22 North'!N8)</f>
        <v>23222.222222222223</v>
      </c>
      <c r="O34" s="233">
        <f t="shared" si="0"/>
        <v>126150.33333333333</v>
      </c>
      <c r="P34" s="388"/>
      <c r="Q34" s="383">
        <f t="shared" si="3"/>
        <v>126150.33333333333</v>
      </c>
    </row>
    <row r="35" spans="1:18" s="394" customFormat="1" x14ac:dyDescent="0.25">
      <c r="A35" s="394">
        <v>20</v>
      </c>
      <c r="B35" s="459" t="s">
        <v>467</v>
      </c>
      <c r="C35" s="390"/>
      <c r="D35" s="390"/>
      <c r="E35" s="390"/>
      <c r="F35" s="390"/>
      <c r="G35" s="390"/>
      <c r="H35" s="390"/>
      <c r="I35" s="390"/>
      <c r="J35" s="390"/>
      <c r="K35" s="390"/>
      <c r="L35" s="390"/>
      <c r="M35" s="390"/>
      <c r="N35" s="390"/>
      <c r="O35" s="395">
        <f>SUM(O8:O34)</f>
        <v>2607938.0169771509</v>
      </c>
      <c r="P35" s="460">
        <v>1687243.0363105885</v>
      </c>
      <c r="Q35" s="461">
        <f t="shared" si="1"/>
        <v>920694.98066656245</v>
      </c>
      <c r="R35" s="394" t="s">
        <v>646</v>
      </c>
    </row>
    <row r="36" spans="1:18" s="394" customFormat="1" x14ac:dyDescent="0.25">
      <c r="A36" s="394">
        <v>21</v>
      </c>
      <c r="B36" s="392" t="s">
        <v>439</v>
      </c>
      <c r="C36" s="390">
        <f>SUM(CMS!C23)</f>
        <v>0</v>
      </c>
      <c r="D36" s="390">
        <f>SUM(CMS!D23)</f>
        <v>0</v>
      </c>
      <c r="E36" s="390">
        <f>SUM(CMS!E23)</f>
        <v>0</v>
      </c>
      <c r="F36" s="390">
        <f>SUM(CMS!F23)</f>
        <v>0</v>
      </c>
      <c r="G36" s="390">
        <f>SUM(CMS!G23)</f>
        <v>0</v>
      </c>
      <c r="H36" s="390">
        <f>SUM(CMS!H23)</f>
        <v>0</v>
      </c>
      <c r="I36" s="390">
        <f>SUM(CMS!I23)</f>
        <v>0</v>
      </c>
      <c r="J36" s="390">
        <f>SUM(CMS!J23)</f>
        <v>0</v>
      </c>
      <c r="K36" s="390">
        <f>SUM(CMS!K23)</f>
        <v>0</v>
      </c>
      <c r="L36" s="390">
        <f>SUM(CMS!L23)</f>
        <v>0</v>
      </c>
      <c r="M36" s="390">
        <f>SUM(CMS!M23)</f>
        <v>0</v>
      </c>
      <c r="N36" s="390">
        <f>SUM(CMS!N23)</f>
        <v>0</v>
      </c>
      <c r="O36" s="395">
        <f t="shared" si="0"/>
        <v>0</v>
      </c>
      <c r="P36" s="396">
        <v>5000</v>
      </c>
      <c r="Q36" s="383">
        <f t="shared" si="1"/>
        <v>-5000</v>
      </c>
    </row>
    <row r="37" spans="1:18" s="394" customFormat="1" x14ac:dyDescent="0.25">
      <c r="A37" s="394">
        <v>22</v>
      </c>
      <c r="B37" s="392" t="s">
        <v>440</v>
      </c>
      <c r="C37" s="390">
        <f>SUM(CMS!C24)</f>
        <v>0</v>
      </c>
      <c r="D37" s="390">
        <f>SUM(CMS!D24)</f>
        <v>0</v>
      </c>
      <c r="E37" s="390">
        <f>SUM(CMS!E24)</f>
        <v>0</v>
      </c>
      <c r="F37" s="390">
        <f>SUM(CMS!F24)</f>
        <v>0</v>
      </c>
      <c r="G37" s="390">
        <f>SUM(CMS!G24)</f>
        <v>0</v>
      </c>
      <c r="H37" s="390">
        <f>SUM(CMS!H24)</f>
        <v>0</v>
      </c>
      <c r="I37" s="390">
        <f>SUM(CMS!I24)</f>
        <v>0</v>
      </c>
      <c r="J37" s="390">
        <f>SUM(CMS!J24)</f>
        <v>0</v>
      </c>
      <c r="K37" s="390">
        <f>SUM(CMS!K24)</f>
        <v>0</v>
      </c>
      <c r="L37" s="390">
        <f>SUM(CMS!L24)</f>
        <v>0</v>
      </c>
      <c r="M37" s="390">
        <f>SUM(CMS!M24)</f>
        <v>0</v>
      </c>
      <c r="N37" s="390">
        <f>SUM(CMS!N24)</f>
        <v>0</v>
      </c>
      <c r="O37" s="395">
        <f t="shared" si="0"/>
        <v>0</v>
      </c>
      <c r="P37" s="396">
        <v>0</v>
      </c>
      <c r="Q37" s="383">
        <f t="shared" si="1"/>
        <v>0</v>
      </c>
    </row>
    <row r="38" spans="1:18" s="394" customFormat="1" x14ac:dyDescent="0.25">
      <c r="A38" s="394">
        <v>23</v>
      </c>
      <c r="B38" s="392" t="s">
        <v>441</v>
      </c>
      <c r="C38" s="390">
        <f>SUM(CMS!C25)</f>
        <v>0</v>
      </c>
      <c r="D38" s="390">
        <f>SUM(CMS!D25)</f>
        <v>0</v>
      </c>
      <c r="E38" s="390">
        <f>SUM(CMS!E25)</f>
        <v>0</v>
      </c>
      <c r="F38" s="390">
        <f>SUM(CMS!F25)</f>
        <v>0</v>
      </c>
      <c r="G38" s="390">
        <f>SUM(CMS!G25)</f>
        <v>0</v>
      </c>
      <c r="H38" s="390">
        <f>SUM(CMS!H25)</f>
        <v>0</v>
      </c>
      <c r="I38" s="390">
        <f>SUM(CMS!I25)</f>
        <v>0</v>
      </c>
      <c r="J38" s="390">
        <f>SUM(CMS!J25)</f>
        <v>0</v>
      </c>
      <c r="K38" s="390">
        <f>SUM(CMS!K25)</f>
        <v>0</v>
      </c>
      <c r="L38" s="390">
        <f>SUM(CMS!L25)</f>
        <v>0</v>
      </c>
      <c r="M38" s="390">
        <f>SUM(CMS!M25)</f>
        <v>0</v>
      </c>
      <c r="N38" s="390">
        <f>SUM(CMS!N25)</f>
        <v>0</v>
      </c>
      <c r="O38" s="395">
        <f t="shared" si="0"/>
        <v>0</v>
      </c>
      <c r="P38" s="396">
        <v>575</v>
      </c>
      <c r="Q38" s="383">
        <f t="shared" si="1"/>
        <v>-575</v>
      </c>
    </row>
    <row r="39" spans="1:18" s="394" customFormat="1" x14ac:dyDescent="0.25">
      <c r="A39" s="394">
        <v>24</v>
      </c>
      <c r="B39" s="392" t="s">
        <v>436</v>
      </c>
      <c r="C39" s="390">
        <f>SUM(CMS!C26)</f>
        <v>0</v>
      </c>
      <c r="D39" s="390">
        <f>SUM(CMS!D26)</f>
        <v>0</v>
      </c>
      <c r="E39" s="390">
        <f>SUM(CMS!E26)</f>
        <v>0</v>
      </c>
      <c r="F39" s="390">
        <f>SUM(CMS!F26)</f>
        <v>0</v>
      </c>
      <c r="G39" s="390">
        <f>SUM(CMS!G26)</f>
        <v>0</v>
      </c>
      <c r="H39" s="390">
        <f>SUM(CMS!H26)</f>
        <v>0</v>
      </c>
      <c r="I39" s="390">
        <f>SUM(CMS!I26)</f>
        <v>0</v>
      </c>
      <c r="J39" s="390">
        <f>SUM(CMS!J26)</f>
        <v>0</v>
      </c>
      <c r="K39" s="390">
        <f>SUM(CMS!K26)</f>
        <v>0</v>
      </c>
      <c r="L39" s="390">
        <f>SUM(CMS!L26)</f>
        <v>0</v>
      </c>
      <c r="M39" s="390">
        <f>SUM(CMS!M26)</f>
        <v>0</v>
      </c>
      <c r="N39" s="390">
        <f>SUM(CMS!N26)</f>
        <v>100000</v>
      </c>
      <c r="O39" s="395">
        <f t="shared" si="0"/>
        <v>100000</v>
      </c>
      <c r="P39" s="396">
        <v>0</v>
      </c>
      <c r="Q39" s="383">
        <f t="shared" si="1"/>
        <v>100000</v>
      </c>
    </row>
    <row r="40" spans="1:18" s="394" customFormat="1" x14ac:dyDescent="0.25">
      <c r="A40" s="394">
        <v>25</v>
      </c>
      <c r="B40" s="392" t="s">
        <v>437</v>
      </c>
      <c r="C40" s="390">
        <f>SUM(Fundraising!C24)</f>
        <v>0</v>
      </c>
      <c r="D40" s="390">
        <f>SUM(Fundraising!D24)</f>
        <v>0</v>
      </c>
      <c r="E40" s="390">
        <f>SUM(Fundraising!E24)</f>
        <v>0</v>
      </c>
      <c r="F40" s="390">
        <f>SUM(Fundraising!F24)</f>
        <v>0</v>
      </c>
      <c r="G40" s="390">
        <f>SUM(Fundraising!G24)</f>
        <v>0</v>
      </c>
      <c r="H40" s="390">
        <f>SUM(Fundraising!H24)</f>
        <v>0</v>
      </c>
      <c r="I40" s="390">
        <f>SUM(Fundraising!I24)</f>
        <v>0</v>
      </c>
      <c r="J40" s="390">
        <f>SUM(Fundraising!J24)</f>
        <v>0</v>
      </c>
      <c r="K40" s="390">
        <f>SUM(Fundraising!K24)</f>
        <v>0</v>
      </c>
      <c r="L40" s="390">
        <f>SUM(Fundraising!L24)</f>
        <v>0</v>
      </c>
      <c r="M40" s="390">
        <f>SUM(Fundraising!M24)</f>
        <v>0</v>
      </c>
      <c r="N40" s="390">
        <f>SUM(Fundraising!N24)</f>
        <v>40000</v>
      </c>
      <c r="O40" s="395">
        <f t="shared" si="0"/>
        <v>40000</v>
      </c>
      <c r="P40" s="396">
        <v>40000</v>
      </c>
      <c r="Q40" s="383">
        <f t="shared" si="1"/>
        <v>0</v>
      </c>
    </row>
    <row r="41" spans="1:18" s="394" customFormat="1" x14ac:dyDescent="0.25">
      <c r="A41" s="394">
        <v>26</v>
      </c>
      <c r="B41" s="392" t="s">
        <v>568</v>
      </c>
      <c r="C41" s="390">
        <f>SUM(Fundraising!C25)</f>
        <v>0</v>
      </c>
      <c r="D41" s="390">
        <f>SUM(Fundraising!D25)</f>
        <v>0</v>
      </c>
      <c r="E41" s="390">
        <f>SUM(Fundraising!E25)</f>
        <v>0</v>
      </c>
      <c r="F41" s="390">
        <f>SUM(Fundraising!F25)</f>
        <v>0</v>
      </c>
      <c r="G41" s="390">
        <f>SUM(Fundraising!G25)</f>
        <v>0</v>
      </c>
      <c r="H41" s="390">
        <f>SUM(Fundraising!H25)</f>
        <v>0</v>
      </c>
      <c r="I41" s="390">
        <f>SUM(Fundraising!I25)</f>
        <v>0</v>
      </c>
      <c r="J41" s="390">
        <f>SUM(Fundraising!J25)</f>
        <v>0</v>
      </c>
      <c r="K41" s="390">
        <f>SUM(Fundraising!K25)</f>
        <v>0</v>
      </c>
      <c r="L41" s="390">
        <f>SUM(Fundraising!L25)</f>
        <v>0</v>
      </c>
      <c r="M41" s="390">
        <f>SUM(Fundraising!M25)</f>
        <v>0</v>
      </c>
      <c r="N41" s="390">
        <f>SUM(Fundraising!N25)</f>
        <v>2000</v>
      </c>
      <c r="O41" s="395">
        <f t="shared" si="0"/>
        <v>2000</v>
      </c>
      <c r="P41" s="396">
        <v>2000</v>
      </c>
      <c r="Q41" s="383">
        <f t="shared" si="1"/>
        <v>0</v>
      </c>
    </row>
    <row r="42" spans="1:18" s="394" customFormat="1" x14ac:dyDescent="0.25">
      <c r="A42" s="394">
        <v>27</v>
      </c>
      <c r="B42" s="392" t="s">
        <v>438</v>
      </c>
      <c r="C42" s="390">
        <f>SUM(Fundraising!C26)</f>
        <v>0</v>
      </c>
      <c r="D42" s="390">
        <f>SUM(Fundraising!D26)</f>
        <v>0</v>
      </c>
      <c r="E42" s="390">
        <f>SUM(Fundraising!E26)</f>
        <v>0</v>
      </c>
      <c r="F42" s="390">
        <f>SUM(Fundraising!F26)</f>
        <v>0</v>
      </c>
      <c r="G42" s="390">
        <f>SUM(Fundraising!G26)</f>
        <v>0</v>
      </c>
      <c r="H42" s="390">
        <f>SUM(Fundraising!H26)</f>
        <v>0</v>
      </c>
      <c r="I42" s="390">
        <f>SUM(Fundraising!I26)</f>
        <v>0</v>
      </c>
      <c r="J42" s="390">
        <f>SUM(Fundraising!J26)</f>
        <v>0</v>
      </c>
      <c r="K42" s="390">
        <f>SUM(Fundraising!K26)</f>
        <v>0</v>
      </c>
      <c r="L42" s="390">
        <f>SUM(Fundraising!L26)</f>
        <v>0</v>
      </c>
      <c r="M42" s="390">
        <f>SUM(Fundraising!M26)</f>
        <v>0</v>
      </c>
      <c r="N42" s="390">
        <f>SUM(Fundraising!N26)</f>
        <v>4000</v>
      </c>
      <c r="O42" s="395">
        <f t="shared" si="0"/>
        <v>4000</v>
      </c>
      <c r="P42" s="396">
        <v>4000</v>
      </c>
      <c r="Q42" s="383">
        <f t="shared" si="1"/>
        <v>0</v>
      </c>
    </row>
    <row r="43" spans="1:18" s="394" customFormat="1" x14ac:dyDescent="0.25">
      <c r="B43" s="392" t="s">
        <v>578</v>
      </c>
      <c r="C43" s="390">
        <f>SUM(CMS!C27)</f>
        <v>0</v>
      </c>
      <c r="D43" s="390">
        <f>SUM(CMS!D27)</f>
        <v>0</v>
      </c>
      <c r="E43" s="390">
        <f>SUM(CMS!E27)</f>
        <v>0</v>
      </c>
      <c r="F43" s="390">
        <f>SUM(CMS!F27)</f>
        <v>0</v>
      </c>
      <c r="G43" s="390">
        <f>SUM(CMS!G27)</f>
        <v>0</v>
      </c>
      <c r="H43" s="390">
        <f>SUM(CMS!H27)</f>
        <v>0</v>
      </c>
      <c r="I43" s="390">
        <f>SUM(CMS!I27)</f>
        <v>0</v>
      </c>
      <c r="J43" s="390">
        <f>SUM(CMS!J27)</f>
        <v>0</v>
      </c>
      <c r="K43" s="390">
        <f>SUM(CMS!K27)</f>
        <v>0</v>
      </c>
      <c r="L43" s="390">
        <f>SUM(CMS!L27)</f>
        <v>0</v>
      </c>
      <c r="M43" s="390">
        <f>SUM(CMS!M27)</f>
        <v>0</v>
      </c>
      <c r="N43" s="390">
        <f>SUM(CMS!N27)</f>
        <v>20000</v>
      </c>
      <c r="O43" s="395">
        <f t="shared" si="0"/>
        <v>20000</v>
      </c>
      <c r="P43" s="396"/>
      <c r="Q43" s="383">
        <f t="shared" si="1"/>
        <v>20000</v>
      </c>
    </row>
    <row r="44" spans="1:18" s="394" customFormat="1" x14ac:dyDescent="0.25">
      <c r="B44" s="392" t="s">
        <v>690</v>
      </c>
      <c r="C44" s="390">
        <f>SUM(CMS!C28)</f>
        <v>0</v>
      </c>
      <c r="D44" s="390">
        <f>SUM(CMS!D28)</f>
        <v>0</v>
      </c>
      <c r="E44" s="390">
        <f>SUM(CMS!E28)</f>
        <v>0</v>
      </c>
      <c r="F44" s="390">
        <f>SUM(CMS!F28)</f>
        <v>0</v>
      </c>
      <c r="G44" s="390">
        <f>SUM(CMS!G28)</f>
        <v>0</v>
      </c>
      <c r="H44" s="390">
        <f>SUM(CMS!H28)</f>
        <v>0</v>
      </c>
      <c r="I44" s="390">
        <f>SUM(CMS!I28)</f>
        <v>25000</v>
      </c>
      <c r="J44" s="390">
        <f>SUM(CMS!J28)</f>
        <v>0</v>
      </c>
      <c r="K44" s="390">
        <f>SUM(CMS!K28)</f>
        <v>0</v>
      </c>
      <c r="L44" s="390">
        <f>SUM(CMS!L28)</f>
        <v>0</v>
      </c>
      <c r="M44" s="390">
        <f>SUM(CMS!M28)</f>
        <v>0</v>
      </c>
      <c r="N44" s="390">
        <f>SUM(CMS!N28)</f>
        <v>0</v>
      </c>
      <c r="O44" s="395">
        <f t="shared" si="0"/>
        <v>25000</v>
      </c>
      <c r="P44" s="396"/>
      <c r="Q44" s="383">
        <f t="shared" si="1"/>
        <v>25000</v>
      </c>
    </row>
    <row r="45" spans="1:18" s="394" customFormat="1" x14ac:dyDescent="0.25">
      <c r="B45" s="392" t="s">
        <v>454</v>
      </c>
      <c r="C45" s="390">
        <f>SUM('WH - SOP'!C23)</f>
        <v>12000</v>
      </c>
      <c r="D45" s="390">
        <f>SUM('WH - SOP'!D23)</f>
        <v>0</v>
      </c>
      <c r="E45" s="390">
        <f>SUM('WH - SOP'!E23)</f>
        <v>0</v>
      </c>
      <c r="F45" s="390">
        <f>SUM('WH - SOP'!F23)</f>
        <v>0</v>
      </c>
      <c r="G45" s="390">
        <f>SUM('WH - SOP'!G23)</f>
        <v>0</v>
      </c>
      <c r="H45" s="390">
        <f>SUM('WH - SOP'!H23)</f>
        <v>0</v>
      </c>
      <c r="I45" s="390">
        <f>SUM('WH - SOP'!I23)</f>
        <v>0</v>
      </c>
      <c r="J45" s="390">
        <f>SUM('WH - SOP'!J23)</f>
        <v>0</v>
      </c>
      <c r="K45" s="390">
        <f>SUM('WH - SOP'!K23)</f>
        <v>0</v>
      </c>
      <c r="L45" s="390">
        <f>SUM('WH - SOP'!L23)</f>
        <v>0</v>
      </c>
      <c r="M45" s="390">
        <f>SUM('WH - SOP'!M23)</f>
        <v>0</v>
      </c>
      <c r="N45" s="390">
        <f>SUM('WH - SOP'!N23)</f>
        <v>0</v>
      </c>
      <c r="O45" s="395">
        <f t="shared" ref="O45:O53" si="5">SUM(C45:N45)</f>
        <v>12000</v>
      </c>
      <c r="P45" s="396">
        <v>12000</v>
      </c>
      <c r="Q45" s="383">
        <f t="shared" si="1"/>
        <v>0</v>
      </c>
    </row>
    <row r="46" spans="1:18" s="394" customFormat="1" x14ac:dyDescent="0.25">
      <c r="B46" s="392" t="s">
        <v>455</v>
      </c>
      <c r="C46" s="390">
        <f>SUM('WH - SOP'!C24)</f>
        <v>0</v>
      </c>
      <c r="D46" s="390">
        <f>SUM('WH - SOP'!D24)</f>
        <v>0</v>
      </c>
      <c r="E46" s="390">
        <f>SUM('WH - SOP'!E24)</f>
        <v>0</v>
      </c>
      <c r="F46" s="390">
        <f>SUM('WH - SOP'!F24)</f>
        <v>0</v>
      </c>
      <c r="G46" s="390">
        <f>SUM('WH - SOP'!G24)</f>
        <v>0</v>
      </c>
      <c r="H46" s="390">
        <f>SUM('WH - SOP'!H24)</f>
        <v>0</v>
      </c>
      <c r="I46" s="390">
        <f>SUM('WH - SOP'!I24)</f>
        <v>0</v>
      </c>
      <c r="J46" s="390">
        <f>SUM('WH - SOP'!J24)</f>
        <v>0</v>
      </c>
      <c r="K46" s="390">
        <f>SUM('WH - SOP'!K24)</f>
        <v>0</v>
      </c>
      <c r="L46" s="390">
        <f>SUM('WH - SOP'!L24)</f>
        <v>0</v>
      </c>
      <c r="M46" s="390">
        <f>SUM('WH - SOP'!M24)</f>
        <v>0</v>
      </c>
      <c r="N46" s="390">
        <f>SUM('WH - SOP'!N24)</f>
        <v>0</v>
      </c>
      <c r="O46" s="395">
        <f t="shared" si="5"/>
        <v>0</v>
      </c>
      <c r="P46" s="396">
        <v>14905.999999999998</v>
      </c>
      <c r="Q46" s="383">
        <f t="shared" si="1"/>
        <v>-14905.999999999998</v>
      </c>
    </row>
    <row r="47" spans="1:18" s="394" customFormat="1" x14ac:dyDescent="0.25">
      <c r="B47" s="392" t="s">
        <v>424</v>
      </c>
      <c r="C47" s="390">
        <f>SUM('WH - PAD'!C25)</f>
        <v>10000</v>
      </c>
      <c r="D47" s="390">
        <f>SUM('WH - PAD'!D25)</f>
        <v>0</v>
      </c>
      <c r="E47" s="390">
        <f>SUM('WH - PAD'!E25)</f>
        <v>0</v>
      </c>
      <c r="F47" s="390">
        <f>SUM('WH - PAD'!F25)</f>
        <v>0</v>
      </c>
      <c r="G47" s="390">
        <f>SUM('WH - PAD'!G25)</f>
        <v>0</v>
      </c>
      <c r="H47" s="390">
        <f>SUM('WH - PAD'!H25)</f>
        <v>0</v>
      </c>
      <c r="I47" s="390">
        <f>SUM('WH - PAD'!I25)</f>
        <v>0</v>
      </c>
      <c r="J47" s="390">
        <f>SUM('WH - PAD'!J25)</f>
        <v>0</v>
      </c>
      <c r="K47" s="390">
        <f>SUM('WH - PAD'!K25)</f>
        <v>0</v>
      </c>
      <c r="L47" s="390">
        <f>SUM('WH - PAD'!L25)</f>
        <v>0</v>
      </c>
      <c r="M47" s="390">
        <f>SUM('WH - PAD'!M25)</f>
        <v>0</v>
      </c>
      <c r="N47" s="390">
        <f>SUM('WH - PAD'!N25)</f>
        <v>0</v>
      </c>
      <c r="O47" s="395">
        <f t="shared" si="5"/>
        <v>10000</v>
      </c>
      <c r="P47" s="396">
        <v>0</v>
      </c>
      <c r="Q47" s="383">
        <f t="shared" ref="Q47:Q52" si="6">SUM(O47-P47)</f>
        <v>10000</v>
      </c>
    </row>
    <row r="48" spans="1:18" s="394" customFormat="1" x14ac:dyDescent="0.25">
      <c r="B48" s="392" t="s">
        <v>425</v>
      </c>
      <c r="C48" s="390">
        <f>SUM('WH - PAD'!C26)</f>
        <v>1125</v>
      </c>
      <c r="D48" s="390">
        <f>SUM('WH - PAD'!D26)</f>
        <v>881</v>
      </c>
      <c r="E48" s="390">
        <f>SUM('WH - PAD'!E26)</f>
        <v>871</v>
      </c>
      <c r="F48" s="390">
        <f>SUM('WH - PAD'!F26)</f>
        <v>123</v>
      </c>
      <c r="G48" s="390">
        <f>SUM('WH - PAD'!G26)</f>
        <v>0</v>
      </c>
      <c r="H48" s="390">
        <f>SUM('WH - PAD'!H26)</f>
        <v>0</v>
      </c>
      <c r="I48" s="390">
        <f>SUM('WH - PAD'!I26)</f>
        <v>0</v>
      </c>
      <c r="J48" s="390">
        <f>SUM('WH - PAD'!J26)</f>
        <v>0</v>
      </c>
      <c r="K48" s="390">
        <f>SUM('WH - PAD'!K26)</f>
        <v>0</v>
      </c>
      <c r="L48" s="390">
        <f>SUM('WH - PAD'!L26)</f>
        <v>0</v>
      </c>
      <c r="M48" s="390">
        <f>SUM('WH - PAD'!M26)</f>
        <v>0</v>
      </c>
      <c r="N48" s="390">
        <f>SUM('WH - PAD'!N26)</f>
        <v>0</v>
      </c>
      <c r="O48" s="395">
        <f t="shared" si="5"/>
        <v>3000</v>
      </c>
      <c r="P48" s="396">
        <v>3000</v>
      </c>
      <c r="Q48" s="383">
        <f t="shared" si="6"/>
        <v>0</v>
      </c>
    </row>
    <row r="49" spans="1:17" s="394" customFormat="1" x14ac:dyDescent="0.25">
      <c r="B49" s="392" t="s">
        <v>426</v>
      </c>
      <c r="C49" s="390">
        <f>SUM('WH - PAD'!C27)</f>
        <v>1764</v>
      </c>
      <c r="D49" s="390">
        <f>SUM('WH - PAD'!D27)</f>
        <v>1764</v>
      </c>
      <c r="E49" s="390">
        <f>SUM('WH - PAD'!E27)</f>
        <v>1764</v>
      </c>
      <c r="F49" s="390">
        <f>SUM('WH - PAD'!F27)</f>
        <v>1764</v>
      </c>
      <c r="G49" s="390">
        <f>SUM('WH - PAD'!G27)</f>
        <v>1764</v>
      </c>
      <c r="H49" s="390">
        <f>SUM('WH - PAD'!H27)</f>
        <v>1764</v>
      </c>
      <c r="I49" s="390">
        <f>SUM('WH - PAD'!I27)</f>
        <v>1764</v>
      </c>
      <c r="J49" s="390">
        <f>SUM('WH - PAD'!J27)</f>
        <v>1764</v>
      </c>
      <c r="K49" s="390">
        <f>SUM('WH - PAD'!K27)</f>
        <v>1764</v>
      </c>
      <c r="L49" s="390">
        <f>SUM('WH - PAD'!L27)</f>
        <v>1764</v>
      </c>
      <c r="M49" s="390">
        <f>SUM('WH - PAD'!M27)</f>
        <v>1764</v>
      </c>
      <c r="N49" s="390">
        <f>SUM('WH - PAD'!N27)</f>
        <v>1764</v>
      </c>
      <c r="O49" s="395">
        <f t="shared" si="5"/>
        <v>21168</v>
      </c>
      <c r="P49" s="396">
        <v>21168</v>
      </c>
      <c r="Q49" s="383">
        <f t="shared" si="6"/>
        <v>0</v>
      </c>
    </row>
    <row r="50" spans="1:17" s="394" customFormat="1" x14ac:dyDescent="0.25">
      <c r="B50" s="392" t="s">
        <v>427</v>
      </c>
      <c r="C50" s="390">
        <f>SUM('WH - PAD'!C23)</f>
        <v>0</v>
      </c>
      <c r="D50" s="390">
        <f>SUM('WH - PAD'!D23)</f>
        <v>16000</v>
      </c>
      <c r="E50" s="390">
        <f>SUM('WH - PAD'!E23)</f>
        <v>0</v>
      </c>
      <c r="F50" s="390">
        <f>SUM('WH - PAD'!F23)</f>
        <v>0</v>
      </c>
      <c r="G50" s="390">
        <f>SUM('WH - PAD'!G23)</f>
        <v>0</v>
      </c>
      <c r="H50" s="390">
        <f>SUM('WH - PAD'!H23)</f>
        <v>0</v>
      </c>
      <c r="I50" s="390">
        <f>SUM('WH - PAD'!I23)</f>
        <v>0</v>
      </c>
      <c r="J50" s="390">
        <f>SUM('WH - PAD'!J23)</f>
        <v>0</v>
      </c>
      <c r="K50" s="390">
        <f>SUM('WH - PAD'!K23)</f>
        <v>0</v>
      </c>
      <c r="L50" s="390">
        <f>SUM('WH - PAD'!L23)</f>
        <v>0</v>
      </c>
      <c r="M50" s="390">
        <f>SUM('WH - PAD'!M23)</f>
        <v>0</v>
      </c>
      <c r="N50" s="390">
        <f>SUM('WH - PAD'!N23)</f>
        <v>0</v>
      </c>
      <c r="O50" s="395">
        <f t="shared" si="5"/>
        <v>16000</v>
      </c>
      <c r="P50" s="396">
        <v>15999.999999999998</v>
      </c>
      <c r="Q50" s="383">
        <f t="shared" si="6"/>
        <v>1.8189894035458565E-12</v>
      </c>
    </row>
    <row r="51" spans="1:17" s="394" customFormat="1" x14ac:dyDescent="0.25">
      <c r="B51" s="392" t="s">
        <v>685</v>
      </c>
      <c r="C51" s="390">
        <f>SUM('WH - PAD'!C24)</f>
        <v>5000</v>
      </c>
      <c r="D51" s="390">
        <f>SUM('WH - PAD'!D24)</f>
        <v>0</v>
      </c>
      <c r="E51" s="390">
        <f>SUM('WH - PAD'!E24)</f>
        <v>0</v>
      </c>
      <c r="F51" s="390">
        <f>SUM('WH - PAD'!F24)</f>
        <v>0</v>
      </c>
      <c r="G51" s="390">
        <f>SUM('WH - PAD'!G24)</f>
        <v>0</v>
      </c>
      <c r="H51" s="390">
        <f>SUM('WH - PAD'!H24)</f>
        <v>0</v>
      </c>
      <c r="I51" s="390">
        <f>SUM('WH - PAD'!I24)</f>
        <v>0</v>
      </c>
      <c r="J51" s="390">
        <f>SUM('WH - PAD'!J24)</f>
        <v>0</v>
      </c>
      <c r="K51" s="390">
        <f>SUM('WH - PAD'!K24)</f>
        <v>0</v>
      </c>
      <c r="L51" s="390">
        <f>SUM('WH - PAD'!L24)</f>
        <v>0</v>
      </c>
      <c r="M51" s="390">
        <f>SUM('WH - PAD'!M24)</f>
        <v>0</v>
      </c>
      <c r="N51" s="390">
        <f>SUM('WH - PAD'!N24)</f>
        <v>0</v>
      </c>
      <c r="O51" s="395">
        <f t="shared" si="5"/>
        <v>5000</v>
      </c>
      <c r="P51" s="396"/>
      <c r="Q51" s="383">
        <f t="shared" si="6"/>
        <v>5000</v>
      </c>
    </row>
    <row r="52" spans="1:17" s="394" customFormat="1" x14ac:dyDescent="0.25">
      <c r="B52" s="392" t="s">
        <v>687</v>
      </c>
      <c r="C52" s="390">
        <f>SUM('WH - PAD'!C28)</f>
        <v>30000</v>
      </c>
      <c r="D52" s="390">
        <f>SUM('WH - PAD'!D28)</f>
        <v>0</v>
      </c>
      <c r="E52" s="390">
        <f>SUM('WH - PAD'!E28)</f>
        <v>0</v>
      </c>
      <c r="F52" s="390">
        <f>SUM('WH - PAD'!F28)</f>
        <v>0</v>
      </c>
      <c r="G52" s="390">
        <f>SUM('WH - PAD'!G28)</f>
        <v>0</v>
      </c>
      <c r="H52" s="390">
        <f>SUM('WH - PAD'!H28)</f>
        <v>0</v>
      </c>
      <c r="I52" s="390">
        <f>SUM('WH - PAD'!I28)</f>
        <v>0</v>
      </c>
      <c r="J52" s="390">
        <f>SUM('WH - PAD'!J28)</f>
        <v>0</v>
      </c>
      <c r="K52" s="390">
        <f>SUM('WH - PAD'!K28)</f>
        <v>0</v>
      </c>
      <c r="L52" s="390">
        <f>SUM('WH - PAD'!L28)</f>
        <v>0</v>
      </c>
      <c r="M52" s="390">
        <f>SUM('WH - PAD'!M28)</f>
        <v>0</v>
      </c>
      <c r="N52" s="390">
        <f>SUM('WH - PAD'!N28)</f>
        <v>0</v>
      </c>
      <c r="O52" s="395">
        <f t="shared" si="5"/>
        <v>30000</v>
      </c>
      <c r="P52" s="396"/>
      <c r="Q52" s="383">
        <f t="shared" si="6"/>
        <v>30000</v>
      </c>
    </row>
    <row r="53" spans="1:17" s="394" customFormat="1" x14ac:dyDescent="0.25">
      <c r="A53" s="394">
        <v>28</v>
      </c>
      <c r="B53" s="392" t="s">
        <v>573</v>
      </c>
      <c r="C53" s="390">
        <f>SUM('WH-VOC'!C27:C30)</f>
        <v>0</v>
      </c>
      <c r="D53" s="390">
        <f>SUM('WH-VOC'!D27:D30)</f>
        <v>0</v>
      </c>
      <c r="E53" s="390">
        <f>SUM('WH-VOC'!E27:E30)</f>
        <v>1666.6666666666667</v>
      </c>
      <c r="F53" s="390">
        <f>SUM('WH-VOC'!F27:F30)</f>
        <v>1666.6666666666667</v>
      </c>
      <c r="G53" s="390">
        <f>SUM('WH-VOC'!G27:G30)</f>
        <v>1666.6666666666667</v>
      </c>
      <c r="H53" s="390">
        <f>SUM('WH-VOC'!H27:H30)</f>
        <v>1666.6666666666667</v>
      </c>
      <c r="I53" s="390">
        <f>SUM('WH-VOC'!I27:I30)</f>
        <v>1666.6666666666667</v>
      </c>
      <c r="J53" s="390">
        <f>SUM('WH-VOC'!J27:J30)</f>
        <v>1666.6666666666667</v>
      </c>
      <c r="K53" s="390">
        <f>SUM('WH-VOC'!K27:K30)</f>
        <v>0</v>
      </c>
      <c r="L53" s="390">
        <f>SUM('WH-VOC'!L27:L30)</f>
        <v>0</v>
      </c>
      <c r="M53" s="390">
        <f>SUM('WH-VOC'!M27:M30)</f>
        <v>0</v>
      </c>
      <c r="N53" s="390">
        <f>SUM('WH-VOC'!N27:N30)</f>
        <v>0</v>
      </c>
      <c r="O53" s="395">
        <f t="shared" si="5"/>
        <v>10000</v>
      </c>
      <c r="P53" s="396">
        <v>11900.000000000002</v>
      </c>
      <c r="Q53" s="383">
        <f t="shared" ref="Q53:Q86" si="7">SUM(O53-P53)</f>
        <v>-1900.0000000000018</v>
      </c>
    </row>
    <row r="54" spans="1:17" s="394" customFormat="1" x14ac:dyDescent="0.25">
      <c r="A54" s="394">
        <v>29</v>
      </c>
      <c r="B54" s="392" t="s">
        <v>416</v>
      </c>
      <c r="C54" s="390">
        <f>SUM('WH-VOC'!C25)</f>
        <v>0</v>
      </c>
      <c r="D54" s="390">
        <f>SUM('WH-VOC'!D25)</f>
        <v>0</v>
      </c>
      <c r="E54" s="390">
        <f>SUM('WH-VOC'!E25)</f>
        <v>0</v>
      </c>
      <c r="F54" s="390">
        <f>SUM('WH-VOC'!F25)</f>
        <v>0</v>
      </c>
      <c r="G54" s="390">
        <f>SUM('WH-VOC'!G25)</f>
        <v>0</v>
      </c>
      <c r="H54" s="390">
        <f>SUM('WH-VOC'!H25)</f>
        <v>0</v>
      </c>
      <c r="I54" s="390">
        <f>SUM('WH-VOC'!I25)</f>
        <v>0</v>
      </c>
      <c r="J54" s="390">
        <f>SUM('WH-VOC'!J25)</f>
        <v>0</v>
      </c>
      <c r="K54" s="390">
        <f>SUM('WH-VOC'!K25)</f>
        <v>0</v>
      </c>
      <c r="L54" s="390">
        <f>SUM('WH-VOC'!L25)</f>
        <v>0</v>
      </c>
      <c r="M54" s="390">
        <f>SUM('WH-VOC'!M25)</f>
        <v>0</v>
      </c>
      <c r="N54" s="390">
        <f>SUM('WH-VOC'!N25)</f>
        <v>0</v>
      </c>
      <c r="O54" s="395">
        <f t="shared" si="0"/>
        <v>0</v>
      </c>
      <c r="P54" s="396">
        <v>0</v>
      </c>
      <c r="Q54" s="383">
        <f t="shared" si="7"/>
        <v>0</v>
      </c>
    </row>
    <row r="55" spans="1:17" s="394" customFormat="1" x14ac:dyDescent="0.25">
      <c r="A55" s="394">
        <v>30</v>
      </c>
      <c r="B55" s="392" t="s">
        <v>418</v>
      </c>
      <c r="C55" s="390">
        <f>SUM('WH-VOC'!C23)</f>
        <v>0</v>
      </c>
      <c r="D55" s="390">
        <f>SUM('WH-VOC'!D23)</f>
        <v>0</v>
      </c>
      <c r="E55" s="390">
        <f>SUM('WH-VOC'!E23)</f>
        <v>0</v>
      </c>
      <c r="F55" s="390">
        <f>SUM('WH-VOC'!F23)</f>
        <v>0</v>
      </c>
      <c r="G55" s="390">
        <f>SUM('WH-VOC'!G23)</f>
        <v>0</v>
      </c>
      <c r="H55" s="390">
        <f>SUM('WH-VOC'!H23)</f>
        <v>0</v>
      </c>
      <c r="I55" s="390">
        <f>SUM('WH-VOC'!I23)</f>
        <v>0</v>
      </c>
      <c r="J55" s="390">
        <f>SUM('WH-VOC'!J23)</f>
        <v>0</v>
      </c>
      <c r="K55" s="390">
        <f>SUM('WH-VOC'!K23)</f>
        <v>0</v>
      </c>
      <c r="L55" s="390">
        <f>SUM('WH-VOC'!L23)</f>
        <v>0</v>
      </c>
      <c r="M55" s="390">
        <f>SUM('WH-VOC'!M23)</f>
        <v>0</v>
      </c>
      <c r="N55" s="390">
        <f>SUM('WH-VOC'!N23)</f>
        <v>0</v>
      </c>
      <c r="O55" s="395">
        <f t="shared" si="0"/>
        <v>0</v>
      </c>
      <c r="P55" s="396">
        <v>5000</v>
      </c>
      <c r="Q55" s="383">
        <f t="shared" si="7"/>
        <v>-5000</v>
      </c>
    </row>
    <row r="56" spans="1:17" s="394" customFormat="1" x14ac:dyDescent="0.25">
      <c r="A56" s="394">
        <v>31</v>
      </c>
      <c r="B56" s="392" t="s">
        <v>417</v>
      </c>
      <c r="C56" s="390">
        <f>SUM('WH-VOC'!C24)</f>
        <v>0</v>
      </c>
      <c r="D56" s="390">
        <f>SUM('WH-VOC'!D24)</f>
        <v>0</v>
      </c>
      <c r="E56" s="390">
        <f>SUM('WH-VOC'!E24)</f>
        <v>0</v>
      </c>
      <c r="F56" s="390">
        <f>SUM('WH-VOC'!F24)</f>
        <v>0</v>
      </c>
      <c r="G56" s="390">
        <f>SUM('WH-VOC'!G24)</f>
        <v>10000</v>
      </c>
      <c r="H56" s="390">
        <f>SUM('WH-VOC'!H24)</f>
        <v>0</v>
      </c>
      <c r="I56" s="390">
        <f>SUM('WH-VOC'!I24)</f>
        <v>0</v>
      </c>
      <c r="J56" s="390">
        <f>SUM('WH-VOC'!J24)</f>
        <v>0</v>
      </c>
      <c r="K56" s="390">
        <f>SUM('WH-VOC'!K24)</f>
        <v>0</v>
      </c>
      <c r="L56" s="390">
        <f>SUM('WH-VOC'!L24)</f>
        <v>0</v>
      </c>
      <c r="M56" s="390">
        <f>SUM('WH-VOC'!M24)</f>
        <v>0</v>
      </c>
      <c r="N56" s="390">
        <f>SUM('WH-VOC'!N24)</f>
        <v>0</v>
      </c>
      <c r="O56" s="395">
        <f t="shared" si="0"/>
        <v>10000</v>
      </c>
      <c r="P56" s="396">
        <v>10000</v>
      </c>
      <c r="Q56" s="383">
        <f t="shared" si="7"/>
        <v>0</v>
      </c>
    </row>
    <row r="57" spans="1:17" s="394" customFormat="1" x14ac:dyDescent="0.25">
      <c r="A57" s="394">
        <v>32</v>
      </c>
      <c r="B57" s="392" t="s">
        <v>419</v>
      </c>
      <c r="C57" s="390">
        <f>SUM('WH-VOC'!C37)</f>
        <v>0</v>
      </c>
      <c r="D57" s="390">
        <f>SUM('WH-VOC'!D37)</f>
        <v>0</v>
      </c>
      <c r="E57" s="390">
        <f>SUM('WH-VOC'!E37)</f>
        <v>0</v>
      </c>
      <c r="F57" s="390">
        <f>SUM('WH-VOC'!F37)</f>
        <v>0</v>
      </c>
      <c r="G57" s="390">
        <f>SUM('WH-VOC'!G37)</f>
        <v>0</v>
      </c>
      <c r="H57" s="390">
        <f>SUM('WH-VOC'!H37)</f>
        <v>0</v>
      </c>
      <c r="I57" s="390">
        <f>SUM('WH-VOC'!I37)</f>
        <v>2500</v>
      </c>
      <c r="J57" s="390">
        <f>SUM('WH-VOC'!J37)</f>
        <v>0</v>
      </c>
      <c r="K57" s="390">
        <f>SUM('WH-VOC'!K37)</f>
        <v>0</v>
      </c>
      <c r="L57" s="390">
        <f>SUM('WH-VOC'!L37)</f>
        <v>0</v>
      </c>
      <c r="M57" s="390">
        <f>SUM('WH-VOC'!M37)</f>
        <v>0</v>
      </c>
      <c r="N57" s="390">
        <f>SUM('WH-VOC'!N37)</f>
        <v>0</v>
      </c>
      <c r="O57" s="395">
        <f t="shared" si="0"/>
        <v>2500</v>
      </c>
      <c r="P57" s="396">
        <v>2000</v>
      </c>
      <c r="Q57" s="383">
        <f t="shared" si="7"/>
        <v>500</v>
      </c>
    </row>
    <row r="58" spans="1:17" s="394" customFormat="1" x14ac:dyDescent="0.25">
      <c r="A58" s="394">
        <v>33</v>
      </c>
      <c r="B58" s="392" t="s">
        <v>420</v>
      </c>
      <c r="C58" s="390">
        <f>SUM('WH - TL'!C23)</f>
        <v>0</v>
      </c>
      <c r="D58" s="390">
        <f>SUM('WH - TL'!D23)</f>
        <v>0</v>
      </c>
      <c r="E58" s="390">
        <f>SUM('WH - TL'!E23)</f>
        <v>0</v>
      </c>
      <c r="F58" s="390">
        <f>SUM('WH - TL'!F23)</f>
        <v>0</v>
      </c>
      <c r="G58" s="390">
        <f>SUM('WH - TL'!G23)</f>
        <v>0</v>
      </c>
      <c r="H58" s="390">
        <f>SUM('WH - TL'!H23)</f>
        <v>10000</v>
      </c>
      <c r="I58" s="390">
        <f>SUM('WH - TL'!I23)</f>
        <v>0</v>
      </c>
      <c r="J58" s="390">
        <f>SUM('WH - TL'!J23)</f>
        <v>0</v>
      </c>
      <c r="K58" s="390">
        <f>SUM('WH - TL'!K23)</f>
        <v>0</v>
      </c>
      <c r="L58" s="390">
        <f>SUM('WH - TL'!L23)</f>
        <v>0</v>
      </c>
      <c r="M58" s="390">
        <f>SUM('WH - TL'!M23)</f>
        <v>0</v>
      </c>
      <c r="N58" s="390">
        <f>SUM('WH - TL'!N23)</f>
        <v>0</v>
      </c>
      <c r="O58" s="395">
        <f t="shared" si="0"/>
        <v>10000</v>
      </c>
      <c r="P58" s="396">
        <v>10000</v>
      </c>
      <c r="Q58" s="383">
        <f t="shared" si="7"/>
        <v>0</v>
      </c>
    </row>
    <row r="59" spans="1:17" s="394" customFormat="1" x14ac:dyDescent="0.25">
      <c r="A59" s="394">
        <v>34</v>
      </c>
      <c r="B59" s="392" t="s">
        <v>458</v>
      </c>
      <c r="C59" s="390">
        <f>SUM('WH - TL'!C24)</f>
        <v>0</v>
      </c>
      <c r="D59" s="390">
        <f>SUM('WH - TL'!D24)</f>
        <v>0</v>
      </c>
      <c r="E59" s="390">
        <f>SUM('WH - TL'!E24)</f>
        <v>0</v>
      </c>
      <c r="F59" s="390">
        <f>SUM('WH - TL'!F24)</f>
        <v>0</v>
      </c>
      <c r="G59" s="390">
        <f>SUM('WH - TL'!G24)</f>
        <v>0</v>
      </c>
      <c r="H59" s="390">
        <f>SUM('WH - TL'!H24)</f>
        <v>20000</v>
      </c>
      <c r="I59" s="390">
        <f>SUM('WH - TL'!I24)</f>
        <v>0</v>
      </c>
      <c r="J59" s="390">
        <f>SUM('WH - TL'!J24)</f>
        <v>0</v>
      </c>
      <c r="K59" s="390">
        <f>SUM('WH - TL'!K24)</f>
        <v>0</v>
      </c>
      <c r="L59" s="390">
        <f>SUM('WH - TL'!L24)</f>
        <v>0</v>
      </c>
      <c r="M59" s="390">
        <f>SUM('WH - TL'!M24)</f>
        <v>0</v>
      </c>
      <c r="N59" s="390">
        <f>SUM('WH - TL'!N24)</f>
        <v>0</v>
      </c>
      <c r="O59" s="395">
        <f t="shared" si="0"/>
        <v>20000</v>
      </c>
      <c r="P59" s="396">
        <v>13333.333333333332</v>
      </c>
      <c r="Q59" s="383">
        <f t="shared" si="7"/>
        <v>6666.6666666666679</v>
      </c>
    </row>
    <row r="60" spans="1:17" s="394" customFormat="1" x14ac:dyDescent="0.25">
      <c r="A60" s="394">
        <v>35</v>
      </c>
      <c r="B60" s="392" t="s">
        <v>459</v>
      </c>
      <c r="C60" s="390">
        <f>SUM('WH - TL'!C25)</f>
        <v>0</v>
      </c>
      <c r="D60" s="390">
        <f>SUM('WH - TL'!D25)</f>
        <v>0</v>
      </c>
      <c r="E60" s="390">
        <f>SUM('WH - TL'!E25)</f>
        <v>0</v>
      </c>
      <c r="F60" s="390">
        <f>SUM('WH - TL'!F25)</f>
        <v>0</v>
      </c>
      <c r="G60" s="390">
        <f>SUM('WH - TL'!G25)</f>
        <v>0</v>
      </c>
      <c r="H60" s="390">
        <f>SUM('WH - TL'!H25)</f>
        <v>0</v>
      </c>
      <c r="I60" s="390">
        <f>SUM('WH - TL'!I25)</f>
        <v>0</v>
      </c>
      <c r="J60" s="390">
        <f>SUM('WH - TL'!J25)</f>
        <v>0</v>
      </c>
      <c r="K60" s="390">
        <f>SUM('WH - TL'!K25)</f>
        <v>0</v>
      </c>
      <c r="L60" s="390">
        <f>SUM('WH - TL'!L25)</f>
        <v>0</v>
      </c>
      <c r="M60" s="390">
        <f>SUM('WH - TL'!M25)</f>
        <v>0</v>
      </c>
      <c r="N60" s="390">
        <f>SUM('WH - TL'!N25)</f>
        <v>0</v>
      </c>
      <c r="O60" s="395">
        <f t="shared" si="0"/>
        <v>0</v>
      </c>
      <c r="P60" s="396">
        <v>0</v>
      </c>
      <c r="Q60" s="383">
        <f t="shared" si="7"/>
        <v>0</v>
      </c>
    </row>
    <row r="61" spans="1:17" s="394" customFormat="1" x14ac:dyDescent="0.25">
      <c r="A61" s="394">
        <v>36</v>
      </c>
      <c r="B61" s="392" t="s">
        <v>421</v>
      </c>
      <c r="C61" s="390">
        <f>SUM('WH - TL'!C26)</f>
        <v>3750</v>
      </c>
      <c r="D61" s="390">
        <f>SUM('WH - TL'!D26)</f>
        <v>3750</v>
      </c>
      <c r="E61" s="390">
        <f>SUM('WH - TL'!E26)</f>
        <v>3750</v>
      </c>
      <c r="F61" s="390">
        <f>SUM('WH - TL'!F26)</f>
        <v>3750</v>
      </c>
      <c r="G61" s="390">
        <f>SUM('WH - TL'!G26)</f>
        <v>3750</v>
      </c>
      <c r="H61" s="390">
        <f>SUM('WH - TL'!H26)</f>
        <v>3750</v>
      </c>
      <c r="I61" s="390">
        <f>SUM('WH - TL'!I26)</f>
        <v>3750</v>
      </c>
      <c r="J61" s="390">
        <f>SUM('WH - TL'!J26)</f>
        <v>3750</v>
      </c>
      <c r="K61" s="390">
        <f>SUM('WH - TL'!K26)</f>
        <v>3750</v>
      </c>
      <c r="L61" s="390">
        <f>SUM('WH - TL'!L26)</f>
        <v>3750</v>
      </c>
      <c r="M61" s="390">
        <f>SUM('WH - TL'!M26)</f>
        <v>3750</v>
      </c>
      <c r="N61" s="390">
        <f>SUM('WH - TL'!N26)</f>
        <v>3750</v>
      </c>
      <c r="O61" s="395">
        <f t="shared" si="0"/>
        <v>45000</v>
      </c>
      <c r="P61" s="396">
        <v>29640</v>
      </c>
      <c r="Q61" s="383">
        <f t="shared" si="7"/>
        <v>15360</v>
      </c>
    </row>
    <row r="62" spans="1:17" s="394" customFormat="1" x14ac:dyDescent="0.25">
      <c r="A62" s="394">
        <v>41</v>
      </c>
      <c r="B62" s="392" t="s">
        <v>444</v>
      </c>
      <c r="C62" s="390">
        <f>SUM(QYP!C25)</f>
        <v>0</v>
      </c>
      <c r="D62" s="390">
        <f>SUM(QYP!D25)</f>
        <v>0</v>
      </c>
      <c r="E62" s="390">
        <f>SUM(QYP!E25)</f>
        <v>0</v>
      </c>
      <c r="F62" s="390">
        <f>SUM(QYP!F25)</f>
        <v>0</v>
      </c>
      <c r="G62" s="390">
        <f>SUM(QYP!G25)</f>
        <v>10000</v>
      </c>
      <c r="H62" s="390">
        <f>SUM(QYP!H25)</f>
        <v>0</v>
      </c>
      <c r="I62" s="390">
        <f>SUM(QYP!I25)</f>
        <v>0</v>
      </c>
      <c r="J62" s="390">
        <f>SUM(QYP!J25)</f>
        <v>0</v>
      </c>
      <c r="K62" s="390">
        <f>SUM(QYP!K25)</f>
        <v>0</v>
      </c>
      <c r="L62" s="390">
        <f>SUM(QYP!L25)</f>
        <v>0</v>
      </c>
      <c r="M62" s="390">
        <f>SUM(QYP!M25)</f>
        <v>0</v>
      </c>
      <c r="N62" s="390">
        <f>SUM(QYP!N25)</f>
        <v>0</v>
      </c>
      <c r="O62" s="395">
        <f t="shared" si="0"/>
        <v>10000</v>
      </c>
      <c r="P62" s="396">
        <v>5833.333333333333</v>
      </c>
      <c r="Q62" s="383">
        <f t="shared" si="7"/>
        <v>4166.666666666667</v>
      </c>
    </row>
    <row r="63" spans="1:17" s="394" customFormat="1" x14ac:dyDescent="0.25">
      <c r="A63" s="394">
        <v>42</v>
      </c>
      <c r="B63" s="392" t="s">
        <v>443</v>
      </c>
      <c r="C63" s="390">
        <f>SUM(QYP!C24)</f>
        <v>0</v>
      </c>
      <c r="D63" s="390">
        <f>SUM(QYP!D24)</f>
        <v>0</v>
      </c>
      <c r="E63" s="390">
        <f>SUM(QYP!E24)</f>
        <v>0</v>
      </c>
      <c r="F63" s="390">
        <f>SUM(QYP!F24)</f>
        <v>0</v>
      </c>
      <c r="G63" s="390">
        <f>SUM(QYP!G24)</f>
        <v>0</v>
      </c>
      <c r="H63" s="390">
        <f>SUM(QYP!H24)</f>
        <v>0</v>
      </c>
      <c r="I63" s="390">
        <f>SUM(QYP!I24)</f>
        <v>0</v>
      </c>
      <c r="J63" s="390">
        <f>SUM(QYP!J24)</f>
        <v>0</v>
      </c>
      <c r="K63" s="390">
        <f>SUM(QYP!K24)</f>
        <v>0</v>
      </c>
      <c r="L63" s="390">
        <f>SUM(QYP!L24)</f>
        <v>0</v>
      </c>
      <c r="M63" s="390">
        <f>SUM(QYP!M24)</f>
        <v>0</v>
      </c>
      <c r="N63" s="390">
        <f>SUM(QYP!N24)</f>
        <v>0</v>
      </c>
      <c r="O63" s="395">
        <f t="shared" si="0"/>
        <v>0</v>
      </c>
      <c r="P63" s="396">
        <v>5000</v>
      </c>
      <c r="Q63" s="383">
        <f t="shared" si="7"/>
        <v>-5000</v>
      </c>
    </row>
    <row r="64" spans="1:17" s="394" customFormat="1" x14ac:dyDescent="0.25">
      <c r="A64" s="394">
        <v>43</v>
      </c>
      <c r="B64" s="392" t="s">
        <v>442</v>
      </c>
      <c r="C64" s="390">
        <f>SUM(QYP!C26)</f>
        <v>0</v>
      </c>
      <c r="D64" s="390">
        <f>SUM(QYP!D26)</f>
        <v>0</v>
      </c>
      <c r="E64" s="390">
        <f>SUM(QYP!E26)</f>
        <v>0</v>
      </c>
      <c r="F64" s="390">
        <f>SUM(QYP!F26)</f>
        <v>0</v>
      </c>
      <c r="G64" s="390">
        <f>SUM(QYP!G26)</f>
        <v>0</v>
      </c>
      <c r="H64" s="390">
        <f>SUM(QYP!H26)</f>
        <v>0</v>
      </c>
      <c r="I64" s="390">
        <f>SUM(QYP!I26)</f>
        <v>0</v>
      </c>
      <c r="J64" s="390">
        <f>SUM(QYP!J26)</f>
        <v>0</v>
      </c>
      <c r="K64" s="390">
        <f>SUM(QYP!K26)</f>
        <v>0</v>
      </c>
      <c r="L64" s="390">
        <f>SUM(QYP!L26)</f>
        <v>0</v>
      </c>
      <c r="M64" s="390">
        <f>SUM(QYP!M26)</f>
        <v>0</v>
      </c>
      <c r="N64" s="390">
        <f>SUM(QYP!N26)</f>
        <v>0</v>
      </c>
      <c r="O64" s="395">
        <f t="shared" si="0"/>
        <v>0</v>
      </c>
      <c r="P64" s="396">
        <v>3000</v>
      </c>
      <c r="Q64" s="383">
        <f t="shared" si="7"/>
        <v>-3000</v>
      </c>
    </row>
    <row r="65" spans="1:18" s="394" customFormat="1" x14ac:dyDescent="0.25">
      <c r="A65" s="394">
        <v>44</v>
      </c>
      <c r="B65" s="392" t="s">
        <v>442</v>
      </c>
      <c r="C65" s="390">
        <f>SUM(QYP!C27)</f>
        <v>10000</v>
      </c>
      <c r="D65" s="390">
        <f>SUM(QYP!D27)</f>
        <v>0</v>
      </c>
      <c r="E65" s="390">
        <f>SUM(QYP!E27)</f>
        <v>0</v>
      </c>
      <c r="F65" s="390">
        <f>SUM(QYP!F27)</f>
        <v>0</v>
      </c>
      <c r="G65" s="390">
        <f>SUM(QYP!G27)</f>
        <v>0</v>
      </c>
      <c r="H65" s="390">
        <f>SUM(QYP!H27)</f>
        <v>0</v>
      </c>
      <c r="I65" s="390">
        <f>SUM(QYP!I27)</f>
        <v>0</v>
      </c>
      <c r="J65" s="390">
        <f>SUM(QYP!J27)</f>
        <v>0</v>
      </c>
      <c r="K65" s="390">
        <f>SUM(QYP!K27)</f>
        <v>0</v>
      </c>
      <c r="L65" s="390">
        <f>SUM(QYP!L27)</f>
        <v>0</v>
      </c>
      <c r="M65" s="390">
        <f>SUM(QYP!M27)</f>
        <v>0</v>
      </c>
      <c r="N65" s="390">
        <f>SUM(QYP!N27)</f>
        <v>0</v>
      </c>
      <c r="O65" s="395">
        <f t="shared" si="0"/>
        <v>10000</v>
      </c>
      <c r="P65" s="396">
        <v>9996</v>
      </c>
      <c r="Q65" s="383">
        <f t="shared" si="7"/>
        <v>4</v>
      </c>
    </row>
    <row r="66" spans="1:18" s="394" customFormat="1" x14ac:dyDescent="0.25">
      <c r="A66" s="394">
        <v>45</v>
      </c>
      <c r="B66" s="392" t="s">
        <v>448</v>
      </c>
      <c r="C66" s="390">
        <f>SUM('Teen Court'!C25)</f>
        <v>0</v>
      </c>
      <c r="D66" s="390">
        <f>SUM('Teen Court'!D25)</f>
        <v>0</v>
      </c>
      <c r="E66" s="390">
        <f>SUM('Teen Court'!E25)</f>
        <v>0</v>
      </c>
      <c r="F66" s="390">
        <f>SUM('Teen Court'!F25)</f>
        <v>0</v>
      </c>
      <c r="G66" s="390">
        <f>SUM('Teen Court'!G25)</f>
        <v>0</v>
      </c>
      <c r="H66" s="390">
        <f>SUM('Teen Court'!H25)</f>
        <v>0</v>
      </c>
      <c r="I66" s="390">
        <f>SUM('Teen Court'!I25)</f>
        <v>0</v>
      </c>
      <c r="J66" s="390">
        <f>SUM('Teen Court'!J25)</f>
        <v>0</v>
      </c>
      <c r="K66" s="390">
        <f>SUM('Teen Court'!K25)</f>
        <v>0</v>
      </c>
      <c r="L66" s="390">
        <f>SUM('Teen Court'!L25)</f>
        <v>0</v>
      </c>
      <c r="M66" s="390">
        <f>SUM('Teen Court'!M25)</f>
        <v>0</v>
      </c>
      <c r="N66" s="390">
        <f>SUM('Teen Court'!N25)</f>
        <v>0</v>
      </c>
      <c r="O66" s="395">
        <f t="shared" si="0"/>
        <v>0</v>
      </c>
      <c r="P66" s="396">
        <v>2000</v>
      </c>
      <c r="Q66" s="383">
        <f t="shared" si="7"/>
        <v>-2000</v>
      </c>
    </row>
    <row r="67" spans="1:18" s="394" customFormat="1" x14ac:dyDescent="0.25">
      <c r="A67" s="394">
        <v>46</v>
      </c>
      <c r="B67" s="392" t="s">
        <v>449</v>
      </c>
      <c r="C67" s="390">
        <f>SUM('Teen Court'!C24)</f>
        <v>0</v>
      </c>
      <c r="D67" s="390">
        <f>SUM('Teen Court'!D24)</f>
        <v>0</v>
      </c>
      <c r="E67" s="390">
        <f>SUM('Teen Court'!E24)</f>
        <v>0</v>
      </c>
      <c r="F67" s="390">
        <f>SUM('Teen Court'!F24)</f>
        <v>0</v>
      </c>
      <c r="G67" s="390">
        <f>SUM('Teen Court'!G24)</f>
        <v>2250</v>
      </c>
      <c r="H67" s="390">
        <f>SUM('Teen Court'!H24)</f>
        <v>0</v>
      </c>
      <c r="I67" s="390">
        <f>SUM('Teen Court'!I24)</f>
        <v>0</v>
      </c>
      <c r="J67" s="390">
        <f>SUM('Teen Court'!J24)</f>
        <v>0</v>
      </c>
      <c r="K67" s="390">
        <f>SUM('Teen Court'!K24)</f>
        <v>0</v>
      </c>
      <c r="L67" s="390">
        <f>SUM('Teen Court'!L24)</f>
        <v>0</v>
      </c>
      <c r="M67" s="390">
        <f>SUM('Teen Court'!M24)</f>
        <v>0</v>
      </c>
      <c r="N67" s="390">
        <f>SUM('Teen Court'!N24)</f>
        <v>0</v>
      </c>
      <c r="O67" s="395">
        <f t="shared" si="0"/>
        <v>2250</v>
      </c>
      <c r="P67" s="396">
        <v>2250</v>
      </c>
      <c r="Q67" s="383">
        <f t="shared" si="7"/>
        <v>0</v>
      </c>
    </row>
    <row r="68" spans="1:18" s="394" customFormat="1" x14ac:dyDescent="0.25">
      <c r="A68" s="394">
        <v>47</v>
      </c>
      <c r="B68" s="392" t="s">
        <v>450</v>
      </c>
      <c r="C68" s="390">
        <f>SUM('Teen Court'!C23)</f>
        <v>0</v>
      </c>
      <c r="D68" s="390">
        <f>SUM('Teen Court'!D23)</f>
        <v>0</v>
      </c>
      <c r="E68" s="390">
        <f>SUM('Teen Court'!E23)</f>
        <v>0</v>
      </c>
      <c r="F68" s="390">
        <f>SUM('Teen Court'!F23)</f>
        <v>0</v>
      </c>
      <c r="G68" s="390">
        <f>SUM('Teen Court'!G23)</f>
        <v>0</v>
      </c>
      <c r="H68" s="390">
        <f>SUM('Teen Court'!H23)</f>
        <v>0</v>
      </c>
      <c r="I68" s="390">
        <f>SUM('Teen Court'!I23)</f>
        <v>0</v>
      </c>
      <c r="J68" s="390">
        <f>SUM('Teen Court'!J23)</f>
        <v>0</v>
      </c>
      <c r="K68" s="390">
        <f>SUM('Teen Court'!K23)</f>
        <v>0</v>
      </c>
      <c r="L68" s="390">
        <f>SUM('Teen Court'!L23)</f>
        <v>0</v>
      </c>
      <c r="M68" s="390">
        <f>SUM('Teen Court'!M23)</f>
        <v>0</v>
      </c>
      <c r="N68" s="390">
        <f>SUM('Teen Court'!N23)</f>
        <v>0</v>
      </c>
      <c r="O68" s="395">
        <f t="shared" si="0"/>
        <v>0</v>
      </c>
      <c r="P68" s="396">
        <v>3087</v>
      </c>
      <c r="Q68" s="383">
        <f t="shared" si="7"/>
        <v>-3087</v>
      </c>
    </row>
    <row r="69" spans="1:18" s="394" customFormat="1" x14ac:dyDescent="0.25">
      <c r="A69" s="394">
        <v>48</v>
      </c>
      <c r="B69" s="392" t="s">
        <v>469</v>
      </c>
      <c r="C69" s="390">
        <f>SUM('Teen Court'!C26)</f>
        <v>0</v>
      </c>
      <c r="D69" s="390">
        <f>SUM('Teen Court'!D26)</f>
        <v>0</v>
      </c>
      <c r="E69" s="390">
        <f>SUM('Teen Court'!E26)</f>
        <v>0</v>
      </c>
      <c r="F69" s="390">
        <f>SUM('Teen Court'!F26)</f>
        <v>0</v>
      </c>
      <c r="G69" s="390">
        <f>SUM('Teen Court'!G26)</f>
        <v>2000</v>
      </c>
      <c r="H69" s="390">
        <f>SUM('Teen Court'!H26)</f>
        <v>0</v>
      </c>
      <c r="I69" s="390">
        <f>SUM('Teen Court'!I26)</f>
        <v>0</v>
      </c>
      <c r="J69" s="390">
        <f>SUM('Teen Court'!J26)</f>
        <v>0</v>
      </c>
      <c r="K69" s="390">
        <f>SUM('Teen Court'!K26)</f>
        <v>0</v>
      </c>
      <c r="L69" s="390">
        <f>SUM('Teen Court'!L26)</f>
        <v>0</v>
      </c>
      <c r="M69" s="390">
        <f>SUM('Teen Court'!M26)</f>
        <v>0</v>
      </c>
      <c r="N69" s="390">
        <f>SUM('Teen Court'!N26)</f>
        <v>0</v>
      </c>
      <c r="O69" s="395">
        <f t="shared" si="0"/>
        <v>2000</v>
      </c>
      <c r="P69" s="396">
        <v>2000</v>
      </c>
      <c r="Q69" s="383">
        <f t="shared" si="7"/>
        <v>0</v>
      </c>
    </row>
    <row r="70" spans="1:18" s="394" customFormat="1" x14ac:dyDescent="0.25">
      <c r="A70" s="394">
        <v>51</v>
      </c>
      <c r="B70" s="392" t="s">
        <v>460</v>
      </c>
      <c r="C70" s="390">
        <f>SUM('SK - TL'!C23)</f>
        <v>833.33333333333337</v>
      </c>
      <c r="D70" s="390">
        <f>SUM('SK - TL'!D23)</f>
        <v>833.33333333333337</v>
      </c>
      <c r="E70" s="390">
        <f>SUM('SK - TL'!E23)</f>
        <v>833.33333333333337</v>
      </c>
      <c r="F70" s="390">
        <f>SUM('SK - TL'!F23)</f>
        <v>833.33333333333337</v>
      </c>
      <c r="G70" s="390">
        <f>SUM('SK - TL'!G23)</f>
        <v>833.33333333333337</v>
      </c>
      <c r="H70" s="390">
        <f>SUM('SK - TL'!H23)</f>
        <v>833.33333333333337</v>
      </c>
      <c r="I70" s="390">
        <f>SUM('SK - TL'!I23)</f>
        <v>833.33333333333337</v>
      </c>
      <c r="J70" s="390">
        <f>SUM('SK - TL'!J23)</f>
        <v>833.33333333333337</v>
      </c>
      <c r="K70" s="390">
        <f>SUM('SK - TL'!K23)</f>
        <v>833.33333333333337</v>
      </c>
      <c r="L70" s="390">
        <f>SUM('SK - TL'!L23)</f>
        <v>833.33333333333337</v>
      </c>
      <c r="M70" s="390">
        <f>SUM('SK - TL'!M23)</f>
        <v>833.33333333333337</v>
      </c>
      <c r="N70" s="390">
        <f>SUM('SK - TL'!N23)</f>
        <v>833.33333333333337</v>
      </c>
      <c r="O70" s="395">
        <f t="shared" si="0"/>
        <v>10000</v>
      </c>
      <c r="P70" s="396">
        <v>26000</v>
      </c>
      <c r="Q70" s="383">
        <f t="shared" si="7"/>
        <v>-16000</v>
      </c>
    </row>
    <row r="71" spans="1:18" s="394" customFormat="1" x14ac:dyDescent="0.25">
      <c r="A71" s="394">
        <v>52</v>
      </c>
      <c r="B71" s="392" t="s">
        <v>461</v>
      </c>
      <c r="C71" s="390">
        <f>SUM('SK - TL'!C24)</f>
        <v>0</v>
      </c>
      <c r="D71" s="390">
        <f>SUM('SK - TL'!D24)</f>
        <v>0</v>
      </c>
      <c r="E71" s="390">
        <f>SUM('SK - TL'!E24)</f>
        <v>0</v>
      </c>
      <c r="F71" s="390">
        <f>SUM('SK - TL'!F24)</f>
        <v>0</v>
      </c>
      <c r="G71" s="390">
        <f>SUM('SK - TL'!G24)</f>
        <v>0</v>
      </c>
      <c r="H71" s="390">
        <f>SUM('SK - TL'!H24)</f>
        <v>0</v>
      </c>
      <c r="I71" s="390">
        <f>SUM('SK - TL'!I24)</f>
        <v>0</v>
      </c>
      <c r="J71" s="390">
        <f>SUM('SK - TL'!J24)</f>
        <v>0</v>
      </c>
      <c r="K71" s="390">
        <f>SUM('SK - TL'!K24)</f>
        <v>0</v>
      </c>
      <c r="L71" s="390">
        <f>SUM('SK - TL'!L24)</f>
        <v>0</v>
      </c>
      <c r="M71" s="390">
        <f>SUM('SK - TL'!M24)</f>
        <v>0</v>
      </c>
      <c r="N71" s="390">
        <f>SUM('SK - TL'!N24)</f>
        <v>0</v>
      </c>
      <c r="O71" s="395">
        <f t="shared" si="0"/>
        <v>0</v>
      </c>
      <c r="P71" s="396">
        <v>5000</v>
      </c>
      <c r="Q71" s="383">
        <f t="shared" si="7"/>
        <v>-5000</v>
      </c>
    </row>
    <row r="72" spans="1:18" s="394" customFormat="1" x14ac:dyDescent="0.25">
      <c r="A72" s="394">
        <v>53</v>
      </c>
      <c r="B72" s="392" t="s">
        <v>462</v>
      </c>
      <c r="C72" s="390">
        <f>SUM('SK - TL'!C25)</f>
        <v>0</v>
      </c>
      <c r="D72" s="390">
        <f>SUM('SK - TL'!D25)</f>
        <v>0</v>
      </c>
      <c r="E72" s="390">
        <f>SUM('SK - TL'!E25)</f>
        <v>0</v>
      </c>
      <c r="F72" s="390">
        <f>SUM('SK - TL'!F25)</f>
        <v>0</v>
      </c>
      <c r="G72" s="390">
        <f>SUM('SK - TL'!G25)</f>
        <v>0</v>
      </c>
      <c r="H72" s="390">
        <f>SUM('SK - TL'!H25)</f>
        <v>0</v>
      </c>
      <c r="I72" s="390">
        <f>SUM('SK - TL'!I25)</f>
        <v>0</v>
      </c>
      <c r="J72" s="390">
        <f>SUM('SK - TL'!J25)</f>
        <v>0</v>
      </c>
      <c r="K72" s="390">
        <f>SUM('SK - TL'!K25)</f>
        <v>0</v>
      </c>
      <c r="L72" s="390">
        <f>SUM('SK - TL'!L25)</f>
        <v>0</v>
      </c>
      <c r="M72" s="390">
        <f>SUM('SK - TL'!M25)</f>
        <v>0</v>
      </c>
      <c r="N72" s="390">
        <f>SUM('SK - TL'!N25)</f>
        <v>0</v>
      </c>
      <c r="O72" s="395">
        <f t="shared" si="0"/>
        <v>0</v>
      </c>
      <c r="P72" s="396">
        <v>0</v>
      </c>
      <c r="Q72" s="383">
        <f t="shared" si="7"/>
        <v>0</v>
      </c>
    </row>
    <row r="73" spans="1:18" s="394" customFormat="1" x14ac:dyDescent="0.25">
      <c r="A73" s="394">
        <v>54</v>
      </c>
      <c r="B73" s="392" t="s">
        <v>463</v>
      </c>
      <c r="C73" s="390">
        <f>SUM('SK - TL'!C26)</f>
        <v>0</v>
      </c>
      <c r="D73" s="390">
        <f>SUM('SK - TL'!D26)</f>
        <v>0</v>
      </c>
      <c r="E73" s="390">
        <f>SUM('SK - TL'!E26)</f>
        <v>0</v>
      </c>
      <c r="F73" s="390">
        <f>SUM('SK - TL'!F26)</f>
        <v>0</v>
      </c>
      <c r="G73" s="390">
        <f>SUM('SK - TL'!G26)</f>
        <v>0</v>
      </c>
      <c r="H73" s="390">
        <f>SUM('SK - TL'!H26)</f>
        <v>0</v>
      </c>
      <c r="I73" s="390">
        <f>SUM('SK - TL'!I26)</f>
        <v>0</v>
      </c>
      <c r="J73" s="390">
        <f>SUM('SK - TL'!J26)</f>
        <v>0</v>
      </c>
      <c r="K73" s="390">
        <f>SUM('SK - TL'!K26)</f>
        <v>0</v>
      </c>
      <c r="L73" s="390">
        <f>SUM('SK - TL'!L26)</f>
        <v>0</v>
      </c>
      <c r="M73" s="390">
        <f>SUM('SK - TL'!M26)</f>
        <v>0</v>
      </c>
      <c r="N73" s="390">
        <f>SUM('SK - TL'!N26)</f>
        <v>0</v>
      </c>
      <c r="O73" s="395">
        <f t="shared" si="0"/>
        <v>0</v>
      </c>
      <c r="P73" s="396">
        <v>2500</v>
      </c>
      <c r="Q73" s="383">
        <f t="shared" si="7"/>
        <v>-2500</v>
      </c>
    </row>
    <row r="74" spans="1:18" s="394" customFormat="1" x14ac:dyDescent="0.25">
      <c r="B74" s="392" t="s">
        <v>583</v>
      </c>
      <c r="C74" s="390">
        <f>SUM('SK - VOC'!C26)</f>
        <v>0</v>
      </c>
      <c r="D74" s="390">
        <f>SUM('SK - VOC'!D26)</f>
        <v>0</v>
      </c>
      <c r="E74" s="390">
        <f>SUM('SK - VOC'!E26)</f>
        <v>0</v>
      </c>
      <c r="F74" s="390">
        <f>SUM('SK - VOC'!F26)</f>
        <v>0</v>
      </c>
      <c r="G74" s="390">
        <f>SUM('SK - VOC'!G26)</f>
        <v>0</v>
      </c>
      <c r="H74" s="390">
        <f>SUM('SK - VOC'!H26)</f>
        <v>0</v>
      </c>
      <c r="I74" s="390">
        <f>SUM('SK - VOC'!I26)</f>
        <v>0</v>
      </c>
      <c r="J74" s="390">
        <f>SUM('SK - VOC'!J26)</f>
        <v>0</v>
      </c>
      <c r="K74" s="390">
        <f>SUM('SK - VOC'!K26)</f>
        <v>4000</v>
      </c>
      <c r="L74" s="390">
        <f>SUM('SK - VOC'!L26)</f>
        <v>0</v>
      </c>
      <c r="M74" s="390">
        <f>SUM('SK - VOC'!M26)</f>
        <v>0</v>
      </c>
      <c r="N74" s="390">
        <f>SUM('SK - VOC'!N26)</f>
        <v>0</v>
      </c>
      <c r="O74" s="395">
        <f t="shared" si="0"/>
        <v>4000</v>
      </c>
      <c r="P74" s="396"/>
      <c r="Q74" s="383">
        <f t="shared" si="7"/>
        <v>4000</v>
      </c>
    </row>
    <row r="75" spans="1:18" s="394" customFormat="1" x14ac:dyDescent="0.25">
      <c r="B75" s="392" t="s">
        <v>585</v>
      </c>
      <c r="C75" s="390">
        <f>SUM('SK - VOC'!C24)</f>
        <v>0</v>
      </c>
      <c r="D75" s="390">
        <f>SUM('SK - VOC'!D24)</f>
        <v>0</v>
      </c>
      <c r="E75" s="390">
        <f>SUM('SK - VOC'!E24)</f>
        <v>0</v>
      </c>
      <c r="F75" s="390">
        <f>SUM('SK - VOC'!F24)</f>
        <v>0</v>
      </c>
      <c r="G75" s="390">
        <f>SUM('SK - VOC'!G24)</f>
        <v>5000</v>
      </c>
      <c r="H75" s="390">
        <f>SUM('SK - VOC'!H24)</f>
        <v>0</v>
      </c>
      <c r="I75" s="390">
        <f>SUM('SK - VOC'!I24)</f>
        <v>0</v>
      </c>
      <c r="J75" s="390">
        <f>SUM('SK - VOC'!J24)</f>
        <v>0</v>
      </c>
      <c r="K75" s="390">
        <f>SUM('SK - VOC'!K24)</f>
        <v>0</v>
      </c>
      <c r="L75" s="390">
        <f>SUM('SK - VOC'!L24)</f>
        <v>0</v>
      </c>
      <c r="M75" s="390">
        <f>SUM('SK - VOC'!M24)</f>
        <v>0</v>
      </c>
      <c r="N75" s="390">
        <f>SUM('SK - VOC'!N24)</f>
        <v>0</v>
      </c>
      <c r="O75" s="395">
        <f t="shared" si="0"/>
        <v>5000</v>
      </c>
      <c r="P75" s="396"/>
      <c r="Q75" s="383">
        <f t="shared" si="7"/>
        <v>5000</v>
      </c>
    </row>
    <row r="76" spans="1:18" s="394" customFormat="1" x14ac:dyDescent="0.25">
      <c r="B76" s="392" t="s">
        <v>586</v>
      </c>
      <c r="C76" s="390">
        <f>SUM('SK - VOC'!C27)</f>
        <v>0</v>
      </c>
      <c r="D76" s="390">
        <f>SUM('SK - VOC'!D27)</f>
        <v>0</v>
      </c>
      <c r="E76" s="390">
        <f>SUM('SK - VOC'!E27)</f>
        <v>0</v>
      </c>
      <c r="F76" s="390">
        <f>SUM('SK - VOC'!F27)</f>
        <v>0</v>
      </c>
      <c r="G76" s="390">
        <f>SUM('SK - VOC'!G27)</f>
        <v>0</v>
      </c>
      <c r="H76" s="390">
        <f>SUM('SK - VOC'!H27)</f>
        <v>0</v>
      </c>
      <c r="I76" s="390">
        <f>SUM('SK - VOC'!I27)</f>
        <v>1000</v>
      </c>
      <c r="J76" s="390">
        <f>SUM('SK - VOC'!J27)</f>
        <v>0</v>
      </c>
      <c r="K76" s="390">
        <f>SUM('SK - VOC'!K27)</f>
        <v>0</v>
      </c>
      <c r="L76" s="390">
        <f>SUM('SK - VOC'!L27)</f>
        <v>0</v>
      </c>
      <c r="M76" s="390">
        <f>SUM('SK - VOC'!M27)</f>
        <v>0</v>
      </c>
      <c r="N76" s="390">
        <f>SUM('SK - VOC'!N27)</f>
        <v>0</v>
      </c>
      <c r="O76" s="395">
        <f t="shared" si="0"/>
        <v>1000</v>
      </c>
      <c r="P76" s="396"/>
      <c r="Q76" s="383">
        <f t="shared" si="7"/>
        <v>1000</v>
      </c>
    </row>
    <row r="77" spans="1:18" s="394" customFormat="1" x14ac:dyDescent="0.25">
      <c r="B77" s="392" t="s">
        <v>584</v>
      </c>
      <c r="C77" s="390">
        <f>SUM('SK - VOC'!C23)</f>
        <v>1250</v>
      </c>
      <c r="D77" s="390">
        <f>SUM('SK - VOC'!D23)</f>
        <v>1250</v>
      </c>
      <c r="E77" s="390">
        <f>SUM('SK - VOC'!E23)</f>
        <v>1250</v>
      </c>
      <c r="F77" s="390">
        <f>SUM('SK - VOC'!F23)</f>
        <v>1250</v>
      </c>
      <c r="G77" s="390">
        <f>SUM('SK - VOC'!G23)</f>
        <v>1250</v>
      </c>
      <c r="H77" s="390">
        <f>SUM('SK - VOC'!H23)</f>
        <v>1250</v>
      </c>
      <c r="I77" s="390">
        <f>SUM('SK - VOC'!I23)</f>
        <v>1250</v>
      </c>
      <c r="J77" s="390">
        <f>SUM('SK - VOC'!J23)</f>
        <v>1250</v>
      </c>
      <c r="K77" s="390">
        <f>SUM('SK - VOC'!K23)</f>
        <v>1250</v>
      </c>
      <c r="L77" s="390">
        <f>SUM('SK - VOC'!L23)</f>
        <v>1250</v>
      </c>
      <c r="M77" s="390">
        <f>SUM('SK - VOC'!M23)</f>
        <v>1250</v>
      </c>
      <c r="N77" s="390">
        <f>SUM('SK - VOC'!N23)</f>
        <v>1250</v>
      </c>
      <c r="O77" s="395">
        <f t="shared" si="0"/>
        <v>15000</v>
      </c>
      <c r="P77" s="396"/>
      <c r="Q77" s="383">
        <f t="shared" si="7"/>
        <v>15000</v>
      </c>
    </row>
    <row r="78" spans="1:18" s="394" customFormat="1" x14ac:dyDescent="0.25">
      <c r="B78" s="459" t="s">
        <v>468</v>
      </c>
      <c r="C78" s="390"/>
      <c r="D78" s="390"/>
      <c r="E78" s="390"/>
      <c r="F78" s="390"/>
      <c r="G78" s="390"/>
      <c r="H78" s="390"/>
      <c r="I78" s="390"/>
      <c r="J78" s="390"/>
      <c r="K78" s="390"/>
      <c r="L78" s="390"/>
      <c r="M78" s="390"/>
      <c r="N78" s="390"/>
      <c r="O78" s="395">
        <f>SUM(O36:O77)</f>
        <v>444918</v>
      </c>
      <c r="P78" s="396">
        <v>267188.66666666663</v>
      </c>
      <c r="Q78" s="383">
        <f t="shared" si="7"/>
        <v>177729.33333333337</v>
      </c>
      <c r="R78" s="394" t="s">
        <v>647</v>
      </c>
    </row>
    <row r="79" spans="1:18" s="68" customFormat="1" x14ac:dyDescent="0.25">
      <c r="B79" s="16" t="s">
        <v>16</v>
      </c>
      <c r="C79" s="230">
        <f>SUM(CMS!C39+Fundraising!C39+HSSP!C39+'WH - SOP'!C39+'WH - PAD'!C39+'WH - HUSLY'!C39+'WH - TL'!C39+'WH - PERM'!C39+'WH-VOC'!C39+QYP!C39+'BH Team'!C70+'Teen Court'!C39+'SK - HUSLY'!C39+'SK - TL'!C39+'SK - PERM'!C39+'SK - VOC'!C39)</f>
        <v>750</v>
      </c>
      <c r="D79" s="230">
        <f>SUM(CMS!D39+Fundraising!D39+HSSP!D39+'WH - SOP'!D39+'WH - PAD'!D39+'WH - HUSLY'!D39+'WH - TL'!D39+'WH - PERM'!D39+'WH-VOC'!D39+QYP!D39+'BH Team'!D70+'Teen Court'!D39+'SK - HUSLY'!D39+'SK - TL'!D39+'SK - PERM'!D39+'SK - VOC'!D39)</f>
        <v>750</v>
      </c>
      <c r="E79" s="230">
        <f>SUM(CMS!E39+Fundraising!E39+HSSP!E39+'WH - SOP'!E39+'WH - PAD'!E39+'WH - HUSLY'!E39+'WH - TL'!E39+'WH - PERM'!E39+'WH-VOC'!E39+QYP!E39+'BH Team'!E70+'Teen Court'!E39+'SK - HUSLY'!E39+'SK - TL'!E39+'SK - PERM'!E39+'SK - VOC'!E39)</f>
        <v>750</v>
      </c>
      <c r="F79" s="230">
        <f>SUM(CMS!F39+Fundraising!F39+HSSP!F39+'WH - SOP'!F39+'WH - PAD'!F39+'WH - HUSLY'!F39+'WH - TL'!F39+'WH - PERM'!F39+'WH-VOC'!F39+QYP!F39+'BH Team'!F70+'Teen Court'!F39+'SK - HUSLY'!F39+'SK - TL'!F39+'SK - PERM'!F39+'SK - VOC'!F39)</f>
        <v>750</v>
      </c>
      <c r="G79" s="230">
        <f>SUM(CMS!G39+Fundraising!G39+HSSP!G39+'WH - SOP'!G39+'WH - PAD'!G39+'WH - HUSLY'!G39+'WH - TL'!G39+'WH - PERM'!G39+'WH-VOC'!G39+QYP!G39+'BH Team'!G70+'Teen Court'!G39+'SK - HUSLY'!G39+'SK - TL'!G39+'SK - PERM'!G39+'SK - VOC'!G39)</f>
        <v>750</v>
      </c>
      <c r="H79" s="230">
        <f>SUM(CMS!H39+Fundraising!H39+HSSP!H39+'WH - SOP'!H39+'WH - PAD'!H39+'WH - HUSLY'!H39+'WH - TL'!H39+'WH - PERM'!H39+'WH-VOC'!H39+QYP!H39+'BH Team'!H70+'Teen Court'!H39+'SK - HUSLY'!H39+'SK - TL'!H39+'SK - PERM'!H39+'SK - VOC'!H39)</f>
        <v>750</v>
      </c>
      <c r="I79" s="230">
        <f>SUM(CMS!I39+Fundraising!I39+HSSP!I39+'WH - SOP'!I39+'WH - PAD'!I39+'WH - HUSLY'!I39+'WH - TL'!I39+'WH - PERM'!I39+'WH-VOC'!I39+QYP!I39+'BH Team'!I70+'Teen Court'!I39+'SK - HUSLY'!I39+'SK - TL'!I39+'SK - PERM'!I39+'SK - VOC'!I39)</f>
        <v>750</v>
      </c>
      <c r="J79" s="230">
        <f>SUM(CMS!J39+Fundraising!J39+HSSP!J39+'WH - SOP'!J39+'WH - PAD'!J39+'WH - HUSLY'!J39+'WH - TL'!J39+'WH - PERM'!J39+'WH-VOC'!J39+QYP!J39+'BH Team'!J70+'Teen Court'!J39+'SK - HUSLY'!J39+'SK - TL'!J39+'SK - PERM'!J39+'SK - VOC'!J39)</f>
        <v>750</v>
      </c>
      <c r="K79" s="230">
        <f>SUM(CMS!K39+Fundraising!K39+HSSP!K39+'WH - SOP'!K39+'WH - PAD'!K39+'WH - HUSLY'!K39+'WH - TL'!K39+'WH - PERM'!K39+'WH-VOC'!K39+QYP!K39+'BH Team'!K70+'Teen Court'!K39+'SK - HUSLY'!K39+'SK - TL'!K39+'SK - PERM'!K39+'SK - VOC'!K39)</f>
        <v>750</v>
      </c>
      <c r="L79" s="230">
        <f>SUM(CMS!L39+Fundraising!L39+HSSP!L39+'WH - SOP'!L39+'WH - PAD'!L39+'WH - HUSLY'!L39+'WH - TL'!L39+'WH - PERM'!L39+'WH-VOC'!L39+QYP!L39+'BH Team'!L70+'Teen Court'!L39+'SK - HUSLY'!L39+'SK - TL'!L39+'SK - PERM'!L39+'SK - VOC'!L39)</f>
        <v>750</v>
      </c>
      <c r="M79" s="230">
        <f>SUM(CMS!M39+Fundraising!M39+HSSP!M39+'WH - SOP'!M39+'WH - PAD'!M39+'WH - HUSLY'!M39+'WH - TL'!M39+'WH - PERM'!M39+'WH-VOC'!M39+QYP!M39+'BH Team'!M70+'Teen Court'!M39+'SK - HUSLY'!M39+'SK - TL'!M39+'SK - PERM'!M39+'SK - VOC'!M39)</f>
        <v>750</v>
      </c>
      <c r="N79" s="230">
        <f>SUM(CMS!N39+Fundraising!N39+HSSP!N39+'WH - SOP'!N39+'WH - PAD'!N39+'WH - HUSLY'!N39+'WH - TL'!N39+'WH - PERM'!N39+'WH-VOC'!N39+QYP!N39+'BH Team'!N70+'Teen Court'!N39+'SK - HUSLY'!N39+'SK - TL'!N39+'SK - PERM'!N39+'SK - VOC'!N39)</f>
        <v>750</v>
      </c>
      <c r="O79" s="233">
        <f t="shared" si="0"/>
        <v>9000</v>
      </c>
      <c r="P79" s="388">
        <v>3148</v>
      </c>
      <c r="Q79" s="383">
        <f t="shared" si="7"/>
        <v>5852</v>
      </c>
    </row>
    <row r="80" spans="1:18" x14ac:dyDescent="0.25">
      <c r="B80" s="16" t="s">
        <v>17</v>
      </c>
      <c r="C80" s="230">
        <f>SUM(CMS!C40+Fundraising!C40+HSSP!C40+'WH - SOP'!C40+'WH - PAD'!C40+'WH - HUSLY'!C40+'WH - TL'!C40+'WH - PERM'!C40+'WH-VOC'!C40+QYP!C40+'BH Team'!C71+'Teen Court'!C40+'SK - HUSLY'!C40+'SK - TL'!C40+'SK - PERM'!C40+'SK - VOC'!C40)</f>
        <v>550</v>
      </c>
      <c r="D80" s="230">
        <f>SUM(CMS!D40+Fundraising!D40+HSSP!D40+'WH - SOP'!D40+'WH - PAD'!D40+'WH - HUSLY'!D40+'WH - TL'!D40+'WH - PERM'!D40+'WH-VOC'!D40+QYP!D40+'BH Team'!D71+'Teen Court'!D40+'SK - HUSLY'!D40+'SK - TL'!D40+'SK - PERM'!D40+'SK - VOC'!D40)</f>
        <v>550</v>
      </c>
      <c r="E80" s="230">
        <f>SUM(CMS!E40+Fundraising!E40+HSSP!E40+'WH - SOP'!E40+'WH - PAD'!E40+'WH - HUSLY'!E40+'WH - TL'!E40+'WH - PERM'!E40+'WH-VOC'!E40+QYP!E40+'BH Team'!E71+'Teen Court'!E40+'SK - HUSLY'!E40+'SK - TL'!E40+'SK - PERM'!E40+'SK - VOC'!E40)</f>
        <v>550</v>
      </c>
      <c r="F80" s="230">
        <f>SUM(CMS!F40+Fundraising!F40+HSSP!F40+'WH - SOP'!F40+'WH - PAD'!F40+'WH - HUSLY'!F40+'WH - TL'!F40+'WH - PERM'!F40+'WH-VOC'!F40+QYP!F40+'BH Team'!F71+'Teen Court'!F40+'SK - HUSLY'!F40+'SK - TL'!F40+'SK - PERM'!F40+'SK - VOC'!F40)</f>
        <v>550</v>
      </c>
      <c r="G80" s="230">
        <f>SUM(CMS!G40+Fundraising!G40+HSSP!G40+'WH - SOP'!G40+'WH - PAD'!G40+'WH - HUSLY'!G40+'WH - TL'!G40+'WH - PERM'!G40+'WH-VOC'!G40+QYP!G40+'BH Team'!G71+'Teen Court'!G40+'SK - HUSLY'!G40+'SK - TL'!G40+'SK - PERM'!G40+'SK - VOC'!G40)</f>
        <v>550</v>
      </c>
      <c r="H80" s="230">
        <f>SUM(CMS!H40+Fundraising!H40+HSSP!H40+'WH - SOP'!H40+'WH - PAD'!H40+'WH - HUSLY'!H40+'WH - TL'!H40+'WH - PERM'!H40+'WH-VOC'!H40+QYP!H40+'BH Team'!H71+'Teen Court'!H40+'SK - HUSLY'!H40+'SK - TL'!H40+'SK - PERM'!H40+'SK - VOC'!H40)</f>
        <v>550</v>
      </c>
      <c r="I80" s="230">
        <f>SUM(CMS!I40+Fundraising!I40+HSSP!I40+'WH - SOP'!I40+'WH - PAD'!I40+'WH - HUSLY'!I40+'WH - TL'!I40+'WH - PERM'!I40+'WH-VOC'!I40+QYP!I40+'BH Team'!I71+'Teen Court'!I40+'SK - HUSLY'!I40+'SK - TL'!I40+'SK - PERM'!I40+'SK - VOC'!I40)</f>
        <v>550</v>
      </c>
      <c r="J80" s="230">
        <f>SUM(CMS!J40+Fundraising!J40+HSSP!J40+'WH - SOP'!J40+'WH - PAD'!J40+'WH - HUSLY'!J40+'WH - TL'!J40+'WH - PERM'!J40+'WH-VOC'!J40+QYP!J40+'BH Team'!J71+'Teen Court'!J40+'SK - HUSLY'!J40+'SK - TL'!J40+'SK - PERM'!J40+'SK - VOC'!J40)</f>
        <v>550</v>
      </c>
      <c r="K80" s="230">
        <f>SUM(CMS!K40+Fundraising!K40+HSSP!K40+'WH - SOP'!K40+'WH - PAD'!K40+'WH - HUSLY'!K40+'WH - TL'!K40+'WH - PERM'!K40+'WH-VOC'!K40+QYP!K40+'BH Team'!K71+'Teen Court'!K40+'SK - HUSLY'!K40+'SK - TL'!K40+'SK - PERM'!K40+'SK - VOC'!K40)</f>
        <v>550</v>
      </c>
      <c r="L80" s="230">
        <f>SUM(CMS!L40+Fundraising!L40+HSSP!L40+'WH - SOP'!L40+'WH - PAD'!L40+'WH - HUSLY'!L40+'WH - TL'!L40+'WH - PERM'!L40+'WH-VOC'!L40+QYP!L40+'BH Team'!L71+'Teen Court'!L40+'SK - HUSLY'!L40+'SK - TL'!L40+'SK - PERM'!L40+'SK - VOC'!L40)</f>
        <v>6000</v>
      </c>
      <c r="M80" s="230">
        <f>SUM(CMS!M40+Fundraising!M40+HSSP!M40+'WH - SOP'!M40+'WH - PAD'!M40+'WH - HUSLY'!M40+'WH - TL'!M40+'WH - PERM'!M40+'WH-VOC'!M40+QYP!M40+'BH Team'!M71+'Teen Court'!M40+'SK - HUSLY'!M40+'SK - TL'!M40+'SK - PERM'!M40+'SK - VOC'!M40)</f>
        <v>78000</v>
      </c>
      <c r="N80" s="230">
        <f>SUM(CMS!N40+Fundraising!N40+HSSP!N40+'WH - SOP'!N40+'WH - PAD'!N40+'WH - HUSLY'!N40+'WH - TL'!N40+'WH - PERM'!N40+'WH-VOC'!N40+QYP!N40+'BH Team'!N71+'Teen Court'!N40+'SK - HUSLY'!N40+'SK - TL'!N40+'SK - PERM'!N40+'SK - VOC'!N40)</f>
        <v>550</v>
      </c>
      <c r="O80" s="233">
        <f t="shared" si="0"/>
        <v>89500</v>
      </c>
      <c r="P80" s="388">
        <v>99500</v>
      </c>
      <c r="Q80" s="383">
        <f t="shared" si="7"/>
        <v>-10000</v>
      </c>
    </row>
    <row r="81" spans="2:25" x14ac:dyDescent="0.25">
      <c r="B81" s="16" t="s">
        <v>147</v>
      </c>
      <c r="C81" s="230">
        <f>SUM(CMS!C41+HSSP!C41+'WH - SOP'!C41+'WH - PAD'!C41+'WH - HUSLY'!C41+'WH - TL'!C41+'WH - PERM'!C41+'WH-VOC'!C41+QYP!C41+'BH Team'!C72+'Teen Court'!C41+'SK - HUSLY'!C41+'SK - TL'!C41+'SK - PERM'!C41+'SK - VOC'!C41)</f>
        <v>1348.3333333333333</v>
      </c>
      <c r="D81" s="230">
        <f>SUM(CMS!D41+HSSP!D41+'WH - SOP'!D41+'WH - PAD'!D41+'WH - HUSLY'!D41+'WH - TL'!D41+'WH - PERM'!D41+'WH-VOC'!D41+QYP!D41+'BH Team'!D72+'Teen Court'!D41+'SK - HUSLY'!D41+'SK - TL'!D41+'SK - PERM'!D41+'SK - VOC'!D41)</f>
        <v>1348.3333333333333</v>
      </c>
      <c r="E81" s="230">
        <f>SUM(CMS!E41+HSSP!E41+'WH - SOP'!E41+'WH - PAD'!E41+'WH - HUSLY'!E41+'WH - TL'!E41+'WH - PERM'!E41+'WH-VOC'!E41+QYP!E41+'BH Team'!E72+'Teen Court'!E41+'SK - HUSLY'!E41+'SK - TL'!E41+'SK - PERM'!E41+'SK - VOC'!E41)</f>
        <v>1348.3333333333333</v>
      </c>
      <c r="F81" s="230">
        <f>SUM(CMS!F41+HSSP!F41+'WH - SOP'!F41+'WH - PAD'!F41+'WH - HUSLY'!F41+'WH - TL'!F41+'WH - PERM'!F41+'WH-VOC'!F41+QYP!F41+'BH Team'!F72+'Teen Court'!F41+'SK - HUSLY'!F41+'SK - TL'!F41+'SK - PERM'!F41+'SK - VOC'!F41)</f>
        <v>1348.3333333333333</v>
      </c>
      <c r="G81" s="230">
        <f>SUM(CMS!G41+HSSP!G41+'WH - SOP'!G41+'WH - PAD'!G41+'WH - HUSLY'!G41+'WH - TL'!G41+'WH - PERM'!G41+'WH-VOC'!G41+QYP!G41+'BH Team'!G72+'Teen Court'!G41+'SK - HUSLY'!G41+'SK - TL'!G41+'SK - PERM'!G41+'SK - VOC'!G41)</f>
        <v>1348.3333333333333</v>
      </c>
      <c r="H81" s="230">
        <f>SUM(CMS!H41+HSSP!H41+'WH - SOP'!H41+'WH - PAD'!H41+'WH - HUSLY'!H41+'WH - TL'!H41+'WH - PERM'!H41+'WH-VOC'!H41+QYP!H41+'BH Team'!H72+'Teen Court'!H41+'SK - HUSLY'!H41+'SK - TL'!H41+'SK - PERM'!H41+'SK - VOC'!H41)</f>
        <v>1348.3333333333333</v>
      </c>
      <c r="I81" s="230">
        <f>SUM(CMS!I41+HSSP!I41+'WH - SOP'!I41+'WH - PAD'!I41+'WH - HUSLY'!I41+'WH - TL'!I41+'WH - PERM'!I41+'WH-VOC'!I41+QYP!I41+'BH Team'!I72+'Teen Court'!I41+'SK - HUSLY'!I41+'SK - TL'!I41+'SK - PERM'!I41+'SK - VOC'!I41)</f>
        <v>1348.3333333333333</v>
      </c>
      <c r="J81" s="230">
        <f>SUM(CMS!J41+HSSP!J41+'WH - SOP'!J41+'WH - PAD'!J41+'WH - HUSLY'!J41+'WH - TL'!J41+'WH - PERM'!J41+'WH-VOC'!J41+QYP!J41+'BH Team'!J72+'Teen Court'!J41+'SK - HUSLY'!J41+'SK - TL'!J41+'SK - PERM'!J41+'SK - VOC'!J41)</f>
        <v>1348.3333333333333</v>
      </c>
      <c r="K81" s="230">
        <f>SUM(CMS!K41+HSSP!K41+'WH - SOP'!K41+'WH - PAD'!K41+'WH - HUSLY'!K41+'WH - TL'!K41+'WH - PERM'!K41+'WH-VOC'!K41+QYP!K41+'BH Team'!K72+'Teen Court'!K41+'SK - HUSLY'!K41+'SK - TL'!K41+'SK - PERM'!K41+'SK - VOC'!K41)</f>
        <v>1348.3333333333333</v>
      </c>
      <c r="L81" s="230">
        <f>SUM(CMS!L41+HSSP!L41+'WH - SOP'!L41+'WH - PAD'!L41+'WH - HUSLY'!L41+'WH - TL'!L41+'WH - PERM'!L41+'WH-VOC'!L41+QYP!L41+'BH Team'!L72+'Teen Court'!L41+'SK - HUSLY'!L41+'SK - TL'!L41+'SK - PERM'!L41+'SK - VOC'!L41)</f>
        <v>1348.3333333333333</v>
      </c>
      <c r="M81" s="230">
        <f>SUM(CMS!M41+HSSP!M41+'WH - SOP'!M41+'WH - PAD'!M41+'WH - HUSLY'!M41+'WH - TL'!M41+'WH - PERM'!M41+'WH-VOC'!M41+QYP!M41+'BH Team'!M72+'Teen Court'!M41+'SK - HUSLY'!M41+'SK - TL'!M41+'SK - PERM'!M41+'SK - VOC'!M41)</f>
        <v>1348.3333333333333</v>
      </c>
      <c r="N81" s="230">
        <f>SUM(CMS!N41+HSSP!N41+'WH - SOP'!N41+'WH - PAD'!N41+'WH - HUSLY'!N41+'WH - TL'!N41+'WH - PERM'!N41+'WH-VOC'!N41+QYP!N41+'BH Team'!N72+'Teen Court'!N41+'SK - HUSLY'!N41+'SK - TL'!N41+'SK - PERM'!N41+'SK - VOC'!N41)</f>
        <v>1348.3333333333333</v>
      </c>
      <c r="O81" s="233">
        <f t="shared" si="0"/>
        <v>16180.000000000002</v>
      </c>
      <c r="P81" s="388">
        <v>105861.5</v>
      </c>
      <c r="Q81" s="383">
        <f t="shared" si="7"/>
        <v>-89681.5</v>
      </c>
    </row>
    <row r="82" spans="2:25" x14ac:dyDescent="0.25">
      <c r="B82" s="16" t="s">
        <v>148</v>
      </c>
      <c r="C82" s="230">
        <f>SUM(CMS!C42+Fundraising!C42+HSSP!C42+'WH - SOP'!C42+'WH - PAD'!C42+'WH - HUSLY'!C42+'WH - TL'!C42+'WH - PERM'!C42+'WH-VOC'!C42+QYP!C42+'BH Team'!C73+'Teen Court'!C42+'SK - HUSLY'!C42+'SK - TL'!C42+'SK - PERM'!C42+'SK - VOC'!C42+'22 North'!C42)</f>
        <v>38278.333333333328</v>
      </c>
      <c r="D82" s="230">
        <f>SUM(CMS!D42+Fundraising!D42+HSSP!D42+'WH - SOP'!D42+'WH - PAD'!D42+'WH - HUSLY'!D42+'WH - TL'!D42+'WH - PERM'!D42+'WH-VOC'!D42+QYP!D42+'BH Team'!D73+'Teen Court'!D42+'SK - HUSLY'!D42+'SK - TL'!D42+'SK - PERM'!D42+'SK - VOC'!D42+'22 North'!D42)</f>
        <v>16611.333333333332</v>
      </c>
      <c r="E82" s="230">
        <f>SUM(CMS!E42+Fundraising!E42+HSSP!E42+'WH - SOP'!E42+'WH - PAD'!E42+'WH - HUSLY'!E42+'WH - TL'!E42+'WH - PERM'!E42+'WH-VOC'!E42+QYP!E42+'BH Team'!E73+'Teen Court'!E42+'SK - HUSLY'!E42+'SK - TL'!E42+'SK - PERM'!E42+'SK - VOC'!E42+'22 North'!E42)</f>
        <v>17361.333333333332</v>
      </c>
      <c r="F82" s="230">
        <f>SUM(CMS!F42+Fundraising!F42+HSSP!F42+'WH - SOP'!F42+'WH - PAD'!F42+'WH - HUSLY'!F42+'WH - TL'!F42+'WH - PERM'!F42+'WH-VOC'!F42+QYP!F42+'BH Team'!F73+'Teen Court'!F42+'SK - HUSLY'!F42+'SK - TL'!F42+'SK - PERM'!F42+'SK - VOC'!F42+'22 North'!F42)</f>
        <v>16611.333333333332</v>
      </c>
      <c r="G82" s="230">
        <f>SUM(CMS!G42+Fundraising!G42+HSSP!G42+'WH - SOP'!G42+'WH - PAD'!G42+'WH - HUSLY'!G42+'WH - TL'!G42+'WH - PERM'!G42+'WH-VOC'!G42+QYP!G42+'BH Team'!G73+'Teen Court'!G42+'SK - HUSLY'!G42+'SK - TL'!G42+'SK - PERM'!G42+'SK - VOC'!G42+'22 North'!G42)</f>
        <v>17769.666666666664</v>
      </c>
      <c r="H82" s="230">
        <f>SUM(CMS!H42+Fundraising!H42+HSSP!H42+'WH - SOP'!H42+'WH - PAD'!H42+'WH - HUSLY'!H42+'WH - TL'!H42+'WH - PERM'!H42+'WH-VOC'!H42+QYP!H42+'BH Team'!H73+'Teen Court'!H42+'SK - HUSLY'!H42+'SK - TL'!H42+'SK - PERM'!H42+'SK - VOC'!H42+'22 North'!H42)</f>
        <v>17769.666666666664</v>
      </c>
      <c r="I82" s="230">
        <f>SUM(CMS!I42+Fundraising!I42+HSSP!I42+'WH - SOP'!I42+'WH - PAD'!I42+'WH - HUSLY'!I42+'WH - TL'!I42+'WH - PERM'!I42+'WH-VOC'!I42+QYP!I42+'BH Team'!I73+'Teen Court'!I42+'SK - HUSLY'!I42+'SK - TL'!I42+'SK - PERM'!I42+'SK - VOC'!I42+'22 North'!I42)</f>
        <v>17769.666666666664</v>
      </c>
      <c r="J82" s="230">
        <f>SUM(CMS!J42+Fundraising!J42+HSSP!J42+'WH - SOP'!J42+'WH - PAD'!J42+'WH - HUSLY'!J42+'WH - TL'!J42+'WH - PERM'!J42+'WH-VOC'!J42+QYP!J42+'BH Team'!J73+'Teen Court'!J42+'SK - HUSLY'!J42+'SK - TL'!J42+'SK - PERM'!J42+'SK - VOC'!J42+'22 North'!J42)</f>
        <v>17769.666666666664</v>
      </c>
      <c r="K82" s="230">
        <f>SUM(CMS!K42+Fundraising!K42+HSSP!K42+'WH - SOP'!K42+'WH - PAD'!K42+'WH - HUSLY'!K42+'WH - TL'!K42+'WH - PERM'!K42+'WH-VOC'!K42+QYP!K42+'BH Team'!K73+'Teen Court'!K42+'SK - HUSLY'!K42+'SK - TL'!K42+'SK - PERM'!K42+'SK - VOC'!K42+'22 North'!K42)</f>
        <v>17769.666666666664</v>
      </c>
      <c r="L82" s="230">
        <f>SUM(CMS!L42+Fundraising!L42+HSSP!L42+'WH - SOP'!L42+'WH - PAD'!L42+'WH - HUSLY'!L42+'WH - TL'!L42+'WH - PERM'!L42+'WH-VOC'!L42+QYP!L42+'BH Team'!L73+'Teen Court'!L42+'SK - HUSLY'!L42+'SK - TL'!L42+'SK - PERM'!L42+'SK - VOC'!L42+'22 North'!L42)</f>
        <v>17769.666666666664</v>
      </c>
      <c r="M82" s="230">
        <f>SUM(CMS!M42+Fundraising!M42+HSSP!M42+'WH - SOP'!M42+'WH - PAD'!M42+'WH - HUSLY'!M42+'WH - TL'!M42+'WH - PERM'!M42+'WH-VOC'!M42+QYP!M42+'BH Team'!M73+'Teen Court'!M42+'SK - HUSLY'!M42+'SK - TL'!M42+'SK - PERM'!M42+'SK - VOC'!M42+'22 North'!M42)</f>
        <v>28436.666666666668</v>
      </c>
      <c r="N82" s="230">
        <f>SUM(CMS!N42+Fundraising!N42+HSSP!N42+'WH - SOP'!N42+'WH - PAD'!N42+'WH - HUSLY'!N42+'WH - TL'!N42+'WH - PERM'!N42+'WH-VOC'!N42+QYP!N42+'BH Team'!N73+'Teen Court'!N42+'SK - HUSLY'!N42+'SK - TL'!N42+'SK - PERM'!N42+'SK - VOC'!N42+'22 North'!N42)</f>
        <v>43079.666666666664</v>
      </c>
      <c r="O82" s="233">
        <f t="shared" si="0"/>
        <v>266996.66666666657</v>
      </c>
      <c r="P82" s="388">
        <v>230661</v>
      </c>
      <c r="Q82" s="383">
        <f t="shared" si="7"/>
        <v>36335.66666666657</v>
      </c>
    </row>
    <row r="83" spans="2:25" s="68" customFormat="1" x14ac:dyDescent="0.25">
      <c r="B83" s="16" t="s">
        <v>702</v>
      </c>
      <c r="C83" s="230">
        <f>SUM(Fundraising!C41)</f>
        <v>8333.3333333333339</v>
      </c>
      <c r="D83" s="230">
        <f>SUM(Fundraising!D41)</f>
        <v>8333.3333333333339</v>
      </c>
      <c r="E83" s="230">
        <f>SUM(Fundraising!E41)</f>
        <v>8333.3333333333339</v>
      </c>
      <c r="F83" s="230">
        <f>SUM(Fundraising!F41)</f>
        <v>8333.3333333333339</v>
      </c>
      <c r="G83" s="230">
        <f>SUM(Fundraising!G41)</f>
        <v>8333.3333333333339</v>
      </c>
      <c r="H83" s="230">
        <f>SUM(Fundraising!H41)</f>
        <v>8333.3333333333339</v>
      </c>
      <c r="I83" s="230">
        <f>SUM(Fundraising!I41)</f>
        <v>8333.3333333333339</v>
      </c>
      <c r="J83" s="230">
        <f>SUM(Fundraising!J41)</f>
        <v>8333.3333333333339</v>
      </c>
      <c r="K83" s="230">
        <f>SUM(Fundraising!K41)</f>
        <v>8333.3333333333339</v>
      </c>
      <c r="L83" s="230">
        <f>SUM(Fundraising!L41)</f>
        <v>8333.3333333333339</v>
      </c>
      <c r="M83" s="230">
        <f>SUM(Fundraising!M41)</f>
        <v>8333.3333333333339</v>
      </c>
      <c r="N83" s="230">
        <f>SUM(Fundraising!N41)</f>
        <v>8333.3333333333339</v>
      </c>
      <c r="O83" s="233">
        <f t="shared" si="0"/>
        <v>99999.999999999985</v>
      </c>
      <c r="P83" s="388"/>
      <c r="Q83" s="383"/>
    </row>
    <row r="84" spans="2:25" x14ac:dyDescent="0.25">
      <c r="B84" s="16" t="s">
        <v>149</v>
      </c>
      <c r="C84" s="230">
        <f>SUM(CMS!C43+Fundraising!C43+HSSP!C43+'WH - SOP'!C43+'WH - PAD'!C43+'WH - HUSLY'!C43+'WH - TL'!C43+'WH - PERM'!C43+'WH-VOC'!C43+QYP!C43+'BH Team'!C74+'Teen Court'!C43+'SK - HUSLY'!C43+'SK - TL'!C43+'SK - PERM'!C43+'SK - VOC'!C43)</f>
        <v>4</v>
      </c>
      <c r="D84" s="230">
        <f>SUM(CMS!D43+Fundraising!D43+HSSP!D43+'WH - SOP'!D43+'WH - PAD'!D43+'WH - HUSLY'!D43+'WH - TL'!D43+'WH - PERM'!D43+'WH-VOC'!D43+QYP!D43+'BH Team'!D74+'Teen Court'!D43+'SK - HUSLY'!D43+'SK - TL'!D43+'SK - PERM'!D43+'SK - VOC'!D43)</f>
        <v>0</v>
      </c>
      <c r="E84" s="230">
        <f>SUM(CMS!E43+Fundraising!E43+HSSP!E43+'WH - SOP'!E43+'WH - PAD'!E43+'WH - HUSLY'!E43+'WH - TL'!E43+'WH - PERM'!E43+'WH-VOC'!E43+QYP!E43+'BH Team'!E74+'Teen Court'!E43+'SK - HUSLY'!E43+'SK - TL'!E43+'SK - PERM'!E43+'SK - VOC'!E43)</f>
        <v>0</v>
      </c>
      <c r="F84" s="230">
        <f>SUM(CMS!F43+Fundraising!F43+HSSP!F43+'WH - SOP'!F43+'WH - PAD'!F43+'WH - HUSLY'!F43+'WH - TL'!F43+'WH - PERM'!F43+'WH-VOC'!F43+QYP!F43+'BH Team'!F74+'Teen Court'!F43+'SK - HUSLY'!F43+'SK - TL'!F43+'SK - PERM'!F43+'SK - VOC'!F43)</f>
        <v>0</v>
      </c>
      <c r="G84" s="230">
        <f>SUM(CMS!G43+Fundraising!G43+HSSP!G43+'WH - SOP'!G43+'WH - PAD'!G43+'WH - HUSLY'!G43+'WH - TL'!G43+'WH - PERM'!G43+'WH-VOC'!G43+QYP!G43+'BH Team'!G74+'Teen Court'!G43+'SK - HUSLY'!G43+'SK - TL'!G43+'SK - PERM'!G43+'SK - VOC'!G43)</f>
        <v>0</v>
      </c>
      <c r="H84" s="230">
        <f>SUM(CMS!H43+Fundraising!H43+HSSP!H43+'WH - SOP'!H43+'WH - PAD'!H43+'WH - HUSLY'!H43+'WH - TL'!H43+'WH - PERM'!H43+'WH-VOC'!H43+QYP!H43+'BH Team'!H74+'Teen Court'!H43+'SK - HUSLY'!H43+'SK - TL'!H43+'SK - PERM'!H43+'SK - VOC'!H43)</f>
        <v>0</v>
      </c>
      <c r="I84" s="230">
        <f>SUM(CMS!I43+Fundraising!I43+HSSP!I43+'WH - SOP'!I43+'WH - PAD'!I43+'WH - HUSLY'!I43+'WH - TL'!I43+'WH - PERM'!I43+'WH-VOC'!I43+QYP!I43+'BH Team'!I74+'Teen Court'!I43+'SK - HUSLY'!I43+'SK - TL'!I43+'SK - PERM'!I43+'SK - VOC'!I43)</f>
        <v>0</v>
      </c>
      <c r="J84" s="230">
        <f>SUM(CMS!J43+Fundraising!J43+HSSP!J43+'WH - SOP'!J43+'WH - PAD'!J43+'WH - HUSLY'!J43+'WH - TL'!J43+'WH - PERM'!J43+'WH-VOC'!J43+QYP!J43+'BH Team'!J74+'Teen Court'!J43+'SK - HUSLY'!J43+'SK - TL'!J43+'SK - PERM'!J43+'SK - VOC'!J43)</f>
        <v>0</v>
      </c>
      <c r="K84" s="230">
        <f>SUM(CMS!K43+Fundraising!K43+HSSP!K43+'WH - SOP'!K43+'WH - PAD'!K43+'WH - HUSLY'!K43+'WH - TL'!K43+'WH - PERM'!K43+'WH-VOC'!K43+QYP!K43+'BH Team'!K74+'Teen Court'!K43+'SK - HUSLY'!K43+'SK - TL'!K43+'SK - PERM'!K43+'SK - VOC'!K43)</f>
        <v>0</v>
      </c>
      <c r="L84" s="230">
        <f>SUM(CMS!L43+Fundraising!L43+HSSP!L43+'WH - SOP'!L43+'WH - PAD'!L43+'WH - HUSLY'!L43+'WH - TL'!L43+'WH - PERM'!L43+'WH-VOC'!L43+QYP!L43+'BH Team'!L74+'Teen Court'!L43+'SK - HUSLY'!L43+'SK - TL'!L43+'SK - PERM'!L43+'SK - VOC'!L43)</f>
        <v>0</v>
      </c>
      <c r="M84" s="230">
        <f>SUM(CMS!M43+Fundraising!M43+HSSP!M43+'WH - SOP'!M43+'WH - PAD'!M43+'WH - HUSLY'!M43+'WH - TL'!M43+'WH - PERM'!M43+'WH-VOC'!M43+QYP!M43+'BH Team'!M74+'Teen Court'!M43+'SK - HUSLY'!M43+'SK - TL'!M43+'SK - PERM'!M43+'SK - VOC'!M43)</f>
        <v>0</v>
      </c>
      <c r="N84" s="230">
        <f>SUM(CMS!N43+Fundraising!N43+HSSP!N43+'WH - SOP'!N43+'WH - PAD'!N43+'WH - HUSLY'!N43+'WH - TL'!N43+'WH - PERM'!N43+'WH-VOC'!N43+QYP!N43+'BH Team'!N74+'Teen Court'!N43+'SK - HUSLY'!N43+'SK - TL'!N43+'SK - PERM'!N43+'SK - VOC'!N43)</f>
        <v>0</v>
      </c>
      <c r="O84" s="233">
        <f t="shared" si="0"/>
        <v>4</v>
      </c>
      <c r="P84" s="388">
        <v>4</v>
      </c>
      <c r="Q84" s="383">
        <f t="shared" si="7"/>
        <v>0</v>
      </c>
    </row>
    <row r="85" spans="2:25" s="68" customFormat="1" x14ac:dyDescent="0.25">
      <c r="B85" s="16" t="s">
        <v>150</v>
      </c>
      <c r="C85" s="230">
        <f>SUM(CMS!C44+Fundraising!C44+HSSP!C44+'WH - SOP'!C44+'WH - PAD'!C44+'WH - HUSLY'!C44+'WH - TL'!C44+'WH - PERM'!C44+'WH-VOC'!C44+QYP!C44+'BH Team'!C75+'Teen Court'!C44+'SK - HUSLY'!C44+'SK - TL'!C44+'SK - PERM'!C44+'SK - VOC'!C44)</f>
        <v>0</v>
      </c>
      <c r="D85" s="230">
        <f>SUM(CMS!D44+Fundraising!D44+HSSP!D44+'WH - SOP'!D44+'WH - PAD'!D44+'WH - HUSLY'!D44+'WH - TL'!D44+'WH - PERM'!D44+'WH-VOC'!D44+QYP!D44+'BH Team'!D75+'Teen Court'!D44+'SK - HUSLY'!D44+'SK - TL'!D44+'SK - PERM'!D44+'SK - VOC'!D44)</f>
        <v>0</v>
      </c>
      <c r="E85" s="230">
        <f>SUM(CMS!E44+Fundraising!E44+HSSP!E44+'WH - SOP'!E44+'WH - PAD'!E44+'WH - HUSLY'!E44+'WH - TL'!E44+'WH - PERM'!E44+'WH-VOC'!E44+QYP!E44+'BH Team'!E75+'Teen Court'!E44+'SK - HUSLY'!E44+'SK - TL'!E44+'SK - PERM'!E44+'SK - VOC'!E44)</f>
        <v>0</v>
      </c>
      <c r="F85" s="230">
        <f>SUM(CMS!F44+Fundraising!F44+HSSP!F44+'WH - SOP'!F44+'WH - PAD'!F44+'WH - HUSLY'!F44+'WH - TL'!F44+'WH - PERM'!F44+'WH-VOC'!F44+QYP!F44+'BH Team'!F75+'Teen Court'!F44+'SK - HUSLY'!F44+'SK - TL'!F44+'SK - PERM'!F44+'SK - VOC'!F44)</f>
        <v>0</v>
      </c>
      <c r="G85" s="230">
        <f>SUM(CMS!G44+Fundraising!G44+HSSP!G44+'WH - SOP'!G44+'WH - PAD'!G44+'WH - HUSLY'!G44+'WH - TL'!G44+'WH - PERM'!G44+'WH-VOC'!G44+QYP!G44+'BH Team'!G75+'Teen Court'!G44+'SK - HUSLY'!G44+'SK - TL'!G44+'SK - PERM'!G44+'SK - VOC'!G44)</f>
        <v>0</v>
      </c>
      <c r="H85" s="230">
        <f>SUM(CMS!H44+Fundraising!H44+HSSP!H44+'WH - SOP'!H44+'WH - PAD'!H44+'WH - HUSLY'!H44+'WH - TL'!H44+'WH - PERM'!H44+'WH-VOC'!H44+QYP!H44+'BH Team'!H75+'Teen Court'!H44+'SK - HUSLY'!H44+'SK - TL'!H44+'SK - PERM'!H44+'SK - VOC'!H44)</f>
        <v>0</v>
      </c>
      <c r="I85" s="230">
        <f>SUM(CMS!I44+Fundraising!I44+HSSP!I44+'WH - SOP'!I44+'WH - PAD'!I44+'WH - HUSLY'!I44+'WH - TL'!I44+'WH - PERM'!I44+'WH-VOC'!I44+QYP!I44+'BH Team'!I75+'Teen Court'!I44+'SK - HUSLY'!I44+'SK - TL'!I44+'SK - PERM'!I44+'SK - VOC'!I44)</f>
        <v>0</v>
      </c>
      <c r="J85" s="230">
        <f>SUM(CMS!J44+Fundraising!J44+HSSP!J44+'WH - SOP'!J44+'WH - PAD'!J44+'WH - HUSLY'!J44+'WH - TL'!J44+'WH - PERM'!J44+'WH-VOC'!J44+QYP!J44+'BH Team'!J75+'Teen Court'!J44+'SK - HUSLY'!J44+'SK - TL'!J44+'SK - PERM'!J44+'SK - VOC'!J44)</f>
        <v>0</v>
      </c>
      <c r="K85" s="230">
        <f>SUM(CMS!K44+Fundraising!K44+HSSP!K44+'WH - SOP'!K44+'WH - PAD'!K44+'WH - HUSLY'!K44+'WH - TL'!K44+'WH - PERM'!K44+'WH-VOC'!K44+QYP!K44+'BH Team'!K75+'Teen Court'!K44+'SK - HUSLY'!K44+'SK - TL'!K44+'SK - PERM'!K44+'SK - VOC'!K44)</f>
        <v>0</v>
      </c>
      <c r="L85" s="230">
        <f>SUM(CMS!L44+Fundraising!L44+HSSP!L44+'WH - SOP'!L44+'WH - PAD'!L44+'WH - HUSLY'!L44+'WH - TL'!L44+'WH - PERM'!L44+'WH-VOC'!L44+QYP!L44+'BH Team'!L75+'Teen Court'!L44+'SK - HUSLY'!L44+'SK - TL'!L44+'SK - PERM'!L44+'SK - VOC'!L44)</f>
        <v>0</v>
      </c>
      <c r="M85" s="230">
        <f>SUM(CMS!M44+Fundraising!M44+HSSP!M44+'WH - SOP'!M44+'WH - PAD'!M44+'WH - HUSLY'!M44+'WH - TL'!M44+'WH - PERM'!M44+'WH-VOC'!M44+QYP!M44+'BH Team'!M75+'Teen Court'!M44+'SK - HUSLY'!M44+'SK - TL'!M44+'SK - PERM'!M44+'SK - VOC'!M44)</f>
        <v>0</v>
      </c>
      <c r="N85" s="230">
        <f>SUM(CMS!N44+Fundraising!N44+HSSP!N44+'WH - SOP'!N44+'WH - PAD'!N44+'WH - HUSLY'!N44+'WH - TL'!N44+'WH - PERM'!N44+'WH-VOC'!N44+QYP!N44+'BH Team'!N75+'Teen Court'!N44+'SK - HUSLY'!N44+'SK - TL'!N44+'SK - PERM'!N44+'SK - VOC'!N44)</f>
        <v>0</v>
      </c>
      <c r="O85" s="233">
        <f t="shared" si="0"/>
        <v>0</v>
      </c>
      <c r="P85" s="388">
        <v>0</v>
      </c>
      <c r="Q85" s="383">
        <f t="shared" si="7"/>
        <v>0</v>
      </c>
    </row>
    <row r="86" spans="2:25" ht="16.5" thickBot="1" x14ac:dyDescent="0.3">
      <c r="B86" s="393" t="s">
        <v>18</v>
      </c>
      <c r="C86" s="230">
        <f>SUM(CMS!C45+Fundraising!C45+HSSP!C45+'WH - SOP'!C45+'WH - PAD'!C45+'WH - HUSLY'!C45+'WH - TL'!C45+'WH - PERM'!C45+'WH-VOC'!C45+QYP!C45+'BH Team'!C76+'Teen Court'!C45+'SK - HUSLY'!C45+'SK - TL'!C45+'SK - PERM'!C45+'SK - VOC'!C45)</f>
        <v>0</v>
      </c>
      <c r="D86" s="230">
        <f>SUM(CMS!D45+Fundraising!D45+HSSP!D45+'WH - SOP'!D45+'WH - PAD'!D45+'WH - HUSLY'!D45+'WH - TL'!D45+'WH - PERM'!D45+'WH-VOC'!D45+QYP!D45+'BH Team'!D76+'Teen Court'!D45+'SK - HUSLY'!D45+'SK - TL'!D45+'SK - PERM'!D45+'SK - VOC'!D45)</f>
        <v>0</v>
      </c>
      <c r="E86" s="230">
        <f>SUM(CMS!E45+Fundraising!E45+HSSP!E45+'WH - SOP'!E45+'WH - PAD'!E45+'WH - HUSLY'!E45+'WH - TL'!E45+'WH - PERM'!E45+'WH-VOC'!E45+QYP!E45+'BH Team'!E76+'Teen Court'!E45+'SK - HUSLY'!E45+'SK - TL'!E45+'SK - PERM'!E45+'SK - VOC'!E45)</f>
        <v>0</v>
      </c>
      <c r="F86" s="230">
        <f>SUM(CMS!F45+Fundraising!F45+HSSP!F45+'WH - SOP'!F45+'WH - PAD'!F45+'WH - HUSLY'!F45+'WH - TL'!F45+'WH - PERM'!F45+'WH-VOC'!F45+QYP!F45+'BH Team'!F76+'Teen Court'!F45+'SK - HUSLY'!F45+'SK - TL'!F45+'SK - PERM'!F45+'SK - VOC'!F45)</f>
        <v>0</v>
      </c>
      <c r="G86" s="230">
        <f>SUM(CMS!G45+Fundraising!G45+HSSP!G45+'WH - SOP'!G45+'WH - PAD'!G45+'WH - HUSLY'!G45+'WH - TL'!G45+'WH - PERM'!G45+'WH-VOC'!G45+QYP!G45+'BH Team'!G76+'Teen Court'!G45+'SK - HUSLY'!G45+'SK - TL'!G45+'SK - PERM'!G45+'SK - VOC'!G45)</f>
        <v>0</v>
      </c>
      <c r="H86" s="230">
        <f>SUM(CMS!H45+Fundraising!H45+HSSP!H45+'WH - SOP'!H45+'WH - PAD'!H45+'WH - HUSLY'!H45+'WH - TL'!H45+'WH - PERM'!H45+'WH-VOC'!H45+QYP!H45+'BH Team'!H76+'Teen Court'!H45+'SK - HUSLY'!H45+'SK - TL'!H45+'SK - PERM'!H45+'SK - VOC'!H45)</f>
        <v>0</v>
      </c>
      <c r="I86" s="230">
        <f>SUM(CMS!I45+Fundraising!I45+HSSP!I45+'WH - SOP'!I45+'WH - PAD'!I45+'WH - HUSLY'!I45+'WH - TL'!I45+'WH - PERM'!I45+'WH-VOC'!I45+QYP!I45+'BH Team'!I76+'Teen Court'!I45+'SK - HUSLY'!I45+'SK - TL'!I45+'SK - PERM'!I45+'SK - VOC'!I45)</f>
        <v>0</v>
      </c>
      <c r="J86" s="230">
        <f>SUM(CMS!J45+Fundraising!J45+HSSP!J45+'WH - SOP'!J45+'WH - PAD'!J45+'WH - HUSLY'!J45+'WH - TL'!J45+'WH - PERM'!J45+'WH-VOC'!J45+QYP!J45+'BH Team'!J76+'Teen Court'!J45+'SK - HUSLY'!J45+'SK - TL'!J45+'SK - PERM'!J45+'SK - VOC'!J45)</f>
        <v>0</v>
      </c>
      <c r="K86" s="230">
        <f>SUM(CMS!K45+Fundraising!K45+HSSP!K45+'WH - SOP'!K45+'WH - PAD'!K45+'WH - HUSLY'!K45+'WH - TL'!K45+'WH - PERM'!K45+'WH-VOC'!K45+QYP!K45+'BH Team'!K76+'Teen Court'!K45+'SK - HUSLY'!K45+'SK - TL'!K45+'SK - PERM'!K45+'SK - VOC'!K45)</f>
        <v>1500</v>
      </c>
      <c r="L86" s="230">
        <f>SUM(CMS!L45+Fundraising!L45+HSSP!L45+'WH - SOP'!L45+'WH - PAD'!L45+'WH - HUSLY'!L45+'WH - TL'!L45+'WH - PERM'!L45+'WH-VOC'!L45+QYP!L45+'BH Team'!L76+'Teen Court'!L45+'SK - HUSLY'!L45+'SK - TL'!L45+'SK - PERM'!L45+'SK - VOC'!L45)</f>
        <v>0</v>
      </c>
      <c r="M86" s="230">
        <f>SUM(CMS!M45+Fundraising!M45+HSSP!M45+'WH - SOP'!M45+'WH - PAD'!M45+'WH - HUSLY'!M45+'WH - TL'!M45+'WH - PERM'!M45+'WH-VOC'!M45+QYP!M45+'BH Team'!M76+'Teen Court'!M45+'SK - HUSLY'!M45+'SK - TL'!M45+'SK - PERM'!M45+'SK - VOC'!M45)</f>
        <v>0</v>
      </c>
      <c r="N86" s="230">
        <f>SUM(CMS!N45+Fundraising!N45+HSSP!N45+'WH - SOP'!N45+'WH - PAD'!N45+'WH - HUSLY'!N45+'WH - TL'!N45+'WH - PERM'!N45+'WH-VOC'!N45+QYP!N45+'BH Team'!N76+'Teen Court'!N45+'SK - HUSLY'!N45+'SK - TL'!N45+'SK - PERM'!N45+'SK - VOC'!N45)</f>
        <v>0</v>
      </c>
      <c r="O86" s="233">
        <f t="shared" si="0"/>
        <v>1500</v>
      </c>
      <c r="P86" s="389">
        <v>67740</v>
      </c>
      <c r="Q86" s="383">
        <f t="shared" si="7"/>
        <v>-66240</v>
      </c>
    </row>
    <row r="87" spans="2:25" x14ac:dyDescent="0.25">
      <c r="B87" s="17" t="s">
        <v>19</v>
      </c>
      <c r="C87" s="18">
        <f t="shared" ref="C87:N87" si="8">SUM(C8:C86)</f>
        <v>332283.25718158629</v>
      </c>
      <c r="D87" s="18">
        <f t="shared" si="8"/>
        <v>256634.87384825308</v>
      </c>
      <c r="E87" s="18">
        <f t="shared" si="8"/>
        <v>248490.54051491973</v>
      </c>
      <c r="F87" s="18">
        <f t="shared" si="8"/>
        <v>243291.42621339465</v>
      </c>
      <c r="G87" s="18">
        <f t="shared" si="8"/>
        <v>278762.38918206381</v>
      </c>
      <c r="H87" s="18">
        <f t="shared" si="8"/>
        <v>277125.00615657814</v>
      </c>
      <c r="I87" s="18">
        <f t="shared" si="8"/>
        <v>287773.55182657059</v>
      </c>
      <c r="J87" s="18">
        <f t="shared" si="8"/>
        <v>254000.06610521665</v>
      </c>
      <c r="K87" s="18">
        <f t="shared" si="8"/>
        <v>268015.3931538086</v>
      </c>
      <c r="L87" s="18">
        <f t="shared" si="8"/>
        <v>275712.3931538086</v>
      </c>
      <c r="M87" s="18">
        <f t="shared" si="8"/>
        <v>355379.3931538086</v>
      </c>
      <c r="N87" s="132">
        <f t="shared" si="8"/>
        <v>458568.39315380855</v>
      </c>
      <c r="O87" s="134">
        <f>SUM(O35+O78+O79+O80+O81+O82+O84+O85+O86+O83)</f>
        <v>3536036.6836438174</v>
      </c>
      <c r="P87" s="384">
        <v>2461346.202977255</v>
      </c>
      <c r="Q87" s="134">
        <f>SUM(Q35+Q78+Q79+Q80+Q81+Q82+Q84+Q85+Q86)</f>
        <v>974690.48066656245</v>
      </c>
    </row>
    <row r="88" spans="2:25" x14ac:dyDescent="0.25">
      <c r="B88" s="8"/>
      <c r="C88" s="19"/>
      <c r="D88" s="19"/>
      <c r="E88" s="19"/>
      <c r="F88" s="19"/>
      <c r="G88" s="19"/>
      <c r="H88" s="19"/>
      <c r="I88" s="19"/>
      <c r="J88" s="19"/>
      <c r="K88" s="19"/>
      <c r="L88" s="19"/>
      <c r="M88" s="19"/>
      <c r="N88" s="19"/>
      <c r="O88" s="99">
        <f>SUM('Summary - All Cost Ctrs'!B178)</f>
        <v>3536036.683643817</v>
      </c>
      <c r="P88" s="138">
        <v>2461346.202977255</v>
      </c>
      <c r="Q88" s="112">
        <f>SUM(O88-P88)</f>
        <v>1074690.480666562</v>
      </c>
    </row>
    <row r="89" spans="2:25" x14ac:dyDescent="0.25">
      <c r="B89" s="55" t="s">
        <v>20</v>
      </c>
      <c r="C89" s="8"/>
      <c r="D89" s="8"/>
      <c r="E89" s="8"/>
      <c r="F89" s="8"/>
      <c r="G89" s="8"/>
      <c r="H89" s="8"/>
      <c r="I89" s="8"/>
      <c r="J89" s="8"/>
      <c r="K89" s="8"/>
      <c r="L89" s="8"/>
      <c r="M89" s="8"/>
      <c r="N89" s="8"/>
      <c r="O89" s="99">
        <f>SUM(O87-O88)</f>
        <v>4.6566128730773926E-10</v>
      </c>
    </row>
    <row r="90" spans="2:25" x14ac:dyDescent="0.25">
      <c r="B90" s="16" t="s">
        <v>21</v>
      </c>
      <c r="C90" s="104">
        <f>SUM(CMS!C50+Fundraising!C50+HSSP!C50+'WH - SOP'!C50+'WH - PAD'!C50+'WH - HUSLY'!C50+'WH - TL'!C50+'WH - PERM'!C50+'WH-VOC'!C50+QYP!C50+'BH Team'!C81+'Teen Court'!C50+'SK - HUSLY'!C50+'SK - TL'!C50+'SK - PERM'!C50+'SK - VOC'!C50+'22 North'!C50)</f>
        <v>165859.26189452055</v>
      </c>
      <c r="D90" s="104">
        <f>SUM(CMS!D50+Fundraising!D50+HSSP!D50+'WH - SOP'!D50+'WH - PAD'!D50+'WH - HUSLY'!D50+'WH - TL'!D50+'WH - PERM'!D50+'WH-VOC'!D50+QYP!D50+'BH Team'!D81+'Teen Court'!D50+'SK - HUSLY'!D50+'SK - TL'!D50+'SK - PERM'!D50+'SK - VOC'!D50+'22 North'!D50)</f>
        <v>165946.08573641948</v>
      </c>
      <c r="E90" s="104">
        <f>SUM(CMS!E50+Fundraising!E50+HSSP!E50+'WH - SOP'!E50+'WH - PAD'!E50+'WH - HUSLY'!E50+'WH - TL'!E50+'WH - PERM'!E50+'WH-VOC'!E50+QYP!E50+'BH Team'!E81+'Teen Court'!E50+'SK - HUSLY'!E50+'SK - TL'!E50+'SK - PERM'!E50+'SK - VOC'!E50+'22 North'!E50)</f>
        <v>165897.78934492206</v>
      </c>
      <c r="F90" s="104">
        <f>SUM(CMS!F50+Fundraising!F50+HSSP!F50+'WH - SOP'!F50+'WH - PAD'!F50+'WH - HUSLY'!F50+'WH - TL'!F50+'WH - PERM'!F50+'WH-VOC'!F50+QYP!F50+'BH Team'!F81+'Teen Court'!F50+'SK - HUSLY'!F50+'SK - TL'!F50+'SK - PERM'!F50+'SK - VOC'!F50+'22 North'!F50)</f>
        <v>165601.95685970716</v>
      </c>
      <c r="G90" s="104">
        <f>SUM(CMS!G50+Fundraising!G50+HSSP!G50+'WH - SOP'!G50+'WH - PAD'!G50+'WH - HUSLY'!G50+'WH - TL'!G50+'WH - PERM'!G50+'WH-VOC'!G50+QYP!G50+'BH Team'!G81+'Teen Court'!G50+'SK - HUSLY'!G50+'SK - TL'!G50+'SK - PERM'!G50+'SK - VOC'!G50+'22 North'!G50)</f>
        <v>167544.33136136044</v>
      </c>
      <c r="H90" s="104">
        <f>SUM(CMS!H50+Fundraising!H50+HSSP!H50+'WH - SOP'!H50+'WH - PAD'!H50+'WH - HUSLY'!H50+'WH - TL'!H50+'WH - PERM'!H50+'WH-VOC'!H50+QYP!H50+'BH Team'!H81+'Teen Court'!H50+'SK - HUSLY'!H50+'SK - TL'!H50+'SK - PERM'!H50+'SK - VOC'!H50+'22 North'!H50)</f>
        <v>168914.59689806332</v>
      </c>
      <c r="I90" s="104">
        <f>SUM(CMS!I50+Fundraising!I50+HSSP!I50+'WH - SOP'!I50+'WH - PAD'!I50+'WH - HUSLY'!I50+'WH - TL'!I50+'WH - PERM'!I50+'WH-VOC'!I50+QYP!I50+'BH Team'!I81+'Teen Court'!I50+'SK - HUSLY'!I50+'SK - TL'!I50+'SK - PERM'!I50+'SK - VOC'!I50+'22 North'!I50)</f>
        <v>171599.02345970718</v>
      </c>
      <c r="J90" s="104">
        <f>SUM(CMS!J50+Fundraising!J50+HSSP!J50+'WH - SOP'!J50+'WH - PAD'!J50+'WH - HUSLY'!J50+'WH - TL'!J50+'WH - PERM'!J50+'WH-VOC'!J50+QYP!J50+'BH Team'!J81+'Teen Court'!J50+'SK - HUSLY'!J50+'SK - TL'!J50+'SK - PERM'!J50+'SK - VOC'!J50+'22 North'!J50)</f>
        <v>171519.39700302319</v>
      </c>
      <c r="K90" s="104">
        <f>SUM(CMS!K50+Fundraising!K50+HSSP!K50+'WH - SOP'!K50+'WH - PAD'!K50+'WH - HUSLY'!K50+'WH - TL'!K50+'WH - PERM'!K50+'WH-VOC'!K50+QYP!K50+'BH Team'!K81+'Teen Court'!K50+'SK - HUSLY'!K50+'SK - TL'!K50+'SK - PERM'!K50+'SK - VOC'!K50+'22 North'!K50)</f>
        <v>173982.66685970715</v>
      </c>
      <c r="L90" s="104">
        <f>SUM(CMS!L50+Fundraising!L50+HSSP!L50+'WH - SOP'!L50+'WH - PAD'!L50+'WH - HUSLY'!L50+'WH - TL'!L50+'WH - PERM'!L50+'WH-VOC'!L50+QYP!L50+'BH Team'!L81+'Teen Court'!L50+'SK - HUSLY'!L50+'SK - TL'!L50+'SK - PERM'!L50+'SK - VOC'!L50+'22 North'!L50)</f>
        <v>173974.50136136045</v>
      </c>
      <c r="M90" s="104">
        <f>SUM(CMS!M50+Fundraising!M50+HSSP!M50+'WH - SOP'!M50+'WH - PAD'!M50+'WH - HUSLY'!M50+'WH - TL'!M50+'WH - PERM'!M50+'WH-VOC'!M50+QYP!M50+'BH Team'!M81+'Teen Court'!M50+'SK - HUSLY'!M50+'SK - TL'!M50+'SK - PERM'!M50+'SK - VOC'!M50+'22 North'!M50)</f>
        <v>173745.50197477563</v>
      </c>
      <c r="N90" s="104">
        <f>SUM(CMS!N50+Fundraising!N50+HSSP!N50+'WH - SOP'!N50+'WH - PAD'!N50+'WH - HUSLY'!N50+'WH - TL'!N50+'WH - PERM'!N50+'WH-VOC'!N50+QYP!N50+'BH Team'!N81+'Teen Court'!N50+'SK - HUSLY'!N50+'SK - TL'!N50+'SK - PERM'!N50+'SK - VOC'!N50+'22 North'!N50)</f>
        <v>173824.42636136044</v>
      </c>
      <c r="O90" s="135">
        <f>SUM(C90:N90)</f>
        <v>2038409.5391149269</v>
      </c>
      <c r="P90" s="386">
        <v>1464148.5610040822</v>
      </c>
      <c r="Q90" s="385">
        <f>SUM(O90-P90)</f>
        <v>574260.97811084474</v>
      </c>
      <c r="R90" s="68" t="s">
        <v>645</v>
      </c>
      <c r="S90" s="68"/>
      <c r="T90" s="68"/>
      <c r="U90" s="68"/>
      <c r="V90" s="68"/>
      <c r="W90" s="68"/>
      <c r="X90" s="68"/>
      <c r="Y90" s="99"/>
    </row>
    <row r="91" spans="2:25" x14ac:dyDescent="0.25">
      <c r="B91" s="20" t="s">
        <v>22</v>
      </c>
      <c r="C91" s="104">
        <f>SUM(CMS!C51+Fundraising!C51+HSSP!C51+'WH - SOP'!C51+'WH - PAD'!C51+'WH - HUSLY'!C51+'WH - TL'!C51+'WH - PERM'!C51+'WH-VOC'!C51+QYP!C51+'BH Team'!C82+'Teen Court'!C51+'SK - HUSLY'!C51+'SK - TL'!C51+'SK - PERM'!C51+'SK - VOC'!C51+'22 North'!C51)</f>
        <v>15164.289316797947</v>
      </c>
      <c r="D91" s="104">
        <f>SUM(CMS!D51+Fundraising!D51+HSSP!D51+'WH - SOP'!D51+'WH - PAD'!D51+'WH - HUSLY'!D51+'WH - TL'!D51+'WH - PERM'!D51+'WH-VOC'!D51+QYP!D51+'BH Team'!D82+'Teen Court'!D51+'SK - HUSLY'!D51+'SK - TL'!D51+'SK - PERM'!D51+'SK - VOC'!D51+'22 North'!D51)</f>
        <v>15171.452283754606</v>
      </c>
      <c r="E91" s="104">
        <f>SUM(CMS!E51+Fundraising!E51+HSSP!E51+'WH - SOP'!E51+'WH - PAD'!E51+'WH - HUSLY'!E51+'WH - TL'!E51+'WH - PERM'!E51+'WH-VOC'!E51+QYP!E51+'BH Team'!E82+'Teen Court'!E51+'SK - HUSLY'!E51+'SK - TL'!E51+'SK - PERM'!E51+'SK - VOC'!E51+'22 North'!E51)</f>
        <v>15167.467831456072</v>
      </c>
      <c r="F91" s="104">
        <f>SUM(CMS!F51+Fundraising!F51+HSSP!F51+'WH - SOP'!F51+'WH - PAD'!F51+'WH - HUSLY'!F51+'WH - TL'!F51+'WH - PERM'!F51+'WH-VOC'!F51+QYP!F51+'BH Team'!F82+'Teen Court'!F51+'SK - HUSLY'!F51+'SK - TL'!F51+'SK - PERM'!F51+'SK - VOC'!F51+'22 North'!F51)</f>
        <v>15141.707061425841</v>
      </c>
      <c r="G91" s="104">
        <f>SUM(CMS!G51+Fundraising!G51+HSSP!G51+'WH - SOP'!G51+'WH - PAD'!G51+'WH - HUSLY'!G51+'WH - TL'!G51+'WH - PERM'!G51+'WH-VOC'!G51+QYP!G51+'BH Team'!G82+'Teen Court'!G51+'SK - HUSLY'!G51+'SK - TL'!G51+'SK - PERM'!G51+'SK - VOC'!G51+'22 North'!G51)</f>
        <v>15308.725907812235</v>
      </c>
      <c r="H91" s="104">
        <f>SUM(CMS!H51+Fundraising!H51+HSSP!H51+'WH - SOP'!H51+'WH - PAD'!H51+'WH - HUSLY'!H51+'WH - TL'!H51+'WH - PERM'!H51+'WH-VOC'!H51+QYP!H51+'BH Team'!H82+'Teen Court'!H51+'SK - HUSLY'!H51+'SK - TL'!H51+'SK - PERM'!H51+'SK - VOC'!H51+'22 North'!H51)</f>
        <v>15430.848567590223</v>
      </c>
      <c r="I91" s="104">
        <f>SUM(CMS!I51+Fundraising!I51+HSSP!I51+'WH - SOP'!I51+'WH - PAD'!I51+'WH - HUSLY'!I51+'WH - TL'!I51+'WH - PERM'!I51+'WH-VOC'!I51+QYP!I51+'BH Team'!I82+'Teen Court'!I51+'SK - HUSLY'!I51+'SK - TL'!I51+'SK - PERM'!I51+'SK - VOC'!I51+'22 North'!I51)</f>
        <v>15663.42139692584</v>
      </c>
      <c r="J91" s="104">
        <f>SUM(CMS!J51+Fundraising!J51+HSSP!J51+'WH - SOP'!J51+'WH - PAD'!J51+'WH - HUSLY'!J51+'WH - TL'!J51+'WH - PERM'!J51+'WH-VOC'!J51+QYP!J51+'BH Team'!J82+'Teen Court'!J51+'SK - HUSLY'!J51+'SK - TL'!J51+'SK - PERM'!J51+'SK - VOC'!J51+'22 North'!J51)</f>
        <v>15656.852214249409</v>
      </c>
      <c r="K91" s="104">
        <f>SUM(CMS!K51+Fundraising!K51+HSSP!K51+'WH - SOP'!K51+'WH - PAD'!K51+'WH - HUSLY'!K51+'WH - TL'!K51+'WH - PERM'!K51+'WH-VOC'!K51+QYP!K51+'BH Team'!K82+'Teen Court'!K51+'SK - HUSLY'!K51+'SK - TL'!K51+'SK - PERM'!K51+'SK - VOC'!K51+'22 North'!K51)</f>
        <v>15866.64173892584</v>
      </c>
      <c r="L91" s="104">
        <f>SUM(CMS!L51+Fundraising!L51+HSSP!L51+'WH - SOP'!L51+'WH - PAD'!L51+'WH - HUSLY'!L51+'WH - TL'!L51+'WH - PERM'!L51+'WH-VOC'!L51+QYP!L51+'BH Team'!L82+'Teen Court'!L51+'SK - HUSLY'!L51+'SK - TL'!L51+'SK - PERM'!L51+'SK - VOC'!L51+'22 North'!L51)</f>
        <v>15865.968085312235</v>
      </c>
      <c r="M91" s="104">
        <f>SUM(CMS!M51+Fundraising!M51+HSSP!M51+'WH - SOP'!M51+'WH - PAD'!M51+'WH - HUSLY'!M51+'WH - TL'!M51+'WH - PERM'!M51+'WH-VOC'!M51+QYP!M51+'BH Team'!M82+'Teen Court'!M51+'SK - HUSLY'!M51+'SK - TL'!M51+'SK - PERM'!M51+'SK - VOC'!M51+'22 North'!M51)</f>
        <v>15846.059693418991</v>
      </c>
      <c r="N91" s="104">
        <f>SUM(CMS!N51+Fundraising!N51+HSSP!N51+'WH - SOP'!N51+'WH - PAD'!N51+'WH - HUSLY'!N51+'WH - TL'!N51+'WH - PERM'!N51+'WH-VOC'!N51+QYP!N51+'BH Team'!N82+'Teen Court'!N51+'SK - HUSLY'!N51+'SK - TL'!N51+'SK - PERM'!N51+'SK - VOC'!N51+'22 North'!N51)</f>
        <v>15852.570955312236</v>
      </c>
      <c r="O91" s="135">
        <f t="shared" ref="O91:O118" si="9">SUM(C91:N91)</f>
        <v>186136.00505298146</v>
      </c>
      <c r="P91" s="386">
        <v>114822.28772508679</v>
      </c>
      <c r="Q91" s="385">
        <f t="shared" ref="Q91:Q118" si="10">SUM(O91-P91)</f>
        <v>71313.717327894672</v>
      </c>
      <c r="R91" s="68"/>
      <c r="S91" s="68"/>
      <c r="T91" s="68"/>
      <c r="U91" s="68"/>
      <c r="V91" s="68"/>
      <c r="W91" s="68"/>
      <c r="X91" s="68"/>
      <c r="Y91" s="68"/>
    </row>
    <row r="92" spans="2:25" x14ac:dyDescent="0.25">
      <c r="B92" s="16" t="s">
        <v>23</v>
      </c>
      <c r="C92" s="104">
        <f>SUM(CMS!C52+Fundraising!C52+HSSP!C52+'WH - SOP'!C52+'WH - PAD'!C52+'WH - HUSLY'!C52+'WH - TL'!C52+'WH - PERM'!C52+'WH-VOC'!C52+QYP!C52+'BH Team'!C83+'Teen Court'!C52+'SK - HUSLY'!C52+'SK - TL'!C52+'SK - PERM'!C52+'SK - VOC'!C52+'22 North'!C52)</f>
        <v>16882.564689720675</v>
      </c>
      <c r="D92" s="104">
        <f>SUM(CMS!D52+Fundraising!D52+HSSP!D52+'WH - SOP'!D52+'WH - PAD'!D52+'WH - HUSLY'!D52+'WH - TL'!D52+'WH - PERM'!D52+'WH-VOC'!D52+QYP!D52+'BH Team'!D83+'Teen Court'!D52+'SK - HUSLY'!D52+'SK - TL'!D52+'SK - PERM'!D52+'SK - VOC'!D52+'22 North'!D52)</f>
        <v>16459.055166515194</v>
      </c>
      <c r="E92" s="104">
        <f>SUM(CMS!E52+Fundraising!E52+HSSP!E52+'WH - SOP'!E52+'WH - PAD'!E52+'WH - HUSLY'!E52+'WH - TL'!E52+'WH - PERM'!E52+'WH-VOC'!E52+QYP!E52+'BH Team'!E83+'Teen Court'!E52+'SK - HUSLY'!E52+'SK - TL'!E52+'SK - PERM'!E52+'SK - VOC'!E52+'22 North'!E52)</f>
        <v>16457.851239720676</v>
      </c>
      <c r="F92" s="104">
        <f>SUM(CMS!F52+Fundraising!F52+HSSP!F52+'WH - SOP'!F52+'WH - PAD'!F52+'WH - HUSLY'!F52+'WH - TL'!F52+'WH - PERM'!F52+'WH-VOC'!F52+QYP!F52+'BH Team'!F83+'Teen Court'!F52+'SK - HUSLY'!F52+'SK - TL'!F52+'SK - PERM'!F52+'SK - VOC'!F52+'22 North'!F52)</f>
        <v>16448.731300213825</v>
      </c>
      <c r="G92" s="104">
        <f>SUM(CMS!G52+Fundraising!G52+HSSP!G52+'WH - SOP'!G52+'WH - PAD'!G52+'WH - HUSLY'!G52+'WH - TL'!G52+'WH - PERM'!G52+'WH-VOC'!G52+QYP!G52+'BH Team'!G83+'Teen Court'!G52+'SK - HUSLY'!G52+'SK - TL'!G52+'SK - PERM'!G52+'SK - VOC'!G52+'22 North'!G52)</f>
        <v>16480.855300213825</v>
      </c>
      <c r="H92" s="104">
        <f>SUM(CMS!H52+Fundraising!H52+HSSP!H52+'WH - SOP'!H52+'WH - PAD'!H52+'WH - HUSLY'!H52+'WH - TL'!H52+'WH - PERM'!H52+'WH-VOC'!H52+QYP!H52+'BH Team'!H83+'Teen Court'!H52+'SK - HUSLY'!H52+'SK - TL'!H52+'SK - PERM'!H52+'SK - VOC'!H52+'22 North'!H52)</f>
        <v>16481.498201364513</v>
      </c>
      <c r="I92" s="104">
        <f>SUM(CMS!I52+Fundraising!I52+HSSP!I52+'WH - SOP'!I52+'WH - PAD'!I52+'WH - HUSLY'!I52+'WH - TL'!I52+'WH - PERM'!I52+'WH-VOC'!I52+QYP!I52+'BH Team'!I83+'Teen Court'!I52+'SK - HUSLY'!I52+'SK - TL'!I52+'SK - PERM'!I52+'SK - VOC'!I52+'22 North'!I52)</f>
        <v>17355.246598213827</v>
      </c>
      <c r="J92" s="104">
        <f>SUM(CMS!J52+Fundraising!J52+HSSP!J52+'WH - SOP'!J52+'WH - PAD'!J52+'WH - HUSLY'!J52+'WH - TL'!J52+'WH - PERM'!J52+'WH-VOC'!J52+QYP!J52+'BH Team'!J83+'Teen Court'!J52+'SK - HUSLY'!J52+'SK - TL'!J52+'SK - PERM'!J52+'SK - VOC'!J52+'22 North'!J52)</f>
        <v>17353.592699364512</v>
      </c>
      <c r="K92" s="104">
        <f>SUM(CMS!K52+Fundraising!K52+HSSP!K52+'WH - SOP'!K52+'WH - PAD'!K52+'WH - HUSLY'!K52+'WH - TL'!K52+'WH - PERM'!K52+'WH-VOC'!K52+QYP!K52+'BH Team'!K83+'Teen Court'!K52+'SK - HUSLY'!K52+'SK - TL'!K52+'SK - PERM'!K52+'SK - VOC'!K52+'22 North'!K52)</f>
        <v>17462.473750213827</v>
      </c>
      <c r="L92" s="104">
        <f>SUM(CMS!L52+Fundraising!L52+HSSP!L52+'WH - SOP'!L52+'WH - PAD'!L52+'WH - HUSLY'!L52+'WH - TL'!L52+'WH - PERM'!L52+'WH-VOC'!L52+QYP!L52+'BH Team'!L83+'Teen Court'!L52+'SK - HUSLY'!L52+'SK - TL'!L52+'SK - PERM'!L52+'SK - VOC'!L52+'22 North'!L52)</f>
        <v>17462.473750213827</v>
      </c>
      <c r="M92" s="104">
        <f>SUM(CMS!M52+Fundraising!M52+HSSP!M52+'WH - SOP'!M52+'WH - PAD'!M52+'WH - HUSLY'!M52+'WH - TL'!M52+'WH - PERM'!M52+'WH-VOC'!M52+QYP!M52+'BH Team'!M83+'Teen Court'!M52+'SK - HUSLY'!M52+'SK - TL'!M52+'SK - PERM'!M52+'SK - VOC'!M52+'22 North'!M52)</f>
        <v>17459.861053665882</v>
      </c>
      <c r="N92" s="104">
        <f>SUM(CMS!N52+Fundraising!N52+HSSP!N52+'WH - SOP'!N52+'WH - PAD'!N52+'WH - HUSLY'!N52+'WH - TL'!N52+'WH - PERM'!N52+'WH-VOC'!N52+QYP!N52+'BH Team'!N83+'Teen Court'!N52+'SK - HUSLY'!N52+'SK - TL'!N52+'SK - PERM'!N52+'SK - VOC'!N52+'22 North'!N52)</f>
        <v>17462.473750213827</v>
      </c>
      <c r="O92" s="135">
        <f t="shared" si="9"/>
        <v>203766.67749963442</v>
      </c>
      <c r="P92" s="386">
        <v>142810.21710598769</v>
      </c>
      <c r="Q92" s="385">
        <f t="shared" si="10"/>
        <v>60956.460393646732</v>
      </c>
      <c r="R92" s="68"/>
      <c r="S92" s="68"/>
      <c r="T92" s="68"/>
      <c r="U92" s="68"/>
      <c r="V92" s="68"/>
      <c r="W92" s="68"/>
      <c r="X92" s="68"/>
      <c r="Y92" s="68"/>
    </row>
    <row r="93" spans="2:25" s="68" customFormat="1" x14ac:dyDescent="0.25">
      <c r="B93" s="16" t="str">
        <f>CMS!A57</f>
        <v>Training</v>
      </c>
      <c r="C93" s="104">
        <f>SUM(CMS!C57+Fundraising!C57+HSSP!C57+'WH - SOP'!C57+'WH - PAD'!C57+'WH - HUSLY'!C57+'WH - TL'!C57+'WH - PERM'!C57+'WH-VOC'!C57+QYP!C57+'BH Team'!C88+'Teen Court'!C57+'SK - HUSLY'!C57+'SK - TL'!C57+'SK - PERM'!C57+'SK - VOC'!C57+'22 North'!C57)</f>
        <v>1304.1666666666665</v>
      </c>
      <c r="D93" s="104">
        <f>SUM(CMS!D57+Fundraising!D57+HSSP!D57+'WH - SOP'!D57+'WH - PAD'!D57+'WH - HUSLY'!D57+'WH - TL'!D57+'WH - PERM'!D57+'WH-VOC'!D57+QYP!D57+'BH Team'!D88+'Teen Court'!D57+'SK - HUSLY'!D57+'SK - TL'!D57+'SK - PERM'!D57+'SK - VOC'!D57+'22 North'!D57)</f>
        <v>1304.1666666666665</v>
      </c>
      <c r="E93" s="104">
        <f>SUM(CMS!E57+Fundraising!E57+HSSP!E57+'WH - SOP'!E57+'WH - PAD'!E57+'WH - HUSLY'!E57+'WH - TL'!E57+'WH - PERM'!E57+'WH-VOC'!E57+QYP!E57+'BH Team'!E88+'Teen Court'!E57+'SK - HUSLY'!E57+'SK - TL'!E57+'SK - PERM'!E57+'SK - VOC'!E57+'22 North'!E57)</f>
        <v>1304.1666666666665</v>
      </c>
      <c r="F93" s="104">
        <f>SUM(CMS!F57+Fundraising!F57+HSSP!F57+'WH - SOP'!F57+'WH - PAD'!F57+'WH - HUSLY'!F57+'WH - TL'!F57+'WH - PERM'!F57+'WH-VOC'!F57+QYP!F57+'BH Team'!F88+'Teen Court'!F57+'SK - HUSLY'!F57+'SK - TL'!F57+'SK - PERM'!F57+'SK - VOC'!F57+'22 North'!F57)</f>
        <v>1304.1666666666665</v>
      </c>
      <c r="G93" s="104">
        <f>SUM(CMS!G57+Fundraising!G57+HSSP!G57+'WH - SOP'!G57+'WH - PAD'!G57+'WH - HUSLY'!G57+'WH - TL'!G57+'WH - PERM'!G57+'WH-VOC'!G57+QYP!G57+'BH Team'!G88+'Teen Court'!G57+'SK - HUSLY'!G57+'SK - TL'!G57+'SK - PERM'!G57+'SK - VOC'!G57+'22 North'!G57)</f>
        <v>1429.1666666666665</v>
      </c>
      <c r="H93" s="104">
        <f>SUM(CMS!H57+Fundraising!H57+HSSP!H57+'WH - SOP'!H57+'WH - PAD'!H57+'WH - HUSLY'!H57+'WH - TL'!H57+'WH - PERM'!H57+'WH-VOC'!H57+QYP!H57+'BH Team'!H88+'Teen Court'!H57+'SK - HUSLY'!H57+'SK - TL'!H57+'SK - PERM'!H57+'SK - VOC'!H57+'22 North'!H57)</f>
        <v>1429.1666666666665</v>
      </c>
      <c r="I93" s="104">
        <f>SUM(CMS!I57+Fundraising!I57+HSSP!I57+'WH - SOP'!I57+'WH - PAD'!I57+'WH - HUSLY'!I57+'WH - TL'!I57+'WH - PERM'!I57+'WH-VOC'!I57+QYP!I57+'BH Team'!I88+'Teen Court'!I57+'SK - HUSLY'!I57+'SK - TL'!I57+'SK - PERM'!I57+'SK - VOC'!I57+'22 North'!I57)</f>
        <v>1429.1666666666665</v>
      </c>
      <c r="J93" s="104">
        <f>SUM(CMS!J57+Fundraising!J57+HSSP!J57+'WH - SOP'!J57+'WH - PAD'!J57+'WH - HUSLY'!J57+'WH - TL'!J57+'WH - PERM'!J57+'WH-VOC'!J57+QYP!J57+'BH Team'!J88+'Teen Court'!J57+'SK - HUSLY'!J57+'SK - TL'!J57+'SK - PERM'!J57+'SK - VOC'!J57+'22 North'!J57)</f>
        <v>1829.1666666666665</v>
      </c>
      <c r="K93" s="104">
        <f>SUM(CMS!K57+Fundraising!K57+HSSP!K57+'WH - SOP'!K57+'WH - PAD'!K57+'WH - HUSLY'!K57+'WH - TL'!K57+'WH - PERM'!K57+'WH-VOC'!K57+QYP!K57+'BH Team'!K88+'Teen Court'!K57+'SK - HUSLY'!K57+'SK - TL'!K57+'SK - PERM'!K57+'SK - VOC'!K57+'22 North'!K57)</f>
        <v>3228.8333333333335</v>
      </c>
      <c r="L93" s="104">
        <f>SUM(CMS!L57+Fundraising!L57+HSSP!L57+'WH - SOP'!L57+'WH - PAD'!L57+'WH - HUSLY'!L57+'WH - TL'!L57+'WH - PERM'!L57+'WH-VOC'!L57+QYP!L57+'BH Team'!L88+'Teen Court'!L57+'SK - HUSLY'!L57+'SK - TL'!L57+'SK - PERM'!L57+'SK - VOC'!L57+'22 North'!L57)</f>
        <v>1429.1666666666665</v>
      </c>
      <c r="M93" s="104">
        <f>SUM(CMS!M57+Fundraising!M57+HSSP!M57+'WH - SOP'!M57+'WH - PAD'!M57+'WH - HUSLY'!M57+'WH - TL'!M57+'WH - PERM'!M57+'WH-VOC'!M57+QYP!M57+'BH Team'!M88+'Teen Court'!M57+'SK - HUSLY'!M57+'SK - TL'!M57+'SK - PERM'!M57+'SK - VOC'!M57+'22 North'!M57)</f>
        <v>1429.1666666666665</v>
      </c>
      <c r="N93" s="104">
        <f>SUM(CMS!N57+Fundraising!N57+HSSP!N57+'WH - SOP'!N57+'WH - PAD'!N57+'WH - HUSLY'!N57+'WH - TL'!N57+'WH - PERM'!N57+'WH-VOC'!N57+QYP!N57+'BH Team'!N88+'Teen Court'!N57+'SK - HUSLY'!N57+'SK - TL'!N57+'SK - PERM'!N57+'SK - VOC'!N57+'22 North'!N57)</f>
        <v>1429.1666666666665</v>
      </c>
      <c r="O93" s="135">
        <f t="shared" si="9"/>
        <v>18849.666666666664</v>
      </c>
      <c r="P93" s="386">
        <v>18424.000000000004</v>
      </c>
      <c r="Q93" s="385">
        <f t="shared" si="10"/>
        <v>425.6666666666606</v>
      </c>
    </row>
    <row r="94" spans="2:25" s="68" customFormat="1" x14ac:dyDescent="0.25">
      <c r="B94" s="16" t="str">
        <f>CMS!A58</f>
        <v>Travel</v>
      </c>
      <c r="C94" s="104">
        <f>SUM(CMS!C58+Fundraising!C58+HSSP!C58+'WH - SOP'!C58+'WH - PAD'!C58+'WH - HUSLY'!C58+'WH - TL'!C58+'WH - PERM'!C58+'WH-VOC'!C58+QYP!C58+'BH Team'!C89+'Teen Court'!C58+'SK - HUSLY'!C58+'SK - TL'!C58+'SK - PERM'!C58+'SK - VOC'!C58+'22 North'!C58)</f>
        <v>1184.3333333333333</v>
      </c>
      <c r="D94" s="104">
        <f>SUM(CMS!D58+Fundraising!D58+HSSP!D58+'WH - SOP'!D58+'WH - PAD'!D58+'WH - HUSLY'!D58+'WH - TL'!D58+'WH - PERM'!D58+'WH-VOC'!D58+QYP!D58+'BH Team'!D89+'Teen Court'!D58+'SK - HUSLY'!D58+'SK - TL'!D58+'SK - PERM'!D58+'SK - VOC'!D58+'22 North'!D58)</f>
        <v>1184.3333333333333</v>
      </c>
      <c r="E94" s="104">
        <f>SUM(CMS!E58+Fundraising!E58+HSSP!E58+'WH - SOP'!E58+'WH - PAD'!E58+'WH - HUSLY'!E58+'WH - TL'!E58+'WH - PERM'!E58+'WH-VOC'!E58+QYP!E58+'BH Team'!E89+'Teen Court'!E58+'SK - HUSLY'!E58+'SK - TL'!E58+'SK - PERM'!E58+'SK - VOC'!E58+'22 North'!E58)</f>
        <v>1184.3333333333333</v>
      </c>
      <c r="F94" s="104">
        <f>SUM(CMS!F58+Fundraising!F58+HSSP!F58+'WH - SOP'!F58+'WH - PAD'!F58+'WH - HUSLY'!F58+'WH - TL'!F58+'WH - PERM'!F58+'WH-VOC'!F58+QYP!F58+'BH Team'!F89+'Teen Court'!F58+'SK - HUSLY'!F58+'SK - TL'!F58+'SK - PERM'!F58+'SK - VOC'!F58+'22 North'!F58)</f>
        <v>1184.3333333333333</v>
      </c>
      <c r="G94" s="104">
        <f>SUM(CMS!G58+Fundraising!G58+HSSP!G58+'WH - SOP'!G58+'WH - PAD'!G58+'WH - HUSLY'!G58+'WH - TL'!G58+'WH - PERM'!G58+'WH-VOC'!G58+QYP!G58+'BH Team'!G89+'Teen Court'!G58+'SK - HUSLY'!G58+'SK - TL'!G58+'SK - PERM'!G58+'SK - VOC'!G58+'22 North'!G58)</f>
        <v>1194.3333333333333</v>
      </c>
      <c r="H94" s="104">
        <f>SUM(CMS!H58+Fundraising!H58+HSSP!H58+'WH - SOP'!H58+'WH - PAD'!H58+'WH - HUSLY'!H58+'WH - TL'!H58+'WH - PERM'!H58+'WH-VOC'!H58+QYP!H58+'BH Team'!H89+'Teen Court'!H58+'SK - HUSLY'!H58+'SK - TL'!H58+'SK - PERM'!H58+'SK - VOC'!H58+'22 North'!H58)</f>
        <v>1194.3333333333333</v>
      </c>
      <c r="I94" s="104">
        <f>SUM(CMS!I58+Fundraising!I58+HSSP!I58+'WH - SOP'!I58+'WH - PAD'!I58+'WH - HUSLY'!I58+'WH - TL'!I58+'WH - PERM'!I58+'WH-VOC'!I58+QYP!I58+'BH Team'!I89+'Teen Court'!I58+'SK - HUSLY'!I58+'SK - TL'!I58+'SK - PERM'!I58+'SK - VOC'!I58+'22 North'!I58)</f>
        <v>944.33333333333337</v>
      </c>
      <c r="J94" s="104">
        <f>SUM(CMS!J58+Fundraising!J58+HSSP!J58+'WH - SOP'!J58+'WH - PAD'!J58+'WH - HUSLY'!J58+'WH - TL'!J58+'WH - PERM'!J58+'WH-VOC'!J58+QYP!J58+'BH Team'!J89+'Teen Court'!J58+'SK - HUSLY'!J58+'SK - TL'!J58+'SK - PERM'!J58+'SK - VOC'!J58+'22 North'!J58)</f>
        <v>944.33333333333337</v>
      </c>
      <c r="K94" s="104">
        <f>SUM(CMS!K58+Fundraising!K58+HSSP!K58+'WH - SOP'!K58+'WH - PAD'!K58+'WH - HUSLY'!K58+'WH - TL'!K58+'WH - PERM'!K58+'WH-VOC'!K58+QYP!K58+'BH Team'!K89+'Teen Court'!K58+'SK - HUSLY'!K58+'SK - TL'!K58+'SK - PERM'!K58+'SK - VOC'!K58+'22 North'!K58)</f>
        <v>1194.3333333333333</v>
      </c>
      <c r="L94" s="104">
        <f>SUM(CMS!L58+Fundraising!L58+HSSP!L58+'WH - SOP'!L58+'WH - PAD'!L58+'WH - HUSLY'!L58+'WH - TL'!L58+'WH - PERM'!L58+'WH-VOC'!L58+QYP!L58+'BH Team'!L89+'Teen Court'!L58+'SK - HUSLY'!L58+'SK - TL'!L58+'SK - PERM'!L58+'SK - VOC'!L58+'22 North'!L58)</f>
        <v>1194.3333333333333</v>
      </c>
      <c r="M94" s="104">
        <f>SUM(CMS!M58+Fundraising!M58+HSSP!M58+'WH - SOP'!M58+'WH - PAD'!M58+'WH - HUSLY'!M58+'WH - TL'!M58+'WH - PERM'!M58+'WH-VOC'!M58+QYP!M58+'BH Team'!M89+'Teen Court'!M58+'SK - HUSLY'!M58+'SK - TL'!M58+'SK - PERM'!M58+'SK - VOC'!M58+'22 North'!M58)</f>
        <v>1194.3333333333333</v>
      </c>
      <c r="N94" s="104">
        <f>SUM(CMS!N58+Fundraising!N58+HSSP!N58+'WH - SOP'!N58+'WH - PAD'!N58+'WH - HUSLY'!N58+'WH - TL'!N58+'WH - PERM'!N58+'WH-VOC'!N58+QYP!N58+'BH Team'!N89+'Teen Court'!N58+'SK - HUSLY'!N58+'SK - TL'!N58+'SK - PERM'!N58+'SK - VOC'!N58+'22 North'!N58)</f>
        <v>1194.3333333333333</v>
      </c>
      <c r="O94" s="135">
        <f t="shared" si="9"/>
        <v>13792.000000000002</v>
      </c>
      <c r="P94" s="386">
        <v>17002.991379310344</v>
      </c>
      <c r="Q94" s="385">
        <f t="shared" si="10"/>
        <v>-3210.9913793103424</v>
      </c>
    </row>
    <row r="95" spans="2:25" s="68" customFormat="1" x14ac:dyDescent="0.25">
      <c r="B95" s="16" t="str">
        <f>CMS!A59</f>
        <v>Recognition</v>
      </c>
      <c r="C95" s="104">
        <f>SUM(CMS!C59+Fundraising!C59+HSSP!C59+'WH - SOP'!C59+'WH - PAD'!C59+'WH - HUSLY'!C59+'WH - TL'!C59+'WH - PERM'!C59+'WH-VOC'!C59+QYP!C59+'BH Team'!C90+'Teen Court'!C59+'SK - HUSLY'!C59+'SK - TL'!C59+'SK - PERM'!C59+'SK - VOC'!C59+'22 North'!C59)</f>
        <v>100</v>
      </c>
      <c r="D95" s="104">
        <f>SUM(CMS!D59+Fundraising!D59+HSSP!D59+'WH - SOP'!D59+'WH - PAD'!D59+'WH - HUSLY'!D59+'WH - TL'!D59+'WH - PERM'!D59+'WH-VOC'!D59+QYP!D59+'BH Team'!D90+'Teen Court'!D59+'SK - HUSLY'!D59+'SK - TL'!D59+'SK - PERM'!D59+'SK - VOC'!D59+'22 North'!D59)</f>
        <v>100</v>
      </c>
      <c r="E95" s="104">
        <f>SUM(CMS!E59+Fundraising!E59+HSSP!E59+'WH - SOP'!E59+'WH - PAD'!E59+'WH - HUSLY'!E59+'WH - TL'!E59+'WH - PERM'!E59+'WH-VOC'!E59+QYP!E59+'BH Team'!E90+'Teen Court'!E59+'SK - HUSLY'!E59+'SK - TL'!E59+'SK - PERM'!E59+'SK - VOC'!E59+'22 North'!E59)</f>
        <v>100</v>
      </c>
      <c r="F95" s="104">
        <f>SUM(CMS!F59+Fundraising!F59+HSSP!F59+'WH - SOP'!F59+'WH - PAD'!F59+'WH - HUSLY'!F59+'WH - TL'!F59+'WH - PERM'!F59+'WH-VOC'!F59+QYP!F59+'BH Team'!F90+'Teen Court'!F59+'SK - HUSLY'!F59+'SK - TL'!F59+'SK - PERM'!F59+'SK - VOC'!F59+'22 North'!F59)</f>
        <v>100</v>
      </c>
      <c r="G95" s="104">
        <f>SUM(CMS!G59+Fundraising!G59+HSSP!G59+'WH - SOP'!G59+'WH - PAD'!G59+'WH - HUSLY'!G59+'WH - TL'!G59+'WH - PERM'!G59+'WH-VOC'!G59+QYP!G59+'BH Team'!G90+'Teen Court'!G59+'SK - HUSLY'!G59+'SK - TL'!G59+'SK - PERM'!G59+'SK - VOC'!G59+'22 North'!G59)</f>
        <v>600</v>
      </c>
      <c r="H95" s="104">
        <f>SUM(CMS!H59+Fundraising!H59+HSSP!H59+'WH - SOP'!H59+'WH - PAD'!H59+'WH - HUSLY'!H59+'WH - TL'!H59+'WH - PERM'!H59+'WH-VOC'!H59+QYP!H59+'BH Team'!H90+'Teen Court'!H59+'SK - HUSLY'!H59+'SK - TL'!H59+'SK - PERM'!H59+'SK - VOC'!H59+'22 North'!H59)</f>
        <v>100</v>
      </c>
      <c r="I95" s="104">
        <f>SUM(CMS!I59+Fundraising!I59+HSSP!I59+'WH - SOP'!I59+'WH - PAD'!I59+'WH - HUSLY'!I59+'WH - TL'!I59+'WH - PERM'!I59+'WH-VOC'!I59+QYP!I59+'BH Team'!I90+'Teen Court'!I59+'SK - HUSLY'!I59+'SK - TL'!I59+'SK - PERM'!I59+'SK - VOC'!I59+'22 North'!I59)</f>
        <v>100</v>
      </c>
      <c r="J95" s="104">
        <f>SUM(CMS!J59+Fundraising!J59+HSSP!J59+'WH - SOP'!J59+'WH - PAD'!J59+'WH - HUSLY'!J59+'WH - TL'!J59+'WH - PERM'!J59+'WH-VOC'!J59+QYP!J59+'BH Team'!J90+'Teen Court'!J59+'SK - HUSLY'!J59+'SK - TL'!J59+'SK - PERM'!J59+'SK - VOC'!J59+'22 North'!J59)</f>
        <v>100</v>
      </c>
      <c r="K95" s="104">
        <f>SUM(CMS!K59+Fundraising!K59+HSSP!K59+'WH - SOP'!K59+'WH - PAD'!K59+'WH - HUSLY'!K59+'WH - TL'!K59+'WH - PERM'!K59+'WH-VOC'!K59+QYP!K59+'BH Team'!K90+'Teen Court'!K59+'SK - HUSLY'!K59+'SK - TL'!K59+'SK - PERM'!K59+'SK - VOC'!K59+'22 North'!K59)</f>
        <v>100</v>
      </c>
      <c r="L95" s="104">
        <f>SUM(CMS!L59+Fundraising!L59+HSSP!L59+'WH - SOP'!L59+'WH - PAD'!L59+'WH - HUSLY'!L59+'WH - TL'!L59+'WH - PERM'!L59+'WH-VOC'!L59+QYP!L59+'BH Team'!L90+'Teen Court'!L59+'SK - HUSLY'!L59+'SK - TL'!L59+'SK - PERM'!L59+'SK - VOC'!L59+'22 North'!L59)</f>
        <v>100</v>
      </c>
      <c r="M95" s="104">
        <f>SUM(CMS!M59+Fundraising!M59+HSSP!M59+'WH - SOP'!M59+'WH - PAD'!M59+'WH - HUSLY'!M59+'WH - TL'!M59+'WH - PERM'!M59+'WH-VOC'!M59+QYP!M59+'BH Team'!M90+'Teen Court'!M59+'SK - HUSLY'!M59+'SK - TL'!M59+'SK - PERM'!M59+'SK - VOC'!M59+'22 North'!M59)</f>
        <v>100</v>
      </c>
      <c r="N95" s="104">
        <f>SUM(CMS!N59+Fundraising!N59+HSSP!N59+'WH - SOP'!N59+'WH - PAD'!N59+'WH - HUSLY'!N59+'WH - TL'!N59+'WH - PERM'!N59+'WH-VOC'!N59+QYP!N59+'BH Team'!N90+'Teen Court'!N59+'SK - HUSLY'!N59+'SK - TL'!N59+'SK - PERM'!N59+'SK - VOC'!N59+'22 North'!N59)</f>
        <v>100</v>
      </c>
      <c r="O95" s="135">
        <f t="shared" si="9"/>
        <v>1700</v>
      </c>
      <c r="P95" s="386">
        <v>0</v>
      </c>
      <c r="Q95" s="385">
        <f t="shared" si="10"/>
        <v>1700</v>
      </c>
      <c r="R95" s="99"/>
    </row>
    <row r="96" spans="2:25" x14ac:dyDescent="0.25">
      <c r="B96" s="16" t="str">
        <f>CMS!A60</f>
        <v>Communications</v>
      </c>
      <c r="C96" s="104">
        <f>SUM(CMS!C60+Fundraising!C60+HSSP!C60+'WH - SOP'!C60+'WH - PAD'!C60+'WH - HUSLY'!C60+'WH - TL'!C60+'WH - PERM'!C60+'WH-VOC'!C60+QYP!C60+'BH Team'!C91+'Teen Court'!C60+'SK - HUSLY'!C60+'SK - TL'!C60+'SK - PERM'!C60+'SK - VOC'!C60+'22 North'!C60)</f>
        <v>1528.6666666666667</v>
      </c>
      <c r="D96" s="104">
        <f>SUM(CMS!D60+Fundraising!D60+HSSP!D60+'WH - SOP'!D60+'WH - PAD'!D60+'WH - HUSLY'!D60+'WH - TL'!D60+'WH - PERM'!D60+'WH-VOC'!D60+QYP!D60+'BH Team'!D91+'Teen Court'!D60+'SK - HUSLY'!D60+'SK - TL'!D60+'SK - PERM'!D60+'SK - VOC'!D60+'22 North'!D60)</f>
        <v>1528.6666666666667</v>
      </c>
      <c r="E96" s="104">
        <f>SUM(CMS!E60+Fundraising!E60+HSSP!E60+'WH - SOP'!E60+'WH - PAD'!E60+'WH - HUSLY'!E60+'WH - TL'!E60+'WH - PERM'!E60+'WH-VOC'!E60+QYP!E60+'BH Team'!E91+'Teen Court'!E60+'SK - HUSLY'!E60+'SK - TL'!E60+'SK - PERM'!E60+'SK - VOC'!E60+'22 North'!E60)</f>
        <v>1528.6666666666667</v>
      </c>
      <c r="F96" s="104">
        <f>SUM(CMS!F60+Fundraising!F60+HSSP!F60+'WH - SOP'!F60+'WH - PAD'!F60+'WH - HUSLY'!F60+'WH - TL'!F60+'WH - PERM'!F60+'WH-VOC'!F60+QYP!F60+'BH Team'!F91+'Teen Court'!F60+'SK - HUSLY'!F60+'SK - TL'!F60+'SK - PERM'!F60+'SK - VOC'!F60+'22 North'!F60)</f>
        <v>1528.6666666666667</v>
      </c>
      <c r="G96" s="104">
        <f>SUM(CMS!G60+Fundraising!G60+HSSP!G60+'WH - SOP'!G60+'WH - PAD'!G60+'WH - HUSLY'!G60+'WH - TL'!G60+'WH - PERM'!G60+'WH-VOC'!G60+QYP!G60+'BH Team'!G91+'Teen Court'!G60+'SK - HUSLY'!G60+'SK - TL'!G60+'SK - PERM'!G60+'SK - VOC'!G60+'22 North'!G60)</f>
        <v>1568.6666666666667</v>
      </c>
      <c r="H96" s="104">
        <f>SUM(CMS!H60+Fundraising!H60+HSSP!H60+'WH - SOP'!H60+'WH - PAD'!H60+'WH - HUSLY'!H60+'WH - TL'!H60+'WH - PERM'!H60+'WH-VOC'!H60+QYP!H60+'BH Team'!H91+'Teen Court'!H60+'SK - HUSLY'!H60+'SK - TL'!H60+'SK - PERM'!H60+'SK - VOC'!H60+'22 North'!H60)</f>
        <v>1568.6666666666667</v>
      </c>
      <c r="I96" s="104">
        <f>SUM(CMS!I60+Fundraising!I60+HSSP!I60+'WH - SOP'!I60+'WH - PAD'!I60+'WH - HUSLY'!I60+'WH - TL'!I60+'WH - PERM'!I60+'WH-VOC'!I60+QYP!I60+'BH Team'!I91+'Teen Court'!I60+'SK - HUSLY'!I60+'SK - TL'!I60+'SK - PERM'!I60+'SK - VOC'!I60+'22 North'!I60)</f>
        <v>1623.6666666666667</v>
      </c>
      <c r="J96" s="104">
        <f>SUM(CMS!J60+Fundraising!J60+HSSP!J60+'WH - SOP'!J60+'WH - PAD'!J60+'WH - HUSLY'!J60+'WH - TL'!J60+'WH - PERM'!J60+'WH-VOC'!J60+QYP!J60+'BH Team'!J91+'Teen Court'!J60+'SK - HUSLY'!J60+'SK - TL'!J60+'SK - PERM'!J60+'SK - VOC'!J60+'22 North'!J60)</f>
        <v>1623.6666666666667</v>
      </c>
      <c r="K96" s="104">
        <f>SUM(CMS!K60+Fundraising!K60+HSSP!K60+'WH - SOP'!K60+'WH - PAD'!K60+'WH - HUSLY'!K60+'WH - TL'!K60+'WH - PERM'!K60+'WH-VOC'!K60+QYP!K60+'BH Team'!K91+'Teen Court'!K60+'SK - HUSLY'!K60+'SK - TL'!K60+'SK - PERM'!K60+'SK - VOC'!K60+'22 North'!K60)</f>
        <v>1648.6666666666667</v>
      </c>
      <c r="L96" s="104">
        <f>SUM(CMS!L60+Fundraising!L60+HSSP!L60+'WH - SOP'!L60+'WH - PAD'!L60+'WH - HUSLY'!L60+'WH - TL'!L60+'WH - PERM'!L60+'WH-VOC'!L60+QYP!L60+'BH Team'!L91+'Teen Court'!L60+'SK - HUSLY'!L60+'SK - TL'!L60+'SK - PERM'!L60+'SK - VOC'!L60+'22 North'!L60)</f>
        <v>1648.6666666666667</v>
      </c>
      <c r="M96" s="104">
        <f>SUM(CMS!M60+Fundraising!M60+HSSP!M60+'WH - SOP'!M60+'WH - PAD'!M60+'WH - HUSLY'!M60+'WH - TL'!M60+'WH - PERM'!M60+'WH-VOC'!M60+QYP!M60+'BH Team'!M91+'Teen Court'!M60+'SK - HUSLY'!M60+'SK - TL'!M60+'SK - PERM'!M60+'SK - VOC'!M60+'22 North'!M60)</f>
        <v>1648.6666666666667</v>
      </c>
      <c r="N96" s="104">
        <f>SUM(CMS!N60+Fundraising!N60+HSSP!N60+'WH - SOP'!N60+'WH - PAD'!N60+'WH - HUSLY'!N60+'WH - TL'!N60+'WH - PERM'!N60+'WH-VOC'!N60+QYP!N60+'BH Team'!N91+'Teen Court'!N60+'SK - HUSLY'!N60+'SK - TL'!N60+'SK - PERM'!N60+'SK - VOC'!N60+'22 North'!N60)</f>
        <v>1648.6666666666667</v>
      </c>
      <c r="O96" s="135">
        <f t="shared" si="9"/>
        <v>19094</v>
      </c>
      <c r="P96" s="386">
        <v>16966.499999999996</v>
      </c>
      <c r="Q96" s="385">
        <f t="shared" si="10"/>
        <v>2127.5000000000036</v>
      </c>
      <c r="R96" s="68"/>
      <c r="S96" s="68"/>
      <c r="T96" s="68"/>
      <c r="U96" s="68"/>
      <c r="V96" s="68"/>
      <c r="W96" s="68"/>
      <c r="X96" s="68"/>
      <c r="Y96" s="68"/>
    </row>
    <row r="97" spans="2:25" x14ac:dyDescent="0.25">
      <c r="B97" s="16" t="str">
        <f>CMS!A61</f>
        <v>Dues &amp; Subscriptions</v>
      </c>
      <c r="C97" s="104">
        <f>SUM(CMS!C61+Fundraising!C61+HSSP!C61+'WH - SOP'!C61+'WH - PAD'!C61+'WH - HUSLY'!C61+'WH - TL'!C61+'WH - PERM'!C61+'WH-VOC'!C61+QYP!C61+'BH Team'!C92+'Teen Court'!C61+'SK - HUSLY'!C61+'SK - TL'!C61+'SK - PERM'!C61+'SK - VOC'!C61+'22 North'!C61)</f>
        <v>50</v>
      </c>
      <c r="D97" s="104">
        <f>SUM(CMS!D61+Fundraising!D61+HSSP!D61+'WH - SOP'!D61+'WH - PAD'!D61+'WH - HUSLY'!D61+'WH - TL'!D61+'WH - PERM'!D61+'WH-VOC'!D61+QYP!D61+'BH Team'!D92+'Teen Court'!D61+'SK - HUSLY'!D61+'SK - TL'!D61+'SK - PERM'!D61+'SK - VOC'!D61+'22 North'!D61)</f>
        <v>50</v>
      </c>
      <c r="E97" s="104">
        <f>SUM(CMS!E61+Fundraising!E61+HSSP!E61+'WH - SOP'!E61+'WH - PAD'!E61+'WH - HUSLY'!E61+'WH - TL'!E61+'WH - PERM'!E61+'WH-VOC'!E61+QYP!E61+'BH Team'!E92+'Teen Court'!E61+'SK - HUSLY'!E61+'SK - TL'!E61+'SK - PERM'!E61+'SK - VOC'!E61+'22 North'!E61)</f>
        <v>359</v>
      </c>
      <c r="F97" s="104">
        <f>SUM(CMS!F61+Fundraising!F61+HSSP!F61+'WH - SOP'!F61+'WH - PAD'!F61+'WH - HUSLY'!F61+'WH - TL'!F61+'WH - PERM'!F61+'WH-VOC'!F61+QYP!F61+'BH Team'!F92+'Teen Court'!F61+'SK - HUSLY'!F61+'SK - TL'!F61+'SK - PERM'!F61+'SK - VOC'!F61+'22 North'!F61)</f>
        <v>90</v>
      </c>
      <c r="G97" s="104">
        <f>SUM(CMS!G61+Fundraising!G61+HSSP!G61+'WH - SOP'!G61+'WH - PAD'!G61+'WH - HUSLY'!G61+'WH - TL'!G61+'WH - PERM'!G61+'WH-VOC'!G61+QYP!G61+'BH Team'!G92+'Teen Court'!G61+'SK - HUSLY'!G61+'SK - TL'!G61+'SK - PERM'!G61+'SK - VOC'!G61+'22 North'!G61)</f>
        <v>349</v>
      </c>
      <c r="H97" s="104">
        <f>SUM(CMS!H61+Fundraising!H61+HSSP!H61+'WH - SOP'!H61+'WH - PAD'!H61+'WH - HUSLY'!H61+'WH - TL'!H61+'WH - PERM'!H61+'WH-VOC'!H61+QYP!H61+'BH Team'!H92+'Teen Court'!H61+'SK - HUSLY'!H61+'SK - TL'!H61+'SK - PERM'!H61+'SK - VOC'!H61+'22 North'!H61)</f>
        <v>50</v>
      </c>
      <c r="I97" s="104">
        <f>SUM(CMS!I61+Fundraising!I61+HSSP!I61+'WH - SOP'!I61+'WH - PAD'!I61+'WH - HUSLY'!I61+'WH - TL'!I61+'WH - PERM'!I61+'WH-VOC'!I61+QYP!I61+'BH Team'!I92+'Teen Court'!I61+'SK - HUSLY'!I61+'SK - TL'!I61+'SK - PERM'!I61+'SK - VOC'!I61+'22 North'!I61)</f>
        <v>50</v>
      </c>
      <c r="J97" s="104">
        <f>SUM(CMS!J61+Fundraising!J61+HSSP!J61+'WH - SOP'!J61+'WH - PAD'!J61+'WH - HUSLY'!J61+'WH - TL'!J61+'WH - PERM'!J61+'WH-VOC'!J61+QYP!J61+'BH Team'!J92+'Teen Court'!J61+'SK - HUSLY'!J61+'SK - TL'!J61+'SK - PERM'!J61+'SK - VOC'!J61+'22 North'!J61)</f>
        <v>50</v>
      </c>
      <c r="K97" s="104">
        <f>SUM(CMS!K61+Fundraising!K61+HSSP!K61+'WH - SOP'!K61+'WH - PAD'!K61+'WH - HUSLY'!K61+'WH - TL'!K61+'WH - PERM'!K61+'WH-VOC'!K61+QYP!K61+'BH Team'!K92+'Teen Court'!K61+'SK - HUSLY'!K61+'SK - TL'!K61+'SK - PERM'!K61+'SK - VOC'!K61+'22 North'!K61)</f>
        <v>414</v>
      </c>
      <c r="L97" s="104">
        <f>SUM(CMS!L61+Fundraising!L61+HSSP!L61+'WH - SOP'!L61+'WH - PAD'!L61+'WH - HUSLY'!L61+'WH - TL'!L61+'WH - PERM'!L61+'WH-VOC'!L61+QYP!L61+'BH Team'!L92+'Teen Court'!L61+'SK - HUSLY'!L61+'SK - TL'!L61+'SK - PERM'!L61+'SK - VOC'!L61+'22 North'!L61)</f>
        <v>475</v>
      </c>
      <c r="M97" s="104">
        <f>SUM(CMS!M61+Fundraising!M61+HSSP!M61+'WH - SOP'!M61+'WH - PAD'!M61+'WH - HUSLY'!M61+'WH - TL'!M61+'WH - PERM'!M61+'WH-VOC'!M61+QYP!M61+'BH Team'!M92+'Teen Court'!M61+'SK - HUSLY'!M61+'SK - TL'!M61+'SK - PERM'!M61+'SK - VOC'!M61+'22 North'!M61)</f>
        <v>50</v>
      </c>
      <c r="N97" s="104">
        <f>SUM(CMS!N61+Fundraising!N61+HSSP!N61+'WH - SOP'!N61+'WH - PAD'!N61+'WH - HUSLY'!N61+'WH - TL'!N61+'WH - PERM'!N61+'WH-VOC'!N61+QYP!N61+'BH Team'!N92+'Teen Court'!N61+'SK - HUSLY'!N61+'SK - TL'!N61+'SK - PERM'!N61+'SK - VOC'!N61+'22 North'!N61)</f>
        <v>50</v>
      </c>
      <c r="O97" s="135">
        <f t="shared" si="9"/>
        <v>2037</v>
      </c>
      <c r="P97" s="386">
        <v>1732</v>
      </c>
      <c r="Q97" s="385">
        <f t="shared" si="10"/>
        <v>305</v>
      </c>
      <c r="R97" s="68"/>
      <c r="S97" s="68"/>
      <c r="T97" s="68"/>
      <c r="U97" s="68"/>
      <c r="V97" s="68"/>
      <c r="W97" s="68"/>
      <c r="X97" s="68"/>
      <c r="Y97" s="68"/>
    </row>
    <row r="98" spans="2:25" x14ac:dyDescent="0.25">
      <c r="B98" s="16" t="str">
        <f>CMS!A62</f>
        <v>Liability Insurance</v>
      </c>
      <c r="C98" s="104">
        <f>SUM(CMS!C62+Fundraising!C62+HSSP!C62+'WH - SOP'!C62+'WH - PAD'!C62+'WH - HUSLY'!C62+'WH - TL'!C62+'WH - PERM'!C62+'WH-VOC'!C62+QYP!C62+'BH Team'!C93+'Teen Court'!C62+'SK - HUSLY'!C62+'SK - TL'!C62+'SK - PERM'!C62+'SK - VOC'!C62+'22 North'!C62)</f>
        <v>2849.3181782217025</v>
      </c>
      <c r="D98" s="104">
        <f>SUM(CMS!D62+Fundraising!D62+HSSP!D62+'WH - SOP'!D62+'WH - PAD'!D62+'WH - HUSLY'!D62+'WH - TL'!D62+'WH - PERM'!D62+'WH-VOC'!D62+QYP!D62+'BH Team'!D93+'Teen Court'!D62+'SK - HUSLY'!D62+'SK - TL'!D62+'SK - PERM'!D62+'SK - VOC'!D62+'22 North'!D62)</f>
        <v>2849.3181782217025</v>
      </c>
      <c r="E98" s="104">
        <f>SUM(CMS!E62+Fundraising!E62+HSSP!E62+'WH - SOP'!E62+'WH - PAD'!E62+'WH - HUSLY'!E62+'WH - TL'!E62+'WH - PERM'!E62+'WH-VOC'!E62+QYP!E62+'BH Team'!E93+'Teen Court'!E62+'SK - HUSLY'!E62+'SK - TL'!E62+'SK - PERM'!E62+'SK - VOC'!E62+'22 North'!E62)</f>
        <v>2849.3181782217025</v>
      </c>
      <c r="F98" s="104">
        <f>SUM(CMS!F62+Fundraising!F62+HSSP!F62+'WH - SOP'!F62+'WH - PAD'!F62+'WH - HUSLY'!F62+'WH - TL'!F62+'WH - PERM'!F62+'WH-VOC'!F62+QYP!F62+'BH Team'!F93+'Teen Court'!F62+'SK - HUSLY'!F62+'SK - TL'!F62+'SK - PERM'!F62+'SK - VOC'!F62+'22 North'!F62)</f>
        <v>2843.0677223500761</v>
      </c>
      <c r="G98" s="104">
        <f>SUM(CMS!G62+Fundraising!G62+HSSP!G62+'WH - SOP'!G62+'WH - PAD'!G62+'WH - HUSLY'!G62+'WH - TL'!G62+'WH - PERM'!G62+'WH-VOC'!G62+QYP!G62+'BH Team'!G93+'Teen Court'!G62+'SK - HUSLY'!G62+'SK - TL'!G62+'SK - PERM'!G62+'SK - VOC'!G62+'22 North'!G62)</f>
        <v>3004.1786107652779</v>
      </c>
      <c r="H98" s="104">
        <f>SUM(CMS!H62+Fundraising!H62+HSSP!H62+'WH - SOP'!H62+'WH - PAD'!H62+'WH - HUSLY'!H62+'WH - TL'!H62+'WH - PERM'!H62+'WH-VOC'!H62+QYP!H62+'BH Team'!H93+'Teen Court'!H62+'SK - HUSLY'!H62+'SK - TL'!H62+'SK - PERM'!H62+'SK - VOC'!H62+'22 North'!H62)</f>
        <v>2932.6037066031172</v>
      </c>
      <c r="I98" s="104">
        <f>SUM(CMS!I62+Fundraising!I62+HSSP!I62+'WH - SOP'!I62+'WH - PAD'!I62+'WH - HUSLY'!I62+'WH - TL'!I62+'WH - PERM'!I62+'WH-VOC'!I62+QYP!I62+'BH Team'!I93+'Teen Court'!I62+'SK - HUSLY'!I62+'SK - TL'!I62+'SK - PERM'!I62+'SK - VOC'!I62+'22 North'!I62)</f>
        <v>2865.0987831895504</v>
      </c>
      <c r="J98" s="104">
        <f>SUM(CMS!J62+Fundraising!J62+HSSP!J62+'WH - SOP'!J62+'WH - PAD'!J62+'WH - HUSLY'!J62+'WH - TL'!J62+'WH - PERM'!J62+'WH-VOC'!J62+QYP!J62+'BH Team'!J93+'Teen Court'!J62+'SK - HUSLY'!J62+'SK - TL'!J62+'SK - PERM'!J62+'SK - VOC'!J62+'22 North'!J62)</f>
        <v>2865.0987831895504</v>
      </c>
      <c r="K98" s="104">
        <f>SUM(CMS!K62+Fundraising!K62+HSSP!K62+'WH - SOP'!K62+'WH - PAD'!K62+'WH - HUSLY'!K62+'WH - TL'!K62+'WH - PERM'!K62+'WH-VOC'!K62+QYP!K62+'BH Team'!K93+'Teen Court'!K62+'SK - HUSLY'!K62+'SK - TL'!K62+'SK - PERM'!K62+'SK - VOC'!K62+'22 North'!K62)</f>
        <v>3002.6159967973713</v>
      </c>
      <c r="L98" s="104">
        <f>SUM(CMS!L62+Fundraising!L62+HSSP!L62+'WH - SOP'!L62+'WH - PAD'!L62+'WH - HUSLY'!L62+'WH - TL'!L62+'WH - PERM'!L62+'WH-VOC'!L62+QYP!L62+'BH Team'!L93+'Teen Court'!L62+'SK - HUSLY'!L62+'SK - TL'!L62+'SK - PERM'!L62+'SK - VOC'!L62+'22 North'!L62)</f>
        <v>3002.6159967973713</v>
      </c>
      <c r="M98" s="104">
        <f>SUM(CMS!M62+Fundraising!M62+HSSP!M62+'WH - SOP'!M62+'WH - PAD'!M62+'WH - HUSLY'!M62+'WH - TL'!M62+'WH - PERM'!M62+'WH-VOC'!M62+QYP!M62+'BH Team'!M93+'Teen Court'!M62+'SK - HUSLY'!M62+'SK - TL'!M62+'SK - PERM'!M62+'SK - VOC'!M62+'22 North'!M62)</f>
        <v>2836.8172664784497</v>
      </c>
      <c r="N98" s="104">
        <f>SUM(CMS!N62+Fundraising!N62+HSSP!N62+'WH - SOP'!N62+'WH - PAD'!N62+'WH - HUSLY'!N62+'WH - TL'!N62+'WH - PERM'!N62+'WH-VOC'!N62+QYP!N62+'BH Team'!N93+'Teen Court'!N62+'SK - HUSLY'!N62+'SK - TL'!N62+'SK - PERM'!N62+'SK - VOC'!N62+'22 North'!N62)</f>
        <v>2836.8172664784497</v>
      </c>
      <c r="O98" s="135">
        <f t="shared" si="9"/>
        <v>34736.868667314324</v>
      </c>
      <c r="P98" s="386">
        <v>18399.140011930001</v>
      </c>
      <c r="Q98" s="385">
        <f t="shared" si="10"/>
        <v>16337.728655384322</v>
      </c>
      <c r="R98" s="68" t="s">
        <v>644</v>
      </c>
      <c r="S98" s="68"/>
      <c r="T98" s="68"/>
      <c r="U98" s="68"/>
      <c r="V98" s="68"/>
      <c r="W98" s="68"/>
      <c r="X98" s="68"/>
      <c r="Y98" s="68"/>
    </row>
    <row r="99" spans="2:25" x14ac:dyDescent="0.25">
      <c r="B99" s="16" t="str">
        <f>CMS!A63</f>
        <v>Professional Services</v>
      </c>
      <c r="C99" s="104">
        <f>SUM(CMS!C63+Fundraising!C63+HSSP!C63+'WH - SOP'!C63+'WH - PAD'!C63+'WH - HUSLY'!C63+'WH - TL'!C63+'WH - PERM'!C63+'WH-VOC'!C63+QYP!C63+'BH Team'!C94+'Teen Court'!C63+'SK - HUSLY'!C63+'SK - TL'!C63+'SK - PERM'!C63+'SK - VOC'!C63+'22 North'!C63)</f>
        <v>15604.416666666666</v>
      </c>
      <c r="D99" s="104">
        <f>SUM(CMS!D63+Fundraising!D63+HSSP!D63+'WH - SOP'!D63+'WH - PAD'!D63+'WH - HUSLY'!D63+'WH - TL'!D63+'WH - PERM'!D63+'WH-VOC'!D63+QYP!D63+'BH Team'!D94+'Teen Court'!D63+'SK - HUSLY'!D63+'SK - TL'!D63+'SK - PERM'!D63+'SK - VOC'!D63+'22 North'!D63)</f>
        <v>15154.416666666666</v>
      </c>
      <c r="E99" s="104">
        <f>SUM(CMS!E63+Fundraising!E63+HSSP!E63+'WH - SOP'!E63+'WH - PAD'!E63+'WH - HUSLY'!E63+'WH - TL'!E63+'WH - PERM'!E63+'WH-VOC'!E63+QYP!E63+'BH Team'!E94+'Teen Court'!E63+'SK - HUSLY'!E63+'SK - TL'!E63+'SK - PERM'!E63+'SK - VOC'!E63+'22 North'!E63)</f>
        <v>34704.416666666664</v>
      </c>
      <c r="F99" s="104">
        <f>SUM(CMS!F63+Fundraising!F63+HSSP!F63+'WH - SOP'!F63+'WH - PAD'!F63+'WH - HUSLY'!F63+'WH - TL'!F63+'WH - PERM'!F63+'WH-VOC'!F63+QYP!F63+'BH Team'!F94+'Teen Court'!F63+'SK - HUSLY'!F63+'SK - TL'!F63+'SK - PERM'!F63+'SK - VOC'!F63+'22 North'!F63)</f>
        <v>15154.416666666666</v>
      </c>
      <c r="G99" s="104">
        <f>SUM(CMS!G63+Fundraising!G63+HSSP!G63+'WH - SOP'!G63+'WH - PAD'!G63+'WH - HUSLY'!G63+'WH - TL'!G63+'WH - PERM'!G63+'WH-VOC'!G63+QYP!G63+'BH Team'!G94+'Teen Court'!G63+'SK - HUSLY'!G63+'SK - TL'!G63+'SK - PERM'!G63+'SK - VOC'!G63+'22 North'!G63)</f>
        <v>13154.416666666666</v>
      </c>
      <c r="H99" s="104">
        <f>SUM(CMS!H63+Fundraising!H63+HSSP!H63+'WH - SOP'!H63+'WH - PAD'!H63+'WH - HUSLY'!H63+'WH - TL'!H63+'WH - PERM'!H63+'WH-VOC'!H63+QYP!H63+'BH Team'!H94+'Teen Court'!H63+'SK - HUSLY'!H63+'SK - TL'!H63+'SK - PERM'!H63+'SK - VOC'!H63+'22 North'!H63)</f>
        <v>13154.416666666666</v>
      </c>
      <c r="I99" s="104">
        <f>SUM(CMS!I63+Fundraising!I63+HSSP!I63+'WH - SOP'!I63+'WH - PAD'!I63+'WH - HUSLY'!I63+'WH - TL'!I63+'WH - PERM'!I63+'WH-VOC'!I63+QYP!I63+'BH Team'!I94+'Teen Court'!I63+'SK - HUSLY'!I63+'SK - TL'!I63+'SK - PERM'!I63+'SK - VOC'!I63+'22 North'!I63)</f>
        <v>22800.916666666664</v>
      </c>
      <c r="J99" s="104">
        <f>SUM(CMS!J63+Fundraising!J63+HSSP!J63+'WH - SOP'!J63+'WH - PAD'!J63+'WH - HUSLY'!J63+'WH - TL'!J63+'WH - PERM'!J63+'WH-VOC'!J63+QYP!J63+'BH Team'!J94+'Teen Court'!J63+'SK - HUSLY'!J63+'SK - TL'!J63+'SK - PERM'!J63+'SK - VOC'!J63+'22 North'!J63)</f>
        <v>20300.916666666664</v>
      </c>
      <c r="K99" s="104">
        <f>SUM(CMS!K63+Fundraising!K63+HSSP!K63+'WH - SOP'!K63+'WH - PAD'!K63+'WH - HUSLY'!K63+'WH - TL'!K63+'WH - PERM'!K63+'WH-VOC'!K63+QYP!K63+'BH Team'!K94+'Teen Court'!K63+'SK - HUSLY'!K63+'SK - TL'!K63+'SK - PERM'!K63+'SK - VOC'!K63+'22 North'!K63)</f>
        <v>20300.916666666664</v>
      </c>
      <c r="L99" s="104">
        <f>SUM(CMS!L63+Fundraising!L63+HSSP!L63+'WH - SOP'!L63+'WH - PAD'!L63+'WH - HUSLY'!L63+'WH - TL'!L63+'WH - PERM'!L63+'WH-VOC'!L63+QYP!L63+'BH Team'!L94+'Teen Court'!L63+'SK - HUSLY'!L63+'SK - TL'!L63+'SK - PERM'!L63+'SK - VOC'!L63+'22 North'!L63)</f>
        <v>20300.916666666664</v>
      </c>
      <c r="M99" s="104">
        <f>SUM(CMS!M63+Fundraising!M63+HSSP!M63+'WH - SOP'!M63+'WH - PAD'!M63+'WH - HUSLY'!M63+'WH - TL'!M63+'WH - PERM'!M63+'WH-VOC'!M63+QYP!M63+'BH Team'!M94+'Teen Court'!M63+'SK - HUSLY'!M63+'SK - TL'!M63+'SK - PERM'!M63+'SK - VOC'!M63+'22 North'!M63)</f>
        <v>20750.916666666664</v>
      </c>
      <c r="N99" s="104">
        <f>SUM(CMS!N63+Fundraising!N63+HSSP!N63+'WH - SOP'!N63+'WH - PAD'!N63+'WH - HUSLY'!N63+'WH - TL'!N63+'WH - PERM'!N63+'WH-VOC'!N63+QYP!N63+'BH Team'!N94+'Teen Court'!N63+'SK - HUSLY'!N63+'SK - TL'!N63+'SK - PERM'!N63+'SK - VOC'!N63+'22 North'!N63)</f>
        <v>20300.916666666664</v>
      </c>
      <c r="O99" s="135">
        <f t="shared" si="9"/>
        <v>231681.99999999997</v>
      </c>
      <c r="P99" s="386">
        <v>22504</v>
      </c>
      <c r="Q99" s="385">
        <f t="shared" si="10"/>
        <v>209177.99999999997</v>
      </c>
      <c r="R99" s="68" t="s">
        <v>638</v>
      </c>
      <c r="S99" s="68"/>
      <c r="T99" s="68"/>
      <c r="U99" s="68"/>
      <c r="V99" s="68"/>
      <c r="W99" s="68"/>
      <c r="X99" s="68"/>
      <c r="Y99" s="68"/>
    </row>
    <row r="100" spans="2:25" x14ac:dyDescent="0.25">
      <c r="B100" s="16" t="str">
        <f>CMS!A64</f>
        <v>Legal Fees</v>
      </c>
      <c r="C100" s="104">
        <f>SUM(CMS!C64+Fundraising!C64+HSSP!C64+'WH - SOP'!C64+'WH - PAD'!C64+'WH - HUSLY'!C64+'WH - TL'!C64+'WH - PERM'!C64+'WH-VOC'!C64+QYP!C64+'BH Team'!C95+'Teen Court'!C64+'SK - HUSLY'!C64+'SK - TL'!C64+'SK - PERM'!C64+'SK - VOC'!C64+'22 North'!C64)</f>
        <v>150</v>
      </c>
      <c r="D100" s="104">
        <f>SUM(CMS!D64+Fundraising!D64+HSSP!D64+'WH - SOP'!D64+'WH - PAD'!D64+'WH - HUSLY'!D64+'WH - TL'!D64+'WH - PERM'!D64+'WH-VOC'!D64+QYP!D64+'BH Team'!D95+'Teen Court'!D64+'SK - HUSLY'!D64+'SK - TL'!D64+'SK - PERM'!D64+'SK - VOC'!D64+'22 North'!D64)</f>
        <v>150</v>
      </c>
      <c r="E100" s="104">
        <f>SUM(CMS!E64+Fundraising!E64+HSSP!E64+'WH - SOP'!E64+'WH - PAD'!E64+'WH - HUSLY'!E64+'WH - TL'!E64+'WH - PERM'!E64+'WH-VOC'!E64+QYP!E64+'BH Team'!E95+'Teen Court'!E64+'SK - HUSLY'!E64+'SK - TL'!E64+'SK - PERM'!E64+'SK - VOC'!E64+'22 North'!E64)</f>
        <v>150</v>
      </c>
      <c r="F100" s="104">
        <f>SUM(CMS!F64+Fundraising!F64+HSSP!F64+'WH - SOP'!F64+'WH - PAD'!F64+'WH - HUSLY'!F64+'WH - TL'!F64+'WH - PERM'!F64+'WH-VOC'!F64+QYP!F64+'BH Team'!F95+'Teen Court'!F64+'SK - HUSLY'!F64+'SK - TL'!F64+'SK - PERM'!F64+'SK - VOC'!F64+'22 North'!F64)</f>
        <v>150</v>
      </c>
      <c r="G100" s="104">
        <f>SUM(CMS!G64+Fundraising!G64+HSSP!G64+'WH - SOP'!G64+'WH - PAD'!G64+'WH - HUSLY'!G64+'WH - TL'!G64+'WH - PERM'!G64+'WH-VOC'!G64+QYP!G64+'BH Team'!G95+'Teen Court'!G64+'SK - HUSLY'!G64+'SK - TL'!G64+'SK - PERM'!G64+'SK - VOC'!G64+'22 North'!G64)</f>
        <v>150</v>
      </c>
      <c r="H100" s="104">
        <f>SUM(CMS!H64+Fundraising!H64+HSSP!H64+'WH - SOP'!H64+'WH - PAD'!H64+'WH - HUSLY'!H64+'WH - TL'!H64+'WH - PERM'!H64+'WH-VOC'!H64+QYP!H64+'BH Team'!H95+'Teen Court'!H64+'SK - HUSLY'!H64+'SK - TL'!H64+'SK - PERM'!H64+'SK - VOC'!H64+'22 North'!H64)</f>
        <v>150</v>
      </c>
      <c r="I100" s="104">
        <f>SUM(CMS!I64+Fundraising!I64+HSSP!I64+'WH - SOP'!I64+'WH - PAD'!I64+'WH - HUSLY'!I64+'WH - TL'!I64+'WH - PERM'!I64+'WH-VOC'!I64+QYP!I64+'BH Team'!I95+'Teen Court'!I64+'SK - HUSLY'!I64+'SK - TL'!I64+'SK - PERM'!I64+'SK - VOC'!I64+'22 North'!I64)</f>
        <v>150</v>
      </c>
      <c r="J100" s="104">
        <f>SUM(CMS!J64+Fundraising!J64+HSSP!J64+'WH - SOP'!J64+'WH - PAD'!J64+'WH - HUSLY'!J64+'WH - TL'!J64+'WH - PERM'!J64+'WH-VOC'!J64+QYP!J64+'BH Team'!J95+'Teen Court'!J64+'SK - HUSLY'!J64+'SK - TL'!J64+'SK - PERM'!J64+'SK - VOC'!J64+'22 North'!J64)</f>
        <v>150</v>
      </c>
      <c r="K100" s="104">
        <f>SUM(CMS!K64+Fundraising!K64+HSSP!K64+'WH - SOP'!K64+'WH - PAD'!K64+'WH - HUSLY'!K64+'WH - TL'!K64+'WH - PERM'!K64+'WH-VOC'!K64+QYP!K64+'BH Team'!K95+'Teen Court'!K64+'SK - HUSLY'!K64+'SK - TL'!K64+'SK - PERM'!K64+'SK - VOC'!K64+'22 North'!K64)</f>
        <v>150</v>
      </c>
      <c r="L100" s="104">
        <f>SUM(CMS!L64+Fundraising!L64+HSSP!L64+'WH - SOP'!L64+'WH - PAD'!L64+'WH - HUSLY'!L64+'WH - TL'!L64+'WH - PERM'!L64+'WH-VOC'!L64+QYP!L64+'BH Team'!L95+'Teen Court'!L64+'SK - HUSLY'!L64+'SK - TL'!L64+'SK - PERM'!L64+'SK - VOC'!L64+'22 North'!L64)</f>
        <v>150</v>
      </c>
      <c r="M100" s="104">
        <f>SUM(CMS!M64+Fundraising!M64+HSSP!M64+'WH - SOP'!M64+'WH - PAD'!M64+'WH - HUSLY'!M64+'WH - TL'!M64+'WH - PERM'!M64+'WH-VOC'!M64+QYP!M64+'BH Team'!M95+'Teen Court'!M64+'SK - HUSLY'!M64+'SK - TL'!M64+'SK - PERM'!M64+'SK - VOC'!M64+'22 North'!M64)</f>
        <v>150</v>
      </c>
      <c r="N100" s="104">
        <f>SUM(CMS!N64+Fundraising!N64+HSSP!N64+'WH - SOP'!N64+'WH - PAD'!N64+'WH - HUSLY'!N64+'WH - TL'!N64+'WH - PERM'!N64+'WH-VOC'!N64+QYP!N64+'BH Team'!N95+'Teen Court'!N64+'SK - HUSLY'!N64+'SK - TL'!N64+'SK - PERM'!N64+'SK - VOC'!N64+'22 North'!N64)</f>
        <v>150</v>
      </c>
      <c r="O100" s="135">
        <f t="shared" si="9"/>
        <v>1800</v>
      </c>
      <c r="P100" s="386">
        <v>8320.0000000000018</v>
      </c>
      <c r="Q100" s="385">
        <f t="shared" si="10"/>
        <v>-6520.0000000000018</v>
      </c>
      <c r="R100" s="68"/>
      <c r="S100" s="68"/>
      <c r="T100" s="68"/>
      <c r="U100" s="68"/>
      <c r="V100" s="68"/>
      <c r="W100" s="68"/>
      <c r="X100" s="68"/>
      <c r="Y100" s="68"/>
    </row>
    <row r="101" spans="2:25" x14ac:dyDescent="0.25">
      <c r="B101" s="16" t="str">
        <f>CMS!A65</f>
        <v>Technical Services</v>
      </c>
      <c r="C101" s="104">
        <f>SUM(CMS!C65+Fundraising!C65+HSSP!C65+'WH - SOP'!C65+'WH - PAD'!C65+'WH - HUSLY'!C65+'WH - TL'!C65+'WH - PERM'!C65+'WH-VOC'!C65+QYP!C65+'BH Team'!C96+'Teen Court'!C65+'SK - HUSLY'!C65+'SK - TL'!C65+'SK - PERM'!C65+'SK - VOC'!C65+'22 North'!C65)</f>
        <v>9305</v>
      </c>
      <c r="D101" s="104">
        <f>SUM(CMS!D65+Fundraising!D65+HSSP!D65+'WH - SOP'!D65+'WH - PAD'!D65+'WH - HUSLY'!D65+'WH - TL'!D65+'WH - PERM'!D65+'WH-VOC'!D65+QYP!D65+'BH Team'!D96+'Teen Court'!D65+'SK - HUSLY'!D65+'SK - TL'!D65+'SK - PERM'!D65+'SK - VOC'!D65+'22 North'!D65)</f>
        <v>3405</v>
      </c>
      <c r="E101" s="104">
        <f>SUM(CMS!E65+Fundraising!E65+HSSP!E65+'WH - SOP'!E65+'WH - PAD'!E65+'WH - HUSLY'!E65+'WH - TL'!E65+'WH - PERM'!E65+'WH-VOC'!E65+QYP!E65+'BH Team'!E96+'Teen Court'!E65+'SK - HUSLY'!E65+'SK - TL'!E65+'SK - PERM'!E65+'SK - VOC'!E65+'22 North'!E65)</f>
        <v>3405</v>
      </c>
      <c r="F101" s="104">
        <f>SUM(CMS!F65+Fundraising!F65+HSSP!F65+'WH - SOP'!F65+'WH - PAD'!F65+'WH - HUSLY'!F65+'WH - TL'!F65+'WH - PERM'!F65+'WH-VOC'!F65+QYP!F65+'BH Team'!F96+'Teen Court'!F65+'SK - HUSLY'!F65+'SK - TL'!F65+'SK - PERM'!F65+'SK - VOC'!F65+'22 North'!F65)</f>
        <v>3405</v>
      </c>
      <c r="G101" s="104">
        <f>SUM(CMS!G65+Fundraising!G65+HSSP!G65+'WH - SOP'!G65+'WH - PAD'!G65+'WH - HUSLY'!G65+'WH - TL'!G65+'WH - PERM'!G65+'WH-VOC'!G65+QYP!G65+'BH Team'!G96+'Teen Court'!G65+'SK - HUSLY'!G65+'SK - TL'!G65+'SK - PERM'!G65+'SK - VOC'!G65+'22 North'!G65)</f>
        <v>3405</v>
      </c>
      <c r="H101" s="104">
        <f>SUM(CMS!H65+Fundraising!H65+HSSP!H65+'WH - SOP'!H65+'WH - PAD'!H65+'WH - HUSLY'!H65+'WH - TL'!H65+'WH - PERM'!H65+'WH-VOC'!H65+QYP!H65+'BH Team'!H96+'Teen Court'!H65+'SK - HUSLY'!H65+'SK - TL'!H65+'SK - PERM'!H65+'SK - VOC'!H65+'22 North'!H65)</f>
        <v>10405</v>
      </c>
      <c r="I101" s="104">
        <f>SUM(CMS!I65+Fundraising!I65+HSSP!I65+'WH - SOP'!I65+'WH - PAD'!I65+'WH - HUSLY'!I65+'WH - TL'!I65+'WH - PERM'!I65+'WH-VOC'!I65+QYP!I65+'BH Team'!I96+'Teen Court'!I65+'SK - HUSLY'!I65+'SK - TL'!I65+'SK - PERM'!I65+'SK - VOC'!I65+'22 North'!I65)</f>
        <v>3405</v>
      </c>
      <c r="J101" s="104">
        <f>SUM(CMS!J65+Fundraising!J65+HSSP!J65+'WH - SOP'!J65+'WH - PAD'!J65+'WH - HUSLY'!J65+'WH - TL'!J65+'WH - PERM'!J65+'WH-VOC'!J65+QYP!J65+'BH Team'!J96+'Teen Court'!J65+'SK - HUSLY'!J65+'SK - TL'!J65+'SK - PERM'!J65+'SK - VOC'!J65+'22 North'!J65)</f>
        <v>3405</v>
      </c>
      <c r="K101" s="104">
        <f>SUM(CMS!K65+Fundraising!K65+HSSP!K65+'WH - SOP'!K65+'WH - PAD'!K65+'WH - HUSLY'!K65+'WH - TL'!K65+'WH - PERM'!K65+'WH-VOC'!K65+QYP!K65+'BH Team'!K96+'Teen Court'!K65+'SK - HUSLY'!K65+'SK - TL'!K65+'SK - PERM'!K65+'SK - VOC'!K65+'22 North'!K65)</f>
        <v>3405</v>
      </c>
      <c r="L101" s="104">
        <f>SUM(CMS!L65+Fundraising!L65+HSSP!L65+'WH - SOP'!L65+'WH - PAD'!L65+'WH - HUSLY'!L65+'WH - TL'!L65+'WH - PERM'!L65+'WH-VOC'!L65+QYP!L65+'BH Team'!L96+'Teen Court'!L65+'SK - HUSLY'!L65+'SK - TL'!L65+'SK - PERM'!L65+'SK - VOC'!L65+'22 North'!L65)</f>
        <v>3405</v>
      </c>
      <c r="M101" s="104">
        <f>SUM(CMS!M65+Fundraising!M65+HSSP!M65+'WH - SOP'!M65+'WH - PAD'!M65+'WH - HUSLY'!M65+'WH - TL'!M65+'WH - PERM'!M65+'WH-VOC'!M65+QYP!M65+'BH Team'!M96+'Teen Court'!M65+'SK - HUSLY'!M65+'SK - TL'!M65+'SK - PERM'!M65+'SK - VOC'!M65+'22 North'!M65)</f>
        <v>3405</v>
      </c>
      <c r="N101" s="104">
        <f>SUM(CMS!N65+Fundraising!N65+HSSP!N65+'WH - SOP'!N65+'WH - PAD'!N65+'WH - HUSLY'!N65+'WH - TL'!N65+'WH - PERM'!N65+'WH-VOC'!N65+QYP!N65+'BH Team'!N96+'Teen Court'!N65+'SK - HUSLY'!N65+'SK - TL'!N65+'SK - PERM'!N65+'SK - VOC'!N65+'22 North'!N65)</f>
        <v>3405</v>
      </c>
      <c r="O101" s="135">
        <f t="shared" si="9"/>
        <v>53760</v>
      </c>
      <c r="P101" s="386">
        <v>18444</v>
      </c>
      <c r="Q101" s="385">
        <f t="shared" si="10"/>
        <v>35316</v>
      </c>
      <c r="R101" s="68" t="s">
        <v>639</v>
      </c>
      <c r="S101" s="68"/>
      <c r="T101" s="68"/>
      <c r="U101" s="68"/>
      <c r="V101" s="68"/>
      <c r="W101" s="68"/>
      <c r="X101" s="68"/>
      <c r="Y101" s="68"/>
    </row>
    <row r="102" spans="2:25" x14ac:dyDescent="0.25">
      <c r="B102" s="16" t="str">
        <f>CMS!A66</f>
        <v>Taxes/Licenses &amp; Permits</v>
      </c>
      <c r="C102" s="104">
        <f>SUM(CMS!C66+Fundraising!C66+HSSP!C66+'WH - SOP'!C66+'WH - PAD'!C66+'WH - HUSLY'!C66+'WH - TL'!C66+'WH - PERM'!C66+'WH-VOC'!C66+QYP!C66+'BH Team'!C97+'Teen Court'!C66+'SK - HUSLY'!C66+'SK - TL'!C66+'SK - PERM'!C66+'SK - VOC'!C66+'22 North'!C66)</f>
        <v>0</v>
      </c>
      <c r="D102" s="104">
        <f>SUM(CMS!D66+Fundraising!D66+HSSP!D66+'WH - SOP'!D66+'WH - PAD'!D66+'WH - HUSLY'!D66+'WH - TL'!D66+'WH - PERM'!D66+'WH-VOC'!D66+QYP!D66+'BH Team'!D97+'Teen Court'!D66+'SK - HUSLY'!D66+'SK - TL'!D66+'SK - PERM'!D66+'SK - VOC'!D66+'22 North'!D66)</f>
        <v>0</v>
      </c>
      <c r="E102" s="104">
        <f>SUM(CMS!E66+Fundraising!E66+HSSP!E66+'WH - SOP'!E66+'WH - PAD'!E66+'WH - HUSLY'!E66+'WH - TL'!E66+'WH - PERM'!E66+'WH-VOC'!E66+QYP!E66+'BH Team'!E97+'Teen Court'!E66+'SK - HUSLY'!E66+'SK - TL'!E66+'SK - PERM'!E66+'SK - VOC'!E66+'22 North'!E66)</f>
        <v>10</v>
      </c>
      <c r="F102" s="104">
        <f>SUM(CMS!F66+Fundraising!F66+HSSP!F66+'WH - SOP'!F66+'WH - PAD'!F66+'WH - HUSLY'!F66+'WH - TL'!F66+'WH - PERM'!F66+'WH-VOC'!F66+QYP!F66+'BH Team'!F97+'Teen Court'!F66+'SK - HUSLY'!F66+'SK - TL'!F66+'SK - PERM'!F66+'SK - VOC'!F66+'22 North'!F66)</f>
        <v>0</v>
      </c>
      <c r="G102" s="104">
        <f>SUM(CMS!G66+Fundraising!G66+HSSP!G66+'WH - SOP'!G66+'WH - PAD'!G66+'WH - HUSLY'!G66+'WH - TL'!G66+'WH - PERM'!G66+'WH-VOC'!G66+QYP!G66+'BH Team'!G97+'Teen Court'!G66+'SK - HUSLY'!G66+'SK - TL'!G66+'SK - PERM'!G66+'SK - VOC'!G66+'22 North'!G66)</f>
        <v>0</v>
      </c>
      <c r="H102" s="104">
        <f>SUM(CMS!H66+Fundraising!H66+HSSP!H66+'WH - SOP'!H66+'WH - PAD'!H66+'WH - HUSLY'!H66+'WH - TL'!H66+'WH - PERM'!H66+'WH-VOC'!H66+QYP!H66+'BH Team'!H97+'Teen Court'!H66+'SK - HUSLY'!H66+'SK - TL'!H66+'SK - PERM'!H66+'SK - VOC'!H66+'22 North'!H66)</f>
        <v>0</v>
      </c>
      <c r="I102" s="104">
        <f>SUM(CMS!I66+Fundraising!I66+HSSP!I66+'WH - SOP'!I66+'WH - PAD'!I66+'WH - HUSLY'!I66+'WH - TL'!I66+'WH - PERM'!I66+'WH-VOC'!I66+QYP!I66+'BH Team'!I97+'Teen Court'!I66+'SK - HUSLY'!I66+'SK - TL'!I66+'SK - PERM'!I66+'SK - VOC'!I66+'22 North'!I66)</f>
        <v>64</v>
      </c>
      <c r="J102" s="104">
        <f>SUM(CMS!J66+Fundraising!J66+HSSP!J66+'WH - SOP'!J66+'WH - PAD'!J66+'WH - HUSLY'!J66+'WH - TL'!J66+'WH - PERM'!J66+'WH-VOC'!J66+QYP!J66+'BH Team'!J97+'Teen Court'!J66+'SK - HUSLY'!J66+'SK - TL'!J66+'SK - PERM'!J66+'SK - VOC'!J66+'22 North'!J66)</f>
        <v>0</v>
      </c>
      <c r="K102" s="104">
        <f>SUM(CMS!K66+Fundraising!K66+HSSP!K66+'WH - SOP'!K66+'WH - PAD'!K66+'WH - HUSLY'!K66+'WH - TL'!K66+'WH - PERM'!K66+'WH-VOC'!K66+QYP!K66+'BH Team'!K97+'Teen Court'!K66+'SK - HUSLY'!K66+'SK - TL'!K66+'SK - PERM'!K66+'SK - VOC'!K66+'22 North'!K66)</f>
        <v>0</v>
      </c>
      <c r="L102" s="104">
        <f>SUM(CMS!L66+Fundraising!L66+HSSP!L66+'WH - SOP'!L66+'WH - PAD'!L66+'WH - HUSLY'!L66+'WH - TL'!L66+'WH - PERM'!L66+'WH-VOC'!L66+QYP!L66+'BH Team'!L97+'Teen Court'!L66+'SK - HUSLY'!L66+'SK - TL'!L66+'SK - PERM'!L66+'SK - VOC'!L66+'22 North'!L66)</f>
        <v>50</v>
      </c>
      <c r="M102" s="104">
        <f>SUM(CMS!M66+Fundraising!M66+HSSP!M66+'WH - SOP'!M66+'WH - PAD'!M66+'WH - HUSLY'!M66+'WH - TL'!M66+'WH - PERM'!M66+'WH-VOC'!M66+QYP!M66+'BH Team'!M97+'Teen Court'!M66+'SK - HUSLY'!M66+'SK - TL'!M66+'SK - PERM'!M66+'SK - VOC'!M66+'22 North'!M66)</f>
        <v>0</v>
      </c>
      <c r="N102" s="104">
        <f>SUM(CMS!N66+Fundraising!N66+HSSP!N66+'WH - SOP'!N66+'WH - PAD'!N66+'WH - HUSLY'!N66+'WH - TL'!N66+'WH - PERM'!N66+'WH-VOC'!N66+QYP!N66+'BH Team'!N97+'Teen Court'!N66+'SK - HUSLY'!N66+'SK - TL'!N66+'SK - PERM'!N66+'SK - VOC'!N66+'22 North'!N66)</f>
        <v>0</v>
      </c>
      <c r="O102" s="135">
        <f t="shared" si="9"/>
        <v>124</v>
      </c>
      <c r="P102" s="386">
        <v>2257</v>
      </c>
      <c r="Q102" s="385">
        <f t="shared" si="10"/>
        <v>-2133</v>
      </c>
      <c r="R102" s="68"/>
      <c r="S102" s="68"/>
      <c r="T102" s="68"/>
      <c r="U102" s="68"/>
      <c r="V102" s="68"/>
      <c r="W102" s="68"/>
      <c r="X102" s="68"/>
      <c r="Y102" s="68"/>
    </row>
    <row r="103" spans="2:25" x14ac:dyDescent="0.25">
      <c r="B103" s="16" t="str">
        <f>CMS!A67</f>
        <v>Small Tools &amp; Equip</v>
      </c>
      <c r="C103" s="104">
        <f>SUM(CMS!C67+Fundraising!C67+HSSP!C67+'WH - SOP'!C67+'WH - PAD'!C67+'WH - HUSLY'!C67+'WH - TL'!C67+'WH - PERM'!C67+'WH-VOC'!C67+QYP!C67+'BH Team'!C98+'Teen Court'!C67+'SK - HUSLY'!C67+'SK - TL'!C67+'SK - PERM'!C67+'SK - VOC'!C67+'22 North'!C67)</f>
        <v>3780.166666666667</v>
      </c>
      <c r="D103" s="104">
        <f>SUM(CMS!D67+Fundraising!D67+HSSP!D67+'WH - SOP'!D67+'WH - PAD'!D67+'WH - HUSLY'!D67+'WH - TL'!D67+'WH - PERM'!D67+'WH-VOC'!D67+QYP!D67+'BH Team'!D98+'Teen Court'!D67+'SK - HUSLY'!D67+'SK - TL'!D67+'SK - PERM'!D67+'SK - VOC'!D67+'22 North'!D67)</f>
        <v>1189.8333333333335</v>
      </c>
      <c r="E103" s="104">
        <f>SUM(CMS!E67+Fundraising!E67+HSSP!E67+'WH - SOP'!E67+'WH - PAD'!E67+'WH - HUSLY'!E67+'WH - TL'!E67+'WH - PERM'!E67+'WH-VOC'!E67+QYP!E67+'BH Team'!E98+'Teen Court'!E67+'SK - HUSLY'!E67+'SK - TL'!E67+'SK - PERM'!E67+'SK - VOC'!E67+'22 North'!E67)</f>
        <v>1189.8333333333335</v>
      </c>
      <c r="F103" s="104">
        <f>SUM(CMS!F67+Fundraising!F67+HSSP!F67+'WH - SOP'!F67+'WH - PAD'!F67+'WH - HUSLY'!F67+'WH - TL'!F67+'WH - PERM'!F67+'WH-VOC'!F67+QYP!F67+'BH Team'!F98+'Teen Court'!F67+'SK - HUSLY'!F67+'SK - TL'!F67+'SK - PERM'!F67+'SK - VOC'!F67+'22 North'!F67)</f>
        <v>1189.8333333333335</v>
      </c>
      <c r="G103" s="104">
        <f>SUM(CMS!G67+Fundraising!G67+HSSP!G67+'WH - SOP'!G67+'WH - PAD'!G67+'WH - HUSLY'!G67+'WH - TL'!G67+'WH - PERM'!G67+'WH-VOC'!G67+QYP!G67+'BH Team'!G98+'Teen Court'!G67+'SK - HUSLY'!G67+'SK - TL'!G67+'SK - PERM'!G67+'SK - VOC'!G67+'22 North'!G67)</f>
        <v>4689.8333333333339</v>
      </c>
      <c r="H103" s="104">
        <f>SUM(CMS!H67+Fundraising!H67+HSSP!H67+'WH - SOP'!H67+'WH - PAD'!H67+'WH - HUSLY'!H67+'WH - TL'!H67+'WH - PERM'!H67+'WH-VOC'!H67+QYP!H67+'BH Team'!H98+'Teen Court'!H67+'SK - HUSLY'!H67+'SK - TL'!H67+'SK - PERM'!H67+'SK - VOC'!H67+'22 North'!H67)</f>
        <v>1356.8333333333335</v>
      </c>
      <c r="I103" s="104">
        <f>SUM(CMS!I67+Fundraising!I67+HSSP!I67+'WH - SOP'!I67+'WH - PAD'!I67+'WH - HUSLY'!I67+'WH - TL'!I67+'WH - PERM'!I67+'WH-VOC'!I67+QYP!I67+'BH Team'!I98+'Teen Court'!I67+'SK - HUSLY'!I67+'SK - TL'!I67+'SK - PERM'!I67+'SK - VOC'!I67+'22 North'!I67)</f>
        <v>5856.8333333333339</v>
      </c>
      <c r="J103" s="104">
        <f>SUM(CMS!J67+Fundraising!J67+HSSP!J67+'WH - SOP'!J67+'WH - PAD'!J67+'WH - HUSLY'!J67+'WH - TL'!J67+'WH - PERM'!J67+'WH-VOC'!J67+QYP!J67+'BH Team'!J98+'Teen Court'!J67+'SK - HUSLY'!J67+'SK - TL'!J67+'SK - PERM'!J67+'SK - VOC'!J67+'22 North'!J67)</f>
        <v>1356.5000000000002</v>
      </c>
      <c r="K103" s="104">
        <f>SUM(CMS!K67+Fundraising!K67+HSSP!K67+'WH - SOP'!K67+'WH - PAD'!K67+'WH - HUSLY'!K67+'WH - TL'!K67+'WH - PERM'!K67+'WH-VOC'!K67+QYP!K67+'BH Team'!K98+'Teen Court'!K67+'SK - HUSLY'!K67+'SK - TL'!K67+'SK - PERM'!K67+'SK - VOC'!K67+'22 North'!K67)</f>
        <v>1356.5000000000002</v>
      </c>
      <c r="L103" s="104">
        <f>SUM(CMS!L67+Fundraising!L67+HSSP!L67+'WH - SOP'!L67+'WH - PAD'!L67+'WH - HUSLY'!L67+'WH - TL'!L67+'WH - PERM'!L67+'WH-VOC'!L67+QYP!L67+'BH Team'!L98+'Teen Court'!L67+'SK - HUSLY'!L67+'SK - TL'!L67+'SK - PERM'!L67+'SK - VOC'!L67+'22 North'!L67)</f>
        <v>1356.5000000000002</v>
      </c>
      <c r="M103" s="104">
        <f>SUM(CMS!M67+Fundraising!M67+HSSP!M67+'WH - SOP'!M67+'WH - PAD'!M67+'WH - HUSLY'!M67+'WH - TL'!M67+'WH - PERM'!M67+'WH-VOC'!M67+QYP!M67+'BH Team'!M98+'Teen Court'!M67+'SK - HUSLY'!M67+'SK - TL'!M67+'SK - PERM'!M67+'SK - VOC'!M67+'22 North'!M67)</f>
        <v>1356.5000000000002</v>
      </c>
      <c r="N103" s="104">
        <f>SUM(CMS!N67+Fundraising!N67+HSSP!N67+'WH - SOP'!N67+'WH - PAD'!N67+'WH - HUSLY'!N67+'WH - TL'!N67+'WH - PERM'!N67+'WH-VOC'!N67+QYP!N67+'BH Team'!N98+'Teen Court'!N67+'SK - HUSLY'!N67+'SK - TL'!N67+'SK - PERM'!N67+'SK - VOC'!N67+'22 North'!N67)</f>
        <v>1356.5000000000002</v>
      </c>
      <c r="O103" s="135">
        <f t="shared" si="9"/>
        <v>26035.666666666672</v>
      </c>
      <c r="P103" s="386">
        <v>3718.2499999999986</v>
      </c>
      <c r="Q103" s="385">
        <f t="shared" si="10"/>
        <v>22317.416666666672</v>
      </c>
      <c r="R103" s="68" t="s">
        <v>640</v>
      </c>
      <c r="S103" s="68"/>
      <c r="T103" s="68"/>
      <c r="U103" s="68"/>
      <c r="V103" s="68"/>
      <c r="W103" s="68"/>
      <c r="X103" s="68"/>
      <c r="Y103" s="68"/>
    </row>
    <row r="104" spans="2:25" x14ac:dyDescent="0.25">
      <c r="B104" s="16" t="str">
        <f>CMS!A68</f>
        <v>Office Supplies</v>
      </c>
      <c r="C104" s="104">
        <f>SUM(CMS!C68+Fundraising!C68+HSSP!C68+'WH - SOP'!C68+'WH - PAD'!C68+'WH - HUSLY'!C68+'WH - TL'!C68+'WH - PERM'!C68+'WH-VOC'!C68+QYP!C68+'BH Team'!C99+'Teen Court'!C68+'SK - HUSLY'!C68+'SK - TL'!C68+'SK - PERM'!C68+'SK - VOC'!C68+'22 North'!C68)</f>
        <v>1830.0833333333335</v>
      </c>
      <c r="D104" s="104">
        <f>SUM(CMS!D68+Fundraising!D68+HSSP!D68+'WH - SOP'!D68+'WH - PAD'!D68+'WH - HUSLY'!D68+'WH - TL'!D68+'WH - PERM'!D68+'WH-VOC'!D68+QYP!D68+'BH Team'!D99+'Teen Court'!D68+'SK - HUSLY'!D68+'SK - TL'!D68+'SK - PERM'!D68+'SK - VOC'!D68+'22 North'!D68)</f>
        <v>1830.0833333333335</v>
      </c>
      <c r="E104" s="104">
        <f>SUM(CMS!E68+Fundraising!E68+HSSP!E68+'WH - SOP'!E68+'WH - PAD'!E68+'WH - HUSLY'!E68+'WH - TL'!E68+'WH - PERM'!E68+'WH-VOC'!E68+QYP!E68+'BH Team'!E99+'Teen Court'!E68+'SK - HUSLY'!E68+'SK - TL'!E68+'SK - PERM'!E68+'SK - VOC'!E68+'22 North'!E68)</f>
        <v>1830.0833333333335</v>
      </c>
      <c r="F104" s="104">
        <f>SUM(CMS!F68+Fundraising!F68+HSSP!F68+'WH - SOP'!F68+'WH - PAD'!F68+'WH - HUSLY'!F68+'WH - TL'!F68+'WH - PERM'!F68+'WH-VOC'!F68+QYP!F68+'BH Team'!F99+'Teen Court'!F68+'SK - HUSLY'!F68+'SK - TL'!F68+'SK - PERM'!F68+'SK - VOC'!F68+'22 North'!F68)</f>
        <v>1830.0833333333335</v>
      </c>
      <c r="G104" s="104">
        <f>SUM(CMS!G68+Fundraising!G68+HSSP!G68+'WH - SOP'!G68+'WH - PAD'!G68+'WH - HUSLY'!G68+'WH - TL'!G68+'WH - PERM'!G68+'WH-VOC'!G68+QYP!G68+'BH Team'!G99+'Teen Court'!G68+'SK - HUSLY'!G68+'SK - TL'!G68+'SK - PERM'!G68+'SK - VOC'!G68+'22 North'!G68)</f>
        <v>1955.0833333333335</v>
      </c>
      <c r="H104" s="104">
        <f>SUM(CMS!H68+Fundraising!H68+HSSP!H68+'WH - SOP'!H68+'WH - PAD'!H68+'WH - HUSLY'!H68+'WH - TL'!H68+'WH - PERM'!H68+'WH-VOC'!H68+QYP!H68+'BH Team'!H99+'Teen Court'!H68+'SK - HUSLY'!H68+'SK - TL'!H68+'SK - PERM'!H68+'SK - VOC'!H68+'22 North'!H68)</f>
        <v>1955.0833333333335</v>
      </c>
      <c r="I104" s="104">
        <f>SUM(CMS!I68+Fundraising!I68+HSSP!I68+'WH - SOP'!I68+'WH - PAD'!I68+'WH - HUSLY'!I68+'WH - TL'!I68+'WH - PERM'!I68+'WH-VOC'!I68+QYP!I68+'BH Team'!I99+'Teen Court'!I68+'SK - HUSLY'!I68+'SK - TL'!I68+'SK - PERM'!I68+'SK - VOC'!I68+'22 North'!I68)</f>
        <v>1955.0833333333335</v>
      </c>
      <c r="J104" s="104">
        <f>SUM(CMS!J68+Fundraising!J68+HSSP!J68+'WH - SOP'!J68+'WH - PAD'!J68+'WH - HUSLY'!J68+'WH - TL'!J68+'WH - PERM'!J68+'WH-VOC'!J68+QYP!J68+'BH Team'!J99+'Teen Court'!J68+'SK - HUSLY'!J68+'SK - TL'!J68+'SK - PERM'!J68+'SK - VOC'!J68+'22 North'!J68)</f>
        <v>1955.0833333333335</v>
      </c>
      <c r="K104" s="104">
        <f>SUM(CMS!K68+Fundraising!K68+HSSP!K68+'WH - SOP'!K68+'WH - PAD'!K68+'WH - HUSLY'!K68+'WH - TL'!K68+'WH - PERM'!K68+'WH-VOC'!K68+QYP!K68+'BH Team'!K99+'Teen Court'!K68+'SK - HUSLY'!K68+'SK - TL'!K68+'SK - PERM'!K68+'SK - VOC'!K68+'22 North'!K68)</f>
        <v>1955.0833333333335</v>
      </c>
      <c r="L104" s="104">
        <f>SUM(CMS!L68+Fundraising!L68+HSSP!L68+'WH - SOP'!L68+'WH - PAD'!L68+'WH - HUSLY'!L68+'WH - TL'!L68+'WH - PERM'!L68+'WH-VOC'!L68+QYP!L68+'BH Team'!L99+'Teen Court'!L68+'SK - HUSLY'!L68+'SK - TL'!L68+'SK - PERM'!L68+'SK - VOC'!L68+'22 North'!L68)</f>
        <v>1955.0833333333335</v>
      </c>
      <c r="M104" s="104">
        <f>SUM(CMS!M68+Fundraising!M68+HSSP!M68+'WH - SOP'!M68+'WH - PAD'!M68+'WH - HUSLY'!M68+'WH - TL'!M68+'WH - PERM'!M68+'WH-VOC'!M68+QYP!M68+'BH Team'!M99+'Teen Court'!M68+'SK - HUSLY'!M68+'SK - TL'!M68+'SK - PERM'!M68+'SK - VOC'!M68+'22 North'!M68)</f>
        <v>1955.0833333333335</v>
      </c>
      <c r="N104" s="104">
        <f>SUM(CMS!N68+Fundraising!N68+HSSP!N68+'WH - SOP'!N68+'WH - PAD'!N68+'WH - HUSLY'!N68+'WH - TL'!N68+'WH - PERM'!N68+'WH-VOC'!N68+QYP!N68+'BH Team'!N99+'Teen Court'!N68+'SK - HUSLY'!N68+'SK - TL'!N68+'SK - PERM'!N68+'SK - VOC'!N68+'22 North'!N68)</f>
        <v>1865.0833333333335</v>
      </c>
      <c r="O104" s="135">
        <f t="shared" si="9"/>
        <v>22871</v>
      </c>
      <c r="P104" s="386">
        <v>19803.5</v>
      </c>
      <c r="Q104" s="385">
        <f t="shared" si="10"/>
        <v>3067.5</v>
      </c>
      <c r="R104" s="68"/>
      <c r="S104" s="68"/>
      <c r="T104" s="68"/>
      <c r="U104" s="68"/>
      <c r="V104" s="68"/>
      <c r="W104" s="68"/>
      <c r="X104" s="68"/>
      <c r="Y104" s="68"/>
    </row>
    <row r="105" spans="2:25" x14ac:dyDescent="0.25">
      <c r="B105" s="16" t="str">
        <f>CMS!A69</f>
        <v>Program Supplies</v>
      </c>
      <c r="C105" s="104">
        <f>SUM(CMS!C69+Fundraising!C69+HSSP!C69+'WH - SOP'!C69+'WH - PAD'!C69+'WH - HUSLY'!C69+'WH - TL'!C69+'WH - PERM'!C69+'WH-VOC'!C69+QYP!C69+'BH Team'!C100+'Teen Court'!C69+'SK - HUSLY'!C69+'SK - TL'!C69+'SK - PERM'!C69+'SK - VOC'!C69+'22 North'!C69)</f>
        <v>1848.3333333333335</v>
      </c>
      <c r="D105" s="104">
        <f>SUM(CMS!D69+Fundraising!D69+HSSP!D69+'WH - SOP'!D69+'WH - PAD'!D69+'WH - HUSLY'!D69+'WH - TL'!D69+'WH - PERM'!D69+'WH-VOC'!D69+QYP!D69+'BH Team'!D100+'Teen Court'!D69+'SK - HUSLY'!D69+'SK - TL'!D69+'SK - PERM'!D69+'SK - VOC'!D69+'22 North'!D69)</f>
        <v>1848.3333333333335</v>
      </c>
      <c r="E105" s="104">
        <f>SUM(CMS!E69+Fundraising!E69+HSSP!E69+'WH - SOP'!E69+'WH - PAD'!E69+'WH - HUSLY'!E69+'WH - TL'!E69+'WH - PERM'!E69+'WH-VOC'!E69+QYP!E69+'BH Team'!E100+'Teen Court'!E69+'SK - HUSLY'!E69+'SK - TL'!E69+'SK - PERM'!E69+'SK - VOC'!E69+'22 North'!E69)</f>
        <v>1848.3333333333335</v>
      </c>
      <c r="F105" s="104">
        <f>SUM(CMS!F69+Fundraising!F69+HSSP!F69+'WH - SOP'!F69+'WH - PAD'!F69+'WH - HUSLY'!F69+'WH - TL'!F69+'WH - PERM'!F69+'WH-VOC'!F69+QYP!F69+'BH Team'!F100+'Teen Court'!F69+'SK - HUSLY'!F69+'SK - TL'!F69+'SK - PERM'!F69+'SK - VOC'!F69+'22 North'!F69)</f>
        <v>1848.3333333333335</v>
      </c>
      <c r="G105" s="104">
        <f>SUM(CMS!G69+Fundraising!G69+HSSP!G69+'WH - SOP'!G69+'WH - PAD'!G69+'WH - HUSLY'!G69+'WH - TL'!G69+'WH - PERM'!G69+'WH-VOC'!G69+QYP!G69+'BH Team'!G100+'Teen Court'!G69+'SK - HUSLY'!G69+'SK - TL'!G69+'SK - PERM'!G69+'SK - VOC'!G69+'22 North'!G69)</f>
        <v>1858.3333333333335</v>
      </c>
      <c r="H105" s="104">
        <f>SUM(CMS!H69+Fundraising!H69+HSSP!H69+'WH - SOP'!H69+'WH - PAD'!H69+'WH - HUSLY'!H69+'WH - TL'!H69+'WH - PERM'!H69+'WH-VOC'!H69+QYP!H69+'BH Team'!H100+'Teen Court'!H69+'SK - HUSLY'!H69+'SK - TL'!H69+'SK - PERM'!H69+'SK - VOC'!H69+'22 North'!H69)</f>
        <v>1858.3333333333335</v>
      </c>
      <c r="I105" s="104">
        <f>SUM(CMS!I69+Fundraising!I69+HSSP!I69+'WH - SOP'!I69+'WH - PAD'!I69+'WH - HUSLY'!I69+'WH - TL'!I69+'WH - PERM'!I69+'WH-VOC'!I69+QYP!I69+'BH Team'!I100+'Teen Court'!I69+'SK - HUSLY'!I69+'SK - TL'!I69+'SK - PERM'!I69+'SK - VOC'!I69+'22 North'!I69)</f>
        <v>1858.3333333333335</v>
      </c>
      <c r="J105" s="104">
        <f>SUM(CMS!J69+Fundraising!J69+HSSP!J69+'WH - SOP'!J69+'WH - PAD'!J69+'WH - HUSLY'!J69+'WH - TL'!J69+'WH - PERM'!J69+'WH-VOC'!J69+QYP!J69+'BH Team'!J100+'Teen Court'!J69+'SK - HUSLY'!J69+'SK - TL'!J69+'SK - PERM'!J69+'SK - VOC'!J69+'22 North'!J69)</f>
        <v>1858.3333333333335</v>
      </c>
      <c r="K105" s="104">
        <f>SUM(CMS!K69+Fundraising!K69+HSSP!K69+'WH - SOP'!K69+'WH - PAD'!K69+'WH - HUSLY'!K69+'WH - TL'!K69+'WH - PERM'!K69+'WH-VOC'!K69+QYP!K69+'BH Team'!K100+'Teen Court'!K69+'SK - HUSLY'!K69+'SK - TL'!K69+'SK - PERM'!K69+'SK - VOC'!K69+'22 North'!K69)</f>
        <v>1858.3333333333335</v>
      </c>
      <c r="L105" s="104">
        <f>SUM(CMS!L69+Fundraising!L69+HSSP!L69+'WH - SOP'!L69+'WH - PAD'!L69+'WH - HUSLY'!L69+'WH - TL'!L69+'WH - PERM'!L69+'WH-VOC'!L69+QYP!L69+'BH Team'!L100+'Teen Court'!L69+'SK - HUSLY'!L69+'SK - TL'!L69+'SK - PERM'!L69+'SK - VOC'!L69+'22 North'!L69)</f>
        <v>1858.3333333333335</v>
      </c>
      <c r="M105" s="104">
        <f>SUM(CMS!M69+Fundraising!M69+HSSP!M69+'WH - SOP'!M69+'WH - PAD'!M69+'WH - HUSLY'!M69+'WH - TL'!M69+'WH - PERM'!M69+'WH-VOC'!M69+QYP!M69+'BH Team'!M100+'Teen Court'!M69+'SK - HUSLY'!M69+'SK - TL'!M69+'SK - PERM'!M69+'SK - VOC'!M69+'22 North'!M69)</f>
        <v>21858.333333333336</v>
      </c>
      <c r="N105" s="104">
        <f>SUM(CMS!N69+Fundraising!N69+HSSP!N69+'WH - SOP'!N69+'WH - PAD'!N69+'WH - HUSLY'!N69+'WH - TL'!N69+'WH - PERM'!N69+'WH-VOC'!N69+QYP!N69+'BH Team'!N100+'Teen Court'!N69+'SK - HUSLY'!N69+'SK - TL'!N69+'SK - PERM'!N69+'SK - VOC'!N69+'22 North'!N69)</f>
        <v>1858.3333333333335</v>
      </c>
      <c r="O105" s="135">
        <f t="shared" si="9"/>
        <v>42260.000000000007</v>
      </c>
      <c r="P105" s="386">
        <v>39745</v>
      </c>
      <c r="Q105" s="385">
        <f t="shared" si="10"/>
        <v>2515.0000000000073</v>
      </c>
      <c r="R105" s="68"/>
      <c r="S105" s="68"/>
      <c r="T105" s="68"/>
      <c r="U105" s="68"/>
      <c r="V105" s="68"/>
      <c r="W105" s="68"/>
      <c r="X105" s="68"/>
      <c r="Y105" s="68"/>
    </row>
    <row r="106" spans="2:25" x14ac:dyDescent="0.25">
      <c r="B106" s="16" t="str">
        <f>CMS!A70</f>
        <v>Advertising</v>
      </c>
      <c r="C106" s="104">
        <f>SUM(CMS!C70+Fundraising!C70+HSSP!C70+'WH - SOP'!C70+'WH - PAD'!C70+'WH - HUSLY'!C70+'WH - TL'!C70+'WH - PERM'!C70+'WH-VOC'!C70+QYP!C70+'BH Team'!C101+'Teen Court'!C70+'SK - HUSLY'!C70+'SK - TL'!C70+'SK - PERM'!C70+'SK - VOC'!C70+'22 North'!C70)</f>
        <v>0</v>
      </c>
      <c r="D106" s="104">
        <f>SUM(CMS!D70+Fundraising!D70+HSSP!D70+'WH - SOP'!D70+'WH - PAD'!D70+'WH - HUSLY'!D70+'WH - TL'!D70+'WH - PERM'!D70+'WH-VOC'!D70+QYP!D70+'BH Team'!D101+'Teen Court'!D70+'SK - HUSLY'!D70+'SK - TL'!D70+'SK - PERM'!D70+'SK - VOC'!D70+'22 North'!D70)</f>
        <v>0</v>
      </c>
      <c r="E106" s="104">
        <f>SUM(CMS!E70+Fundraising!E70+HSSP!E70+'WH - SOP'!E70+'WH - PAD'!E70+'WH - HUSLY'!E70+'WH - TL'!E70+'WH - PERM'!E70+'WH-VOC'!E70+QYP!E70+'BH Team'!E101+'Teen Court'!E70+'SK - HUSLY'!E70+'SK - TL'!E70+'SK - PERM'!E70+'SK - VOC'!E70+'22 North'!E70)</f>
        <v>0</v>
      </c>
      <c r="F106" s="104">
        <f>SUM(CMS!F70+Fundraising!F70+HSSP!F70+'WH - SOP'!F70+'WH - PAD'!F70+'WH - HUSLY'!F70+'WH - TL'!F70+'WH - PERM'!F70+'WH-VOC'!F70+QYP!F70+'BH Team'!F101+'Teen Court'!F70+'SK - HUSLY'!F70+'SK - TL'!F70+'SK - PERM'!F70+'SK - VOC'!F70+'22 North'!F70)</f>
        <v>0</v>
      </c>
      <c r="G106" s="104">
        <f>SUM(CMS!G70+Fundraising!G70+HSSP!G70+'WH - SOP'!G70+'WH - PAD'!G70+'WH - HUSLY'!G70+'WH - TL'!G70+'WH - PERM'!G70+'WH-VOC'!G70+QYP!G70+'BH Team'!G101+'Teen Court'!G70+'SK - HUSLY'!G70+'SK - TL'!G70+'SK - PERM'!G70+'SK - VOC'!G70+'22 North'!G70)</f>
        <v>0</v>
      </c>
      <c r="H106" s="104">
        <f>SUM(CMS!H70+Fundraising!H70+HSSP!H70+'WH - SOP'!H70+'WH - PAD'!H70+'WH - HUSLY'!H70+'WH - TL'!H70+'WH - PERM'!H70+'WH-VOC'!H70+QYP!H70+'BH Team'!H101+'Teen Court'!H70+'SK - HUSLY'!H70+'SK - TL'!H70+'SK - PERM'!H70+'SK - VOC'!H70+'22 North'!H70)</f>
        <v>0</v>
      </c>
      <c r="I106" s="104">
        <f>SUM(CMS!I70+Fundraising!I70+HSSP!I70+'WH - SOP'!I70+'WH - PAD'!I70+'WH - HUSLY'!I70+'WH - TL'!I70+'WH - PERM'!I70+'WH-VOC'!I70+QYP!I70+'BH Team'!I101+'Teen Court'!I70+'SK - HUSLY'!I70+'SK - TL'!I70+'SK - PERM'!I70+'SK - VOC'!I70+'22 North'!I70)</f>
        <v>0</v>
      </c>
      <c r="J106" s="104">
        <f>SUM(CMS!J70+Fundraising!J70+HSSP!J70+'WH - SOP'!J70+'WH - PAD'!J70+'WH - HUSLY'!J70+'WH - TL'!J70+'WH - PERM'!J70+'WH-VOC'!J70+QYP!J70+'BH Team'!J101+'Teen Court'!J70+'SK - HUSLY'!J70+'SK - TL'!J70+'SK - PERM'!J70+'SK - VOC'!J70+'22 North'!J70)</f>
        <v>0</v>
      </c>
      <c r="K106" s="104">
        <f>SUM(CMS!K70+Fundraising!K70+HSSP!K70+'WH - SOP'!K70+'WH - PAD'!K70+'WH - HUSLY'!K70+'WH - TL'!K70+'WH - PERM'!K70+'WH-VOC'!K70+QYP!K70+'BH Team'!K101+'Teen Court'!K70+'SK - HUSLY'!K70+'SK - TL'!K70+'SK - PERM'!K70+'SK - VOC'!K70+'22 North'!K70)</f>
        <v>0</v>
      </c>
      <c r="L106" s="104">
        <f>SUM(CMS!L70+Fundraising!L70+HSSP!L70+'WH - SOP'!L70+'WH - PAD'!L70+'WH - HUSLY'!L70+'WH - TL'!L70+'WH - PERM'!L70+'WH-VOC'!L70+QYP!L70+'BH Team'!L101+'Teen Court'!L70+'SK - HUSLY'!L70+'SK - TL'!L70+'SK - PERM'!L70+'SK - VOC'!L70+'22 North'!L70)</f>
        <v>0</v>
      </c>
      <c r="M106" s="104">
        <f>SUM(CMS!M70+Fundraising!M70+HSSP!M70+'WH - SOP'!M70+'WH - PAD'!M70+'WH - HUSLY'!M70+'WH - TL'!M70+'WH - PERM'!M70+'WH-VOC'!M70+QYP!M70+'BH Team'!M101+'Teen Court'!M70+'SK - HUSLY'!M70+'SK - TL'!M70+'SK - PERM'!M70+'SK - VOC'!M70+'22 North'!M70)</f>
        <v>0</v>
      </c>
      <c r="N106" s="104">
        <f>SUM(CMS!N70+Fundraising!N70+HSSP!N70+'WH - SOP'!N70+'WH - PAD'!N70+'WH - HUSLY'!N70+'WH - TL'!N70+'WH - PERM'!N70+'WH-VOC'!N70+QYP!N70+'BH Team'!N101+'Teen Court'!N70+'SK - HUSLY'!N70+'SK - TL'!N70+'SK - PERM'!N70+'SK - VOC'!N70+'22 North'!N70)</f>
        <v>0</v>
      </c>
      <c r="O106" s="135">
        <f t="shared" si="9"/>
        <v>0</v>
      </c>
      <c r="P106" s="386">
        <v>0</v>
      </c>
      <c r="Q106" s="385">
        <f t="shared" si="10"/>
        <v>0</v>
      </c>
      <c r="R106" s="68"/>
      <c r="S106" s="68"/>
      <c r="T106" s="68"/>
      <c r="U106" s="68"/>
      <c r="V106" s="68"/>
      <c r="W106" s="68"/>
      <c r="X106" s="68"/>
      <c r="Y106" s="68"/>
    </row>
    <row r="107" spans="2:25" x14ac:dyDescent="0.25">
      <c r="B107" s="16" t="str">
        <f>CMS!A71</f>
        <v>Repairs &amp; Maintenance</v>
      </c>
      <c r="C107" s="104">
        <f>SUM(CMS!C71+Fundraising!C71+HSSP!C71+'WH - SOP'!C71+'WH - PAD'!C71+'WH - HUSLY'!C71+'WH - TL'!C71+'WH - PERM'!C71+'WH-VOC'!C71+QYP!C71+'BH Team'!C102+'Teen Court'!C71+'SK - HUSLY'!C71+'SK - TL'!C71+'SK - PERM'!C71+'SK - VOC'!C71+'22 North'!C71)</f>
        <v>1533.75</v>
      </c>
      <c r="D107" s="104">
        <f>SUM(CMS!D71+Fundraising!D71+HSSP!D71+'WH - SOP'!D71+'WH - PAD'!D71+'WH - HUSLY'!D71+'WH - TL'!D71+'WH - PERM'!D71+'WH-VOC'!D71+QYP!D71+'BH Team'!D102+'Teen Court'!D71+'SK - HUSLY'!D71+'SK - TL'!D71+'SK - PERM'!D71+'SK - VOC'!D71+'22 North'!D71)</f>
        <v>1533.75</v>
      </c>
      <c r="E107" s="104">
        <f>SUM(CMS!E71+Fundraising!E71+HSSP!E71+'WH - SOP'!E71+'WH - PAD'!E71+'WH - HUSLY'!E71+'WH - TL'!E71+'WH - PERM'!E71+'WH-VOC'!E71+QYP!E71+'BH Team'!E102+'Teen Court'!E71+'SK - HUSLY'!E71+'SK - TL'!E71+'SK - PERM'!E71+'SK - VOC'!E71+'22 North'!E71)</f>
        <v>1533.75</v>
      </c>
      <c r="F107" s="104">
        <f>SUM(CMS!F71+Fundraising!F71+HSSP!F71+'WH - SOP'!F71+'WH - PAD'!F71+'WH - HUSLY'!F71+'WH - TL'!F71+'WH - PERM'!F71+'WH-VOC'!F71+QYP!F71+'BH Team'!F102+'Teen Court'!F71+'SK - HUSLY'!F71+'SK - TL'!F71+'SK - PERM'!F71+'SK - VOC'!F71+'22 North'!F71)</f>
        <v>1533.75</v>
      </c>
      <c r="G107" s="104">
        <f>SUM(CMS!G71+Fundraising!G71+HSSP!G71+'WH - SOP'!G71+'WH - PAD'!G71+'WH - HUSLY'!G71+'WH - TL'!G71+'WH - PERM'!G71+'WH-VOC'!G71+QYP!G71+'BH Team'!G102+'Teen Court'!G71+'SK - HUSLY'!G71+'SK - TL'!G71+'SK - PERM'!G71+'SK - VOC'!G71+'22 North'!G71)</f>
        <v>1533.75</v>
      </c>
      <c r="H107" s="104">
        <f>SUM(CMS!H71+Fundraising!H71+HSSP!H71+'WH - SOP'!H71+'WH - PAD'!H71+'WH - HUSLY'!H71+'WH - TL'!H71+'WH - PERM'!H71+'WH-VOC'!H71+QYP!H71+'BH Team'!H102+'Teen Court'!H71+'SK - HUSLY'!H71+'SK - TL'!H71+'SK - PERM'!H71+'SK - VOC'!H71+'22 North'!H71)</f>
        <v>1533.75</v>
      </c>
      <c r="I107" s="104">
        <f>SUM(CMS!I71+Fundraising!I71+HSSP!I71+'WH - SOP'!I71+'WH - PAD'!I71+'WH - HUSLY'!I71+'WH - TL'!I71+'WH - PERM'!I71+'WH-VOC'!I71+QYP!I71+'BH Team'!I102+'Teen Court'!I71+'SK - HUSLY'!I71+'SK - TL'!I71+'SK - PERM'!I71+'SK - VOC'!I71+'22 North'!I71)</f>
        <v>1533.75</v>
      </c>
      <c r="J107" s="104">
        <f>SUM(CMS!J71+Fundraising!J71+HSSP!J71+'WH - SOP'!J71+'WH - PAD'!J71+'WH - HUSLY'!J71+'WH - TL'!J71+'WH - PERM'!J71+'WH-VOC'!J71+QYP!J71+'BH Team'!J102+'Teen Court'!J71+'SK - HUSLY'!J71+'SK - TL'!J71+'SK - PERM'!J71+'SK - VOC'!J71+'22 North'!J71)</f>
        <v>1533.75</v>
      </c>
      <c r="K107" s="104">
        <f>SUM(CMS!K71+Fundraising!K71+HSSP!K71+'WH - SOP'!K71+'WH - PAD'!K71+'WH - HUSLY'!K71+'WH - TL'!K71+'WH - PERM'!K71+'WH-VOC'!K71+QYP!K71+'BH Team'!K102+'Teen Court'!K71+'SK - HUSLY'!K71+'SK - TL'!K71+'SK - PERM'!K71+'SK - VOC'!K71+'22 North'!K71)</f>
        <v>2033.75</v>
      </c>
      <c r="L107" s="104">
        <f>SUM(CMS!L71+Fundraising!L71+HSSP!L71+'WH - SOP'!L71+'WH - PAD'!L71+'WH - HUSLY'!L71+'WH - TL'!L71+'WH - PERM'!L71+'WH-VOC'!L71+QYP!L71+'BH Team'!L102+'Teen Court'!L71+'SK - HUSLY'!L71+'SK - TL'!L71+'SK - PERM'!L71+'SK - VOC'!L71+'22 North'!L71)</f>
        <v>2033.75</v>
      </c>
      <c r="M107" s="104">
        <f>SUM(CMS!M71+Fundraising!M71+HSSP!M71+'WH - SOP'!M71+'WH - PAD'!M71+'WH - HUSLY'!M71+'WH - TL'!M71+'WH - PERM'!M71+'WH-VOC'!M71+QYP!M71+'BH Team'!M102+'Teen Court'!M71+'SK - HUSLY'!M71+'SK - TL'!M71+'SK - PERM'!M71+'SK - VOC'!M71+'22 North'!M71)</f>
        <v>2033.75</v>
      </c>
      <c r="N107" s="104">
        <f>SUM(CMS!N71+Fundraising!N71+HSSP!N71+'WH - SOP'!N71+'WH - PAD'!N71+'WH - HUSLY'!N71+'WH - TL'!N71+'WH - PERM'!N71+'WH-VOC'!N71+QYP!N71+'BH Team'!N102+'Teen Court'!N71+'SK - HUSLY'!N71+'SK - TL'!N71+'SK - PERM'!N71+'SK - VOC'!N71+'22 North'!N71)</f>
        <v>2033.75</v>
      </c>
      <c r="O107" s="135">
        <f t="shared" si="9"/>
        <v>20405</v>
      </c>
      <c r="P107" s="386">
        <v>12838.000000000002</v>
      </c>
      <c r="Q107" s="385">
        <f t="shared" si="10"/>
        <v>7566.9999999999982</v>
      </c>
      <c r="R107" s="68"/>
      <c r="S107" s="68"/>
      <c r="T107" s="68"/>
      <c r="U107" s="68"/>
      <c r="V107" s="68"/>
      <c r="W107" s="68"/>
      <c r="X107" s="68"/>
      <c r="Y107" s="68"/>
    </row>
    <row r="108" spans="2:25" x14ac:dyDescent="0.25">
      <c r="B108" s="16" t="str">
        <f>CMS!A72</f>
        <v>Client Expense</v>
      </c>
      <c r="C108" s="104">
        <f>SUM(CMS!C72+Fundraising!C72+HSSP!C72+'WH - SOP'!C72+'WH - PAD'!C72+'WH - HUSLY'!C72+'WH - TL'!C72+'WH - PERM'!C72+'WH-VOC'!C72+QYP!C72+'BH Team'!C103+'Teen Court'!C72+'SK - HUSLY'!C72+'SK - TL'!C72+'SK - PERM'!C72+'SK - VOC'!C72+'22 North'!C72)</f>
        <v>4213.3333333333339</v>
      </c>
      <c r="D108" s="104">
        <f>SUM(CMS!D72+Fundraising!D72+HSSP!D72+'WH - SOP'!D72+'WH - PAD'!D72+'WH - HUSLY'!D72+'WH - TL'!D72+'WH - PERM'!D72+'WH-VOC'!D72+QYP!D72+'BH Team'!D103+'Teen Court'!D72+'SK - HUSLY'!D72+'SK - TL'!D72+'SK - PERM'!D72+'SK - VOC'!D72+'22 North'!D72)</f>
        <v>4213.3333333333339</v>
      </c>
      <c r="E108" s="104">
        <f>SUM(CMS!E72+Fundraising!E72+HSSP!E72+'WH - SOP'!E72+'WH - PAD'!E72+'WH - HUSLY'!E72+'WH - TL'!E72+'WH - PERM'!E72+'WH-VOC'!E72+QYP!E72+'BH Team'!E103+'Teen Court'!E72+'SK - HUSLY'!E72+'SK - TL'!E72+'SK - PERM'!E72+'SK - VOC'!E72+'22 North'!E72)</f>
        <v>4213.3333333333339</v>
      </c>
      <c r="F108" s="104">
        <f>SUM(CMS!F72+Fundraising!F72+HSSP!F72+'WH - SOP'!F72+'WH - PAD'!F72+'WH - HUSLY'!F72+'WH - TL'!F72+'WH - PERM'!F72+'WH-VOC'!F72+QYP!F72+'BH Team'!F103+'Teen Court'!F72+'SK - HUSLY'!F72+'SK - TL'!F72+'SK - PERM'!F72+'SK - VOC'!F72+'22 North'!F72)</f>
        <v>4213.3333333333339</v>
      </c>
      <c r="G108" s="104">
        <f>SUM(CMS!G72+Fundraising!G72+HSSP!G72+'WH - SOP'!G72+'WH - PAD'!G72+'WH - HUSLY'!G72+'WH - TL'!G72+'WH - PERM'!G72+'WH-VOC'!G72+QYP!G72+'BH Team'!G103+'Teen Court'!G72+'SK - HUSLY'!G72+'SK - TL'!G72+'SK - PERM'!G72+'SK - VOC'!G72+'22 North'!G72)</f>
        <v>4630.3333333333339</v>
      </c>
      <c r="H108" s="104">
        <f>SUM(CMS!H72+Fundraising!H72+HSSP!H72+'WH - SOP'!H72+'WH - PAD'!H72+'WH - HUSLY'!H72+'WH - TL'!H72+'WH - PERM'!H72+'WH-VOC'!H72+QYP!H72+'BH Team'!H103+'Teen Court'!H72+'SK - HUSLY'!H72+'SK - TL'!H72+'SK - PERM'!H72+'SK - VOC'!H72+'22 North'!H72)</f>
        <v>4630.3333333333339</v>
      </c>
      <c r="I108" s="104">
        <f>SUM(CMS!I72+Fundraising!I72+HSSP!I72+'WH - SOP'!I72+'WH - PAD'!I72+'WH - HUSLY'!I72+'WH - TL'!I72+'WH - PERM'!I72+'WH-VOC'!I72+QYP!I72+'BH Team'!I103+'Teen Court'!I72+'SK - HUSLY'!I72+'SK - TL'!I72+'SK - PERM'!I72+'SK - VOC'!I72+'22 North'!I72)</f>
        <v>3658.3333333333335</v>
      </c>
      <c r="J108" s="104">
        <f>SUM(CMS!J72+Fundraising!J72+HSSP!J72+'WH - SOP'!J72+'WH - PAD'!J72+'WH - HUSLY'!J72+'WH - TL'!J72+'WH - PERM'!J72+'WH-VOC'!J72+QYP!J72+'BH Team'!J103+'Teen Court'!J72+'SK - HUSLY'!J72+'SK - TL'!J72+'SK - PERM'!J72+'SK - VOC'!J72+'22 North'!J72)</f>
        <v>5741.666666666667</v>
      </c>
      <c r="K108" s="104">
        <f>SUM(CMS!K72+Fundraising!K72+HSSP!K72+'WH - SOP'!K72+'WH - PAD'!K72+'WH - HUSLY'!K72+'WH - TL'!K72+'WH - PERM'!K72+'WH-VOC'!K72+QYP!K72+'BH Team'!K103+'Teen Court'!K72+'SK - HUSLY'!K72+'SK - TL'!K72+'SK - PERM'!K72+'SK - VOC'!K72+'22 North'!K72)</f>
        <v>6716.666666666667</v>
      </c>
      <c r="L108" s="104">
        <f>SUM(CMS!L72+Fundraising!L72+HSSP!L72+'WH - SOP'!L72+'WH - PAD'!L72+'WH - HUSLY'!L72+'WH - TL'!L72+'WH - PERM'!L72+'WH-VOC'!L72+QYP!L72+'BH Team'!L103+'Teen Court'!L72+'SK - HUSLY'!L72+'SK - TL'!L72+'SK - PERM'!L72+'SK - VOC'!L72+'22 North'!L72)</f>
        <v>6716.666666666667</v>
      </c>
      <c r="M108" s="104">
        <f>SUM(CMS!M72+Fundraising!M72+HSSP!M72+'WH - SOP'!M72+'WH - PAD'!M72+'WH - HUSLY'!M72+'WH - TL'!M72+'WH - PERM'!M72+'WH-VOC'!M72+QYP!M72+'BH Team'!M103+'Teen Court'!M72+'SK - HUSLY'!M72+'SK - TL'!M72+'SK - PERM'!M72+'SK - VOC'!M72+'22 North'!M72)</f>
        <v>4633.3333333333339</v>
      </c>
      <c r="N108" s="104">
        <f>SUM(CMS!N72+Fundraising!N72+HSSP!N72+'WH - SOP'!N72+'WH - PAD'!N72+'WH - HUSLY'!N72+'WH - TL'!N72+'WH - PERM'!N72+'WH-VOC'!N72+QYP!N72+'BH Team'!N103+'Teen Court'!N72+'SK - HUSLY'!N72+'SK - TL'!N72+'SK - PERM'!N72+'SK - VOC'!N72+'22 North'!N72)</f>
        <v>4633.3333333333339</v>
      </c>
      <c r="O108" s="135">
        <f t="shared" si="9"/>
        <v>58214.000000000007</v>
      </c>
      <c r="P108" s="386">
        <v>41343.666666666664</v>
      </c>
      <c r="Q108" s="385">
        <f t="shared" si="10"/>
        <v>16870.333333333343</v>
      </c>
      <c r="R108" s="68"/>
      <c r="S108" s="68"/>
      <c r="T108" s="68"/>
      <c r="U108" s="68"/>
      <c r="V108" s="68"/>
      <c r="W108" s="68"/>
      <c r="X108" s="68"/>
      <c r="Y108" s="68"/>
    </row>
    <row r="109" spans="2:25" x14ac:dyDescent="0.25">
      <c r="B109" s="16" t="str">
        <f>CMS!A73</f>
        <v>Printing</v>
      </c>
      <c r="C109" s="104">
        <f>SUM(CMS!C73+Fundraising!C73+HSSP!C73+'WH - SOP'!C73+'WH - PAD'!C73+'WH - HUSLY'!C73+'WH - TL'!C73+'WH - PERM'!C73+'WH-VOC'!C73+QYP!C73+'BH Team'!C104+'Teen Court'!C73+'SK - HUSLY'!C73+'SK - TL'!C73+'SK - PERM'!C73+'SK - VOC'!C73+'22 North'!C73)</f>
        <v>50</v>
      </c>
      <c r="D109" s="104">
        <f>SUM(CMS!D73+Fundraising!D73+HSSP!D73+'WH - SOP'!D73+'WH - PAD'!D73+'WH - HUSLY'!D73+'WH - TL'!D73+'WH - PERM'!D73+'WH-VOC'!D73+QYP!D73+'BH Team'!D104+'Teen Court'!D73+'SK - HUSLY'!D73+'SK - TL'!D73+'SK - PERM'!D73+'SK - VOC'!D73+'22 North'!D73)</f>
        <v>50</v>
      </c>
      <c r="E109" s="104">
        <f>SUM(CMS!E73+Fundraising!E73+HSSP!E73+'WH - SOP'!E73+'WH - PAD'!E73+'WH - HUSLY'!E73+'WH - TL'!E73+'WH - PERM'!E73+'WH-VOC'!E73+QYP!E73+'BH Team'!E104+'Teen Court'!E73+'SK - HUSLY'!E73+'SK - TL'!E73+'SK - PERM'!E73+'SK - VOC'!E73+'22 North'!E73)</f>
        <v>50</v>
      </c>
      <c r="F109" s="104">
        <f>SUM(CMS!F73+Fundraising!F73+HSSP!F73+'WH - SOP'!F73+'WH - PAD'!F73+'WH - HUSLY'!F73+'WH - TL'!F73+'WH - PERM'!F73+'WH-VOC'!F73+QYP!F73+'BH Team'!F104+'Teen Court'!F73+'SK - HUSLY'!F73+'SK - TL'!F73+'SK - PERM'!F73+'SK - VOC'!F73+'22 North'!F73)</f>
        <v>50</v>
      </c>
      <c r="G109" s="104">
        <f>SUM(CMS!G73+Fundraising!G73+HSSP!G73+'WH - SOP'!G73+'WH - PAD'!G73+'WH - HUSLY'!G73+'WH - TL'!G73+'WH - PERM'!G73+'WH-VOC'!G73+QYP!G73+'BH Team'!G104+'Teen Court'!G73+'SK - HUSLY'!G73+'SK - TL'!G73+'SK - PERM'!G73+'SK - VOC'!G73+'22 North'!G73)</f>
        <v>300</v>
      </c>
      <c r="H109" s="104">
        <f>SUM(CMS!H73+Fundraising!H73+HSSP!H73+'WH - SOP'!H73+'WH - PAD'!H73+'WH - HUSLY'!H73+'WH - TL'!H73+'WH - PERM'!H73+'WH-VOC'!H73+QYP!H73+'BH Team'!H104+'Teen Court'!H73+'SK - HUSLY'!H73+'SK - TL'!H73+'SK - PERM'!H73+'SK - VOC'!H73+'22 North'!H73)</f>
        <v>300</v>
      </c>
      <c r="I109" s="104">
        <f>SUM(CMS!I73+Fundraising!I73+HSSP!I73+'WH - SOP'!I73+'WH - PAD'!I73+'WH - HUSLY'!I73+'WH - TL'!I73+'WH - PERM'!I73+'WH-VOC'!I73+QYP!I73+'BH Team'!I104+'Teen Court'!I73+'SK - HUSLY'!I73+'SK - TL'!I73+'SK - PERM'!I73+'SK - VOC'!I73+'22 North'!I73)</f>
        <v>300</v>
      </c>
      <c r="J109" s="104">
        <f>SUM(CMS!J73+Fundraising!J73+HSSP!J73+'WH - SOP'!J73+'WH - PAD'!J73+'WH - HUSLY'!J73+'WH - TL'!J73+'WH - PERM'!J73+'WH-VOC'!J73+QYP!J73+'BH Team'!J104+'Teen Court'!J73+'SK - HUSLY'!J73+'SK - TL'!J73+'SK - PERM'!J73+'SK - VOC'!J73+'22 North'!J73)</f>
        <v>300</v>
      </c>
      <c r="K109" s="104">
        <f>SUM(CMS!K73+Fundraising!K73+HSSP!K73+'WH - SOP'!K73+'WH - PAD'!K73+'WH - HUSLY'!K73+'WH - TL'!K73+'WH - PERM'!K73+'WH-VOC'!K73+QYP!K73+'BH Team'!K104+'Teen Court'!K73+'SK - HUSLY'!K73+'SK - TL'!K73+'SK - PERM'!K73+'SK - VOC'!K73+'22 North'!K73)</f>
        <v>2000</v>
      </c>
      <c r="L109" s="104">
        <f>SUM(CMS!L73+Fundraising!L73+HSSP!L73+'WH - SOP'!L73+'WH - PAD'!L73+'WH - HUSLY'!L73+'WH - TL'!L73+'WH - PERM'!L73+'WH-VOC'!L73+QYP!L73+'BH Team'!L104+'Teen Court'!L73+'SK - HUSLY'!L73+'SK - TL'!L73+'SK - PERM'!L73+'SK - VOC'!L73+'22 North'!L73)</f>
        <v>2000</v>
      </c>
      <c r="M109" s="104">
        <f>SUM(CMS!M73+Fundraising!M73+HSSP!M73+'WH - SOP'!M73+'WH - PAD'!M73+'WH - HUSLY'!M73+'WH - TL'!M73+'WH - PERM'!M73+'WH-VOC'!M73+QYP!M73+'BH Team'!M104+'Teen Court'!M73+'SK - HUSLY'!M73+'SK - TL'!M73+'SK - PERM'!M73+'SK - VOC'!M73+'22 North'!M73)</f>
        <v>2000</v>
      </c>
      <c r="N109" s="104">
        <f>SUM(CMS!N73+Fundraising!N73+HSSP!N73+'WH - SOP'!N73+'WH - PAD'!N73+'WH - HUSLY'!N73+'WH - TL'!N73+'WH - PERM'!N73+'WH-VOC'!N73+QYP!N73+'BH Team'!N104+'Teen Court'!N73+'SK - HUSLY'!N73+'SK - TL'!N73+'SK - PERM'!N73+'SK - VOC'!N73+'22 North'!N73)</f>
        <v>50</v>
      </c>
      <c r="O109" s="135">
        <f t="shared" si="9"/>
        <v>7450</v>
      </c>
      <c r="P109" s="386">
        <v>4500</v>
      </c>
      <c r="Q109" s="385">
        <f t="shared" si="10"/>
        <v>2950</v>
      </c>
      <c r="R109" s="68"/>
      <c r="S109" s="68"/>
      <c r="T109" s="68"/>
      <c r="U109" s="68"/>
      <c r="V109" s="68"/>
      <c r="W109" s="68"/>
      <c r="X109" s="68"/>
      <c r="Y109" s="68"/>
    </row>
    <row r="110" spans="2:25" x14ac:dyDescent="0.25">
      <c r="B110" s="16" t="str">
        <f>CMS!A74</f>
        <v>Postage</v>
      </c>
      <c r="C110" s="104">
        <f>SUM(CMS!C74+Fundraising!C74+HSSP!C74+'WH - SOP'!C74+'WH - PAD'!C74+'WH - HUSLY'!C74+'WH - TL'!C74+'WH - PERM'!C74+'WH-VOC'!C74+QYP!C74+'BH Team'!C105+'Teen Court'!C74+'SK - HUSLY'!C74+'SK - TL'!C74+'SK - PERM'!C74+'SK - VOC'!C74+'22 North'!C74)</f>
        <v>85</v>
      </c>
      <c r="D110" s="104">
        <f>SUM(CMS!D74+Fundraising!D74+HSSP!D74+'WH - SOP'!D74+'WH - PAD'!D74+'WH - HUSLY'!D74+'WH - TL'!D74+'WH - PERM'!D74+'WH-VOC'!D74+QYP!D74+'BH Team'!D105+'Teen Court'!D74+'SK - HUSLY'!D74+'SK - TL'!D74+'SK - PERM'!D74+'SK - VOC'!D74+'22 North'!D74)</f>
        <v>85</v>
      </c>
      <c r="E110" s="104">
        <f>SUM(CMS!E74+Fundraising!E74+HSSP!E74+'WH - SOP'!E74+'WH - PAD'!E74+'WH - HUSLY'!E74+'WH - TL'!E74+'WH - PERM'!E74+'WH-VOC'!E74+QYP!E74+'BH Team'!E105+'Teen Court'!E74+'SK - HUSLY'!E74+'SK - TL'!E74+'SK - PERM'!E74+'SK - VOC'!E74+'22 North'!E74)</f>
        <v>85</v>
      </c>
      <c r="F110" s="104">
        <f>SUM(CMS!F74+Fundraising!F74+HSSP!F74+'WH - SOP'!F74+'WH - PAD'!F74+'WH - HUSLY'!F74+'WH - TL'!F74+'WH - PERM'!F74+'WH-VOC'!F74+QYP!F74+'BH Team'!F105+'Teen Court'!F74+'SK - HUSLY'!F74+'SK - TL'!F74+'SK - PERM'!F74+'SK - VOC'!F74+'22 North'!F74)</f>
        <v>85</v>
      </c>
      <c r="G110" s="104">
        <f>SUM(CMS!G74+Fundraising!G74+HSSP!G74+'WH - SOP'!G74+'WH - PAD'!G74+'WH - HUSLY'!G74+'WH - TL'!G74+'WH - PERM'!G74+'WH-VOC'!G74+QYP!G74+'BH Team'!G105+'Teen Court'!G74+'SK - HUSLY'!G74+'SK - TL'!G74+'SK - PERM'!G74+'SK - VOC'!G74+'22 North'!G74)</f>
        <v>95</v>
      </c>
      <c r="H110" s="104">
        <f>SUM(CMS!H74+Fundraising!H74+HSSP!H74+'WH - SOP'!H74+'WH - PAD'!H74+'WH - HUSLY'!H74+'WH - TL'!H74+'WH - PERM'!H74+'WH-VOC'!H74+QYP!H74+'BH Team'!H105+'Teen Court'!H74+'SK - HUSLY'!H74+'SK - TL'!H74+'SK - PERM'!H74+'SK - VOC'!H74+'22 North'!H74)</f>
        <v>95</v>
      </c>
      <c r="I110" s="104">
        <f>SUM(CMS!I74+Fundraising!I74+HSSP!I74+'WH - SOP'!I74+'WH - PAD'!I74+'WH - HUSLY'!I74+'WH - TL'!I74+'WH - PERM'!I74+'WH-VOC'!I74+QYP!I74+'BH Team'!I105+'Teen Court'!I74+'SK - HUSLY'!I74+'SK - TL'!I74+'SK - PERM'!I74+'SK - VOC'!I74+'22 North'!I74)</f>
        <v>95</v>
      </c>
      <c r="J110" s="104">
        <f>SUM(CMS!J74+Fundraising!J74+HSSP!J74+'WH - SOP'!J74+'WH - PAD'!J74+'WH - HUSLY'!J74+'WH - TL'!J74+'WH - PERM'!J74+'WH-VOC'!J74+QYP!J74+'BH Team'!J105+'Teen Court'!J74+'SK - HUSLY'!J74+'SK - TL'!J74+'SK - PERM'!J74+'SK - VOC'!J74+'22 North'!J74)</f>
        <v>595</v>
      </c>
      <c r="K110" s="104">
        <f>SUM(CMS!K74+Fundraising!K74+HSSP!K74+'WH - SOP'!K74+'WH - PAD'!K74+'WH - HUSLY'!K74+'WH - TL'!K74+'WH - PERM'!K74+'WH-VOC'!K74+QYP!K74+'BH Team'!K105+'Teen Court'!K74+'SK - HUSLY'!K74+'SK - TL'!K74+'SK - PERM'!K74+'SK - VOC'!K74+'22 North'!K74)</f>
        <v>595</v>
      </c>
      <c r="L110" s="104">
        <f>SUM(CMS!L74+Fundraising!L74+HSSP!L74+'WH - SOP'!L74+'WH - PAD'!L74+'WH - HUSLY'!L74+'WH - TL'!L74+'WH - PERM'!L74+'WH-VOC'!L74+QYP!L74+'BH Team'!L105+'Teen Court'!L74+'SK - HUSLY'!L74+'SK - TL'!L74+'SK - PERM'!L74+'SK - VOC'!L74+'22 North'!L74)</f>
        <v>595</v>
      </c>
      <c r="M110" s="104">
        <f>SUM(CMS!M74+Fundraising!M74+HSSP!M74+'WH - SOP'!M74+'WH - PAD'!M74+'WH - HUSLY'!M74+'WH - TL'!M74+'WH - PERM'!M74+'WH-VOC'!M74+QYP!M74+'BH Team'!M105+'Teen Court'!M74+'SK - HUSLY'!M74+'SK - TL'!M74+'SK - PERM'!M74+'SK - VOC'!M74+'22 North'!M74)</f>
        <v>595</v>
      </c>
      <c r="N110" s="104">
        <f>SUM(CMS!N74+Fundraising!N74+HSSP!N74+'WH - SOP'!N74+'WH - PAD'!N74+'WH - HUSLY'!N74+'WH - TL'!N74+'WH - PERM'!N74+'WH-VOC'!N74+QYP!N74+'BH Team'!N105+'Teen Court'!N74+'SK - HUSLY'!N74+'SK - TL'!N74+'SK - PERM'!N74+'SK - VOC'!N74+'22 North'!N74)</f>
        <v>280</v>
      </c>
      <c r="O110" s="135">
        <f t="shared" si="9"/>
        <v>3285</v>
      </c>
      <c r="P110" s="386">
        <v>3168</v>
      </c>
      <c r="Q110" s="385">
        <f t="shared" si="10"/>
        <v>117</v>
      </c>
      <c r="R110" s="68"/>
      <c r="S110" s="68"/>
      <c r="T110" s="68"/>
      <c r="U110" s="68"/>
      <c r="V110" s="68"/>
      <c r="W110" s="68"/>
      <c r="X110" s="68"/>
      <c r="Y110" s="68"/>
    </row>
    <row r="111" spans="2:25" x14ac:dyDescent="0.25">
      <c r="B111" s="16" t="str">
        <f>CMS!A75</f>
        <v>Rent/Lease Expense</v>
      </c>
      <c r="C111" s="104">
        <f>SUM(CMS!C75+Fundraising!C75+HSSP!C75+'WH - SOP'!C75+'WH - PAD'!C75+'WH - HUSLY'!C75+'WH - TL'!C75+'WH - PERM'!C75+'WH-VOC'!C75+QYP!C75+'BH Team'!C106+'Teen Court'!C75+'SK - HUSLY'!C75+'SK - TL'!C75+'SK - PERM'!C75+'SK - VOC'!C75+'22 North'!C75)</f>
        <v>29774</v>
      </c>
      <c r="D111" s="104">
        <f>SUM(CMS!D75+Fundraising!D75+HSSP!D75+'WH - SOP'!D75+'WH - PAD'!D75+'WH - HUSLY'!D75+'WH - TL'!D75+'WH - PERM'!D75+'WH-VOC'!D75+QYP!D75+'BH Team'!D106+'Teen Court'!D75+'SK - HUSLY'!D75+'SK - TL'!D75+'SK - PERM'!D75+'SK - VOC'!D75+'22 North'!D75)</f>
        <v>29913</v>
      </c>
      <c r="E111" s="104">
        <f>SUM(CMS!E75+Fundraising!E75+HSSP!E75+'WH - SOP'!E75+'WH - PAD'!E75+'WH - HUSLY'!E75+'WH - TL'!E75+'WH - PERM'!E75+'WH-VOC'!E75+QYP!E75+'BH Team'!E106+'Teen Court'!E75+'SK - HUSLY'!E75+'SK - TL'!E75+'SK - PERM'!E75+'SK - VOC'!E75+'22 North'!E75)</f>
        <v>31474</v>
      </c>
      <c r="F111" s="104">
        <f>SUM(CMS!F75+Fundraising!F75+HSSP!F75+'WH - SOP'!F75+'WH - PAD'!F75+'WH - HUSLY'!F75+'WH - TL'!F75+'WH - PERM'!F75+'WH-VOC'!F75+QYP!F75+'BH Team'!F106+'Teen Court'!F75+'SK - HUSLY'!F75+'SK - TL'!F75+'SK - PERM'!F75+'SK - VOC'!F75+'22 North'!F75)</f>
        <v>33569.666666666664</v>
      </c>
      <c r="G111" s="104">
        <f>SUM(CMS!G75+Fundraising!G75+HSSP!G75+'WH - SOP'!G75+'WH - PAD'!G75+'WH - HUSLY'!G75+'WH - TL'!G75+'WH - PERM'!G75+'WH-VOC'!G75+QYP!G75+'BH Team'!G106+'Teen Court'!G75+'SK - HUSLY'!G75+'SK - TL'!G75+'SK - PERM'!G75+'SK - VOC'!G75+'22 North'!G75)</f>
        <v>33569.666666666664</v>
      </c>
      <c r="H111" s="104">
        <f>SUM(CMS!H75+Fundraising!H75+HSSP!H75+'WH - SOP'!H75+'WH - PAD'!H75+'WH - HUSLY'!H75+'WH - TL'!H75+'WH - PERM'!H75+'WH-VOC'!H75+QYP!H75+'BH Team'!H106+'Teen Court'!H75+'SK - HUSLY'!H75+'SK - TL'!H75+'SK - PERM'!H75+'SK - VOC'!H75+'22 North'!H75)</f>
        <v>33569.666666666664</v>
      </c>
      <c r="I111" s="104">
        <f>SUM(CMS!I75+Fundraising!I75+HSSP!I75+'WH - SOP'!I75+'WH - PAD'!I75+'WH - HUSLY'!I75+'WH - TL'!I75+'WH - PERM'!I75+'WH-VOC'!I75+QYP!I75+'BH Team'!I106+'Teen Court'!I75+'SK - HUSLY'!I75+'SK - TL'!I75+'SK - PERM'!I75+'SK - VOC'!I75+'22 North'!I75)</f>
        <v>32774</v>
      </c>
      <c r="J111" s="104">
        <f>SUM(CMS!J75+Fundraising!J75+HSSP!J75+'WH - SOP'!J75+'WH - PAD'!J75+'WH - HUSLY'!J75+'WH - TL'!J75+'WH - PERM'!J75+'WH-VOC'!J75+QYP!J75+'BH Team'!J106+'Teen Court'!J75+'SK - HUSLY'!J75+'SK - TL'!J75+'SK - PERM'!J75+'SK - VOC'!J75+'22 North'!J75)</f>
        <v>32774</v>
      </c>
      <c r="K111" s="104">
        <f>SUM(CMS!K75+Fundraising!K75+HSSP!K75+'WH - SOP'!K75+'WH - PAD'!K75+'WH - HUSLY'!K75+'WH - TL'!K75+'WH - PERM'!K75+'WH-VOC'!K75+QYP!K75+'BH Team'!K106+'Teen Court'!K75+'SK - HUSLY'!K75+'SK - TL'!K75+'SK - PERM'!K75+'SK - VOC'!K75+'22 North'!K75)</f>
        <v>35774</v>
      </c>
      <c r="L111" s="104">
        <f>SUM(CMS!L75+Fundraising!L75+HSSP!L75+'WH - SOP'!L75+'WH - PAD'!L75+'WH - HUSLY'!L75+'WH - TL'!L75+'WH - PERM'!L75+'WH-VOC'!L75+QYP!L75+'BH Team'!L106+'Teen Court'!L75+'SK - HUSLY'!L75+'SK - TL'!L75+'SK - PERM'!L75+'SK - VOC'!L75+'22 North'!L75)</f>
        <v>35774</v>
      </c>
      <c r="M111" s="104">
        <f>SUM(CMS!M75+Fundraising!M75+HSSP!M75+'WH - SOP'!M75+'WH - PAD'!M75+'WH - HUSLY'!M75+'WH - TL'!M75+'WH - PERM'!M75+'WH-VOC'!M75+QYP!M75+'BH Team'!M106+'Teen Court'!M75+'SK - HUSLY'!M75+'SK - TL'!M75+'SK - PERM'!M75+'SK - VOC'!M75+'22 North'!M75)</f>
        <v>35774</v>
      </c>
      <c r="N111" s="104">
        <f>SUM(CMS!N75+Fundraising!N75+HSSP!N75+'WH - SOP'!N75+'WH - PAD'!N75+'WH - HUSLY'!N75+'WH - TL'!N75+'WH - PERM'!N75+'WH-VOC'!N75+QYP!N75+'BH Team'!N106+'Teen Court'!N75+'SK - HUSLY'!N75+'SK - TL'!N75+'SK - PERM'!N75+'SK - VOC'!N75+'22 North'!N75)</f>
        <v>35774</v>
      </c>
      <c r="O111" s="135">
        <f t="shared" si="9"/>
        <v>400514</v>
      </c>
      <c r="P111" s="386">
        <v>292505.96000000002</v>
      </c>
      <c r="Q111" s="385">
        <f t="shared" si="10"/>
        <v>108008.03999999998</v>
      </c>
      <c r="R111" s="68" t="s">
        <v>641</v>
      </c>
      <c r="S111" s="68"/>
      <c r="T111" s="68"/>
      <c r="U111" s="68"/>
      <c r="V111" s="68"/>
      <c r="W111" s="68"/>
      <c r="X111" s="68"/>
      <c r="Y111" s="68"/>
    </row>
    <row r="112" spans="2:25" x14ac:dyDescent="0.25">
      <c r="B112" s="16" t="str">
        <f>CMS!A76</f>
        <v>Utilities</v>
      </c>
      <c r="C112" s="104">
        <f>SUM(CMS!C76+Fundraising!C76+HSSP!C76+'WH - SOP'!C76+'WH - PAD'!C76+'WH - HUSLY'!C76+'WH - TL'!C76+'WH - PERM'!C76+'WH-VOC'!C76+QYP!C76+'BH Team'!C107+'Teen Court'!C76+'SK - HUSLY'!C76+'SK - TL'!C76+'SK - PERM'!C76+'SK - VOC'!C76+'22 North'!C76)</f>
        <v>1462</v>
      </c>
      <c r="D112" s="104">
        <f>SUM(CMS!D76+Fundraising!D76+HSSP!D76+'WH - SOP'!D76+'WH - PAD'!D76+'WH - HUSLY'!D76+'WH - TL'!D76+'WH - PERM'!D76+'WH-VOC'!D76+QYP!D76+'BH Team'!D107+'Teen Court'!D76+'SK - HUSLY'!D76+'SK - TL'!D76+'SK - PERM'!D76+'SK - VOC'!D76+'22 North'!D76)</f>
        <v>1462</v>
      </c>
      <c r="E112" s="104">
        <f>SUM(CMS!E76+Fundraising!E76+HSSP!E76+'WH - SOP'!E76+'WH - PAD'!E76+'WH - HUSLY'!E76+'WH - TL'!E76+'WH - PERM'!E76+'WH-VOC'!E76+QYP!E76+'BH Team'!E107+'Teen Court'!E76+'SK - HUSLY'!E76+'SK - TL'!E76+'SK - PERM'!E76+'SK - VOC'!E76+'22 North'!E76)</f>
        <v>1462</v>
      </c>
      <c r="F112" s="104">
        <f>SUM(CMS!F76+Fundraising!F76+HSSP!F76+'WH - SOP'!F76+'WH - PAD'!F76+'WH - HUSLY'!F76+'WH - TL'!F76+'WH - PERM'!F76+'WH-VOC'!F76+QYP!F76+'BH Team'!F107+'Teen Court'!F76+'SK - HUSLY'!F76+'SK - TL'!F76+'SK - PERM'!F76+'SK - VOC'!F76+'22 North'!F76)</f>
        <v>1532</v>
      </c>
      <c r="G112" s="104">
        <f>SUM(CMS!G76+Fundraising!G76+HSSP!G76+'WH - SOP'!G76+'WH - PAD'!G76+'WH - HUSLY'!G76+'WH - TL'!G76+'WH - PERM'!G76+'WH-VOC'!G76+QYP!G76+'BH Team'!G107+'Teen Court'!G76+'SK - HUSLY'!G76+'SK - TL'!G76+'SK - PERM'!G76+'SK - VOC'!G76+'22 North'!G76)</f>
        <v>1662</v>
      </c>
      <c r="H112" s="104">
        <f>SUM(CMS!H76+Fundraising!H76+HSSP!H76+'WH - SOP'!H76+'WH - PAD'!H76+'WH - HUSLY'!H76+'WH - TL'!H76+'WH - PERM'!H76+'WH-VOC'!H76+QYP!H76+'BH Team'!H107+'Teen Court'!H76+'SK - HUSLY'!H76+'SK - TL'!H76+'SK - PERM'!H76+'SK - VOC'!H76+'22 North'!H76)</f>
        <v>1662</v>
      </c>
      <c r="I112" s="104">
        <f>SUM(CMS!I76+Fundraising!I76+HSSP!I76+'WH - SOP'!I76+'WH - PAD'!I76+'WH - HUSLY'!I76+'WH - TL'!I76+'WH - PERM'!I76+'WH-VOC'!I76+QYP!I76+'BH Team'!I107+'Teen Court'!I76+'SK - HUSLY'!I76+'SK - TL'!I76+'SK - PERM'!I76+'SK - VOC'!I76+'22 North'!I76)</f>
        <v>1662</v>
      </c>
      <c r="J112" s="104">
        <f>SUM(CMS!J76+Fundraising!J76+HSSP!J76+'WH - SOP'!J76+'WH - PAD'!J76+'WH - HUSLY'!J76+'WH - TL'!J76+'WH - PERM'!J76+'WH-VOC'!J76+QYP!J76+'BH Team'!J107+'Teen Court'!J76+'SK - HUSLY'!J76+'SK - TL'!J76+'SK - PERM'!J76+'SK - VOC'!J76+'22 North'!J76)</f>
        <v>1662</v>
      </c>
      <c r="K112" s="104">
        <f>SUM(CMS!K76+Fundraising!K76+HSSP!K76+'WH - SOP'!K76+'WH - PAD'!K76+'WH - HUSLY'!K76+'WH - TL'!K76+'WH - PERM'!K76+'WH-VOC'!K76+QYP!K76+'BH Team'!K107+'Teen Court'!K76+'SK - HUSLY'!K76+'SK - TL'!K76+'SK - PERM'!K76+'SK - VOC'!K76+'22 North'!K76)</f>
        <v>1532</v>
      </c>
      <c r="L112" s="104">
        <f>SUM(CMS!L76+Fundraising!L76+HSSP!L76+'WH - SOP'!L76+'WH - PAD'!L76+'WH - HUSLY'!L76+'WH - TL'!L76+'WH - PERM'!L76+'WH-VOC'!L76+QYP!L76+'BH Team'!L107+'Teen Court'!L76+'SK - HUSLY'!L76+'SK - TL'!L76+'SK - PERM'!L76+'SK - VOC'!L76+'22 North'!L76)</f>
        <v>1462</v>
      </c>
      <c r="M112" s="104">
        <f>SUM(CMS!M76+Fundraising!M76+HSSP!M76+'WH - SOP'!M76+'WH - PAD'!M76+'WH - HUSLY'!M76+'WH - TL'!M76+'WH - PERM'!M76+'WH-VOC'!M76+QYP!M76+'BH Team'!M107+'Teen Court'!M76+'SK - HUSLY'!M76+'SK - TL'!M76+'SK - PERM'!M76+'SK - VOC'!M76+'22 North'!M76)</f>
        <v>1462</v>
      </c>
      <c r="N112" s="104">
        <f>SUM(CMS!N76+Fundraising!N76+HSSP!N76+'WH - SOP'!N76+'WH - PAD'!N76+'WH - HUSLY'!N76+'WH - TL'!N76+'WH - PERM'!N76+'WH-VOC'!N76+QYP!N76+'BH Team'!N107+'Teen Court'!N76+'SK - HUSLY'!N76+'SK - TL'!N76+'SK - PERM'!N76+'SK - VOC'!N76+'22 North'!N76)</f>
        <v>1462</v>
      </c>
      <c r="O112" s="135">
        <f t="shared" si="9"/>
        <v>18484</v>
      </c>
      <c r="P112" s="386">
        <v>17621.5</v>
      </c>
      <c r="Q112" s="385">
        <f t="shared" si="10"/>
        <v>862.5</v>
      </c>
      <c r="R112" s="68"/>
      <c r="S112" s="68"/>
      <c r="T112" s="68"/>
      <c r="U112" s="68"/>
      <c r="V112" s="68"/>
      <c r="W112" s="68"/>
      <c r="X112" s="68"/>
      <c r="Y112" s="68"/>
    </row>
    <row r="113" spans="2:25" x14ac:dyDescent="0.25">
      <c r="B113" s="16" t="str">
        <f>CMS!A77</f>
        <v>Bank Fees/Late Fees</v>
      </c>
      <c r="C113" s="104">
        <f>SUM(CMS!C77+Fundraising!C77+HSSP!C77+'WH - SOP'!C77+'WH - PAD'!C77+'WH - HUSLY'!C77+'WH - TL'!C77+'WH - PERM'!C77+'WH-VOC'!C77+QYP!C77+'BH Team'!C108+'Teen Court'!C77+'SK - HUSLY'!C77+'SK - TL'!C77+'SK - PERM'!C77+'SK - VOC'!C77+'22 North'!C77)</f>
        <v>50</v>
      </c>
      <c r="D113" s="104">
        <f>SUM(CMS!D77+Fundraising!D77+HSSP!D77+'WH - SOP'!D77+'WH - PAD'!D77+'WH - HUSLY'!D77+'WH - TL'!D77+'WH - PERM'!D77+'WH-VOC'!D77+QYP!D77+'BH Team'!D108+'Teen Court'!D77+'SK - HUSLY'!D77+'SK - TL'!D77+'SK - PERM'!D77+'SK - VOC'!D77+'22 North'!D77)</f>
        <v>50</v>
      </c>
      <c r="E113" s="104">
        <f>SUM(CMS!E77+Fundraising!E77+HSSP!E77+'WH - SOP'!E77+'WH - PAD'!E77+'WH - HUSLY'!E77+'WH - TL'!E77+'WH - PERM'!E77+'WH-VOC'!E77+QYP!E77+'BH Team'!E108+'Teen Court'!E77+'SK - HUSLY'!E77+'SK - TL'!E77+'SK - PERM'!E77+'SK - VOC'!E77+'22 North'!E77)</f>
        <v>50</v>
      </c>
      <c r="F113" s="104">
        <f>SUM(CMS!F77+Fundraising!F77+HSSP!F77+'WH - SOP'!F77+'WH - PAD'!F77+'WH - HUSLY'!F77+'WH - TL'!F77+'WH - PERM'!F77+'WH-VOC'!F77+QYP!F77+'BH Team'!F108+'Teen Court'!F77+'SK - HUSLY'!F77+'SK - TL'!F77+'SK - PERM'!F77+'SK - VOC'!F77+'22 North'!F77)</f>
        <v>50</v>
      </c>
      <c r="G113" s="104">
        <f>SUM(CMS!G77+Fundraising!G77+HSSP!G77+'WH - SOP'!G77+'WH - PAD'!G77+'WH - HUSLY'!G77+'WH - TL'!G77+'WH - PERM'!G77+'WH-VOC'!G77+QYP!G77+'BH Team'!G108+'Teen Court'!G77+'SK - HUSLY'!G77+'SK - TL'!G77+'SK - PERM'!G77+'SK - VOC'!G77+'22 North'!G77)</f>
        <v>50</v>
      </c>
      <c r="H113" s="104">
        <f>SUM(CMS!H77+Fundraising!H77+HSSP!H77+'WH - SOP'!H77+'WH - PAD'!H77+'WH - HUSLY'!H77+'WH - TL'!H77+'WH - PERM'!H77+'WH-VOC'!H77+QYP!H77+'BH Team'!H108+'Teen Court'!H77+'SK - HUSLY'!H77+'SK - TL'!H77+'SK - PERM'!H77+'SK - VOC'!H77+'22 North'!H77)</f>
        <v>50</v>
      </c>
      <c r="I113" s="104">
        <f>SUM(CMS!I77+Fundraising!I77+HSSP!I77+'WH - SOP'!I77+'WH - PAD'!I77+'WH - HUSLY'!I77+'WH - TL'!I77+'WH - PERM'!I77+'WH-VOC'!I77+QYP!I77+'BH Team'!I108+'Teen Court'!I77+'SK - HUSLY'!I77+'SK - TL'!I77+'SK - PERM'!I77+'SK - VOC'!I77+'22 North'!I77)</f>
        <v>50</v>
      </c>
      <c r="J113" s="104">
        <f>SUM(CMS!J77+Fundraising!J77+HSSP!J77+'WH - SOP'!J77+'WH - PAD'!J77+'WH - HUSLY'!J77+'WH - TL'!J77+'WH - PERM'!J77+'WH-VOC'!J77+QYP!J77+'BH Team'!J108+'Teen Court'!J77+'SK - HUSLY'!J77+'SK - TL'!J77+'SK - PERM'!J77+'SK - VOC'!J77+'22 North'!J77)</f>
        <v>50</v>
      </c>
      <c r="K113" s="104">
        <f>SUM(CMS!K77+Fundraising!K77+HSSP!K77+'WH - SOP'!K77+'WH - PAD'!K77+'WH - HUSLY'!K77+'WH - TL'!K77+'WH - PERM'!K77+'WH-VOC'!K77+QYP!K77+'BH Team'!K108+'Teen Court'!K77+'SK - HUSLY'!K77+'SK - TL'!K77+'SK - PERM'!K77+'SK - VOC'!K77+'22 North'!K77)</f>
        <v>50</v>
      </c>
      <c r="L113" s="104">
        <f>SUM(CMS!L77+Fundraising!L77+HSSP!L77+'WH - SOP'!L77+'WH - PAD'!L77+'WH - HUSLY'!L77+'WH - TL'!L77+'WH - PERM'!L77+'WH-VOC'!L77+QYP!L77+'BH Team'!L108+'Teen Court'!L77+'SK - HUSLY'!L77+'SK - TL'!L77+'SK - PERM'!L77+'SK - VOC'!L77+'22 North'!L77)</f>
        <v>50</v>
      </c>
      <c r="M113" s="104">
        <f>SUM(CMS!M77+Fundraising!M77+HSSP!M77+'WH - SOP'!M77+'WH - PAD'!M77+'WH - HUSLY'!M77+'WH - TL'!M77+'WH - PERM'!M77+'WH-VOC'!M77+QYP!M77+'BH Team'!M108+'Teen Court'!M77+'SK - HUSLY'!M77+'SK - TL'!M77+'SK - PERM'!M77+'SK - VOC'!M77+'22 North'!M77)</f>
        <v>50</v>
      </c>
      <c r="N113" s="104">
        <f>SUM(CMS!N77+Fundraising!N77+HSSP!N77+'WH - SOP'!N77+'WH - PAD'!N77+'WH - HUSLY'!N77+'WH - TL'!N77+'WH - PERM'!N77+'WH-VOC'!N77+QYP!N77+'BH Team'!N108+'Teen Court'!N77+'SK - HUSLY'!N77+'SK - TL'!N77+'SK - PERM'!N77+'SK - VOC'!N77+'22 North'!N77)</f>
        <v>50</v>
      </c>
      <c r="O113" s="135">
        <f t="shared" si="9"/>
        <v>600</v>
      </c>
      <c r="P113" s="386">
        <v>4044</v>
      </c>
      <c r="Q113" s="385">
        <f t="shared" si="10"/>
        <v>-3444</v>
      </c>
      <c r="R113" s="68"/>
      <c r="S113" s="68"/>
      <c r="T113" s="68"/>
      <c r="U113" s="68"/>
      <c r="V113" s="68"/>
      <c r="W113" s="68"/>
      <c r="X113" s="68"/>
      <c r="Y113" s="99"/>
    </row>
    <row r="114" spans="2:25" s="68" customFormat="1" x14ac:dyDescent="0.25">
      <c r="B114" s="16" t="str">
        <f>CMS!A78</f>
        <v>Bad Debt Expense</v>
      </c>
      <c r="C114" s="104">
        <f>SUM(CMS!C78+Fundraising!C78+HSSP!C78+'WH - SOP'!C78+'WH - PAD'!C78+'WH - HUSLY'!C78+'WH - TL'!C78+'WH - PERM'!C78+'WH-VOC'!C78+QYP!C78+'BH Team'!C109+'Teen Court'!C78+'SK - HUSLY'!C78+'SK - TL'!C78+'SK - PERM'!C78+'SK - VOC'!C78+'22 North'!C78)</f>
        <v>0</v>
      </c>
      <c r="D114" s="104">
        <f>SUM(CMS!D78+Fundraising!D78+HSSP!D78+'WH - SOP'!D78+'WH - PAD'!D78+'WH - HUSLY'!D78+'WH - TL'!D78+'WH - PERM'!D78+'WH-VOC'!D78+QYP!D78+'BH Team'!D109+'Teen Court'!D78+'SK - HUSLY'!D78+'SK - TL'!D78+'SK - PERM'!D78+'SK - VOC'!D78+'22 North'!D78)</f>
        <v>0</v>
      </c>
      <c r="E114" s="104">
        <f>SUM(CMS!E78+Fundraising!E78+HSSP!E78+'WH - SOP'!E78+'WH - PAD'!E78+'WH - HUSLY'!E78+'WH - TL'!E78+'WH - PERM'!E78+'WH-VOC'!E78+QYP!E78+'BH Team'!E109+'Teen Court'!E78+'SK - HUSLY'!E78+'SK - TL'!E78+'SK - PERM'!E78+'SK - VOC'!E78+'22 North'!E78)</f>
        <v>0</v>
      </c>
      <c r="F114" s="104">
        <f>SUM(CMS!F78+Fundraising!F78+HSSP!F78+'WH - SOP'!F78+'WH - PAD'!F78+'WH - HUSLY'!F78+'WH - TL'!F78+'WH - PERM'!F78+'WH-VOC'!F78+QYP!F78+'BH Team'!F109+'Teen Court'!F78+'SK - HUSLY'!F78+'SK - TL'!F78+'SK - PERM'!F78+'SK - VOC'!F78+'22 North'!F78)</f>
        <v>0</v>
      </c>
      <c r="G114" s="104">
        <f>SUM(CMS!G78+Fundraising!G78+HSSP!G78+'WH - SOP'!G78+'WH - PAD'!G78+'WH - HUSLY'!G78+'WH - TL'!G78+'WH - PERM'!G78+'WH-VOC'!G78+QYP!G78+'BH Team'!G109+'Teen Court'!G78+'SK - HUSLY'!G78+'SK - TL'!G78+'SK - PERM'!G78+'SK - VOC'!G78+'22 North'!G78)</f>
        <v>0</v>
      </c>
      <c r="H114" s="104">
        <f>SUM(CMS!H78+Fundraising!H78+HSSP!H78+'WH - SOP'!H78+'WH - PAD'!H78+'WH - HUSLY'!H78+'WH - TL'!H78+'WH - PERM'!H78+'WH-VOC'!H78+QYP!H78+'BH Team'!H109+'Teen Court'!H78+'SK - HUSLY'!H78+'SK - TL'!H78+'SK - PERM'!H78+'SK - VOC'!H78+'22 North'!H78)</f>
        <v>0</v>
      </c>
      <c r="I114" s="104">
        <f>SUM(CMS!I78+Fundraising!I78+HSSP!I78+'WH - SOP'!I78+'WH - PAD'!I78+'WH - HUSLY'!I78+'WH - TL'!I78+'WH - PERM'!I78+'WH-VOC'!I78+QYP!I78+'BH Team'!I109+'Teen Court'!I78+'SK - HUSLY'!I78+'SK - TL'!I78+'SK - PERM'!I78+'SK - VOC'!I78+'22 North'!I78)</f>
        <v>0</v>
      </c>
      <c r="J114" s="104">
        <f>SUM(CMS!J78+Fundraising!J78+HSSP!J78+'WH - SOP'!J78+'WH - PAD'!J78+'WH - HUSLY'!J78+'WH - TL'!J78+'WH - PERM'!J78+'WH-VOC'!J78+QYP!J78+'BH Team'!J109+'Teen Court'!J78+'SK - HUSLY'!J78+'SK - TL'!J78+'SK - PERM'!J78+'SK - VOC'!J78+'22 North'!J78)</f>
        <v>0</v>
      </c>
      <c r="K114" s="104">
        <f>SUM(CMS!K78+Fundraising!K78+HSSP!K78+'WH - SOP'!K78+'WH - PAD'!K78+'WH - HUSLY'!K78+'WH - TL'!K78+'WH - PERM'!K78+'WH-VOC'!K78+QYP!K78+'BH Team'!K109+'Teen Court'!K78+'SK - HUSLY'!K78+'SK - TL'!K78+'SK - PERM'!K78+'SK - VOC'!K78+'22 North'!K78)</f>
        <v>0</v>
      </c>
      <c r="L114" s="104">
        <f>SUM(CMS!L78+Fundraising!L78+HSSP!L78+'WH - SOP'!L78+'WH - PAD'!L78+'WH - HUSLY'!L78+'WH - TL'!L78+'WH - PERM'!L78+'WH-VOC'!L78+QYP!L78+'BH Team'!L109+'Teen Court'!L78+'SK - HUSLY'!L78+'SK - TL'!L78+'SK - PERM'!L78+'SK - VOC'!L78+'22 North'!L78)</f>
        <v>0</v>
      </c>
      <c r="M114" s="104">
        <f>SUM(CMS!M78+Fundraising!M78+HSSP!M78+'WH - SOP'!M78+'WH - PAD'!M78+'WH - HUSLY'!M78+'WH - TL'!M78+'WH - PERM'!M78+'WH-VOC'!M78+QYP!M78+'BH Team'!M109+'Teen Court'!M78+'SK - HUSLY'!M78+'SK - TL'!M78+'SK - PERM'!M78+'SK - VOC'!M78+'22 North'!M78)</f>
        <v>0</v>
      </c>
      <c r="N114" s="104">
        <f>SUM(CMS!N78+Fundraising!N78+HSSP!N78+'WH - SOP'!N78+'WH - PAD'!N78+'WH - HUSLY'!N78+'WH - TL'!N78+'WH - PERM'!N78+'WH-VOC'!N78+QYP!N78+'BH Team'!N109+'Teen Court'!N78+'SK - HUSLY'!N78+'SK - TL'!N78+'SK - PERM'!N78+'SK - VOC'!N78+'22 North'!N78)</f>
        <v>0</v>
      </c>
      <c r="O114" s="135">
        <f t="shared" si="9"/>
        <v>0</v>
      </c>
      <c r="P114" s="386">
        <v>0</v>
      </c>
      <c r="Q114" s="385">
        <f t="shared" si="10"/>
        <v>0</v>
      </c>
      <c r="Y114" s="99"/>
    </row>
    <row r="115" spans="2:25" s="68" customFormat="1" x14ac:dyDescent="0.25">
      <c r="B115" s="16" t="str">
        <f>CMS!A79</f>
        <v>Interest Expense</v>
      </c>
      <c r="C115" s="104">
        <f>SUM(CMS!C79+Fundraising!C79+HSSP!C79+'WH - SOP'!C79+'WH - PAD'!C79+'WH - HUSLY'!C79+'WH - TL'!C79+'WH - PERM'!C79+'WH-VOC'!C79+QYP!C79+'BH Team'!C110+'Teen Court'!C79+'SK - HUSLY'!C79+'SK - TL'!C79+'SK - PERM'!C79+'SK - VOC'!C79+'22 North'!C79)</f>
        <v>3522</v>
      </c>
      <c r="D115" s="104">
        <f>SUM(CMS!D79+Fundraising!D79+HSSP!D79+'WH - SOP'!D79+'WH - PAD'!D79+'WH - HUSLY'!D79+'WH - TL'!D79+'WH - PERM'!D79+'WH-VOC'!D79+QYP!D79+'BH Team'!D110+'Teen Court'!D79+'SK - HUSLY'!D79+'SK - TL'!D79+'SK - PERM'!D79+'SK - VOC'!D79+'22 North'!D79)</f>
        <v>3522</v>
      </c>
      <c r="E115" s="104">
        <f>SUM(CMS!E79+Fundraising!E79+HSSP!E79+'WH - SOP'!E79+'WH - PAD'!E79+'WH - HUSLY'!E79+'WH - TL'!E79+'WH - PERM'!E79+'WH-VOC'!E79+QYP!E79+'BH Team'!E110+'Teen Court'!E79+'SK - HUSLY'!E79+'SK - TL'!E79+'SK - PERM'!E79+'SK - VOC'!E79+'22 North'!E79)</f>
        <v>3522</v>
      </c>
      <c r="F115" s="104">
        <f>SUM(CMS!F79+Fundraising!F79+HSSP!F79+'WH - SOP'!F79+'WH - PAD'!F79+'WH - HUSLY'!F79+'WH - TL'!F79+'WH - PERM'!F79+'WH-VOC'!F79+QYP!F79+'BH Team'!F110+'Teen Court'!F79+'SK - HUSLY'!F79+'SK - TL'!F79+'SK - PERM'!F79+'SK - VOC'!F79+'22 North'!F79)</f>
        <v>3522</v>
      </c>
      <c r="G115" s="104">
        <f>SUM(CMS!G79+Fundraising!G79+HSSP!G79+'WH - SOP'!G79+'WH - PAD'!G79+'WH - HUSLY'!G79+'WH - TL'!G79+'WH - PERM'!G79+'WH-VOC'!G79+QYP!G79+'BH Team'!G110+'Teen Court'!G79+'SK - HUSLY'!G79+'SK - TL'!G79+'SK - PERM'!G79+'SK - VOC'!G79+'22 North'!G79)</f>
        <v>3522</v>
      </c>
      <c r="H115" s="104">
        <f>SUM(CMS!H79+Fundraising!H79+HSSP!H79+'WH - SOP'!H79+'WH - PAD'!H79+'WH - HUSLY'!H79+'WH - TL'!H79+'WH - PERM'!H79+'WH-VOC'!H79+QYP!H79+'BH Team'!H110+'Teen Court'!H79+'SK - HUSLY'!H79+'SK - TL'!H79+'SK - PERM'!H79+'SK - VOC'!H79+'22 North'!H79)</f>
        <v>3522</v>
      </c>
      <c r="I115" s="104">
        <f>SUM(CMS!I79+Fundraising!I79+HSSP!I79+'WH - SOP'!I79+'WH - PAD'!I79+'WH - HUSLY'!I79+'WH - TL'!I79+'WH - PERM'!I79+'WH-VOC'!I79+QYP!I79+'BH Team'!I110+'Teen Court'!I79+'SK - HUSLY'!I79+'SK - TL'!I79+'SK - PERM'!I79+'SK - VOC'!I79+'22 North'!I79)</f>
        <v>3522</v>
      </c>
      <c r="J115" s="104">
        <f>SUM(CMS!J79+Fundraising!J79+HSSP!J79+'WH - SOP'!J79+'WH - PAD'!J79+'WH - HUSLY'!J79+'WH - TL'!J79+'WH - PERM'!J79+'WH-VOC'!J79+QYP!J79+'BH Team'!J110+'Teen Court'!J79+'SK - HUSLY'!J79+'SK - TL'!J79+'SK - PERM'!J79+'SK - VOC'!J79+'22 North'!J79)</f>
        <v>3522</v>
      </c>
      <c r="K115" s="104">
        <f>SUM(CMS!K79+Fundraising!K79+HSSP!K79+'WH - SOP'!K79+'WH - PAD'!K79+'WH - HUSLY'!K79+'WH - TL'!K79+'WH - PERM'!K79+'WH-VOC'!K79+QYP!K79+'BH Team'!K110+'Teen Court'!K79+'SK - HUSLY'!K79+'SK - TL'!K79+'SK - PERM'!K79+'SK - VOC'!K79+'22 North'!K79)</f>
        <v>3522</v>
      </c>
      <c r="L115" s="104">
        <f>SUM(CMS!L79+Fundraising!L79+HSSP!L79+'WH - SOP'!L79+'WH - PAD'!L79+'WH - HUSLY'!L79+'WH - TL'!L79+'WH - PERM'!L79+'WH-VOC'!L79+QYP!L79+'BH Team'!L110+'Teen Court'!L79+'SK - HUSLY'!L79+'SK - TL'!L79+'SK - PERM'!L79+'SK - VOC'!L79+'22 North'!L79)</f>
        <v>3522</v>
      </c>
      <c r="M115" s="104">
        <f>SUM(CMS!M79+Fundraising!M79+HSSP!M79+'WH - SOP'!M79+'WH - PAD'!M79+'WH - HUSLY'!M79+'WH - TL'!M79+'WH - PERM'!M79+'WH-VOC'!M79+QYP!M79+'BH Team'!M110+'Teen Court'!M79+'SK - HUSLY'!M79+'SK - TL'!M79+'SK - PERM'!M79+'SK - VOC'!M79+'22 North'!M79)</f>
        <v>3522</v>
      </c>
      <c r="N115" s="104">
        <f>SUM(CMS!N79+Fundraising!N79+HSSP!N79+'WH - SOP'!N79+'WH - PAD'!N79+'WH - HUSLY'!N79+'WH - TL'!N79+'WH - PERM'!N79+'WH-VOC'!N79+QYP!N79+'BH Team'!N110+'Teen Court'!N79+'SK - HUSLY'!N79+'SK - TL'!N79+'SK - PERM'!N79+'SK - VOC'!N79+'22 North'!N79)</f>
        <v>3522</v>
      </c>
      <c r="O115" s="135">
        <f t="shared" si="9"/>
        <v>42264</v>
      </c>
      <c r="P115" s="386">
        <v>17580</v>
      </c>
      <c r="Q115" s="385">
        <f t="shared" si="10"/>
        <v>24684</v>
      </c>
      <c r="R115" s="68" t="s">
        <v>642</v>
      </c>
      <c r="Y115" s="99"/>
    </row>
    <row r="116" spans="2:25" s="68" customFormat="1" x14ac:dyDescent="0.25">
      <c r="B116" s="16" t="str">
        <f>CMS!A80</f>
        <v>Meeting Expense</v>
      </c>
      <c r="C116" s="104">
        <f>SUM(CMS!C80+Fundraising!C80+HSSP!C80+'WH - SOP'!C80+'WH - PAD'!C80+'WH - HUSLY'!C80+'WH - TL'!C80+'WH - PERM'!C80+'WH-VOC'!C80+QYP!C80+'BH Team'!C111+'Teen Court'!C80+'SK - HUSLY'!C80+'SK - TL'!C80+'SK - PERM'!C80+'SK - VOC'!C80+'22 North'!C80)</f>
        <v>50</v>
      </c>
      <c r="D116" s="104">
        <f>SUM(CMS!D80+Fundraising!D80+HSSP!D80+'WH - SOP'!D80+'WH - PAD'!D80+'WH - HUSLY'!D80+'WH - TL'!D80+'WH - PERM'!D80+'WH-VOC'!D80+QYP!D80+'BH Team'!D111+'Teen Court'!D80+'SK - HUSLY'!D80+'SK - TL'!D80+'SK - PERM'!D80+'SK - VOC'!D80+'22 North'!D80)</f>
        <v>50</v>
      </c>
      <c r="E116" s="104">
        <f>SUM(CMS!E80+Fundraising!E80+HSSP!E80+'WH - SOP'!E80+'WH - PAD'!E80+'WH - HUSLY'!E80+'WH - TL'!E80+'WH - PERM'!E80+'WH-VOC'!E80+QYP!E80+'BH Team'!E111+'Teen Court'!E80+'SK - HUSLY'!E80+'SK - TL'!E80+'SK - PERM'!E80+'SK - VOC'!E80+'22 North'!E80)</f>
        <v>50</v>
      </c>
      <c r="F116" s="104">
        <f>SUM(CMS!F80+Fundraising!F80+HSSP!F80+'WH - SOP'!F80+'WH - PAD'!F80+'WH - HUSLY'!F80+'WH - TL'!F80+'WH - PERM'!F80+'WH-VOC'!F80+QYP!F80+'BH Team'!F111+'Teen Court'!F80+'SK - HUSLY'!F80+'SK - TL'!F80+'SK - PERM'!F80+'SK - VOC'!F80+'22 North'!F80)</f>
        <v>50</v>
      </c>
      <c r="G116" s="104">
        <f>SUM(CMS!G80+Fundraising!G80+HSSP!G80+'WH - SOP'!G80+'WH - PAD'!G80+'WH - HUSLY'!G80+'WH - TL'!G80+'WH - PERM'!G80+'WH-VOC'!G80+QYP!G80+'BH Team'!G111+'Teen Court'!G80+'SK - HUSLY'!G80+'SK - TL'!G80+'SK - PERM'!G80+'SK - VOC'!G80+'22 North'!G80)</f>
        <v>50</v>
      </c>
      <c r="H116" s="104">
        <f>SUM(CMS!H80+Fundraising!H80+HSSP!H80+'WH - SOP'!H80+'WH - PAD'!H80+'WH - HUSLY'!H80+'WH - TL'!H80+'WH - PERM'!H80+'WH-VOC'!H80+QYP!H80+'BH Team'!H111+'Teen Court'!H80+'SK - HUSLY'!H80+'SK - TL'!H80+'SK - PERM'!H80+'SK - VOC'!H80+'22 North'!H80)</f>
        <v>0</v>
      </c>
      <c r="I116" s="104">
        <f>SUM(CMS!I80+Fundraising!I80+HSSP!I80+'WH - SOP'!I80+'WH - PAD'!I80+'WH - HUSLY'!I80+'WH - TL'!I80+'WH - PERM'!I80+'WH-VOC'!I80+QYP!I80+'BH Team'!I111+'Teen Court'!I80+'SK - HUSLY'!I80+'SK - TL'!I80+'SK - PERM'!I80+'SK - VOC'!I80+'22 North'!I80)</f>
        <v>0</v>
      </c>
      <c r="J116" s="104">
        <f>SUM(CMS!J80+Fundraising!J80+HSSP!J80+'WH - SOP'!J80+'WH - PAD'!J80+'WH - HUSLY'!J80+'WH - TL'!J80+'WH - PERM'!J80+'WH-VOC'!J80+QYP!J80+'BH Team'!J111+'Teen Court'!J80+'SK - HUSLY'!J80+'SK - TL'!J80+'SK - PERM'!J80+'SK - VOC'!J80+'22 North'!J80)</f>
        <v>0</v>
      </c>
      <c r="K116" s="104">
        <f>SUM(CMS!K80+Fundraising!K80+HSSP!K80+'WH - SOP'!K80+'WH - PAD'!K80+'WH - HUSLY'!K80+'WH - TL'!K80+'WH - PERM'!K80+'WH-VOC'!K80+QYP!K80+'BH Team'!K111+'Teen Court'!K80+'SK - HUSLY'!K80+'SK - TL'!K80+'SK - PERM'!K80+'SK - VOC'!K80+'22 North'!K80)</f>
        <v>250</v>
      </c>
      <c r="L116" s="104">
        <f>SUM(CMS!L80+Fundraising!L80+HSSP!L80+'WH - SOP'!L80+'WH - PAD'!L80+'WH - HUSLY'!L80+'WH - TL'!L80+'WH - PERM'!L80+'WH-VOC'!L80+QYP!L80+'BH Team'!L111+'Teen Court'!L80+'SK - HUSLY'!L80+'SK - TL'!L80+'SK - PERM'!L80+'SK - VOC'!L80+'22 North'!L80)</f>
        <v>50</v>
      </c>
      <c r="M116" s="104">
        <f>SUM(CMS!M80+Fundraising!M80+HSSP!M80+'WH - SOP'!M80+'WH - PAD'!M80+'WH - HUSLY'!M80+'WH - TL'!M80+'WH - PERM'!M80+'WH-VOC'!M80+QYP!M80+'BH Team'!M111+'Teen Court'!M80+'SK - HUSLY'!M80+'SK - TL'!M80+'SK - PERM'!M80+'SK - VOC'!M80+'22 North'!M80)</f>
        <v>50</v>
      </c>
      <c r="N116" s="104">
        <f>SUM(CMS!N80+Fundraising!N80+HSSP!N80+'WH - SOP'!N80+'WH - PAD'!N80+'WH - HUSLY'!N80+'WH - TL'!N80+'WH - PERM'!N80+'WH-VOC'!N80+QYP!N80+'BH Team'!N111+'Teen Court'!N80+'SK - HUSLY'!N80+'SK - TL'!N80+'SK - PERM'!N80+'SK - VOC'!N80+'22 North'!N80)</f>
        <v>50</v>
      </c>
      <c r="O116" s="135">
        <f t="shared" si="9"/>
        <v>650</v>
      </c>
      <c r="P116" s="386">
        <v>0</v>
      </c>
      <c r="Q116" s="385">
        <f t="shared" si="10"/>
        <v>650</v>
      </c>
      <c r="Y116" s="99"/>
    </row>
    <row r="117" spans="2:25" s="68" customFormat="1" x14ac:dyDescent="0.25">
      <c r="B117" s="16" t="s">
        <v>403</v>
      </c>
      <c r="C117" s="104">
        <f>SUM(CMS!C81+Fundraising!C81+HSSP!C81+'WH - SOP'!C81+'WH - PAD'!C81+'WH - HUSLY'!C81+'WH - TL'!C81+'WH - PERM'!C81+'WH-VOC'!C81+QYP!C81+'BH Team'!C112+'Teen Court'!C81+'SK - HUSLY'!C81+'SK - TL'!C81+'SK - PERM'!C81+'SK - VOC'!C81+'22 North'!C81)</f>
        <v>1128.3333333333333</v>
      </c>
      <c r="D117" s="104">
        <f>SUM(CMS!D81+Fundraising!D81+HSSP!D81+'WH - SOP'!D81+'WH - PAD'!D81+'WH - HUSLY'!D81+'WH - TL'!D81+'WH - PERM'!D81+'WH-VOC'!D81+QYP!D81+'BH Team'!D112+'Teen Court'!D81+'SK - HUSLY'!D81+'SK - TL'!D81+'SK - PERM'!D81+'SK - VOC'!D81+'22 North'!D81)</f>
        <v>1128.3333333333333</v>
      </c>
      <c r="E117" s="104">
        <f>SUM(CMS!E81+Fundraising!E81+HSSP!E81+'WH - SOP'!E81+'WH - PAD'!E81+'WH - HUSLY'!E81+'WH - TL'!E81+'WH - PERM'!E81+'WH-VOC'!E81+QYP!E81+'BH Team'!E112+'Teen Court'!E81+'SK - HUSLY'!E81+'SK - TL'!E81+'SK - PERM'!E81+'SK - VOC'!E81+'22 North'!E81)</f>
        <v>1128.3333333333333</v>
      </c>
      <c r="F117" s="104">
        <f>SUM(CMS!F81+Fundraising!F81+HSSP!F81+'WH - SOP'!F81+'WH - PAD'!F81+'WH - HUSLY'!F81+'WH - TL'!F81+'WH - PERM'!F81+'WH-VOC'!F81+QYP!F81+'BH Team'!F112+'Teen Court'!F81+'SK - HUSLY'!F81+'SK - TL'!F81+'SK - PERM'!F81+'SK - VOC'!F81+'22 North'!F81)</f>
        <v>1128.3333333333333</v>
      </c>
      <c r="G117" s="104">
        <f>SUM(CMS!G81+Fundraising!G81+HSSP!G81+'WH - SOP'!G81+'WH - PAD'!G81+'WH - HUSLY'!G81+'WH - TL'!G81+'WH - PERM'!G81+'WH-VOC'!G81+QYP!G81+'BH Team'!G112+'Teen Court'!G81+'SK - HUSLY'!G81+'SK - TL'!G81+'SK - PERM'!G81+'SK - VOC'!G81+'22 North'!G81)</f>
        <v>1128.3333333333333</v>
      </c>
      <c r="H117" s="104">
        <f>SUM(CMS!H81+Fundraising!H81+HSSP!H81+'WH - SOP'!H81+'WH - PAD'!H81+'WH - HUSLY'!H81+'WH - TL'!H81+'WH - PERM'!H81+'WH-VOC'!H81+QYP!H81+'BH Team'!H112+'Teen Court'!H81+'SK - HUSLY'!H81+'SK - TL'!H81+'SK - PERM'!H81+'SK - VOC'!H81+'22 North'!H81)</f>
        <v>1128.3333333333333</v>
      </c>
      <c r="I117" s="104">
        <f>SUM(CMS!I81+Fundraising!I81+HSSP!I81+'WH - SOP'!I81+'WH - PAD'!I81+'WH - HUSLY'!I81+'WH - TL'!I81+'WH - PERM'!I81+'WH-VOC'!I81+QYP!I81+'BH Team'!I112+'Teen Court'!I81+'SK - HUSLY'!I81+'SK - TL'!I81+'SK - PERM'!I81+'SK - VOC'!I81+'22 North'!I81)</f>
        <v>1128.3333333333333</v>
      </c>
      <c r="J117" s="104">
        <f>SUM(CMS!J81+Fundraising!J81+HSSP!J81+'WH - SOP'!J81+'WH - PAD'!J81+'WH - HUSLY'!J81+'WH - TL'!J81+'WH - PERM'!J81+'WH-VOC'!J81+QYP!J81+'BH Team'!J112+'Teen Court'!J81+'SK - HUSLY'!J81+'SK - TL'!J81+'SK - PERM'!J81+'SK - VOC'!J81+'22 North'!J81)</f>
        <v>1128.3333333333333</v>
      </c>
      <c r="K117" s="104">
        <f>SUM(CMS!K81+Fundraising!K81+HSSP!K81+'WH - SOP'!K81+'WH - PAD'!K81+'WH - HUSLY'!K81+'WH - TL'!K81+'WH - PERM'!K81+'WH-VOC'!K81+QYP!K81+'BH Team'!K112+'Teen Court'!K81+'SK - HUSLY'!K81+'SK - TL'!K81+'SK - PERM'!K81+'SK - VOC'!K81+'22 North'!K81)</f>
        <v>1128.3333333333333</v>
      </c>
      <c r="L117" s="104">
        <f>SUM(CMS!L81+Fundraising!L81+HSSP!L81+'WH - SOP'!L81+'WH - PAD'!L81+'WH - HUSLY'!L81+'WH - TL'!L81+'WH - PERM'!L81+'WH-VOC'!L81+QYP!L81+'BH Team'!L112+'Teen Court'!L81+'SK - HUSLY'!L81+'SK - TL'!L81+'SK - PERM'!L81+'SK - VOC'!L81+'22 North'!L81)</f>
        <v>1128.3333333333333</v>
      </c>
      <c r="M117" s="104">
        <f>SUM(CMS!M81+Fundraising!M81+HSSP!M81+'WH - SOP'!M81+'WH - PAD'!M81+'WH - HUSLY'!M81+'WH - TL'!M81+'WH - PERM'!M81+'WH-VOC'!M81+QYP!M81+'BH Team'!M112+'Teen Court'!M81+'SK - HUSLY'!M81+'SK - TL'!M81+'SK - PERM'!M81+'SK - VOC'!M81+'22 North'!M81)</f>
        <v>1128.3333333333333</v>
      </c>
      <c r="N117" s="104">
        <f>SUM(CMS!N81+Fundraising!N81+HSSP!N81+'WH - SOP'!N81+'WH - PAD'!N81+'WH - HUSLY'!N81+'WH - TL'!N81+'WH - PERM'!N81+'WH-VOC'!N81+QYP!N81+'BH Team'!N112+'Teen Court'!N81+'SK - HUSLY'!N81+'SK - TL'!N81+'SK - PERM'!N81+'SK - VOC'!N81+'22 North'!N81)</f>
        <v>1128.3333333333333</v>
      </c>
      <c r="O117" s="135">
        <f t="shared" si="9"/>
        <v>13540.000000000002</v>
      </c>
      <c r="P117" s="386">
        <v>107201.49999999999</v>
      </c>
      <c r="Q117" s="385">
        <f t="shared" si="10"/>
        <v>-93661.499999999985</v>
      </c>
      <c r="R117" s="68" t="s">
        <v>643</v>
      </c>
      <c r="Y117" s="99"/>
    </row>
    <row r="118" spans="2:25" s="68" customFormat="1" ht="16.5" thickBot="1" x14ac:dyDescent="0.3">
      <c r="B118" s="16" t="str">
        <f>CMS!A82</f>
        <v>Misc Expense</v>
      </c>
      <c r="C118" s="104">
        <f>SUM(CMS!C82+Fundraising!C82+HSSP!C82+'WH - SOP'!C82+'WH - PAD'!C82+'WH - HUSLY'!C82+'WH - TL'!C82+'WH - PERM'!C82+'WH-VOC'!C82+QYP!C82+'BH Team'!C113+'Teen Court'!C82+'SK - HUSLY'!C82+'SK - TL'!C82+'SK - PERM'!C82+'SK - VOC'!C82+'22 North'!C82)</f>
        <v>2938.4166666666665</v>
      </c>
      <c r="D118" s="104">
        <f>SUM(CMS!D82+Fundraising!D82+HSSP!D82+'WH - SOP'!D82+'WH - PAD'!D82+'WH - HUSLY'!D82+'WH - TL'!D82+'WH - PERM'!D82+'WH-VOC'!D82+QYP!D82+'BH Team'!D113+'Teen Court'!D82+'SK - HUSLY'!D82+'SK - TL'!D82+'SK - PERM'!D82+'SK - VOC'!D82+'22 North'!D82)</f>
        <v>138.41666666666666</v>
      </c>
      <c r="E118" s="104">
        <f>SUM(CMS!E82+Fundraising!E82+HSSP!E82+'WH - SOP'!E82+'WH - PAD'!E82+'WH - HUSLY'!E82+'WH - TL'!E82+'WH - PERM'!E82+'WH-VOC'!E82+QYP!E82+'BH Team'!E113+'Teen Court'!E82+'SK - HUSLY'!E82+'SK - TL'!E82+'SK - PERM'!E82+'SK - VOC'!E82+'22 North'!E82)</f>
        <v>2938.4166666666665</v>
      </c>
      <c r="F118" s="104">
        <f>SUM(CMS!F82+Fundraising!F82+HSSP!F82+'WH - SOP'!F82+'WH - PAD'!F82+'WH - HUSLY'!F82+'WH - TL'!F82+'WH - PERM'!F82+'WH-VOC'!F82+QYP!F82+'BH Team'!F113+'Teen Court'!F82+'SK - HUSLY'!F82+'SK - TL'!F82+'SK - PERM'!F82+'SK - VOC'!F82+'22 North'!F82)</f>
        <v>138.41666666666666</v>
      </c>
      <c r="G118" s="104">
        <f>SUM(CMS!G82+Fundraising!G82+HSSP!G82+'WH - SOP'!G82+'WH - PAD'!G82+'WH - HUSLY'!G82+'WH - TL'!G82+'WH - PERM'!G82+'WH-VOC'!G82+QYP!G82+'BH Team'!G113+'Teen Court'!G82+'SK - HUSLY'!G82+'SK - TL'!G82+'SK - PERM'!G82+'SK - VOC'!G82+'22 North'!G82)</f>
        <v>138.41666666666666</v>
      </c>
      <c r="H118" s="104">
        <f>SUM(CMS!H82+Fundraising!H82+HSSP!H82+'WH - SOP'!H82+'WH - PAD'!H82+'WH - HUSLY'!H82+'WH - TL'!H82+'WH - PERM'!H82+'WH-VOC'!H82+QYP!H82+'BH Team'!H113+'Teen Court'!H82+'SK - HUSLY'!H82+'SK - TL'!H82+'SK - PERM'!H82+'SK - VOC'!H82+'22 North'!H82)</f>
        <v>638.41666666666663</v>
      </c>
      <c r="I118" s="104">
        <f>SUM(CMS!I82+Fundraising!I82+HSSP!I82+'WH - SOP'!I82+'WH - PAD'!I82+'WH - HUSLY'!I82+'WH - TL'!I82+'WH - PERM'!I82+'WH-VOC'!I82+QYP!I82+'BH Team'!I113+'Teen Court'!I82+'SK - HUSLY'!I82+'SK - TL'!I82+'SK - PERM'!I82+'SK - VOC'!I82+'22 North'!I82)</f>
        <v>638.41666666666663</v>
      </c>
      <c r="J118" s="104">
        <f>SUM(CMS!J82+Fundraising!J82+HSSP!J82+'WH - SOP'!J82+'WH - PAD'!J82+'WH - HUSLY'!J82+'WH - TL'!J82+'WH - PERM'!J82+'WH-VOC'!J82+QYP!J82+'BH Team'!J113+'Teen Court'!J82+'SK - HUSLY'!J82+'SK - TL'!J82+'SK - PERM'!J82+'SK - VOC'!J82+'22 North'!J82)</f>
        <v>2438.4166666666665</v>
      </c>
      <c r="K118" s="104">
        <f>SUM(CMS!K82+Fundraising!K82+HSSP!K82+'WH - SOP'!K82+'WH - PAD'!K82+'WH - HUSLY'!K82+'WH - TL'!K82+'WH - PERM'!K82+'WH-VOC'!K82+QYP!K82+'BH Team'!K113+'Teen Court'!K82+'SK - HUSLY'!K82+'SK - TL'!K82+'SK - PERM'!K82+'SK - VOC'!K82+'22 North'!K82)</f>
        <v>238.41666666666666</v>
      </c>
      <c r="L118" s="104">
        <f>SUM(CMS!L82+Fundraising!L82+HSSP!L82+'WH - SOP'!L82+'WH - PAD'!L82+'WH - HUSLY'!L82+'WH - TL'!L82+'WH - PERM'!L82+'WH-VOC'!L82+QYP!L82+'BH Team'!L113+'Teen Court'!L82+'SK - HUSLY'!L82+'SK - TL'!L82+'SK - PERM'!L82+'SK - VOC'!L82+'22 North'!L82)</f>
        <v>138.41666666666666</v>
      </c>
      <c r="M118" s="104">
        <f>SUM(CMS!M82+Fundraising!M82+HSSP!M82+'WH - SOP'!M82+'WH - PAD'!M82+'WH - HUSLY'!M82+'WH - TL'!M82+'WH - PERM'!M82+'WH-VOC'!M82+QYP!M82+'BH Team'!M113+'Teen Court'!M82+'SK - HUSLY'!M82+'SK - TL'!M82+'SK - PERM'!M82+'SK - VOC'!M82+'22 North'!M82)</f>
        <v>138.41666666666666</v>
      </c>
      <c r="N118" s="104">
        <f>SUM(CMS!N82+Fundraising!N82+HSSP!N82+'WH - SOP'!N82+'WH - PAD'!N82+'WH - HUSLY'!N82+'WH - TL'!N82+'WH - PERM'!N82+'WH-VOC'!N82+QYP!N82+'BH Team'!N113+'Teen Court'!N82+'SK - HUSLY'!N82+'SK - TL'!N82+'SK - PERM'!N82+'SK - VOC'!N82+'22 North'!N82)</f>
        <v>138.41666666666666</v>
      </c>
      <c r="O118" s="135">
        <f t="shared" si="9"/>
        <v>10660.999999999998</v>
      </c>
      <c r="P118" s="386">
        <v>0</v>
      </c>
      <c r="Q118" s="385">
        <f t="shared" si="10"/>
        <v>10660.999999999998</v>
      </c>
      <c r="R118" s="139"/>
      <c r="Y118" s="99"/>
    </row>
    <row r="119" spans="2:25" x14ac:dyDescent="0.25">
      <c r="B119" s="21" t="s">
        <v>24</v>
      </c>
      <c r="C119" s="18">
        <f>SUM(C90:C118)</f>
        <v>282247.43407926086</v>
      </c>
      <c r="D119" s="18">
        <f t="shared" ref="D119:N119" si="11">SUM(D90:D118)</f>
        <v>270316.57803157764</v>
      </c>
      <c r="E119" s="18">
        <f t="shared" si="11"/>
        <v>294493.0932609872</v>
      </c>
      <c r="F119" s="18">
        <f t="shared" si="11"/>
        <v>273692.79627703025</v>
      </c>
      <c r="G119" s="18">
        <f t="shared" si="11"/>
        <v>279371.42451348517</v>
      </c>
      <c r="H119" s="18">
        <f t="shared" si="11"/>
        <v>284110.88070695451</v>
      </c>
      <c r="I119" s="18">
        <f t="shared" si="11"/>
        <v>293081.95690470305</v>
      </c>
      <c r="J119" s="18">
        <f t="shared" si="11"/>
        <v>290713.10736649332</v>
      </c>
      <c r="K119" s="18">
        <f t="shared" si="11"/>
        <v>299766.23167897749</v>
      </c>
      <c r="L119" s="18">
        <f t="shared" si="11"/>
        <v>297698.72586035053</v>
      </c>
      <c r="M119" s="18">
        <f t="shared" si="11"/>
        <v>315173.07332167227</v>
      </c>
      <c r="N119" s="18">
        <f t="shared" si="11"/>
        <v>292456.12166669825</v>
      </c>
      <c r="O119" s="134">
        <f>SUM(O90:O118)</f>
        <v>3473121.4236681899</v>
      </c>
      <c r="P119" s="384">
        <v>2409900.0738930637</v>
      </c>
      <c r="Q119" s="384">
        <f>SUM(Q90:Q118)</f>
        <v>1063221.3497751267</v>
      </c>
      <c r="R119" s="68"/>
      <c r="S119" s="68"/>
      <c r="T119" s="68"/>
      <c r="U119" s="68"/>
      <c r="V119" s="68"/>
      <c r="W119" s="68"/>
      <c r="X119" s="68"/>
      <c r="Y119" s="68"/>
    </row>
    <row r="120" spans="2:25" x14ac:dyDescent="0.25">
      <c r="B120" s="68"/>
      <c r="C120" s="99"/>
      <c r="D120" s="99"/>
      <c r="E120" s="99"/>
      <c r="F120" s="99"/>
      <c r="G120" s="99"/>
      <c r="H120" s="99"/>
      <c r="I120" s="99"/>
      <c r="J120" s="99"/>
      <c r="K120" s="99"/>
      <c r="L120" s="99"/>
      <c r="M120" s="68"/>
      <c r="N120" s="150"/>
      <c r="O120" s="99">
        <f>SUM('Summary - All Cost Ctrs'!B179:B180)</f>
        <v>-3473121.4236681904</v>
      </c>
      <c r="P120" s="112">
        <v>-2409900.0738930637</v>
      </c>
      <c r="Q120" s="112">
        <f>SUM(O120-P120)</f>
        <v>-1063221.3497751267</v>
      </c>
      <c r="R120" s="68"/>
      <c r="S120" s="68"/>
      <c r="T120" s="68"/>
      <c r="U120" s="68"/>
      <c r="V120" s="68"/>
      <c r="W120" s="68"/>
      <c r="X120" s="68"/>
      <c r="Y120" s="68"/>
    </row>
    <row r="121" spans="2:25" ht="16.5" thickBot="1" x14ac:dyDescent="0.3">
      <c r="B121" s="22" t="s">
        <v>25</v>
      </c>
      <c r="C121" s="99"/>
      <c r="D121" s="99"/>
      <c r="E121" s="99"/>
      <c r="F121" s="99"/>
      <c r="G121" s="99"/>
      <c r="H121" s="99"/>
      <c r="I121" s="99"/>
      <c r="J121" s="99"/>
      <c r="K121" s="99"/>
      <c r="L121" s="99"/>
      <c r="M121" s="99"/>
      <c r="N121" s="99"/>
      <c r="O121" s="99"/>
      <c r="R121" s="68"/>
      <c r="S121" s="68"/>
      <c r="T121" s="68"/>
      <c r="U121" s="68"/>
      <c r="V121" s="68"/>
      <c r="W121" s="68"/>
      <c r="X121" s="68"/>
      <c r="Y121" s="68"/>
    </row>
    <row r="122" spans="2:25" ht="17.25" thickTop="1" thickBot="1" x14ac:dyDescent="0.3">
      <c r="B122" s="16" t="s">
        <v>580</v>
      </c>
      <c r="C122" s="104">
        <f>SUM(CMS!C90+Fundraising!C90+HSSP!C90+'WH - SOP'!C90+'WH - PAD'!C90+'WH - HUSLY'!C90+'WH - TL'!C90+'WH - PERM'!C90+'WH-VOC'!C90+QYP!C90+'BH Team'!C121+'Teen Court'!C90+'SK - HUSLY'!C90+'SK - TL'!C90+'SK - PERM'!C90+'SK - VOC'!C90+'22 North'!C90)-907+48+1</f>
        <v>-0.24532549034699969</v>
      </c>
      <c r="D122" s="104">
        <f>SUM(CMS!D90+Fundraising!D90+HSSP!D90+'WH - SOP'!D90+'WH - PAD'!D90+'WH - HUSLY'!D90+'WH - TL'!D90+'WH - PERM'!D90+'WH-VOC'!D90+QYP!D90+'BH Team'!D121+'Teen Court'!D90+'SK - HUSLY'!D90+'SK - TL'!D90+'SK - PERM'!D90+'SK - VOC'!D90+'22 North'!D90)-618+54</f>
        <v>-0.1693400450513991</v>
      </c>
      <c r="E122" s="104">
        <f>SUM(CMS!E90+Fundraising!E90+HSSP!E90+'WH - SOP'!E90+'WH - PAD'!E90+'WH - HUSLY'!E90+'WH - TL'!E90+'WH - PERM'!E90+'WH-VOC'!E90+QYP!E90+'BH Team'!E121+'Teen Court'!E90+'SK - HUSLY'!E90+'SK - TL'!E90+'SK - PERM'!E90+'SK - VOC'!E90+'22 North'!E90)-592+63-2</f>
        <v>-0.30510941790453217</v>
      </c>
      <c r="F122" s="104">
        <f>SUM(CMS!F90+Fundraising!F90+HSSP!F90+'WH - SOP'!F90+'WH - PAD'!F90+'WH - HUSLY'!F90+'WH - TL'!F90+'WH - PERM'!F90+'WH-VOC'!F90+QYP!F90+'BH Team'!F121+'Teen Court'!F90+'SK - HUSLY'!F90+'SK - TL'!F90+'SK - PERM'!F90+'SK - VOC'!F90+'22 North'!F90)-718+53-1</f>
        <v>-0.12079192381611392</v>
      </c>
      <c r="G122" s="104">
        <f>SUM(CMS!G90+Fundraising!G90+HSSP!G90+'WH - SOP'!G90+'WH - PAD'!G90+'WH - HUSLY'!G90+'WH - TL'!G90+'WH - PERM'!G90+'WH-VOC'!G90+QYP!G90+'BH Team'!G121+'Teen Court'!G90+'SK - HUSLY'!G90+'SK - TL'!G90+'SK - PERM'!G90+'SK - VOC'!G90+'22 North'!G90)-611+472+8</f>
        <v>-0.22268270515985478</v>
      </c>
      <c r="H122" s="104">
        <f>SUM(CMS!H90+Fundraising!H90+HSSP!H90+'WH - SOP'!H90+'WH - PAD'!H90+'WH - HUSLY'!H90+'WH - TL'!H90+'WH - PERM'!H90+'WH-VOC'!H90+QYP!H90+'BH Team'!H121+'Teen Court'!H90+'SK - HUSLY'!H90+'SK - TL'!H90+'SK - PERM'!H90+'SK - VOC'!H90+'22 North'!H90)-657+578+4</f>
        <v>0.40703715798508711</v>
      </c>
      <c r="I122" s="104">
        <f>SUM(CMS!I90+Fundraising!I90+HSSP!I90+'WH - SOP'!I90+'WH - PAD'!I90+'WH - HUSLY'!I90+'WH - TL'!I90+'WH - PERM'!I90+'WH-VOC'!I90+QYP!I90+'BH Team'!I121+'Teen Court'!I90+'SK - HUSLY'!I90+'SK - TL'!I90+'SK - PERM'!I90+'SK - VOC'!I90+'22 North'!I90)-869+126+8</f>
        <v>0.28306271624580859</v>
      </c>
      <c r="J122" s="104">
        <f>SUM(CMS!J90+Fundraising!J90+HSSP!J90+'WH - SOP'!J90+'WH - PAD'!J90+'WH - HUSLY'!J90+'WH - TL'!J90+'WH - PERM'!J90+'WH-VOC'!J90+QYP!J90+'BH Team'!J121+'Teen Court'!J90+'SK - HUSLY'!J90+'SK - TL'!J90+'SK - PERM'!J90+'SK - VOC'!J90+'22 North'!J90)-892+499+2</f>
        <v>-0.49088187903316793</v>
      </c>
      <c r="K122" s="104">
        <f>SUM(CMS!K90+Fundraising!K90+HSSP!K90+'WH - SOP'!K90+'WH - PAD'!K90+'WH - HUSLY'!K90+'WH - TL'!K90+'WH - PERM'!K90+'WH-VOC'!K90+QYP!K90+'BH Team'!K121+'Teen Court'!K90+'SK - HUSLY'!K90+'SK - TL'!K90+'SK - PERM'!K90+'SK - VOC'!K90+'22 North'!K90)-775+518+3</f>
        <v>0.36963662025164012</v>
      </c>
      <c r="L122" s="104">
        <f>SUM(CMS!L90+Fundraising!L90+HSSP!L90+'WH - SOP'!L90+'WH - PAD'!L90+'WH - HUSLY'!L90+'WH - TL'!L90+'WH - PERM'!L90+'WH-VOC'!L90+QYP!L90+'BH Team'!L121+'Teen Court'!L90+'SK - HUSLY'!L90+'SK - TL'!L90+'SK - PERM'!L90+'SK - VOC'!L90+'22 North'!L90)-784+455+4</f>
        <v>0.28081116822022523</v>
      </c>
      <c r="M122" s="104">
        <f>SUM(CMS!M90+Fundraising!M90+HSSP!M90+'WH - SOP'!M90+'WH - PAD'!M90+'WH - HUSLY'!M90+'WH - TL'!M90+'WH - PERM'!M90+'WH-VOC'!M90+QYP!M90+'BH Team'!M121+'Teen Court'!M90+'SK - HUSLY'!M90+'SK - TL'!M90+'SK - PERM'!M90+'SK - VOC'!M90+'22 North'!M90)-860-469+19</f>
        <v>0.29048476729781214</v>
      </c>
      <c r="N122" s="104">
        <f>SUM(CMS!N90+Fundraising!N90+HSSP!N90+'WH - SOP'!N90+'WH - PAD'!N90+'WH - HUSLY'!N90+'WH - TL'!N90+'WH - PERM'!N90+'WH-VOC'!N90+QYP!N90+'BH Team'!N121+'Teen Court'!N90+'SK - HUSLY'!N90+'SK - TL'!N90+'SK - PERM'!N90+'SK - VOC'!N90+'22 North'!N90)-883-2334+51-1</f>
        <v>5.1167885849281447E-3</v>
      </c>
      <c r="O122" s="135">
        <f>SUM(C122:N122)</f>
        <v>8.2017757273433745E-2</v>
      </c>
      <c r="P122" s="458">
        <v>0</v>
      </c>
      <c r="Q122" s="385">
        <f t="shared" ref="Q122" si="12">SUM(O122-P122)</f>
        <v>8.2017757273433745E-2</v>
      </c>
    </row>
    <row r="123" spans="2:25" x14ac:dyDescent="0.25">
      <c r="B123" s="21" t="s">
        <v>26</v>
      </c>
      <c r="C123" s="18">
        <f t="shared" ref="C123:N123" si="13">SUM(C122:C122)</f>
        <v>-0.24532549034699969</v>
      </c>
      <c r="D123" s="132">
        <f t="shared" si="13"/>
        <v>-0.1693400450513991</v>
      </c>
      <c r="E123" s="133">
        <f t="shared" si="13"/>
        <v>-0.30510941790453217</v>
      </c>
      <c r="F123" s="18">
        <f t="shared" si="13"/>
        <v>-0.12079192381611392</v>
      </c>
      <c r="G123" s="18">
        <f t="shared" si="13"/>
        <v>-0.22268270515985478</v>
      </c>
      <c r="H123" s="18">
        <f t="shared" si="13"/>
        <v>0.40703715798508711</v>
      </c>
      <c r="I123" s="18">
        <f t="shared" si="13"/>
        <v>0.28306271624580859</v>
      </c>
      <c r="J123" s="18">
        <f t="shared" si="13"/>
        <v>-0.49088187903316793</v>
      </c>
      <c r="K123" s="18">
        <f t="shared" si="13"/>
        <v>0.36963662025164012</v>
      </c>
      <c r="L123" s="18">
        <f t="shared" si="13"/>
        <v>0.28081116822022523</v>
      </c>
      <c r="M123" s="18">
        <f t="shared" si="13"/>
        <v>0.29048476729781214</v>
      </c>
      <c r="N123" s="18">
        <f t="shared" si="13"/>
        <v>5.1167885849281447E-3</v>
      </c>
      <c r="O123" s="134">
        <f>SUM(O122:O122)</f>
        <v>8.2017757273433745E-2</v>
      </c>
      <c r="P123" s="384">
        <v>-5.2295945351943374E-12</v>
      </c>
      <c r="Q123" s="384">
        <f>SUM(Q122:Q122)</f>
        <v>8.2017757273433745E-2</v>
      </c>
    </row>
    <row r="124" spans="2:25" x14ac:dyDescent="0.25">
      <c r="B124" s="68"/>
      <c r="C124" s="99"/>
      <c r="D124" s="99"/>
      <c r="E124" s="99"/>
      <c r="F124" s="99"/>
      <c r="G124" s="99"/>
      <c r="H124" s="99"/>
      <c r="I124" s="99"/>
      <c r="J124" s="99"/>
      <c r="K124" s="99"/>
      <c r="L124" s="99"/>
      <c r="M124" s="68"/>
      <c r="O124" s="99"/>
    </row>
    <row r="125" spans="2:25" ht="16.5" thickBot="1" x14ac:dyDescent="0.3">
      <c r="B125" s="68"/>
      <c r="C125" s="99"/>
      <c r="D125" s="99"/>
      <c r="E125" s="99"/>
      <c r="F125" s="99"/>
      <c r="G125" s="99"/>
      <c r="H125" s="99"/>
      <c r="I125" s="99"/>
      <c r="J125" s="99"/>
      <c r="K125" s="99"/>
      <c r="L125" s="99"/>
      <c r="M125" s="99"/>
      <c r="N125" s="99"/>
      <c r="O125" s="99"/>
    </row>
    <row r="126" spans="2:25" ht="16.5" thickBot="1" x14ac:dyDescent="0.3">
      <c r="B126" s="23" t="s">
        <v>27</v>
      </c>
      <c r="C126" s="24">
        <f t="shared" ref="C126:Q126" si="14">SUM(C87-C119-C123)</f>
        <v>50036.068427815779</v>
      </c>
      <c r="D126" s="24">
        <f t="shared" si="14"/>
        <v>-13681.534843279509</v>
      </c>
      <c r="E126" s="24">
        <f t="shared" si="14"/>
        <v>-46002.247636649561</v>
      </c>
      <c r="F126" s="24">
        <f t="shared" si="14"/>
        <v>-30401.249271711793</v>
      </c>
      <c r="G126" s="24">
        <f t="shared" si="14"/>
        <v>-608.81264871619726</v>
      </c>
      <c r="H126" s="24">
        <f t="shared" si="14"/>
        <v>-6986.281587534364</v>
      </c>
      <c r="I126" s="24">
        <f t="shared" si="14"/>
        <v>-5308.6881408487079</v>
      </c>
      <c r="J126" s="24">
        <f t="shared" si="14"/>
        <v>-36712.550379397631</v>
      </c>
      <c r="K126" s="24">
        <f t="shared" si="14"/>
        <v>-31751.208161789142</v>
      </c>
      <c r="L126" s="24">
        <f t="shared" si="14"/>
        <v>-21986.61351771015</v>
      </c>
      <c r="M126" s="24">
        <f t="shared" si="14"/>
        <v>40206.029347369033</v>
      </c>
      <c r="N126" s="24">
        <f t="shared" si="14"/>
        <v>166112.26637032171</v>
      </c>
      <c r="O126" s="136">
        <f t="shared" si="14"/>
        <v>62915.177957870255</v>
      </c>
      <c r="P126" s="387">
        <v>51446.129084191292</v>
      </c>
      <c r="Q126" s="387">
        <f t="shared" si="14"/>
        <v>-88530.951126321495</v>
      </c>
    </row>
    <row r="127" spans="2:25" ht="16.5" thickTop="1" x14ac:dyDescent="0.25">
      <c r="B127" s="68"/>
      <c r="C127" s="68"/>
      <c r="D127" s="68"/>
      <c r="E127" s="68"/>
      <c r="F127" s="68"/>
      <c r="G127" s="55"/>
      <c r="H127" s="55"/>
      <c r="I127" s="141"/>
      <c r="J127" s="99"/>
      <c r="K127" s="68"/>
      <c r="L127" s="68"/>
      <c r="M127" s="68"/>
      <c r="O127" s="99">
        <f>SUM(O87-O119-O123)</f>
        <v>62915.177957870255</v>
      </c>
      <c r="P127" s="112">
        <v>51446.129084191292</v>
      </c>
    </row>
    <row r="128" spans="2:25" s="68" customFormat="1" x14ac:dyDescent="0.25">
      <c r="C128" s="99"/>
      <c r="F128" s="112"/>
      <c r="J128" s="99"/>
      <c r="M128" s="513" t="s">
        <v>707</v>
      </c>
      <c r="N128" s="514"/>
      <c r="O128" s="515">
        <v>62915</v>
      </c>
      <c r="P128" s="112"/>
      <c r="Q128" s="112"/>
    </row>
    <row r="129" spans="2:17" s="68" customFormat="1" x14ac:dyDescent="0.25">
      <c r="F129" s="112"/>
      <c r="G129" s="234"/>
      <c r="H129" s="234"/>
      <c r="I129" s="235"/>
      <c r="J129" s="99"/>
      <c r="O129" s="99"/>
      <c r="P129" s="112"/>
      <c r="Q129" s="112"/>
    </row>
    <row r="130" spans="2:17" s="68" customFormat="1" x14ac:dyDescent="0.25">
      <c r="F130" s="112"/>
      <c r="G130" s="234"/>
      <c r="H130" s="234"/>
      <c r="I130" s="234"/>
      <c r="J130" s="99"/>
      <c r="P130" s="112"/>
      <c r="Q130" s="112"/>
    </row>
    <row r="131" spans="2:17" s="68" customFormat="1" x14ac:dyDescent="0.25">
      <c r="B131" s="55" t="s">
        <v>594</v>
      </c>
      <c r="F131" s="112"/>
      <c r="G131" s="234"/>
      <c r="H131" s="234"/>
      <c r="I131" s="236"/>
      <c r="J131" s="99"/>
      <c r="P131" s="112"/>
      <c r="Q131" s="112"/>
    </row>
    <row r="132" spans="2:17" s="68" customFormat="1" x14ac:dyDescent="0.25">
      <c r="C132" s="472" t="str">
        <f>C6</f>
        <v>January</v>
      </c>
      <c r="D132" s="472" t="str">
        <f t="shared" ref="D132:N132" si="15">D6</f>
        <v>February</v>
      </c>
      <c r="E132" s="472" t="str">
        <f t="shared" si="15"/>
        <v>March</v>
      </c>
      <c r="F132" s="472" t="str">
        <f t="shared" si="15"/>
        <v>April</v>
      </c>
      <c r="G132" s="472" t="str">
        <f t="shared" si="15"/>
        <v>May</v>
      </c>
      <c r="H132" s="472" t="str">
        <f t="shared" si="15"/>
        <v>June</v>
      </c>
      <c r="I132" s="472" t="str">
        <f t="shared" si="15"/>
        <v>July</v>
      </c>
      <c r="J132" s="472" t="str">
        <f t="shared" si="15"/>
        <v>August</v>
      </c>
      <c r="K132" s="472" t="str">
        <f t="shared" si="15"/>
        <v>September</v>
      </c>
      <c r="L132" s="472" t="str">
        <f t="shared" si="15"/>
        <v>October</v>
      </c>
      <c r="M132" s="472" t="str">
        <f>M6</f>
        <v>November</v>
      </c>
      <c r="N132" s="472" t="str">
        <f t="shared" si="15"/>
        <v>December</v>
      </c>
      <c r="P132" s="112"/>
      <c r="Q132" s="112"/>
    </row>
    <row r="133" spans="2:17" s="68" customFormat="1" x14ac:dyDescent="0.25">
      <c r="B133" s="68" t="s">
        <v>595</v>
      </c>
      <c r="C133" s="112">
        <v>60000</v>
      </c>
      <c r="D133" s="112">
        <f>SUM(C141)</f>
        <v>210455.59870798473</v>
      </c>
      <c r="E133" s="112">
        <f t="shared" ref="E133:N133" si="16">SUM(D141)</f>
        <v>196647.89452466011</v>
      </c>
      <c r="F133" s="112">
        <f t="shared" si="16"/>
        <v>150532.34177859264</v>
      </c>
      <c r="G133" s="112">
        <f t="shared" si="16"/>
        <v>120004.97171495701</v>
      </c>
      <c r="H133" s="112">
        <f t="shared" si="16"/>
        <v>114115.26971686901</v>
      </c>
      <c r="I133" s="112">
        <f t="shared" si="16"/>
        <v>104121.72849982594</v>
      </c>
      <c r="J133" s="112">
        <f t="shared" si="16"/>
        <v>74891.434532804589</v>
      </c>
      <c r="K133" s="112">
        <f t="shared" si="16"/>
        <v>19429.504382639032</v>
      </c>
      <c r="L133" s="112">
        <f t="shared" si="16"/>
        <v>-34263.223031418805</v>
      </c>
      <c r="M133" s="112">
        <f t="shared" si="16"/>
        <v>-72938.44462684961</v>
      </c>
      <c r="N133" s="112">
        <f t="shared" si="16"/>
        <v>-34421.013683602141</v>
      </c>
      <c r="P133" s="112"/>
      <c r="Q133" s="112"/>
    </row>
    <row r="134" spans="2:17" s="68" customFormat="1" x14ac:dyDescent="0.25">
      <c r="B134" s="68" t="s">
        <v>596</v>
      </c>
      <c r="C134" s="483">
        <f>SUM(C90:C91)*-1/2</f>
        <v>-90511.775605659248</v>
      </c>
      <c r="D134" s="112">
        <f t="shared" ref="D134:N134" si="17">SUM(D90:D91)*-1</f>
        <v>-181117.53802017408</v>
      </c>
      <c r="E134" s="112">
        <f t="shared" si="17"/>
        <v>-181065.25717637813</v>
      </c>
      <c r="F134" s="112">
        <f t="shared" si="17"/>
        <v>-180743.663921133</v>
      </c>
      <c r="G134" s="112">
        <f t="shared" si="17"/>
        <v>-182853.05726917268</v>
      </c>
      <c r="H134" s="112">
        <f t="shared" si="17"/>
        <v>-184345.44546565355</v>
      </c>
      <c r="I134" s="112">
        <f t="shared" si="17"/>
        <v>-187262.44485663302</v>
      </c>
      <c r="J134" s="112">
        <f t="shared" si="17"/>
        <v>-187176.24921727259</v>
      </c>
      <c r="K134" s="112">
        <f t="shared" si="17"/>
        <v>-189849.30859863298</v>
      </c>
      <c r="L134" s="112">
        <f t="shared" si="17"/>
        <v>-189840.46944667268</v>
      </c>
      <c r="M134" s="112">
        <f t="shared" si="17"/>
        <v>-189591.56166819463</v>
      </c>
      <c r="N134" s="112">
        <f t="shared" si="17"/>
        <v>-189676.99731667267</v>
      </c>
      <c r="P134" s="112"/>
      <c r="Q134" s="112"/>
    </row>
    <row r="135" spans="2:17" s="68" customFormat="1" x14ac:dyDescent="0.25">
      <c r="B135" s="68" t="s">
        <v>597</v>
      </c>
      <c r="C135" s="112">
        <f>SUM(C92:C118)*-1</f>
        <v>-101223.88286794239</v>
      </c>
      <c r="D135" s="112">
        <f t="shared" ref="D135:N135" si="18">SUM(D92:D118)*-1</f>
        <v>-89199.040011403573</v>
      </c>
      <c r="E135" s="112">
        <f t="shared" si="18"/>
        <v>-113427.83608460904</v>
      </c>
      <c r="F135" s="112">
        <f t="shared" si="18"/>
        <v>-92949.132355897251</v>
      </c>
      <c r="G135" s="112">
        <f t="shared" si="18"/>
        <v>-96518.367244312452</v>
      </c>
      <c r="H135" s="112">
        <f t="shared" si="18"/>
        <v>-99765.435241300962</v>
      </c>
      <c r="I135" s="112">
        <f t="shared" si="18"/>
        <v>-105819.51204807006</v>
      </c>
      <c r="J135" s="112">
        <f t="shared" si="18"/>
        <v>-103536.85814922073</v>
      </c>
      <c r="K135" s="112">
        <f t="shared" si="18"/>
        <v>-109916.92308034454</v>
      </c>
      <c r="L135" s="112">
        <f t="shared" si="18"/>
        <v>-107858.25641367787</v>
      </c>
      <c r="M135" s="112">
        <f t="shared" si="18"/>
        <v>-125581.51165347766</v>
      </c>
      <c r="N135" s="112">
        <f t="shared" si="18"/>
        <v>-102779.12435002561</v>
      </c>
      <c r="P135" s="112"/>
      <c r="Q135" s="112"/>
    </row>
    <row r="136" spans="2:17" s="68" customFormat="1" x14ac:dyDescent="0.25">
      <c r="B136" s="68" t="s">
        <v>598</v>
      </c>
      <c r="C136" s="112">
        <f>SUM(C8:C32)</f>
        <v>207204.92384825303</v>
      </c>
      <c r="D136" s="112">
        <f t="shared" ref="D136:N136" si="19">SUM(D8:D32)</f>
        <v>204437.5405149197</v>
      </c>
      <c r="E136" s="112">
        <f t="shared" si="19"/>
        <v>209899.5405149197</v>
      </c>
      <c r="F136" s="112">
        <f t="shared" si="19"/>
        <v>206185.42621339462</v>
      </c>
      <c r="G136" s="112">
        <f t="shared" si="19"/>
        <v>206216.38918206381</v>
      </c>
      <c r="H136" s="112">
        <f t="shared" si="19"/>
        <v>206102.00615657814</v>
      </c>
      <c r="I136" s="112">
        <f t="shared" si="19"/>
        <v>197336.32960434837</v>
      </c>
      <c r="J136" s="112">
        <f t="shared" si="19"/>
        <v>197235.84388299444</v>
      </c>
      <c r="K136" s="112">
        <f t="shared" si="19"/>
        <v>204224.83759825307</v>
      </c>
      <c r="L136" s="112">
        <f t="shared" si="19"/>
        <v>207224.83759825307</v>
      </c>
      <c r="M136" s="112">
        <f t="shared" si="19"/>
        <v>204224.83759825307</v>
      </c>
      <c r="N136" s="112">
        <f t="shared" si="19"/>
        <v>204220.83759825307</v>
      </c>
      <c r="P136" s="112"/>
      <c r="Q136" s="112"/>
    </row>
    <row r="137" spans="2:17" s="68" customFormat="1" x14ac:dyDescent="0.25">
      <c r="B137" s="68" t="s">
        <v>601</v>
      </c>
      <c r="C137" s="112">
        <f>SUM(C36:C77)</f>
        <v>75722.333333333328</v>
      </c>
      <c r="D137" s="112">
        <f t="shared" ref="D137:N137" si="20">SUM(D36:D77)</f>
        <v>24478.333333333332</v>
      </c>
      <c r="E137" s="112">
        <f t="shared" si="20"/>
        <v>10135</v>
      </c>
      <c r="F137" s="112">
        <f t="shared" si="20"/>
        <v>9387</v>
      </c>
      <c r="G137" s="112">
        <f t="shared" si="20"/>
        <v>38514</v>
      </c>
      <c r="H137" s="112">
        <f t="shared" si="20"/>
        <v>39264.000000000007</v>
      </c>
      <c r="I137" s="112">
        <f t="shared" si="20"/>
        <v>37764.000000000007</v>
      </c>
      <c r="J137" s="112">
        <f t="shared" si="20"/>
        <v>9264</v>
      </c>
      <c r="K137" s="112">
        <f t="shared" si="20"/>
        <v>11597.333333333332</v>
      </c>
      <c r="L137" s="112">
        <f t="shared" si="20"/>
        <v>7597.333333333333</v>
      </c>
      <c r="M137" s="112">
        <f t="shared" si="20"/>
        <v>7597.333333333333</v>
      </c>
      <c r="N137" s="112">
        <f t="shared" si="20"/>
        <v>173597.33333333334</v>
      </c>
      <c r="P137" s="112"/>
      <c r="Q137" s="112"/>
    </row>
    <row r="138" spans="2:17" s="68" customFormat="1" x14ac:dyDescent="0.25">
      <c r="B138" s="68" t="s">
        <v>703</v>
      </c>
      <c r="C138" s="112"/>
      <c r="D138" s="112"/>
      <c r="E138" s="112"/>
      <c r="F138" s="112"/>
      <c r="G138" s="112"/>
      <c r="H138" s="112"/>
      <c r="I138" s="112"/>
      <c r="J138" s="112"/>
      <c r="K138" s="112"/>
      <c r="L138" s="112"/>
      <c r="M138" s="112"/>
      <c r="N138" s="112"/>
      <c r="P138" s="112"/>
      <c r="Q138" s="112"/>
    </row>
    <row r="139" spans="2:17" s="68" customFormat="1" x14ac:dyDescent="0.25">
      <c r="B139" s="68" t="s">
        <v>648</v>
      </c>
      <c r="C139" s="112">
        <v>10000</v>
      </c>
      <c r="D139" s="112"/>
      <c r="E139" s="112"/>
      <c r="F139" s="112"/>
      <c r="G139" s="112"/>
      <c r="H139" s="112"/>
      <c r="I139" s="112"/>
      <c r="J139" s="112"/>
      <c r="K139" s="112"/>
      <c r="L139" s="112">
        <v>10000</v>
      </c>
      <c r="M139" s="112">
        <v>25000</v>
      </c>
      <c r="N139" s="112"/>
      <c r="P139" s="112"/>
      <c r="Q139" s="112"/>
    </row>
    <row r="140" spans="2:17" s="68" customFormat="1" x14ac:dyDescent="0.25">
      <c r="B140" s="68" t="s">
        <v>599</v>
      </c>
      <c r="C140" s="112">
        <f>SUM(C79:C86)</f>
        <v>49264</v>
      </c>
      <c r="D140" s="112">
        <f t="shared" ref="D140:N140" si="21">SUM(D79:D86)</f>
        <v>27593</v>
      </c>
      <c r="E140" s="112">
        <f t="shared" si="21"/>
        <v>28343</v>
      </c>
      <c r="F140" s="112">
        <f t="shared" si="21"/>
        <v>27593</v>
      </c>
      <c r="G140" s="112">
        <f t="shared" si="21"/>
        <v>28751.333333333328</v>
      </c>
      <c r="H140" s="112">
        <f t="shared" si="21"/>
        <v>28751.333333333328</v>
      </c>
      <c r="I140" s="112">
        <f t="shared" si="21"/>
        <v>28751.333333333328</v>
      </c>
      <c r="J140" s="112">
        <f t="shared" si="21"/>
        <v>28751.333333333328</v>
      </c>
      <c r="K140" s="112">
        <f t="shared" si="21"/>
        <v>30251.333333333328</v>
      </c>
      <c r="L140" s="112">
        <f t="shared" si="21"/>
        <v>34201.333333333328</v>
      </c>
      <c r="M140" s="112">
        <f t="shared" si="21"/>
        <v>116868.33333333333</v>
      </c>
      <c r="N140" s="112">
        <f t="shared" si="21"/>
        <v>54061.333333333336</v>
      </c>
      <c r="P140" s="112"/>
      <c r="Q140" s="112"/>
    </row>
    <row r="141" spans="2:17" s="55" customFormat="1" x14ac:dyDescent="0.25">
      <c r="B141" s="69" t="s">
        <v>600</v>
      </c>
      <c r="C141" s="474">
        <f>SUM(C133:C140)</f>
        <v>210455.59870798473</v>
      </c>
      <c r="D141" s="474">
        <f t="shared" ref="D141:N141" si="22">SUM(D133:D140)</f>
        <v>196647.89452466011</v>
      </c>
      <c r="E141" s="474">
        <f t="shared" si="22"/>
        <v>150532.34177859264</v>
      </c>
      <c r="F141" s="474">
        <f t="shared" si="22"/>
        <v>120004.97171495701</v>
      </c>
      <c r="G141" s="474">
        <f t="shared" si="22"/>
        <v>114115.26971686901</v>
      </c>
      <c r="H141" s="474">
        <f t="shared" si="22"/>
        <v>104121.72849982594</v>
      </c>
      <c r="I141" s="474">
        <f t="shared" si="22"/>
        <v>74891.434532804589</v>
      </c>
      <c r="J141" s="474">
        <f t="shared" si="22"/>
        <v>19429.504382639032</v>
      </c>
      <c r="K141" s="474">
        <f t="shared" si="22"/>
        <v>-34263.223031418805</v>
      </c>
      <c r="L141" s="474">
        <f t="shared" si="22"/>
        <v>-72938.44462684961</v>
      </c>
      <c r="M141" s="474">
        <f t="shared" si="22"/>
        <v>-34421.013683602141</v>
      </c>
      <c r="N141" s="474">
        <f t="shared" si="22"/>
        <v>105002.36891461935</v>
      </c>
      <c r="P141" s="473"/>
      <c r="Q141" s="473"/>
    </row>
    <row r="142" spans="2:17" s="68" customFormat="1" x14ac:dyDescent="0.25">
      <c r="F142" s="112"/>
      <c r="G142" s="112"/>
      <c r="H142" s="112"/>
      <c r="I142" s="112"/>
      <c r="J142" s="99"/>
      <c r="P142" s="112"/>
      <c r="Q142" s="112"/>
    </row>
    <row r="143" spans="2:17" s="68" customFormat="1" x14ac:dyDescent="0.25">
      <c r="F143" s="112"/>
      <c r="G143" s="112"/>
      <c r="H143" s="112"/>
      <c r="I143" s="112"/>
      <c r="J143" s="99"/>
      <c r="P143" s="112"/>
      <c r="Q143" s="112"/>
    </row>
    <row r="144" spans="2:17" s="68" customFormat="1" x14ac:dyDescent="0.25">
      <c r="F144" s="112"/>
      <c r="G144" s="112"/>
      <c r="H144" s="112"/>
      <c r="I144" s="112"/>
      <c r="J144" s="99"/>
      <c r="P144" s="112"/>
      <c r="Q144" s="112"/>
    </row>
    <row r="145" spans="2:17" s="68" customFormat="1" x14ac:dyDescent="0.25">
      <c r="F145" s="112"/>
      <c r="G145" s="112"/>
      <c r="H145" s="112"/>
      <c r="I145" s="112"/>
      <c r="J145" s="99"/>
      <c r="P145" s="112"/>
      <c r="Q145" s="112"/>
    </row>
    <row r="146" spans="2:17" s="68" customFormat="1" x14ac:dyDescent="0.25">
      <c r="F146" s="112"/>
      <c r="G146" s="112"/>
      <c r="H146" s="112"/>
      <c r="I146" s="112"/>
      <c r="J146" s="99"/>
      <c r="P146" s="112"/>
      <c r="Q146" s="112"/>
    </row>
    <row r="147" spans="2:17" s="68" customFormat="1" x14ac:dyDescent="0.25">
      <c r="F147" s="112"/>
      <c r="G147" s="112"/>
      <c r="H147" s="112"/>
      <c r="I147" s="112"/>
      <c r="J147" s="99"/>
      <c r="P147" s="112"/>
      <c r="Q147" s="112"/>
    </row>
    <row r="148" spans="2:17" s="68" customFormat="1" x14ac:dyDescent="0.25">
      <c r="B148" s="397"/>
      <c r="F148" s="112"/>
      <c r="G148" s="112"/>
      <c r="H148" s="112"/>
      <c r="I148" s="112"/>
      <c r="J148" s="99"/>
      <c r="P148" s="112"/>
      <c r="Q148" s="112"/>
    </row>
  </sheetData>
  <mergeCells count="1">
    <mergeCell ref="C5:D5"/>
  </mergeCells>
  <printOptions horizontalCentered="1" verticalCentered="1"/>
  <pageMargins left="0.25" right="0.25" top="0.75" bottom="0.75" header="0.3" footer="0.3"/>
  <pageSetup scale="54" fitToHeight="3" orientation="landscape" r:id="rId1"/>
  <headerFooter>
    <oddFooter>&amp;LRev &amp;D&amp;C&amp;P</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251"/>
  <sheetViews>
    <sheetView topLeftCell="A167" zoomScaleNormal="100" workbookViewId="0">
      <selection activeCell="C193" sqref="C193"/>
    </sheetView>
  </sheetViews>
  <sheetFormatPr defaultColWidth="9" defaultRowHeight="15" x14ac:dyDescent="0.25"/>
  <cols>
    <col min="1" max="1" width="31.75" style="2" customWidth="1"/>
    <col min="2" max="2" width="12.625" style="107" customWidth="1"/>
    <col min="3" max="3" width="12.625" style="441" customWidth="1"/>
    <col min="4" max="4" width="12.625" style="107" customWidth="1"/>
    <col min="5" max="5" width="12.625" style="507" customWidth="1"/>
    <col min="6" max="6" width="12.625" style="3" customWidth="1"/>
    <col min="7" max="16384" width="9" style="3"/>
  </cols>
  <sheetData>
    <row r="1" spans="1:5" ht="15.75" thickBot="1" x14ac:dyDescent="0.3">
      <c r="A1" s="127" t="str">
        <f>CMS!A1</f>
        <v>Northwest Youth Services Budget - 2018 - APPROVED BY BOARD NOV 30, 2017</v>
      </c>
      <c r="B1" s="434"/>
      <c r="C1" s="435"/>
      <c r="D1" s="434"/>
      <c r="E1" s="510"/>
    </row>
    <row r="3" spans="1:5" x14ac:dyDescent="0.25">
      <c r="A3" s="2" t="s">
        <v>28</v>
      </c>
      <c r="B3" s="106"/>
      <c r="C3" s="500"/>
      <c r="D3" s="501"/>
      <c r="E3" s="506"/>
    </row>
    <row r="5" spans="1:5" x14ac:dyDescent="0.25">
      <c r="B5" s="105"/>
      <c r="C5" s="436"/>
      <c r="D5" s="437"/>
    </row>
    <row r="6" spans="1:5" x14ac:dyDescent="0.25">
      <c r="A6" s="106" t="str">
        <f>CMS!A3</f>
        <v>Core Mission Support</v>
      </c>
      <c r="B6" s="105" t="s">
        <v>480</v>
      </c>
      <c r="C6" s="438" t="s">
        <v>479</v>
      </c>
      <c r="D6" s="439" t="s">
        <v>29</v>
      </c>
      <c r="E6" s="508" t="s">
        <v>698</v>
      </c>
    </row>
    <row r="7" spans="1:5" x14ac:dyDescent="0.25">
      <c r="A7" s="107" t="s">
        <v>30</v>
      </c>
      <c r="B7" s="108">
        <f>SUM(CMS!C102:N102)/12</f>
        <v>5.5</v>
      </c>
      <c r="C7" s="447">
        <v>4.1791666666666671</v>
      </c>
      <c r="D7" s="222">
        <f>SUM(B7-C7)</f>
        <v>1.3208333333333329</v>
      </c>
      <c r="E7" s="508">
        <f>SUM(B11)/($B$179+$B$180)*-1</f>
        <v>0.10676012049943925</v>
      </c>
    </row>
    <row r="8" spans="1:5" x14ac:dyDescent="0.25">
      <c r="A8" s="56" t="s">
        <v>31</v>
      </c>
      <c r="B8" s="441">
        <f>SUM(CMS!B95)</f>
        <v>161431</v>
      </c>
      <c r="C8" s="441">
        <v>18811</v>
      </c>
      <c r="D8" s="442">
        <f>SUM(B8-C8)</f>
        <v>142620</v>
      </c>
    </row>
    <row r="9" spans="1:5" x14ac:dyDescent="0.25">
      <c r="A9" s="56" t="s">
        <v>32</v>
      </c>
      <c r="B9" s="441">
        <f>SUM(CMS!B96)</f>
        <v>-350651.86170000007</v>
      </c>
      <c r="C9" s="441">
        <v>-256890.79453499999</v>
      </c>
      <c r="D9" s="442">
        <f>SUM(B9-C9)</f>
        <v>-93761.067165000073</v>
      </c>
    </row>
    <row r="10" spans="1:5" x14ac:dyDescent="0.25">
      <c r="A10" s="56" t="s">
        <v>33</v>
      </c>
      <c r="B10" s="441">
        <f>SUM(CMS!B97)</f>
        <v>-181570</v>
      </c>
      <c r="C10" s="441">
        <v>-64249.793103448275</v>
      </c>
      <c r="D10" s="442">
        <f>SUM(B10-C10)</f>
        <v>-117320.20689655172</v>
      </c>
    </row>
    <row r="11" spans="1:5" x14ac:dyDescent="0.25">
      <c r="A11" s="56" t="s">
        <v>34</v>
      </c>
      <c r="B11" s="441">
        <f>SUM(CMS!B98)</f>
        <v>370790.86170000001</v>
      </c>
      <c r="C11" s="441">
        <v>302329.58763844828</v>
      </c>
      <c r="D11" s="442">
        <f>SUM(B11-C11)</f>
        <v>68461.274061551725</v>
      </c>
    </row>
    <row r="12" spans="1:5" x14ac:dyDescent="0.25">
      <c r="A12" s="109" t="s">
        <v>35</v>
      </c>
      <c r="B12" s="443">
        <f>SUM(B8:B11)</f>
        <v>0</v>
      </c>
      <c r="C12" s="443">
        <f t="shared" ref="C12:D12" si="0">SUM(C8:C11)</f>
        <v>0</v>
      </c>
      <c r="D12" s="443">
        <f t="shared" si="0"/>
        <v>0</v>
      </c>
    </row>
    <row r="14" spans="1:5" s="44" customFormat="1" x14ac:dyDescent="0.25">
      <c r="A14" s="106" t="str">
        <f>Fundraising!A3</f>
        <v>Fundraising</v>
      </c>
      <c r="B14" s="105" t="str">
        <f>B6</f>
        <v>2018 Budget</v>
      </c>
      <c r="C14" s="436" t="str">
        <f>C6</f>
        <v>2017 Budget</v>
      </c>
      <c r="D14" s="105" t="str">
        <f>D6</f>
        <v>VARIANCE</v>
      </c>
      <c r="E14" s="508" t="s">
        <v>698</v>
      </c>
    </row>
    <row r="15" spans="1:5" s="44" customFormat="1" x14ac:dyDescent="0.25">
      <c r="A15" s="107" t="s">
        <v>30</v>
      </c>
      <c r="B15" s="108">
        <f>SUM(Fundraising!C102:N102)/12</f>
        <v>3</v>
      </c>
      <c r="C15" s="447">
        <v>2.0933333333333333</v>
      </c>
      <c r="D15" s="448">
        <f>SUM(B15-C15)</f>
        <v>0.90666666666666673</v>
      </c>
      <c r="E15" s="508">
        <f>SUM(B17+-B18)/($B$179+$B$180)</f>
        <v>4.1537528432808689E-2</v>
      </c>
    </row>
    <row r="16" spans="1:5" s="44" customFormat="1" x14ac:dyDescent="0.25">
      <c r="A16" s="56" t="s">
        <v>31</v>
      </c>
      <c r="B16" s="441">
        <f>SUM(Fundraising!B95)</f>
        <v>434493</v>
      </c>
      <c r="C16" s="441">
        <v>366797</v>
      </c>
      <c r="D16" s="442">
        <f>SUM(B16-C16)</f>
        <v>67696</v>
      </c>
      <c r="E16" s="507"/>
    </row>
    <row r="17" spans="1:5" s="44" customFormat="1" x14ac:dyDescent="0.25">
      <c r="A17" s="56" t="s">
        <v>32</v>
      </c>
      <c r="B17" s="441">
        <f>SUM(Fundraising!B96)</f>
        <v>-200167.04400000002</v>
      </c>
      <c r="C17" s="441">
        <v>-97334.308784000008</v>
      </c>
      <c r="D17" s="442">
        <f>SUM(B17-C17)</f>
        <v>-102832.73521600002</v>
      </c>
      <c r="E17" s="507"/>
    </row>
    <row r="18" spans="1:5" s="44" customFormat="1" x14ac:dyDescent="0.25">
      <c r="A18" s="56" t="s">
        <v>33</v>
      </c>
      <c r="B18" s="441">
        <f>SUM(Fundraising!B97)</f>
        <v>-55902.164113785562</v>
      </c>
      <c r="C18" s="441">
        <v>-111497.91445740545</v>
      </c>
      <c r="D18" s="442">
        <f>SUM(B18-C18)</f>
        <v>55595.750343619889</v>
      </c>
      <c r="E18" s="507"/>
    </row>
    <row r="19" spans="1:5" s="44" customFormat="1" x14ac:dyDescent="0.25">
      <c r="A19" s="56" t="s">
        <v>34</v>
      </c>
      <c r="B19" s="441">
        <f>SUM(Fundraising!B98)</f>
        <v>-178423.79188621449</v>
      </c>
      <c r="C19" s="441">
        <v>-157964.77675859455</v>
      </c>
      <c r="D19" s="442">
        <f>SUM(B19-C19)</f>
        <v>-20459.015127619932</v>
      </c>
      <c r="E19" s="511"/>
    </row>
    <row r="20" spans="1:5" s="44" customFormat="1" x14ac:dyDescent="0.25">
      <c r="A20" s="109" t="s">
        <v>35</v>
      </c>
      <c r="B20" s="443">
        <f>SUM(B16:B19)</f>
        <v>0</v>
      </c>
      <c r="C20" s="443">
        <f t="shared" ref="C20:D20" si="1">SUM(C16:C19)</f>
        <v>0</v>
      </c>
      <c r="D20" s="443">
        <f t="shared" si="1"/>
        <v>-5.8207660913467407E-11</v>
      </c>
      <c r="E20" s="511"/>
    </row>
    <row r="21" spans="1:5" s="44" customFormat="1" x14ac:dyDescent="0.25">
      <c r="A21" s="45"/>
      <c r="B21" s="111"/>
      <c r="C21" s="442"/>
      <c r="D21" s="111"/>
      <c r="E21" s="511"/>
    </row>
    <row r="22" spans="1:5" s="44" customFormat="1" x14ac:dyDescent="0.25">
      <c r="A22" s="106" t="str">
        <f>HSSP!A3</f>
        <v>Homeless Student Stability Program</v>
      </c>
      <c r="B22" s="105" t="str">
        <f>B6</f>
        <v>2018 Budget</v>
      </c>
      <c r="C22" s="436" t="str">
        <f>C6</f>
        <v>2017 Budget</v>
      </c>
      <c r="D22" s="105" t="str">
        <f>D6</f>
        <v>VARIANCE</v>
      </c>
      <c r="E22" s="508" t="s">
        <v>698</v>
      </c>
    </row>
    <row r="23" spans="1:5" s="44" customFormat="1" x14ac:dyDescent="0.25">
      <c r="A23" s="107" t="s">
        <v>30</v>
      </c>
      <c r="B23" s="108">
        <f>SUM(HSSP!C102:N102)/12</f>
        <v>0.99655172413793125</v>
      </c>
      <c r="C23" s="447">
        <v>0.52999999999999992</v>
      </c>
      <c r="D23" s="448">
        <f>SUM(B23-C23)</f>
        <v>0.46655172413793133</v>
      </c>
      <c r="E23" s="508">
        <f>SUM(B27+B25+B26)/($B$179+$B$180)</f>
        <v>2.06547170926875E-2</v>
      </c>
    </row>
    <row r="24" spans="1:5" s="44" customFormat="1" x14ac:dyDescent="0.25">
      <c r="A24" s="56" t="s">
        <v>31</v>
      </c>
      <c r="B24" s="441">
        <f>SUM(HSSP!B95)</f>
        <v>70064.154652586207</v>
      </c>
      <c r="C24" s="441">
        <v>37160.099760666664</v>
      </c>
      <c r="D24" s="442">
        <f>SUM(B24-C24)</f>
        <v>32904.054891919543</v>
      </c>
      <c r="E24" s="511"/>
    </row>
    <row r="25" spans="1:5" s="44" customFormat="1" x14ac:dyDescent="0.25">
      <c r="A25" s="56" t="s">
        <v>32</v>
      </c>
      <c r="B25" s="441">
        <f>SUM(HSSP!B96)</f>
        <v>-51488.236533103453</v>
      </c>
      <c r="C25" s="441">
        <v>-25304.707482734997</v>
      </c>
      <c r="D25" s="442">
        <f>SUM(B25-C25)</f>
        <v>-26183.529050368456</v>
      </c>
      <c r="E25" s="511"/>
    </row>
    <row r="26" spans="1:5" s="44" customFormat="1" x14ac:dyDescent="0.25">
      <c r="A26" s="56" t="s">
        <v>33</v>
      </c>
      <c r="B26" s="441">
        <f>SUM(HSSP!B97)</f>
        <v>-15368.4683090621</v>
      </c>
      <c r="C26" s="441">
        <v>-10814.904782364916</v>
      </c>
      <c r="D26" s="442">
        <f>SUM(B26-C26)</f>
        <v>-4553.563526697184</v>
      </c>
      <c r="E26" s="511"/>
    </row>
    <row r="27" spans="1:5" s="44" customFormat="1" x14ac:dyDescent="0.25">
      <c r="A27" s="56" t="s">
        <v>34</v>
      </c>
      <c r="B27" s="441">
        <f>SUM(HSSP!B98)</f>
        <v>-4879.6355922529647</v>
      </c>
      <c r="C27" s="441">
        <v>-2502.0678340472227</v>
      </c>
      <c r="D27" s="442">
        <f>SUM(B27-C27)</f>
        <v>-2377.5677582057419</v>
      </c>
      <c r="E27" s="511"/>
    </row>
    <row r="28" spans="1:5" s="44" customFormat="1" x14ac:dyDescent="0.25">
      <c r="A28" s="109" t="s">
        <v>35</v>
      </c>
      <c r="B28" s="443">
        <f>SUM(B24:B27)</f>
        <v>-1672.1857818323106</v>
      </c>
      <c r="C28" s="443">
        <f t="shared" ref="C28:D28" si="2">SUM(C24:C27)</f>
        <v>-1461.5803384804717</v>
      </c>
      <c r="D28" s="443">
        <f t="shared" si="2"/>
        <v>-210.60544335183886</v>
      </c>
      <c r="E28" s="511"/>
    </row>
    <row r="29" spans="1:5" s="44" customFormat="1" x14ac:dyDescent="0.25">
      <c r="A29" s="45"/>
      <c r="B29" s="111"/>
      <c r="C29" s="442"/>
      <c r="D29" s="111"/>
      <c r="E29" s="511"/>
    </row>
    <row r="30" spans="1:5" s="44" customFormat="1" x14ac:dyDescent="0.25">
      <c r="A30" s="46" t="str">
        <f>'WH - SOP'!A3</f>
        <v>Whatcom - Street Outreach Program</v>
      </c>
      <c r="B30" s="105" t="str">
        <f>B125</f>
        <v>2018 Budget</v>
      </c>
      <c r="C30" s="436" t="str">
        <f>C125</f>
        <v>2017 Budget</v>
      </c>
      <c r="D30" s="105" t="str">
        <f>D125</f>
        <v>VARIANCE</v>
      </c>
      <c r="E30" s="508" t="s">
        <v>698</v>
      </c>
    </row>
    <row r="31" spans="1:5" s="44" customFormat="1" x14ac:dyDescent="0.25">
      <c r="A31" s="107" t="s">
        <v>30</v>
      </c>
      <c r="B31" s="448">
        <f>SUM('WH - SOP'!C102:N102)/12</f>
        <v>4.1345402298850562</v>
      </c>
      <c r="C31" s="450">
        <v>4.5249999999999995</v>
      </c>
      <c r="D31" s="448">
        <f>SUM(B31-C31)</f>
        <v>-0.39045977011494326</v>
      </c>
      <c r="E31" s="508">
        <f>SUM(B35+B33+B34)/($B$179+$B$180)</f>
        <v>6.6252135043561339E-2</v>
      </c>
    </row>
    <row r="32" spans="1:5" s="44" customFormat="1" x14ac:dyDescent="0.25">
      <c r="A32" s="56" t="s">
        <v>31</v>
      </c>
      <c r="B32" s="441">
        <f>SUM('WH - SOP'!B95)</f>
        <v>222163</v>
      </c>
      <c r="C32" s="441">
        <v>258385.75000000003</v>
      </c>
      <c r="D32" s="442">
        <f>SUM(B32-C32)</f>
        <v>-36222.750000000029</v>
      </c>
      <c r="E32" s="511"/>
    </row>
    <row r="33" spans="1:5" s="44" customFormat="1" x14ac:dyDescent="0.25">
      <c r="A33" s="56" t="s">
        <v>32</v>
      </c>
      <c r="B33" s="441">
        <f>SUM('WH - SOP'!B96)</f>
        <v>-185850.4083621724</v>
      </c>
      <c r="C33" s="441">
        <v>-193340.31170999992</v>
      </c>
      <c r="D33" s="446">
        <f>SUM(B33-C33)</f>
        <v>7489.9033478275232</v>
      </c>
      <c r="E33" s="511"/>
    </row>
    <row r="34" spans="1:5" s="44" customFormat="1" x14ac:dyDescent="0.25">
      <c r="A34" s="56" t="s">
        <v>33</v>
      </c>
      <c r="B34" s="441">
        <f>SUM('WH - SOP'!B97)</f>
        <v>-21806.798017430017</v>
      </c>
      <c r="C34" s="441">
        <v>-49641.155935751638</v>
      </c>
      <c r="D34" s="446">
        <f>SUM(B34-C34)</f>
        <v>27834.357918321621</v>
      </c>
      <c r="E34" s="511"/>
    </row>
    <row r="35" spans="1:5" s="44" customFormat="1" x14ac:dyDescent="0.25">
      <c r="A35" s="56" t="s">
        <v>34</v>
      </c>
      <c r="B35" s="441">
        <f>SUM('WH - SOP'!B98)</f>
        <v>-22444.503203948552</v>
      </c>
      <c r="C35" s="441">
        <v>-27567.756191003125</v>
      </c>
      <c r="D35" s="442">
        <f>SUM(B35-C35)</f>
        <v>5123.2529870545732</v>
      </c>
      <c r="E35" s="511"/>
    </row>
    <row r="36" spans="1:5" s="44" customFormat="1" x14ac:dyDescent="0.25">
      <c r="A36" s="109" t="s">
        <v>35</v>
      </c>
      <c r="B36" s="443">
        <f>SUM(B32:B35)</f>
        <v>-7938.7095835509681</v>
      </c>
      <c r="C36" s="443">
        <f t="shared" ref="C36:D36" si="3">SUM(C32:C35)</f>
        <v>-12163.473836754656</v>
      </c>
      <c r="D36" s="443">
        <f t="shared" si="3"/>
        <v>4224.764253203688</v>
      </c>
      <c r="E36" s="511"/>
    </row>
    <row r="37" spans="1:5" s="44" customFormat="1" x14ac:dyDescent="0.25">
      <c r="B37" s="111"/>
      <c r="C37" s="444"/>
      <c r="D37" s="47"/>
      <c r="E37" s="511"/>
    </row>
    <row r="38" spans="1:5" s="44" customFormat="1" hidden="1" x14ac:dyDescent="0.25">
      <c r="A38" s="106" t="str">
        <f>'Teen Court'!A3</f>
        <v>Teen Court</v>
      </c>
      <c r="B38" s="105"/>
      <c r="C38" s="436"/>
      <c r="D38" s="111"/>
      <c r="E38" s="511"/>
    </row>
    <row r="39" spans="1:5" s="44" customFormat="1" hidden="1" x14ac:dyDescent="0.25">
      <c r="A39" s="107" t="s">
        <v>30</v>
      </c>
      <c r="B39" s="440">
        <f>SUM('Teen Court'!D102)</f>
        <v>0.80724137931034479</v>
      </c>
      <c r="C39" s="436" t="s">
        <v>36</v>
      </c>
      <c r="D39" s="111"/>
      <c r="E39" s="511"/>
    </row>
    <row r="40" spans="1:5" s="44" customFormat="1" hidden="1" x14ac:dyDescent="0.25">
      <c r="A40" s="56" t="s">
        <v>31</v>
      </c>
      <c r="B40" s="107"/>
      <c r="C40" s="441">
        <f>SUM('Teen Court'!B46)</f>
        <v>49474</v>
      </c>
      <c r="D40" s="111"/>
      <c r="E40" s="511"/>
    </row>
    <row r="41" spans="1:5" s="44" customFormat="1" hidden="1" x14ac:dyDescent="0.25">
      <c r="A41" s="56" t="s">
        <v>32</v>
      </c>
      <c r="B41" s="107"/>
      <c r="C41" s="441">
        <f>SUM('Teen Court'!B53)</f>
        <v>40573.038310034484</v>
      </c>
      <c r="D41" s="111"/>
      <c r="E41" s="511"/>
    </row>
    <row r="42" spans="1:5" s="44" customFormat="1" hidden="1" x14ac:dyDescent="0.25">
      <c r="A42" s="56" t="s">
        <v>33</v>
      </c>
      <c r="B42" s="107"/>
      <c r="C42" s="441">
        <f>SUM('Teen Court'!B83)</f>
        <v>7544.7230972861489</v>
      </c>
      <c r="D42" s="111"/>
      <c r="E42" s="511"/>
    </row>
    <row r="43" spans="1:5" s="44" customFormat="1" hidden="1" x14ac:dyDescent="0.25">
      <c r="A43" s="56" t="s">
        <v>34</v>
      </c>
      <c r="B43" s="107"/>
      <c r="C43" s="441">
        <f>SUM('Teen Court'!B90)</f>
        <v>-2981.3900010511766</v>
      </c>
      <c r="D43" s="46"/>
      <c r="E43" s="511"/>
    </row>
    <row r="44" spans="1:5" s="44" customFormat="1" hidden="1" x14ac:dyDescent="0.25">
      <c r="A44" s="109" t="s">
        <v>35</v>
      </c>
      <c r="B44" s="110"/>
      <c r="C44" s="443">
        <f>SUM(C40-C41-C42-C43)</f>
        <v>4337.6285937305438</v>
      </c>
      <c r="D44" s="111"/>
      <c r="E44" s="511"/>
    </row>
    <row r="45" spans="1:5" s="44" customFormat="1" hidden="1" x14ac:dyDescent="0.25">
      <c r="A45" s="45"/>
      <c r="B45" s="111"/>
      <c r="C45" s="442"/>
      <c r="D45" s="111"/>
      <c r="E45" s="511"/>
    </row>
    <row r="46" spans="1:5" s="44" customFormat="1" hidden="1" x14ac:dyDescent="0.25">
      <c r="A46" s="106" t="str">
        <f>'WH - SOP'!A3</f>
        <v>Whatcom - Street Outreach Program</v>
      </c>
      <c r="B46" s="105"/>
      <c r="C46" s="436"/>
      <c r="D46" s="47"/>
      <c r="E46" s="511"/>
    </row>
    <row r="47" spans="1:5" s="44" customFormat="1" hidden="1" x14ac:dyDescent="0.25">
      <c r="A47" s="107" t="s">
        <v>30</v>
      </c>
      <c r="B47" s="440">
        <f>SUM('WH - SOP'!C102)</f>
        <v>4.1345402298850571</v>
      </c>
      <c r="C47" s="436" t="s">
        <v>36</v>
      </c>
      <c r="D47" s="111"/>
      <c r="E47" s="511"/>
    </row>
    <row r="48" spans="1:5" s="44" customFormat="1" hidden="1" x14ac:dyDescent="0.25">
      <c r="A48" s="56" t="s">
        <v>31</v>
      </c>
      <c r="B48" s="107"/>
      <c r="C48" s="441">
        <f>SUM('WH - SOP'!B46)</f>
        <v>222163</v>
      </c>
      <c r="D48" s="111"/>
      <c r="E48" s="511"/>
    </row>
    <row r="49" spans="1:5" s="44" customFormat="1" hidden="1" x14ac:dyDescent="0.25">
      <c r="A49" s="56" t="s">
        <v>32</v>
      </c>
      <c r="B49" s="107"/>
      <c r="C49" s="441">
        <f>SUM('WH - SOP'!B53)</f>
        <v>185850.4083621724</v>
      </c>
      <c r="D49" s="111"/>
      <c r="E49" s="511"/>
    </row>
    <row r="50" spans="1:5" s="44" customFormat="1" hidden="1" x14ac:dyDescent="0.25">
      <c r="A50" s="56" t="s">
        <v>33</v>
      </c>
      <c r="B50" s="107"/>
      <c r="C50" s="441">
        <f>SUM('WH - SOP'!B83)</f>
        <v>21806.798017430017</v>
      </c>
      <c r="D50" s="111"/>
      <c r="E50" s="511"/>
    </row>
    <row r="51" spans="1:5" s="44" customFormat="1" hidden="1" x14ac:dyDescent="0.25">
      <c r="A51" s="56" t="s">
        <v>34</v>
      </c>
      <c r="B51" s="107"/>
      <c r="C51" s="441">
        <f>SUM('WH - SOP'!B90)</f>
        <v>-22444.503203948552</v>
      </c>
      <c r="D51" s="111"/>
      <c r="E51" s="511"/>
    </row>
    <row r="52" spans="1:5" s="44" customFormat="1" hidden="1" x14ac:dyDescent="0.25">
      <c r="A52" s="109" t="s">
        <v>35</v>
      </c>
      <c r="B52" s="110"/>
      <c r="C52" s="443">
        <f>SUM(C48-C49-C50-C51)</f>
        <v>36950.296824346136</v>
      </c>
      <c r="D52" s="111"/>
      <c r="E52" s="511"/>
    </row>
    <row r="53" spans="1:5" s="44" customFormat="1" hidden="1" x14ac:dyDescent="0.25">
      <c r="A53" s="45"/>
      <c r="B53" s="46"/>
      <c r="C53" s="445"/>
      <c r="D53" s="46"/>
      <c r="E53" s="511"/>
    </row>
    <row r="54" spans="1:5" s="44" customFormat="1" x14ac:dyDescent="0.25">
      <c r="A54" s="106" t="str">
        <f>'WH - PAD'!A3</f>
        <v>Whatcom - PAD</v>
      </c>
      <c r="B54" s="105" t="str">
        <f>B72</f>
        <v>2018 Budget</v>
      </c>
      <c r="C54" s="436" t="str">
        <f>C72</f>
        <v>2017 Budget</v>
      </c>
      <c r="D54" s="105" t="str">
        <f>D72</f>
        <v>VARIANCE</v>
      </c>
      <c r="E54" s="508" t="s">
        <v>698</v>
      </c>
    </row>
    <row r="55" spans="1:5" s="44" customFormat="1" x14ac:dyDescent="0.25">
      <c r="A55" s="107" t="s">
        <v>30</v>
      </c>
      <c r="B55" s="108">
        <f>SUM('WH - PAD'!C102)</f>
        <v>12.435919540229886</v>
      </c>
      <c r="C55" s="447">
        <v>12.879999999999997</v>
      </c>
      <c r="D55" s="448">
        <f>SUM(B55-C55)</f>
        <v>-0.44408045977011135</v>
      </c>
      <c r="E55" s="508">
        <f>SUM(B59+B57+B58)/($B$179+$B$180)+0.01</f>
        <v>0.19588265607850094</v>
      </c>
    </row>
    <row r="56" spans="1:5" s="44" customFormat="1" x14ac:dyDescent="0.25">
      <c r="A56" s="56" t="s">
        <v>31</v>
      </c>
      <c r="B56" s="441">
        <f>SUM('WH - PAD'!B95)</f>
        <v>626856</v>
      </c>
      <c r="C56" s="441">
        <v>646980.85714285716</v>
      </c>
      <c r="D56" s="442">
        <f>SUM(B56-C56)</f>
        <v>-20124.857142857159</v>
      </c>
      <c r="E56" s="511"/>
    </row>
    <row r="57" spans="1:5" s="44" customFormat="1" x14ac:dyDescent="0.25">
      <c r="A57" s="56" t="s">
        <v>32</v>
      </c>
      <c r="B57" s="441">
        <f>SUM('WH - PAD'!B96)</f>
        <v>-522224.59377465525</v>
      </c>
      <c r="C57" s="441">
        <v>-474830.47458789992</v>
      </c>
      <c r="D57" s="446">
        <f>SUM(B57-C57)</f>
        <v>-47394.119186755328</v>
      </c>
      <c r="E57" s="511"/>
    </row>
    <row r="58" spans="1:5" s="44" customFormat="1" x14ac:dyDescent="0.25">
      <c r="A58" s="56" t="s">
        <v>33</v>
      </c>
      <c r="B58" s="441">
        <f>SUM('WH - PAD'!B97)</f>
        <v>-56487.619957116629</v>
      </c>
      <c r="C58" s="441">
        <v>-49230.069897596928</v>
      </c>
      <c r="D58" s="442">
        <f>SUM(B58-C58)</f>
        <v>-7257.5500595197009</v>
      </c>
      <c r="E58" s="511"/>
    </row>
    <row r="59" spans="1:5" s="44" customFormat="1" x14ac:dyDescent="0.25">
      <c r="A59" s="56" t="s">
        <v>34</v>
      </c>
      <c r="B59" s="441">
        <f>SUM('WH - PAD'!B98)</f>
        <v>-66880.821382815819</v>
      </c>
      <c r="C59" s="441">
        <v>-78438.93649656538</v>
      </c>
      <c r="D59" s="442">
        <f>SUM(B59-C59)</f>
        <v>11558.115113749562</v>
      </c>
      <c r="E59" s="511"/>
    </row>
    <row r="60" spans="1:5" s="44" customFormat="1" x14ac:dyDescent="0.25">
      <c r="A60" s="109" t="s">
        <v>35</v>
      </c>
      <c r="B60" s="443">
        <f>SUM(B56:B59)</f>
        <v>-18737.035114587699</v>
      </c>
      <c r="C60" s="443">
        <f t="shared" ref="C60:D60" si="4">SUM(C56:C59)</f>
        <v>44481.376160794927</v>
      </c>
      <c r="D60" s="443">
        <f t="shared" si="4"/>
        <v>-63218.411275382634</v>
      </c>
      <c r="E60" s="511"/>
    </row>
    <row r="61" spans="1:5" s="44" customFormat="1" x14ac:dyDescent="0.25">
      <c r="A61" s="45"/>
      <c r="B61" s="445"/>
      <c r="C61" s="445"/>
      <c r="D61" s="445"/>
      <c r="E61" s="511"/>
    </row>
    <row r="62" spans="1:5" s="44" customFormat="1" x14ac:dyDescent="0.25">
      <c r="A62" s="45"/>
      <c r="B62" s="445"/>
      <c r="C62" s="445"/>
      <c r="D62" s="445"/>
      <c r="E62" s="511"/>
    </row>
    <row r="63" spans="1:5" s="44" customFormat="1" x14ac:dyDescent="0.25">
      <c r="A63" s="45"/>
      <c r="B63" s="445"/>
      <c r="C63" s="445"/>
      <c r="D63" s="445"/>
      <c r="E63" s="511"/>
    </row>
    <row r="64" spans="1:5" s="44" customFormat="1" x14ac:dyDescent="0.25">
      <c r="A64" s="46" t="str">
        <f>'WH - HUSLY'!A3</f>
        <v>Whatcom - HUSLY</v>
      </c>
      <c r="B64" s="105" t="str">
        <f>B150</f>
        <v>2018 Budget</v>
      </c>
      <c r="C64" s="436" t="str">
        <f>C150</f>
        <v>2017 Budget</v>
      </c>
      <c r="D64" s="105" t="str">
        <f>D150</f>
        <v>VARIANCE</v>
      </c>
      <c r="E64" s="508" t="s">
        <v>698</v>
      </c>
    </row>
    <row r="65" spans="1:5" s="44" customFormat="1" x14ac:dyDescent="0.25">
      <c r="A65" s="107" t="s">
        <v>30</v>
      </c>
      <c r="B65" s="448">
        <f>SUM('WH - HUSLY'!C102:N102)/12</f>
        <v>1.187873563218391</v>
      </c>
      <c r="C65" s="450">
        <v>1.24</v>
      </c>
      <c r="D65" s="448">
        <f>SUM(B65-C65)</f>
        <v>-5.2126436781608998E-2</v>
      </c>
      <c r="E65" s="508">
        <f>SUM(B69+B67+B68)/($B$179+$B$180)</f>
        <v>2.5220834123158235E-2</v>
      </c>
    </row>
    <row r="66" spans="1:5" s="44" customFormat="1" x14ac:dyDescent="0.25">
      <c r="A66" s="56" t="s">
        <v>31</v>
      </c>
      <c r="B66" s="441">
        <f>SUM('WH - HUSLY'!B95)</f>
        <v>87543.476666666669</v>
      </c>
      <c r="C66" s="441">
        <v>104517.20023989113</v>
      </c>
      <c r="D66" s="446">
        <f>SUM(B66-C66)</f>
        <v>-16973.723573224459</v>
      </c>
      <c r="E66" s="511"/>
    </row>
    <row r="67" spans="1:5" s="44" customFormat="1" x14ac:dyDescent="0.25">
      <c r="A67" s="56" t="s">
        <v>32</v>
      </c>
      <c r="B67" s="441">
        <f>SUM('WH - HUSLY'!B96)</f>
        <v>-50851.624805793093</v>
      </c>
      <c r="C67" s="441">
        <v>-45604.126902000004</v>
      </c>
      <c r="D67" s="446">
        <f>SUM(B67-C67)</f>
        <v>-5247.4979037930898</v>
      </c>
      <c r="E67" s="511"/>
    </row>
    <row r="68" spans="1:5" s="44" customFormat="1" x14ac:dyDescent="0.25">
      <c r="A68" s="56" t="s">
        <v>33</v>
      </c>
      <c r="B68" s="441">
        <f>SUM('WH - HUSLY'!B97)</f>
        <v>-33064.970154556198</v>
      </c>
      <c r="C68" s="441">
        <v>-55750.732767762456</v>
      </c>
      <c r="D68" s="446">
        <f>SUM(B68-C68)</f>
        <v>22685.762613206258</v>
      </c>
      <c r="E68" s="511"/>
    </row>
    <row r="69" spans="1:5" s="44" customFormat="1" x14ac:dyDescent="0.25">
      <c r="A69" s="56" t="s">
        <v>34</v>
      </c>
      <c r="B69" s="441">
        <f>SUM('WH - HUSLY'!B98)</f>
        <v>-3678.4243555733092</v>
      </c>
      <c r="C69" s="441">
        <v>-5521.2821457164709</v>
      </c>
      <c r="D69" s="442">
        <f>SUM(B69-C69)</f>
        <v>1842.8577901431618</v>
      </c>
      <c r="E69" s="511"/>
    </row>
    <row r="70" spans="1:5" s="44" customFormat="1" x14ac:dyDescent="0.25">
      <c r="A70" s="109" t="s">
        <v>35</v>
      </c>
      <c r="B70" s="443">
        <f>SUM(B66:B69)</f>
        <v>-51.542649255931792</v>
      </c>
      <c r="C70" s="443">
        <f>SUM(C66:C69)</f>
        <v>-2358.9415755878026</v>
      </c>
      <c r="D70" s="443">
        <f>SUM(D66:D69)</f>
        <v>2307.3989263318708</v>
      </c>
      <c r="E70" s="511"/>
    </row>
    <row r="71" spans="1:5" s="44" customFormat="1" x14ac:dyDescent="0.25">
      <c r="A71" s="45"/>
      <c r="B71" s="445"/>
      <c r="C71" s="445"/>
      <c r="D71" s="445"/>
      <c r="E71" s="511"/>
    </row>
    <row r="72" spans="1:5" s="44" customFormat="1" x14ac:dyDescent="0.25">
      <c r="A72" s="106" t="str">
        <f>'WH - TL'!A3</f>
        <v>Whatcom - Transitional Living</v>
      </c>
      <c r="B72" s="105" t="str">
        <f>B98</f>
        <v>2018 Budget</v>
      </c>
      <c r="C72" s="436" t="str">
        <f>C98</f>
        <v>2017 Budget</v>
      </c>
      <c r="D72" s="105" t="str">
        <f>D98</f>
        <v>VARIANCE</v>
      </c>
      <c r="E72" s="508" t="s">
        <v>698</v>
      </c>
    </row>
    <row r="73" spans="1:5" s="44" customFormat="1" x14ac:dyDescent="0.25">
      <c r="A73" s="107" t="s">
        <v>30</v>
      </c>
      <c r="B73" s="108">
        <f>SUM('WH - TL'!D102)</f>
        <v>3.7337931034482756</v>
      </c>
      <c r="C73" s="447">
        <v>3.0799999999999996</v>
      </c>
      <c r="D73" s="448">
        <f>SUM(B73-C73)</f>
        <v>0.65379310344827601</v>
      </c>
      <c r="E73" s="508">
        <f>SUM(B77+B75+B76)/($B$179+$B$180)</f>
        <v>0.1051971864837529</v>
      </c>
    </row>
    <row r="74" spans="1:5" s="44" customFormat="1" x14ac:dyDescent="0.25">
      <c r="A74" s="56" t="s">
        <v>31</v>
      </c>
      <c r="B74" s="441">
        <f>SUM('WH - TL'!B95)</f>
        <v>445352</v>
      </c>
      <c r="C74" s="441">
        <v>305485.79666666663</v>
      </c>
      <c r="D74" s="442">
        <f>SUM(B74-C74)</f>
        <v>139866.20333333337</v>
      </c>
      <c r="E74" s="511"/>
    </row>
    <row r="75" spans="1:5" s="44" customFormat="1" x14ac:dyDescent="0.25">
      <c r="A75" s="56" t="s">
        <v>32</v>
      </c>
      <c r="B75" s="441">
        <f>SUM('WH - TL'!B96)</f>
        <v>-194167.5974468276</v>
      </c>
      <c r="C75" s="441">
        <v>-174139.7513827463</v>
      </c>
      <c r="D75" s="442">
        <f>SUM(B75-C75)</f>
        <v>-20027.846064081299</v>
      </c>
      <c r="E75" s="511"/>
    </row>
    <row r="76" spans="1:5" s="44" customFormat="1" x14ac:dyDescent="0.25">
      <c r="A76" s="56" t="s">
        <v>33</v>
      </c>
      <c r="B76" s="441">
        <f>SUM('WH - TL'!B97)</f>
        <v>-151149.5399657939</v>
      </c>
      <c r="C76" s="441">
        <v>-118474.89535872308</v>
      </c>
      <c r="D76" s="442">
        <f>SUM(B76-C76)</f>
        <v>-32674.644607070819</v>
      </c>
      <c r="E76" s="511"/>
    </row>
    <row r="77" spans="1:5" s="44" customFormat="1" x14ac:dyDescent="0.25">
      <c r="A77" s="56" t="s">
        <v>34</v>
      </c>
      <c r="B77" s="441">
        <f>SUM('WH - TL'!B98)</f>
        <v>-20045.464673718503</v>
      </c>
      <c r="C77" s="441">
        <v>-18961.825276519252</v>
      </c>
      <c r="D77" s="442">
        <f>SUM(B77-C77)</f>
        <v>-1083.6393971992511</v>
      </c>
      <c r="E77" s="511"/>
    </row>
    <row r="78" spans="1:5" s="44" customFormat="1" x14ac:dyDescent="0.25">
      <c r="A78" s="109" t="s">
        <v>35</v>
      </c>
      <c r="B78" s="443">
        <f>SUM(B74:B77)</f>
        <v>79989.39791366001</v>
      </c>
      <c r="C78" s="443">
        <f t="shared" ref="C78:D78" si="5">SUM(C74:C77)</f>
        <v>-6090.6753513219955</v>
      </c>
      <c r="D78" s="443">
        <f t="shared" si="5"/>
        <v>86080.073264981998</v>
      </c>
      <c r="E78" s="511"/>
    </row>
    <row r="80" spans="1:5" s="44" customFormat="1" x14ac:dyDescent="0.25">
      <c r="A80" s="106" t="str">
        <f>'WH - PERM'!A3</f>
        <v>Whatcom - Permanent Housing</v>
      </c>
      <c r="B80" s="105" t="str">
        <f>B54</f>
        <v>2018 Budget</v>
      </c>
      <c r="C80" s="436" t="str">
        <f>C54</f>
        <v>2017 Budget</v>
      </c>
      <c r="D80" s="105" t="str">
        <f>D54</f>
        <v>VARIANCE</v>
      </c>
      <c r="E80" s="508" t="s">
        <v>698</v>
      </c>
    </row>
    <row r="81" spans="1:5" s="44" customFormat="1" x14ac:dyDescent="0.25">
      <c r="A81" s="107" t="s">
        <v>30</v>
      </c>
      <c r="B81" s="108">
        <f>SUM('WH - PERM'!C102:N102)/12</f>
        <v>2.5028160919540237</v>
      </c>
      <c r="C81" s="447">
        <v>3.2574999999999998</v>
      </c>
      <c r="D81" s="448">
        <f>SUM(B81-C81)</f>
        <v>-0.75468390804597618</v>
      </c>
      <c r="E81" s="508">
        <f>SUM(B85+B83+B84)/($B$179+$B$180)</f>
        <v>4.3425553637486555E-2</v>
      </c>
    </row>
    <row r="82" spans="1:5" s="44" customFormat="1" x14ac:dyDescent="0.25">
      <c r="A82" s="56" t="s">
        <v>31</v>
      </c>
      <c r="B82" s="441">
        <f>SUM('WH - PERM'!B95)</f>
        <v>159245</v>
      </c>
      <c r="C82" s="441">
        <v>203252.50000000003</v>
      </c>
      <c r="D82" s="442">
        <f>SUM(B82-C82)</f>
        <v>-44007.500000000029</v>
      </c>
      <c r="E82" s="511"/>
    </row>
    <row r="83" spans="1:5" s="44" customFormat="1" x14ac:dyDescent="0.25">
      <c r="A83" s="56" t="s">
        <v>32</v>
      </c>
      <c r="B83" s="441">
        <f>SUM('WH - PERM'!B96)</f>
        <v>-126812.34278385933</v>
      </c>
      <c r="C83" s="441">
        <v>-182646.18200126436</v>
      </c>
      <c r="D83" s="442">
        <f>SUM(B83-C83)</f>
        <v>55833.839217405024</v>
      </c>
      <c r="E83" s="511"/>
    </row>
    <row r="84" spans="1:5" s="44" customFormat="1" x14ac:dyDescent="0.25">
      <c r="A84" s="56" t="s">
        <v>33</v>
      </c>
      <c r="B84" s="441">
        <f>SUM('WH - PERM'!B97)</f>
        <v>-10423.248984506652</v>
      </c>
      <c r="C84" s="441">
        <v>-11756.082250795334</v>
      </c>
      <c r="D84" s="442">
        <f>SUM(B84-C84)</f>
        <v>1332.8332662886824</v>
      </c>
      <c r="E84" s="511"/>
    </row>
    <row r="85" spans="1:5" s="44" customFormat="1" x14ac:dyDescent="0.25">
      <c r="A85" s="56" t="s">
        <v>34</v>
      </c>
      <c r="B85" s="441">
        <f>SUM('WH - PERM'!B98)</f>
        <v>-13586.628904640689</v>
      </c>
      <c r="C85" s="441">
        <v>-19845.738296617164</v>
      </c>
      <c r="D85" s="442">
        <f>SUM(B85-C85)</f>
        <v>6259.1093919764753</v>
      </c>
      <c r="E85" s="511"/>
    </row>
    <row r="86" spans="1:5" s="44" customFormat="1" x14ac:dyDescent="0.25">
      <c r="A86" s="109" t="s">
        <v>35</v>
      </c>
      <c r="B86" s="443">
        <f>SUM(B82:B85)</f>
        <v>8422.7793269933245</v>
      </c>
      <c r="C86" s="443">
        <f>SUM(C82:C85)</f>
        <v>-10995.502548676828</v>
      </c>
      <c r="D86" s="443">
        <f>SUM(D82:D85)</f>
        <v>19418.281875670153</v>
      </c>
      <c r="E86" s="511"/>
    </row>
    <row r="87" spans="1:5" s="44" customFormat="1" x14ac:dyDescent="0.25">
      <c r="B87" s="111"/>
      <c r="C87" s="442"/>
      <c r="D87" s="111"/>
      <c r="E87" s="511"/>
    </row>
    <row r="88" spans="1:5" s="44" customFormat="1" hidden="1" x14ac:dyDescent="0.25">
      <c r="A88" s="106" t="str">
        <f>'SK - TL'!A3</f>
        <v>Skagit - Transitional Living</v>
      </c>
      <c r="B88" s="105"/>
      <c r="C88" s="436"/>
      <c r="D88" s="46"/>
      <c r="E88" s="511"/>
    </row>
    <row r="89" spans="1:5" s="44" customFormat="1" hidden="1" x14ac:dyDescent="0.25">
      <c r="A89" s="107" t="s">
        <v>30</v>
      </c>
      <c r="B89" s="440">
        <f>SUM('SK - TL'!E102)</f>
        <v>3.2262068965517243</v>
      </c>
      <c r="C89" s="436" t="s">
        <v>36</v>
      </c>
      <c r="D89" s="111"/>
      <c r="E89" s="511"/>
    </row>
    <row r="90" spans="1:5" s="44" customFormat="1" hidden="1" x14ac:dyDescent="0.25">
      <c r="A90" s="56" t="s">
        <v>31</v>
      </c>
      <c r="B90" s="107"/>
      <c r="C90" s="441">
        <f>SUM('SK - TL'!B46)</f>
        <v>322138</v>
      </c>
      <c r="D90" s="47"/>
      <c r="E90" s="511"/>
    </row>
    <row r="91" spans="1:5" s="44" customFormat="1" hidden="1" x14ac:dyDescent="0.25">
      <c r="A91" s="56" t="s">
        <v>32</v>
      </c>
      <c r="B91" s="107"/>
      <c r="C91" s="441">
        <f>SUM('SK - TL'!B53)</f>
        <v>163157.15402979311</v>
      </c>
      <c r="D91" s="111"/>
      <c r="E91" s="511"/>
    </row>
    <row r="92" spans="1:5" s="44" customFormat="1" hidden="1" x14ac:dyDescent="0.25">
      <c r="A92" s="56" t="s">
        <v>33</v>
      </c>
      <c r="B92" s="107"/>
      <c r="C92" s="441">
        <f>SUM('SK - TL'!B83)</f>
        <v>147783.83166075608</v>
      </c>
      <c r="D92" s="111"/>
      <c r="E92" s="511"/>
    </row>
    <row r="93" spans="1:5" s="44" customFormat="1" hidden="1" x14ac:dyDescent="0.25">
      <c r="A93" s="56" t="s">
        <v>34</v>
      </c>
      <c r="B93" s="107"/>
      <c r="C93" s="441">
        <f>SUM('SK - TL'!B87)</f>
        <v>-13246.991237097456</v>
      </c>
      <c r="D93" s="111"/>
      <c r="E93" s="511"/>
    </row>
    <row r="94" spans="1:5" s="44" customFormat="1" hidden="1" x14ac:dyDescent="0.25">
      <c r="A94" s="109" t="s">
        <v>35</v>
      </c>
      <c r="B94" s="110"/>
      <c r="C94" s="443">
        <f>SUM(C90-C91-C92-C93)</f>
        <v>24444.005546548266</v>
      </c>
      <c r="D94" s="111"/>
      <c r="E94" s="511"/>
    </row>
    <row r="95" spans="1:5" s="44" customFormat="1" hidden="1" x14ac:dyDescent="0.25">
      <c r="A95" s="45"/>
      <c r="B95" s="111"/>
      <c r="C95" s="442"/>
      <c r="D95" s="111"/>
      <c r="E95" s="511"/>
    </row>
    <row r="96" spans="1:5" s="44" customFormat="1" hidden="1" x14ac:dyDescent="0.25">
      <c r="A96" s="45"/>
      <c r="B96" s="111"/>
      <c r="C96" s="442"/>
      <c r="D96" s="111"/>
      <c r="E96" s="511"/>
    </row>
    <row r="97" spans="1:5" s="44" customFormat="1" hidden="1" x14ac:dyDescent="0.25">
      <c r="A97" s="45"/>
      <c r="B97" s="111"/>
      <c r="C97" s="442"/>
      <c r="D97" s="111"/>
      <c r="E97" s="511"/>
    </row>
    <row r="98" spans="1:5" s="44" customFormat="1" x14ac:dyDescent="0.25">
      <c r="A98" s="106" t="str">
        <f>'WH-VOC'!A3</f>
        <v>Whatcom - Vocational</v>
      </c>
      <c r="B98" s="105" t="str">
        <f>B22</f>
        <v>2018 Budget</v>
      </c>
      <c r="C98" s="436" t="str">
        <f>C22</f>
        <v>2017 Budget</v>
      </c>
      <c r="D98" s="105" t="str">
        <f>D22</f>
        <v>VARIANCE</v>
      </c>
      <c r="E98" s="508" t="s">
        <v>698</v>
      </c>
    </row>
    <row r="99" spans="1:5" s="44" customFormat="1" x14ac:dyDescent="0.25">
      <c r="A99" s="107" t="s">
        <v>30</v>
      </c>
      <c r="B99" s="108">
        <f>SUM('WH-VOC'!E103)</f>
        <v>1.0451149425287356</v>
      </c>
      <c r="C99" s="447">
        <v>1.01</v>
      </c>
      <c r="D99" s="448">
        <f>SUM(B99-C99)</f>
        <v>3.5114942528735593E-2</v>
      </c>
      <c r="E99" s="508">
        <f>SUM(B103+B101+B102)/($B$179+$B$180)</f>
        <v>1.896651366258131E-2</v>
      </c>
    </row>
    <row r="100" spans="1:5" s="44" customFormat="1" x14ac:dyDescent="0.25">
      <c r="A100" s="56" t="s">
        <v>31</v>
      </c>
      <c r="B100" s="441">
        <f>SUM('WH-VOC'!B96)</f>
        <v>64787.5</v>
      </c>
      <c r="C100" s="441">
        <v>60978</v>
      </c>
      <c r="D100" s="442">
        <f>SUM(B100-C100)</f>
        <v>3809.5</v>
      </c>
      <c r="E100" s="511"/>
    </row>
    <row r="101" spans="1:5" s="44" customFormat="1" x14ac:dyDescent="0.25">
      <c r="A101" s="56" t="s">
        <v>32</v>
      </c>
      <c r="B101" s="441">
        <f>SUM('WH-VOC'!B97)</f>
        <v>-49035.977625206891</v>
      </c>
      <c r="C101" s="441">
        <v>-41116.357804858897</v>
      </c>
      <c r="D101" s="442">
        <f>SUM(B101-C101)</f>
        <v>-7919.6198203479944</v>
      </c>
      <c r="E101" s="511"/>
    </row>
    <row r="102" spans="1:5" s="44" customFormat="1" x14ac:dyDescent="0.25">
      <c r="A102" s="56" t="s">
        <v>33</v>
      </c>
      <c r="B102" s="441">
        <f>SUM('WH-VOC'!B98)</f>
        <v>-8802.2938949357376</v>
      </c>
      <c r="C102" s="441">
        <v>-12440</v>
      </c>
      <c r="D102" s="442">
        <f>SUM(B102-C102)</f>
        <v>3637.7061050642624</v>
      </c>
      <c r="E102" s="511"/>
    </row>
    <row r="103" spans="1:5" s="44" customFormat="1" x14ac:dyDescent="0.25">
      <c r="A103" s="56" t="s">
        <v>34</v>
      </c>
      <c r="B103" s="441">
        <f>SUM('WH-VOC'!B99)</f>
        <v>-8034.733413663962</v>
      </c>
      <c r="C103" s="441">
        <v>-8747.3395595480924</v>
      </c>
      <c r="D103" s="442">
        <f>SUM(B103-C103)</f>
        <v>712.60614588413046</v>
      </c>
      <c r="E103" s="511"/>
    </row>
    <row r="104" spans="1:5" s="44" customFormat="1" x14ac:dyDescent="0.25">
      <c r="A104" s="109" t="s">
        <v>35</v>
      </c>
      <c r="B104" s="443">
        <f>SUM(B100:B103)</f>
        <v>-1085.504933806591</v>
      </c>
      <c r="C104" s="443">
        <f t="shared" ref="C104:D104" si="6">SUM(C100:C103)</f>
        <v>-1325.6973644069894</v>
      </c>
      <c r="D104" s="443">
        <f t="shared" si="6"/>
        <v>240.19243060039844</v>
      </c>
      <c r="E104" s="511"/>
    </row>
    <row r="105" spans="1:5" s="44" customFormat="1" x14ac:dyDescent="0.25">
      <c r="A105" s="45"/>
      <c r="B105" s="111"/>
      <c r="C105" s="442"/>
      <c r="D105" s="111"/>
      <c r="E105" s="511"/>
    </row>
    <row r="106" spans="1:5" s="44" customFormat="1" x14ac:dyDescent="0.25">
      <c r="A106" s="46" t="str">
        <f>QYP!A3</f>
        <v>Queer Youth Project</v>
      </c>
      <c r="B106" s="105" t="str">
        <f>B80</f>
        <v>2018 Budget</v>
      </c>
      <c r="C106" s="436" t="str">
        <f>C80</f>
        <v>2017 Budget</v>
      </c>
      <c r="D106" s="105" t="str">
        <f>D80</f>
        <v>VARIANCE</v>
      </c>
      <c r="E106" s="508" t="s">
        <v>698</v>
      </c>
    </row>
    <row r="107" spans="1:5" s="44" customFormat="1" x14ac:dyDescent="0.25">
      <c r="A107" s="107" t="s">
        <v>30</v>
      </c>
      <c r="B107" s="448">
        <f>SUM(QYP!C102:N102)/12</f>
        <v>0.28499999999999992</v>
      </c>
      <c r="C107" s="450">
        <v>0.3033333333333334</v>
      </c>
      <c r="D107" s="448">
        <f>SUM(B107-C107)</f>
        <v>-1.8333333333333479E-2</v>
      </c>
      <c r="E107" s="508">
        <f>SUM(B111+B109+B110)/($B$179+$B$180)</f>
        <v>8.1990842860954014E-3</v>
      </c>
    </row>
    <row r="108" spans="1:5" s="44" customFormat="1" x14ac:dyDescent="0.25">
      <c r="A108" s="56" t="s">
        <v>31</v>
      </c>
      <c r="B108" s="441">
        <f>SUM(QYP!B95)</f>
        <v>25106</v>
      </c>
      <c r="C108" s="441">
        <v>26877.333333333332</v>
      </c>
      <c r="D108" s="442">
        <f>SUM(B108-C108)</f>
        <v>-1771.3333333333321</v>
      </c>
      <c r="E108" s="511"/>
    </row>
    <row r="109" spans="1:5" s="44" customFormat="1" x14ac:dyDescent="0.25">
      <c r="A109" s="56" t="s">
        <v>32</v>
      </c>
      <c r="B109" s="441">
        <f>SUM(QYP!B96)</f>
        <v>-13009.311531424657</v>
      </c>
      <c r="C109" s="441">
        <v>-13780.062022652055</v>
      </c>
      <c r="D109" s="442">
        <f>SUM(B109-C109)</f>
        <v>770.75049122739802</v>
      </c>
      <c r="E109" s="511"/>
    </row>
    <row r="110" spans="1:5" s="44" customFormat="1" x14ac:dyDescent="0.25">
      <c r="A110" s="56" t="s">
        <v>33</v>
      </c>
      <c r="B110" s="441">
        <f>SUM(QYP!B97)</f>
        <v>-13713.765590809628</v>
      </c>
      <c r="C110" s="441">
        <v>-10878.535759559245</v>
      </c>
      <c r="D110" s="442">
        <f>SUM(B110-C110)</f>
        <v>-2835.2298312503826</v>
      </c>
      <c r="E110" s="511"/>
    </row>
    <row r="111" spans="1:5" s="44" customFormat="1" x14ac:dyDescent="0.25">
      <c r="A111" s="56" t="s">
        <v>34</v>
      </c>
      <c r="B111" s="441">
        <f>SUM(QYP!B98)</f>
        <v>-1753.3381662648667</v>
      </c>
      <c r="C111" s="441">
        <v>-2094.9618344210821</v>
      </c>
      <c r="D111" s="442">
        <f>SUM(B111-C111)</f>
        <v>341.62366815621544</v>
      </c>
      <c r="E111" s="511"/>
    </row>
    <row r="112" spans="1:5" s="44" customFormat="1" x14ac:dyDescent="0.25">
      <c r="A112" s="109" t="s">
        <v>35</v>
      </c>
      <c r="B112" s="443">
        <f>SUM(B108:B111)</f>
        <v>-3370.4152884991513</v>
      </c>
      <c r="C112" s="443">
        <f t="shared" ref="C112:D112" si="7">SUM(C108:C111)</f>
        <v>123.77371670094999</v>
      </c>
      <c r="D112" s="443">
        <f t="shared" si="7"/>
        <v>-3494.1890052001013</v>
      </c>
      <c r="E112" s="511"/>
    </row>
    <row r="113" spans="1:5" s="44" customFormat="1" x14ac:dyDescent="0.25">
      <c r="A113" s="45"/>
      <c r="B113" s="445"/>
      <c r="C113" s="445"/>
      <c r="D113" s="445"/>
      <c r="E113" s="511"/>
    </row>
    <row r="114" spans="1:5" s="44" customFormat="1" x14ac:dyDescent="0.25">
      <c r="A114" s="45"/>
      <c r="B114" s="445"/>
      <c r="C114" s="445"/>
      <c r="D114" s="445"/>
      <c r="E114" s="511"/>
    </row>
    <row r="115" spans="1:5" s="44" customFormat="1" x14ac:dyDescent="0.25">
      <c r="A115" s="45"/>
      <c r="B115" s="445"/>
      <c r="C115" s="445"/>
      <c r="D115" s="445"/>
      <c r="E115" s="511"/>
    </row>
    <row r="116" spans="1:5" s="44" customFormat="1" x14ac:dyDescent="0.25">
      <c r="A116" s="45"/>
      <c r="B116" s="445"/>
      <c r="C116" s="445"/>
      <c r="D116" s="445"/>
      <c r="E116" s="511"/>
    </row>
    <row r="117" spans="1:5" s="44" customFormat="1" x14ac:dyDescent="0.25">
      <c r="A117" s="106" t="str">
        <f>'BH Team'!A3</f>
        <v>Behavioral Health Team</v>
      </c>
      <c r="B117" s="105" t="str">
        <f>B6</f>
        <v>2018 Budget</v>
      </c>
      <c r="C117" s="105" t="str">
        <f>C6</f>
        <v>2017 Budget</v>
      </c>
      <c r="D117" s="105" t="str">
        <f>D6</f>
        <v>VARIANCE</v>
      </c>
      <c r="E117" s="508" t="s">
        <v>698</v>
      </c>
    </row>
    <row r="118" spans="1:5" s="44" customFormat="1" x14ac:dyDescent="0.25">
      <c r="A118" s="107" t="s">
        <v>30</v>
      </c>
      <c r="B118" s="108">
        <f>SUM('BH Team'!C133:N133)/12</f>
        <v>5.4537931034482758</v>
      </c>
      <c r="C118" s="447">
        <v>0</v>
      </c>
      <c r="D118" s="448">
        <f>SUM(B118-C118)</f>
        <v>5.4537931034482758</v>
      </c>
      <c r="E118" s="508">
        <f>SUM(B122+B120+B121)/($B$179+$B$180)+0.01</f>
        <v>0.16214295426652073</v>
      </c>
    </row>
    <row r="119" spans="1:5" s="44" customFormat="1" x14ac:dyDescent="0.25">
      <c r="A119" s="56" t="s">
        <v>31</v>
      </c>
      <c r="B119" s="107">
        <f>SUM('BH Team'!B126)</f>
        <v>532155.17659593304</v>
      </c>
      <c r="C119" s="441"/>
      <c r="D119" s="442">
        <f>SUM(B119-C119)</f>
        <v>532155.17659593304</v>
      </c>
      <c r="E119" s="511"/>
    </row>
    <row r="120" spans="1:5" s="44" customFormat="1" x14ac:dyDescent="0.25">
      <c r="A120" s="56" t="s">
        <v>32</v>
      </c>
      <c r="B120" s="107">
        <f>SUM('BH Team'!B127)</f>
        <v>-339757.38897889649</v>
      </c>
      <c r="C120" s="441"/>
      <c r="D120" s="442">
        <f t="shared" ref="D120:D122" si="8">SUM(B120-C120)</f>
        <v>-339757.38897889649</v>
      </c>
      <c r="E120" s="511"/>
    </row>
    <row r="121" spans="1:5" s="44" customFormat="1" x14ac:dyDescent="0.25">
      <c r="A121" s="56" t="s">
        <v>33</v>
      </c>
      <c r="B121" s="107">
        <f>SUM('BH Team'!B128)</f>
        <v>-166259.9765084635</v>
      </c>
      <c r="C121" s="441"/>
      <c r="D121" s="442">
        <f t="shared" si="8"/>
        <v>-166259.9765084635</v>
      </c>
      <c r="E121" s="511"/>
    </row>
    <row r="122" spans="1:5" s="44" customFormat="1" x14ac:dyDescent="0.25">
      <c r="A122" s="56" t="s">
        <v>34</v>
      </c>
      <c r="B122" s="107">
        <f>SUM('BH Team'!B129)</f>
        <v>-22393.588435862905</v>
      </c>
      <c r="C122" s="441"/>
      <c r="D122" s="442">
        <f t="shared" si="8"/>
        <v>-22393.588435862905</v>
      </c>
      <c r="E122" s="511"/>
    </row>
    <row r="123" spans="1:5" s="44" customFormat="1" x14ac:dyDescent="0.25">
      <c r="A123" s="109" t="s">
        <v>35</v>
      </c>
      <c r="B123" s="110">
        <f>SUM(B119:B122)</f>
        <v>3744.2226727101443</v>
      </c>
      <c r="C123" s="110">
        <f t="shared" ref="C123:D123" si="9">SUM(C119:C122)</f>
        <v>0</v>
      </c>
      <c r="D123" s="110">
        <f t="shared" si="9"/>
        <v>3744.2226727101443</v>
      </c>
      <c r="E123" s="511"/>
    </row>
    <row r="124" spans="1:5" s="44" customFormat="1" x14ac:dyDescent="0.25">
      <c r="A124" s="45"/>
      <c r="B124" s="111"/>
      <c r="C124" s="442"/>
      <c r="D124" s="111"/>
      <c r="E124" s="511"/>
    </row>
    <row r="125" spans="1:5" s="44" customFormat="1" x14ac:dyDescent="0.25">
      <c r="A125" s="46" t="str">
        <f>'Teen Court'!A3</f>
        <v>Teen Court</v>
      </c>
      <c r="B125" s="105" t="str">
        <f>B106</f>
        <v>2018 Budget</v>
      </c>
      <c r="C125" s="436" t="str">
        <f>C106</f>
        <v>2017 Budget</v>
      </c>
      <c r="D125" s="105" t="str">
        <f>D106</f>
        <v>VARIANCE</v>
      </c>
      <c r="E125" s="508" t="s">
        <v>698</v>
      </c>
    </row>
    <row r="126" spans="1:5" s="44" customFormat="1" x14ac:dyDescent="0.25">
      <c r="A126" s="107" t="s">
        <v>30</v>
      </c>
      <c r="B126" s="448">
        <f>SUM('Teen Court'!C102:N102)/12</f>
        <v>0.76890804597701123</v>
      </c>
      <c r="C126" s="449">
        <v>0.83</v>
      </c>
      <c r="D126" s="448">
        <f>SUM(B126-C126)</f>
        <v>-6.1091954022988726E-2</v>
      </c>
      <c r="E126" s="508">
        <f>SUM(B130+B128+B129)/($B$179+$B$180)</f>
        <v>1.4712745445681154E-2</v>
      </c>
    </row>
    <row r="127" spans="1:5" s="44" customFormat="1" x14ac:dyDescent="0.25">
      <c r="A127" s="56" t="s">
        <v>31</v>
      </c>
      <c r="B127" s="441">
        <f>SUM('Teen Court'!B95)</f>
        <v>49474</v>
      </c>
      <c r="C127" s="441">
        <v>49070.58</v>
      </c>
      <c r="D127" s="442">
        <f>SUM(B127-C127)</f>
        <v>403.41999999999825</v>
      </c>
      <c r="E127" s="511"/>
    </row>
    <row r="128" spans="1:5" s="44" customFormat="1" x14ac:dyDescent="0.25">
      <c r="A128" s="56" t="s">
        <v>32</v>
      </c>
      <c r="B128" s="441">
        <f>SUM('Teen Court'!B96)</f>
        <v>-40573.038310034484</v>
      </c>
      <c r="C128" s="441">
        <v>-38350.493943000001</v>
      </c>
      <c r="D128" s="442">
        <f>SUM(B128-C128)</f>
        <v>-2222.544367034483</v>
      </c>
      <c r="E128" s="511"/>
    </row>
    <row r="129" spans="1:5" s="44" customFormat="1" x14ac:dyDescent="0.25">
      <c r="A129" s="56" t="s">
        <v>33</v>
      </c>
      <c r="B129" s="441">
        <f>SUM('Teen Court'!B97)</f>
        <v>-7544.7230972861489</v>
      </c>
      <c r="C129" s="441">
        <v>-3546.251883204739</v>
      </c>
      <c r="D129" s="442">
        <f>SUM(B129-C129)</f>
        <v>-3998.4712140814099</v>
      </c>
      <c r="E129" s="511"/>
    </row>
    <row r="130" spans="1:5" s="44" customFormat="1" x14ac:dyDescent="0.25">
      <c r="A130" s="56" t="s">
        <v>34</v>
      </c>
      <c r="B130" s="441">
        <f>SUM('Teen Court'!B98)</f>
        <v>-2981.3900010511766</v>
      </c>
      <c r="C130" s="441">
        <v>-4765.0833081367637</v>
      </c>
      <c r="D130" s="442">
        <f>SUM(B130-C130)</f>
        <v>1783.6933070855871</v>
      </c>
      <c r="E130" s="511"/>
    </row>
    <row r="131" spans="1:5" s="44" customFormat="1" x14ac:dyDescent="0.25">
      <c r="A131" s="109" t="s">
        <v>35</v>
      </c>
      <c r="B131" s="443">
        <f>SUM(B127:B130)</f>
        <v>-1625.1514083718098</v>
      </c>
      <c r="C131" s="443">
        <f t="shared" ref="C131:D131" si="10">SUM(C127:C130)</f>
        <v>2408.7508656584978</v>
      </c>
      <c r="D131" s="443">
        <f t="shared" si="10"/>
        <v>-4033.9022740303076</v>
      </c>
      <c r="E131" s="511"/>
    </row>
    <row r="132" spans="1:5" s="44" customFormat="1" x14ac:dyDescent="0.25">
      <c r="A132" s="45"/>
      <c r="B132" s="111"/>
      <c r="C132" s="442"/>
      <c r="D132" s="111"/>
      <c r="E132" s="511"/>
    </row>
    <row r="133" spans="1:5" x14ac:dyDescent="0.25">
      <c r="A133" s="46" t="str">
        <f>'SK - HUSLY'!A3</f>
        <v>Skagit - HUSLY</v>
      </c>
      <c r="B133" s="105" t="str">
        <f>B125</f>
        <v>2018 Budget</v>
      </c>
      <c r="C133" s="105" t="str">
        <f t="shared" ref="C133:D133" si="11">C125</f>
        <v>2017 Budget</v>
      </c>
      <c r="D133" s="105" t="str">
        <f t="shared" si="11"/>
        <v>VARIANCE</v>
      </c>
      <c r="E133" s="508" t="s">
        <v>698</v>
      </c>
    </row>
    <row r="134" spans="1:5" x14ac:dyDescent="0.25">
      <c r="A134" s="107" t="s">
        <v>30</v>
      </c>
      <c r="B134" s="448">
        <f>SUM('SK - HUSLY'!C102:N102)/12</f>
        <v>0.62344827586206886</v>
      </c>
      <c r="C134" s="450">
        <v>0</v>
      </c>
      <c r="D134" s="448">
        <f>SUM(B134-C134)</f>
        <v>0.62344827586206886</v>
      </c>
      <c r="E134" s="508">
        <f>SUM(B138+B136+B137)/($B$179+$B$180)</f>
        <v>2.379105845017724E-2</v>
      </c>
    </row>
    <row r="135" spans="1:5" x14ac:dyDescent="0.25">
      <c r="A135" s="56" t="s">
        <v>31</v>
      </c>
      <c r="B135" s="441">
        <f>SUM('SK - HUSLY'!B95)</f>
        <v>82443.856666666645</v>
      </c>
      <c r="C135" s="441">
        <v>0</v>
      </c>
      <c r="D135" s="442">
        <f>SUM(B135-C135)</f>
        <v>82443.856666666645</v>
      </c>
    </row>
    <row r="136" spans="1:5" x14ac:dyDescent="0.25">
      <c r="A136" s="56" t="s">
        <v>32</v>
      </c>
      <c r="B136" s="441">
        <f>SUM('SK - HUSLY'!B96)</f>
        <v>-24301.69997255172</v>
      </c>
      <c r="C136" s="441">
        <v>0</v>
      </c>
      <c r="D136" s="446">
        <f>SUM(B136-C136)</f>
        <v>-24301.69997255172</v>
      </c>
    </row>
    <row r="137" spans="1:5" x14ac:dyDescent="0.25">
      <c r="A137" s="56" t="s">
        <v>33</v>
      </c>
      <c r="B137" s="441">
        <f>SUM('SK - HUSLY'!B97)</f>
        <v>-55767.620312382103</v>
      </c>
      <c r="C137" s="441">
        <v>0</v>
      </c>
      <c r="D137" s="446">
        <f>SUM(B137-C137)</f>
        <v>-55767.620312382103</v>
      </c>
    </row>
    <row r="138" spans="1:5" x14ac:dyDescent="0.25">
      <c r="A138" s="56" t="s">
        <v>34</v>
      </c>
      <c r="B138" s="441">
        <f>SUM('SK - HUSLY'!B98)</f>
        <v>-2559.914510118876</v>
      </c>
      <c r="C138" s="441">
        <v>0</v>
      </c>
      <c r="D138" s="442">
        <f>SUM(B138-C138)</f>
        <v>-2559.914510118876</v>
      </c>
    </row>
    <row r="139" spans="1:5" x14ac:dyDescent="0.25">
      <c r="A139" s="109" t="s">
        <v>35</v>
      </c>
      <c r="B139" s="443">
        <f>SUM(B135:B138)</f>
        <v>-185.37812838605805</v>
      </c>
      <c r="C139" s="443">
        <f t="shared" ref="C139" si="12">SUM(C135:C138)</f>
        <v>0</v>
      </c>
      <c r="D139" s="443">
        <f t="shared" ref="D139" si="13">SUM(D135:D138)</f>
        <v>-185.37812838605805</v>
      </c>
    </row>
    <row r="140" spans="1:5" s="44" customFormat="1" x14ac:dyDescent="0.25">
      <c r="A140" s="45"/>
      <c r="B140" s="111"/>
      <c r="C140" s="442"/>
      <c r="D140" s="111"/>
      <c r="E140" s="511"/>
    </row>
    <row r="141" spans="1:5" s="44" customFormat="1" x14ac:dyDescent="0.25">
      <c r="A141" s="46" t="str">
        <f>'SK - TL'!A3</f>
        <v>Skagit - Transitional Living</v>
      </c>
      <c r="B141" s="105" t="str">
        <f>B30</f>
        <v>2018 Budget</v>
      </c>
      <c r="C141" s="436" t="str">
        <f>C30</f>
        <v>2017 Budget</v>
      </c>
      <c r="D141" s="105" t="str">
        <f>D30</f>
        <v>VARIANCE</v>
      </c>
      <c r="E141" s="508" t="s">
        <v>698</v>
      </c>
    </row>
    <row r="142" spans="1:5" x14ac:dyDescent="0.25">
      <c r="A142" s="107" t="s">
        <v>30</v>
      </c>
      <c r="B142" s="448">
        <f>SUM('SK - TL'!C102:N102)/12</f>
        <v>3.2262068965517234</v>
      </c>
      <c r="C142" s="450">
        <v>3.350000000000001</v>
      </c>
      <c r="D142" s="448">
        <f>SUM(B142-C142)</f>
        <v>-0.12379310344827754</v>
      </c>
      <c r="E142" s="508">
        <f>SUM(B146+B144+B145)/($B$179+$B$180)+0.01</f>
        <v>0.1033419645850592</v>
      </c>
    </row>
    <row r="143" spans="1:5" x14ac:dyDescent="0.25">
      <c r="A143" s="56" t="s">
        <v>31</v>
      </c>
      <c r="B143" s="441">
        <f>SUM('SK - TL'!B95)</f>
        <v>322138</v>
      </c>
      <c r="C143" s="441">
        <v>318467.80000000005</v>
      </c>
      <c r="D143" s="442">
        <f>SUM(B143-C143)</f>
        <v>3670.1999999999534</v>
      </c>
    </row>
    <row r="144" spans="1:5" x14ac:dyDescent="0.25">
      <c r="A144" s="56" t="s">
        <v>32</v>
      </c>
      <c r="B144" s="441">
        <f>SUM('SK - TL'!B96)</f>
        <v>-163157.15402979311</v>
      </c>
      <c r="C144" s="441">
        <v>-157056.41661000001</v>
      </c>
      <c r="D144" s="446">
        <f>SUM(B144-C144)</f>
        <v>-6100.7374197930912</v>
      </c>
    </row>
    <row r="145" spans="1:5" x14ac:dyDescent="0.25">
      <c r="A145" s="56" t="s">
        <v>33</v>
      </c>
      <c r="B145" s="441">
        <f>SUM('SK - TL'!B97)</f>
        <v>-147783.83166075608</v>
      </c>
      <c r="C145" s="441">
        <v>-152602.39511646616</v>
      </c>
      <c r="D145" s="446">
        <f>SUM(B145-C145)</f>
        <v>4818.5634557100711</v>
      </c>
    </row>
    <row r="146" spans="1:5" x14ac:dyDescent="0.25">
      <c r="A146" s="56" t="s">
        <v>34</v>
      </c>
      <c r="B146" s="441">
        <f>SUM('SK - TL'!B98)</f>
        <v>-13246.991237097456</v>
      </c>
      <c r="C146" s="441">
        <v>-14916.367087217881</v>
      </c>
      <c r="D146" s="442">
        <f>SUM(B146-C146)</f>
        <v>1669.3758501204247</v>
      </c>
    </row>
    <row r="147" spans="1:5" x14ac:dyDescent="0.25">
      <c r="A147" s="109" t="s">
        <v>35</v>
      </c>
      <c r="B147" s="443">
        <f>SUM(B143:B146)</f>
        <v>-2049.9769276466468</v>
      </c>
      <c r="C147" s="443">
        <f t="shared" ref="C147:D147" si="14">SUM(C143:C146)</f>
        <v>-6107.3788136840049</v>
      </c>
      <c r="D147" s="443">
        <f t="shared" si="14"/>
        <v>4057.4018860373581</v>
      </c>
    </row>
    <row r="149" spans="1:5" s="44" customFormat="1" x14ac:dyDescent="0.25">
      <c r="A149" s="45"/>
      <c r="B149" s="111"/>
      <c r="C149" s="442"/>
      <c r="D149" s="111"/>
      <c r="E149" s="511"/>
    </row>
    <row r="150" spans="1:5" s="44" customFormat="1" x14ac:dyDescent="0.25">
      <c r="A150" s="46" t="str">
        <f>'SK - PERM'!A3</f>
        <v>Skagit - Permanent Housing</v>
      </c>
      <c r="B150" s="105" t="str">
        <f>B141</f>
        <v>2018 Budget</v>
      </c>
      <c r="C150" s="105" t="str">
        <f t="shared" ref="C150:D150" si="15">C141</f>
        <v>2017 Budget</v>
      </c>
      <c r="D150" s="105" t="str">
        <f t="shared" si="15"/>
        <v>VARIANCE</v>
      </c>
      <c r="E150" s="508" t="s">
        <v>698</v>
      </c>
    </row>
    <row r="151" spans="1:5" s="44" customFormat="1" x14ac:dyDescent="0.25">
      <c r="A151" s="107" t="s">
        <v>30</v>
      </c>
      <c r="B151" s="448">
        <f>SUM('SK - PERM'!C102:N102)/12</f>
        <v>0.61482758620689648</v>
      </c>
      <c r="C151" s="450">
        <v>0.63416666666666688</v>
      </c>
      <c r="D151" s="448">
        <f>SUM(B151-C151)</f>
        <v>-1.9339080459770397E-2</v>
      </c>
      <c r="E151" s="508">
        <f>SUM(B155+B153+B154)/($B$179+$B$180)</f>
        <v>1.8400919962549316E-2</v>
      </c>
    </row>
    <row r="152" spans="1:5" s="44" customFormat="1" x14ac:dyDescent="0.25">
      <c r="A152" s="56" t="s">
        <v>31</v>
      </c>
      <c r="B152" s="441">
        <f>SUM('SK - PERM'!B95)</f>
        <v>65093.185728631412</v>
      </c>
      <c r="C152" s="441">
        <v>64562.65374215287</v>
      </c>
      <c r="D152" s="446">
        <f>SUM(B152-C152)</f>
        <v>530.53198647854151</v>
      </c>
      <c r="E152" s="511"/>
    </row>
    <row r="153" spans="1:5" s="44" customFormat="1" x14ac:dyDescent="0.25">
      <c r="A153" s="56" t="s">
        <v>32</v>
      </c>
      <c r="B153" s="441">
        <f>SUM('SK - PERM'!B96)</f>
        <v>-23916.957551448279</v>
      </c>
      <c r="C153" s="441">
        <v>-21387.078069000007</v>
      </c>
      <c r="D153" s="446">
        <f>SUM(B153-C153)</f>
        <v>-2529.879482448272</v>
      </c>
      <c r="E153" s="511"/>
    </row>
    <row r="154" spans="1:5" s="44" customFormat="1" x14ac:dyDescent="0.25">
      <c r="A154" s="56" t="s">
        <v>33</v>
      </c>
      <c r="B154" s="441">
        <f>SUM('SK - PERM'!B97)</f>
        <v>-37467.154323549388</v>
      </c>
      <c r="C154" s="441">
        <v>-37236.515884588196</v>
      </c>
      <c r="D154" s="442">
        <f>SUM(B154-C154)</f>
        <v>-230.63843896119215</v>
      </c>
      <c r="E154" s="511"/>
    </row>
    <row r="155" spans="1:5" s="44" customFormat="1" x14ac:dyDescent="0.25">
      <c r="A155" s="56" t="s">
        <v>34</v>
      </c>
      <c r="B155" s="441">
        <f>SUM('SK - PERM'!B98)</f>
        <v>-2524.517462136037</v>
      </c>
      <c r="C155" s="441">
        <v>-3267.4528500612532</v>
      </c>
      <c r="D155" s="442">
        <f>SUM(B155-C155)</f>
        <v>742.93538792521622</v>
      </c>
      <c r="E155" s="511"/>
    </row>
    <row r="156" spans="1:5" s="44" customFormat="1" x14ac:dyDescent="0.25">
      <c r="A156" s="109" t="s">
        <v>35</v>
      </c>
      <c r="B156" s="443">
        <f>SUM(B152:B155)</f>
        <v>1184.5563914977079</v>
      </c>
      <c r="C156" s="443">
        <f t="shared" ref="C156:D156" si="16">SUM(C152:C155)</f>
        <v>2671.606938503418</v>
      </c>
      <c r="D156" s="443">
        <f t="shared" si="16"/>
        <v>-1487.0505470057064</v>
      </c>
      <c r="E156" s="511"/>
    </row>
    <row r="157" spans="1:5" s="44" customFormat="1" x14ac:dyDescent="0.25">
      <c r="A157" s="45"/>
      <c r="B157" s="111"/>
      <c r="C157" s="442"/>
      <c r="D157" s="111"/>
      <c r="E157" s="511"/>
    </row>
    <row r="158" spans="1:5" s="44" customFormat="1" x14ac:dyDescent="0.25">
      <c r="A158" s="45"/>
      <c r="B158" s="111"/>
      <c r="C158" s="442"/>
      <c r="D158" s="111"/>
      <c r="E158" s="511"/>
    </row>
    <row r="159" spans="1:5" s="44" customFormat="1" x14ac:dyDescent="0.25">
      <c r="A159" s="45"/>
      <c r="B159" s="111"/>
      <c r="C159" s="442"/>
      <c r="D159" s="111"/>
      <c r="E159" s="511"/>
    </row>
    <row r="160" spans="1:5" x14ac:dyDescent="0.25">
      <c r="A160" s="46" t="str">
        <f>'SK - VOC'!A3</f>
        <v>Skagit - Vocational</v>
      </c>
      <c r="B160" s="105" t="str">
        <f>B133</f>
        <v>2018 Budget</v>
      </c>
      <c r="C160" s="105" t="str">
        <f t="shared" ref="C160:D160" si="17">C133</f>
        <v>2017 Budget</v>
      </c>
      <c r="D160" s="105" t="str">
        <f t="shared" si="17"/>
        <v>VARIANCE</v>
      </c>
      <c r="E160" s="508" t="s">
        <v>698</v>
      </c>
    </row>
    <row r="161" spans="1:5" x14ac:dyDescent="0.25">
      <c r="A161" s="107" t="s">
        <v>30</v>
      </c>
      <c r="B161" s="448">
        <f>SUM('SK - VOC'!C102:N102)/12</f>
        <v>0.51999999999999991</v>
      </c>
      <c r="C161" s="450">
        <v>0</v>
      </c>
      <c r="D161" s="448">
        <f>SUM(B161-C161)</f>
        <v>0.51999999999999991</v>
      </c>
      <c r="E161" s="508">
        <f>SUM(B165+B163+B164)/($B$179+$B$180)</f>
        <v>7.1827218267441761E-3</v>
      </c>
    </row>
    <row r="162" spans="1:5" x14ac:dyDescent="0.25">
      <c r="A162" s="56" t="s">
        <v>31</v>
      </c>
      <c r="B162" s="441">
        <f>SUM('SK - VOC'!B95)</f>
        <v>25000</v>
      </c>
      <c r="C162" s="441">
        <v>0</v>
      </c>
      <c r="D162" s="442">
        <f>SUM(B162-C162)</f>
        <v>25000</v>
      </c>
    </row>
    <row r="163" spans="1:5" x14ac:dyDescent="0.25">
      <c r="A163" s="56" t="s">
        <v>32</v>
      </c>
      <c r="B163" s="441">
        <f>SUM('SK - VOC'!B96)</f>
        <v>-21751.286676000007</v>
      </c>
      <c r="C163" s="441">
        <v>0</v>
      </c>
      <c r="D163" s="446">
        <f>SUM(B163-C163)</f>
        <v>-21751.286676000007</v>
      </c>
    </row>
    <row r="164" spans="1:5" x14ac:dyDescent="0.25">
      <c r="A164" s="56" t="s">
        <v>33</v>
      </c>
      <c r="B164" s="441">
        <f>SUM('SK - VOC'!B97)</f>
        <v>-1060.0284463894966</v>
      </c>
      <c r="C164" s="441">
        <v>0</v>
      </c>
      <c r="D164" s="446">
        <f>SUM(B164-C164)</f>
        <v>-1060.0284463894966</v>
      </c>
    </row>
    <row r="165" spans="1:5" x14ac:dyDescent="0.25">
      <c r="A165" s="56" t="s">
        <v>34</v>
      </c>
      <c r="B165" s="441">
        <f>SUM('SK - VOC'!B98)</f>
        <v>-2135.1499343248147</v>
      </c>
      <c r="C165" s="441">
        <v>0</v>
      </c>
      <c r="D165" s="442">
        <f>SUM(B165-C165)</f>
        <v>-2135.1499343248147</v>
      </c>
    </row>
    <row r="166" spans="1:5" x14ac:dyDescent="0.25">
      <c r="A166" s="109" t="s">
        <v>35</v>
      </c>
      <c r="B166" s="443">
        <f>SUM(B162:B165)</f>
        <v>53.534943285681493</v>
      </c>
      <c r="C166" s="443">
        <f t="shared" ref="C166" si="18">SUM(C162:C165)</f>
        <v>0</v>
      </c>
      <c r="D166" s="443">
        <f t="shared" ref="D166" si="19">SUM(D162:D165)</f>
        <v>53.534943285681493</v>
      </c>
    </row>
    <row r="167" spans="1:5" s="44" customFormat="1" x14ac:dyDescent="0.25">
      <c r="A167" s="45"/>
      <c r="B167" s="111"/>
      <c r="C167" s="442"/>
      <c r="D167" s="111"/>
      <c r="E167" s="511"/>
    </row>
    <row r="168" spans="1:5" s="44" customFormat="1" x14ac:dyDescent="0.25">
      <c r="A168" s="46" t="str">
        <f>'22 North'!A3</f>
        <v>22 North Project</v>
      </c>
      <c r="B168" s="47" t="str">
        <f>B160</f>
        <v>2018 Budget</v>
      </c>
      <c r="C168" s="47" t="str">
        <f t="shared" ref="C168:D168" si="20">C160</f>
        <v>2017 Budget</v>
      </c>
      <c r="D168" s="47" t="str">
        <f t="shared" si="20"/>
        <v>VARIANCE</v>
      </c>
      <c r="E168" s="508" t="s">
        <v>698</v>
      </c>
    </row>
    <row r="169" spans="1:5" s="44" customFormat="1" x14ac:dyDescent="0.25">
      <c r="A169" s="107" t="s">
        <v>30</v>
      </c>
      <c r="B169" s="448">
        <f>SUM('22 North'!C102:N102)/12</f>
        <v>1.4109195402298853</v>
      </c>
      <c r="C169" s="450">
        <v>0</v>
      </c>
      <c r="D169" s="448">
        <f>SUM(B169-C169)</f>
        <v>1.4109195402298853</v>
      </c>
      <c r="E169" s="508">
        <f>SUM(B173+B171+B172)/($B$179+$B$180)</f>
        <v>4.4633570444916296E-2</v>
      </c>
    </row>
    <row r="170" spans="1:5" s="44" customFormat="1" x14ac:dyDescent="0.25">
      <c r="A170" s="56" t="s">
        <v>31</v>
      </c>
      <c r="B170" s="441">
        <f>SUM('22 North'!B95)</f>
        <v>162691.33333333331</v>
      </c>
      <c r="C170" s="441">
        <v>0</v>
      </c>
      <c r="D170" s="442">
        <f>SUM(B170-C170)</f>
        <v>162691.33333333331</v>
      </c>
      <c r="E170" s="511"/>
    </row>
    <row r="171" spans="1:5" s="44" customFormat="1" x14ac:dyDescent="0.25">
      <c r="A171" s="56" t="s">
        <v>32</v>
      </c>
      <c r="B171" s="441">
        <f>SUM('22 North'!B96)</f>
        <v>-70595.697585775881</v>
      </c>
      <c r="C171" s="441">
        <v>0</v>
      </c>
      <c r="D171" s="446">
        <f>SUM(B171-C171)</f>
        <v>-70595.697585775881</v>
      </c>
      <c r="E171" s="511"/>
    </row>
    <row r="172" spans="1:5" s="44" customFormat="1" x14ac:dyDescent="0.25">
      <c r="A172" s="56" t="s">
        <v>33</v>
      </c>
      <c r="B172" s="441">
        <f>SUM('22 North'!B97)</f>
        <v>-80636.998663824546</v>
      </c>
      <c r="C172" s="441">
        <v>0</v>
      </c>
      <c r="D172" s="446">
        <f>SUM(B172-C172)</f>
        <v>-80636.998663824546</v>
      </c>
      <c r="E172" s="511"/>
    </row>
    <row r="173" spans="1:5" s="44" customFormat="1" x14ac:dyDescent="0.25">
      <c r="A173" s="56" t="s">
        <v>34</v>
      </c>
      <c r="B173" s="441">
        <f>SUM('22 North'!B98)</f>
        <v>-3785.1134774417278</v>
      </c>
      <c r="C173" s="441">
        <v>0</v>
      </c>
      <c r="D173" s="442">
        <f>SUM(B173-C173)</f>
        <v>-3785.1134774417278</v>
      </c>
      <c r="E173" s="511"/>
    </row>
    <row r="174" spans="1:5" s="44" customFormat="1" x14ac:dyDescent="0.25">
      <c r="A174" s="109" t="s">
        <v>35</v>
      </c>
      <c r="B174" s="443">
        <f>SUM(B170:B173)</f>
        <v>7673.523606291159</v>
      </c>
      <c r="C174" s="443">
        <f t="shared" ref="C174:D174" si="21">SUM(C170:C173)</f>
        <v>0</v>
      </c>
      <c r="D174" s="443">
        <f t="shared" si="21"/>
        <v>7673.523606291159</v>
      </c>
      <c r="E174" s="511"/>
    </row>
    <row r="175" spans="1:5" s="44" customFormat="1" x14ac:dyDescent="0.25">
      <c r="A175" s="45"/>
      <c r="B175" s="111"/>
      <c r="C175" s="442"/>
      <c r="D175" s="111"/>
      <c r="E175" s="511"/>
    </row>
    <row r="176" spans="1:5" s="44" customFormat="1" ht="29.25" customHeight="1" x14ac:dyDescent="0.25">
      <c r="A176" s="106" t="s">
        <v>37</v>
      </c>
      <c r="B176" s="105" t="str">
        <f>B160</f>
        <v>2018 Budget</v>
      </c>
      <c r="C176" s="105" t="str">
        <f>C160</f>
        <v>2017 Budget</v>
      </c>
      <c r="D176" s="105" t="str">
        <f>D160</f>
        <v>VARIANCE</v>
      </c>
      <c r="E176" s="508" t="s">
        <v>698</v>
      </c>
    </row>
    <row r="177" spans="1:6" s="44" customFormat="1" x14ac:dyDescent="0.25">
      <c r="A177" s="107" t="s">
        <v>30</v>
      </c>
      <c r="B177" s="451">
        <f>SUM(B7+B15+B23+B31+B55+B65+B73+B81+B99+B107+B118+B126+B134+B142+B151+B161)</f>
        <v>46.02879310344828</v>
      </c>
      <c r="C177" s="451">
        <f>SUM(C7+C15+C23+C31+C55+C65+C73+C81+C99+C107+C118+C126+C134+C142+C151+C161)</f>
        <v>37.912499999999994</v>
      </c>
      <c r="D177" s="448">
        <f>SUM(B177-C177)</f>
        <v>8.1162931034482853</v>
      </c>
      <c r="E177" s="508">
        <f>SUM(B181+B179+B180)/($B$179+$B$180)</f>
        <v>1.0000000417310853</v>
      </c>
      <c r="F177" s="509">
        <f>SUM(E7+E15+E23+E31+E55+E65+E73+E81+E99+E107+E118+E126+E134+E142+E151+E161+E169)</f>
        <v>1.0063022643217201</v>
      </c>
    </row>
    <row r="178" spans="1:6" s="44" customFormat="1" x14ac:dyDescent="0.25">
      <c r="A178" s="56" t="s">
        <v>31</v>
      </c>
      <c r="B178" s="452">
        <f>SUM(B8+B16+B24+B32+B56+B66+B74+B82+B100+B108+B119+B127+B135+B143+B152+B162+B170)</f>
        <v>3536036.683643817</v>
      </c>
      <c r="C178" s="452">
        <f>SUM(C8+C16+C24+C32+C56+C66+C74+C82+C100+C108+C119+C127+C135+C143+C152+C162)</f>
        <v>2461346.5708855675</v>
      </c>
      <c r="D178" s="442">
        <f>SUM(B178-C178)</f>
        <v>1074690.1127582495</v>
      </c>
      <c r="E178" s="511"/>
    </row>
    <row r="179" spans="1:6" s="44" customFormat="1" x14ac:dyDescent="0.25">
      <c r="A179" s="56" t="s">
        <v>32</v>
      </c>
      <c r="B179" s="452">
        <f t="shared" ref="B179:B180" si="22">SUM(B9+B17+B25+B33+B57+B67+B75+B83+B101+B109+B120+B128+B136+B144+B153+B163+B171)</f>
        <v>-2428312.2216675426</v>
      </c>
      <c r="C179" s="452">
        <f>SUM(C9+C17+C25+C33+C57+C67+C75+C83+C101+C109+C120+C128+C136+C144+C153+C163)</f>
        <v>-1721781.0658351562</v>
      </c>
      <c r="D179" s="442">
        <f>SUM(B179-C179)</f>
        <v>-706531.15583238634</v>
      </c>
      <c r="E179" s="511"/>
    </row>
    <row r="180" spans="1:6" s="44" customFormat="1" x14ac:dyDescent="0.25">
      <c r="A180" s="56" t="s">
        <v>33</v>
      </c>
      <c r="B180" s="452">
        <f t="shared" si="22"/>
        <v>-1044809.2020006478</v>
      </c>
      <c r="C180" s="452">
        <f>SUM(C10+C18+C26+C34+C58+C68+C76+C84+C102+C110+C121+C129+C137+C145+C154+C164)</f>
        <v>-688119.24719766644</v>
      </c>
      <c r="D180" s="442">
        <f>SUM(B180-C180)</f>
        <v>-356689.95480298134</v>
      </c>
      <c r="E180" s="511"/>
    </row>
    <row r="181" spans="1:6" s="44" customFormat="1" x14ac:dyDescent="0.25">
      <c r="A181" s="56" t="s">
        <v>34</v>
      </c>
      <c r="B181" s="452">
        <f>SUM(B11+B19+B27+B35+B59+B69+B77+B85+B103+B111+B122+B130+B138+B146+B155+B165+B173)-1019-418</f>
        <v>-0.14493712615876575</v>
      </c>
      <c r="C181" s="452">
        <v>0</v>
      </c>
      <c r="D181" s="442">
        <f>SUM(B181-C181)</f>
        <v>-0.14493712615876575</v>
      </c>
      <c r="E181" s="511"/>
    </row>
    <row r="182" spans="1:6" s="44" customFormat="1" x14ac:dyDescent="0.25">
      <c r="A182" s="109" t="s">
        <v>35</v>
      </c>
      <c r="B182" s="110">
        <f>SUM(B178:B181)</f>
        <v>62915.115038500444</v>
      </c>
      <c r="C182" s="110">
        <f t="shared" ref="C182:D182" si="23">SUM(C178:C181)</f>
        <v>51446.257852744777</v>
      </c>
      <c r="D182" s="110">
        <f t="shared" si="23"/>
        <v>11468.857185755664</v>
      </c>
      <c r="E182" s="506"/>
    </row>
    <row r="183" spans="1:6" s="44" customFormat="1" x14ac:dyDescent="0.25">
      <c r="B183" s="111"/>
      <c r="C183" s="442"/>
      <c r="D183" s="111"/>
      <c r="E183" s="511"/>
    </row>
    <row r="184" spans="1:6" s="44" customFormat="1" x14ac:dyDescent="0.25">
      <c r="A184" s="45" t="s">
        <v>565</v>
      </c>
      <c r="B184" s="111">
        <f>SUM('Summary by Month'!O126)</f>
        <v>62915.177957870255</v>
      </c>
      <c r="C184" s="442"/>
      <c r="D184" s="111"/>
      <c r="E184" s="511"/>
    </row>
    <row r="185" spans="1:6" s="44" customFormat="1" x14ac:dyDescent="0.25">
      <c r="A185" s="45" t="s">
        <v>564</v>
      </c>
      <c r="B185" s="111">
        <f>SUM(CMS!B99+Fundraising!B99+HSSP!B99+'WH - SOP'!B99+'WH - PAD'!B99+'WH - HUSLY'!B99+'WH - TL'!B99+'WH - PERM'!B99+'WH-VOC'!B100+QYP!B99+'BH Team'!B130+'Teen Court'!B99+'SK - HUSLY'!B99+'SK - TL'!B99+'SK - PERM'!B99+'SK - VOC'!B99+'22 North'!B99)-1017-420</f>
        <v>62915.115038500859</v>
      </c>
      <c r="C185" s="442"/>
      <c r="D185" s="111"/>
      <c r="E185" s="511"/>
    </row>
    <row r="186" spans="1:6" s="44" customFormat="1" x14ac:dyDescent="0.25">
      <c r="B186" s="111">
        <f>SUM(B184-B185)</f>
        <v>6.2919369396695402E-2</v>
      </c>
      <c r="C186" s="442"/>
      <c r="D186" s="111"/>
      <c r="E186" s="511"/>
    </row>
    <row r="187" spans="1:6" s="44" customFormat="1" x14ac:dyDescent="0.25">
      <c r="B187" s="111"/>
      <c r="C187" s="442"/>
      <c r="D187" s="111"/>
      <c r="E187" s="511"/>
    </row>
    <row r="188" spans="1:6" s="44" customFormat="1" x14ac:dyDescent="0.25">
      <c r="B188" s="111"/>
      <c r="C188" s="442"/>
      <c r="D188" s="111"/>
      <c r="E188" s="511"/>
    </row>
    <row r="189" spans="1:6" s="44" customFormat="1" x14ac:dyDescent="0.25">
      <c r="A189" s="45"/>
      <c r="B189" s="46"/>
      <c r="C189" s="445"/>
      <c r="D189" s="46"/>
      <c r="E189" s="511"/>
    </row>
    <row r="190" spans="1:6" s="44" customFormat="1" x14ac:dyDescent="0.25">
      <c r="A190" s="45"/>
      <c r="B190" s="111"/>
      <c r="C190" s="442"/>
      <c r="D190" s="111"/>
      <c r="E190" s="511"/>
    </row>
    <row r="191" spans="1:6" s="44" customFormat="1" x14ac:dyDescent="0.25">
      <c r="B191" s="47"/>
      <c r="C191" s="444"/>
      <c r="D191" s="47"/>
      <c r="E191" s="511"/>
    </row>
    <row r="192" spans="1:6" s="44" customFormat="1" x14ac:dyDescent="0.25">
      <c r="B192" s="111"/>
      <c r="C192" s="442"/>
      <c r="D192" s="111"/>
      <c r="E192" s="511"/>
    </row>
    <row r="193" spans="1:5" s="44" customFormat="1" x14ac:dyDescent="0.25">
      <c r="A193" s="45"/>
      <c r="B193" s="111"/>
      <c r="C193" s="442"/>
      <c r="D193" s="111"/>
      <c r="E193" s="511"/>
    </row>
    <row r="194" spans="1:5" s="44" customFormat="1" x14ac:dyDescent="0.25">
      <c r="B194" s="111"/>
      <c r="C194" s="442"/>
      <c r="D194" s="111"/>
      <c r="E194" s="511"/>
    </row>
    <row r="195" spans="1:5" s="44" customFormat="1" x14ac:dyDescent="0.25">
      <c r="B195" s="111"/>
      <c r="C195" s="442"/>
      <c r="D195" s="111"/>
      <c r="E195" s="511"/>
    </row>
    <row r="196" spans="1:5" s="44" customFormat="1" x14ac:dyDescent="0.25">
      <c r="B196" s="111"/>
      <c r="C196" s="442"/>
      <c r="D196" s="111"/>
      <c r="E196" s="511"/>
    </row>
    <row r="197" spans="1:5" s="44" customFormat="1" x14ac:dyDescent="0.25">
      <c r="B197" s="111"/>
      <c r="C197" s="442"/>
      <c r="D197" s="111"/>
      <c r="E197" s="511"/>
    </row>
    <row r="198" spans="1:5" s="44" customFormat="1" x14ac:dyDescent="0.25">
      <c r="A198" s="45"/>
      <c r="B198" s="46"/>
      <c r="C198" s="445"/>
      <c r="D198" s="46"/>
      <c r="E198" s="511"/>
    </row>
    <row r="199" spans="1:5" s="44" customFormat="1" x14ac:dyDescent="0.25">
      <c r="A199" s="45"/>
      <c r="B199" s="111"/>
      <c r="C199" s="442"/>
      <c r="D199" s="111"/>
      <c r="E199" s="511"/>
    </row>
    <row r="200" spans="1:5" s="44" customFormat="1" x14ac:dyDescent="0.25">
      <c r="A200" s="45"/>
      <c r="B200" s="111"/>
      <c r="C200" s="442"/>
      <c r="D200" s="111"/>
      <c r="E200" s="511"/>
    </row>
    <row r="201" spans="1:5" s="44" customFormat="1" x14ac:dyDescent="0.25">
      <c r="B201" s="47"/>
      <c r="C201" s="444"/>
      <c r="D201" s="47"/>
      <c r="E201" s="511"/>
    </row>
    <row r="202" spans="1:5" s="44" customFormat="1" x14ac:dyDescent="0.25">
      <c r="B202" s="111"/>
      <c r="C202" s="442"/>
      <c r="D202" s="111"/>
      <c r="E202" s="511"/>
    </row>
    <row r="203" spans="1:5" s="44" customFormat="1" x14ac:dyDescent="0.25">
      <c r="A203" s="45"/>
      <c r="B203" s="111"/>
      <c r="C203" s="442"/>
      <c r="D203" s="111"/>
      <c r="E203" s="511"/>
    </row>
    <row r="204" spans="1:5" s="44" customFormat="1" x14ac:dyDescent="0.25">
      <c r="B204" s="111"/>
      <c r="C204" s="442"/>
      <c r="D204" s="111"/>
      <c r="E204" s="511"/>
    </row>
    <row r="205" spans="1:5" s="44" customFormat="1" x14ac:dyDescent="0.25">
      <c r="B205" s="111"/>
      <c r="C205" s="442"/>
      <c r="D205" s="111"/>
      <c r="E205" s="511"/>
    </row>
    <row r="206" spans="1:5" s="44" customFormat="1" x14ac:dyDescent="0.25">
      <c r="B206" s="111"/>
      <c r="C206" s="442"/>
      <c r="D206" s="111"/>
      <c r="E206" s="511"/>
    </row>
    <row r="207" spans="1:5" s="44" customFormat="1" x14ac:dyDescent="0.25">
      <c r="B207" s="111"/>
      <c r="C207" s="442"/>
      <c r="D207" s="111"/>
      <c r="E207" s="511"/>
    </row>
    <row r="208" spans="1:5" s="44" customFormat="1" x14ac:dyDescent="0.25">
      <c r="A208" s="45"/>
      <c r="B208" s="46"/>
      <c r="C208" s="445"/>
      <c r="D208" s="46"/>
      <c r="E208" s="511"/>
    </row>
    <row r="209" spans="1:5" s="44" customFormat="1" x14ac:dyDescent="0.25">
      <c r="A209" s="45"/>
      <c r="B209" s="111"/>
      <c r="C209" s="442"/>
      <c r="D209" s="111"/>
      <c r="E209" s="511"/>
    </row>
    <row r="210" spans="1:5" s="44" customFormat="1" x14ac:dyDescent="0.25">
      <c r="B210" s="47"/>
      <c r="C210" s="444"/>
      <c r="D210" s="47"/>
      <c r="E210" s="511"/>
    </row>
    <row r="211" spans="1:5" s="44" customFormat="1" x14ac:dyDescent="0.25">
      <c r="B211" s="111"/>
      <c r="C211" s="442"/>
      <c r="D211" s="111"/>
      <c r="E211" s="511"/>
    </row>
    <row r="212" spans="1:5" s="44" customFormat="1" x14ac:dyDescent="0.25">
      <c r="A212" s="45"/>
      <c r="B212" s="111"/>
      <c r="C212" s="442"/>
      <c r="D212" s="111"/>
      <c r="E212" s="511"/>
    </row>
    <row r="213" spans="1:5" s="44" customFormat="1" x14ac:dyDescent="0.25">
      <c r="B213" s="111"/>
      <c r="C213" s="442"/>
      <c r="D213" s="111"/>
      <c r="E213" s="511"/>
    </row>
    <row r="214" spans="1:5" s="44" customFormat="1" x14ac:dyDescent="0.25">
      <c r="B214" s="111"/>
      <c r="C214" s="442"/>
      <c r="D214" s="111"/>
      <c r="E214" s="511"/>
    </row>
    <row r="215" spans="1:5" s="44" customFormat="1" x14ac:dyDescent="0.25">
      <c r="B215" s="111"/>
      <c r="C215" s="442"/>
      <c r="D215" s="111"/>
      <c r="E215" s="511"/>
    </row>
    <row r="216" spans="1:5" s="44" customFormat="1" x14ac:dyDescent="0.25">
      <c r="B216" s="111"/>
      <c r="C216" s="442"/>
      <c r="D216" s="111"/>
      <c r="E216" s="511"/>
    </row>
    <row r="217" spans="1:5" s="44" customFormat="1" x14ac:dyDescent="0.25">
      <c r="A217" s="45"/>
      <c r="B217" s="46"/>
      <c r="C217" s="445"/>
      <c r="D217" s="46"/>
      <c r="E217" s="511"/>
    </row>
    <row r="218" spans="1:5" s="44" customFormat="1" x14ac:dyDescent="0.25">
      <c r="A218" s="45"/>
      <c r="B218" s="111"/>
      <c r="C218" s="442"/>
      <c r="D218" s="111"/>
      <c r="E218" s="511"/>
    </row>
    <row r="219" spans="1:5" s="44" customFormat="1" x14ac:dyDescent="0.25">
      <c r="B219" s="47"/>
      <c r="C219" s="444"/>
      <c r="D219" s="47"/>
      <c r="E219" s="511"/>
    </row>
    <row r="220" spans="1:5" s="44" customFormat="1" x14ac:dyDescent="0.25">
      <c r="B220" s="111"/>
      <c r="C220" s="442"/>
      <c r="D220" s="111"/>
      <c r="E220" s="511"/>
    </row>
    <row r="221" spans="1:5" s="44" customFormat="1" x14ac:dyDescent="0.25">
      <c r="A221" s="45"/>
      <c r="B221" s="111"/>
      <c r="C221" s="442"/>
      <c r="D221" s="111"/>
      <c r="E221" s="511"/>
    </row>
    <row r="222" spans="1:5" s="44" customFormat="1" x14ac:dyDescent="0.25">
      <c r="B222" s="111"/>
      <c r="C222" s="442"/>
      <c r="D222" s="111"/>
      <c r="E222" s="511"/>
    </row>
    <row r="223" spans="1:5" s="44" customFormat="1" x14ac:dyDescent="0.25">
      <c r="B223" s="111"/>
      <c r="C223" s="442"/>
      <c r="D223" s="111"/>
      <c r="E223" s="511"/>
    </row>
    <row r="224" spans="1:5" s="44" customFormat="1" x14ac:dyDescent="0.25">
      <c r="B224" s="111"/>
      <c r="C224" s="442"/>
      <c r="D224" s="111"/>
      <c r="E224" s="511"/>
    </row>
    <row r="225" spans="1:5" s="44" customFormat="1" x14ac:dyDescent="0.25">
      <c r="B225" s="111"/>
      <c r="C225" s="442"/>
      <c r="D225" s="111"/>
      <c r="E225" s="511"/>
    </row>
    <row r="226" spans="1:5" s="44" customFormat="1" x14ac:dyDescent="0.25">
      <c r="A226" s="45"/>
      <c r="B226" s="46"/>
      <c r="C226" s="445"/>
      <c r="D226" s="46"/>
      <c r="E226" s="511"/>
    </row>
    <row r="227" spans="1:5" s="44" customFormat="1" x14ac:dyDescent="0.25">
      <c r="A227" s="45"/>
      <c r="B227" s="111"/>
      <c r="C227" s="442"/>
      <c r="D227" s="111"/>
      <c r="E227" s="511"/>
    </row>
    <row r="228" spans="1:5" s="44" customFormat="1" x14ac:dyDescent="0.25">
      <c r="A228" s="45"/>
      <c r="B228" s="111"/>
      <c r="C228" s="442"/>
      <c r="D228" s="111"/>
      <c r="E228" s="511"/>
    </row>
    <row r="229" spans="1:5" s="44" customFormat="1" x14ac:dyDescent="0.25">
      <c r="A229" s="45"/>
      <c r="B229" s="111"/>
      <c r="C229" s="442"/>
      <c r="D229" s="111"/>
      <c r="E229" s="511"/>
    </row>
    <row r="230" spans="1:5" s="44" customFormat="1" x14ac:dyDescent="0.25">
      <c r="A230" s="45"/>
      <c r="B230" s="111"/>
      <c r="C230" s="442"/>
      <c r="D230" s="111"/>
      <c r="E230" s="511"/>
    </row>
    <row r="231" spans="1:5" s="44" customFormat="1" x14ac:dyDescent="0.25">
      <c r="A231" s="45"/>
      <c r="B231" s="111"/>
      <c r="C231" s="442"/>
      <c r="D231" s="111"/>
      <c r="E231" s="511"/>
    </row>
    <row r="232" spans="1:5" s="44" customFormat="1" x14ac:dyDescent="0.25">
      <c r="A232" s="45"/>
      <c r="B232" s="111"/>
      <c r="C232" s="442"/>
      <c r="D232" s="111"/>
      <c r="E232" s="511"/>
    </row>
    <row r="233" spans="1:5" s="44" customFormat="1" x14ac:dyDescent="0.25">
      <c r="A233" s="45"/>
      <c r="B233" s="111"/>
      <c r="C233" s="442"/>
      <c r="D233" s="111"/>
      <c r="E233" s="511"/>
    </row>
    <row r="234" spans="1:5" s="44" customFormat="1" x14ac:dyDescent="0.25">
      <c r="A234" s="45"/>
      <c r="B234" s="111"/>
      <c r="C234" s="442"/>
      <c r="D234" s="111"/>
      <c r="E234" s="511"/>
    </row>
    <row r="235" spans="1:5" s="44" customFormat="1" x14ac:dyDescent="0.25">
      <c r="A235" s="45"/>
      <c r="B235" s="111"/>
      <c r="C235" s="442"/>
      <c r="D235" s="111"/>
      <c r="E235" s="511"/>
    </row>
    <row r="236" spans="1:5" s="44" customFormat="1" x14ac:dyDescent="0.25">
      <c r="A236" s="45"/>
      <c r="B236" s="111"/>
      <c r="C236" s="442"/>
      <c r="D236" s="111"/>
      <c r="E236" s="511"/>
    </row>
    <row r="237" spans="1:5" s="44" customFormat="1" x14ac:dyDescent="0.25">
      <c r="A237" s="45"/>
      <c r="B237" s="111"/>
      <c r="C237" s="442"/>
      <c r="D237" s="111"/>
      <c r="E237" s="511"/>
    </row>
    <row r="238" spans="1:5" s="44" customFormat="1" x14ac:dyDescent="0.25">
      <c r="A238" s="45"/>
      <c r="B238" s="111"/>
      <c r="C238" s="442"/>
      <c r="D238" s="111"/>
      <c r="E238" s="511"/>
    </row>
    <row r="239" spans="1:5" s="44" customFormat="1" x14ac:dyDescent="0.25">
      <c r="A239" s="45"/>
      <c r="B239" s="111"/>
      <c r="C239" s="442"/>
      <c r="D239" s="111"/>
      <c r="E239" s="511"/>
    </row>
    <row r="240" spans="1:5" s="44" customFormat="1" x14ac:dyDescent="0.25">
      <c r="A240" s="45"/>
      <c r="B240" s="111"/>
      <c r="C240" s="442"/>
      <c r="D240" s="111"/>
      <c r="E240" s="511"/>
    </row>
    <row r="241" spans="1:5" s="44" customFormat="1" x14ac:dyDescent="0.25">
      <c r="A241" s="45"/>
      <c r="B241" s="111"/>
      <c r="C241" s="442"/>
      <c r="D241" s="111"/>
      <c r="E241" s="511"/>
    </row>
    <row r="242" spans="1:5" s="44" customFormat="1" x14ac:dyDescent="0.25">
      <c r="A242" s="45"/>
      <c r="B242" s="111"/>
      <c r="C242" s="442"/>
      <c r="D242" s="111"/>
      <c r="E242" s="511"/>
    </row>
    <row r="243" spans="1:5" s="44" customFormat="1" x14ac:dyDescent="0.25">
      <c r="A243" s="45"/>
      <c r="B243" s="111"/>
      <c r="C243" s="442"/>
      <c r="D243" s="111"/>
      <c r="E243" s="511"/>
    </row>
    <row r="244" spans="1:5" s="44" customFormat="1" x14ac:dyDescent="0.25">
      <c r="A244" s="45"/>
      <c r="B244" s="111"/>
      <c r="C244" s="442"/>
      <c r="D244" s="111"/>
      <c r="E244" s="511"/>
    </row>
    <row r="245" spans="1:5" s="44" customFormat="1" x14ac:dyDescent="0.25">
      <c r="A245" s="45"/>
      <c r="B245" s="111"/>
      <c r="C245" s="442"/>
      <c r="D245" s="111"/>
      <c r="E245" s="511"/>
    </row>
    <row r="246" spans="1:5" s="44" customFormat="1" x14ac:dyDescent="0.25">
      <c r="A246" s="45"/>
      <c r="B246" s="111"/>
      <c r="C246" s="442"/>
      <c r="D246" s="111"/>
      <c r="E246" s="511"/>
    </row>
    <row r="247" spans="1:5" s="44" customFormat="1" x14ac:dyDescent="0.25">
      <c r="A247" s="45"/>
      <c r="B247" s="111"/>
      <c r="C247" s="442"/>
      <c r="D247" s="111"/>
      <c r="E247" s="511"/>
    </row>
    <row r="248" spans="1:5" s="44" customFormat="1" x14ac:dyDescent="0.25">
      <c r="A248" s="45"/>
      <c r="B248" s="111"/>
      <c r="C248" s="442"/>
      <c r="D248" s="111"/>
      <c r="E248" s="511"/>
    </row>
    <row r="249" spans="1:5" s="44" customFormat="1" x14ac:dyDescent="0.25">
      <c r="A249" s="45"/>
      <c r="B249" s="111"/>
      <c r="C249" s="442"/>
      <c r="D249" s="111"/>
      <c r="E249" s="511"/>
    </row>
    <row r="250" spans="1:5" s="44" customFormat="1" x14ac:dyDescent="0.25">
      <c r="A250" s="45"/>
      <c r="B250" s="111"/>
      <c r="C250" s="442"/>
      <c r="D250" s="111"/>
      <c r="E250" s="511"/>
    </row>
    <row r="251" spans="1:5" s="44" customFormat="1" x14ac:dyDescent="0.25">
      <c r="A251" s="45"/>
      <c r="B251" s="111"/>
      <c r="C251" s="442"/>
      <c r="D251" s="111"/>
      <c r="E251" s="511"/>
    </row>
  </sheetData>
  <pageMargins left="0.25" right="0.25" top="0.75" bottom="0.75" header="0.3" footer="0.3"/>
  <pageSetup fitToHeight="3" orientation="portrait" r:id="rId1"/>
  <headerFooter>
    <oddFooter>&amp;LRev &amp;D&amp;C&amp;P</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76"/>
  <sheetViews>
    <sheetView zoomScale="50" zoomScaleNormal="50" workbookViewId="0">
      <selection activeCell="A48" sqref="A48:XFD48"/>
    </sheetView>
  </sheetViews>
  <sheetFormatPr defaultColWidth="33.625" defaultRowHeight="20.25" x14ac:dyDescent="0.3"/>
  <cols>
    <col min="1" max="1" width="6.875" style="146" customWidth="1"/>
    <col min="2" max="2" width="33.625" style="144" customWidth="1"/>
    <col min="3" max="3" width="16.625" style="216" customWidth="1"/>
    <col min="4" max="4" width="41.25" style="146" customWidth="1"/>
    <col min="5" max="5" width="26.5" style="145" customWidth="1"/>
    <col min="6" max="6" width="13.75" style="215" customWidth="1"/>
    <col min="7" max="7" width="18.125" style="146" customWidth="1"/>
    <col min="8" max="8" width="16.125" style="145" customWidth="1"/>
    <col min="9" max="9" width="26.375" style="217" customWidth="1"/>
    <col min="10" max="12" width="24.25" style="145" customWidth="1"/>
    <col min="13" max="13" width="34.25" style="145" customWidth="1"/>
    <col min="14" max="14" width="22.75" style="497" customWidth="1"/>
    <col min="15" max="15" width="24.875" style="220" customWidth="1"/>
    <col min="16" max="16" width="18.625" style="374" customWidth="1"/>
    <col min="17" max="16384" width="33.625" style="146"/>
  </cols>
  <sheetData>
    <row r="1" spans="1:18" s="214" customFormat="1" x14ac:dyDescent="0.3">
      <c r="B1" s="273" t="s">
        <v>494</v>
      </c>
      <c r="C1" s="274"/>
      <c r="D1" s="275"/>
      <c r="E1" s="277"/>
      <c r="F1" s="276"/>
      <c r="G1" s="275"/>
      <c r="H1" s="277"/>
      <c r="I1" s="278"/>
      <c r="J1" s="278"/>
      <c r="K1" s="278"/>
      <c r="L1" s="278"/>
      <c r="M1" s="278"/>
      <c r="N1" s="490"/>
      <c r="O1" s="277"/>
      <c r="P1" s="279"/>
      <c r="Q1" s="374"/>
      <c r="R1" s="54"/>
    </row>
    <row r="2" spans="1:18" s="214" customFormat="1" x14ac:dyDescent="0.3">
      <c r="B2" s="273"/>
      <c r="C2" s="274"/>
      <c r="D2" s="275"/>
      <c r="E2" s="277"/>
      <c r="F2" s="276"/>
      <c r="G2" s="275"/>
      <c r="H2" s="277"/>
      <c r="I2" s="278"/>
      <c r="J2" s="278"/>
      <c r="K2" s="278"/>
      <c r="L2" s="278"/>
      <c r="M2" s="278"/>
      <c r="N2" s="490"/>
      <c r="O2" s="277"/>
      <c r="P2" s="279"/>
      <c r="Q2" s="374"/>
      <c r="R2" s="54"/>
    </row>
    <row r="3" spans="1:18" s="214" customFormat="1" ht="63" customHeight="1" x14ac:dyDescent="0.3">
      <c r="B3" s="280" t="s">
        <v>38</v>
      </c>
      <c r="C3" s="281" t="s">
        <v>39</v>
      </c>
      <c r="D3" s="282" t="s">
        <v>40</v>
      </c>
      <c r="E3" s="283" t="s">
        <v>41</v>
      </c>
      <c r="F3" s="284" t="s">
        <v>42</v>
      </c>
      <c r="G3" s="285" t="s">
        <v>43</v>
      </c>
      <c r="H3" s="285" t="s">
        <v>495</v>
      </c>
      <c r="I3" s="408" t="s">
        <v>496</v>
      </c>
      <c r="J3" s="286" t="s">
        <v>44</v>
      </c>
      <c r="K3" s="286" t="s">
        <v>590</v>
      </c>
      <c r="L3" s="286" t="s">
        <v>592</v>
      </c>
      <c r="M3" s="286" t="s">
        <v>708</v>
      </c>
      <c r="N3" s="491"/>
      <c r="O3" s="285" t="s">
        <v>45</v>
      </c>
      <c r="P3" s="287" t="s">
        <v>46</v>
      </c>
      <c r="Q3" s="374"/>
      <c r="R3" s="54"/>
    </row>
    <row r="4" spans="1:18" s="214" customFormat="1" ht="21" customHeight="1" x14ac:dyDescent="0.3">
      <c r="B4" s="288"/>
      <c r="C4" s="289"/>
      <c r="D4" s="290"/>
      <c r="E4" s="344"/>
      <c r="F4" s="291"/>
      <c r="G4" s="292"/>
      <c r="H4" s="292"/>
      <c r="I4" s="409"/>
      <c r="J4" s="293"/>
      <c r="K4" s="293" t="s">
        <v>591</v>
      </c>
      <c r="L4" s="293" t="s">
        <v>593</v>
      </c>
      <c r="M4" s="293" t="s">
        <v>709</v>
      </c>
      <c r="N4" s="492" t="s">
        <v>667</v>
      </c>
      <c r="O4" s="292" t="s">
        <v>47</v>
      </c>
      <c r="P4" s="294"/>
      <c r="Q4" s="374"/>
      <c r="R4" s="54"/>
    </row>
    <row r="5" spans="1:18" s="214" customFormat="1" ht="21" customHeight="1" x14ac:dyDescent="0.3">
      <c r="B5" s="288"/>
      <c r="C5" s="289"/>
      <c r="D5" s="290"/>
      <c r="E5" s="344"/>
      <c r="F5" s="291"/>
      <c r="G5" s="292"/>
      <c r="H5" s="292"/>
      <c r="I5" s="409"/>
      <c r="J5" s="293"/>
      <c r="K5" s="293"/>
      <c r="L5" s="293"/>
      <c r="M5" s="293" t="s">
        <v>710</v>
      </c>
      <c r="N5" s="492" t="s">
        <v>668</v>
      </c>
      <c r="O5" s="292" t="s">
        <v>48</v>
      </c>
      <c r="P5" s="294"/>
      <c r="Q5" s="374"/>
      <c r="R5" s="54"/>
    </row>
    <row r="6" spans="1:18" s="214" customFormat="1" ht="21" customHeight="1" thickBot="1" x14ac:dyDescent="0.35">
      <c r="B6" s="295"/>
      <c r="C6" s="296"/>
      <c r="D6" s="297"/>
      <c r="E6" s="299"/>
      <c r="F6" s="298"/>
      <c r="G6" s="299">
        <v>2018</v>
      </c>
      <c r="H6" s="299"/>
      <c r="I6" s="300"/>
      <c r="J6" s="300"/>
      <c r="K6" s="300"/>
      <c r="L6" s="300"/>
      <c r="M6" s="300">
        <v>0.02</v>
      </c>
      <c r="N6" s="493" t="s">
        <v>669</v>
      </c>
      <c r="O6" s="299" t="s">
        <v>49</v>
      </c>
      <c r="P6" s="301"/>
      <c r="Q6" s="374"/>
      <c r="R6" s="54"/>
    </row>
    <row r="7" spans="1:18" hidden="1" x14ac:dyDescent="0.3">
      <c r="A7" s="149">
        <v>1</v>
      </c>
      <c r="B7" s="328" t="s">
        <v>61</v>
      </c>
      <c r="C7" s="341" t="s">
        <v>409</v>
      </c>
      <c r="D7" s="340" t="s">
        <v>62</v>
      </c>
      <c r="E7" s="345" t="s">
        <v>52</v>
      </c>
      <c r="F7" s="302" t="s">
        <v>409</v>
      </c>
      <c r="G7" s="302" t="s">
        <v>409</v>
      </c>
      <c r="H7" s="342">
        <v>15.75</v>
      </c>
      <c r="I7" s="410">
        <v>19.57</v>
      </c>
      <c r="J7" s="342">
        <v>0.5</v>
      </c>
      <c r="K7" s="302">
        <f>SUM(J7*2080)</f>
        <v>1040</v>
      </c>
      <c r="L7" s="342">
        <f>SUM(I7-H7)</f>
        <v>3.8200000000000003</v>
      </c>
      <c r="M7" s="342"/>
      <c r="N7" s="494">
        <f>SUM(K7*L7)*(0.765+0.06)</f>
        <v>3277.56</v>
      </c>
      <c r="O7" s="343" t="s">
        <v>58</v>
      </c>
      <c r="P7" s="303"/>
      <c r="Q7" s="374"/>
      <c r="R7" s="54"/>
    </row>
    <row r="8" spans="1:18" ht="20.25" customHeight="1" x14ac:dyDescent="0.3">
      <c r="A8" s="149">
        <v>2</v>
      </c>
      <c r="B8" s="311" t="s">
        <v>61</v>
      </c>
      <c r="C8" s="312" t="s">
        <v>497</v>
      </c>
      <c r="D8" s="311" t="s">
        <v>498</v>
      </c>
      <c r="E8" s="315" t="s">
        <v>52</v>
      </c>
      <c r="F8" s="306" t="s">
        <v>497</v>
      </c>
      <c r="G8" s="306" t="s">
        <v>497</v>
      </c>
      <c r="H8" s="313">
        <v>33</v>
      </c>
      <c r="I8" s="313">
        <v>33</v>
      </c>
      <c r="J8" s="330">
        <v>1</v>
      </c>
      <c r="K8" s="302">
        <f t="shared" ref="K8:K70" si="0">SUM(J8*2080)</f>
        <v>2080</v>
      </c>
      <c r="L8" s="342">
        <f t="shared" ref="L8:L70" si="1">SUM(I8-H8)</f>
        <v>0</v>
      </c>
      <c r="M8" s="342">
        <f>SUM($M$6*I8)</f>
        <v>0.66</v>
      </c>
      <c r="N8" s="494">
        <f>SUM(J8*2080)*M8</f>
        <v>1372.8</v>
      </c>
      <c r="O8" s="315" t="s">
        <v>53</v>
      </c>
      <c r="P8" s="310">
        <f>SUM('Data Links'!F69)</f>
        <v>426</v>
      </c>
      <c r="Q8" s="374"/>
      <c r="R8" s="54"/>
    </row>
    <row r="9" spans="1:18" x14ac:dyDescent="0.3">
      <c r="A9" s="149">
        <v>3</v>
      </c>
      <c r="B9" s="328" t="s">
        <v>61</v>
      </c>
      <c r="C9" s="341" t="s">
        <v>409</v>
      </c>
      <c r="D9" s="328" t="s">
        <v>499</v>
      </c>
      <c r="E9" s="319" t="s">
        <v>52</v>
      </c>
      <c r="F9" s="341" t="s">
        <v>409</v>
      </c>
      <c r="G9" s="341" t="s">
        <v>409</v>
      </c>
      <c r="H9" s="342">
        <f>SUM(83000/2080)</f>
        <v>39.903846153846153</v>
      </c>
      <c r="I9" s="411">
        <v>39.9</v>
      </c>
      <c r="J9" s="330">
        <v>1</v>
      </c>
      <c r="K9" s="302">
        <f t="shared" si="0"/>
        <v>2080</v>
      </c>
      <c r="L9" s="342">
        <f t="shared" si="1"/>
        <v>-3.8461538461547207E-3</v>
      </c>
      <c r="M9" s="342">
        <f t="shared" ref="M9:M11" si="2">SUM($M$6*I9)</f>
        <v>0.79800000000000004</v>
      </c>
      <c r="N9" s="494">
        <f t="shared" ref="N9:N11" si="3">SUM(J9*2080)*M9</f>
        <v>1659.8400000000001</v>
      </c>
      <c r="O9" s="321" t="s">
        <v>53</v>
      </c>
      <c r="P9" s="372">
        <f>SUM('Data Links'!F69)</f>
        <v>426</v>
      </c>
      <c r="Q9" s="375"/>
      <c r="R9" s="54"/>
    </row>
    <row r="10" spans="1:18" x14ac:dyDescent="0.3">
      <c r="A10" s="149">
        <v>4</v>
      </c>
      <c r="B10" s="311" t="s">
        <v>50</v>
      </c>
      <c r="C10" s="312">
        <v>39098</v>
      </c>
      <c r="D10" s="311" t="s">
        <v>51</v>
      </c>
      <c r="E10" s="315" t="s">
        <v>52</v>
      </c>
      <c r="F10" s="306">
        <v>1981</v>
      </c>
      <c r="G10" s="306">
        <f>SUM($G$6-F10)</f>
        <v>37</v>
      </c>
      <c r="H10" s="313">
        <v>39.267461538461539</v>
      </c>
      <c r="I10" s="313">
        <v>39.267461538461539</v>
      </c>
      <c r="J10" s="316">
        <v>1</v>
      </c>
      <c r="K10" s="302">
        <f t="shared" si="0"/>
        <v>2080</v>
      </c>
      <c r="L10" s="342">
        <f t="shared" si="1"/>
        <v>0</v>
      </c>
      <c r="M10" s="342">
        <f t="shared" si="2"/>
        <v>0.7853492307692308</v>
      </c>
      <c r="N10" s="494">
        <f t="shared" si="3"/>
        <v>1633.5264</v>
      </c>
      <c r="O10" s="315" t="s">
        <v>53</v>
      </c>
      <c r="P10" s="310">
        <f>SUM('Data Links'!F41)</f>
        <v>396.6078</v>
      </c>
      <c r="Q10" s="374"/>
      <c r="R10" s="54"/>
    </row>
    <row r="11" spans="1:18" x14ac:dyDescent="0.3">
      <c r="A11" s="149">
        <v>5</v>
      </c>
      <c r="B11" s="311" t="s">
        <v>56</v>
      </c>
      <c r="C11" s="312">
        <v>41836</v>
      </c>
      <c r="D11" s="311" t="s">
        <v>500</v>
      </c>
      <c r="E11" s="315" t="s">
        <v>52</v>
      </c>
      <c r="F11" s="306">
        <v>1970</v>
      </c>
      <c r="G11" s="306">
        <f t="shared" ref="G11:G15" si="4">SUM($G$6-F11)</f>
        <v>48</v>
      </c>
      <c r="H11" s="371">
        <v>19.36</v>
      </c>
      <c r="I11" s="313">
        <v>19.36</v>
      </c>
      <c r="J11" s="308">
        <v>1</v>
      </c>
      <c r="K11" s="302">
        <f t="shared" si="0"/>
        <v>2080</v>
      </c>
      <c r="L11" s="342">
        <f t="shared" si="1"/>
        <v>0</v>
      </c>
      <c r="M11" s="342">
        <f t="shared" si="2"/>
        <v>0.38719999999999999</v>
      </c>
      <c r="N11" s="494">
        <f t="shared" si="3"/>
        <v>805.37599999999998</v>
      </c>
      <c r="O11" s="314" t="s">
        <v>57</v>
      </c>
      <c r="P11" s="310"/>
      <c r="Q11" s="374"/>
      <c r="R11" s="54"/>
    </row>
    <row r="12" spans="1:18" hidden="1" x14ac:dyDescent="0.3">
      <c r="A12" s="149">
        <v>6</v>
      </c>
      <c r="B12" s="328" t="s">
        <v>407</v>
      </c>
      <c r="C12" s="369">
        <v>42853</v>
      </c>
      <c r="D12" s="340" t="s">
        <v>55</v>
      </c>
      <c r="E12" s="319" t="s">
        <v>52</v>
      </c>
      <c r="F12" s="370">
        <v>1992</v>
      </c>
      <c r="G12" s="306">
        <f t="shared" si="4"/>
        <v>26</v>
      </c>
      <c r="H12" s="371">
        <v>16.75</v>
      </c>
      <c r="I12" s="411">
        <v>17.670000000000002</v>
      </c>
      <c r="J12" s="330">
        <v>1</v>
      </c>
      <c r="K12" s="302">
        <f t="shared" si="0"/>
        <v>2080</v>
      </c>
      <c r="L12" s="342">
        <f t="shared" si="1"/>
        <v>0.92000000000000171</v>
      </c>
      <c r="M12" s="342"/>
      <c r="N12" s="494">
        <f t="shared" ref="N12:N70" si="5">SUM(K12*L12)*(0.765+0.06)</f>
        <v>1578.7200000000028</v>
      </c>
      <c r="O12" s="321" t="s">
        <v>53</v>
      </c>
      <c r="P12" s="372">
        <f>SUM('Data Links'!F30)</f>
        <v>396.6078</v>
      </c>
      <c r="Q12" s="375"/>
      <c r="R12" s="54"/>
    </row>
    <row r="13" spans="1:18" hidden="1" x14ac:dyDescent="0.3">
      <c r="A13" s="149">
        <v>7</v>
      </c>
      <c r="B13" s="328" t="s">
        <v>59</v>
      </c>
      <c r="C13" s="369">
        <v>42226</v>
      </c>
      <c r="D13" s="328" t="s">
        <v>60</v>
      </c>
      <c r="E13" s="319" t="s">
        <v>52</v>
      </c>
      <c r="F13" s="370">
        <v>1986</v>
      </c>
      <c r="G13" s="306">
        <f t="shared" si="4"/>
        <v>32</v>
      </c>
      <c r="H13" s="371">
        <v>17</v>
      </c>
      <c r="I13" s="411">
        <v>18</v>
      </c>
      <c r="J13" s="330">
        <v>1</v>
      </c>
      <c r="K13" s="302">
        <f t="shared" si="0"/>
        <v>2080</v>
      </c>
      <c r="L13" s="342">
        <f t="shared" si="1"/>
        <v>1</v>
      </c>
      <c r="M13" s="342"/>
      <c r="N13" s="494">
        <f t="shared" si="5"/>
        <v>1716</v>
      </c>
      <c r="O13" s="321" t="s">
        <v>53</v>
      </c>
      <c r="P13" s="372">
        <f>SUM('Data Links'!F36)</f>
        <v>396.6078</v>
      </c>
      <c r="Q13" s="375"/>
      <c r="R13" s="54"/>
    </row>
    <row r="14" spans="1:18" hidden="1" x14ac:dyDescent="0.3">
      <c r="A14" s="149">
        <v>8</v>
      </c>
      <c r="B14" s="328" t="s">
        <v>547</v>
      </c>
      <c r="C14" s="369">
        <v>42920</v>
      </c>
      <c r="D14" s="328" t="s">
        <v>548</v>
      </c>
      <c r="E14" s="319" t="s">
        <v>52</v>
      </c>
      <c r="F14" s="370">
        <v>1992</v>
      </c>
      <c r="G14" s="306">
        <f t="shared" si="4"/>
        <v>26</v>
      </c>
      <c r="H14" s="371">
        <v>14.66</v>
      </c>
      <c r="I14" s="411">
        <v>15</v>
      </c>
      <c r="J14" s="330">
        <v>1</v>
      </c>
      <c r="K14" s="302">
        <f t="shared" si="0"/>
        <v>2080</v>
      </c>
      <c r="L14" s="342">
        <f t="shared" si="1"/>
        <v>0.33999999999999986</v>
      </c>
      <c r="M14" s="342"/>
      <c r="N14" s="494">
        <f t="shared" si="5"/>
        <v>583.43999999999971</v>
      </c>
      <c r="O14" s="321" t="s">
        <v>53</v>
      </c>
      <c r="P14" s="372">
        <f>SUM('Data Links'!F30)</f>
        <v>396.6078</v>
      </c>
      <c r="Q14" s="375"/>
      <c r="R14" s="54"/>
    </row>
    <row r="15" spans="1:18" hidden="1" x14ac:dyDescent="0.3">
      <c r="A15" s="149">
        <v>9</v>
      </c>
      <c r="B15" s="328" t="s">
        <v>63</v>
      </c>
      <c r="C15" s="369">
        <v>41750</v>
      </c>
      <c r="D15" s="328" t="s">
        <v>64</v>
      </c>
      <c r="E15" s="319" t="s">
        <v>65</v>
      </c>
      <c r="F15" s="370">
        <v>1979</v>
      </c>
      <c r="G15" s="306">
        <f t="shared" si="4"/>
        <v>39</v>
      </c>
      <c r="H15" s="371">
        <v>17.72</v>
      </c>
      <c r="I15" s="411">
        <v>19</v>
      </c>
      <c r="J15" s="330">
        <v>1</v>
      </c>
      <c r="K15" s="302">
        <f t="shared" si="0"/>
        <v>2080</v>
      </c>
      <c r="L15" s="342">
        <f t="shared" si="1"/>
        <v>1.2800000000000011</v>
      </c>
      <c r="M15" s="342"/>
      <c r="N15" s="494">
        <f t="shared" si="5"/>
        <v>2196.4800000000018</v>
      </c>
      <c r="O15" s="321" t="s">
        <v>53</v>
      </c>
      <c r="P15" s="372">
        <v>393</v>
      </c>
      <c r="Q15" s="375"/>
      <c r="R15" s="54"/>
    </row>
    <row r="16" spans="1:18" x14ac:dyDescent="0.3">
      <c r="A16" s="149">
        <v>10</v>
      </c>
      <c r="B16" s="328" t="s">
        <v>61</v>
      </c>
      <c r="C16" s="369" t="s">
        <v>409</v>
      </c>
      <c r="D16" s="328" t="s">
        <v>501</v>
      </c>
      <c r="E16" s="319" t="s">
        <v>502</v>
      </c>
      <c r="F16" s="369" t="s">
        <v>409</v>
      </c>
      <c r="G16" s="369" t="s">
        <v>409</v>
      </c>
      <c r="H16" s="371">
        <v>28.67</v>
      </c>
      <c r="I16" s="411">
        <v>28.67</v>
      </c>
      <c r="J16" s="330">
        <v>1</v>
      </c>
      <c r="K16" s="302">
        <f t="shared" si="0"/>
        <v>2080</v>
      </c>
      <c r="L16" s="342">
        <f t="shared" si="1"/>
        <v>0</v>
      </c>
      <c r="M16" s="342">
        <f t="shared" ref="M16:M21" si="6">SUM($M$6*I16)</f>
        <v>0.57340000000000002</v>
      </c>
      <c r="N16" s="494">
        <f t="shared" ref="N16:N21" si="7">SUM(J16*2080)*M16</f>
        <v>1192.672</v>
      </c>
      <c r="O16" s="319" t="s">
        <v>53</v>
      </c>
      <c r="P16" s="372">
        <f>SUM('Data Links'!F69)</f>
        <v>426</v>
      </c>
      <c r="Q16" s="375"/>
      <c r="R16" s="54"/>
    </row>
    <row r="17" spans="1:18" x14ac:dyDescent="0.3">
      <c r="A17" s="149">
        <v>11</v>
      </c>
      <c r="B17" s="328" t="s">
        <v>61</v>
      </c>
      <c r="C17" s="369" t="s">
        <v>409</v>
      </c>
      <c r="D17" s="328" t="s">
        <v>503</v>
      </c>
      <c r="E17" s="319" t="s">
        <v>502</v>
      </c>
      <c r="F17" s="369" t="s">
        <v>409</v>
      </c>
      <c r="G17" s="369" t="s">
        <v>409</v>
      </c>
      <c r="H17" s="371">
        <v>17.670000000000002</v>
      </c>
      <c r="I17" s="411">
        <v>17.670000000000002</v>
      </c>
      <c r="J17" s="330">
        <v>1</v>
      </c>
      <c r="K17" s="302">
        <f t="shared" si="0"/>
        <v>2080</v>
      </c>
      <c r="L17" s="342">
        <f t="shared" si="1"/>
        <v>0</v>
      </c>
      <c r="M17" s="342">
        <f t="shared" si="6"/>
        <v>0.35340000000000005</v>
      </c>
      <c r="N17" s="494">
        <f t="shared" si="7"/>
        <v>735.07200000000012</v>
      </c>
      <c r="O17" s="319" t="s">
        <v>53</v>
      </c>
      <c r="P17" s="372">
        <f>SUM('Data Links'!F69)</f>
        <v>426</v>
      </c>
      <c r="Q17" s="375"/>
      <c r="R17" s="54"/>
    </row>
    <row r="18" spans="1:18" x14ac:dyDescent="0.3">
      <c r="A18" s="149">
        <v>12</v>
      </c>
      <c r="B18" s="328" t="s">
        <v>61</v>
      </c>
      <c r="C18" s="369" t="s">
        <v>409</v>
      </c>
      <c r="D18" s="328" t="s">
        <v>504</v>
      </c>
      <c r="E18" s="319" t="s">
        <v>502</v>
      </c>
      <c r="F18" s="369" t="s">
        <v>409</v>
      </c>
      <c r="G18" s="369" t="s">
        <v>409</v>
      </c>
      <c r="H18" s="371">
        <v>15.25</v>
      </c>
      <c r="I18" s="411">
        <v>15.25</v>
      </c>
      <c r="J18" s="330">
        <v>1</v>
      </c>
      <c r="K18" s="302">
        <f t="shared" si="0"/>
        <v>2080</v>
      </c>
      <c r="L18" s="342">
        <f t="shared" si="1"/>
        <v>0</v>
      </c>
      <c r="M18" s="342">
        <f t="shared" si="6"/>
        <v>0.30499999999999999</v>
      </c>
      <c r="N18" s="494">
        <f t="shared" si="7"/>
        <v>634.4</v>
      </c>
      <c r="O18" s="319" t="s">
        <v>53</v>
      </c>
      <c r="P18" s="372">
        <f>SUM('Data Links'!F69)</f>
        <v>426</v>
      </c>
      <c r="Q18" s="375"/>
      <c r="R18" s="54"/>
    </row>
    <row r="19" spans="1:18" x14ac:dyDescent="0.3">
      <c r="A19" s="149">
        <v>13</v>
      </c>
      <c r="B19" s="328" t="s">
        <v>61</v>
      </c>
      <c r="C19" s="369" t="s">
        <v>409</v>
      </c>
      <c r="D19" s="328" t="s">
        <v>505</v>
      </c>
      <c r="E19" s="319" t="s">
        <v>502</v>
      </c>
      <c r="F19" s="412" t="s">
        <v>409</v>
      </c>
      <c r="G19" s="412" t="s">
        <v>409</v>
      </c>
      <c r="H19" s="371">
        <v>17</v>
      </c>
      <c r="I19" s="411">
        <v>17</v>
      </c>
      <c r="J19" s="330">
        <v>0.5</v>
      </c>
      <c r="K19" s="302">
        <f t="shared" si="0"/>
        <v>1040</v>
      </c>
      <c r="L19" s="342">
        <f t="shared" si="1"/>
        <v>0</v>
      </c>
      <c r="M19" s="342">
        <f t="shared" si="6"/>
        <v>0.34</v>
      </c>
      <c r="N19" s="494">
        <f t="shared" si="7"/>
        <v>353.6</v>
      </c>
      <c r="O19" s="319" t="s">
        <v>58</v>
      </c>
      <c r="P19" s="372"/>
      <c r="Q19" s="375"/>
      <c r="R19" s="54"/>
    </row>
    <row r="20" spans="1:18" x14ac:dyDescent="0.3">
      <c r="A20" s="149">
        <v>14</v>
      </c>
      <c r="B20" s="304" t="s">
        <v>106</v>
      </c>
      <c r="C20" s="413">
        <v>39321</v>
      </c>
      <c r="D20" s="311" t="s">
        <v>506</v>
      </c>
      <c r="E20" s="315" t="s">
        <v>502</v>
      </c>
      <c r="F20" s="302">
        <v>1985</v>
      </c>
      <c r="G20" s="306">
        <f t="shared" ref="G20:G22" si="8">SUM($G$6-F20)</f>
        <v>33</v>
      </c>
      <c r="H20" s="313">
        <v>31.09</v>
      </c>
      <c r="I20" s="313">
        <v>31.09</v>
      </c>
      <c r="J20" s="316">
        <v>0.5</v>
      </c>
      <c r="K20" s="302">
        <f t="shared" si="0"/>
        <v>1040</v>
      </c>
      <c r="L20" s="342">
        <f t="shared" si="1"/>
        <v>0</v>
      </c>
      <c r="M20" s="342">
        <f t="shared" si="6"/>
        <v>0.62180000000000002</v>
      </c>
      <c r="N20" s="494">
        <f t="shared" si="7"/>
        <v>646.67200000000003</v>
      </c>
      <c r="O20" s="309" t="s">
        <v>58</v>
      </c>
      <c r="P20" s="372"/>
      <c r="Q20" s="375"/>
      <c r="R20" s="54"/>
    </row>
    <row r="21" spans="1:18" x14ac:dyDescent="0.3">
      <c r="A21" s="149">
        <v>15</v>
      </c>
      <c r="B21" s="311" t="s">
        <v>123</v>
      </c>
      <c r="C21" s="312">
        <v>42453</v>
      </c>
      <c r="D21" s="311" t="s">
        <v>506</v>
      </c>
      <c r="E21" s="315" t="s">
        <v>502</v>
      </c>
      <c r="F21" s="306">
        <v>1980</v>
      </c>
      <c r="G21" s="306">
        <f t="shared" si="8"/>
        <v>38</v>
      </c>
      <c r="H21" s="371">
        <v>31.09</v>
      </c>
      <c r="I21" s="371">
        <v>31.09</v>
      </c>
      <c r="J21" s="316">
        <v>0.2</v>
      </c>
      <c r="K21" s="302">
        <f t="shared" si="0"/>
        <v>416</v>
      </c>
      <c r="L21" s="342">
        <f t="shared" si="1"/>
        <v>0</v>
      </c>
      <c r="M21" s="342">
        <f t="shared" si="6"/>
        <v>0.62180000000000002</v>
      </c>
      <c r="N21" s="494">
        <f t="shared" si="7"/>
        <v>258.66880000000003</v>
      </c>
      <c r="O21" s="315" t="s">
        <v>58</v>
      </c>
      <c r="P21" s="372"/>
      <c r="Q21" s="375"/>
      <c r="R21" s="54"/>
    </row>
    <row r="22" spans="1:18" hidden="1" x14ac:dyDescent="0.3">
      <c r="A22" s="149">
        <v>16</v>
      </c>
      <c r="B22" s="328" t="s">
        <v>472</v>
      </c>
      <c r="C22" s="369">
        <v>42856</v>
      </c>
      <c r="D22" s="328" t="s">
        <v>70</v>
      </c>
      <c r="E22" s="319" t="s">
        <v>68</v>
      </c>
      <c r="F22" s="370">
        <v>1995</v>
      </c>
      <c r="G22" s="306">
        <f t="shared" si="8"/>
        <v>23</v>
      </c>
      <c r="H22" s="371">
        <v>13</v>
      </c>
      <c r="I22" s="414">
        <v>15</v>
      </c>
      <c r="J22" s="330">
        <v>0.75</v>
      </c>
      <c r="K22" s="302">
        <f t="shared" si="0"/>
        <v>1560</v>
      </c>
      <c r="L22" s="342">
        <f t="shared" si="1"/>
        <v>2</v>
      </c>
      <c r="M22" s="342"/>
      <c r="N22" s="494">
        <f t="shared" si="5"/>
        <v>2574</v>
      </c>
      <c r="O22" s="319" t="s">
        <v>53</v>
      </c>
      <c r="P22" s="372">
        <f>SUM('Data Links'!F27)</f>
        <v>396.6078</v>
      </c>
      <c r="Q22" s="375"/>
      <c r="R22" s="54"/>
    </row>
    <row r="23" spans="1:18" hidden="1" x14ac:dyDescent="0.3">
      <c r="A23" s="149">
        <v>17</v>
      </c>
      <c r="B23" s="328" t="s">
        <v>452</v>
      </c>
      <c r="C23" s="369" t="s">
        <v>526</v>
      </c>
      <c r="D23" s="328" t="s">
        <v>536</v>
      </c>
      <c r="E23" s="319" t="s">
        <v>68</v>
      </c>
      <c r="F23" s="369" t="s">
        <v>526</v>
      </c>
      <c r="G23" s="369"/>
      <c r="H23" s="371"/>
      <c r="I23" s="411">
        <v>15</v>
      </c>
      <c r="J23" s="330">
        <v>1</v>
      </c>
      <c r="K23" s="302">
        <f t="shared" si="0"/>
        <v>2080</v>
      </c>
      <c r="L23" s="342">
        <f t="shared" si="1"/>
        <v>15</v>
      </c>
      <c r="M23" s="342"/>
      <c r="N23" s="494"/>
      <c r="O23" s="319" t="s">
        <v>53</v>
      </c>
      <c r="P23" s="372">
        <f>SUM('Data Links'!F69)</f>
        <v>426</v>
      </c>
      <c r="Q23" s="378"/>
      <c r="R23" s="54"/>
    </row>
    <row r="24" spans="1:18" hidden="1" x14ac:dyDescent="0.3">
      <c r="A24" s="149">
        <v>18</v>
      </c>
      <c r="B24" s="328" t="s">
        <v>61</v>
      </c>
      <c r="C24" s="369" t="s">
        <v>497</v>
      </c>
      <c r="D24" s="328" t="s">
        <v>70</v>
      </c>
      <c r="E24" s="319" t="s">
        <v>68</v>
      </c>
      <c r="F24" s="370"/>
      <c r="G24" s="370"/>
      <c r="H24" s="371">
        <v>13.77</v>
      </c>
      <c r="I24" s="414">
        <v>14.25</v>
      </c>
      <c r="J24" s="330">
        <v>0.35</v>
      </c>
      <c r="K24" s="302">
        <f t="shared" si="0"/>
        <v>728</v>
      </c>
      <c r="L24" s="342">
        <f t="shared" si="1"/>
        <v>0.48000000000000043</v>
      </c>
      <c r="M24" s="342"/>
      <c r="N24" s="494">
        <f t="shared" si="5"/>
        <v>288.28800000000024</v>
      </c>
      <c r="O24" s="319" t="s">
        <v>58</v>
      </c>
      <c r="P24" s="372"/>
      <c r="Q24" s="375"/>
      <c r="R24" s="54"/>
    </row>
    <row r="25" spans="1:18" hidden="1" x14ac:dyDescent="0.3">
      <c r="A25" s="149">
        <v>19</v>
      </c>
      <c r="B25" s="328" t="s">
        <v>84</v>
      </c>
      <c r="C25" s="369">
        <v>42653</v>
      </c>
      <c r="D25" s="328" t="s">
        <v>70</v>
      </c>
      <c r="E25" s="319" t="s">
        <v>68</v>
      </c>
      <c r="F25" s="370">
        <v>1994</v>
      </c>
      <c r="G25" s="306">
        <f t="shared" ref="G25:G37" si="9">SUM($G$6-F25)</f>
        <v>24</v>
      </c>
      <c r="H25" s="371">
        <v>13</v>
      </c>
      <c r="I25" s="414">
        <v>15</v>
      </c>
      <c r="J25" s="330">
        <v>0.75</v>
      </c>
      <c r="K25" s="302">
        <f t="shared" si="0"/>
        <v>1560</v>
      </c>
      <c r="L25" s="342">
        <f t="shared" si="1"/>
        <v>2</v>
      </c>
      <c r="M25" s="342"/>
      <c r="N25" s="494">
        <f t="shared" si="5"/>
        <v>2574</v>
      </c>
      <c r="O25" s="420" t="s">
        <v>57</v>
      </c>
      <c r="P25" s="372"/>
      <c r="Q25" s="375"/>
      <c r="R25" s="54"/>
    </row>
    <row r="26" spans="1:18" hidden="1" x14ac:dyDescent="0.3">
      <c r="A26" s="149">
        <v>20</v>
      </c>
      <c r="B26" s="328" t="s">
        <v>507</v>
      </c>
      <c r="C26" s="369">
        <v>42926</v>
      </c>
      <c r="D26" s="328" t="s">
        <v>70</v>
      </c>
      <c r="E26" s="319" t="s">
        <v>68</v>
      </c>
      <c r="F26" s="370">
        <v>1994</v>
      </c>
      <c r="G26" s="306">
        <f t="shared" si="9"/>
        <v>24</v>
      </c>
      <c r="H26" s="371">
        <v>13</v>
      </c>
      <c r="I26" s="414">
        <v>15</v>
      </c>
      <c r="J26" s="330">
        <v>0.8</v>
      </c>
      <c r="K26" s="302">
        <f t="shared" si="0"/>
        <v>1664</v>
      </c>
      <c r="L26" s="342">
        <f t="shared" si="1"/>
        <v>2</v>
      </c>
      <c r="M26" s="342"/>
      <c r="N26" s="494">
        <f t="shared" si="5"/>
        <v>2745.6</v>
      </c>
      <c r="O26" s="421" t="s">
        <v>57</v>
      </c>
      <c r="P26" s="372"/>
      <c r="Q26" s="376"/>
      <c r="R26" s="54"/>
    </row>
    <row r="27" spans="1:18" hidden="1" x14ac:dyDescent="0.3">
      <c r="A27" s="149">
        <v>21</v>
      </c>
      <c r="B27" s="328" t="s">
        <v>531</v>
      </c>
      <c r="C27" s="369">
        <v>42933</v>
      </c>
      <c r="D27" s="328" t="s">
        <v>70</v>
      </c>
      <c r="E27" s="319" t="s">
        <v>68</v>
      </c>
      <c r="F27" s="370">
        <v>1994</v>
      </c>
      <c r="G27" s="306">
        <f t="shared" si="9"/>
        <v>24</v>
      </c>
      <c r="H27" s="371">
        <v>13</v>
      </c>
      <c r="I27" s="411">
        <v>14.25</v>
      </c>
      <c r="J27" s="330">
        <v>0.45</v>
      </c>
      <c r="K27" s="302">
        <f t="shared" si="0"/>
        <v>936</v>
      </c>
      <c r="L27" s="342">
        <f t="shared" si="1"/>
        <v>1.25</v>
      </c>
      <c r="M27" s="342"/>
      <c r="N27" s="494">
        <f t="shared" si="5"/>
        <v>965.25</v>
      </c>
      <c r="O27" s="321" t="s">
        <v>58</v>
      </c>
      <c r="P27" s="372"/>
      <c r="Q27" s="375"/>
      <c r="R27" s="54"/>
    </row>
    <row r="28" spans="1:18" hidden="1" x14ac:dyDescent="0.3">
      <c r="A28" s="149">
        <v>22</v>
      </c>
      <c r="B28" s="328" t="s">
        <v>532</v>
      </c>
      <c r="C28" s="305">
        <v>42933</v>
      </c>
      <c r="D28" s="328" t="s">
        <v>70</v>
      </c>
      <c r="E28" s="319" t="s">
        <v>68</v>
      </c>
      <c r="F28" s="370">
        <v>1994</v>
      </c>
      <c r="G28" s="306">
        <f t="shared" si="9"/>
        <v>24</v>
      </c>
      <c r="H28" s="371">
        <v>13</v>
      </c>
      <c r="I28" s="411">
        <v>14.25</v>
      </c>
      <c r="J28" s="330">
        <v>0.6</v>
      </c>
      <c r="K28" s="302">
        <f t="shared" si="0"/>
        <v>1248</v>
      </c>
      <c r="L28" s="342">
        <f t="shared" si="1"/>
        <v>1.25</v>
      </c>
      <c r="M28" s="342"/>
      <c r="N28" s="494">
        <f t="shared" si="5"/>
        <v>1287</v>
      </c>
      <c r="O28" s="319" t="s">
        <v>58</v>
      </c>
      <c r="P28" s="372"/>
      <c r="Q28" s="374"/>
      <c r="R28" s="54"/>
    </row>
    <row r="29" spans="1:18" hidden="1" x14ac:dyDescent="0.3">
      <c r="A29" s="149">
        <v>23</v>
      </c>
      <c r="B29" s="328" t="s">
        <v>83</v>
      </c>
      <c r="C29" s="369">
        <v>42653</v>
      </c>
      <c r="D29" s="328" t="s">
        <v>70</v>
      </c>
      <c r="E29" s="319" t="s">
        <v>68</v>
      </c>
      <c r="F29" s="370">
        <v>1990</v>
      </c>
      <c r="G29" s="306">
        <f t="shared" si="9"/>
        <v>28</v>
      </c>
      <c r="H29" s="371">
        <v>13</v>
      </c>
      <c r="I29" s="411">
        <v>15</v>
      </c>
      <c r="J29" s="330">
        <v>1</v>
      </c>
      <c r="K29" s="302">
        <f t="shared" si="0"/>
        <v>2080</v>
      </c>
      <c r="L29" s="342">
        <f t="shared" si="1"/>
        <v>2</v>
      </c>
      <c r="M29" s="342"/>
      <c r="N29" s="494">
        <f t="shared" si="5"/>
        <v>3432</v>
      </c>
      <c r="O29" s="321" t="s">
        <v>53</v>
      </c>
      <c r="P29" s="372">
        <f>SUM('Data Links'!F32)</f>
        <v>396.6078</v>
      </c>
      <c r="Q29" s="374"/>
      <c r="R29" s="54"/>
    </row>
    <row r="30" spans="1:18" x14ac:dyDescent="0.3">
      <c r="A30" s="149">
        <v>24</v>
      </c>
      <c r="B30" s="328" t="s">
        <v>85</v>
      </c>
      <c r="C30" s="369">
        <v>41393</v>
      </c>
      <c r="D30" s="328" t="s">
        <v>86</v>
      </c>
      <c r="E30" s="319" t="s">
        <v>68</v>
      </c>
      <c r="F30" s="370">
        <v>1990</v>
      </c>
      <c r="G30" s="306">
        <f t="shared" si="9"/>
        <v>28</v>
      </c>
      <c r="H30" s="371">
        <v>17.21</v>
      </c>
      <c r="I30" s="371">
        <v>17.21</v>
      </c>
      <c r="J30" s="330">
        <v>1</v>
      </c>
      <c r="K30" s="302">
        <f t="shared" si="0"/>
        <v>2080</v>
      </c>
      <c r="L30" s="342">
        <f t="shared" si="1"/>
        <v>0</v>
      </c>
      <c r="M30" s="342">
        <f>SUM($M$6*I30)</f>
        <v>0.34420000000000001</v>
      </c>
      <c r="N30" s="494">
        <f>SUM(J30*2080)*M30</f>
        <v>715.93600000000004</v>
      </c>
      <c r="O30" s="321" t="s">
        <v>53</v>
      </c>
      <c r="P30" s="310">
        <f>SUM('Data Links'!F32)</f>
        <v>396.6078</v>
      </c>
      <c r="Q30" s="375"/>
      <c r="R30" s="54"/>
    </row>
    <row r="31" spans="1:18" hidden="1" x14ac:dyDescent="0.3">
      <c r="A31" s="149">
        <v>25</v>
      </c>
      <c r="B31" s="328" t="s">
        <v>528</v>
      </c>
      <c r="C31" s="369">
        <v>41918</v>
      </c>
      <c r="D31" s="328" t="s">
        <v>75</v>
      </c>
      <c r="E31" s="319" t="s">
        <v>68</v>
      </c>
      <c r="F31" s="370">
        <v>1992</v>
      </c>
      <c r="G31" s="306">
        <f t="shared" si="9"/>
        <v>26</v>
      </c>
      <c r="H31" s="371">
        <v>15.95</v>
      </c>
      <c r="I31" s="411">
        <v>17</v>
      </c>
      <c r="J31" s="330">
        <v>1</v>
      </c>
      <c r="K31" s="302">
        <f t="shared" si="0"/>
        <v>2080</v>
      </c>
      <c r="L31" s="342">
        <f t="shared" si="1"/>
        <v>1.0500000000000007</v>
      </c>
      <c r="M31" s="342"/>
      <c r="N31" s="494">
        <f t="shared" si="5"/>
        <v>1801.8000000000011</v>
      </c>
      <c r="O31" s="319" t="s">
        <v>53</v>
      </c>
      <c r="P31" s="310">
        <f>SUM('Data Links'!F30)</f>
        <v>396.6078</v>
      </c>
      <c r="Q31" s="376"/>
      <c r="R31" s="54"/>
    </row>
    <row r="32" spans="1:18" hidden="1" x14ac:dyDescent="0.3">
      <c r="A32" s="149">
        <v>26</v>
      </c>
      <c r="B32" s="311" t="s">
        <v>87</v>
      </c>
      <c r="C32" s="312">
        <v>41379</v>
      </c>
      <c r="D32" s="311" t="s">
        <v>70</v>
      </c>
      <c r="E32" s="315" t="s">
        <v>68</v>
      </c>
      <c r="F32" s="306">
        <v>1955</v>
      </c>
      <c r="G32" s="306">
        <f t="shared" si="9"/>
        <v>63</v>
      </c>
      <c r="H32" s="313">
        <v>13.77</v>
      </c>
      <c r="I32" s="415">
        <v>15.75</v>
      </c>
      <c r="J32" s="308">
        <v>1</v>
      </c>
      <c r="K32" s="302">
        <f t="shared" si="0"/>
        <v>2080</v>
      </c>
      <c r="L32" s="342">
        <f t="shared" si="1"/>
        <v>1.9800000000000004</v>
      </c>
      <c r="M32" s="342"/>
      <c r="N32" s="494">
        <f t="shared" si="5"/>
        <v>3397.6800000000003</v>
      </c>
      <c r="O32" s="314" t="s">
        <v>57</v>
      </c>
      <c r="P32" s="310"/>
      <c r="Q32" s="375"/>
      <c r="R32" s="54"/>
    </row>
    <row r="33" spans="1:18" x14ac:dyDescent="0.3">
      <c r="A33" s="149">
        <v>27</v>
      </c>
      <c r="B33" s="311" t="s">
        <v>79</v>
      </c>
      <c r="C33" s="312">
        <v>41589</v>
      </c>
      <c r="D33" s="311" t="s">
        <v>80</v>
      </c>
      <c r="E33" s="315" t="s">
        <v>68</v>
      </c>
      <c r="F33" s="306">
        <v>1986</v>
      </c>
      <c r="G33" s="306">
        <f t="shared" si="9"/>
        <v>32</v>
      </c>
      <c r="H33" s="371">
        <v>22.83</v>
      </c>
      <c r="I33" s="371">
        <v>22.83</v>
      </c>
      <c r="J33" s="308">
        <v>1</v>
      </c>
      <c r="K33" s="302">
        <f t="shared" si="0"/>
        <v>2080</v>
      </c>
      <c r="L33" s="342">
        <f t="shared" si="1"/>
        <v>0</v>
      </c>
      <c r="M33" s="342">
        <f>SUM($M$6*I33)</f>
        <v>0.45659999999999995</v>
      </c>
      <c r="N33" s="494">
        <f>SUM(J33*2080)*M33</f>
        <v>949.72799999999995</v>
      </c>
      <c r="O33" s="309" t="s">
        <v>53</v>
      </c>
      <c r="P33" s="310">
        <f>SUM('Data Links'!F36)</f>
        <v>396.6078</v>
      </c>
      <c r="Q33" s="374"/>
      <c r="R33" s="54"/>
    </row>
    <row r="34" spans="1:18" hidden="1" x14ac:dyDescent="0.3">
      <c r="A34" s="149">
        <v>28</v>
      </c>
      <c r="B34" s="311" t="s">
        <v>69</v>
      </c>
      <c r="C34" s="312">
        <v>42643</v>
      </c>
      <c r="D34" s="311" t="s">
        <v>70</v>
      </c>
      <c r="E34" s="315" t="s">
        <v>68</v>
      </c>
      <c r="F34" s="306">
        <v>1993</v>
      </c>
      <c r="G34" s="306">
        <f t="shared" si="9"/>
        <v>25</v>
      </c>
      <c r="H34" s="371">
        <v>13</v>
      </c>
      <c r="I34" s="411">
        <v>15</v>
      </c>
      <c r="J34" s="316">
        <v>0.9</v>
      </c>
      <c r="K34" s="302">
        <f t="shared" si="0"/>
        <v>1872</v>
      </c>
      <c r="L34" s="342">
        <f t="shared" si="1"/>
        <v>2</v>
      </c>
      <c r="M34" s="342"/>
      <c r="N34" s="494">
        <f t="shared" si="5"/>
        <v>3088.7999999999997</v>
      </c>
      <c r="O34" s="317" t="s">
        <v>57</v>
      </c>
      <c r="P34" s="372"/>
      <c r="Q34" s="374"/>
      <c r="R34" s="54"/>
    </row>
    <row r="35" spans="1:18" hidden="1" x14ac:dyDescent="0.3">
      <c r="A35" s="149">
        <v>29</v>
      </c>
      <c r="B35" s="311" t="s">
        <v>365</v>
      </c>
      <c r="C35" s="312">
        <v>42842</v>
      </c>
      <c r="D35" s="311" t="s">
        <v>70</v>
      </c>
      <c r="E35" s="315" t="s">
        <v>68</v>
      </c>
      <c r="F35" s="306">
        <v>1994</v>
      </c>
      <c r="G35" s="306">
        <f t="shared" si="9"/>
        <v>24</v>
      </c>
      <c r="H35" s="371">
        <v>13.77</v>
      </c>
      <c r="I35" s="411">
        <v>14.25</v>
      </c>
      <c r="J35" s="308">
        <v>0.9</v>
      </c>
      <c r="K35" s="302">
        <f t="shared" si="0"/>
        <v>1872</v>
      </c>
      <c r="L35" s="342">
        <f t="shared" si="1"/>
        <v>0.48000000000000043</v>
      </c>
      <c r="M35" s="342"/>
      <c r="N35" s="494">
        <f t="shared" si="5"/>
        <v>741.31200000000069</v>
      </c>
      <c r="O35" s="321" t="s">
        <v>53</v>
      </c>
      <c r="P35" s="372">
        <f>SUM('Data Links'!F28)</f>
        <v>396.6078</v>
      </c>
      <c r="Q35" s="374"/>
      <c r="R35" s="54"/>
    </row>
    <row r="36" spans="1:18" hidden="1" x14ac:dyDescent="0.3">
      <c r="A36" s="149">
        <v>30</v>
      </c>
      <c r="B36" s="328" t="s">
        <v>76</v>
      </c>
      <c r="C36" s="369">
        <v>42111</v>
      </c>
      <c r="D36" s="328" t="s">
        <v>408</v>
      </c>
      <c r="E36" s="319" t="s">
        <v>68</v>
      </c>
      <c r="F36" s="370">
        <v>1991</v>
      </c>
      <c r="G36" s="306">
        <f t="shared" si="9"/>
        <v>27</v>
      </c>
      <c r="H36" s="371">
        <v>15.3</v>
      </c>
      <c r="I36" s="411">
        <v>16.5</v>
      </c>
      <c r="J36" s="330">
        <v>0.5</v>
      </c>
      <c r="K36" s="302">
        <f t="shared" si="0"/>
        <v>1040</v>
      </c>
      <c r="L36" s="342">
        <f t="shared" si="1"/>
        <v>1.1999999999999993</v>
      </c>
      <c r="M36" s="342"/>
      <c r="N36" s="494">
        <f t="shared" si="5"/>
        <v>1029.5999999999995</v>
      </c>
      <c r="O36" s="319" t="s">
        <v>58</v>
      </c>
      <c r="P36" s="310"/>
      <c r="Q36" s="374"/>
      <c r="R36" s="54"/>
    </row>
    <row r="37" spans="1:18" hidden="1" x14ac:dyDescent="0.3">
      <c r="A37" s="149">
        <v>31</v>
      </c>
      <c r="B37" s="328" t="s">
        <v>81</v>
      </c>
      <c r="C37" s="369">
        <v>42669</v>
      </c>
      <c r="D37" s="328" t="s">
        <v>82</v>
      </c>
      <c r="E37" s="319" t="s">
        <v>540</v>
      </c>
      <c r="F37" s="370">
        <v>1990</v>
      </c>
      <c r="G37" s="306">
        <f t="shared" si="9"/>
        <v>28</v>
      </c>
      <c r="H37" s="371">
        <v>13.77</v>
      </c>
      <c r="I37" s="411">
        <v>15.75</v>
      </c>
      <c r="J37" s="330">
        <v>0.75</v>
      </c>
      <c r="K37" s="302">
        <f t="shared" si="0"/>
        <v>1560</v>
      </c>
      <c r="L37" s="342">
        <f t="shared" si="1"/>
        <v>1.9800000000000004</v>
      </c>
      <c r="M37" s="342"/>
      <c r="N37" s="494">
        <f t="shared" si="5"/>
        <v>2548.2600000000002</v>
      </c>
      <c r="O37" s="373" t="s">
        <v>53</v>
      </c>
      <c r="P37" s="310">
        <f>SUM('Data Links'!F32)</f>
        <v>396.6078</v>
      </c>
      <c r="Q37" s="374"/>
      <c r="R37" s="54"/>
    </row>
    <row r="38" spans="1:18" hidden="1" x14ac:dyDescent="0.3">
      <c r="A38" s="149">
        <v>32</v>
      </c>
      <c r="B38" s="328" t="s">
        <v>61</v>
      </c>
      <c r="C38" s="369" t="s">
        <v>497</v>
      </c>
      <c r="D38" s="328" t="s">
        <v>539</v>
      </c>
      <c r="E38" s="319" t="s">
        <v>540</v>
      </c>
      <c r="F38" s="370" t="s">
        <v>497</v>
      </c>
      <c r="G38" s="370"/>
      <c r="H38" s="371">
        <v>13</v>
      </c>
      <c r="I38" s="411">
        <v>15.25</v>
      </c>
      <c r="J38" s="330">
        <v>0.25</v>
      </c>
      <c r="K38" s="302">
        <f t="shared" si="0"/>
        <v>520</v>
      </c>
      <c r="L38" s="342">
        <f t="shared" si="1"/>
        <v>2.25</v>
      </c>
      <c r="M38" s="342"/>
      <c r="N38" s="494">
        <f t="shared" si="5"/>
        <v>965.25</v>
      </c>
      <c r="O38" s="373" t="s">
        <v>58</v>
      </c>
      <c r="P38" s="310"/>
      <c r="Q38" s="374"/>
      <c r="R38" s="54"/>
    </row>
    <row r="39" spans="1:18" hidden="1" x14ac:dyDescent="0.3">
      <c r="A39" s="149">
        <v>33</v>
      </c>
      <c r="B39" s="311" t="s">
        <v>88</v>
      </c>
      <c r="C39" s="312">
        <v>42713</v>
      </c>
      <c r="D39" s="311" t="s">
        <v>89</v>
      </c>
      <c r="E39" s="315" t="s">
        <v>90</v>
      </c>
      <c r="F39" s="306">
        <v>1978</v>
      </c>
      <c r="G39" s="306">
        <f t="shared" ref="G39:G66" si="10">SUM($G$6-F39)</f>
        <v>40</v>
      </c>
      <c r="H39" s="313">
        <v>19.48</v>
      </c>
      <c r="I39" s="415">
        <v>19.5</v>
      </c>
      <c r="J39" s="308">
        <v>0.6</v>
      </c>
      <c r="K39" s="302">
        <f t="shared" si="0"/>
        <v>1248</v>
      </c>
      <c r="L39" s="342">
        <f t="shared" si="1"/>
        <v>1.9999999999999574E-2</v>
      </c>
      <c r="M39" s="342"/>
      <c r="N39" s="494">
        <f t="shared" si="5"/>
        <v>20.591999999999558</v>
      </c>
      <c r="O39" s="309" t="s">
        <v>58</v>
      </c>
      <c r="P39" s="310"/>
      <c r="Q39" s="374"/>
      <c r="R39" s="54"/>
    </row>
    <row r="40" spans="1:18" hidden="1" x14ac:dyDescent="0.3">
      <c r="A40" s="149">
        <v>34</v>
      </c>
      <c r="B40" s="311" t="s">
        <v>508</v>
      </c>
      <c r="C40" s="369" t="s">
        <v>409</v>
      </c>
      <c r="D40" s="311" t="s">
        <v>99</v>
      </c>
      <c r="E40" s="315" t="s">
        <v>93</v>
      </c>
      <c r="F40" s="433">
        <v>1985</v>
      </c>
      <c r="G40" s="306">
        <f t="shared" si="10"/>
        <v>33</v>
      </c>
      <c r="H40" s="308">
        <v>16.75</v>
      </c>
      <c r="I40" s="415">
        <v>17.670000000000002</v>
      </c>
      <c r="J40" s="308">
        <v>0.5</v>
      </c>
      <c r="K40" s="302">
        <f t="shared" si="0"/>
        <v>1040</v>
      </c>
      <c r="L40" s="342">
        <f t="shared" si="1"/>
        <v>0.92000000000000171</v>
      </c>
      <c r="M40" s="342"/>
      <c r="N40" s="494">
        <f t="shared" si="5"/>
        <v>789.36000000000138</v>
      </c>
      <c r="O40" s="315" t="s">
        <v>58</v>
      </c>
      <c r="P40" s="310"/>
      <c r="Q40" s="374"/>
      <c r="R40" s="54"/>
    </row>
    <row r="41" spans="1:18" hidden="1" x14ac:dyDescent="0.3">
      <c r="A41" s="149">
        <v>35</v>
      </c>
      <c r="B41" s="311" t="s">
        <v>97</v>
      </c>
      <c r="C41" s="323">
        <v>42388</v>
      </c>
      <c r="D41" s="324" t="s">
        <v>98</v>
      </c>
      <c r="E41" s="346" t="s">
        <v>93</v>
      </c>
      <c r="F41" s="325">
        <v>1997</v>
      </c>
      <c r="G41" s="306">
        <f t="shared" si="10"/>
        <v>21</v>
      </c>
      <c r="H41" s="326">
        <v>11</v>
      </c>
      <c r="I41" s="326">
        <v>11.5</v>
      </c>
      <c r="J41" s="326">
        <v>0.1</v>
      </c>
      <c r="K41" s="302">
        <f t="shared" si="0"/>
        <v>208</v>
      </c>
      <c r="L41" s="342">
        <f t="shared" si="1"/>
        <v>0.5</v>
      </c>
      <c r="M41" s="342"/>
      <c r="N41" s="494">
        <f t="shared" si="5"/>
        <v>85.8</v>
      </c>
      <c r="O41" s="327" t="s">
        <v>58</v>
      </c>
      <c r="P41" s="310"/>
      <c r="Q41" s="425"/>
      <c r="R41" s="54"/>
    </row>
    <row r="42" spans="1:18" hidden="1" x14ac:dyDescent="0.3">
      <c r="A42" s="149">
        <v>36</v>
      </c>
      <c r="B42" s="311" t="s">
        <v>91</v>
      </c>
      <c r="C42" s="312">
        <v>42759</v>
      </c>
      <c r="D42" s="311" t="s">
        <v>92</v>
      </c>
      <c r="E42" s="315" t="s">
        <v>93</v>
      </c>
      <c r="F42" s="306">
        <v>1975</v>
      </c>
      <c r="G42" s="306">
        <f t="shared" si="10"/>
        <v>43</v>
      </c>
      <c r="H42" s="318">
        <v>1100</v>
      </c>
      <c r="I42" s="411"/>
      <c r="J42" s="308">
        <v>0.1</v>
      </c>
      <c r="K42" s="302">
        <f t="shared" si="0"/>
        <v>208</v>
      </c>
      <c r="L42" s="342"/>
      <c r="M42" s="342"/>
      <c r="N42" s="494">
        <f t="shared" si="5"/>
        <v>0</v>
      </c>
      <c r="O42" s="309" t="s">
        <v>58</v>
      </c>
      <c r="P42" s="310"/>
      <c r="Q42" s="374"/>
      <c r="R42" s="54"/>
    </row>
    <row r="43" spans="1:18" hidden="1" x14ac:dyDescent="0.3">
      <c r="A43" s="149">
        <v>37</v>
      </c>
      <c r="B43" s="311" t="s">
        <v>94</v>
      </c>
      <c r="C43" s="312">
        <v>42713</v>
      </c>
      <c r="D43" s="311" t="s">
        <v>95</v>
      </c>
      <c r="E43" s="315" t="s">
        <v>93</v>
      </c>
      <c r="F43" s="306">
        <v>1969</v>
      </c>
      <c r="G43" s="306">
        <f t="shared" si="10"/>
        <v>49</v>
      </c>
      <c r="H43" s="371">
        <v>16.84</v>
      </c>
      <c r="I43" s="415">
        <v>18</v>
      </c>
      <c r="J43" s="322">
        <v>0.5</v>
      </c>
      <c r="K43" s="302">
        <f t="shared" si="0"/>
        <v>1040</v>
      </c>
      <c r="L43" s="342">
        <f t="shared" si="1"/>
        <v>1.1600000000000001</v>
      </c>
      <c r="M43" s="342"/>
      <c r="N43" s="494">
        <f t="shared" si="5"/>
        <v>995.28</v>
      </c>
      <c r="O43" s="320" t="s">
        <v>58</v>
      </c>
      <c r="P43" s="310">
        <f>SUM('Data Links'!F53)</f>
        <v>396.6078</v>
      </c>
      <c r="Q43" s="374"/>
      <c r="R43" s="54"/>
    </row>
    <row r="44" spans="1:18" hidden="1" x14ac:dyDescent="0.3">
      <c r="A44" s="149">
        <v>38</v>
      </c>
      <c r="B44" s="311" t="s">
        <v>96</v>
      </c>
      <c r="C44" s="312">
        <v>42811</v>
      </c>
      <c r="D44" s="311" t="s">
        <v>95</v>
      </c>
      <c r="E44" s="315" t="s">
        <v>93</v>
      </c>
      <c r="F44" s="306">
        <v>1992</v>
      </c>
      <c r="G44" s="306">
        <f t="shared" si="10"/>
        <v>26</v>
      </c>
      <c r="H44" s="313">
        <v>15.07</v>
      </c>
      <c r="I44" s="415">
        <v>16</v>
      </c>
      <c r="J44" s="316">
        <v>1</v>
      </c>
      <c r="K44" s="302">
        <f t="shared" si="0"/>
        <v>2080</v>
      </c>
      <c r="L44" s="342">
        <f t="shared" si="1"/>
        <v>0.92999999999999972</v>
      </c>
      <c r="M44" s="342"/>
      <c r="N44" s="494">
        <f t="shared" si="5"/>
        <v>1595.8799999999994</v>
      </c>
      <c r="O44" s="319" t="s">
        <v>53</v>
      </c>
      <c r="P44" s="310">
        <f>SUM('Data Links'!F30)</f>
        <v>396.6078</v>
      </c>
      <c r="Q44" s="374"/>
      <c r="R44" s="54"/>
    </row>
    <row r="45" spans="1:18" x14ac:dyDescent="0.3">
      <c r="A45" s="149">
        <v>39</v>
      </c>
      <c r="B45" s="311" t="s">
        <v>102</v>
      </c>
      <c r="C45" s="312">
        <v>42009</v>
      </c>
      <c r="D45" s="311" t="s">
        <v>103</v>
      </c>
      <c r="E45" s="315" t="s">
        <v>93</v>
      </c>
      <c r="F45" s="306">
        <v>1987</v>
      </c>
      <c r="G45" s="306">
        <f t="shared" si="10"/>
        <v>31</v>
      </c>
      <c r="H45" s="313">
        <v>21.975697115384612</v>
      </c>
      <c r="I45" s="313">
        <v>21.975697115384612</v>
      </c>
      <c r="J45" s="316">
        <v>1</v>
      </c>
      <c r="K45" s="302">
        <f t="shared" si="0"/>
        <v>2080</v>
      </c>
      <c r="L45" s="342">
        <f t="shared" si="1"/>
        <v>0</v>
      </c>
      <c r="M45" s="342">
        <f>SUM($M$6*I45)</f>
        <v>0.43951394230769225</v>
      </c>
      <c r="N45" s="494">
        <f>SUM(J45*2080)*M45</f>
        <v>914.18899999999985</v>
      </c>
      <c r="O45" s="319" t="s">
        <v>53</v>
      </c>
      <c r="P45" s="310">
        <f>SUM('Data Links'!F35)</f>
        <v>396.6078</v>
      </c>
      <c r="Q45" s="377"/>
      <c r="R45" s="54"/>
    </row>
    <row r="46" spans="1:18" hidden="1" x14ac:dyDescent="0.3">
      <c r="A46" s="149">
        <v>40</v>
      </c>
      <c r="B46" s="311" t="s">
        <v>100</v>
      </c>
      <c r="C46" s="312">
        <v>42678</v>
      </c>
      <c r="D46" s="328" t="s">
        <v>101</v>
      </c>
      <c r="E46" s="319" t="s">
        <v>93</v>
      </c>
      <c r="F46" s="306">
        <v>1995</v>
      </c>
      <c r="G46" s="306">
        <f t="shared" si="10"/>
        <v>23</v>
      </c>
      <c r="H46" s="313">
        <v>12.24</v>
      </c>
      <c r="I46" s="415">
        <v>14.25</v>
      </c>
      <c r="J46" s="316">
        <v>1</v>
      </c>
      <c r="K46" s="302">
        <f t="shared" si="0"/>
        <v>2080</v>
      </c>
      <c r="L46" s="342">
        <f t="shared" si="1"/>
        <v>2.0099999999999998</v>
      </c>
      <c r="M46" s="342"/>
      <c r="N46" s="494">
        <f t="shared" si="5"/>
        <v>3449.1599999999994</v>
      </c>
      <c r="O46" s="317" t="s">
        <v>57</v>
      </c>
      <c r="P46" s="310"/>
      <c r="Q46" s="374"/>
      <c r="R46" s="54"/>
    </row>
    <row r="47" spans="1:18" hidden="1" x14ac:dyDescent="0.3">
      <c r="A47" s="149">
        <v>41</v>
      </c>
      <c r="B47" s="311" t="s">
        <v>121</v>
      </c>
      <c r="C47" s="312">
        <v>42741</v>
      </c>
      <c r="D47" s="311" t="s">
        <v>122</v>
      </c>
      <c r="E47" s="315" t="s">
        <v>105</v>
      </c>
      <c r="F47" s="306">
        <v>1990</v>
      </c>
      <c r="G47" s="306">
        <f t="shared" si="10"/>
        <v>28</v>
      </c>
      <c r="H47" s="313">
        <v>14.66</v>
      </c>
      <c r="I47" s="415">
        <v>15.75</v>
      </c>
      <c r="J47" s="330">
        <v>1</v>
      </c>
      <c r="K47" s="302">
        <f t="shared" si="0"/>
        <v>2080</v>
      </c>
      <c r="L47" s="342">
        <f t="shared" si="1"/>
        <v>1.0899999999999999</v>
      </c>
      <c r="M47" s="342"/>
      <c r="N47" s="494">
        <f t="shared" si="5"/>
        <v>1870.4399999999998</v>
      </c>
      <c r="O47" s="320" t="s">
        <v>53</v>
      </c>
      <c r="P47" s="310">
        <f>SUM('Data Links'!F32)</f>
        <v>396.6078</v>
      </c>
      <c r="Q47" s="377"/>
      <c r="R47" s="54"/>
    </row>
    <row r="48" spans="1:18" x14ac:dyDescent="0.3">
      <c r="A48" s="149">
        <v>42</v>
      </c>
      <c r="B48" s="311" t="s">
        <v>108</v>
      </c>
      <c r="C48" s="312">
        <v>42604</v>
      </c>
      <c r="D48" s="311" t="s">
        <v>109</v>
      </c>
      <c r="E48" s="315" t="s">
        <v>105</v>
      </c>
      <c r="F48" s="306">
        <v>1954</v>
      </c>
      <c r="G48" s="306">
        <f t="shared" si="10"/>
        <v>64</v>
      </c>
      <c r="H48" s="313">
        <v>20.059999999999999</v>
      </c>
      <c r="I48" s="313">
        <v>20.059999999999999</v>
      </c>
      <c r="J48" s="316">
        <v>0.1</v>
      </c>
      <c r="K48" s="302">
        <f t="shared" si="0"/>
        <v>208</v>
      </c>
      <c r="L48" s="342">
        <f t="shared" si="1"/>
        <v>0</v>
      </c>
      <c r="M48" s="342">
        <f t="shared" ref="M48:M52" si="11">SUM($M$6*I48)</f>
        <v>0.4012</v>
      </c>
      <c r="N48" s="494">
        <f t="shared" ref="N48:N52" si="12">SUM(J48*2080)*M48</f>
        <v>83.449600000000004</v>
      </c>
      <c r="O48" s="315" t="s">
        <v>58</v>
      </c>
      <c r="P48" s="310"/>
      <c r="Q48" s="374"/>
      <c r="R48" s="54"/>
    </row>
    <row r="49" spans="1:18" x14ac:dyDescent="0.3">
      <c r="A49" s="149">
        <v>43</v>
      </c>
      <c r="B49" s="311" t="s">
        <v>61</v>
      </c>
      <c r="C49" s="312" t="s">
        <v>497</v>
      </c>
      <c r="D49" s="311" t="s">
        <v>588</v>
      </c>
      <c r="E49" s="315" t="s">
        <v>105</v>
      </c>
      <c r="F49" s="306"/>
      <c r="G49" s="306">
        <f t="shared" si="10"/>
        <v>2018</v>
      </c>
      <c r="H49" s="313">
        <v>27.97</v>
      </c>
      <c r="I49" s="313">
        <v>27.97</v>
      </c>
      <c r="J49" s="316">
        <v>1</v>
      </c>
      <c r="K49" s="302">
        <f t="shared" si="0"/>
        <v>2080</v>
      </c>
      <c r="L49" s="342">
        <f t="shared" si="1"/>
        <v>0</v>
      </c>
      <c r="M49" s="342">
        <f t="shared" si="11"/>
        <v>0.55940000000000001</v>
      </c>
      <c r="N49" s="494">
        <f t="shared" si="12"/>
        <v>1163.5519999999999</v>
      </c>
      <c r="O49" s="315" t="s">
        <v>53</v>
      </c>
      <c r="P49" s="310">
        <f>SUM('Data Links'!F69)</f>
        <v>426</v>
      </c>
      <c r="Q49" s="374"/>
      <c r="R49" s="54"/>
    </row>
    <row r="50" spans="1:18" x14ac:dyDescent="0.3">
      <c r="A50" s="149">
        <v>44</v>
      </c>
      <c r="B50" s="328" t="s">
        <v>61</v>
      </c>
      <c r="C50" s="369" t="s">
        <v>409</v>
      </c>
      <c r="D50" s="304" t="s">
        <v>587</v>
      </c>
      <c r="E50" s="335" t="s">
        <v>105</v>
      </c>
      <c r="F50" s="369"/>
      <c r="G50" s="306">
        <f t="shared" si="10"/>
        <v>2018</v>
      </c>
      <c r="H50" s="330">
        <v>18</v>
      </c>
      <c r="I50" s="414">
        <v>18</v>
      </c>
      <c r="J50" s="308">
        <v>1</v>
      </c>
      <c r="K50" s="302">
        <f t="shared" si="0"/>
        <v>2080</v>
      </c>
      <c r="L50" s="342">
        <f t="shared" si="1"/>
        <v>0</v>
      </c>
      <c r="M50" s="342">
        <f t="shared" si="11"/>
        <v>0.36</v>
      </c>
      <c r="N50" s="494">
        <f t="shared" si="12"/>
        <v>748.8</v>
      </c>
      <c r="O50" s="309" t="s">
        <v>53</v>
      </c>
      <c r="P50" s="310">
        <f>SUM('Data Links'!F69)</f>
        <v>426</v>
      </c>
      <c r="Q50" s="377"/>
      <c r="R50" s="54"/>
    </row>
    <row r="51" spans="1:18" x14ac:dyDescent="0.3">
      <c r="A51" s="149">
        <v>45</v>
      </c>
      <c r="B51" s="328" t="s">
        <v>497</v>
      </c>
      <c r="C51" s="369">
        <v>41015</v>
      </c>
      <c r="D51" s="328" t="s">
        <v>589</v>
      </c>
      <c r="E51" s="315" t="s">
        <v>105</v>
      </c>
      <c r="F51" s="306"/>
      <c r="G51" s="306">
        <f t="shared" si="10"/>
        <v>2018</v>
      </c>
      <c r="H51" s="313">
        <v>27.968250000000001</v>
      </c>
      <c r="I51" s="313">
        <v>27.968250000000001</v>
      </c>
      <c r="J51" s="316">
        <v>1</v>
      </c>
      <c r="K51" s="302">
        <f t="shared" si="0"/>
        <v>2080</v>
      </c>
      <c r="L51" s="342">
        <f t="shared" si="1"/>
        <v>0</v>
      </c>
      <c r="M51" s="342">
        <f t="shared" si="11"/>
        <v>0.559365</v>
      </c>
      <c r="N51" s="494">
        <f t="shared" si="12"/>
        <v>1163.4792</v>
      </c>
      <c r="O51" s="320" t="s">
        <v>53</v>
      </c>
      <c r="P51" s="310">
        <f>SUM('Data Links'!F69)</f>
        <v>426</v>
      </c>
      <c r="Q51" s="374"/>
      <c r="R51" s="54"/>
    </row>
    <row r="52" spans="1:18" x14ac:dyDescent="0.3">
      <c r="A52" s="149">
        <v>46</v>
      </c>
      <c r="B52" s="311" t="s">
        <v>115</v>
      </c>
      <c r="C52" s="312">
        <v>42678</v>
      </c>
      <c r="D52" s="311" t="s">
        <v>116</v>
      </c>
      <c r="E52" s="315" t="s">
        <v>112</v>
      </c>
      <c r="F52" s="306">
        <v>1989</v>
      </c>
      <c r="G52" s="306">
        <f t="shared" si="10"/>
        <v>29</v>
      </c>
      <c r="H52" s="313">
        <v>21.975807692307693</v>
      </c>
      <c r="I52" s="313">
        <v>21.975807692307693</v>
      </c>
      <c r="J52" s="308">
        <v>1</v>
      </c>
      <c r="K52" s="302">
        <f t="shared" si="0"/>
        <v>2080</v>
      </c>
      <c r="L52" s="342">
        <f t="shared" si="1"/>
        <v>0</v>
      </c>
      <c r="M52" s="342">
        <f t="shared" si="11"/>
        <v>0.43951615384615389</v>
      </c>
      <c r="N52" s="494">
        <f t="shared" si="12"/>
        <v>914.19360000000006</v>
      </c>
      <c r="O52" s="309" t="s">
        <v>53</v>
      </c>
      <c r="P52" s="310">
        <f>SUM('Data Links'!F33)</f>
        <v>396.6078</v>
      </c>
      <c r="Q52" s="377"/>
      <c r="R52" s="54"/>
    </row>
    <row r="53" spans="1:18" hidden="1" x14ac:dyDescent="0.3">
      <c r="A53" s="149">
        <v>47</v>
      </c>
      <c r="B53" s="328" t="s">
        <v>61</v>
      </c>
      <c r="C53" s="369" t="s">
        <v>409</v>
      </c>
      <c r="D53" s="311" t="s">
        <v>111</v>
      </c>
      <c r="E53" s="315" t="s">
        <v>112</v>
      </c>
      <c r="F53" s="369"/>
      <c r="G53" s="306">
        <f t="shared" si="10"/>
        <v>2018</v>
      </c>
      <c r="H53" s="313">
        <v>13</v>
      </c>
      <c r="I53" s="415">
        <v>14.25</v>
      </c>
      <c r="J53" s="316">
        <v>0.5</v>
      </c>
      <c r="K53" s="302">
        <f t="shared" si="0"/>
        <v>1040</v>
      </c>
      <c r="L53" s="342">
        <f t="shared" si="1"/>
        <v>1.25</v>
      </c>
      <c r="M53" s="342"/>
      <c r="N53" s="494">
        <f t="shared" si="5"/>
        <v>1072.5</v>
      </c>
      <c r="O53" s="315" t="s">
        <v>58</v>
      </c>
      <c r="P53" s="310"/>
      <c r="Q53" s="374"/>
      <c r="R53" s="54"/>
    </row>
    <row r="54" spans="1:18" hidden="1" x14ac:dyDescent="0.3">
      <c r="A54" s="149">
        <v>48</v>
      </c>
      <c r="B54" s="311" t="s">
        <v>114</v>
      </c>
      <c r="C54" s="312">
        <v>42500</v>
      </c>
      <c r="D54" s="311" t="s">
        <v>111</v>
      </c>
      <c r="E54" s="315" t="s">
        <v>112</v>
      </c>
      <c r="F54" s="306">
        <v>1990</v>
      </c>
      <c r="G54" s="306">
        <f t="shared" si="10"/>
        <v>28</v>
      </c>
      <c r="H54" s="313">
        <v>13</v>
      </c>
      <c r="I54" s="415">
        <v>15.75</v>
      </c>
      <c r="J54" s="429">
        <v>0.6</v>
      </c>
      <c r="K54" s="302">
        <f t="shared" si="0"/>
        <v>1248</v>
      </c>
      <c r="L54" s="342">
        <f t="shared" si="1"/>
        <v>2.75</v>
      </c>
      <c r="M54" s="342"/>
      <c r="N54" s="494">
        <f t="shared" si="5"/>
        <v>2831.3999999999996</v>
      </c>
      <c r="O54" s="314" t="s">
        <v>57</v>
      </c>
      <c r="P54" s="310"/>
      <c r="Q54" s="377"/>
      <c r="R54" s="54"/>
    </row>
    <row r="55" spans="1:18" hidden="1" x14ac:dyDescent="0.3">
      <c r="A55" s="149">
        <v>49</v>
      </c>
      <c r="B55" s="311" t="s">
        <v>113</v>
      </c>
      <c r="C55" s="312">
        <v>42795</v>
      </c>
      <c r="D55" s="311" t="s">
        <v>111</v>
      </c>
      <c r="E55" s="315" t="s">
        <v>112</v>
      </c>
      <c r="F55" s="306">
        <v>1989</v>
      </c>
      <c r="G55" s="306">
        <f t="shared" si="10"/>
        <v>29</v>
      </c>
      <c r="H55" s="313">
        <v>13.77</v>
      </c>
      <c r="I55" s="415">
        <v>15.75</v>
      </c>
      <c r="J55" s="316">
        <v>1</v>
      </c>
      <c r="K55" s="302">
        <f t="shared" si="0"/>
        <v>2080</v>
      </c>
      <c r="L55" s="342">
        <f t="shared" si="1"/>
        <v>1.9800000000000004</v>
      </c>
      <c r="M55" s="342"/>
      <c r="N55" s="494">
        <f t="shared" si="5"/>
        <v>3397.6800000000003</v>
      </c>
      <c r="O55" s="314" t="s">
        <v>57</v>
      </c>
      <c r="P55" s="310"/>
      <c r="Q55" s="428"/>
      <c r="R55" s="54"/>
    </row>
    <row r="56" spans="1:18" x14ac:dyDescent="0.3">
      <c r="A56" s="149">
        <v>50</v>
      </c>
      <c r="B56" s="311" t="s">
        <v>66</v>
      </c>
      <c r="C56" s="312">
        <v>35004</v>
      </c>
      <c r="D56" s="311" t="s">
        <v>67</v>
      </c>
      <c r="E56" s="315" t="s">
        <v>119</v>
      </c>
      <c r="F56" s="306">
        <v>1946</v>
      </c>
      <c r="G56" s="306">
        <f t="shared" si="10"/>
        <v>72</v>
      </c>
      <c r="H56" s="313">
        <v>24.28</v>
      </c>
      <c r="I56" s="313">
        <v>24.28</v>
      </c>
      <c r="J56" s="316">
        <v>0.5</v>
      </c>
      <c r="K56" s="302">
        <f t="shared" si="0"/>
        <v>1040</v>
      </c>
      <c r="L56" s="342">
        <f t="shared" si="1"/>
        <v>0</v>
      </c>
      <c r="M56" s="342">
        <f t="shared" ref="M56" si="13">SUM($M$6*I56)</f>
        <v>0.48560000000000003</v>
      </c>
      <c r="N56" s="494">
        <f t="shared" ref="N56:N57" si="14">SUM(J56*2080)*M56</f>
        <v>505.02400000000006</v>
      </c>
      <c r="O56" s="315" t="s">
        <v>58</v>
      </c>
      <c r="P56" s="310"/>
      <c r="Q56" s="374"/>
      <c r="R56" s="54"/>
    </row>
    <row r="57" spans="1:18" hidden="1" x14ac:dyDescent="0.3">
      <c r="A57" s="149">
        <v>51</v>
      </c>
      <c r="B57" s="328" t="s">
        <v>61</v>
      </c>
      <c r="C57" s="312">
        <v>41536</v>
      </c>
      <c r="D57" s="311" t="s">
        <v>74</v>
      </c>
      <c r="E57" s="315" t="s">
        <v>551</v>
      </c>
      <c r="F57" s="369"/>
      <c r="G57" s="306">
        <f t="shared" si="10"/>
        <v>2018</v>
      </c>
      <c r="H57" s="318">
        <v>1033.0899999999999</v>
      </c>
      <c r="I57" s="411"/>
      <c r="J57" s="316">
        <v>0.1</v>
      </c>
      <c r="K57" s="302">
        <f t="shared" si="0"/>
        <v>208</v>
      </c>
      <c r="L57" s="342"/>
      <c r="M57" s="342"/>
      <c r="N57" s="494">
        <f t="shared" si="14"/>
        <v>0</v>
      </c>
      <c r="O57" s="315" t="s">
        <v>58</v>
      </c>
      <c r="P57" s="310"/>
      <c r="Q57" s="377"/>
      <c r="R57" s="54"/>
    </row>
    <row r="58" spans="1:18" hidden="1" x14ac:dyDescent="0.3">
      <c r="A58" s="149">
        <v>52</v>
      </c>
      <c r="B58" s="328" t="s">
        <v>509</v>
      </c>
      <c r="C58" s="369">
        <v>42905</v>
      </c>
      <c r="D58" s="311" t="s">
        <v>78</v>
      </c>
      <c r="E58" s="315" t="s">
        <v>551</v>
      </c>
      <c r="F58" s="370">
        <v>1990</v>
      </c>
      <c r="G58" s="306">
        <f t="shared" si="10"/>
        <v>28</v>
      </c>
      <c r="H58" s="371">
        <v>15.95</v>
      </c>
      <c r="I58" s="414">
        <v>17</v>
      </c>
      <c r="J58" s="316">
        <v>1</v>
      </c>
      <c r="K58" s="302">
        <f t="shared" si="0"/>
        <v>2080</v>
      </c>
      <c r="L58" s="342">
        <f t="shared" si="1"/>
        <v>1.0500000000000007</v>
      </c>
      <c r="M58" s="342"/>
      <c r="N58" s="494">
        <f t="shared" si="5"/>
        <v>1801.8000000000011</v>
      </c>
      <c r="O58" s="335" t="s">
        <v>53</v>
      </c>
      <c r="P58" s="310">
        <f>SUM('Data Links'!F32)</f>
        <v>396.6078</v>
      </c>
      <c r="Q58" s="377"/>
      <c r="R58" s="54"/>
    </row>
    <row r="59" spans="1:18" hidden="1" x14ac:dyDescent="0.3">
      <c r="A59" s="149">
        <v>53</v>
      </c>
      <c r="B59" s="328" t="s">
        <v>124</v>
      </c>
      <c r="C59" s="305">
        <v>42117</v>
      </c>
      <c r="D59" s="304" t="s">
        <v>78</v>
      </c>
      <c r="E59" s="315" t="s">
        <v>551</v>
      </c>
      <c r="F59" s="306">
        <v>1953</v>
      </c>
      <c r="G59" s="306">
        <f t="shared" si="10"/>
        <v>65</v>
      </c>
      <c r="H59" s="313">
        <v>16.84</v>
      </c>
      <c r="I59" s="415">
        <v>18</v>
      </c>
      <c r="J59" s="316">
        <v>1</v>
      </c>
      <c r="K59" s="302">
        <f t="shared" si="0"/>
        <v>2080</v>
      </c>
      <c r="L59" s="342">
        <f t="shared" si="1"/>
        <v>1.1600000000000001</v>
      </c>
      <c r="M59" s="342"/>
      <c r="N59" s="494">
        <f t="shared" si="5"/>
        <v>1990.56</v>
      </c>
      <c r="O59" s="335" t="s">
        <v>53</v>
      </c>
      <c r="P59" s="310">
        <f>SUM('Data Links'!F68)</f>
        <v>396.6078</v>
      </c>
      <c r="Q59" s="374"/>
      <c r="R59" s="54"/>
    </row>
    <row r="60" spans="1:18" hidden="1" x14ac:dyDescent="0.3">
      <c r="A60" s="149">
        <v>54</v>
      </c>
      <c r="B60" s="328" t="s">
        <v>77</v>
      </c>
      <c r="C60" s="312">
        <v>42064</v>
      </c>
      <c r="D60" s="311" t="s">
        <v>78</v>
      </c>
      <c r="E60" s="315" t="s">
        <v>551</v>
      </c>
      <c r="F60" s="306">
        <v>1962</v>
      </c>
      <c r="G60" s="306">
        <f t="shared" si="10"/>
        <v>56</v>
      </c>
      <c r="H60" s="313">
        <v>18.61</v>
      </c>
      <c r="I60" s="415">
        <v>20</v>
      </c>
      <c r="J60" s="308">
        <v>1</v>
      </c>
      <c r="K60" s="302">
        <f t="shared" si="0"/>
        <v>2080</v>
      </c>
      <c r="L60" s="342">
        <f t="shared" si="1"/>
        <v>1.3900000000000006</v>
      </c>
      <c r="M60" s="342"/>
      <c r="N60" s="494">
        <f t="shared" si="5"/>
        <v>2385.2400000000007</v>
      </c>
      <c r="O60" s="309" t="s">
        <v>53</v>
      </c>
      <c r="P60" s="310">
        <f>SUM('Data Links'!F60)</f>
        <v>396.6078</v>
      </c>
      <c r="Q60" s="378"/>
      <c r="R60" s="54"/>
    </row>
    <row r="61" spans="1:18" x14ac:dyDescent="0.3">
      <c r="A61" s="149">
        <v>55</v>
      </c>
      <c r="B61" s="328" t="s">
        <v>125</v>
      </c>
      <c r="C61" s="312">
        <v>41015</v>
      </c>
      <c r="D61" s="311" t="s">
        <v>126</v>
      </c>
      <c r="E61" s="315" t="s">
        <v>551</v>
      </c>
      <c r="F61" s="306">
        <v>1983</v>
      </c>
      <c r="G61" s="306">
        <f t="shared" si="10"/>
        <v>35</v>
      </c>
      <c r="H61" s="307">
        <v>22.829807692307693</v>
      </c>
      <c r="I61" s="307">
        <v>22.829807692307693</v>
      </c>
      <c r="J61" s="308">
        <v>1</v>
      </c>
      <c r="K61" s="302">
        <f t="shared" si="0"/>
        <v>2080</v>
      </c>
      <c r="L61" s="342">
        <f t="shared" si="1"/>
        <v>0</v>
      </c>
      <c r="M61" s="342">
        <f t="shared" ref="M61" si="15">SUM($M$6*I61)</f>
        <v>0.45659615384615387</v>
      </c>
      <c r="N61" s="494">
        <f t="shared" ref="N61" si="16">SUM(J61*2080)*M61</f>
        <v>949.72</v>
      </c>
      <c r="O61" s="309" t="s">
        <v>53</v>
      </c>
      <c r="P61" s="310">
        <f>SUM('Data Links'!F39)</f>
        <v>396.6078</v>
      </c>
      <c r="Q61" s="378"/>
      <c r="R61" s="54"/>
    </row>
    <row r="62" spans="1:18" hidden="1" x14ac:dyDescent="0.3">
      <c r="A62" s="149">
        <v>56</v>
      </c>
      <c r="B62" s="427" t="s">
        <v>120</v>
      </c>
      <c r="C62" s="331">
        <v>42489</v>
      </c>
      <c r="D62" s="332" t="s">
        <v>78</v>
      </c>
      <c r="E62" s="315" t="s">
        <v>551</v>
      </c>
      <c r="F62" s="333">
        <v>1970</v>
      </c>
      <c r="G62" s="306">
        <f t="shared" si="10"/>
        <v>48</v>
      </c>
      <c r="H62" s="334">
        <v>18.61</v>
      </c>
      <c r="I62" s="416">
        <v>20</v>
      </c>
      <c r="J62" s="322">
        <v>1</v>
      </c>
      <c r="K62" s="302">
        <f t="shared" si="0"/>
        <v>2080</v>
      </c>
      <c r="L62" s="342">
        <f t="shared" si="1"/>
        <v>1.3900000000000006</v>
      </c>
      <c r="M62" s="342"/>
      <c r="N62" s="494">
        <f t="shared" si="5"/>
        <v>2385.2400000000007</v>
      </c>
      <c r="O62" s="320" t="s">
        <v>53</v>
      </c>
      <c r="P62" s="310">
        <f>SUM('Data Links'!F52)</f>
        <v>396.6078</v>
      </c>
      <c r="Q62" s="378"/>
      <c r="R62" s="54"/>
    </row>
    <row r="63" spans="1:18" hidden="1" x14ac:dyDescent="0.3">
      <c r="A63" s="149">
        <v>57</v>
      </c>
      <c r="B63" s="328" t="s">
        <v>127</v>
      </c>
      <c r="C63" s="369">
        <v>42678</v>
      </c>
      <c r="D63" s="328" t="s">
        <v>510</v>
      </c>
      <c r="E63" s="315" t="s">
        <v>551</v>
      </c>
      <c r="F63" s="370">
        <v>1975</v>
      </c>
      <c r="G63" s="306">
        <f t="shared" si="10"/>
        <v>43</v>
      </c>
      <c r="H63" s="371">
        <v>15.3</v>
      </c>
      <c r="I63" s="411">
        <v>16.5</v>
      </c>
      <c r="J63" s="330">
        <v>0.7</v>
      </c>
      <c r="K63" s="302">
        <f t="shared" si="0"/>
        <v>1456</v>
      </c>
      <c r="L63" s="342">
        <f t="shared" si="1"/>
        <v>1.1999999999999993</v>
      </c>
      <c r="M63" s="342"/>
      <c r="N63" s="494">
        <f t="shared" si="5"/>
        <v>1441.4399999999989</v>
      </c>
      <c r="O63" s="319" t="s">
        <v>58</v>
      </c>
      <c r="P63" s="372">
        <v>0</v>
      </c>
      <c r="Q63" s="378"/>
      <c r="R63" s="54"/>
    </row>
    <row r="64" spans="1:18" hidden="1" x14ac:dyDescent="0.3">
      <c r="A64" s="149">
        <v>58</v>
      </c>
      <c r="B64" s="328" t="s">
        <v>61</v>
      </c>
      <c r="C64" s="369" t="s">
        <v>409</v>
      </c>
      <c r="D64" s="328" t="s">
        <v>511</v>
      </c>
      <c r="E64" s="319" t="s">
        <v>128</v>
      </c>
      <c r="F64" s="369"/>
      <c r="G64" s="306">
        <f t="shared" si="10"/>
        <v>2018</v>
      </c>
      <c r="H64" s="371">
        <v>11</v>
      </c>
      <c r="I64" s="411">
        <v>11.5</v>
      </c>
      <c r="J64" s="379">
        <v>0.67</v>
      </c>
      <c r="K64" s="302">
        <f t="shared" si="0"/>
        <v>1393.6000000000001</v>
      </c>
      <c r="L64" s="342">
        <f t="shared" si="1"/>
        <v>0.5</v>
      </c>
      <c r="M64" s="342"/>
      <c r="N64" s="494">
        <f t="shared" si="5"/>
        <v>574.86</v>
      </c>
      <c r="O64" s="319" t="s">
        <v>58</v>
      </c>
      <c r="P64" s="372"/>
      <c r="Q64" s="378"/>
      <c r="R64" s="54"/>
    </row>
    <row r="65" spans="1:18" x14ac:dyDescent="0.3">
      <c r="A65" s="149">
        <v>59</v>
      </c>
      <c r="B65" s="328" t="s">
        <v>117</v>
      </c>
      <c r="C65" s="369">
        <v>42277</v>
      </c>
      <c r="D65" s="328" t="s">
        <v>512</v>
      </c>
      <c r="E65" s="319" t="s">
        <v>128</v>
      </c>
      <c r="F65" s="370">
        <v>1981</v>
      </c>
      <c r="G65" s="306">
        <f t="shared" si="10"/>
        <v>37</v>
      </c>
      <c r="H65" s="371">
        <v>18.28</v>
      </c>
      <c r="I65" s="371">
        <v>18.28</v>
      </c>
      <c r="J65" s="330">
        <v>0.7</v>
      </c>
      <c r="K65" s="302">
        <f t="shared" si="0"/>
        <v>1456</v>
      </c>
      <c r="L65" s="342">
        <f t="shared" si="1"/>
        <v>0</v>
      </c>
      <c r="M65" s="342">
        <f t="shared" ref="M65" si="17">SUM($M$6*I65)</f>
        <v>0.36560000000000004</v>
      </c>
      <c r="N65" s="494">
        <f t="shared" ref="N65" si="18">SUM(J65*2080)*M65</f>
        <v>532.31360000000006</v>
      </c>
      <c r="O65" s="319" t="s">
        <v>58</v>
      </c>
      <c r="P65" s="372"/>
      <c r="Q65" s="378"/>
      <c r="R65" s="54"/>
    </row>
    <row r="66" spans="1:18" x14ac:dyDescent="0.3">
      <c r="A66" s="149">
        <v>60</v>
      </c>
      <c r="B66" s="311" t="s">
        <v>71</v>
      </c>
      <c r="C66" s="312">
        <v>42452</v>
      </c>
      <c r="D66" s="311" t="s">
        <v>72</v>
      </c>
      <c r="E66" s="315" t="s">
        <v>128</v>
      </c>
      <c r="F66" s="306">
        <v>1991</v>
      </c>
      <c r="G66" s="306">
        <f t="shared" si="10"/>
        <v>27</v>
      </c>
      <c r="H66" s="313">
        <v>11</v>
      </c>
      <c r="I66" s="313">
        <v>11.5</v>
      </c>
      <c r="J66" s="316">
        <v>0.1</v>
      </c>
      <c r="K66" s="302">
        <f t="shared" si="0"/>
        <v>208</v>
      </c>
      <c r="L66" s="342">
        <f t="shared" si="1"/>
        <v>0.5</v>
      </c>
      <c r="M66" s="342"/>
      <c r="N66" s="494">
        <f t="shared" si="5"/>
        <v>85.8</v>
      </c>
      <c r="O66" s="315" t="s">
        <v>58</v>
      </c>
      <c r="P66" s="310"/>
      <c r="Q66" s="378"/>
      <c r="R66" s="54"/>
    </row>
    <row r="67" spans="1:18" x14ac:dyDescent="0.3">
      <c r="A67" s="149"/>
      <c r="B67" s="328"/>
      <c r="C67" s="369"/>
      <c r="D67" s="328"/>
      <c r="E67" s="319"/>
      <c r="F67" s="369"/>
      <c r="G67" s="369"/>
      <c r="H67" s="371"/>
      <c r="I67" s="411"/>
      <c r="J67" s="330"/>
      <c r="K67" s="302"/>
      <c r="L67" s="342"/>
      <c r="M67" s="342"/>
      <c r="N67" s="494"/>
      <c r="O67" s="319"/>
      <c r="P67" s="372"/>
      <c r="Q67" s="378"/>
      <c r="R67" s="54"/>
    </row>
    <row r="68" spans="1:18" x14ac:dyDescent="0.3">
      <c r="A68" s="149"/>
      <c r="B68" s="328"/>
      <c r="C68" s="369"/>
      <c r="D68" s="328"/>
      <c r="E68" s="319"/>
      <c r="F68" s="369"/>
      <c r="G68" s="369"/>
      <c r="H68" s="371"/>
      <c r="I68" s="411"/>
      <c r="J68" s="330"/>
      <c r="K68" s="302"/>
      <c r="L68" s="342"/>
      <c r="M68" s="342"/>
      <c r="N68" s="494"/>
      <c r="O68" s="319"/>
      <c r="P68" s="372"/>
      <c r="Q68" s="378"/>
      <c r="R68" s="54"/>
    </row>
    <row r="69" spans="1:18" x14ac:dyDescent="0.3">
      <c r="B69" s="462"/>
      <c r="C69" s="463"/>
      <c r="D69" s="464"/>
      <c r="E69" s="465"/>
      <c r="F69" s="466"/>
      <c r="G69" s="464"/>
      <c r="H69" s="465"/>
      <c r="I69" s="467"/>
      <c r="J69" s="465"/>
      <c r="K69" s="468"/>
      <c r="L69" s="469"/>
      <c r="M69" s="469"/>
      <c r="N69" s="495"/>
      <c r="O69" s="470"/>
      <c r="P69" s="471"/>
    </row>
    <row r="70" spans="1:18" x14ac:dyDescent="0.3">
      <c r="A70" s="149"/>
      <c r="B70" s="328" t="s">
        <v>452</v>
      </c>
      <c r="C70" s="369" t="s">
        <v>526</v>
      </c>
      <c r="D70" s="328" t="s">
        <v>536</v>
      </c>
      <c r="E70" s="319" t="s">
        <v>280</v>
      </c>
      <c r="F70" s="369" t="s">
        <v>526</v>
      </c>
      <c r="G70" s="369"/>
      <c r="H70" s="371"/>
      <c r="I70" s="411">
        <v>15</v>
      </c>
      <c r="J70" s="330">
        <v>0.14000000000000001</v>
      </c>
      <c r="K70" s="302">
        <f t="shared" si="0"/>
        <v>291.20000000000005</v>
      </c>
      <c r="L70" s="342">
        <f t="shared" si="1"/>
        <v>15</v>
      </c>
      <c r="M70" s="342"/>
      <c r="N70" s="494">
        <f t="shared" si="5"/>
        <v>3603.6000000000004</v>
      </c>
      <c r="O70" s="319" t="s">
        <v>53</v>
      </c>
      <c r="P70" s="372">
        <f>SUM('Data Links'!F69)</f>
        <v>426</v>
      </c>
      <c r="Q70" s="378"/>
      <c r="R70" s="54"/>
    </row>
    <row r="71" spans="1:18" x14ac:dyDescent="0.3">
      <c r="A71" s="149"/>
      <c r="B71" s="328"/>
      <c r="C71" s="369"/>
      <c r="D71" s="328"/>
      <c r="E71" s="319"/>
      <c r="F71" s="369"/>
      <c r="G71" s="369"/>
      <c r="H71" s="371"/>
      <c r="I71" s="411"/>
      <c r="J71" s="330"/>
      <c r="K71" s="302"/>
      <c r="L71" s="342"/>
      <c r="M71" s="342"/>
      <c r="N71" s="494"/>
      <c r="O71" s="319"/>
      <c r="P71" s="372"/>
      <c r="Q71" s="378"/>
      <c r="R71" s="54"/>
    </row>
    <row r="72" spans="1:18" x14ac:dyDescent="0.3">
      <c r="B72" s="54"/>
      <c r="C72" s="54"/>
      <c r="D72" s="54"/>
      <c r="E72" s="347"/>
      <c r="F72" s="54"/>
      <c r="G72" s="54"/>
      <c r="H72" s="54"/>
      <c r="I72" s="194"/>
      <c r="J72" s="54"/>
      <c r="K72" s="302"/>
      <c r="L72" s="342"/>
      <c r="M72" s="342"/>
      <c r="N72" s="494"/>
      <c r="O72" s="54"/>
      <c r="P72" s="54"/>
      <c r="Q72" s="377"/>
      <c r="R72" s="54"/>
    </row>
    <row r="73" spans="1:18" x14ac:dyDescent="0.3">
      <c r="A73" s="146">
        <f>A66</f>
        <v>60</v>
      </c>
      <c r="B73" s="329"/>
      <c r="C73" s="329"/>
      <c r="D73" s="329"/>
      <c r="E73" s="348"/>
      <c r="F73" s="329"/>
      <c r="G73" s="329"/>
      <c r="H73" s="336" t="s">
        <v>36</v>
      </c>
      <c r="I73" s="417"/>
      <c r="J73" s="337">
        <f>SUM(J7:J70)</f>
        <v>45.610000000000014</v>
      </c>
      <c r="K73" s="430"/>
      <c r="L73" s="430"/>
      <c r="M73" s="430"/>
      <c r="N73" s="496">
        <f>SUM(N7:N72)</f>
        <v>85100.684200000032</v>
      </c>
      <c r="O73" s="338"/>
      <c r="P73" s="339"/>
      <c r="Q73" s="377"/>
      <c r="R73" s="54"/>
    </row>
    <row r="74" spans="1:18" x14ac:dyDescent="0.3">
      <c r="B74" s="329"/>
      <c r="C74" s="329"/>
      <c r="D74" s="329"/>
      <c r="E74" s="348"/>
      <c r="F74" s="329"/>
      <c r="G74" s="329"/>
      <c r="H74" s="329"/>
      <c r="I74" s="418"/>
      <c r="J74" s="217">
        <f>SUM('Summary - All Cost Ctrs'!B177)</f>
        <v>46.02879310344828</v>
      </c>
      <c r="K74" s="424" t="s">
        <v>545</v>
      </c>
      <c r="L74" s="217"/>
      <c r="M74" s="217"/>
      <c r="P74" s="221"/>
      <c r="Q74" s="374"/>
      <c r="R74" s="54"/>
    </row>
    <row r="75" spans="1:18" x14ac:dyDescent="0.3">
      <c r="B75" s="329"/>
      <c r="C75" s="329"/>
      <c r="D75" s="329"/>
      <c r="E75" s="348"/>
      <c r="F75" s="329"/>
      <c r="G75" s="329"/>
      <c r="H75" s="329"/>
      <c r="I75" s="418"/>
      <c r="J75" s="217"/>
      <c r="K75" s="217"/>
      <c r="L75" s="217"/>
      <c r="M75" s="217"/>
      <c r="O75" s="424"/>
      <c r="P75" s="221"/>
      <c r="Q75" s="374"/>
      <c r="R75" s="54"/>
    </row>
    <row r="76" spans="1:18" ht="23.25" x14ac:dyDescent="0.35">
      <c r="A76" s="54"/>
      <c r="B76" s="54"/>
      <c r="C76" s="432"/>
      <c r="D76" s="54"/>
      <c r="E76" s="54"/>
      <c r="F76" s="54"/>
      <c r="G76" s="54"/>
      <c r="H76" s="54"/>
      <c r="I76" s="194"/>
      <c r="J76" s="54"/>
      <c r="K76" s="54"/>
      <c r="L76" s="54"/>
      <c r="M76" s="54"/>
      <c r="N76" s="498"/>
      <c r="O76" s="54"/>
      <c r="P76" s="54"/>
      <c r="Q76" s="54"/>
      <c r="R76" s="54"/>
    </row>
  </sheetData>
  <sortState ref="B62:L68">
    <sortCondition ref="D62:D68"/>
    <sortCondition ref="B62:B68"/>
  </sortState>
  <pageMargins left="0.25" right="0.25" top="0.75" bottom="0.75" header="0.3" footer="0.3"/>
  <pageSetup scale="30" fitToHeight="0" orientation="landscape" r:id="rId1"/>
  <headerFooter>
    <oddFooter>&amp;LRev &amp;D&amp;C&amp;P</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2"/>
  <sheetViews>
    <sheetView workbookViewId="0">
      <selection activeCell="A41" sqref="A41"/>
    </sheetView>
  </sheetViews>
  <sheetFormatPr defaultRowHeight="15.75" x14ac:dyDescent="0.25"/>
  <cols>
    <col min="1" max="1" width="38.875" customWidth="1"/>
    <col min="20" max="20" width="9" style="272"/>
  </cols>
  <sheetData>
    <row r="1" spans="1:21" ht="60" x14ac:dyDescent="0.25">
      <c r="A1" s="251" t="s">
        <v>290</v>
      </c>
      <c r="B1" s="251" t="s">
        <v>44</v>
      </c>
      <c r="C1" s="251" t="s">
        <v>291</v>
      </c>
      <c r="D1" s="251" t="s">
        <v>292</v>
      </c>
      <c r="E1" s="251" t="s">
        <v>293</v>
      </c>
      <c r="F1" s="251" t="s">
        <v>294</v>
      </c>
      <c r="G1" s="251" t="s">
        <v>15</v>
      </c>
      <c r="H1" s="251" t="s">
        <v>65</v>
      </c>
      <c r="I1" s="251" t="s">
        <v>90</v>
      </c>
      <c r="J1" s="251" t="s">
        <v>295</v>
      </c>
      <c r="K1" s="251" t="s">
        <v>280</v>
      </c>
      <c r="L1" s="251" t="s">
        <v>296</v>
      </c>
      <c r="M1" s="251" t="s">
        <v>297</v>
      </c>
      <c r="N1" s="251" t="s">
        <v>298</v>
      </c>
      <c r="O1" s="251" t="s">
        <v>68</v>
      </c>
      <c r="P1" s="251" t="s">
        <v>299</v>
      </c>
      <c r="Q1" s="251" t="s">
        <v>300</v>
      </c>
      <c r="R1" s="251" t="s">
        <v>301</v>
      </c>
      <c r="S1" s="251" t="s">
        <v>302</v>
      </c>
      <c r="T1" s="270" t="s">
        <v>36</v>
      </c>
      <c r="U1" s="252" t="s">
        <v>303</v>
      </c>
    </row>
    <row r="2" spans="1:21" x14ac:dyDescent="0.25">
      <c r="A2" s="253" t="s">
        <v>304</v>
      </c>
      <c r="B2" s="253"/>
      <c r="C2" s="253"/>
      <c r="D2" s="253"/>
      <c r="E2" s="253"/>
      <c r="F2" s="253"/>
      <c r="G2" s="253"/>
      <c r="H2" s="253"/>
      <c r="I2" s="253"/>
      <c r="J2" s="253"/>
      <c r="K2" s="253"/>
      <c r="L2" s="253"/>
      <c r="M2" s="253"/>
      <c r="N2" s="253"/>
      <c r="O2" s="253"/>
      <c r="P2" s="253"/>
      <c r="Q2" s="253"/>
      <c r="R2" s="253"/>
      <c r="S2" s="253"/>
      <c r="T2" s="271"/>
      <c r="U2" s="255"/>
    </row>
    <row r="3" spans="1:21" x14ac:dyDescent="0.25">
      <c r="A3" s="156" t="s">
        <v>117</v>
      </c>
      <c r="B3" s="254">
        <v>0.5</v>
      </c>
      <c r="C3" s="254"/>
      <c r="D3" s="254"/>
      <c r="E3" s="254"/>
      <c r="F3" s="254"/>
      <c r="G3" s="254"/>
      <c r="H3" s="254"/>
      <c r="I3" s="254"/>
      <c r="J3" s="254"/>
      <c r="K3" s="254"/>
      <c r="L3" s="254"/>
      <c r="M3" s="254">
        <v>0.5</v>
      </c>
      <c r="N3" s="254"/>
      <c r="O3" s="254"/>
      <c r="P3" s="254"/>
      <c r="Q3" s="254"/>
      <c r="R3" s="254"/>
      <c r="S3" s="254"/>
      <c r="T3" s="271">
        <f t="shared" ref="T3:T27" si="0">SUM(C3:S3)</f>
        <v>0.5</v>
      </c>
      <c r="U3" s="256">
        <f>B3-T3</f>
        <v>0</v>
      </c>
    </row>
    <row r="4" spans="1:21" x14ac:dyDescent="0.25">
      <c r="A4" s="156" t="s">
        <v>305</v>
      </c>
      <c r="B4" s="254">
        <v>0.5</v>
      </c>
      <c r="C4" s="254"/>
      <c r="D4" s="254"/>
      <c r="E4" s="254"/>
      <c r="F4" s="254"/>
      <c r="G4" s="254"/>
      <c r="H4" s="254"/>
      <c r="I4" s="254"/>
      <c r="J4" s="254"/>
      <c r="K4" s="254">
        <v>0.24</v>
      </c>
      <c r="L4" s="254"/>
      <c r="M4" s="254"/>
      <c r="N4" s="254"/>
      <c r="O4" s="254"/>
      <c r="P4" s="254"/>
      <c r="Q4" s="254">
        <v>0.24</v>
      </c>
      <c r="R4" s="254"/>
      <c r="S4" s="254"/>
      <c r="T4" s="271">
        <f t="shared" si="0"/>
        <v>0.48</v>
      </c>
      <c r="U4" s="257">
        <f t="shared" ref="U4:U50" si="1">B4-T4</f>
        <v>2.0000000000000018E-2</v>
      </c>
    </row>
    <row r="5" spans="1:21" x14ac:dyDescent="0.25">
      <c r="A5" s="156"/>
      <c r="B5" s="254"/>
      <c r="C5" s="254"/>
      <c r="D5" s="254"/>
      <c r="E5" s="254"/>
      <c r="F5" s="254"/>
      <c r="G5" s="254"/>
      <c r="H5" s="254"/>
      <c r="I5" s="254"/>
      <c r="J5" s="254"/>
      <c r="K5" s="254"/>
      <c r="L5" s="254"/>
      <c r="M5" s="254"/>
      <c r="N5" s="254"/>
      <c r="O5" s="254"/>
      <c r="P5" s="254"/>
      <c r="Q5" s="254"/>
      <c r="R5" s="254"/>
      <c r="S5" s="254"/>
      <c r="T5" s="271"/>
      <c r="U5" s="256"/>
    </row>
    <row r="6" spans="1:21" x14ac:dyDescent="0.25">
      <c r="A6" s="253" t="s">
        <v>306</v>
      </c>
      <c r="B6" s="254"/>
      <c r="C6" s="254"/>
      <c r="D6" s="254"/>
      <c r="E6" s="254"/>
      <c r="F6" s="254"/>
      <c r="G6" s="254"/>
      <c r="H6" s="254"/>
      <c r="I6" s="254"/>
      <c r="J6" s="254"/>
      <c r="K6" s="254"/>
      <c r="L6" s="254"/>
      <c r="M6" s="254"/>
      <c r="N6" s="254"/>
      <c r="O6" s="254"/>
      <c r="P6" s="254"/>
      <c r="Q6" s="254"/>
      <c r="R6" s="254"/>
      <c r="S6" s="254"/>
      <c r="T6" s="271"/>
      <c r="U6" s="256"/>
    </row>
    <row r="7" spans="1:21" x14ac:dyDescent="0.25">
      <c r="A7" s="156" t="s">
        <v>125</v>
      </c>
      <c r="B7" s="254">
        <v>1</v>
      </c>
      <c r="C7" s="254"/>
      <c r="D7" s="254"/>
      <c r="E7" s="254"/>
      <c r="F7" s="254"/>
      <c r="G7" s="254"/>
      <c r="H7" s="254"/>
      <c r="I7" s="254"/>
      <c r="J7" s="254"/>
      <c r="K7" s="254"/>
      <c r="L7" s="254"/>
      <c r="M7" s="254"/>
      <c r="N7" s="254"/>
      <c r="O7" s="254"/>
      <c r="P7" s="254">
        <v>0.25</v>
      </c>
      <c r="Q7" s="254">
        <v>0.43</v>
      </c>
      <c r="R7" s="254">
        <v>0.05</v>
      </c>
      <c r="S7" s="254">
        <v>0.04</v>
      </c>
      <c r="T7" s="271">
        <f t="shared" si="0"/>
        <v>0.77</v>
      </c>
      <c r="U7" s="257">
        <f t="shared" si="1"/>
        <v>0.22999999999999998</v>
      </c>
    </row>
    <row r="8" spans="1:21" x14ac:dyDescent="0.25">
      <c r="A8" s="156" t="s">
        <v>120</v>
      </c>
      <c r="B8" s="254">
        <v>1</v>
      </c>
      <c r="C8" s="254"/>
      <c r="D8" s="254"/>
      <c r="E8" s="254"/>
      <c r="F8" s="254"/>
      <c r="G8" s="254"/>
      <c r="H8" s="254"/>
      <c r="I8" s="254"/>
      <c r="J8" s="254"/>
      <c r="K8" s="254"/>
      <c r="L8" s="254"/>
      <c r="M8" s="254"/>
      <c r="N8" s="254"/>
      <c r="O8" s="254"/>
      <c r="P8" s="254">
        <v>0.45</v>
      </c>
      <c r="Q8" s="254">
        <v>0.53749999999999998</v>
      </c>
      <c r="R8" s="254"/>
      <c r="S8" s="254">
        <v>1.2500000000000001E-2</v>
      </c>
      <c r="T8" s="271">
        <f t="shared" si="0"/>
        <v>1</v>
      </c>
      <c r="U8" s="256">
        <f t="shared" si="1"/>
        <v>0</v>
      </c>
    </row>
    <row r="9" spans="1:21" x14ac:dyDescent="0.25">
      <c r="A9" s="156" t="s">
        <v>307</v>
      </c>
      <c r="B9" s="254">
        <v>1</v>
      </c>
      <c r="C9" s="254"/>
      <c r="D9" s="254"/>
      <c r="E9" s="254"/>
      <c r="F9" s="254"/>
      <c r="G9" s="254"/>
      <c r="H9" s="254"/>
      <c r="I9" s="254"/>
      <c r="J9" s="254"/>
      <c r="K9" s="254"/>
      <c r="L9" s="254"/>
      <c r="M9" s="254"/>
      <c r="N9" s="254"/>
      <c r="O9" s="254"/>
      <c r="P9" s="254">
        <v>0.44</v>
      </c>
      <c r="Q9" s="254">
        <v>0.54749999999999999</v>
      </c>
      <c r="R9" s="254"/>
      <c r="S9" s="254">
        <v>1.2500000000000001E-2</v>
      </c>
      <c r="T9" s="271">
        <f t="shared" si="0"/>
        <v>1</v>
      </c>
      <c r="U9" s="256">
        <f t="shared" si="1"/>
        <v>0</v>
      </c>
    </row>
    <row r="10" spans="1:21" x14ac:dyDescent="0.25">
      <c r="A10" s="156" t="s">
        <v>124</v>
      </c>
      <c r="B10" s="254">
        <v>1</v>
      </c>
      <c r="C10" s="254"/>
      <c r="D10" s="254"/>
      <c r="E10" s="254"/>
      <c r="F10" s="254"/>
      <c r="G10" s="254"/>
      <c r="H10" s="254"/>
      <c r="I10" s="254"/>
      <c r="J10" s="254"/>
      <c r="K10" s="254"/>
      <c r="L10" s="254"/>
      <c r="M10" s="254"/>
      <c r="N10" s="254"/>
      <c r="O10" s="254"/>
      <c r="P10" s="254">
        <v>0.44</v>
      </c>
      <c r="Q10" s="254">
        <v>0.54749999999999999</v>
      </c>
      <c r="R10" s="254"/>
      <c r="S10" s="254">
        <v>1.2500000000000001E-2</v>
      </c>
      <c r="T10" s="271">
        <f t="shared" si="0"/>
        <v>1</v>
      </c>
      <c r="U10" s="256">
        <f t="shared" si="1"/>
        <v>0</v>
      </c>
    </row>
    <row r="11" spans="1:21" x14ac:dyDescent="0.25">
      <c r="A11" s="258" t="s">
        <v>308</v>
      </c>
      <c r="B11" s="254"/>
      <c r="C11" s="254"/>
      <c r="D11" s="254"/>
      <c r="E11" s="254"/>
      <c r="F11" s="254"/>
      <c r="G11" s="254"/>
      <c r="H11" s="254"/>
      <c r="I11" s="254"/>
      <c r="J11" s="254"/>
      <c r="K11" s="254"/>
      <c r="L11" s="254"/>
      <c r="M11" s="254"/>
      <c r="N11" s="254"/>
      <c r="O11" s="254"/>
      <c r="P11" s="254"/>
      <c r="Q11" s="254"/>
      <c r="R11" s="254"/>
      <c r="S11" s="254"/>
      <c r="T11" s="271"/>
      <c r="U11" s="256">
        <f t="shared" si="1"/>
        <v>0</v>
      </c>
    </row>
    <row r="12" spans="1:21" x14ac:dyDescent="0.25">
      <c r="A12" s="156" t="s">
        <v>77</v>
      </c>
      <c r="B12" s="254">
        <v>1</v>
      </c>
      <c r="C12" s="254"/>
      <c r="D12" s="254"/>
      <c r="E12" s="254"/>
      <c r="F12" s="254"/>
      <c r="G12" s="254"/>
      <c r="H12" s="254"/>
      <c r="I12" s="254"/>
      <c r="J12" s="254"/>
      <c r="K12" s="254"/>
      <c r="L12" s="254"/>
      <c r="M12" s="254"/>
      <c r="N12" s="254"/>
      <c r="O12" s="254"/>
      <c r="P12" s="254">
        <v>0.44</v>
      </c>
      <c r="Q12" s="254">
        <v>0.54749999999999999</v>
      </c>
      <c r="R12" s="254"/>
      <c r="S12" s="254">
        <v>1.2500000000000001E-2</v>
      </c>
      <c r="T12" s="271">
        <f t="shared" si="0"/>
        <v>1</v>
      </c>
      <c r="U12" s="256">
        <f t="shared" si="1"/>
        <v>0</v>
      </c>
    </row>
    <row r="13" spans="1:21" x14ac:dyDescent="0.25">
      <c r="A13" s="156" t="s">
        <v>73</v>
      </c>
      <c r="B13" s="254"/>
      <c r="C13" s="254"/>
      <c r="D13" s="254"/>
      <c r="E13" s="254"/>
      <c r="F13" s="254"/>
      <c r="G13" s="254"/>
      <c r="H13" s="254"/>
      <c r="I13" s="254"/>
      <c r="J13" s="254"/>
      <c r="K13" s="254"/>
      <c r="L13" s="254"/>
      <c r="M13" s="254"/>
      <c r="N13" s="254"/>
      <c r="O13" s="254"/>
      <c r="P13" s="254"/>
      <c r="Q13" s="254"/>
      <c r="R13" s="254"/>
      <c r="S13" s="254"/>
      <c r="T13" s="271"/>
      <c r="U13" s="256"/>
    </row>
    <row r="14" spans="1:21" x14ac:dyDescent="0.25">
      <c r="A14" s="253" t="s">
        <v>280</v>
      </c>
      <c r="B14" s="254"/>
      <c r="C14" s="254"/>
      <c r="D14" s="254"/>
      <c r="E14" s="254"/>
      <c r="F14" s="254"/>
      <c r="G14" s="254"/>
      <c r="H14" s="254"/>
      <c r="I14" s="254"/>
      <c r="J14" s="254"/>
      <c r="K14" s="254"/>
      <c r="L14" s="254"/>
      <c r="M14" s="254"/>
      <c r="N14" s="254"/>
      <c r="O14" s="254"/>
      <c r="P14" s="254"/>
      <c r="Q14" s="254"/>
      <c r="R14" s="254"/>
      <c r="S14" s="254"/>
      <c r="T14" s="271"/>
      <c r="U14" s="256"/>
    </row>
    <row r="15" spans="1:21" x14ac:dyDescent="0.25">
      <c r="A15" s="156" t="s">
        <v>309</v>
      </c>
      <c r="B15" s="254">
        <v>1</v>
      </c>
      <c r="C15" s="254"/>
      <c r="D15" s="254"/>
      <c r="E15" s="254"/>
      <c r="F15" s="254"/>
      <c r="G15" s="254"/>
      <c r="H15" s="254"/>
      <c r="I15" s="254"/>
      <c r="J15" s="254"/>
      <c r="K15" s="254">
        <v>0.84</v>
      </c>
      <c r="L15" s="254"/>
      <c r="M15" s="254"/>
      <c r="N15" s="254"/>
      <c r="O15" s="254"/>
      <c r="P15" s="254"/>
      <c r="Q15" s="254"/>
      <c r="R15" s="254"/>
      <c r="S15" s="254"/>
      <c r="T15" s="271">
        <f t="shared" si="0"/>
        <v>0.84</v>
      </c>
      <c r="U15" s="257">
        <f t="shared" si="1"/>
        <v>0.16000000000000003</v>
      </c>
    </row>
    <row r="16" spans="1:21" x14ac:dyDescent="0.25">
      <c r="A16" s="156" t="s">
        <v>310</v>
      </c>
      <c r="B16" s="254">
        <v>1</v>
      </c>
      <c r="C16" s="254"/>
      <c r="D16" s="254"/>
      <c r="E16" s="254"/>
      <c r="F16" s="254"/>
      <c r="G16" s="254"/>
      <c r="H16" s="254"/>
      <c r="I16" s="254"/>
      <c r="J16" s="254"/>
      <c r="K16" s="254">
        <v>0.95</v>
      </c>
      <c r="L16" s="254"/>
      <c r="M16" s="254"/>
      <c r="N16" s="254"/>
      <c r="O16" s="254"/>
      <c r="P16" s="254"/>
      <c r="Q16" s="254"/>
      <c r="R16" s="254"/>
      <c r="S16" s="254"/>
      <c r="T16" s="271">
        <f t="shared" si="0"/>
        <v>0.95</v>
      </c>
      <c r="U16" s="257">
        <f t="shared" si="1"/>
        <v>5.0000000000000044E-2</v>
      </c>
    </row>
    <row r="17" spans="1:21" x14ac:dyDescent="0.25">
      <c r="A17" s="156" t="s">
        <v>311</v>
      </c>
      <c r="B17" s="254">
        <v>1</v>
      </c>
      <c r="C17" s="254"/>
      <c r="D17" s="254"/>
      <c r="E17" s="254"/>
      <c r="F17" s="254"/>
      <c r="G17" s="254"/>
      <c r="H17" s="254"/>
      <c r="I17" s="254"/>
      <c r="J17" s="254"/>
      <c r="K17" s="254">
        <v>0.95</v>
      </c>
      <c r="L17" s="254"/>
      <c r="M17" s="254"/>
      <c r="N17" s="254"/>
      <c r="O17" s="254"/>
      <c r="P17" s="254"/>
      <c r="Q17" s="254"/>
      <c r="R17" s="254"/>
      <c r="S17" s="254"/>
      <c r="T17" s="271">
        <f t="shared" si="0"/>
        <v>0.95</v>
      </c>
      <c r="U17" s="257">
        <f t="shared" si="1"/>
        <v>5.0000000000000044E-2</v>
      </c>
    </row>
    <row r="18" spans="1:21" x14ac:dyDescent="0.25">
      <c r="A18" s="156" t="s">
        <v>110</v>
      </c>
      <c r="B18" s="254">
        <v>0.5</v>
      </c>
      <c r="C18" s="254"/>
      <c r="D18" s="254"/>
      <c r="E18" s="254"/>
      <c r="F18" s="254"/>
      <c r="G18" s="254"/>
      <c r="H18" s="254"/>
      <c r="I18" s="254"/>
      <c r="J18" s="254"/>
      <c r="K18" s="254">
        <v>0.45</v>
      </c>
      <c r="L18" s="254"/>
      <c r="M18" s="254"/>
      <c r="N18" s="254"/>
      <c r="O18" s="254"/>
      <c r="P18" s="254"/>
      <c r="Q18" s="254"/>
      <c r="R18" s="254"/>
      <c r="S18" s="254"/>
      <c r="T18" s="271">
        <f t="shared" si="0"/>
        <v>0.45</v>
      </c>
      <c r="U18" s="257">
        <f t="shared" si="1"/>
        <v>4.9999999999999989E-2</v>
      </c>
    </row>
    <row r="19" spans="1:21" x14ac:dyDescent="0.25">
      <c r="A19" s="253" t="s">
        <v>118</v>
      </c>
      <c r="B19" s="254"/>
      <c r="C19" s="254"/>
      <c r="D19" s="254"/>
      <c r="E19" s="254"/>
      <c r="F19" s="254"/>
      <c r="G19" s="254"/>
      <c r="H19" s="254"/>
      <c r="I19" s="254"/>
      <c r="J19" s="254"/>
      <c r="K19" s="254"/>
      <c r="L19" s="254"/>
      <c r="M19" s="254"/>
      <c r="N19" s="254"/>
      <c r="O19" s="254"/>
      <c r="P19" s="254"/>
      <c r="Q19" s="254"/>
      <c r="R19" s="254"/>
      <c r="S19" s="254"/>
      <c r="T19" s="271"/>
      <c r="U19" s="256">
        <f t="shared" si="1"/>
        <v>0</v>
      </c>
    </row>
    <row r="20" spans="1:21" x14ac:dyDescent="0.25">
      <c r="A20" s="259" t="s">
        <v>117</v>
      </c>
      <c r="B20" s="254">
        <v>0.2</v>
      </c>
      <c r="C20" s="254"/>
      <c r="D20" s="254"/>
      <c r="E20" s="254"/>
      <c r="F20" s="254"/>
      <c r="G20" s="254"/>
      <c r="H20" s="254"/>
      <c r="I20" s="254"/>
      <c r="J20" s="254"/>
      <c r="K20" s="254"/>
      <c r="L20" s="254">
        <v>0.2</v>
      </c>
      <c r="M20" s="254"/>
      <c r="N20" s="254"/>
      <c r="O20" s="254"/>
      <c r="P20" s="254"/>
      <c r="Q20" s="254"/>
      <c r="R20" s="254"/>
      <c r="S20" s="254"/>
      <c r="T20" s="271">
        <f t="shared" si="0"/>
        <v>0.2</v>
      </c>
      <c r="U20" s="256">
        <f t="shared" si="1"/>
        <v>0</v>
      </c>
    </row>
    <row r="21" spans="1:21" x14ac:dyDescent="0.25">
      <c r="A21" s="156" t="s">
        <v>66</v>
      </c>
      <c r="B21" s="254">
        <v>0.54</v>
      </c>
      <c r="C21" s="254"/>
      <c r="D21" s="254"/>
      <c r="E21" s="254"/>
      <c r="F21" s="254"/>
      <c r="G21" s="254"/>
      <c r="H21" s="254"/>
      <c r="I21" s="254"/>
      <c r="J21" s="254"/>
      <c r="K21" s="254"/>
      <c r="L21" s="254">
        <v>0.54</v>
      </c>
      <c r="M21" s="254"/>
      <c r="N21" s="254"/>
      <c r="O21" s="254"/>
      <c r="P21" s="254"/>
      <c r="Q21" s="254"/>
      <c r="R21" s="254"/>
      <c r="S21" s="254"/>
      <c r="T21" s="271">
        <f t="shared" si="0"/>
        <v>0.54</v>
      </c>
      <c r="U21" s="256">
        <f t="shared" si="1"/>
        <v>0</v>
      </c>
    </row>
    <row r="22" spans="1:21" x14ac:dyDescent="0.25">
      <c r="A22" s="253" t="s">
        <v>68</v>
      </c>
      <c r="B22" s="254"/>
      <c r="C22" s="254"/>
      <c r="D22" s="254"/>
      <c r="E22" s="254"/>
      <c r="F22" s="254"/>
      <c r="G22" s="254"/>
      <c r="H22" s="254"/>
      <c r="I22" s="254"/>
      <c r="J22" s="254"/>
      <c r="K22" s="254"/>
      <c r="L22" s="254"/>
      <c r="M22" s="254"/>
      <c r="N22" s="254"/>
      <c r="O22" s="254"/>
      <c r="P22" s="254"/>
      <c r="Q22" s="254"/>
      <c r="R22" s="254"/>
      <c r="S22" s="254"/>
      <c r="T22" s="271"/>
      <c r="U22" s="256"/>
    </row>
    <row r="23" spans="1:21" x14ac:dyDescent="0.25">
      <c r="A23" s="156" t="s">
        <v>312</v>
      </c>
      <c r="B23" s="254">
        <v>1</v>
      </c>
      <c r="C23" s="254"/>
      <c r="D23" s="254"/>
      <c r="E23" s="254"/>
      <c r="F23" s="254"/>
      <c r="G23" s="254"/>
      <c r="H23" s="254"/>
      <c r="I23" s="254"/>
      <c r="J23" s="254"/>
      <c r="K23" s="254"/>
      <c r="L23" s="254"/>
      <c r="M23" s="254"/>
      <c r="N23" s="254"/>
      <c r="O23" s="254">
        <v>1</v>
      </c>
      <c r="P23" s="254"/>
      <c r="Q23" s="254"/>
      <c r="R23" s="254"/>
      <c r="S23" s="254"/>
      <c r="T23" s="271">
        <f t="shared" si="0"/>
        <v>1</v>
      </c>
      <c r="U23" s="256">
        <f t="shared" si="1"/>
        <v>0</v>
      </c>
    </row>
    <row r="24" spans="1:21" x14ac:dyDescent="0.25">
      <c r="A24" s="156" t="s">
        <v>79</v>
      </c>
      <c r="B24" s="254">
        <v>1</v>
      </c>
      <c r="C24" s="254"/>
      <c r="D24" s="254"/>
      <c r="E24" s="254"/>
      <c r="F24" s="254"/>
      <c r="G24" s="254"/>
      <c r="H24" s="254"/>
      <c r="I24" s="254"/>
      <c r="J24" s="254"/>
      <c r="K24" s="254"/>
      <c r="L24" s="254"/>
      <c r="M24" s="254"/>
      <c r="N24" s="254"/>
      <c r="O24" s="254">
        <v>1</v>
      </c>
      <c r="P24" s="254"/>
      <c r="Q24" s="254"/>
      <c r="R24" s="254"/>
      <c r="S24" s="254"/>
      <c r="T24" s="271">
        <f t="shared" si="0"/>
        <v>1</v>
      </c>
      <c r="U24" s="256">
        <f t="shared" si="1"/>
        <v>0</v>
      </c>
    </row>
    <row r="25" spans="1:21" x14ac:dyDescent="0.25">
      <c r="A25" s="156" t="s">
        <v>313</v>
      </c>
      <c r="B25" s="254">
        <v>0.6</v>
      </c>
      <c r="C25" s="254"/>
      <c r="D25" s="254"/>
      <c r="E25" s="254"/>
      <c r="F25" s="254"/>
      <c r="G25" s="254"/>
      <c r="H25" s="254">
        <v>0.6</v>
      </c>
      <c r="I25" s="254"/>
      <c r="J25" s="254"/>
      <c r="K25" s="254"/>
      <c r="L25" s="254"/>
      <c r="M25" s="254"/>
      <c r="N25" s="254"/>
      <c r="O25" s="254"/>
      <c r="P25" s="254"/>
      <c r="Q25" s="254"/>
      <c r="R25" s="254"/>
      <c r="S25" s="254"/>
      <c r="T25" s="271">
        <f t="shared" si="0"/>
        <v>0.6</v>
      </c>
      <c r="U25" s="256">
        <f t="shared" si="1"/>
        <v>0</v>
      </c>
    </row>
    <row r="26" spans="1:21" x14ac:dyDescent="0.25">
      <c r="A26" s="156" t="s">
        <v>85</v>
      </c>
      <c r="B26" s="254">
        <v>1</v>
      </c>
      <c r="C26" s="254"/>
      <c r="D26" s="254"/>
      <c r="E26" s="254"/>
      <c r="F26" s="254"/>
      <c r="G26" s="254"/>
      <c r="H26" s="254"/>
      <c r="I26" s="254"/>
      <c r="J26" s="254"/>
      <c r="K26" s="254"/>
      <c r="L26" s="254"/>
      <c r="M26" s="254"/>
      <c r="N26" s="254"/>
      <c r="O26" s="254">
        <v>1</v>
      </c>
      <c r="P26" s="254"/>
      <c r="Q26" s="254"/>
      <c r="R26" s="254"/>
      <c r="S26" s="254"/>
      <c r="T26" s="271">
        <f t="shared" si="0"/>
        <v>1</v>
      </c>
      <c r="U26" s="256">
        <f t="shared" si="1"/>
        <v>0</v>
      </c>
    </row>
    <row r="27" spans="1:21" x14ac:dyDescent="0.25">
      <c r="A27" s="156" t="s">
        <v>314</v>
      </c>
      <c r="B27" s="254">
        <v>8.15</v>
      </c>
      <c r="C27" s="254"/>
      <c r="D27" s="254"/>
      <c r="E27" s="254"/>
      <c r="F27" s="254"/>
      <c r="G27" s="254"/>
      <c r="H27" s="254"/>
      <c r="I27" s="254"/>
      <c r="J27" s="254"/>
      <c r="K27" s="254"/>
      <c r="L27" s="254"/>
      <c r="M27" s="254"/>
      <c r="N27" s="254"/>
      <c r="O27" s="254">
        <v>8.15</v>
      </c>
      <c r="P27" s="254"/>
      <c r="Q27" s="254"/>
      <c r="R27" s="254"/>
      <c r="S27" s="254"/>
      <c r="T27" s="271">
        <f t="shared" si="0"/>
        <v>8.15</v>
      </c>
      <c r="U27" s="256">
        <f t="shared" si="1"/>
        <v>0</v>
      </c>
    </row>
    <row r="28" spans="1:21" x14ac:dyDescent="0.25">
      <c r="A28" s="253" t="s">
        <v>315</v>
      </c>
      <c r="B28" s="254"/>
      <c r="C28" s="254"/>
      <c r="D28" s="254"/>
      <c r="E28" s="254"/>
      <c r="F28" s="254"/>
      <c r="G28" s="254"/>
      <c r="H28" s="254"/>
      <c r="I28" s="254"/>
      <c r="J28" s="254"/>
      <c r="K28" s="254"/>
      <c r="L28" s="254"/>
      <c r="M28" s="254"/>
      <c r="N28" s="254"/>
      <c r="O28" s="254"/>
      <c r="P28" s="254"/>
      <c r="Q28" s="254"/>
      <c r="R28" s="254"/>
      <c r="S28" s="254"/>
      <c r="T28" s="271"/>
      <c r="U28" s="256"/>
    </row>
    <row r="29" spans="1:21" x14ac:dyDescent="0.25">
      <c r="A29" s="156" t="s">
        <v>50</v>
      </c>
      <c r="B29" s="254">
        <v>1</v>
      </c>
      <c r="C29" s="254">
        <v>0.2</v>
      </c>
      <c r="D29" s="254">
        <v>0.215</v>
      </c>
      <c r="E29" s="254">
        <v>0.3</v>
      </c>
      <c r="F29" s="254">
        <v>0.03</v>
      </c>
      <c r="G29" s="254"/>
      <c r="H29" s="254"/>
      <c r="I29" s="254"/>
      <c r="J29" s="254">
        <v>0.03</v>
      </c>
      <c r="K29" s="254">
        <v>0.05</v>
      </c>
      <c r="L29" s="254"/>
      <c r="M29" s="254">
        <v>2.5000000000000001E-2</v>
      </c>
      <c r="N29" s="254"/>
      <c r="O29" s="254">
        <v>0.1</v>
      </c>
      <c r="P29" s="254"/>
      <c r="Q29" s="254">
        <v>0.05</v>
      </c>
      <c r="R29" s="254"/>
      <c r="S29" s="254"/>
      <c r="T29" s="271">
        <f>SUM(C29:S29)</f>
        <v>1.0000000000000002</v>
      </c>
      <c r="U29" s="256">
        <f t="shared" si="1"/>
        <v>0</v>
      </c>
    </row>
    <row r="30" spans="1:21" x14ac:dyDescent="0.25">
      <c r="A30" s="156" t="s">
        <v>316</v>
      </c>
      <c r="B30" s="254">
        <v>1</v>
      </c>
      <c r="C30" s="254"/>
      <c r="D30" s="254">
        <v>0.2</v>
      </c>
      <c r="E30" s="254">
        <v>0.1</v>
      </c>
      <c r="F30" s="254">
        <v>0.05</v>
      </c>
      <c r="G30" s="254"/>
      <c r="H30" s="254"/>
      <c r="I30" s="254"/>
      <c r="J30" s="254">
        <v>0.11</v>
      </c>
      <c r="K30" s="254">
        <v>0.09</v>
      </c>
      <c r="L30" s="254">
        <v>2.5000000000000001E-2</v>
      </c>
      <c r="M30" s="254">
        <v>2.5000000000000001E-2</v>
      </c>
      <c r="N30" s="254"/>
      <c r="O30" s="254">
        <v>0.15</v>
      </c>
      <c r="P30" s="254"/>
      <c r="Q30" s="254">
        <v>0.09</v>
      </c>
      <c r="R30" s="254">
        <v>0.1</v>
      </c>
      <c r="S30" s="254">
        <v>0.06</v>
      </c>
      <c r="T30" s="271">
        <f t="shared" ref="T30:T50" si="2">SUM(C30:S30)</f>
        <v>1</v>
      </c>
      <c r="U30" s="256">
        <f t="shared" si="1"/>
        <v>0</v>
      </c>
    </row>
    <row r="31" spans="1:21" x14ac:dyDescent="0.25">
      <c r="A31" s="156" t="s">
        <v>104</v>
      </c>
      <c r="B31" s="254">
        <v>1</v>
      </c>
      <c r="C31" s="254"/>
      <c r="D31" s="254"/>
      <c r="E31" s="254"/>
      <c r="F31" s="254"/>
      <c r="G31" s="254"/>
      <c r="H31" s="254"/>
      <c r="I31" s="254"/>
      <c r="J31" s="254">
        <v>0.15</v>
      </c>
      <c r="K31" s="254">
        <v>0.1</v>
      </c>
      <c r="L31" s="254">
        <v>2.5000000000000001E-2</v>
      </c>
      <c r="M31" s="254">
        <v>0.05</v>
      </c>
      <c r="N31" s="254"/>
      <c r="O31" s="254">
        <v>0.34499999999999997</v>
      </c>
      <c r="P31" s="254">
        <v>0.1</v>
      </c>
      <c r="Q31" s="254">
        <v>0.08</v>
      </c>
      <c r="R31" s="254">
        <v>0.05</v>
      </c>
      <c r="S31" s="254">
        <v>0.1</v>
      </c>
      <c r="T31" s="271">
        <f t="shared" si="2"/>
        <v>0.99999999999999989</v>
      </c>
      <c r="U31" s="256">
        <f t="shared" si="1"/>
        <v>0</v>
      </c>
    </row>
    <row r="32" spans="1:21" x14ac:dyDescent="0.25">
      <c r="A32" s="156" t="s">
        <v>317</v>
      </c>
      <c r="B32" s="254">
        <v>1</v>
      </c>
      <c r="C32" s="254"/>
      <c r="D32" s="254"/>
      <c r="E32" s="254"/>
      <c r="F32" s="254"/>
      <c r="G32" s="254">
        <v>1</v>
      </c>
      <c r="H32" s="254"/>
      <c r="I32" s="254"/>
      <c r="J32" s="254"/>
      <c r="K32" s="254"/>
      <c r="L32" s="254"/>
      <c r="M32" s="254"/>
      <c r="N32" s="254"/>
      <c r="O32" s="254"/>
      <c r="P32" s="254"/>
      <c r="Q32" s="254"/>
      <c r="R32" s="254"/>
      <c r="S32" s="254"/>
      <c r="T32" s="271">
        <f t="shared" si="2"/>
        <v>1</v>
      </c>
      <c r="U32" s="256">
        <f t="shared" si="1"/>
        <v>0</v>
      </c>
    </row>
    <row r="33" spans="1:21" x14ac:dyDescent="0.25">
      <c r="A33" s="156" t="s">
        <v>54</v>
      </c>
      <c r="B33" s="254">
        <v>1</v>
      </c>
      <c r="C33" s="254"/>
      <c r="D33" s="254"/>
      <c r="E33" s="254">
        <v>1</v>
      </c>
      <c r="F33" s="254"/>
      <c r="G33" s="254"/>
      <c r="H33" s="254"/>
      <c r="I33" s="254"/>
      <c r="J33" s="254"/>
      <c r="K33" s="254"/>
      <c r="L33" s="254"/>
      <c r="M33" s="254"/>
      <c r="N33" s="254"/>
      <c r="O33" s="254"/>
      <c r="P33" s="254"/>
      <c r="Q33" s="254"/>
      <c r="R33" s="254"/>
      <c r="S33" s="254"/>
      <c r="T33" s="271">
        <f t="shared" si="2"/>
        <v>1</v>
      </c>
      <c r="U33" s="256">
        <f t="shared" si="1"/>
        <v>0</v>
      </c>
    </row>
    <row r="34" spans="1:21" x14ac:dyDescent="0.25">
      <c r="A34" s="156" t="s">
        <v>59</v>
      </c>
      <c r="B34" s="254">
        <v>1</v>
      </c>
      <c r="C34" s="254"/>
      <c r="D34" s="254"/>
      <c r="E34" s="254"/>
      <c r="F34" s="254"/>
      <c r="G34" s="254"/>
      <c r="H34" s="254"/>
      <c r="I34" s="254"/>
      <c r="J34" s="254">
        <v>0.1</v>
      </c>
      <c r="K34" s="254">
        <v>0.05</v>
      </c>
      <c r="L34" s="254"/>
      <c r="M34" s="254">
        <v>0.05</v>
      </c>
      <c r="N34" s="254"/>
      <c r="O34" s="254">
        <v>0.3</v>
      </c>
      <c r="P34" s="254"/>
      <c r="Q34" s="254">
        <v>0.2</v>
      </c>
      <c r="R34" s="254">
        <v>0.19</v>
      </c>
      <c r="S34" s="254">
        <v>0.12</v>
      </c>
      <c r="T34" s="271">
        <f t="shared" si="2"/>
        <v>1.0099999999999998</v>
      </c>
      <c r="U34" s="256">
        <f t="shared" si="1"/>
        <v>-9.9999999999997868E-3</v>
      </c>
    </row>
    <row r="35" spans="1:21" x14ac:dyDescent="0.25">
      <c r="A35" s="156" t="s">
        <v>56</v>
      </c>
      <c r="B35" s="254">
        <v>1</v>
      </c>
      <c r="C35" s="254"/>
      <c r="D35" s="254">
        <v>0.85</v>
      </c>
      <c r="E35" s="254"/>
      <c r="F35" s="254"/>
      <c r="G35" s="254"/>
      <c r="H35" s="254"/>
      <c r="I35" s="254"/>
      <c r="J35" s="254"/>
      <c r="K35" s="254">
        <v>0.15</v>
      </c>
      <c r="L35" s="254"/>
      <c r="M35" s="254"/>
      <c r="N35" s="254"/>
      <c r="O35" s="254"/>
      <c r="P35" s="254"/>
      <c r="Q35" s="254"/>
      <c r="R35" s="254"/>
      <c r="S35" s="254"/>
      <c r="T35" s="271">
        <f t="shared" si="2"/>
        <v>1</v>
      </c>
      <c r="U35" s="256">
        <f t="shared" si="1"/>
        <v>0</v>
      </c>
    </row>
    <row r="36" spans="1:21" x14ac:dyDescent="0.25">
      <c r="A36" s="156" t="s">
        <v>107</v>
      </c>
      <c r="B36" s="254">
        <v>0.75</v>
      </c>
      <c r="C36" s="254"/>
      <c r="D36" s="254"/>
      <c r="E36" s="254"/>
      <c r="F36" s="254"/>
      <c r="G36" s="254"/>
      <c r="H36" s="254"/>
      <c r="I36" s="254"/>
      <c r="J36" s="254">
        <v>0.125</v>
      </c>
      <c r="K36" s="254">
        <v>0.38750000000000001</v>
      </c>
      <c r="L36" s="254"/>
      <c r="M36" s="254"/>
      <c r="N36" s="254"/>
      <c r="O36" s="254">
        <v>0.125</v>
      </c>
      <c r="P36" s="254">
        <v>0.05</v>
      </c>
      <c r="Q36" s="254"/>
      <c r="R36" s="254">
        <v>0.05</v>
      </c>
      <c r="S36" s="254">
        <v>1.2500000000000001E-2</v>
      </c>
      <c r="T36" s="271">
        <f t="shared" si="2"/>
        <v>0.75</v>
      </c>
      <c r="U36" s="256">
        <f t="shared" si="1"/>
        <v>0</v>
      </c>
    </row>
    <row r="37" spans="1:21" x14ac:dyDescent="0.25">
      <c r="A37" s="156" t="s">
        <v>307</v>
      </c>
      <c r="B37" s="254">
        <v>0.7</v>
      </c>
      <c r="C37" s="254"/>
      <c r="D37" s="254"/>
      <c r="E37" s="254"/>
      <c r="F37" s="254"/>
      <c r="G37" s="254"/>
      <c r="H37" s="254"/>
      <c r="I37" s="254"/>
      <c r="J37" s="254">
        <v>0.125</v>
      </c>
      <c r="K37" s="254">
        <v>0.33750000000000002</v>
      </c>
      <c r="L37" s="254"/>
      <c r="M37" s="254"/>
      <c r="N37" s="254"/>
      <c r="O37" s="254">
        <v>0.125</v>
      </c>
      <c r="P37" s="254">
        <v>0.05</v>
      </c>
      <c r="Q37" s="254"/>
      <c r="R37" s="254">
        <v>0.05</v>
      </c>
      <c r="S37" s="254">
        <v>1.2500000000000001E-2</v>
      </c>
      <c r="T37" s="271">
        <f t="shared" si="2"/>
        <v>0.70000000000000007</v>
      </c>
      <c r="U37" s="256">
        <f t="shared" si="1"/>
        <v>0</v>
      </c>
    </row>
    <row r="38" spans="1:21" x14ac:dyDescent="0.25">
      <c r="A38" s="253" t="s">
        <v>318</v>
      </c>
      <c r="B38" s="254"/>
      <c r="C38" s="254"/>
      <c r="D38" s="254"/>
      <c r="E38" s="254"/>
      <c r="F38" s="254"/>
      <c r="G38" s="254"/>
      <c r="H38" s="254"/>
      <c r="I38" s="254"/>
      <c r="J38" s="254"/>
      <c r="K38" s="254"/>
      <c r="L38" s="254"/>
      <c r="M38" s="254"/>
      <c r="N38" s="254"/>
      <c r="O38" s="254"/>
      <c r="P38" s="254"/>
      <c r="Q38" s="254"/>
      <c r="R38" s="254"/>
      <c r="S38" s="254"/>
      <c r="T38" s="271"/>
      <c r="U38" s="256"/>
    </row>
    <row r="39" spans="1:21" x14ac:dyDescent="0.25">
      <c r="A39" s="156" t="s">
        <v>102</v>
      </c>
      <c r="B39" s="254">
        <v>1</v>
      </c>
      <c r="C39" s="254"/>
      <c r="D39" s="254"/>
      <c r="E39" s="254"/>
      <c r="F39" s="254"/>
      <c r="G39" s="254"/>
      <c r="H39" s="254"/>
      <c r="I39" s="254"/>
      <c r="J39" s="254">
        <v>0.9</v>
      </c>
      <c r="K39" s="254"/>
      <c r="L39" s="254"/>
      <c r="M39" s="254"/>
      <c r="N39" s="254"/>
      <c r="O39" s="254"/>
      <c r="P39" s="254"/>
      <c r="Q39" s="254"/>
      <c r="R39" s="254">
        <v>0.05</v>
      </c>
      <c r="S39" s="254">
        <v>0.05</v>
      </c>
      <c r="T39" s="271">
        <f t="shared" si="2"/>
        <v>1</v>
      </c>
      <c r="U39" s="256">
        <f t="shared" si="1"/>
        <v>0</v>
      </c>
    </row>
    <row r="40" spans="1:21" x14ac:dyDescent="0.25">
      <c r="A40" s="156" t="s">
        <v>319</v>
      </c>
      <c r="B40" s="254">
        <v>1</v>
      </c>
      <c r="C40" s="254"/>
      <c r="D40" s="254"/>
      <c r="E40" s="254"/>
      <c r="F40" s="254"/>
      <c r="G40" s="254"/>
      <c r="H40" s="254"/>
      <c r="I40" s="254"/>
      <c r="J40" s="254">
        <v>0.8</v>
      </c>
      <c r="K40" s="254"/>
      <c r="L40" s="254"/>
      <c r="M40" s="254"/>
      <c r="N40" s="254"/>
      <c r="O40" s="254"/>
      <c r="P40" s="254"/>
      <c r="Q40" s="254"/>
      <c r="R40" s="254"/>
      <c r="S40" s="254">
        <v>0.15</v>
      </c>
      <c r="T40" s="271">
        <f t="shared" si="2"/>
        <v>0.95000000000000007</v>
      </c>
      <c r="U40" s="257">
        <f t="shared" si="1"/>
        <v>4.9999999999999933E-2</v>
      </c>
    </row>
    <row r="41" spans="1:21" x14ac:dyDescent="0.25">
      <c r="A41" s="156" t="s">
        <v>319</v>
      </c>
      <c r="B41" s="254">
        <v>1</v>
      </c>
      <c r="C41" s="254"/>
      <c r="D41" s="254"/>
      <c r="E41" s="254"/>
      <c r="F41" s="254"/>
      <c r="G41" s="254"/>
      <c r="H41" s="254"/>
      <c r="I41" s="254"/>
      <c r="J41" s="254">
        <v>0.8</v>
      </c>
      <c r="K41" s="254"/>
      <c r="L41" s="254"/>
      <c r="M41" s="254"/>
      <c r="N41" s="254"/>
      <c r="O41" s="254"/>
      <c r="P41" s="254"/>
      <c r="Q41" s="254"/>
      <c r="R41" s="254"/>
      <c r="S41" s="254">
        <v>0.15</v>
      </c>
      <c r="T41" s="271">
        <f t="shared" si="2"/>
        <v>0.95000000000000007</v>
      </c>
      <c r="U41" s="257">
        <f t="shared" si="1"/>
        <v>4.9999999999999933E-2</v>
      </c>
    </row>
    <row r="42" spans="1:21" x14ac:dyDescent="0.25">
      <c r="A42" s="156" t="s">
        <v>304</v>
      </c>
      <c r="B42" s="254">
        <v>0.5</v>
      </c>
      <c r="C42" s="254"/>
      <c r="D42" s="254"/>
      <c r="E42" s="254"/>
      <c r="F42" s="254"/>
      <c r="G42" s="254"/>
      <c r="H42" s="254"/>
      <c r="I42" s="254"/>
      <c r="J42" s="254">
        <v>0.5</v>
      </c>
      <c r="K42" s="254"/>
      <c r="L42" s="254"/>
      <c r="M42" s="254"/>
      <c r="N42" s="254"/>
      <c r="O42" s="254"/>
      <c r="P42" s="254"/>
      <c r="Q42" s="254"/>
      <c r="R42" s="254"/>
      <c r="S42" s="254"/>
      <c r="T42" s="271">
        <f t="shared" si="2"/>
        <v>0.5</v>
      </c>
      <c r="U42" s="256">
        <f t="shared" si="1"/>
        <v>0</v>
      </c>
    </row>
    <row r="43" spans="1:21" x14ac:dyDescent="0.25">
      <c r="A43" s="156" t="s">
        <v>320</v>
      </c>
      <c r="B43" s="254"/>
      <c r="C43" s="254"/>
      <c r="D43" s="254"/>
      <c r="E43" s="254"/>
      <c r="F43" s="254"/>
      <c r="G43" s="254"/>
      <c r="H43" s="254"/>
      <c r="I43" s="254"/>
      <c r="J43" s="254"/>
      <c r="K43" s="254"/>
      <c r="L43" s="254"/>
      <c r="M43" s="254"/>
      <c r="N43" s="254"/>
      <c r="O43" s="254"/>
      <c r="P43" s="254"/>
      <c r="Q43" s="254"/>
      <c r="R43" s="254"/>
      <c r="S43" s="254"/>
      <c r="T43" s="271"/>
      <c r="U43" s="256"/>
    </row>
    <row r="44" spans="1:21" x14ac:dyDescent="0.25">
      <c r="A44" s="253" t="s">
        <v>298</v>
      </c>
      <c r="B44" s="254"/>
      <c r="C44" s="254"/>
      <c r="D44" s="254"/>
      <c r="E44" s="254"/>
      <c r="F44" s="254"/>
      <c r="G44" s="254"/>
      <c r="H44" s="254"/>
      <c r="I44" s="254"/>
      <c r="J44" s="254"/>
      <c r="K44" s="254"/>
      <c r="L44" s="254"/>
      <c r="M44" s="254"/>
      <c r="N44" s="254"/>
      <c r="O44" s="254"/>
      <c r="P44" s="254"/>
      <c r="Q44" s="254"/>
      <c r="R44" s="254"/>
      <c r="S44" s="254"/>
      <c r="T44" s="271"/>
      <c r="U44" s="256"/>
    </row>
    <row r="45" spans="1:21" x14ac:dyDescent="0.25">
      <c r="A45" s="156" t="s">
        <v>106</v>
      </c>
      <c r="B45" s="254">
        <v>0.5</v>
      </c>
      <c r="C45" s="254"/>
      <c r="D45" s="254"/>
      <c r="E45" s="254"/>
      <c r="F45" s="254"/>
      <c r="G45" s="254"/>
      <c r="H45" s="254"/>
      <c r="I45" s="254"/>
      <c r="J45" s="254"/>
      <c r="K45" s="254"/>
      <c r="L45" s="254"/>
      <c r="M45" s="254"/>
      <c r="N45" s="254"/>
      <c r="O45" s="254"/>
      <c r="P45" s="254">
        <v>0.5</v>
      </c>
      <c r="Q45" s="254"/>
      <c r="R45" s="254"/>
      <c r="S45" s="254"/>
      <c r="T45" s="271">
        <f t="shared" si="2"/>
        <v>0.5</v>
      </c>
      <c r="U45" s="256">
        <f t="shared" si="1"/>
        <v>0</v>
      </c>
    </row>
    <row r="46" spans="1:21" x14ac:dyDescent="0.25">
      <c r="A46" s="253" t="s">
        <v>90</v>
      </c>
      <c r="B46" s="254"/>
      <c r="C46" s="254"/>
      <c r="D46" s="254"/>
      <c r="E46" s="254"/>
      <c r="F46" s="254"/>
      <c r="G46" s="254"/>
      <c r="H46" s="254"/>
      <c r="I46" s="254"/>
      <c r="J46" s="254"/>
      <c r="K46" s="254"/>
      <c r="L46" s="254"/>
      <c r="M46" s="254"/>
      <c r="N46" s="254"/>
      <c r="O46" s="254"/>
      <c r="P46" s="254"/>
      <c r="Q46" s="254"/>
      <c r="R46" s="254"/>
      <c r="S46" s="254"/>
      <c r="T46" s="271"/>
      <c r="U46" s="256">
        <f t="shared" si="1"/>
        <v>0</v>
      </c>
    </row>
    <row r="47" spans="1:21" x14ac:dyDescent="0.25">
      <c r="A47" s="156" t="s">
        <v>307</v>
      </c>
      <c r="B47" s="254">
        <v>0.2</v>
      </c>
      <c r="C47" s="254"/>
      <c r="D47" s="254"/>
      <c r="E47" s="254"/>
      <c r="F47" s="254"/>
      <c r="G47" s="254"/>
      <c r="H47" s="254"/>
      <c r="I47" s="254">
        <v>0.2</v>
      </c>
      <c r="J47" s="254"/>
      <c r="K47" s="254"/>
      <c r="L47" s="254"/>
      <c r="M47" s="254"/>
      <c r="N47" s="254"/>
      <c r="O47" s="254"/>
      <c r="P47" s="254"/>
      <c r="Q47" s="254"/>
      <c r="R47" s="254"/>
      <c r="S47" s="254"/>
      <c r="T47" s="271">
        <f t="shared" si="2"/>
        <v>0.2</v>
      </c>
      <c r="U47" s="256">
        <f t="shared" si="1"/>
        <v>0</v>
      </c>
    </row>
    <row r="48" spans="1:21" x14ac:dyDescent="0.25">
      <c r="A48" s="253" t="s">
        <v>321</v>
      </c>
      <c r="B48" s="254"/>
      <c r="C48" s="254"/>
      <c r="D48" s="254"/>
      <c r="E48" s="254"/>
      <c r="F48" s="254"/>
      <c r="G48" s="254"/>
      <c r="H48" s="254"/>
      <c r="I48" s="254"/>
      <c r="J48" s="254"/>
      <c r="K48" s="254"/>
      <c r="L48" s="254"/>
      <c r="M48" s="254"/>
      <c r="N48" s="254"/>
      <c r="O48" s="254"/>
      <c r="P48" s="254"/>
      <c r="Q48" s="254"/>
      <c r="R48" s="254"/>
      <c r="S48" s="254"/>
      <c r="T48" s="271"/>
      <c r="U48" s="256"/>
    </row>
    <row r="49" spans="1:21" x14ac:dyDescent="0.25">
      <c r="A49" s="156" t="s">
        <v>322</v>
      </c>
      <c r="B49" s="254">
        <v>0.5</v>
      </c>
      <c r="C49" s="254"/>
      <c r="D49" s="254"/>
      <c r="E49" s="254"/>
      <c r="F49" s="254"/>
      <c r="G49" s="254"/>
      <c r="H49" s="254"/>
      <c r="I49" s="254"/>
      <c r="J49" s="254"/>
      <c r="K49" s="254"/>
      <c r="L49" s="254"/>
      <c r="M49" s="254"/>
      <c r="N49" s="254"/>
      <c r="O49" s="254"/>
      <c r="P49" s="254"/>
      <c r="Q49" s="254"/>
      <c r="R49" s="254">
        <v>0.5</v>
      </c>
      <c r="S49" s="254"/>
      <c r="T49" s="271">
        <f t="shared" si="2"/>
        <v>0.5</v>
      </c>
      <c r="U49" s="256">
        <f t="shared" si="1"/>
        <v>0</v>
      </c>
    </row>
    <row r="50" spans="1:21" x14ac:dyDescent="0.25">
      <c r="A50" s="156" t="s">
        <v>225</v>
      </c>
      <c r="B50" s="254">
        <v>0.5</v>
      </c>
      <c r="C50" s="254"/>
      <c r="D50" s="254"/>
      <c r="E50" s="254"/>
      <c r="F50" s="254"/>
      <c r="G50" s="254"/>
      <c r="H50" s="254"/>
      <c r="I50" s="254"/>
      <c r="J50" s="254"/>
      <c r="K50" s="254"/>
      <c r="L50" s="254"/>
      <c r="M50" s="254"/>
      <c r="N50" s="254"/>
      <c r="O50" s="254"/>
      <c r="P50" s="254"/>
      <c r="Q50" s="254"/>
      <c r="R50" s="254">
        <v>0.5</v>
      </c>
      <c r="S50" s="254"/>
      <c r="T50" s="271">
        <f t="shared" si="2"/>
        <v>0.5</v>
      </c>
      <c r="U50" s="256">
        <f t="shared" si="1"/>
        <v>0</v>
      </c>
    </row>
    <row r="51" spans="1:21" x14ac:dyDescent="0.25">
      <c r="A51" s="156"/>
      <c r="B51" s="254"/>
      <c r="C51" s="254"/>
      <c r="D51" s="254"/>
      <c r="E51" s="254"/>
      <c r="F51" s="254"/>
      <c r="G51" s="254"/>
      <c r="H51" s="254"/>
      <c r="I51" s="254"/>
      <c r="J51" s="254"/>
      <c r="K51" s="254"/>
      <c r="L51" s="254"/>
      <c r="M51" s="254"/>
      <c r="N51" s="254"/>
      <c r="O51" s="254"/>
      <c r="P51" s="254"/>
      <c r="Q51" s="254"/>
      <c r="R51" s="254"/>
      <c r="S51" s="254"/>
      <c r="T51" s="271"/>
      <c r="U51" s="256"/>
    </row>
    <row r="52" spans="1:21" x14ac:dyDescent="0.25">
      <c r="T52" s="269">
        <f>SUM(T3:T51)</f>
        <v>34.99</v>
      </c>
    </row>
  </sheetData>
  <pageMargins left="0.7" right="0.7" top="0.75" bottom="0.75" header="0.3" footer="0.3"/>
  <pageSetup scale="51" orientation="landscape" verticalDpi="599"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1"/>
  <sheetViews>
    <sheetView zoomScaleNormal="100" workbookViewId="0">
      <selection activeCell="D21" sqref="D21"/>
    </sheetView>
  </sheetViews>
  <sheetFormatPr defaultRowHeight="15.75" x14ac:dyDescent="0.25"/>
  <cols>
    <col min="1" max="1" width="24.125" customWidth="1"/>
  </cols>
  <sheetData>
    <row r="1" spans="1:6" x14ac:dyDescent="0.25">
      <c r="A1" s="55" t="s">
        <v>602</v>
      </c>
    </row>
    <row r="3" spans="1:6" s="55" customFormat="1" x14ac:dyDescent="0.25">
      <c r="B3" s="475" t="s">
        <v>186</v>
      </c>
      <c r="C3" s="475" t="s">
        <v>620</v>
      </c>
    </row>
    <row r="4" spans="1:6" x14ac:dyDescent="0.25">
      <c r="A4" t="s">
        <v>605</v>
      </c>
      <c r="B4" s="476">
        <f>SUM(6)</f>
        <v>6</v>
      </c>
      <c r="C4" s="479">
        <f>SUM(B4/$B$21)</f>
        <v>3.4482758620689655E-2</v>
      </c>
      <c r="D4" s="477" t="s">
        <v>621</v>
      </c>
      <c r="E4" s="477"/>
      <c r="F4" s="477"/>
    </row>
    <row r="5" spans="1:6" x14ac:dyDescent="0.25">
      <c r="A5" t="s">
        <v>603</v>
      </c>
      <c r="B5" s="476">
        <f>SUM(4+1.5+1)+6.33</f>
        <v>12.83</v>
      </c>
      <c r="C5" s="479">
        <f t="shared" ref="C5:C20" si="0">SUM(B5/$B$21)</f>
        <v>7.3735632183908051E-2</v>
      </c>
    </row>
    <row r="6" spans="1:6" x14ac:dyDescent="0.25">
      <c r="A6" t="s">
        <v>605</v>
      </c>
      <c r="B6" s="476">
        <f>SUM(12+1.5+1+10)+6.33-11.6</f>
        <v>19.229999999999997</v>
      </c>
      <c r="C6" s="479">
        <f t="shared" si="0"/>
        <v>0.11051724137931032</v>
      </c>
    </row>
    <row r="7" spans="1:6" x14ac:dyDescent="0.25">
      <c r="A7" t="s">
        <v>606</v>
      </c>
      <c r="B7" s="476">
        <f>SUM(4+1+1)+6.33</f>
        <v>12.33</v>
      </c>
      <c r="C7" s="479">
        <f t="shared" si="0"/>
        <v>7.0862068965517236E-2</v>
      </c>
    </row>
    <row r="8" spans="1:6" x14ac:dyDescent="0.25">
      <c r="A8" s="54" t="s">
        <v>606</v>
      </c>
      <c r="B8" s="476">
        <f>SUM(2+1+0.5)</f>
        <v>3.5</v>
      </c>
      <c r="C8" s="479">
        <f t="shared" si="0"/>
        <v>2.0114942528735632E-2</v>
      </c>
      <c r="D8" s="477" t="s">
        <v>607</v>
      </c>
      <c r="E8" s="477"/>
      <c r="F8" s="477"/>
    </row>
    <row r="9" spans="1:6" x14ac:dyDescent="0.25">
      <c r="A9" t="s">
        <v>608</v>
      </c>
      <c r="B9" s="476">
        <f>SUM(12+3+1+10)+6.35-11.6-0.6</f>
        <v>20.149999999999999</v>
      </c>
      <c r="C9" s="479">
        <f t="shared" si="0"/>
        <v>0.11580459770114941</v>
      </c>
    </row>
    <row r="10" spans="1:6" x14ac:dyDescent="0.25">
      <c r="A10" t="s">
        <v>609</v>
      </c>
      <c r="B10" s="476">
        <f>SUM(6.33+1+3+1)</f>
        <v>11.33</v>
      </c>
      <c r="C10" s="479">
        <f t="shared" si="0"/>
        <v>6.5114942528735634E-2</v>
      </c>
    </row>
    <row r="11" spans="1:6" x14ac:dyDescent="0.25">
      <c r="A11" t="s">
        <v>610</v>
      </c>
      <c r="B11" s="476">
        <f>SUM(2.5)</f>
        <v>2.5</v>
      </c>
      <c r="C11" s="479">
        <f t="shared" si="0"/>
        <v>1.4367816091954023E-2</v>
      </c>
    </row>
    <row r="12" spans="1:6" x14ac:dyDescent="0.25">
      <c r="A12" t="s">
        <v>611</v>
      </c>
      <c r="B12" s="476">
        <f>SUM(16+1+4+10)+6.33-11.6-0.6</f>
        <v>25.129999999999995</v>
      </c>
      <c r="C12" s="479">
        <f t="shared" si="0"/>
        <v>0.14442528735632182</v>
      </c>
    </row>
    <row r="13" spans="1:6" x14ac:dyDescent="0.25">
      <c r="A13" t="s">
        <v>612</v>
      </c>
      <c r="B13" s="476">
        <v>1.5</v>
      </c>
      <c r="C13" s="479">
        <f t="shared" si="0"/>
        <v>8.6206896551724137E-3</v>
      </c>
    </row>
    <row r="14" spans="1:6" x14ac:dyDescent="0.25">
      <c r="A14" t="s">
        <v>613</v>
      </c>
      <c r="B14" s="476">
        <v>0.5</v>
      </c>
      <c r="C14" s="479">
        <f t="shared" si="0"/>
        <v>2.8735632183908046E-3</v>
      </c>
    </row>
    <row r="15" spans="1:6" x14ac:dyDescent="0.25">
      <c r="A15" s="54" t="s">
        <v>606</v>
      </c>
      <c r="B15" s="476">
        <v>2</v>
      </c>
      <c r="C15" s="479">
        <f t="shared" si="0"/>
        <v>1.1494252873563218E-2</v>
      </c>
      <c r="D15" s="477" t="s">
        <v>614</v>
      </c>
      <c r="E15" s="477"/>
      <c r="F15" s="477"/>
    </row>
    <row r="16" spans="1:6" s="54" customFormat="1" x14ac:dyDescent="0.25">
      <c r="A16" s="477" t="s">
        <v>622</v>
      </c>
      <c r="B16" s="481">
        <v>36</v>
      </c>
      <c r="C16" s="482">
        <f t="shared" si="0"/>
        <v>0.20689655172413793</v>
      </c>
      <c r="D16" s="477"/>
      <c r="E16" s="477"/>
      <c r="F16" s="477"/>
    </row>
    <row r="17" spans="1:6" x14ac:dyDescent="0.25">
      <c r="A17" t="s">
        <v>604</v>
      </c>
      <c r="B17" s="476">
        <v>6</v>
      </c>
      <c r="C17" s="479">
        <f t="shared" si="0"/>
        <v>3.4482758620689655E-2</v>
      </c>
    </row>
    <row r="18" spans="1:6" x14ac:dyDescent="0.25">
      <c r="A18" t="s">
        <v>615</v>
      </c>
      <c r="B18" s="476">
        <f>SUM(4+1.5+1.5+1)-3</f>
        <v>5</v>
      </c>
      <c r="C18" s="479">
        <f t="shared" si="0"/>
        <v>2.8735632183908046E-2</v>
      </c>
    </row>
    <row r="19" spans="1:6" x14ac:dyDescent="0.25">
      <c r="A19" t="s">
        <v>619</v>
      </c>
      <c r="B19" s="476">
        <f>SUM(4+1+0.5)</f>
        <v>5.5</v>
      </c>
      <c r="C19" s="479">
        <f t="shared" si="0"/>
        <v>3.1609195402298854E-2</v>
      </c>
      <c r="D19" s="477" t="s">
        <v>616</v>
      </c>
      <c r="E19" s="477"/>
      <c r="F19" s="477"/>
    </row>
    <row r="20" spans="1:6" x14ac:dyDescent="0.25">
      <c r="A20" t="s">
        <v>617</v>
      </c>
      <c r="B20" s="476">
        <f>SUM(2+0.5+1.5+0.5)</f>
        <v>4.5</v>
      </c>
      <c r="C20" s="479">
        <f t="shared" si="0"/>
        <v>2.5862068965517241E-2</v>
      </c>
    </row>
    <row r="21" spans="1:6" x14ac:dyDescent="0.25">
      <c r="A21" s="69" t="s">
        <v>618</v>
      </c>
      <c r="B21" s="478">
        <f>SUM(B4:B20)</f>
        <v>174</v>
      </c>
      <c r="C21" s="480">
        <f>SUM(C4:C20)</f>
        <v>0.99999999999999989</v>
      </c>
    </row>
    <row r="22" spans="1:6" x14ac:dyDescent="0.25">
      <c r="B22" s="476">
        <f>SUM(12+4+3+2+95+9+38+11)</f>
        <v>174</v>
      </c>
    </row>
    <row r="23" spans="1:6" x14ac:dyDescent="0.25">
      <c r="B23" s="476"/>
    </row>
    <row r="24" spans="1:6" x14ac:dyDescent="0.25">
      <c r="A24" s="55" t="s">
        <v>589</v>
      </c>
      <c r="B24" s="476"/>
    </row>
    <row r="25" spans="1:6" x14ac:dyDescent="0.25">
      <c r="A25" s="55"/>
      <c r="B25" s="475" t="s">
        <v>186</v>
      </c>
      <c r="C25" s="475" t="s">
        <v>620</v>
      </c>
    </row>
    <row r="26" spans="1:6" x14ac:dyDescent="0.25">
      <c r="A26" s="54" t="s">
        <v>65</v>
      </c>
      <c r="B26" s="476">
        <f>SUM(6)</f>
        <v>6</v>
      </c>
      <c r="C26" s="479">
        <f t="shared" ref="C26:C35" si="1">SUM(B26/$B$21)</f>
        <v>3.4482758620689655E-2</v>
      </c>
    </row>
    <row r="27" spans="1:6" x14ac:dyDescent="0.25">
      <c r="A27" s="54" t="s">
        <v>611</v>
      </c>
      <c r="B27" s="476">
        <f>SUM(16+1+4+10)+6.33</f>
        <v>37.33</v>
      </c>
      <c r="C27" s="479">
        <f t="shared" si="1"/>
        <v>0.21454022988505747</v>
      </c>
    </row>
    <row r="28" spans="1:6" x14ac:dyDescent="0.25">
      <c r="A28" s="54" t="s">
        <v>608</v>
      </c>
      <c r="B28" s="476">
        <f>SUM(12+3+1+10)+6.35</f>
        <v>32.35</v>
      </c>
      <c r="C28" s="479">
        <f t="shared" si="1"/>
        <v>0.18591954022988508</v>
      </c>
    </row>
    <row r="29" spans="1:6" x14ac:dyDescent="0.25">
      <c r="A29" s="54" t="s">
        <v>603</v>
      </c>
      <c r="B29" s="476">
        <f>SUM(4+1.5+1)+6.33</f>
        <v>12.83</v>
      </c>
      <c r="C29" s="479">
        <f t="shared" si="1"/>
        <v>7.3735632183908051E-2</v>
      </c>
    </row>
    <row r="30" spans="1:6" x14ac:dyDescent="0.25">
      <c r="A30" s="54" t="s">
        <v>605</v>
      </c>
      <c r="B30" s="476">
        <v>36.33</v>
      </c>
      <c r="C30" s="479">
        <f t="shared" si="1"/>
        <v>0.20879310344827584</v>
      </c>
    </row>
    <row r="31" spans="1:6" x14ac:dyDescent="0.25">
      <c r="A31" s="54" t="s">
        <v>606</v>
      </c>
      <c r="B31" s="476">
        <f>SUM(4+1+1)+6.33</f>
        <v>12.33</v>
      </c>
      <c r="C31" s="479">
        <f t="shared" si="1"/>
        <v>7.0862068965517236E-2</v>
      </c>
    </row>
    <row r="32" spans="1:6" x14ac:dyDescent="0.25">
      <c r="A32" s="54" t="s">
        <v>609</v>
      </c>
      <c r="B32" s="476">
        <f>SUM(6.33+1+3+1)</f>
        <v>11.33</v>
      </c>
      <c r="C32" s="479">
        <f t="shared" si="1"/>
        <v>6.5114942528735634E-2</v>
      </c>
    </row>
    <row r="33" spans="1:3" x14ac:dyDescent="0.25">
      <c r="A33" s="54" t="s">
        <v>610</v>
      </c>
      <c r="B33" s="476">
        <f>SUM(2.5)</f>
        <v>2.5</v>
      </c>
      <c r="C33" s="479">
        <f t="shared" si="1"/>
        <v>1.4367816091954023E-2</v>
      </c>
    </row>
    <row r="34" spans="1:3" x14ac:dyDescent="0.25">
      <c r="A34" s="54" t="s">
        <v>613</v>
      </c>
      <c r="B34" s="476">
        <v>0.5</v>
      </c>
      <c r="C34" s="479">
        <f t="shared" si="1"/>
        <v>2.8735632183908046E-3</v>
      </c>
    </row>
    <row r="35" spans="1:3" x14ac:dyDescent="0.25">
      <c r="A35" s="54" t="s">
        <v>612</v>
      </c>
      <c r="B35" s="476">
        <v>1.5</v>
      </c>
      <c r="C35" s="479">
        <f t="shared" si="1"/>
        <v>8.6206896551724137E-3</v>
      </c>
    </row>
    <row r="36" spans="1:3" x14ac:dyDescent="0.25">
      <c r="A36" s="477" t="s">
        <v>622</v>
      </c>
      <c r="B36" s="477"/>
      <c r="C36" s="477"/>
    </row>
    <row r="37" spans="1:3" x14ac:dyDescent="0.25">
      <c r="A37" s="54" t="s">
        <v>604</v>
      </c>
      <c r="B37" s="476">
        <v>6</v>
      </c>
      <c r="C37" s="479">
        <f>SUM(B37/$B$21)</f>
        <v>3.4482758620689655E-2</v>
      </c>
    </row>
    <row r="38" spans="1:3" x14ac:dyDescent="0.25">
      <c r="A38" s="54" t="s">
        <v>615</v>
      </c>
      <c r="B38" s="476">
        <f>SUM(4+1.5+1.5+1)-3</f>
        <v>5</v>
      </c>
      <c r="C38" s="479">
        <f>SUM(B38/$B$21)</f>
        <v>2.8735632183908046E-2</v>
      </c>
    </row>
    <row r="39" spans="1:3" x14ac:dyDescent="0.25">
      <c r="A39" s="54" t="s">
        <v>619</v>
      </c>
      <c r="B39" s="476">
        <f>SUM(4+1+0.5)</f>
        <v>5.5</v>
      </c>
      <c r="C39" s="479">
        <f>SUM(B39/$B$21)</f>
        <v>3.1609195402298854E-2</v>
      </c>
    </row>
    <row r="40" spans="1:3" x14ac:dyDescent="0.25">
      <c r="A40" s="54" t="s">
        <v>617</v>
      </c>
      <c r="B40" s="476">
        <f>SUM(2+0.5+1.5+0.5)</f>
        <v>4.5</v>
      </c>
      <c r="C40" s="479">
        <f>SUM(B40/$B$21)</f>
        <v>2.5862068965517241E-2</v>
      </c>
    </row>
    <row r="41" spans="1:3" x14ac:dyDescent="0.25">
      <c r="A41" s="69" t="s">
        <v>618</v>
      </c>
      <c r="B41" s="478">
        <f>SUM(B26:B40)</f>
        <v>174.00000000000003</v>
      </c>
      <c r="C41" s="480">
        <f>SUM(C26:C40)</f>
        <v>1.0000000000000002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16</vt:i4>
      </vt:variant>
    </vt:vector>
  </HeadingPairs>
  <TitlesOfParts>
    <vt:vector size="48" baseType="lpstr">
      <vt:lpstr>Welcome</vt:lpstr>
      <vt:lpstr>Process</vt:lpstr>
      <vt:lpstr>Fun Facts &amp; Graphs</vt:lpstr>
      <vt:lpstr>Budget Assumptions</vt:lpstr>
      <vt:lpstr>Summary by Month</vt:lpstr>
      <vt:lpstr>Summary - All Cost Ctrs</vt:lpstr>
      <vt:lpstr>All Employees</vt:lpstr>
      <vt:lpstr>FTE Allocations</vt:lpstr>
      <vt:lpstr>Program Support Allocations</vt:lpstr>
      <vt:lpstr>Data Links</vt:lpstr>
      <vt:lpstr>Donations History</vt:lpstr>
      <vt:lpstr>CMS</vt:lpstr>
      <vt:lpstr>Fundraising</vt:lpstr>
      <vt:lpstr>HBE $$ Oct-Jun</vt:lpstr>
      <vt:lpstr>HSSP</vt:lpstr>
      <vt:lpstr>WH - SOP</vt:lpstr>
      <vt:lpstr>WH - PAD</vt:lpstr>
      <vt:lpstr>WH - HUSLY</vt:lpstr>
      <vt:lpstr>WH - TL</vt:lpstr>
      <vt:lpstr>WH - PERM</vt:lpstr>
      <vt:lpstr>WH-VOC</vt:lpstr>
      <vt:lpstr>Health Homes FFS Revenues</vt:lpstr>
      <vt:lpstr>QYP</vt:lpstr>
      <vt:lpstr>BH Team</vt:lpstr>
      <vt:lpstr>Teen Court</vt:lpstr>
      <vt:lpstr>SK - HUSLY</vt:lpstr>
      <vt:lpstr>SK - TL</vt:lpstr>
      <vt:lpstr>SK - PERM</vt:lpstr>
      <vt:lpstr>SK - VOC</vt:lpstr>
      <vt:lpstr>22 North</vt:lpstr>
      <vt:lpstr>CMS &amp; Fundraising Allocations</vt:lpstr>
      <vt:lpstr>1020 N State Allocations</vt:lpstr>
      <vt:lpstr>'22 North'!Print_Titles</vt:lpstr>
      <vt:lpstr>'BH Team'!Print_Titles</vt:lpstr>
      <vt:lpstr>CMS!Print_Titles</vt:lpstr>
      <vt:lpstr>Fundraising!Print_Titles</vt:lpstr>
      <vt:lpstr>HSSP!Print_Titles</vt:lpstr>
      <vt:lpstr>QYP!Print_Titles</vt:lpstr>
      <vt:lpstr>'SK - PERM'!Print_Titles</vt:lpstr>
      <vt:lpstr>'SK - TL'!Print_Titles</vt:lpstr>
      <vt:lpstr>'Summary - All Cost Ctrs'!Print_Titles</vt:lpstr>
      <vt:lpstr>'Teen Court'!Print_Titles</vt:lpstr>
      <vt:lpstr>'WH - HUSLY'!Print_Titles</vt:lpstr>
      <vt:lpstr>'WH - PAD'!Print_Titles</vt:lpstr>
      <vt:lpstr>'WH - PERM'!Print_Titles</vt:lpstr>
      <vt:lpstr>'WH - SOP'!Print_Titles</vt:lpstr>
      <vt:lpstr>'WH - TL'!Print_Titles</vt:lpstr>
      <vt:lpstr>'WH-VOC'!Print_Titles</vt:lpstr>
    </vt:vector>
  </TitlesOfParts>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jhstaten</dc:creator>
  <cp:lastModifiedBy>Sydney Denessen</cp:lastModifiedBy>
  <cp:revision/>
  <cp:lastPrinted>2018-01-18T19:04:39Z</cp:lastPrinted>
  <dcterms:created xsi:type="dcterms:W3CDTF">2009-03-16T17:27:19Z</dcterms:created>
  <dcterms:modified xsi:type="dcterms:W3CDTF">2018-05-09T16:28:14Z</dcterms:modified>
</cp:coreProperties>
</file>